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threadedComments/threadedComment1.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https://stateofwa-my.sharepoint.com/personal/avery_booth_utc_wa_gov/Documents/Local Computer Files/Documents/"/>
    </mc:Choice>
  </mc:AlternateContent>
  <xr:revisionPtr revIDLastSave="0" documentId="8_{EBBFFFF0-62C0-479C-9C1E-066728EE2983}" xr6:coauthVersionLast="47" xr6:coauthVersionMax="47" xr10:uidLastSave="{00000000-0000-0000-0000-000000000000}"/>
  <bookViews>
    <workbookView xWindow="-120" yWindow="-120" windowWidth="20730" windowHeight="11160" firstSheet="7" xr2:uid="{C55AAFF3-A000-4CCF-B3DB-748012DD8C25}"/>
  </bookViews>
  <sheets>
    <sheet name="Summary" sheetId="7" r:id="rId1"/>
    <sheet name="Summary Breakdown" sheetId="27" r:id="rId2"/>
    <sheet name="FAR 8.2022" sheetId="28" state="hidden" r:id="rId3"/>
    <sheet name="FAR Dep Summary" sheetId="26" r:id="rId4"/>
    <sheet name="FAR 12.31.2024" sheetId="31" r:id="rId5"/>
    <sheet name="Bud Capital Input-2111" sheetId="33" r:id="rId6"/>
    <sheet name="2111 Trks" sheetId="1" r:id="rId7"/>
    <sheet name="2111 Cont, DB" sheetId="6" r:id="rId8"/>
    <sheet name="2111 YW" sheetId="5" r:id="rId9"/>
    <sheet name="2111 Other" sheetId="4" r:id="rId10"/>
    <sheet name="Land" sheetId="11" r:id="rId11"/>
    <sheet name="Transfer Trucks" sheetId="24" r:id="rId12"/>
    <sheet name="2111 Trks - Orig" sheetId="14" r:id="rId13"/>
    <sheet name="2111 Other - Orig" sheetId="17" r:id="rId14"/>
    <sheet name="2131 Trks - Orig" sheetId="18" r:id="rId15"/>
    <sheet name="2131 Other - Orig" sheetId="2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7" hidden="1">'2111 Cont, DB'!$C$11:$U$612</definedName>
    <definedName name="_xlnm._FilterDatabase" localSheetId="9" hidden="1">'2111 Other'!$A$11:$V$179</definedName>
    <definedName name="_xlnm._FilterDatabase" localSheetId="6" hidden="1">'2111 Trks'!$B$11:$V$284</definedName>
    <definedName name="_xlnm._FilterDatabase" localSheetId="8" hidden="1">'2111 YW'!$B$11:$V$118</definedName>
    <definedName name="_xlnm._FilterDatabase" localSheetId="5" hidden="1">'Bud Capital Input-2111'!$F$28:$BH$41</definedName>
    <definedName name="_xlnm._FilterDatabase" localSheetId="4" hidden="1">'FAR 12.31.2024'!$B$16:$AX$1809</definedName>
    <definedName name="_xlnm._FilterDatabase" localSheetId="2" hidden="1">'FAR 8.2022'!$A$13:$AJ$13</definedName>
    <definedName name="DetailBudYear" localSheetId="5">'Bud Capital Input-2111'!$I$24</definedName>
    <definedName name="DetailBudYear">#REF!</definedName>
    <definedName name="DetailDistrict" localSheetId="5">'Bud Capital Input-2111'!$I$23</definedName>
    <definedName name="DetailDistrict">#REF!</definedName>
    <definedName name="Interject_LastPulledValues_BalanceRange" localSheetId="5">#REF!</definedName>
    <definedName name="Interject_LastPulledValues_BalanceRange">#REF!</definedName>
    <definedName name="Interject_LastPulledValues_DescriptionRange" localSheetId="5">#REF!</definedName>
    <definedName name="Interject_LastPulledValues_DescriptionRange">#REF!</definedName>
    <definedName name="Interject_LastPulledValues_LastChangeGUID" localSheetId="5">#REF!</definedName>
    <definedName name="Interject_LastPulledValues_LastChangeGUID">#REF!</definedName>
    <definedName name="Interject_LastPulledValues_PreviousLastChangeGUID" localSheetId="5">#REF!</definedName>
    <definedName name="Interject_LastPulledValues_PreviousLastChangeGUID">#REF!</definedName>
    <definedName name="NOTES">'2111 Trks'!#REF!</definedName>
    <definedName name="PAGE_1">'2111 Trks'!$D$1:$U$274</definedName>
    <definedName name="_xlnm.Print_Area" localSheetId="7">'2111 Cont, DB'!$A$1:$U$613</definedName>
    <definedName name="_xlnm.Print_Area" localSheetId="9">'2111 Other'!$A$1:$U$180</definedName>
    <definedName name="_xlnm.Print_Area" localSheetId="13">'2111 Other - Orig'!$A$1:$AG$113</definedName>
    <definedName name="_xlnm.Print_Area" localSheetId="6">'2111 Trks'!$A$1:$V$285</definedName>
    <definedName name="_xlnm.Print_Area" localSheetId="12">'2111 Trks - Orig'!$C$1:$AH$178</definedName>
    <definedName name="_xlnm.Print_Area" localSheetId="8">'2111 YW'!$A$1:$U$124</definedName>
    <definedName name="_xlnm.Print_Area" localSheetId="15">'2131 Other - Orig'!$C$1:$AH$31</definedName>
    <definedName name="_xlnm.Print_Area" localSheetId="14">'2131 Trks - Orig'!$A$1:$AH$74</definedName>
    <definedName name="_xlnm.Print_Area" localSheetId="5">'Bud Capital Input-2111'!$E$22:$AP$54</definedName>
    <definedName name="_xlnm.Print_Area" localSheetId="4">'FAR 12.31.2024'!$A$1:$AX$1809</definedName>
    <definedName name="_xlnm.Print_Area" localSheetId="3">'FAR Dep Summary'!$A$1:$F$46</definedName>
    <definedName name="_xlnm.Print_Area" localSheetId="0">Summary!$A$1:$AC$67</definedName>
    <definedName name="_xlnm.Print_Area" localSheetId="1">'Summary Breakdown'!$A$2:$AK$69</definedName>
    <definedName name="Print_Area_MI" localSheetId="6">'2111 Trks'!$D$1:$U$274</definedName>
    <definedName name="Print_Area_MI" localSheetId="12">'2111 Trks - Orig'!$C$1:$AC$178</definedName>
    <definedName name="Print_Area_MI" localSheetId="14">'2131 Trks - Orig'!$C$1:$AC$12</definedName>
    <definedName name="_xlnm.Print_Titles" localSheetId="7">'2111 Cont, DB'!$1:$11</definedName>
    <definedName name="_xlnm.Print_Titles" localSheetId="9">'2111 Other'!$1:$11</definedName>
    <definedName name="_xlnm.Print_Titles" localSheetId="13">'2111 Other - Orig'!$1:$11</definedName>
    <definedName name="_xlnm.Print_Titles" localSheetId="6">'2111 Trks'!$1:$11</definedName>
    <definedName name="_xlnm.Print_Titles" localSheetId="12">'2111 Trks - Orig'!$1:$11</definedName>
    <definedName name="_xlnm.Print_Titles" localSheetId="8">'2111 YW'!$1:$12</definedName>
    <definedName name="SubtypeToTruckType" localSheetId="5">[1]TruckCenterReference!$C$34:$D$84</definedName>
    <definedName name="SubtypeToTruckType">[2]TruckCenterReference!$C$45:$D$95</definedName>
  </definedNames>
  <calcPr calcId="191029" iterate="1"/>
  <pivotCaches>
    <pivotCache cacheId="0" r:id="rId31"/>
    <pivotCache cacheId="1" r:id="rId3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 i="5" l="1"/>
  <c r="AT430" i="31"/>
  <c r="AT431" i="31"/>
  <c r="AT432" i="31"/>
  <c r="AT433" i="31"/>
  <c r="AT434" i="31"/>
  <c r="AT435" i="31"/>
  <c r="AT436" i="31"/>
  <c r="AT437" i="31"/>
  <c r="AT438" i="31"/>
  <c r="AT439" i="31"/>
  <c r="AT440" i="31"/>
  <c r="AT441" i="31"/>
  <c r="AT442" i="31"/>
  <c r="AT443" i="31"/>
  <c r="AT444" i="31"/>
  <c r="AT445" i="31"/>
  <c r="AT446" i="31"/>
  <c r="AT447" i="31"/>
  <c r="AT448" i="31"/>
  <c r="AT449" i="31"/>
  <c r="AT450" i="31"/>
  <c r="AT451" i="31"/>
  <c r="AT452" i="31"/>
  <c r="AT453" i="31"/>
  <c r="AT454" i="31"/>
  <c r="AT455" i="31"/>
  <c r="AT456" i="31"/>
  <c r="AT457" i="31"/>
  <c r="AT458" i="31"/>
  <c r="AT459" i="31"/>
  <c r="AT460" i="31"/>
  <c r="AT461" i="31"/>
  <c r="AT462" i="31"/>
  <c r="AT463" i="31"/>
  <c r="AN17" i="31" l="1"/>
  <c r="AO17" i="31"/>
  <c r="AP17" i="31" s="1"/>
  <c r="AN18" i="31"/>
  <c r="AO18" i="31"/>
  <c r="AP18" i="31" s="1"/>
  <c r="AQ18" i="31" s="1"/>
  <c r="AN19" i="31"/>
  <c r="AO19" i="31"/>
  <c r="AP19" i="31" s="1"/>
  <c r="AN20" i="31"/>
  <c r="AO20" i="31"/>
  <c r="AP20" i="31" s="1"/>
  <c r="AN21" i="31"/>
  <c r="AO21" i="31"/>
  <c r="AP21" i="31" s="1"/>
  <c r="AQ21" i="31" s="1"/>
  <c r="AN22" i="31"/>
  <c r="AO22" i="31"/>
  <c r="AP22" i="31" s="1"/>
  <c r="AN23" i="31"/>
  <c r="AO23" i="31"/>
  <c r="AP23" i="31" s="1"/>
  <c r="AN24" i="31"/>
  <c r="AO24" i="31"/>
  <c r="AP24" i="31" s="1"/>
  <c r="AN25" i="31"/>
  <c r="AO25" i="31"/>
  <c r="AP25" i="31" s="1"/>
  <c r="AQ25" i="31" s="1"/>
  <c r="AN26" i="31"/>
  <c r="AO26" i="31"/>
  <c r="AP26" i="31" s="1"/>
  <c r="AN27" i="31"/>
  <c r="AO27" i="31"/>
  <c r="AP27" i="31" s="1"/>
  <c r="AN28" i="31"/>
  <c r="AO28" i="31"/>
  <c r="AP28" i="31" s="1"/>
  <c r="AN29" i="31"/>
  <c r="AO29" i="31"/>
  <c r="AP29" i="31" s="1"/>
  <c r="AQ29" i="31" s="1"/>
  <c r="AN30" i="31"/>
  <c r="AO30" i="31"/>
  <c r="AP30" i="31" s="1"/>
  <c r="AN31" i="31"/>
  <c r="AO31" i="31"/>
  <c r="AP31" i="31" s="1"/>
  <c r="AN32" i="31"/>
  <c r="AO32" i="31"/>
  <c r="AP32" i="31" s="1"/>
  <c r="AN33" i="31"/>
  <c r="AO33" i="31"/>
  <c r="AP33" i="31" s="1"/>
  <c r="AQ33" i="31" s="1"/>
  <c r="AN34" i="31"/>
  <c r="AO34" i="31"/>
  <c r="AP34" i="31" s="1"/>
  <c r="AQ34" i="31" s="1"/>
  <c r="AN35" i="31"/>
  <c r="AO35" i="31"/>
  <c r="AP35" i="31" s="1"/>
  <c r="AN36" i="31"/>
  <c r="AO36" i="31"/>
  <c r="AP36" i="31" s="1"/>
  <c r="AR17" i="31"/>
  <c r="AS17" i="31" s="1"/>
  <c r="AR18" i="31"/>
  <c r="AS18" i="31" s="1"/>
  <c r="AR19" i="31"/>
  <c r="AS19" i="31" s="1"/>
  <c r="AR20" i="31"/>
  <c r="AS20" i="31" s="1"/>
  <c r="AR21" i="31"/>
  <c r="AS21" i="31" s="1"/>
  <c r="AR22" i="31"/>
  <c r="AS22" i="31" s="1"/>
  <c r="AR23" i="31"/>
  <c r="AS23" i="31" s="1"/>
  <c r="AR24" i="31"/>
  <c r="AS24" i="31" s="1"/>
  <c r="AR25" i="31"/>
  <c r="AS25" i="31" s="1"/>
  <c r="AR26" i="31"/>
  <c r="AS26" i="31" s="1"/>
  <c r="AR27" i="31"/>
  <c r="AS27" i="31" s="1"/>
  <c r="AR28" i="31"/>
  <c r="AS28" i="31" s="1"/>
  <c r="AR29" i="31"/>
  <c r="AS29" i="31" s="1"/>
  <c r="AR30" i="31"/>
  <c r="AS30" i="31" s="1"/>
  <c r="AR31" i="31"/>
  <c r="AS31" i="31" s="1"/>
  <c r="AR32" i="31"/>
  <c r="AS32" i="31" s="1"/>
  <c r="AR33" i="31"/>
  <c r="AS33" i="31" s="1"/>
  <c r="AR34" i="31"/>
  <c r="AS34" i="31" s="1"/>
  <c r="AR35" i="31"/>
  <c r="AS35" i="31" s="1"/>
  <c r="AR36" i="31"/>
  <c r="AS36" i="31" s="1"/>
  <c r="AB36" i="31"/>
  <c r="AB35" i="31"/>
  <c r="AB34" i="31"/>
  <c r="AB33" i="31"/>
  <c r="AB32" i="31"/>
  <c r="AB31" i="31"/>
  <c r="AB30" i="31"/>
  <c r="AB29" i="31"/>
  <c r="AB28" i="31"/>
  <c r="AB27" i="31"/>
  <c r="AB26" i="31"/>
  <c r="AB25" i="31"/>
  <c r="AB24" i="31"/>
  <c r="AB23" i="31"/>
  <c r="AB22" i="31"/>
  <c r="AB21" i="31"/>
  <c r="AB20" i="31"/>
  <c r="AB19" i="31"/>
  <c r="AB18" i="31"/>
  <c r="AB17" i="31"/>
  <c r="AQ36" i="31" l="1"/>
  <c r="AQ35" i="31"/>
  <c r="AQ23" i="31"/>
  <c r="AQ24" i="31"/>
  <c r="AQ20" i="31"/>
  <c r="AQ30" i="31"/>
  <c r="AQ26" i="31"/>
  <c r="AQ19" i="31"/>
  <c r="AQ31" i="31"/>
  <c r="AQ27" i="31"/>
  <c r="AQ32" i="31"/>
  <c r="AQ28" i="31"/>
  <c r="AQ22" i="31"/>
  <c r="AQ17" i="31"/>
  <c r="V46" i="33" l="1"/>
  <c r="V49" i="33"/>
  <c r="U56" i="27" s="1"/>
  <c r="W56" i="27" l="1"/>
  <c r="X49" i="33"/>
  <c r="W10" i="27"/>
  <c r="W50" i="27"/>
  <c r="U10" i="27"/>
  <c r="Y46" i="33"/>
  <c r="X47" i="33"/>
  <c r="X50" i="27" s="1"/>
  <c r="Z50" i="27" s="1"/>
  <c r="X46" i="33"/>
  <c r="X10" i="27" s="1"/>
  <c r="Z10" i="27" s="1"/>
  <c r="V47" i="33"/>
  <c r="V51" i="33" s="1"/>
  <c r="V48" i="33"/>
  <c r="W52" i="27" s="1"/>
  <c r="AE42" i="33"/>
  <c r="AD42" i="33"/>
  <c r="AC42" i="33"/>
  <c r="AB42" i="33"/>
  <c r="AA42" i="33"/>
  <c r="Z42" i="33"/>
  <c r="Y42" i="33"/>
  <c r="X42" i="33"/>
  <c r="W42" i="33"/>
  <c r="V42" i="33"/>
  <c r="U42" i="33"/>
  <c r="T42" i="33"/>
  <c r="BH40" i="33"/>
  <c r="BB40" i="33"/>
  <c r="AZ40" i="33"/>
  <c r="AX40" i="33"/>
  <c r="AU40" i="33"/>
  <c r="AS40" i="33"/>
  <c r="AW40" i="33" s="1"/>
  <c r="AG40" i="33"/>
  <c r="B40" i="33"/>
  <c r="A40" i="33" s="1"/>
  <c r="BF39" i="33"/>
  <c r="BE39" i="33"/>
  <c r="BA39" i="33"/>
  <c r="AZ39" i="33"/>
  <c r="AT39" i="33"/>
  <c r="AU39" i="33" s="1"/>
  <c r="AS39" i="33"/>
  <c r="AW39" i="33" s="1"/>
  <c r="AX39" i="33" s="1"/>
  <c r="AG39" i="33"/>
  <c r="B39" i="33"/>
  <c r="A39" i="33"/>
  <c r="BF38" i="33"/>
  <c r="BE38" i="33"/>
  <c r="BA38" i="33"/>
  <c r="AZ38" i="33"/>
  <c r="BB38" i="33" s="1"/>
  <c r="AT38" i="33"/>
  <c r="AU38" i="33" s="1"/>
  <c r="AS38" i="33"/>
  <c r="AW38" i="33" s="1"/>
  <c r="AX38" i="33" s="1"/>
  <c r="AG38" i="33"/>
  <c r="B38" i="33"/>
  <c r="A38" i="33" s="1"/>
  <c r="BH37" i="33"/>
  <c r="BE37" i="33"/>
  <c r="BB37" i="33"/>
  <c r="AZ37" i="33"/>
  <c r="AX37" i="33"/>
  <c r="AU37" i="33"/>
  <c r="AT37" i="33"/>
  <c r="AS37" i="33"/>
  <c r="AW37" i="33" s="1"/>
  <c r="AG37" i="33"/>
  <c r="B37" i="33"/>
  <c r="A37" i="33" s="1"/>
  <c r="BH36" i="33"/>
  <c r="BB36" i="33"/>
  <c r="AZ36" i="33"/>
  <c r="AX36" i="33"/>
  <c r="AU36" i="33"/>
  <c r="AS36" i="33"/>
  <c r="AW36" i="33" s="1"/>
  <c r="AG36" i="33"/>
  <c r="B36" i="33"/>
  <c r="A36" i="33" s="1"/>
  <c r="BH35" i="33"/>
  <c r="BB35" i="33"/>
  <c r="BA35" i="33"/>
  <c r="AZ35" i="33"/>
  <c r="AX35" i="33"/>
  <c r="AU35" i="33"/>
  <c r="AT35" i="33"/>
  <c r="AS35" i="33"/>
  <c r="AW35" i="33" s="1"/>
  <c r="AG35" i="33"/>
  <c r="B35" i="33"/>
  <c r="A35" i="33"/>
  <c r="BF34" i="33"/>
  <c r="BE34" i="33"/>
  <c r="BA34" i="33"/>
  <c r="AZ34" i="33"/>
  <c r="BB34" i="33" s="1"/>
  <c r="AT34" i="33"/>
  <c r="AU34" i="33" s="1"/>
  <c r="AS34" i="33"/>
  <c r="AW34" i="33" s="1"/>
  <c r="AX34" i="33" s="1"/>
  <c r="AG34" i="33"/>
  <c r="B34" i="33"/>
  <c r="A34" i="33" s="1"/>
  <c r="BF33" i="33"/>
  <c r="BE33" i="33"/>
  <c r="BA33" i="33"/>
  <c r="AZ33" i="33"/>
  <c r="AS33" i="33"/>
  <c r="AW33" i="33" s="1"/>
  <c r="AX33" i="33" s="1"/>
  <c r="AG33" i="33"/>
  <c r="B33" i="33"/>
  <c r="A33" i="33" s="1"/>
  <c r="AZ32" i="33"/>
  <c r="AS32" i="33"/>
  <c r="AW32" i="33" s="1"/>
  <c r="AX32" i="33" s="1"/>
  <c r="AG32" i="33"/>
  <c r="B32" i="33"/>
  <c r="A32" i="33" s="1"/>
  <c r="BF31" i="33"/>
  <c r="BE31" i="33"/>
  <c r="AZ31" i="33"/>
  <c r="AT31" i="33"/>
  <c r="AU31" i="33" s="1"/>
  <c r="AS31" i="33"/>
  <c r="AW31" i="33" s="1"/>
  <c r="AX31" i="33" s="1"/>
  <c r="AG31" i="33"/>
  <c r="B31" i="33"/>
  <c r="A31" i="33"/>
  <c r="BF30" i="33"/>
  <c r="AZ30" i="33"/>
  <c r="AT30" i="33"/>
  <c r="AU30" i="33" s="1"/>
  <c r="AS30" i="33"/>
  <c r="AW30" i="33" s="1"/>
  <c r="AX30" i="33" s="1"/>
  <c r="AG30" i="33"/>
  <c r="B30" i="33"/>
  <c r="A30" i="33" s="1"/>
  <c r="I24" i="33"/>
  <c r="BH6" i="33"/>
  <c r="BB6" i="33"/>
  <c r="AZ6" i="33"/>
  <c r="AX6" i="33"/>
  <c r="AU6" i="33"/>
  <c r="AS6" i="33"/>
  <c r="BF6" i="33" s="1"/>
  <c r="AG6" i="33"/>
  <c r="B6" i="33"/>
  <c r="A6" i="33" s="1"/>
  <c r="F10" i="33"/>
  <c r="F13" i="33"/>
  <c r="M9" i="33"/>
  <c r="F11" i="33"/>
  <c r="F15" i="33"/>
  <c r="F9" i="33"/>
  <c r="F12" i="33"/>
  <c r="M8" i="33"/>
  <c r="B18" i="33" l="1"/>
  <c r="B19" i="33" s="1"/>
  <c r="BE36" i="33"/>
  <c r="BF36" i="33"/>
  <c r="BA30" i="33"/>
  <c r="AT32" i="33"/>
  <c r="AU32" i="33" s="1"/>
  <c r="AT36" i="33"/>
  <c r="BA40" i="33"/>
  <c r="Y47" i="33"/>
  <c r="BB30" i="33"/>
  <c r="BE30" i="33"/>
  <c r="BA31" i="33"/>
  <c r="BB31" i="33" s="1"/>
  <c r="AT33" i="33"/>
  <c r="AU33" i="33" s="1"/>
  <c r="AG42" i="33"/>
  <c r="BE35" i="33"/>
  <c r="BA37" i="33"/>
  <c r="BA32" i="33"/>
  <c r="BB32" i="33" s="1"/>
  <c r="BB33" i="33"/>
  <c r="BF35" i="33"/>
  <c r="BE40" i="33"/>
  <c r="U50" i="27"/>
  <c r="AA50" i="27" s="1"/>
  <c r="Y49" i="33"/>
  <c r="X56" i="27"/>
  <c r="Z56" i="27" s="1"/>
  <c r="AA56" i="27" s="1"/>
  <c r="BF40" i="33"/>
  <c r="U52" i="27"/>
  <c r="BE32" i="33"/>
  <c r="BF32" i="33"/>
  <c r="BA36" i="33"/>
  <c r="BF37" i="33"/>
  <c r="BB39" i="33"/>
  <c r="AT40" i="33"/>
  <c r="X48" i="33"/>
  <c r="X51" i="33"/>
  <c r="AA10" i="27"/>
  <c r="AW6" i="33"/>
  <c r="BD30" i="33"/>
  <c r="BG30" i="33" s="1"/>
  <c r="BH30" i="33" s="1"/>
  <c r="BD31" i="33"/>
  <c r="BG31" i="33" s="1"/>
  <c r="BH31" i="33" s="1"/>
  <c r="BD32" i="33"/>
  <c r="BG32" i="33" s="1"/>
  <c r="BH32" i="33" s="1"/>
  <c r="BD33" i="33"/>
  <c r="BG33" i="33" s="1"/>
  <c r="BH33" i="33" s="1"/>
  <c r="BD34" i="33"/>
  <c r="BG34" i="33" s="1"/>
  <c r="BH34" i="33" s="1"/>
  <c r="BD35" i="33"/>
  <c r="BG35" i="33" s="1"/>
  <c r="BD36" i="33"/>
  <c r="BG36" i="33" s="1"/>
  <c r="BD37" i="33"/>
  <c r="BG37" i="33" s="1"/>
  <c r="BD38" i="33"/>
  <c r="BG38" i="33" s="1"/>
  <c r="BH38" i="33" s="1"/>
  <c r="BD39" i="33"/>
  <c r="BG39" i="33" s="1"/>
  <c r="BH39" i="33" s="1"/>
  <c r="BD40" i="33"/>
  <c r="BG40" i="33" s="1"/>
  <c r="BA6" i="33"/>
  <c r="BD6" i="33"/>
  <c r="BG6" i="33" s="1"/>
  <c r="BE6" i="33"/>
  <c r="AT6" i="33"/>
  <c r="B39" i="26"/>
  <c r="C39" i="26"/>
  <c r="D39" i="26"/>
  <c r="E39" i="26"/>
  <c r="F39" i="26"/>
  <c r="B50" i="26"/>
  <c r="B54" i="26"/>
  <c r="B34" i="26"/>
  <c r="B56" i="26" s="1"/>
  <c r="C34" i="26"/>
  <c r="D34" i="26"/>
  <c r="E34" i="26"/>
  <c r="F34" i="26"/>
  <c r="B35" i="26"/>
  <c r="B57" i="26" s="1"/>
  <c r="B26" i="26"/>
  <c r="B48" i="26" s="1"/>
  <c r="C26" i="26"/>
  <c r="D26" i="26"/>
  <c r="E26" i="26"/>
  <c r="F26" i="26"/>
  <c r="B27" i="26"/>
  <c r="B49" i="26" s="1"/>
  <c r="C27" i="26"/>
  <c r="D27" i="26"/>
  <c r="E27" i="26"/>
  <c r="F27" i="26"/>
  <c r="B28" i="26"/>
  <c r="C28" i="26"/>
  <c r="D28" i="26"/>
  <c r="E28" i="26"/>
  <c r="F28" i="26"/>
  <c r="B29" i="26"/>
  <c r="B51" i="26" s="1"/>
  <c r="C29" i="26"/>
  <c r="D29" i="26"/>
  <c r="E29" i="26"/>
  <c r="F29" i="26"/>
  <c r="B30" i="26"/>
  <c r="B52" i="26" s="1"/>
  <c r="C30" i="26"/>
  <c r="D30" i="26"/>
  <c r="E30" i="26"/>
  <c r="F30" i="26"/>
  <c r="B31" i="26"/>
  <c r="B53" i="26" s="1"/>
  <c r="C31" i="26"/>
  <c r="D31" i="26"/>
  <c r="E31" i="26"/>
  <c r="F31" i="26"/>
  <c r="B32" i="26"/>
  <c r="C32" i="26"/>
  <c r="D32" i="26"/>
  <c r="E32" i="26"/>
  <c r="F32" i="26"/>
  <c r="B33" i="26"/>
  <c r="B55" i="26" s="1"/>
  <c r="C33" i="26"/>
  <c r="D33" i="26"/>
  <c r="E33" i="26"/>
  <c r="F33" i="26"/>
  <c r="C35" i="26"/>
  <c r="D35" i="26"/>
  <c r="E35" i="26"/>
  <c r="F35" i="26"/>
  <c r="B36" i="26"/>
  <c r="B58" i="26" s="1"/>
  <c r="C36" i="26"/>
  <c r="D36" i="26"/>
  <c r="E36" i="26"/>
  <c r="F36" i="26"/>
  <c r="B37" i="26"/>
  <c r="B59" i="26" s="1"/>
  <c r="C37" i="26"/>
  <c r="D37" i="26"/>
  <c r="E37" i="26"/>
  <c r="F37" i="26"/>
  <c r="B38" i="26"/>
  <c r="B60" i="26" s="1"/>
  <c r="C38" i="26"/>
  <c r="D38" i="26"/>
  <c r="E38" i="26"/>
  <c r="F38" i="26"/>
  <c r="B40" i="26"/>
  <c r="B61" i="26" s="1"/>
  <c r="C40" i="26"/>
  <c r="D40" i="26"/>
  <c r="E40" i="26"/>
  <c r="F40" i="26"/>
  <c r="B41" i="26"/>
  <c r="B62" i="26" s="1"/>
  <c r="C41" i="26"/>
  <c r="D41" i="26"/>
  <c r="E41" i="26"/>
  <c r="F41" i="26"/>
  <c r="B42" i="26"/>
  <c r="B63" i="26" s="1"/>
  <c r="C42" i="26"/>
  <c r="D42" i="26"/>
  <c r="E42" i="26"/>
  <c r="F42" i="26"/>
  <c r="C43" i="26"/>
  <c r="D43" i="26"/>
  <c r="E43" i="26"/>
  <c r="F43" i="26"/>
  <c r="B43" i="26"/>
  <c r="B64" i="26" s="1"/>
  <c r="V52" i="33" l="1"/>
  <c r="X52" i="27"/>
  <c r="Z52" i="27" s="1"/>
  <c r="AA52" i="27" s="1"/>
  <c r="Y48" i="33"/>
  <c r="Y51" i="33" s="1"/>
  <c r="B44" i="26"/>
  <c r="AA72" i="31"/>
  <c r="AA71" i="31"/>
  <c r="AA70" i="31"/>
  <c r="AA69" i="31"/>
  <c r="AA68" i="31"/>
  <c r="AA67" i="31"/>
  <c r="AA66" i="31"/>
  <c r="AA65" i="31"/>
  <c r="AA64" i="31"/>
  <c r="AA63" i="31"/>
  <c r="AA62" i="31"/>
  <c r="AA61" i="31"/>
  <c r="AA60" i="31"/>
  <c r="AA59" i="31"/>
  <c r="AA58" i="31"/>
  <c r="AA57" i="31"/>
  <c r="AA56" i="31"/>
  <c r="AA55" i="31"/>
  <c r="AA54" i="31"/>
  <c r="AA53" i="31"/>
  <c r="AA52" i="31"/>
  <c r="AA51" i="31"/>
  <c r="AA50" i="31"/>
  <c r="AA49" i="31"/>
  <c r="AA48" i="31"/>
  <c r="AA47" i="31"/>
  <c r="AA46" i="31"/>
  <c r="AA45" i="31"/>
  <c r="AA44" i="31"/>
  <c r="AA43" i="31"/>
  <c r="AA42" i="31"/>
  <c r="AA41" i="31"/>
  <c r="AA40" i="31"/>
  <c r="AA39" i="31"/>
  <c r="AA38" i="31"/>
  <c r="AA37" i="31"/>
  <c r="AR72" i="31"/>
  <c r="AS72" i="31" s="1"/>
  <c r="AO72" i="31"/>
  <c r="AP72" i="31" s="1"/>
  <c r="AN72" i="31"/>
  <c r="AR71" i="31"/>
  <c r="AS71" i="31" s="1"/>
  <c r="AO71" i="31"/>
  <c r="AP71" i="31" s="1"/>
  <c r="AN71" i="31"/>
  <c r="AR70" i="31"/>
  <c r="AS70" i="31" s="1"/>
  <c r="AO70" i="31"/>
  <c r="AP70" i="31" s="1"/>
  <c r="AN70" i="31"/>
  <c r="AR69" i="31"/>
  <c r="AS69" i="31" s="1"/>
  <c r="AO69" i="31"/>
  <c r="AP69" i="31" s="1"/>
  <c r="AN69" i="31"/>
  <c r="AR68" i="31"/>
  <c r="AS68" i="31" s="1"/>
  <c r="AO68" i="31"/>
  <c r="AP68" i="31" s="1"/>
  <c r="AN68" i="31"/>
  <c r="AR67" i="31"/>
  <c r="AS67" i="31" s="1"/>
  <c r="AO67" i="31"/>
  <c r="AP67" i="31" s="1"/>
  <c r="AN67" i="31"/>
  <c r="AR66" i="31"/>
  <c r="AS66" i="31" s="1"/>
  <c r="AO66" i="31"/>
  <c r="AP66" i="31" s="1"/>
  <c r="AN66" i="31"/>
  <c r="AR65" i="31"/>
  <c r="AS65" i="31" s="1"/>
  <c r="AO65" i="31"/>
  <c r="AP65" i="31" s="1"/>
  <c r="AN65" i="31"/>
  <c r="AR64" i="31"/>
  <c r="AS64" i="31" s="1"/>
  <c r="AO64" i="31"/>
  <c r="AP64" i="31" s="1"/>
  <c r="AN64" i="31"/>
  <c r="AR63" i="31"/>
  <c r="AS63" i="31" s="1"/>
  <c r="AO63" i="31"/>
  <c r="AP63" i="31" s="1"/>
  <c r="AN63" i="31"/>
  <c r="AR62" i="31"/>
  <c r="AS62" i="31" s="1"/>
  <c r="AO62" i="31"/>
  <c r="AP62" i="31" s="1"/>
  <c r="AN62" i="31"/>
  <c r="AR61" i="31"/>
  <c r="AS61" i="31" s="1"/>
  <c r="AO61" i="31"/>
  <c r="AP61" i="31" s="1"/>
  <c r="AN61" i="31"/>
  <c r="AR60" i="31"/>
  <c r="AS60" i="31" s="1"/>
  <c r="AO60" i="31"/>
  <c r="AP60" i="31" s="1"/>
  <c r="AN60" i="31"/>
  <c r="AR59" i="31"/>
  <c r="AS59" i="31" s="1"/>
  <c r="AO59" i="31"/>
  <c r="AP59" i="31" s="1"/>
  <c r="AN59" i="31"/>
  <c r="AR58" i="31"/>
  <c r="AS58" i="31" s="1"/>
  <c r="AO58" i="31"/>
  <c r="AP58" i="31" s="1"/>
  <c r="AN58" i="31"/>
  <c r="AR57" i="31"/>
  <c r="AS57" i="31" s="1"/>
  <c r="AO57" i="31"/>
  <c r="AP57" i="31" s="1"/>
  <c r="AN57" i="31"/>
  <c r="AR56" i="31"/>
  <c r="AS56" i="31" s="1"/>
  <c r="AO56" i="31"/>
  <c r="AP56" i="31" s="1"/>
  <c r="AN56" i="31"/>
  <c r="AR55" i="31"/>
  <c r="AS55" i="31" s="1"/>
  <c r="AO55" i="31"/>
  <c r="AP55" i="31" s="1"/>
  <c r="AN55" i="31"/>
  <c r="AR54" i="31"/>
  <c r="AS54" i="31" s="1"/>
  <c r="AO54" i="31"/>
  <c r="AP54" i="31" s="1"/>
  <c r="AN54" i="31"/>
  <c r="AR53" i="31"/>
  <c r="AS53" i="31" s="1"/>
  <c r="AO53" i="31"/>
  <c r="AP53" i="31" s="1"/>
  <c r="AN53" i="31"/>
  <c r="AR52" i="31"/>
  <c r="AS52" i="31" s="1"/>
  <c r="AO52" i="31"/>
  <c r="AP52" i="31" s="1"/>
  <c r="AN52" i="31"/>
  <c r="AR51" i="31"/>
  <c r="AS51" i="31" s="1"/>
  <c r="AO51" i="31"/>
  <c r="AP51" i="31" s="1"/>
  <c r="AN51" i="31"/>
  <c r="AR50" i="31"/>
  <c r="AS50" i="31" s="1"/>
  <c r="AO50" i="31"/>
  <c r="AP50" i="31" s="1"/>
  <c r="AN50" i="31"/>
  <c r="AR49" i="31"/>
  <c r="AS49" i="31" s="1"/>
  <c r="AO49" i="31"/>
  <c r="AP49" i="31" s="1"/>
  <c r="AN49" i="31"/>
  <c r="AR48" i="31"/>
  <c r="AS48" i="31" s="1"/>
  <c r="AO48" i="31"/>
  <c r="AP48" i="31" s="1"/>
  <c r="AN48" i="31"/>
  <c r="AR47" i="31"/>
  <c r="AS47" i="31" s="1"/>
  <c r="AO47" i="31"/>
  <c r="AP47" i="31" s="1"/>
  <c r="AN47" i="31"/>
  <c r="AR46" i="31"/>
  <c r="AS46" i="31" s="1"/>
  <c r="AO46" i="31"/>
  <c r="AP46" i="31" s="1"/>
  <c r="AN46" i="31"/>
  <c r="AR45" i="31"/>
  <c r="AS45" i="31" s="1"/>
  <c r="AO45" i="31"/>
  <c r="AP45" i="31" s="1"/>
  <c r="AN45" i="31"/>
  <c r="AR44" i="31"/>
  <c r="AS44" i="31" s="1"/>
  <c r="AO44" i="31"/>
  <c r="AP44" i="31" s="1"/>
  <c r="AN44" i="31"/>
  <c r="AR43" i="31"/>
  <c r="AS43" i="31" s="1"/>
  <c r="AO43" i="31"/>
  <c r="AP43" i="31" s="1"/>
  <c r="AN43" i="31"/>
  <c r="AR42" i="31"/>
  <c r="AS42" i="31" s="1"/>
  <c r="AO42" i="31"/>
  <c r="AP42" i="31" s="1"/>
  <c r="AN42" i="31"/>
  <c r="AR41" i="31"/>
  <c r="AS41" i="31" s="1"/>
  <c r="AO41" i="31"/>
  <c r="AP41" i="31" s="1"/>
  <c r="AN41" i="31"/>
  <c r="AR40" i="31"/>
  <c r="AS40" i="31" s="1"/>
  <c r="AO40" i="31"/>
  <c r="AP40" i="31" s="1"/>
  <c r="AN40" i="31"/>
  <c r="AR39" i="31"/>
  <c r="AS39" i="31" s="1"/>
  <c r="AO39" i="31"/>
  <c r="AP39" i="31" s="1"/>
  <c r="AN39" i="31"/>
  <c r="AR38" i="31"/>
  <c r="AS38" i="31" s="1"/>
  <c r="AO38" i="31"/>
  <c r="AP38" i="31" s="1"/>
  <c r="AN38" i="31"/>
  <c r="AR37" i="31"/>
  <c r="AS37" i="31" s="1"/>
  <c r="AO37" i="31"/>
  <c r="AP37" i="31" s="1"/>
  <c r="AN37" i="31"/>
  <c r="AQ52" i="31" l="1"/>
  <c r="B46" i="26"/>
  <c r="AQ71" i="31"/>
  <c r="AQ48" i="31"/>
  <c r="AQ60" i="31"/>
  <c r="AQ39" i="31"/>
  <c r="AQ47" i="31"/>
  <c r="AQ55" i="31"/>
  <c r="AQ42" i="31"/>
  <c r="AQ66" i="31"/>
  <c r="AQ56" i="31"/>
  <c r="AQ72" i="31"/>
  <c r="AQ38" i="31"/>
  <c r="AQ59" i="31"/>
  <c r="AQ54" i="31"/>
  <c r="AQ64" i="31"/>
  <c r="AQ44" i="31"/>
  <c r="AQ62" i="31"/>
  <c r="AQ40" i="31"/>
  <c r="AQ46" i="31"/>
  <c r="AQ67" i="31"/>
  <c r="AQ51" i="31"/>
  <c r="AQ58" i="31"/>
  <c r="AQ63" i="31"/>
  <c r="AQ70" i="31"/>
  <c r="AQ65" i="31"/>
  <c r="AQ68" i="31"/>
  <c r="AQ43" i="31"/>
  <c r="AQ50" i="31"/>
  <c r="AQ37" i="31"/>
  <c r="AQ41" i="31"/>
  <c r="AQ45" i="31"/>
  <c r="AQ49" i="31"/>
  <c r="AQ53" i="31"/>
  <c r="AQ57" i="31"/>
  <c r="AQ61" i="31"/>
  <c r="AQ69" i="31"/>
  <c r="X203" i="1"/>
  <c r="W6" i="1"/>
  <c r="W5" i="1"/>
  <c r="W4" i="1"/>
  <c r="AT380" i="31" l="1"/>
  <c r="W7" i="1"/>
  <c r="AL138" i="31" l="1"/>
  <c r="AL137" i="31"/>
  <c r="AL134" i="31"/>
  <c r="AL133" i="31"/>
  <c r="AL132" i="31"/>
  <c r="AL131" i="31"/>
  <c r="AL130" i="31"/>
  <c r="AL129" i="31"/>
  <c r="AL126" i="31"/>
  <c r="AL123" i="31"/>
  <c r="AL122" i="31"/>
  <c r="AL121" i="31"/>
  <c r="AL119" i="31"/>
  <c r="AL118" i="31"/>
  <c r="AL117" i="31"/>
  <c r="AL112" i="31"/>
  <c r="AL111" i="31"/>
  <c r="AL106" i="31"/>
  <c r="AL93" i="31"/>
  <c r="AL92" i="31"/>
  <c r="AL90" i="31"/>
  <c r="AL80" i="31"/>
  <c r="AL79" i="31"/>
  <c r="AK138" i="31"/>
  <c r="AK137" i="31"/>
  <c r="AK123" i="31"/>
  <c r="AK122" i="31"/>
  <c r="AK121" i="31"/>
  <c r="AK126" i="31"/>
  <c r="AK129" i="31"/>
  <c r="AK130" i="31"/>
  <c r="AK131" i="31"/>
  <c r="AK132" i="31"/>
  <c r="AK133" i="31"/>
  <c r="AK134" i="31"/>
  <c r="AK128" i="31"/>
  <c r="AK119" i="31"/>
  <c r="AK118" i="31"/>
  <c r="AK117" i="31"/>
  <c r="AK112" i="31"/>
  <c r="AK111" i="31"/>
  <c r="AK106" i="31"/>
  <c r="AK93" i="31"/>
  <c r="AK92" i="31"/>
  <c r="AK90" i="31"/>
  <c r="AK80" i="31"/>
  <c r="AK79" i="31"/>
  <c r="AK76" i="31"/>
  <c r="AN77" i="31"/>
  <c r="AO77" i="31"/>
  <c r="AP77" i="31" s="1"/>
  <c r="AR77" i="31"/>
  <c r="AS77" i="31" s="1"/>
  <c r="AN78" i="31"/>
  <c r="AO78" i="31"/>
  <c r="AP78" i="31" s="1"/>
  <c r="AR78" i="31"/>
  <c r="AS78" i="31" s="1"/>
  <c r="AN79" i="31"/>
  <c r="AO79" i="31"/>
  <c r="AP79" i="31" s="1"/>
  <c r="AR79" i="31"/>
  <c r="AS79" i="31" s="1"/>
  <c r="AN80" i="31"/>
  <c r="AO80" i="31"/>
  <c r="AP80" i="31" s="1"/>
  <c r="AR80" i="31"/>
  <c r="AS80" i="31" s="1"/>
  <c r="AN81" i="31"/>
  <c r="AO81" i="31"/>
  <c r="AP81" i="31" s="1"/>
  <c r="AR81" i="31"/>
  <c r="AS81" i="31" s="1"/>
  <c r="AN82" i="31"/>
  <c r="AO82" i="31"/>
  <c r="AP82" i="31" s="1"/>
  <c r="AR82" i="31"/>
  <c r="AS82" i="31" s="1"/>
  <c r="AN83" i="31"/>
  <c r="AO83" i="31"/>
  <c r="AP83" i="31" s="1"/>
  <c r="AR83" i="31"/>
  <c r="AS83" i="31" s="1"/>
  <c r="AQ83" i="31" l="1"/>
  <c r="AQ78" i="31"/>
  <c r="AQ80" i="31"/>
  <c r="AQ79" i="31"/>
  <c r="AQ82" i="31"/>
  <c r="AQ77" i="31"/>
  <c r="AQ81" i="31"/>
  <c r="AN74" i="31"/>
  <c r="AO74" i="31"/>
  <c r="AP74" i="31" s="1"/>
  <c r="AR74" i="31"/>
  <c r="AS74" i="31" s="1"/>
  <c r="AN75" i="31"/>
  <c r="AO75" i="31"/>
  <c r="AP75" i="31" s="1"/>
  <c r="AR75" i="31"/>
  <c r="AS75" i="31" s="1"/>
  <c r="AN76" i="31"/>
  <c r="AO76" i="31"/>
  <c r="AP76" i="31" s="1"/>
  <c r="AR76" i="31"/>
  <c r="AS76" i="31" s="1"/>
  <c r="AN84" i="31"/>
  <c r="AO84" i="31"/>
  <c r="AP84" i="31" s="1"/>
  <c r="AR84" i="31"/>
  <c r="AS84" i="31" s="1"/>
  <c r="AN85" i="31"/>
  <c r="AO85" i="31"/>
  <c r="AP85" i="31" s="1"/>
  <c r="AR85" i="31"/>
  <c r="AS85" i="31" s="1"/>
  <c r="AN86" i="31"/>
  <c r="AO86" i="31"/>
  <c r="AP86" i="31" s="1"/>
  <c r="AR86" i="31"/>
  <c r="AS86" i="31" s="1"/>
  <c r="AN87" i="31"/>
  <c r="AO87" i="31"/>
  <c r="AP87" i="31" s="1"/>
  <c r="AR87" i="31"/>
  <c r="AS87" i="31" s="1"/>
  <c r="AN88" i="31"/>
  <c r="AO88" i="31"/>
  <c r="AP88" i="31" s="1"/>
  <c r="AR88" i="31"/>
  <c r="AS88" i="31" s="1"/>
  <c r="AN89" i="31"/>
  <c r="AO89" i="31"/>
  <c r="AP89" i="31" s="1"/>
  <c r="AR89" i="31"/>
  <c r="AS89" i="31" s="1"/>
  <c r="AN90" i="31"/>
  <c r="AO90" i="31"/>
  <c r="AP90" i="31" s="1"/>
  <c r="AR90" i="31"/>
  <c r="AS90" i="31" s="1"/>
  <c r="AN91" i="31"/>
  <c r="AO91" i="31"/>
  <c r="AP91" i="31" s="1"/>
  <c r="AR91" i="31"/>
  <c r="AS91" i="31" s="1"/>
  <c r="AN92" i="31"/>
  <c r="AO92" i="31"/>
  <c r="AP92" i="31" s="1"/>
  <c r="AR92" i="31"/>
  <c r="AS92" i="31" s="1"/>
  <c r="AN93" i="31"/>
  <c r="AO93" i="31"/>
  <c r="AP93" i="31" s="1"/>
  <c r="AR93" i="31"/>
  <c r="AS93" i="31" s="1"/>
  <c r="AN94" i="31"/>
  <c r="AO94" i="31"/>
  <c r="AP94" i="31" s="1"/>
  <c r="AR94" i="31"/>
  <c r="AS94" i="31" s="1"/>
  <c r="AN95" i="31"/>
  <c r="AO95" i="31"/>
  <c r="AP95" i="31" s="1"/>
  <c r="AR95" i="31"/>
  <c r="AS95" i="31" s="1"/>
  <c r="AN96" i="31"/>
  <c r="AO96" i="31"/>
  <c r="AP96" i="31" s="1"/>
  <c r="AR96" i="31"/>
  <c r="AS96" i="31" s="1"/>
  <c r="AN97" i="31"/>
  <c r="AO97" i="31"/>
  <c r="AP97" i="31" s="1"/>
  <c r="AR97" i="31"/>
  <c r="AS97" i="31" s="1"/>
  <c r="AN98" i="31"/>
  <c r="AO98" i="31"/>
  <c r="AP98" i="31" s="1"/>
  <c r="AR98" i="31"/>
  <c r="AS98" i="31" s="1"/>
  <c r="AN99" i="31"/>
  <c r="AO99" i="31"/>
  <c r="AP99" i="31" s="1"/>
  <c r="AR99" i="31"/>
  <c r="AS99" i="31" s="1"/>
  <c r="AN100" i="31"/>
  <c r="AO100" i="31"/>
  <c r="AP100" i="31" s="1"/>
  <c r="AR100" i="31"/>
  <c r="AS100" i="31" s="1"/>
  <c r="AN101" i="31"/>
  <c r="AO101" i="31"/>
  <c r="AP101" i="31" s="1"/>
  <c r="AR101" i="31"/>
  <c r="AS101" i="31" s="1"/>
  <c r="AN102" i="31"/>
  <c r="AO102" i="31"/>
  <c r="AP102" i="31" s="1"/>
  <c r="AR102" i="31"/>
  <c r="AS102" i="31" s="1"/>
  <c r="AN103" i="31"/>
  <c r="AO103" i="31"/>
  <c r="AP103" i="31" s="1"/>
  <c r="AR103" i="31"/>
  <c r="AS103" i="31" s="1"/>
  <c r="AN104" i="31"/>
  <c r="AO104" i="31"/>
  <c r="AP104" i="31" s="1"/>
  <c r="AR104" i="31"/>
  <c r="AS104" i="31" s="1"/>
  <c r="AN105" i="31"/>
  <c r="AO105" i="31"/>
  <c r="AP105" i="31" s="1"/>
  <c r="AR105" i="31"/>
  <c r="AS105" i="31" s="1"/>
  <c r="AN106" i="31"/>
  <c r="AO106" i="31"/>
  <c r="AP106" i="31" s="1"/>
  <c r="AR106" i="31"/>
  <c r="AS106" i="31" s="1"/>
  <c r="AN107" i="31"/>
  <c r="AO107" i="31"/>
  <c r="AP107" i="31" s="1"/>
  <c r="AR107" i="31"/>
  <c r="AS107" i="31" s="1"/>
  <c r="AN108" i="31"/>
  <c r="AO108" i="31"/>
  <c r="AP108" i="31" s="1"/>
  <c r="AR108" i="31"/>
  <c r="AS108" i="31" s="1"/>
  <c r="AN109" i="31"/>
  <c r="AO109" i="31"/>
  <c r="AP109" i="31" s="1"/>
  <c r="AR109" i="31"/>
  <c r="AS109" i="31" s="1"/>
  <c r="AN110" i="31"/>
  <c r="AO110" i="31"/>
  <c r="AP110" i="31" s="1"/>
  <c r="AR110" i="31"/>
  <c r="AS110" i="31" s="1"/>
  <c r="AN111" i="31"/>
  <c r="AO111" i="31"/>
  <c r="AP111" i="31" s="1"/>
  <c r="AR111" i="31"/>
  <c r="AS111" i="31" s="1"/>
  <c r="AN112" i="31"/>
  <c r="AO112" i="31"/>
  <c r="AP112" i="31" s="1"/>
  <c r="AR112" i="31"/>
  <c r="AS112" i="31" s="1"/>
  <c r="AN113" i="31"/>
  <c r="AO113" i="31"/>
  <c r="AP113" i="31" s="1"/>
  <c r="AR113" i="31"/>
  <c r="AS113" i="31" s="1"/>
  <c r="AN114" i="31"/>
  <c r="AO114" i="31"/>
  <c r="AP114" i="31" s="1"/>
  <c r="AR114" i="31"/>
  <c r="AS114" i="31" s="1"/>
  <c r="AN115" i="31"/>
  <c r="AO115" i="31"/>
  <c r="AP115" i="31" s="1"/>
  <c r="AR115" i="31"/>
  <c r="AS115" i="31" s="1"/>
  <c r="AN116" i="31"/>
  <c r="AO116" i="31"/>
  <c r="AP116" i="31" s="1"/>
  <c r="AR116" i="31"/>
  <c r="AS116" i="31" s="1"/>
  <c r="AN117" i="31"/>
  <c r="AO117" i="31"/>
  <c r="AP117" i="31" s="1"/>
  <c r="AR117" i="31"/>
  <c r="AS117" i="31" s="1"/>
  <c r="AN118" i="31"/>
  <c r="AO118" i="31"/>
  <c r="AP118" i="31" s="1"/>
  <c r="AR118" i="31"/>
  <c r="AS118" i="31" s="1"/>
  <c r="AN119" i="31"/>
  <c r="AO119" i="31"/>
  <c r="AP119" i="31" s="1"/>
  <c r="AR119" i="31"/>
  <c r="AS119" i="31" s="1"/>
  <c r="AN120" i="31"/>
  <c r="AO120" i="31"/>
  <c r="AP120" i="31" s="1"/>
  <c r="AR120" i="31"/>
  <c r="AS120" i="31" s="1"/>
  <c r="AN121" i="31"/>
  <c r="AO121" i="31"/>
  <c r="AP121" i="31" s="1"/>
  <c r="AR121" i="31"/>
  <c r="AS121" i="31" s="1"/>
  <c r="AN122" i="31"/>
  <c r="AO122" i="31"/>
  <c r="AP122" i="31" s="1"/>
  <c r="AR122" i="31"/>
  <c r="AS122" i="31" s="1"/>
  <c r="AN123" i="31"/>
  <c r="AO123" i="31"/>
  <c r="AP123" i="31" s="1"/>
  <c r="AR123" i="31"/>
  <c r="AS123" i="31" s="1"/>
  <c r="AN124" i="31"/>
  <c r="AO124" i="31"/>
  <c r="AP124" i="31" s="1"/>
  <c r="AR124" i="31"/>
  <c r="AS124" i="31" s="1"/>
  <c r="AN125" i="31"/>
  <c r="AO125" i="31"/>
  <c r="AP125" i="31" s="1"/>
  <c r="AR125" i="31"/>
  <c r="AS125" i="31" s="1"/>
  <c r="AN126" i="31"/>
  <c r="AO126" i="31"/>
  <c r="AP126" i="31" s="1"/>
  <c r="AR126" i="31"/>
  <c r="AS126" i="31" s="1"/>
  <c r="AN127" i="31"/>
  <c r="AO127" i="31"/>
  <c r="AP127" i="31" s="1"/>
  <c r="AR127" i="31"/>
  <c r="AS127" i="31" s="1"/>
  <c r="AN128" i="31"/>
  <c r="AO128" i="31"/>
  <c r="AP128" i="31" s="1"/>
  <c r="AR128" i="31"/>
  <c r="AS128" i="31" s="1"/>
  <c r="AN129" i="31"/>
  <c r="AO129" i="31"/>
  <c r="AP129" i="31" s="1"/>
  <c r="AR129" i="31"/>
  <c r="AS129" i="31" s="1"/>
  <c r="AN130" i="31"/>
  <c r="AO130" i="31"/>
  <c r="AP130" i="31" s="1"/>
  <c r="AR130" i="31"/>
  <c r="AS130" i="31" s="1"/>
  <c r="AN131" i="31"/>
  <c r="AO131" i="31"/>
  <c r="AP131" i="31" s="1"/>
  <c r="AR131" i="31"/>
  <c r="AS131" i="31" s="1"/>
  <c r="AN132" i="31"/>
  <c r="AO132" i="31"/>
  <c r="AP132" i="31" s="1"/>
  <c r="AR132" i="31"/>
  <c r="AS132" i="31" s="1"/>
  <c r="AN133" i="31"/>
  <c r="AO133" i="31"/>
  <c r="AP133" i="31" s="1"/>
  <c r="AR133" i="31"/>
  <c r="AS133" i="31" s="1"/>
  <c r="AN134" i="31"/>
  <c r="AO134" i="31"/>
  <c r="AP134" i="31" s="1"/>
  <c r="AR134" i="31"/>
  <c r="AS134" i="31" s="1"/>
  <c r="AN135" i="31"/>
  <c r="AO135" i="31"/>
  <c r="AP135" i="31" s="1"/>
  <c r="AR135" i="31"/>
  <c r="AS135" i="31" s="1"/>
  <c r="AN136" i="31"/>
  <c r="AO136" i="31"/>
  <c r="AP136" i="31" s="1"/>
  <c r="AR136" i="31"/>
  <c r="AS136" i="31" s="1"/>
  <c r="AN137" i="31"/>
  <c r="AO137" i="31"/>
  <c r="AP137" i="31" s="1"/>
  <c r="AR137" i="31"/>
  <c r="AS137" i="31" s="1"/>
  <c r="AN138" i="31"/>
  <c r="AO138" i="31"/>
  <c r="AP138" i="31" s="1"/>
  <c r="AR138" i="31"/>
  <c r="AS138" i="31" s="1"/>
  <c r="AN139" i="31"/>
  <c r="AO139" i="31"/>
  <c r="AP139" i="31" s="1"/>
  <c r="AR139" i="31"/>
  <c r="AS139" i="31" s="1"/>
  <c r="AN140" i="31"/>
  <c r="AO140" i="31"/>
  <c r="AP140" i="31" s="1"/>
  <c r="AR140" i="31"/>
  <c r="AS140" i="31" s="1"/>
  <c r="AN141" i="31"/>
  <c r="AO141" i="31"/>
  <c r="AP141" i="31" s="1"/>
  <c r="AR141" i="31"/>
  <c r="AS141" i="31" s="1"/>
  <c r="AN142" i="31"/>
  <c r="AO142" i="31"/>
  <c r="AP142" i="31" s="1"/>
  <c r="AR142" i="31"/>
  <c r="AS142" i="31" s="1"/>
  <c r="AN143" i="31"/>
  <c r="AO143" i="31"/>
  <c r="AP143" i="31" s="1"/>
  <c r="AR143" i="31"/>
  <c r="AS143" i="31" s="1"/>
  <c r="AN144" i="31"/>
  <c r="AO144" i="31"/>
  <c r="AP144" i="31" s="1"/>
  <c r="AR144" i="31"/>
  <c r="AS144" i="31" s="1"/>
  <c r="AN145" i="31"/>
  <c r="AO145" i="31"/>
  <c r="AP145" i="31" s="1"/>
  <c r="AR145" i="31"/>
  <c r="AS145" i="31" s="1"/>
  <c r="AN146" i="31"/>
  <c r="AO146" i="31"/>
  <c r="AP146" i="31" s="1"/>
  <c r="AR146" i="31"/>
  <c r="AS146" i="31" s="1"/>
  <c r="AN147" i="31"/>
  <c r="AO147" i="31"/>
  <c r="AP147" i="31" s="1"/>
  <c r="AR147" i="31"/>
  <c r="AS147" i="31" s="1"/>
  <c r="AN148" i="31"/>
  <c r="AO148" i="31"/>
  <c r="AP148" i="31" s="1"/>
  <c r="AR148" i="31"/>
  <c r="AS148" i="31" s="1"/>
  <c r="AN149" i="31"/>
  <c r="AO149" i="31"/>
  <c r="AP149" i="31" s="1"/>
  <c r="AR149" i="31"/>
  <c r="AS149" i="31" s="1"/>
  <c r="AN150" i="31"/>
  <c r="AO150" i="31"/>
  <c r="AP150" i="31" s="1"/>
  <c r="AR150" i="31"/>
  <c r="AS150" i="31" s="1"/>
  <c r="AN151" i="31"/>
  <c r="AO151" i="31"/>
  <c r="AP151" i="31" s="1"/>
  <c r="AR151" i="31"/>
  <c r="AS151" i="31" s="1"/>
  <c r="AN152" i="31"/>
  <c r="AO152" i="31"/>
  <c r="AP152" i="31" s="1"/>
  <c r="AR152" i="31"/>
  <c r="AS152" i="31" s="1"/>
  <c r="AN153" i="31"/>
  <c r="AO153" i="31"/>
  <c r="AP153" i="31" s="1"/>
  <c r="AR153" i="31"/>
  <c r="AS153" i="31" s="1"/>
  <c r="AN154" i="31"/>
  <c r="AO154" i="31"/>
  <c r="AP154" i="31" s="1"/>
  <c r="AR154" i="31"/>
  <c r="AS154" i="31" s="1"/>
  <c r="AN155" i="31"/>
  <c r="AO155" i="31"/>
  <c r="AP155" i="31" s="1"/>
  <c r="AR155" i="31"/>
  <c r="AS155" i="31" s="1"/>
  <c r="AN156" i="31"/>
  <c r="AO156" i="31"/>
  <c r="AP156" i="31" s="1"/>
  <c r="AR156" i="31"/>
  <c r="AS156" i="31" s="1"/>
  <c r="AN157" i="31"/>
  <c r="AO157" i="31"/>
  <c r="AP157" i="31" s="1"/>
  <c r="AR157" i="31"/>
  <c r="AS157" i="31" s="1"/>
  <c r="AN158" i="31"/>
  <c r="AO158" i="31"/>
  <c r="AP158" i="31" s="1"/>
  <c r="AR158" i="31"/>
  <c r="AS158" i="31" s="1"/>
  <c r="AN159" i="31"/>
  <c r="AO159" i="31"/>
  <c r="AP159" i="31" s="1"/>
  <c r="AR159" i="31"/>
  <c r="AS159" i="31" s="1"/>
  <c r="AN160" i="31"/>
  <c r="AO160" i="31"/>
  <c r="AP160" i="31" s="1"/>
  <c r="AR160" i="31"/>
  <c r="AS160" i="31" s="1"/>
  <c r="AN161" i="31"/>
  <c r="AO161" i="31"/>
  <c r="AP161" i="31" s="1"/>
  <c r="AR161" i="31"/>
  <c r="AS161" i="31" s="1"/>
  <c r="AN162" i="31"/>
  <c r="AO162" i="31"/>
  <c r="AP162" i="31" s="1"/>
  <c r="AR162" i="31"/>
  <c r="AS162" i="31" s="1"/>
  <c r="AN163" i="31"/>
  <c r="AO163" i="31"/>
  <c r="AP163" i="31" s="1"/>
  <c r="AR163" i="31"/>
  <c r="AS163" i="31" s="1"/>
  <c r="AN164" i="31"/>
  <c r="AO164" i="31"/>
  <c r="AP164" i="31" s="1"/>
  <c r="AR164" i="31"/>
  <c r="AS164" i="31" s="1"/>
  <c r="AN165" i="31"/>
  <c r="AO165" i="31"/>
  <c r="AP165" i="31" s="1"/>
  <c r="AR165" i="31"/>
  <c r="AS165" i="31" s="1"/>
  <c r="AN166" i="31"/>
  <c r="AO166" i="31"/>
  <c r="AP166" i="31" s="1"/>
  <c r="AR166" i="31"/>
  <c r="AS166" i="31" s="1"/>
  <c r="AN167" i="31"/>
  <c r="AO167" i="31"/>
  <c r="AP167" i="31" s="1"/>
  <c r="AR167" i="31"/>
  <c r="AS167" i="31" s="1"/>
  <c r="AN168" i="31"/>
  <c r="AO168" i="31"/>
  <c r="AP168" i="31" s="1"/>
  <c r="AR168" i="31"/>
  <c r="AS168" i="31" s="1"/>
  <c r="AN169" i="31"/>
  <c r="AO169" i="31"/>
  <c r="AP169" i="31" s="1"/>
  <c r="AR169" i="31"/>
  <c r="AS169" i="31" s="1"/>
  <c r="AN170" i="31"/>
  <c r="AO170" i="31"/>
  <c r="AP170" i="31" s="1"/>
  <c r="AR170" i="31"/>
  <c r="AS170" i="31" s="1"/>
  <c r="AN171" i="31"/>
  <c r="AO171" i="31"/>
  <c r="AP171" i="31" s="1"/>
  <c r="AR171" i="31"/>
  <c r="AS171" i="31" s="1"/>
  <c r="AN172" i="31"/>
  <c r="AO172" i="31"/>
  <c r="AP172" i="31" s="1"/>
  <c r="AR172" i="31"/>
  <c r="AS172" i="31" s="1"/>
  <c r="AN173" i="31"/>
  <c r="AO173" i="31"/>
  <c r="AP173" i="31" s="1"/>
  <c r="AR173" i="31"/>
  <c r="AS173" i="31" s="1"/>
  <c r="AN174" i="31"/>
  <c r="AO174" i="31"/>
  <c r="AP174" i="31" s="1"/>
  <c r="AR174" i="31"/>
  <c r="AS174" i="31" s="1"/>
  <c r="AN175" i="31"/>
  <c r="AO175" i="31"/>
  <c r="AP175" i="31" s="1"/>
  <c r="AR175" i="31"/>
  <c r="AS175" i="31" s="1"/>
  <c r="AN176" i="31"/>
  <c r="AO176" i="31"/>
  <c r="AP176" i="31" s="1"/>
  <c r="AR176" i="31"/>
  <c r="AS176" i="31" s="1"/>
  <c r="AN177" i="31"/>
  <c r="AO177" i="31"/>
  <c r="AP177" i="31" s="1"/>
  <c r="AR177" i="31"/>
  <c r="AS177" i="31" s="1"/>
  <c r="AN178" i="31"/>
  <c r="AO178" i="31"/>
  <c r="AP178" i="31" s="1"/>
  <c r="AR178" i="31"/>
  <c r="AS178" i="31" s="1"/>
  <c r="AN179" i="31"/>
  <c r="AO179" i="31"/>
  <c r="AP179" i="31" s="1"/>
  <c r="AR179" i="31"/>
  <c r="AS179" i="31" s="1"/>
  <c r="AN180" i="31"/>
  <c r="AO180" i="31"/>
  <c r="AP180" i="31" s="1"/>
  <c r="AR180" i="31"/>
  <c r="AS180" i="31" s="1"/>
  <c r="AN181" i="31"/>
  <c r="AO181" i="31"/>
  <c r="AP181" i="31" s="1"/>
  <c r="AR181" i="31"/>
  <c r="AS181" i="31" s="1"/>
  <c r="AN182" i="31"/>
  <c r="AO182" i="31"/>
  <c r="AP182" i="31" s="1"/>
  <c r="AR182" i="31"/>
  <c r="AS182" i="31" s="1"/>
  <c r="AN183" i="31"/>
  <c r="AO183" i="31"/>
  <c r="AP183" i="31" s="1"/>
  <c r="AR183" i="31"/>
  <c r="AS183" i="31" s="1"/>
  <c r="AN184" i="31"/>
  <c r="AO184" i="31"/>
  <c r="AP184" i="31" s="1"/>
  <c r="AR184" i="31"/>
  <c r="AS184" i="31" s="1"/>
  <c r="AN185" i="31"/>
  <c r="AO185" i="31"/>
  <c r="AP185" i="31" s="1"/>
  <c r="AR185" i="31"/>
  <c r="AS185" i="31" s="1"/>
  <c r="AN186" i="31"/>
  <c r="AO186" i="31"/>
  <c r="AP186" i="31" s="1"/>
  <c r="AR186" i="31"/>
  <c r="AS186" i="31" s="1"/>
  <c r="AN187" i="31"/>
  <c r="AO187" i="31"/>
  <c r="AP187" i="31" s="1"/>
  <c r="AR187" i="31"/>
  <c r="AS187" i="31" s="1"/>
  <c r="AN188" i="31"/>
  <c r="AO188" i="31"/>
  <c r="AP188" i="31" s="1"/>
  <c r="AR188" i="31"/>
  <c r="AS188" i="31" s="1"/>
  <c r="AN189" i="31"/>
  <c r="AO189" i="31"/>
  <c r="AP189" i="31" s="1"/>
  <c r="AR189" i="31"/>
  <c r="AS189" i="31" s="1"/>
  <c r="AN190" i="31"/>
  <c r="AO190" i="31"/>
  <c r="AP190" i="31" s="1"/>
  <c r="AR190" i="31"/>
  <c r="AS190" i="31" s="1"/>
  <c r="AN191" i="31"/>
  <c r="AO191" i="31"/>
  <c r="AP191" i="31" s="1"/>
  <c r="AR191" i="31"/>
  <c r="AS191" i="31" s="1"/>
  <c r="AN192" i="31"/>
  <c r="AO192" i="31"/>
  <c r="AP192" i="31" s="1"/>
  <c r="AR192" i="31"/>
  <c r="AS192" i="31" s="1"/>
  <c r="AN193" i="31"/>
  <c r="AO193" i="31"/>
  <c r="AP193" i="31" s="1"/>
  <c r="AR193" i="31"/>
  <c r="AS193" i="31" s="1"/>
  <c r="AN194" i="31"/>
  <c r="AO194" i="31"/>
  <c r="AP194" i="31" s="1"/>
  <c r="AR194" i="31"/>
  <c r="AS194" i="31" s="1"/>
  <c r="AN195" i="31"/>
  <c r="AO195" i="31"/>
  <c r="AP195" i="31" s="1"/>
  <c r="AR195" i="31"/>
  <c r="AS195" i="31" s="1"/>
  <c r="AN196" i="31"/>
  <c r="AO196" i="31"/>
  <c r="AP196" i="31" s="1"/>
  <c r="AR196" i="31"/>
  <c r="AS196" i="31" s="1"/>
  <c r="AN197" i="31"/>
  <c r="AO197" i="31"/>
  <c r="AP197" i="31" s="1"/>
  <c r="AR197" i="31"/>
  <c r="AS197" i="31" s="1"/>
  <c r="AN198" i="31"/>
  <c r="AO198" i="31"/>
  <c r="AP198" i="31" s="1"/>
  <c r="AR198" i="31"/>
  <c r="AS198" i="31" s="1"/>
  <c r="AN199" i="31"/>
  <c r="AO199" i="31"/>
  <c r="AP199" i="31" s="1"/>
  <c r="AR199" i="31"/>
  <c r="AS199" i="31" s="1"/>
  <c r="AN200" i="31"/>
  <c r="AO200" i="31"/>
  <c r="AP200" i="31" s="1"/>
  <c r="AR200" i="31"/>
  <c r="AS200" i="31" s="1"/>
  <c r="AN201" i="31"/>
  <c r="AO201" i="31"/>
  <c r="AP201" i="31" s="1"/>
  <c r="AR201" i="31"/>
  <c r="AS201" i="31" s="1"/>
  <c r="AN202" i="31"/>
  <c r="AO202" i="31"/>
  <c r="AP202" i="31" s="1"/>
  <c r="AR202" i="31"/>
  <c r="AS202" i="31" s="1"/>
  <c r="AN203" i="31"/>
  <c r="AO203" i="31"/>
  <c r="AP203" i="31" s="1"/>
  <c r="AR203" i="31"/>
  <c r="AS203" i="31" s="1"/>
  <c r="AN204" i="31"/>
  <c r="AO204" i="31"/>
  <c r="AP204" i="31" s="1"/>
  <c r="AR204" i="31"/>
  <c r="AS204" i="31" s="1"/>
  <c r="AN205" i="31"/>
  <c r="AO205" i="31"/>
  <c r="AP205" i="31" s="1"/>
  <c r="AR205" i="31"/>
  <c r="AS205" i="31" s="1"/>
  <c r="AN206" i="31"/>
  <c r="AO206" i="31"/>
  <c r="AP206" i="31" s="1"/>
  <c r="AR206" i="31"/>
  <c r="AS206" i="31" s="1"/>
  <c r="AN207" i="31"/>
  <c r="AO207" i="31"/>
  <c r="AP207" i="31" s="1"/>
  <c r="AR207" i="31"/>
  <c r="AS207" i="31" s="1"/>
  <c r="AN208" i="31"/>
  <c r="AO208" i="31"/>
  <c r="AP208" i="31" s="1"/>
  <c r="AR208" i="31"/>
  <c r="AS208" i="31" s="1"/>
  <c r="AN209" i="31"/>
  <c r="AO209" i="31"/>
  <c r="AP209" i="31" s="1"/>
  <c r="AR209" i="31"/>
  <c r="AS209" i="31" s="1"/>
  <c r="AN210" i="31"/>
  <c r="AO210" i="31"/>
  <c r="AP210" i="31" s="1"/>
  <c r="AR210" i="31"/>
  <c r="AS210" i="31" s="1"/>
  <c r="AN211" i="31"/>
  <c r="AO211" i="31"/>
  <c r="AP211" i="31" s="1"/>
  <c r="AR211" i="31"/>
  <c r="AS211" i="31" s="1"/>
  <c r="AN212" i="31"/>
  <c r="AO212" i="31"/>
  <c r="AP212" i="31" s="1"/>
  <c r="AR212" i="31"/>
  <c r="AS212" i="31" s="1"/>
  <c r="AN213" i="31"/>
  <c r="AO213" i="31"/>
  <c r="AP213" i="31" s="1"/>
  <c r="AR213" i="31"/>
  <c r="AS213" i="31" s="1"/>
  <c r="AN214" i="31"/>
  <c r="AO214" i="31"/>
  <c r="AP214" i="31" s="1"/>
  <c r="AR214" i="31"/>
  <c r="AS214" i="31" s="1"/>
  <c r="AN215" i="31"/>
  <c r="AO215" i="31"/>
  <c r="AP215" i="31" s="1"/>
  <c r="AR215" i="31"/>
  <c r="AS215" i="31" s="1"/>
  <c r="AN216" i="31"/>
  <c r="AO216" i="31"/>
  <c r="AP216" i="31" s="1"/>
  <c r="AR216" i="31"/>
  <c r="AS216" i="31" s="1"/>
  <c r="AN217" i="31"/>
  <c r="AO217" i="31"/>
  <c r="AP217" i="31" s="1"/>
  <c r="AR217" i="31"/>
  <c r="AS217" i="31" s="1"/>
  <c r="AN218" i="31"/>
  <c r="AO218" i="31"/>
  <c r="AP218" i="31" s="1"/>
  <c r="AR218" i="31"/>
  <c r="AS218" i="31" s="1"/>
  <c r="AN219" i="31"/>
  <c r="AO219" i="31"/>
  <c r="AP219" i="31" s="1"/>
  <c r="AR219" i="31"/>
  <c r="AS219" i="31" s="1"/>
  <c r="AN220" i="31"/>
  <c r="AO220" i="31"/>
  <c r="AP220" i="31" s="1"/>
  <c r="AR220" i="31"/>
  <c r="AS220" i="31" s="1"/>
  <c r="AN221" i="31"/>
  <c r="AO221" i="31"/>
  <c r="AP221" i="31" s="1"/>
  <c r="AR221" i="31"/>
  <c r="AS221" i="31" s="1"/>
  <c r="AN222" i="31"/>
  <c r="AO222" i="31"/>
  <c r="AP222" i="31" s="1"/>
  <c r="AR222" i="31"/>
  <c r="AS222" i="31" s="1"/>
  <c r="AN223" i="31"/>
  <c r="AO223" i="31"/>
  <c r="AP223" i="31" s="1"/>
  <c r="AR223" i="31"/>
  <c r="AS223" i="31" s="1"/>
  <c r="AN224" i="31"/>
  <c r="AO224" i="31"/>
  <c r="AP224" i="31" s="1"/>
  <c r="AR224" i="31"/>
  <c r="AS224" i="31" s="1"/>
  <c r="AN225" i="31"/>
  <c r="AO225" i="31"/>
  <c r="AP225" i="31" s="1"/>
  <c r="AR225" i="31"/>
  <c r="AS225" i="31" s="1"/>
  <c r="AN226" i="31"/>
  <c r="AO226" i="31"/>
  <c r="AP226" i="31" s="1"/>
  <c r="AR226" i="31"/>
  <c r="AS226" i="31" s="1"/>
  <c r="AN227" i="31"/>
  <c r="AO227" i="31"/>
  <c r="AP227" i="31" s="1"/>
  <c r="AR227" i="31"/>
  <c r="AS227" i="31" s="1"/>
  <c r="AN228" i="31"/>
  <c r="AO228" i="31"/>
  <c r="AP228" i="31" s="1"/>
  <c r="AR228" i="31"/>
  <c r="AS228" i="31" s="1"/>
  <c r="AN229" i="31"/>
  <c r="AO229" i="31"/>
  <c r="AP229" i="31" s="1"/>
  <c r="AR229" i="31"/>
  <c r="AS229" i="31" s="1"/>
  <c r="AN230" i="31"/>
  <c r="AO230" i="31"/>
  <c r="AP230" i="31" s="1"/>
  <c r="AR230" i="31"/>
  <c r="AS230" i="31" s="1"/>
  <c r="AN231" i="31"/>
  <c r="AO231" i="31"/>
  <c r="AP231" i="31" s="1"/>
  <c r="AR231" i="31"/>
  <c r="AS231" i="31" s="1"/>
  <c r="AN232" i="31"/>
  <c r="AO232" i="31"/>
  <c r="AP232" i="31" s="1"/>
  <c r="AR232" i="31"/>
  <c r="AS232" i="31" s="1"/>
  <c r="AN233" i="31"/>
  <c r="AO233" i="31"/>
  <c r="AP233" i="31" s="1"/>
  <c r="AR233" i="31"/>
  <c r="AS233" i="31" s="1"/>
  <c r="AN234" i="31"/>
  <c r="AO234" i="31"/>
  <c r="AP234" i="31" s="1"/>
  <c r="AR234" i="31"/>
  <c r="AS234" i="31" s="1"/>
  <c r="AN235" i="31"/>
  <c r="AO235" i="31"/>
  <c r="AP235" i="31" s="1"/>
  <c r="AR235" i="31"/>
  <c r="AS235" i="31" s="1"/>
  <c r="AN236" i="31"/>
  <c r="AO236" i="31"/>
  <c r="AP236" i="31" s="1"/>
  <c r="AR236" i="31"/>
  <c r="AS236" i="31" s="1"/>
  <c r="AN237" i="31"/>
  <c r="AO237" i="31"/>
  <c r="AP237" i="31" s="1"/>
  <c r="AR237" i="31"/>
  <c r="AS237" i="31" s="1"/>
  <c r="AN238" i="31"/>
  <c r="AO238" i="31"/>
  <c r="AP238" i="31" s="1"/>
  <c r="AR238" i="31"/>
  <c r="AS238" i="31" s="1"/>
  <c r="AN239" i="31"/>
  <c r="AO239" i="31"/>
  <c r="AP239" i="31" s="1"/>
  <c r="AR239" i="31"/>
  <c r="AS239" i="31" s="1"/>
  <c r="AN240" i="31"/>
  <c r="AO240" i="31"/>
  <c r="AP240" i="31" s="1"/>
  <c r="AR240" i="31"/>
  <c r="AS240" i="31" s="1"/>
  <c r="AN241" i="31"/>
  <c r="AO241" i="31"/>
  <c r="AP241" i="31" s="1"/>
  <c r="AR241" i="31"/>
  <c r="AS241" i="31" s="1"/>
  <c r="AN242" i="31"/>
  <c r="AO242" i="31"/>
  <c r="AP242" i="31" s="1"/>
  <c r="AR242" i="31"/>
  <c r="AS242" i="31" s="1"/>
  <c r="AN243" i="31"/>
  <c r="AO243" i="31"/>
  <c r="AP243" i="31" s="1"/>
  <c r="AR243" i="31"/>
  <c r="AS243" i="31" s="1"/>
  <c r="AN244" i="31"/>
  <c r="AO244" i="31"/>
  <c r="AP244" i="31" s="1"/>
  <c r="AR244" i="31"/>
  <c r="AS244" i="31" s="1"/>
  <c r="AN245" i="31"/>
  <c r="AO245" i="31"/>
  <c r="AP245" i="31" s="1"/>
  <c r="AR245" i="31"/>
  <c r="AS245" i="31" s="1"/>
  <c r="AN246" i="31"/>
  <c r="AO246" i="31"/>
  <c r="AP246" i="31" s="1"/>
  <c r="AR246" i="31"/>
  <c r="AS246" i="31" s="1"/>
  <c r="AN247" i="31"/>
  <c r="AO247" i="31"/>
  <c r="AP247" i="31" s="1"/>
  <c r="AR247" i="31"/>
  <c r="AS247" i="31" s="1"/>
  <c r="AN248" i="31"/>
  <c r="AO248" i="31"/>
  <c r="AP248" i="31" s="1"/>
  <c r="AR248" i="31"/>
  <c r="AS248" i="31" s="1"/>
  <c r="AN249" i="31"/>
  <c r="AO249" i="31"/>
  <c r="AP249" i="31" s="1"/>
  <c r="AR249" i="31"/>
  <c r="AS249" i="31" s="1"/>
  <c r="AN250" i="31"/>
  <c r="AO250" i="31"/>
  <c r="AP250" i="31" s="1"/>
  <c r="AR250" i="31"/>
  <c r="AS250" i="31" s="1"/>
  <c r="AN251" i="31"/>
  <c r="AO251" i="31"/>
  <c r="AP251" i="31" s="1"/>
  <c r="AR251" i="31"/>
  <c r="AS251" i="31" s="1"/>
  <c r="AN252" i="31"/>
  <c r="AO252" i="31"/>
  <c r="AP252" i="31" s="1"/>
  <c r="AR252" i="31"/>
  <c r="AS252" i="31" s="1"/>
  <c r="AN253" i="31"/>
  <c r="AO253" i="31"/>
  <c r="AP253" i="31" s="1"/>
  <c r="AR253" i="31"/>
  <c r="AS253" i="31" s="1"/>
  <c r="AN254" i="31"/>
  <c r="AO254" i="31"/>
  <c r="AP254" i="31" s="1"/>
  <c r="AR254" i="31"/>
  <c r="AS254" i="31" s="1"/>
  <c r="AN255" i="31"/>
  <c r="AO255" i="31"/>
  <c r="AP255" i="31" s="1"/>
  <c r="AR255" i="31"/>
  <c r="AS255" i="31" s="1"/>
  <c r="AN256" i="31"/>
  <c r="AO256" i="31"/>
  <c r="AP256" i="31" s="1"/>
  <c r="AR256" i="31"/>
  <c r="AS256" i="31" s="1"/>
  <c r="AN257" i="31"/>
  <c r="AO257" i="31"/>
  <c r="AP257" i="31" s="1"/>
  <c r="AR257" i="31"/>
  <c r="AS257" i="31" s="1"/>
  <c r="AN258" i="31"/>
  <c r="AO258" i="31"/>
  <c r="AP258" i="31" s="1"/>
  <c r="AR258" i="31"/>
  <c r="AS258" i="31" s="1"/>
  <c r="AN259" i="31"/>
  <c r="AO259" i="31"/>
  <c r="AP259" i="31" s="1"/>
  <c r="AR259" i="31"/>
  <c r="AS259" i="31" s="1"/>
  <c r="AN260" i="31"/>
  <c r="AO260" i="31"/>
  <c r="AP260" i="31" s="1"/>
  <c r="AR260" i="31"/>
  <c r="AS260" i="31" s="1"/>
  <c r="AN261" i="31"/>
  <c r="AO261" i="31"/>
  <c r="AP261" i="31" s="1"/>
  <c r="AR261" i="31"/>
  <c r="AS261" i="31" s="1"/>
  <c r="AN262" i="31"/>
  <c r="AO262" i="31"/>
  <c r="AP262" i="31" s="1"/>
  <c r="AR262" i="31"/>
  <c r="AS262" i="31" s="1"/>
  <c r="AN263" i="31"/>
  <c r="AO263" i="31"/>
  <c r="AP263" i="31" s="1"/>
  <c r="AR263" i="31"/>
  <c r="AS263" i="31" s="1"/>
  <c r="AN264" i="31"/>
  <c r="AO264" i="31"/>
  <c r="AP264" i="31" s="1"/>
  <c r="AR264" i="31"/>
  <c r="AS264" i="31" s="1"/>
  <c r="AN265" i="31"/>
  <c r="AO265" i="31"/>
  <c r="AP265" i="31" s="1"/>
  <c r="AR265" i="31"/>
  <c r="AS265" i="31" s="1"/>
  <c r="AN266" i="31"/>
  <c r="AO266" i="31"/>
  <c r="AP266" i="31" s="1"/>
  <c r="AR266" i="31"/>
  <c r="AS266" i="31" s="1"/>
  <c r="AN267" i="31"/>
  <c r="AO267" i="31"/>
  <c r="AP267" i="31" s="1"/>
  <c r="AR267" i="31"/>
  <c r="AS267" i="31" s="1"/>
  <c r="AN268" i="31"/>
  <c r="AO268" i="31"/>
  <c r="AP268" i="31" s="1"/>
  <c r="AR268" i="31"/>
  <c r="AS268" i="31" s="1"/>
  <c r="AN269" i="31"/>
  <c r="AO269" i="31"/>
  <c r="AP269" i="31" s="1"/>
  <c r="AR269" i="31"/>
  <c r="AS269" i="31" s="1"/>
  <c r="AN270" i="31"/>
  <c r="AO270" i="31"/>
  <c r="AP270" i="31" s="1"/>
  <c r="AR270" i="31"/>
  <c r="AS270" i="31" s="1"/>
  <c r="AN271" i="31"/>
  <c r="AO271" i="31"/>
  <c r="AP271" i="31" s="1"/>
  <c r="AR271" i="31"/>
  <c r="AS271" i="31" s="1"/>
  <c r="AN272" i="31"/>
  <c r="AO272" i="31"/>
  <c r="AP272" i="31" s="1"/>
  <c r="AR272" i="31"/>
  <c r="AS272" i="31" s="1"/>
  <c r="AN273" i="31"/>
  <c r="AO273" i="31"/>
  <c r="AP273" i="31" s="1"/>
  <c r="AR273" i="31"/>
  <c r="AS273" i="31" s="1"/>
  <c r="AN274" i="31"/>
  <c r="AO274" i="31"/>
  <c r="AP274" i="31" s="1"/>
  <c r="AR274" i="31"/>
  <c r="AS274" i="31" s="1"/>
  <c r="AN275" i="31"/>
  <c r="AO275" i="31"/>
  <c r="AP275" i="31" s="1"/>
  <c r="AR275" i="31"/>
  <c r="AS275" i="31" s="1"/>
  <c r="AN276" i="31"/>
  <c r="AO276" i="31"/>
  <c r="AP276" i="31" s="1"/>
  <c r="AR276" i="31"/>
  <c r="AS276" i="31" s="1"/>
  <c r="AN277" i="31"/>
  <c r="AO277" i="31"/>
  <c r="AP277" i="31" s="1"/>
  <c r="AR277" i="31"/>
  <c r="AS277" i="31" s="1"/>
  <c r="AN278" i="31"/>
  <c r="AO278" i="31"/>
  <c r="AP278" i="31" s="1"/>
  <c r="AR278" i="31"/>
  <c r="AS278" i="31" s="1"/>
  <c r="AN279" i="31"/>
  <c r="AO279" i="31"/>
  <c r="AP279" i="31" s="1"/>
  <c r="AR279" i="31"/>
  <c r="AS279" i="31" s="1"/>
  <c r="AN280" i="31"/>
  <c r="AO280" i="31"/>
  <c r="AP280" i="31" s="1"/>
  <c r="AR280" i="31"/>
  <c r="AS280" i="31" s="1"/>
  <c r="AN281" i="31"/>
  <c r="AO281" i="31"/>
  <c r="AP281" i="31" s="1"/>
  <c r="AR281" i="31"/>
  <c r="AS281" i="31" s="1"/>
  <c r="AN282" i="31"/>
  <c r="AO282" i="31"/>
  <c r="AP282" i="31" s="1"/>
  <c r="AR282" i="31"/>
  <c r="AS282" i="31" s="1"/>
  <c r="AN283" i="31"/>
  <c r="AO283" i="31"/>
  <c r="AP283" i="31" s="1"/>
  <c r="AR283" i="31"/>
  <c r="AS283" i="31" s="1"/>
  <c r="AN284" i="31"/>
  <c r="AO284" i="31"/>
  <c r="AP284" i="31" s="1"/>
  <c r="AR284" i="31"/>
  <c r="AS284" i="31" s="1"/>
  <c r="AN285" i="31"/>
  <c r="AO285" i="31"/>
  <c r="AP285" i="31" s="1"/>
  <c r="AR285" i="31"/>
  <c r="AS285" i="31" s="1"/>
  <c r="AN286" i="31"/>
  <c r="AO286" i="31"/>
  <c r="AP286" i="31" s="1"/>
  <c r="AR286" i="31"/>
  <c r="AS286" i="31" s="1"/>
  <c r="AN287" i="31"/>
  <c r="AO287" i="31"/>
  <c r="AP287" i="31" s="1"/>
  <c r="AR287" i="31"/>
  <c r="AS287" i="31" s="1"/>
  <c r="AN288" i="31"/>
  <c r="AO288" i="31"/>
  <c r="AP288" i="31" s="1"/>
  <c r="AR288" i="31"/>
  <c r="AS288" i="31" s="1"/>
  <c r="AN289" i="31"/>
  <c r="AO289" i="31"/>
  <c r="AP289" i="31" s="1"/>
  <c r="AR289" i="31"/>
  <c r="AS289" i="31" s="1"/>
  <c r="AN290" i="31"/>
  <c r="AO290" i="31"/>
  <c r="AP290" i="31" s="1"/>
  <c r="AR290" i="31"/>
  <c r="AS290" i="31" s="1"/>
  <c r="AN291" i="31"/>
  <c r="AO291" i="31"/>
  <c r="AP291" i="31" s="1"/>
  <c r="AR291" i="31"/>
  <c r="AS291" i="31" s="1"/>
  <c r="AN292" i="31"/>
  <c r="AO292" i="31"/>
  <c r="AP292" i="31" s="1"/>
  <c r="AR292" i="31"/>
  <c r="AS292" i="31" s="1"/>
  <c r="AN293" i="31"/>
  <c r="AO293" i="31"/>
  <c r="AP293" i="31" s="1"/>
  <c r="AR293" i="31"/>
  <c r="AS293" i="31" s="1"/>
  <c r="AN294" i="31"/>
  <c r="AO294" i="31"/>
  <c r="AP294" i="31" s="1"/>
  <c r="AR294" i="31"/>
  <c r="AS294" i="31" s="1"/>
  <c r="AN295" i="31"/>
  <c r="AO295" i="31"/>
  <c r="AP295" i="31" s="1"/>
  <c r="AR295" i="31"/>
  <c r="AS295" i="31" s="1"/>
  <c r="AN296" i="31"/>
  <c r="AO296" i="31"/>
  <c r="AP296" i="31" s="1"/>
  <c r="AR296" i="31"/>
  <c r="AS296" i="31" s="1"/>
  <c r="AN297" i="31"/>
  <c r="AO297" i="31"/>
  <c r="AP297" i="31" s="1"/>
  <c r="AR297" i="31"/>
  <c r="AS297" i="31" s="1"/>
  <c r="AN298" i="31"/>
  <c r="AO298" i="31"/>
  <c r="AP298" i="31" s="1"/>
  <c r="AR298" i="31"/>
  <c r="AS298" i="31" s="1"/>
  <c r="AN299" i="31"/>
  <c r="AO299" i="31"/>
  <c r="AP299" i="31" s="1"/>
  <c r="AR299" i="31"/>
  <c r="AS299" i="31" s="1"/>
  <c r="AN300" i="31"/>
  <c r="AO300" i="31"/>
  <c r="AP300" i="31" s="1"/>
  <c r="AR300" i="31"/>
  <c r="AS300" i="31" s="1"/>
  <c r="AN301" i="31"/>
  <c r="AO301" i="31"/>
  <c r="AP301" i="31" s="1"/>
  <c r="AR301" i="31"/>
  <c r="AS301" i="31" s="1"/>
  <c r="AN302" i="31"/>
  <c r="AO302" i="31"/>
  <c r="AP302" i="31" s="1"/>
  <c r="AR302" i="31"/>
  <c r="AS302" i="31" s="1"/>
  <c r="AN303" i="31"/>
  <c r="AO303" i="31"/>
  <c r="AP303" i="31" s="1"/>
  <c r="AR303" i="31"/>
  <c r="AS303" i="31" s="1"/>
  <c r="AN304" i="31"/>
  <c r="AO304" i="31"/>
  <c r="AP304" i="31" s="1"/>
  <c r="AR304" i="31"/>
  <c r="AS304" i="31" s="1"/>
  <c r="AN305" i="31"/>
  <c r="AO305" i="31"/>
  <c r="AP305" i="31" s="1"/>
  <c r="AR305" i="31"/>
  <c r="AS305" i="31" s="1"/>
  <c r="AN306" i="31"/>
  <c r="AO306" i="31"/>
  <c r="AP306" i="31" s="1"/>
  <c r="AR306" i="31"/>
  <c r="AS306" i="31" s="1"/>
  <c r="AN307" i="31"/>
  <c r="AO307" i="31"/>
  <c r="AP307" i="31" s="1"/>
  <c r="AR307" i="31"/>
  <c r="AS307" i="31" s="1"/>
  <c r="AN308" i="31"/>
  <c r="AO308" i="31"/>
  <c r="AP308" i="31" s="1"/>
  <c r="AR308" i="31"/>
  <c r="AS308" i="31" s="1"/>
  <c r="AN309" i="31"/>
  <c r="AO309" i="31"/>
  <c r="AP309" i="31" s="1"/>
  <c r="AR309" i="31"/>
  <c r="AS309" i="31" s="1"/>
  <c r="AN310" i="31"/>
  <c r="AO310" i="31"/>
  <c r="AP310" i="31" s="1"/>
  <c r="AR310" i="31"/>
  <c r="AS310" i="31" s="1"/>
  <c r="AN311" i="31"/>
  <c r="AO311" i="31"/>
  <c r="AP311" i="31" s="1"/>
  <c r="AR311" i="31"/>
  <c r="AS311" i="31" s="1"/>
  <c r="AN312" i="31"/>
  <c r="AO312" i="31"/>
  <c r="AP312" i="31" s="1"/>
  <c r="AR312" i="31"/>
  <c r="AS312" i="31" s="1"/>
  <c r="AN313" i="31"/>
  <c r="AO313" i="31"/>
  <c r="AP313" i="31" s="1"/>
  <c r="AR313" i="31"/>
  <c r="AS313" i="31" s="1"/>
  <c r="AN314" i="31"/>
  <c r="AO314" i="31"/>
  <c r="AP314" i="31" s="1"/>
  <c r="AR314" i="31"/>
  <c r="AS314" i="31" s="1"/>
  <c r="AN315" i="31"/>
  <c r="AO315" i="31"/>
  <c r="AP315" i="31" s="1"/>
  <c r="AR315" i="31"/>
  <c r="AS315" i="31" s="1"/>
  <c r="AN316" i="31"/>
  <c r="AO316" i="31"/>
  <c r="AP316" i="31" s="1"/>
  <c r="AR316" i="31"/>
  <c r="AS316" i="31" s="1"/>
  <c r="AN317" i="31"/>
  <c r="AO317" i="31"/>
  <c r="AP317" i="31" s="1"/>
  <c r="AR317" i="31"/>
  <c r="AS317" i="31" s="1"/>
  <c r="AN318" i="31"/>
  <c r="AO318" i="31"/>
  <c r="AP318" i="31" s="1"/>
  <c r="AR318" i="31"/>
  <c r="AS318" i="31" s="1"/>
  <c r="AN319" i="31"/>
  <c r="AO319" i="31"/>
  <c r="AP319" i="31" s="1"/>
  <c r="AR319" i="31"/>
  <c r="AS319" i="31" s="1"/>
  <c r="AN320" i="31"/>
  <c r="AO320" i="31"/>
  <c r="AP320" i="31" s="1"/>
  <c r="AR320" i="31"/>
  <c r="AS320" i="31" s="1"/>
  <c r="AN321" i="31"/>
  <c r="AO321" i="31"/>
  <c r="AP321" i="31" s="1"/>
  <c r="AR321" i="31"/>
  <c r="AS321" i="31" s="1"/>
  <c r="AN322" i="31"/>
  <c r="AO322" i="31"/>
  <c r="AP322" i="31" s="1"/>
  <c r="AR322" i="31"/>
  <c r="AN323" i="31"/>
  <c r="AO323" i="31"/>
  <c r="AP323" i="31" s="1"/>
  <c r="AR323" i="31"/>
  <c r="AS323" i="31" s="1"/>
  <c r="AN324" i="31"/>
  <c r="AO324" i="31"/>
  <c r="AP324" i="31" s="1"/>
  <c r="AR324" i="31"/>
  <c r="AS324" i="31" s="1"/>
  <c r="AN325" i="31"/>
  <c r="AO325" i="31"/>
  <c r="AP325" i="31" s="1"/>
  <c r="AR325" i="31"/>
  <c r="AS325" i="31" s="1"/>
  <c r="AN326" i="31"/>
  <c r="AO326" i="31"/>
  <c r="AP326" i="31" s="1"/>
  <c r="AR326" i="31"/>
  <c r="AS326" i="31" s="1"/>
  <c r="AN327" i="31"/>
  <c r="AO327" i="31"/>
  <c r="AP327" i="31" s="1"/>
  <c r="AR327" i="31"/>
  <c r="AS327" i="31" s="1"/>
  <c r="AN328" i="31"/>
  <c r="AO328" i="31"/>
  <c r="AP328" i="31" s="1"/>
  <c r="AR328" i="31"/>
  <c r="AS328" i="31" s="1"/>
  <c r="AN329" i="31"/>
  <c r="AO329" i="31"/>
  <c r="AP329" i="31" s="1"/>
  <c r="AR329" i="31"/>
  <c r="AS329" i="31" s="1"/>
  <c r="AN330" i="31"/>
  <c r="AO330" i="31"/>
  <c r="AP330" i="31" s="1"/>
  <c r="AR330" i="31"/>
  <c r="AS330" i="31" s="1"/>
  <c r="AN331" i="31"/>
  <c r="AO331" i="31"/>
  <c r="AP331" i="31" s="1"/>
  <c r="AR331" i="31"/>
  <c r="AS331" i="31" s="1"/>
  <c r="AN332" i="31"/>
  <c r="AO332" i="31"/>
  <c r="AP332" i="31" s="1"/>
  <c r="AR332" i="31"/>
  <c r="AS332" i="31" s="1"/>
  <c r="AN333" i="31"/>
  <c r="AO333" i="31"/>
  <c r="AP333" i="31" s="1"/>
  <c r="AR333" i="31"/>
  <c r="AS333" i="31" s="1"/>
  <c r="AN334" i="31"/>
  <c r="AO334" i="31"/>
  <c r="AP334" i="31" s="1"/>
  <c r="AR334" i="31"/>
  <c r="AS334" i="31" s="1"/>
  <c r="AN335" i="31"/>
  <c r="AO335" i="31"/>
  <c r="AP335" i="31" s="1"/>
  <c r="AR335" i="31"/>
  <c r="AS335" i="31" s="1"/>
  <c r="AN336" i="31"/>
  <c r="AO336" i="31"/>
  <c r="AP336" i="31" s="1"/>
  <c r="AR336" i="31"/>
  <c r="AS336" i="31" s="1"/>
  <c r="AN337" i="31"/>
  <c r="AO337" i="31"/>
  <c r="AP337" i="31" s="1"/>
  <c r="AR337" i="31"/>
  <c r="AS337" i="31" s="1"/>
  <c r="AN338" i="31"/>
  <c r="AO338" i="31"/>
  <c r="AP338" i="31" s="1"/>
  <c r="AR338" i="31"/>
  <c r="AS338" i="31" s="1"/>
  <c r="AN339" i="31"/>
  <c r="AO339" i="31"/>
  <c r="AP339" i="31" s="1"/>
  <c r="AR339" i="31"/>
  <c r="AS339" i="31" s="1"/>
  <c r="AN340" i="31"/>
  <c r="AO340" i="31"/>
  <c r="AP340" i="31" s="1"/>
  <c r="AR340" i="31"/>
  <c r="AS340" i="31" s="1"/>
  <c r="AN341" i="31"/>
  <c r="AO341" i="31"/>
  <c r="AP341" i="31" s="1"/>
  <c r="AR341" i="31"/>
  <c r="AS341" i="31" s="1"/>
  <c r="AN342" i="31"/>
  <c r="AO342" i="31"/>
  <c r="AP342" i="31" s="1"/>
  <c r="AR342" i="31"/>
  <c r="AS342" i="31" s="1"/>
  <c r="AN343" i="31"/>
  <c r="AO343" i="31"/>
  <c r="AP343" i="31" s="1"/>
  <c r="AR343" i="31"/>
  <c r="AS343" i="31" s="1"/>
  <c r="AN344" i="31"/>
  <c r="AO344" i="31"/>
  <c r="AP344" i="31" s="1"/>
  <c r="AR344" i="31"/>
  <c r="AS344" i="31" s="1"/>
  <c r="AN345" i="31"/>
  <c r="AO345" i="31"/>
  <c r="AP345" i="31" s="1"/>
  <c r="AR345" i="31"/>
  <c r="AS345" i="31" s="1"/>
  <c r="AN346" i="31"/>
  <c r="AO346" i="31"/>
  <c r="AP346" i="31" s="1"/>
  <c r="AR346" i="31"/>
  <c r="AS346" i="31" s="1"/>
  <c r="AN347" i="31"/>
  <c r="AO347" i="31"/>
  <c r="AP347" i="31" s="1"/>
  <c r="AR347" i="31"/>
  <c r="AS347" i="31" s="1"/>
  <c r="AN348" i="31"/>
  <c r="AO348" i="31"/>
  <c r="AP348" i="31" s="1"/>
  <c r="AR348" i="31"/>
  <c r="AS348" i="31" s="1"/>
  <c r="AN349" i="31"/>
  <c r="AO349" i="31"/>
  <c r="AP349" i="31" s="1"/>
  <c r="AR349" i="31"/>
  <c r="AS349" i="31" s="1"/>
  <c r="AN350" i="31"/>
  <c r="AO350" i="31"/>
  <c r="AP350" i="31" s="1"/>
  <c r="AR350" i="31"/>
  <c r="AS350" i="31" s="1"/>
  <c r="AN351" i="31"/>
  <c r="AO351" i="31"/>
  <c r="AP351" i="31" s="1"/>
  <c r="AR351" i="31"/>
  <c r="AS351" i="31" s="1"/>
  <c r="AN352" i="31"/>
  <c r="AO352" i="31"/>
  <c r="AP352" i="31" s="1"/>
  <c r="AR352" i="31"/>
  <c r="AS352" i="31" s="1"/>
  <c r="AN353" i="31"/>
  <c r="AO353" i="31"/>
  <c r="AP353" i="31" s="1"/>
  <c r="AR353" i="31"/>
  <c r="AS353" i="31" s="1"/>
  <c r="AN354" i="31"/>
  <c r="AO354" i="31"/>
  <c r="AP354" i="31" s="1"/>
  <c r="AR354" i="31"/>
  <c r="AS354" i="31" s="1"/>
  <c r="AN355" i="31"/>
  <c r="AO355" i="31"/>
  <c r="AP355" i="31" s="1"/>
  <c r="AR355" i="31"/>
  <c r="AS355" i="31" s="1"/>
  <c r="AN356" i="31"/>
  <c r="AO356" i="31"/>
  <c r="AP356" i="31" s="1"/>
  <c r="AR356" i="31"/>
  <c r="AS356" i="31" s="1"/>
  <c r="AN357" i="31"/>
  <c r="AO357" i="31"/>
  <c r="AP357" i="31" s="1"/>
  <c r="AR357" i="31"/>
  <c r="AS357" i="31" s="1"/>
  <c r="AN358" i="31"/>
  <c r="AO358" i="31"/>
  <c r="AP358" i="31" s="1"/>
  <c r="AR358" i="31"/>
  <c r="AS358" i="31" s="1"/>
  <c r="AN359" i="31"/>
  <c r="AO359" i="31"/>
  <c r="AP359" i="31" s="1"/>
  <c r="AR359" i="31"/>
  <c r="AS359" i="31" s="1"/>
  <c r="AN360" i="31"/>
  <c r="AO360" i="31"/>
  <c r="AP360" i="31" s="1"/>
  <c r="AR360" i="31"/>
  <c r="AN361" i="31"/>
  <c r="AO361" i="31"/>
  <c r="AP361" i="31" s="1"/>
  <c r="AR361" i="31"/>
  <c r="AS361" i="31" s="1"/>
  <c r="AN362" i="31"/>
  <c r="AO362" i="31"/>
  <c r="AP362" i="31" s="1"/>
  <c r="AR362" i="31"/>
  <c r="AN363" i="31"/>
  <c r="AO363" i="31"/>
  <c r="AP363" i="31" s="1"/>
  <c r="AR363" i="31"/>
  <c r="AS363" i="31" s="1"/>
  <c r="AN364" i="31"/>
  <c r="AO364" i="31"/>
  <c r="AP364" i="31" s="1"/>
  <c r="AR364" i="31"/>
  <c r="AN365" i="31"/>
  <c r="AO365" i="31"/>
  <c r="AP365" i="31" s="1"/>
  <c r="AR365" i="31"/>
  <c r="AS365" i="31" s="1"/>
  <c r="AN366" i="31"/>
  <c r="AO366" i="31"/>
  <c r="AP366" i="31" s="1"/>
  <c r="AR366" i="31"/>
  <c r="AS366" i="31" s="1"/>
  <c r="AN367" i="31"/>
  <c r="AO367" i="31"/>
  <c r="AP367" i="31" s="1"/>
  <c r="AR367" i="31"/>
  <c r="AS367" i="31" s="1"/>
  <c r="AN368" i="31"/>
  <c r="AO368" i="31"/>
  <c r="AP368" i="31" s="1"/>
  <c r="AR368" i="31"/>
  <c r="AS368" i="31" s="1"/>
  <c r="AN369" i="31"/>
  <c r="AO369" i="31"/>
  <c r="AP369" i="31" s="1"/>
  <c r="AR369" i="31"/>
  <c r="AS369" i="31" s="1"/>
  <c r="AN370" i="31"/>
  <c r="AO370" i="31"/>
  <c r="AP370" i="31" s="1"/>
  <c r="AR370" i="31"/>
  <c r="AS370" i="31" s="1"/>
  <c r="AN371" i="31"/>
  <c r="AO371" i="31"/>
  <c r="AP371" i="31" s="1"/>
  <c r="AR371" i="31"/>
  <c r="AS371" i="31" s="1"/>
  <c r="AN372" i="31"/>
  <c r="AO372" i="31"/>
  <c r="AP372" i="31" s="1"/>
  <c r="AR372" i="31"/>
  <c r="AS372" i="31" s="1"/>
  <c r="AN373" i="31"/>
  <c r="AO373" i="31"/>
  <c r="AP373" i="31" s="1"/>
  <c r="AR373" i="31"/>
  <c r="AS373" i="31" s="1"/>
  <c r="AN374" i="31"/>
  <c r="AO374" i="31"/>
  <c r="AP374" i="31" s="1"/>
  <c r="AR374" i="31"/>
  <c r="AS374" i="31" s="1"/>
  <c r="AN375" i="31"/>
  <c r="AO375" i="31"/>
  <c r="AP375" i="31" s="1"/>
  <c r="AR375" i="31"/>
  <c r="AS375" i="31" s="1"/>
  <c r="AN376" i="31"/>
  <c r="AO376" i="31"/>
  <c r="AP376" i="31" s="1"/>
  <c r="AR376" i="31"/>
  <c r="AS376" i="31" s="1"/>
  <c r="AN377" i="31"/>
  <c r="AO377" i="31"/>
  <c r="AP377" i="31" s="1"/>
  <c r="AR377" i="31"/>
  <c r="AS377" i="31" s="1"/>
  <c r="AN378" i="31"/>
  <c r="AO378" i="31"/>
  <c r="AP378" i="31" s="1"/>
  <c r="AR378" i="31"/>
  <c r="AS378" i="31" s="1"/>
  <c r="AN379" i="31"/>
  <c r="AO379" i="31"/>
  <c r="AP379" i="31" s="1"/>
  <c r="AR379" i="31"/>
  <c r="AS379" i="31" s="1"/>
  <c r="AN380" i="31"/>
  <c r="AO380" i="31"/>
  <c r="AP380" i="31" s="1"/>
  <c r="AR380" i="31"/>
  <c r="AN381" i="31"/>
  <c r="AO381" i="31"/>
  <c r="AP381" i="31" s="1"/>
  <c r="AR381" i="31"/>
  <c r="AS381" i="31" s="1"/>
  <c r="AN382" i="31"/>
  <c r="AO382" i="31"/>
  <c r="AP382" i="31" s="1"/>
  <c r="AR382" i="31"/>
  <c r="AS382" i="31" s="1"/>
  <c r="AN383" i="31"/>
  <c r="AO383" i="31"/>
  <c r="AP383" i="31" s="1"/>
  <c r="AR383" i="31"/>
  <c r="AS383" i="31" s="1"/>
  <c r="AN384" i="31"/>
  <c r="AO384" i="31"/>
  <c r="AP384" i="31" s="1"/>
  <c r="AR384" i="31"/>
  <c r="AS384" i="31" s="1"/>
  <c r="AN385" i="31"/>
  <c r="AO385" i="31"/>
  <c r="AP385" i="31" s="1"/>
  <c r="AR385" i="31"/>
  <c r="AS385" i="31" s="1"/>
  <c r="AN386" i="31"/>
  <c r="AO386" i="31"/>
  <c r="AP386" i="31" s="1"/>
  <c r="AR386" i="31"/>
  <c r="AS386" i="31" s="1"/>
  <c r="AN387" i="31"/>
  <c r="AO387" i="31"/>
  <c r="AP387" i="31" s="1"/>
  <c r="AR387" i="31"/>
  <c r="AS387" i="31" s="1"/>
  <c r="AN388" i="31"/>
  <c r="AO388" i="31"/>
  <c r="AP388" i="31" s="1"/>
  <c r="AR388" i="31"/>
  <c r="AS388" i="31" s="1"/>
  <c r="AN389" i="31"/>
  <c r="AO389" i="31"/>
  <c r="AP389" i="31" s="1"/>
  <c r="AR389" i="31"/>
  <c r="AS389" i="31" s="1"/>
  <c r="AN390" i="31"/>
  <c r="AO390" i="31"/>
  <c r="AP390" i="31" s="1"/>
  <c r="AR390" i="31"/>
  <c r="AS390" i="31" s="1"/>
  <c r="AN391" i="31"/>
  <c r="AO391" i="31"/>
  <c r="AP391" i="31" s="1"/>
  <c r="AR391" i="31"/>
  <c r="AS391" i="31" s="1"/>
  <c r="AN392" i="31"/>
  <c r="AO392" i="31"/>
  <c r="AP392" i="31" s="1"/>
  <c r="AR392" i="31"/>
  <c r="AS392" i="31" s="1"/>
  <c r="AN393" i="31"/>
  <c r="AO393" i="31"/>
  <c r="AP393" i="31" s="1"/>
  <c r="AR393" i="31"/>
  <c r="AS393" i="31" s="1"/>
  <c r="AN394" i="31"/>
  <c r="AO394" i="31"/>
  <c r="AP394" i="31" s="1"/>
  <c r="AR394" i="31"/>
  <c r="AS394" i="31" s="1"/>
  <c r="AN395" i="31"/>
  <c r="AO395" i="31"/>
  <c r="AP395" i="31" s="1"/>
  <c r="AR395" i="31"/>
  <c r="AS395" i="31" s="1"/>
  <c r="AN396" i="31"/>
  <c r="AO396" i="31"/>
  <c r="AP396" i="31" s="1"/>
  <c r="AR396" i="31"/>
  <c r="AN397" i="31"/>
  <c r="AO397" i="31"/>
  <c r="AP397" i="31" s="1"/>
  <c r="AR397" i="31"/>
  <c r="AN398" i="31"/>
  <c r="AO398" i="31"/>
  <c r="AP398" i="31" s="1"/>
  <c r="AR398" i="31"/>
  <c r="AN399" i="31"/>
  <c r="AO399" i="31"/>
  <c r="AP399" i="31" s="1"/>
  <c r="AR399" i="31"/>
  <c r="AN400" i="31"/>
  <c r="AO400" i="31"/>
  <c r="AP400" i="31" s="1"/>
  <c r="AR400" i="31"/>
  <c r="AS400" i="31" s="1"/>
  <c r="AN401" i="31"/>
  <c r="AO401" i="31"/>
  <c r="AP401" i="31" s="1"/>
  <c r="AR401" i="31"/>
  <c r="AS401" i="31" s="1"/>
  <c r="AN402" i="31"/>
  <c r="AO402" i="31"/>
  <c r="AP402" i="31" s="1"/>
  <c r="AR402" i="31"/>
  <c r="AS402" i="31" s="1"/>
  <c r="AN403" i="31"/>
  <c r="AO403" i="31"/>
  <c r="AP403" i="31" s="1"/>
  <c r="AR403" i="31"/>
  <c r="AS403" i="31" s="1"/>
  <c r="AN404" i="31"/>
  <c r="AO404" i="31"/>
  <c r="AP404" i="31" s="1"/>
  <c r="AR404" i="31"/>
  <c r="AS404" i="31" s="1"/>
  <c r="AN405" i="31"/>
  <c r="AO405" i="31"/>
  <c r="AP405" i="31" s="1"/>
  <c r="AR405" i="31"/>
  <c r="AS405" i="31" s="1"/>
  <c r="AN406" i="31"/>
  <c r="AO406" i="31"/>
  <c r="AP406" i="31" s="1"/>
  <c r="AR406" i="31"/>
  <c r="AS406" i="31" s="1"/>
  <c r="AN407" i="31"/>
  <c r="AO407" i="31"/>
  <c r="AP407" i="31" s="1"/>
  <c r="AR407" i="31"/>
  <c r="AS407" i="31" s="1"/>
  <c r="AN408" i="31"/>
  <c r="AO408" i="31"/>
  <c r="AP408" i="31" s="1"/>
  <c r="AR408" i="31"/>
  <c r="AS408" i="31" s="1"/>
  <c r="AN409" i="31"/>
  <c r="AO409" i="31"/>
  <c r="AP409" i="31" s="1"/>
  <c r="AR409" i="31"/>
  <c r="AS409" i="31" s="1"/>
  <c r="AN410" i="31"/>
  <c r="AO410" i="31"/>
  <c r="AP410" i="31" s="1"/>
  <c r="AR410" i="31"/>
  <c r="AS410" i="31" s="1"/>
  <c r="AN411" i="31"/>
  <c r="AO411" i="31"/>
  <c r="AP411" i="31" s="1"/>
  <c r="AR411" i="31"/>
  <c r="AS411" i="31" s="1"/>
  <c r="AN412" i="31"/>
  <c r="AO412" i="31"/>
  <c r="AP412" i="31" s="1"/>
  <c r="AR412" i="31"/>
  <c r="AS412" i="31" s="1"/>
  <c r="AN413" i="31"/>
  <c r="AO413" i="31"/>
  <c r="AP413" i="31" s="1"/>
  <c r="AR413" i="31"/>
  <c r="AS413" i="31" s="1"/>
  <c r="AN414" i="31"/>
  <c r="AO414" i="31"/>
  <c r="AP414" i="31" s="1"/>
  <c r="AR414" i="31"/>
  <c r="AS414" i="31" s="1"/>
  <c r="AN415" i="31"/>
  <c r="AO415" i="31"/>
  <c r="AP415" i="31" s="1"/>
  <c r="AR415" i="31"/>
  <c r="AS415" i="31" s="1"/>
  <c r="AN416" i="31"/>
  <c r="AO416" i="31"/>
  <c r="AP416" i="31" s="1"/>
  <c r="AR416" i="31"/>
  <c r="AS416" i="31" s="1"/>
  <c r="AN417" i="31"/>
  <c r="AO417" i="31"/>
  <c r="AP417" i="31" s="1"/>
  <c r="AR417" i="31"/>
  <c r="AS417" i="31" s="1"/>
  <c r="AN418" i="31"/>
  <c r="AO418" i="31"/>
  <c r="AP418" i="31" s="1"/>
  <c r="AR418" i="31"/>
  <c r="AS418" i="31" s="1"/>
  <c r="AN419" i="31"/>
  <c r="AO419" i="31"/>
  <c r="AP419" i="31" s="1"/>
  <c r="AR419" i="31"/>
  <c r="AN420" i="31"/>
  <c r="AO420" i="31"/>
  <c r="AP420" i="31" s="1"/>
  <c r="AR420" i="31"/>
  <c r="AS420" i="31" s="1"/>
  <c r="AN421" i="31"/>
  <c r="AO421" i="31"/>
  <c r="AP421" i="31" s="1"/>
  <c r="AR421" i="31"/>
  <c r="AS421" i="31" s="1"/>
  <c r="AN422" i="31"/>
  <c r="AO422" i="31"/>
  <c r="AP422" i="31" s="1"/>
  <c r="AR422" i="31"/>
  <c r="AS422" i="31" s="1"/>
  <c r="AN423" i="31"/>
  <c r="AO423" i="31"/>
  <c r="AP423" i="31" s="1"/>
  <c r="AR423" i="31"/>
  <c r="AS423" i="31" s="1"/>
  <c r="AN424" i="31"/>
  <c r="AO424" i="31"/>
  <c r="AP424" i="31" s="1"/>
  <c r="AR424" i="31"/>
  <c r="AS424" i="31" s="1"/>
  <c r="AN425" i="31"/>
  <c r="AO425" i="31"/>
  <c r="AP425" i="31" s="1"/>
  <c r="AR425" i="31"/>
  <c r="AS425" i="31" s="1"/>
  <c r="AN426" i="31"/>
  <c r="AO426" i="31"/>
  <c r="AP426" i="31" s="1"/>
  <c r="AR426" i="31"/>
  <c r="AS426" i="31" s="1"/>
  <c r="AN427" i="31"/>
  <c r="AO427" i="31"/>
  <c r="AP427" i="31" s="1"/>
  <c r="AR427" i="31"/>
  <c r="AS427" i="31" s="1"/>
  <c r="AN428" i="31"/>
  <c r="AO428" i="31"/>
  <c r="AP428" i="31" s="1"/>
  <c r="AR428" i="31"/>
  <c r="AS428" i="31" s="1"/>
  <c r="AN429" i="31"/>
  <c r="AO429" i="31"/>
  <c r="AP429" i="31" s="1"/>
  <c r="AR429" i="31"/>
  <c r="AS429" i="31" s="1"/>
  <c r="AN430" i="31"/>
  <c r="AO430" i="31"/>
  <c r="AP430" i="31" s="1"/>
  <c r="AR430" i="31"/>
  <c r="AN431" i="31"/>
  <c r="AO431" i="31"/>
  <c r="AP431" i="31" s="1"/>
  <c r="AR431" i="31"/>
  <c r="AN432" i="31"/>
  <c r="AO432" i="31"/>
  <c r="AP432" i="31" s="1"/>
  <c r="AR432" i="31"/>
  <c r="AN433" i="31"/>
  <c r="AO433" i="31"/>
  <c r="AP433" i="31" s="1"/>
  <c r="AR433" i="31"/>
  <c r="AN434" i="31"/>
  <c r="AO434" i="31"/>
  <c r="AP434" i="31" s="1"/>
  <c r="AR434" i="31"/>
  <c r="AS434" i="31" s="1"/>
  <c r="AN435" i="31"/>
  <c r="AO435" i="31"/>
  <c r="AP435" i="31" s="1"/>
  <c r="AR435" i="31"/>
  <c r="AS435" i="31" s="1"/>
  <c r="AN436" i="31"/>
  <c r="AO436" i="31"/>
  <c r="AP436" i="31" s="1"/>
  <c r="AR436" i="31"/>
  <c r="AS436" i="31" s="1"/>
  <c r="AN437" i="31"/>
  <c r="AO437" i="31"/>
  <c r="AP437" i="31" s="1"/>
  <c r="AR437" i="31"/>
  <c r="AS437" i="31" s="1"/>
  <c r="AN438" i="31"/>
  <c r="AO438" i="31"/>
  <c r="AP438" i="31" s="1"/>
  <c r="AR438" i="31"/>
  <c r="AS438" i="31" s="1"/>
  <c r="AN439" i="31"/>
  <c r="AO439" i="31"/>
  <c r="AP439" i="31" s="1"/>
  <c r="AR439" i="31"/>
  <c r="AS439" i="31" s="1"/>
  <c r="AN440" i="31"/>
  <c r="AO440" i="31"/>
  <c r="AP440" i="31" s="1"/>
  <c r="AR440" i="31"/>
  <c r="AS440" i="31" s="1"/>
  <c r="AN441" i="31"/>
  <c r="AO441" i="31"/>
  <c r="AP441" i="31" s="1"/>
  <c r="AR441" i="31"/>
  <c r="AS441" i="31" s="1"/>
  <c r="AN442" i="31"/>
  <c r="AO442" i="31"/>
  <c r="AP442" i="31" s="1"/>
  <c r="AR442" i="31"/>
  <c r="AN443" i="31"/>
  <c r="AO443" i="31"/>
  <c r="AP443" i="31" s="1"/>
  <c r="AR443" i="31"/>
  <c r="AN444" i="31"/>
  <c r="AO444" i="31"/>
  <c r="AP444" i="31" s="1"/>
  <c r="AR444" i="31"/>
  <c r="AS444" i="31" s="1"/>
  <c r="AN445" i="31"/>
  <c r="AO445" i="31"/>
  <c r="AP445" i="31" s="1"/>
  <c r="AR445" i="31"/>
  <c r="AS445" i="31" s="1"/>
  <c r="AN446" i="31"/>
  <c r="AO446" i="31"/>
  <c r="AP446" i="31" s="1"/>
  <c r="AR446" i="31"/>
  <c r="AS446" i="31" s="1"/>
  <c r="AN447" i="31"/>
  <c r="AO447" i="31"/>
  <c r="AP447" i="31" s="1"/>
  <c r="AR447" i="31"/>
  <c r="AN448" i="31"/>
  <c r="AO448" i="31"/>
  <c r="AP448" i="31" s="1"/>
  <c r="AR448" i="31"/>
  <c r="AN449" i="31"/>
  <c r="AO449" i="31"/>
  <c r="AP449" i="31" s="1"/>
  <c r="AR449" i="31"/>
  <c r="AN450" i="31"/>
  <c r="AO450" i="31"/>
  <c r="AP450" i="31" s="1"/>
  <c r="AR450" i="31"/>
  <c r="AS450" i="31" s="1"/>
  <c r="AN451" i="31"/>
  <c r="AO451" i="31"/>
  <c r="AP451" i="31" s="1"/>
  <c r="AR451" i="31"/>
  <c r="AS451" i="31" s="1"/>
  <c r="AN452" i="31"/>
  <c r="AO452" i="31"/>
  <c r="AP452" i="31" s="1"/>
  <c r="AR452" i="31"/>
  <c r="AS452" i="31" s="1"/>
  <c r="AN453" i="31"/>
  <c r="AO453" i="31"/>
  <c r="AP453" i="31" s="1"/>
  <c r="AR453" i="31"/>
  <c r="AS453" i="31" s="1"/>
  <c r="AN454" i="31"/>
  <c r="AO454" i="31"/>
  <c r="AP454" i="31" s="1"/>
  <c r="AR454" i="31"/>
  <c r="AS454" i="31" s="1"/>
  <c r="AN455" i="31"/>
  <c r="AO455" i="31"/>
  <c r="AP455" i="31" s="1"/>
  <c r="AR455" i="31"/>
  <c r="AS455" i="31" s="1"/>
  <c r="AN456" i="31"/>
  <c r="AO456" i="31"/>
  <c r="AP456" i="31" s="1"/>
  <c r="AR456" i="31"/>
  <c r="AS456" i="31" s="1"/>
  <c r="AN457" i="31"/>
  <c r="AO457" i="31"/>
  <c r="AP457" i="31" s="1"/>
  <c r="AR457" i="31"/>
  <c r="AS457" i="31" s="1"/>
  <c r="AN458" i="31"/>
  <c r="AO458" i="31"/>
  <c r="AP458" i="31" s="1"/>
  <c r="AR458" i="31"/>
  <c r="AS458" i="31" s="1"/>
  <c r="AN459" i="31"/>
  <c r="AO459" i="31"/>
  <c r="AP459" i="31" s="1"/>
  <c r="AR459" i="31"/>
  <c r="AS459" i="31" s="1"/>
  <c r="AN460" i="31"/>
  <c r="AO460" i="31"/>
  <c r="AP460" i="31" s="1"/>
  <c r="AR460" i="31"/>
  <c r="AS460" i="31" s="1"/>
  <c r="AN461" i="31"/>
  <c r="AO461" i="31"/>
  <c r="AP461" i="31" s="1"/>
  <c r="AR461" i="31"/>
  <c r="AS461" i="31" s="1"/>
  <c r="AN462" i="31"/>
  <c r="AO462" i="31"/>
  <c r="AP462" i="31" s="1"/>
  <c r="AR462" i="31"/>
  <c r="AS462" i="31" s="1"/>
  <c r="AN463" i="31"/>
  <c r="AO463" i="31"/>
  <c r="AP463" i="31" s="1"/>
  <c r="AR463" i="31"/>
  <c r="AS463" i="31" s="1"/>
  <c r="AN464" i="31"/>
  <c r="AO464" i="31"/>
  <c r="AP464" i="31" s="1"/>
  <c r="AR464" i="31"/>
  <c r="AS464" i="31" s="1"/>
  <c r="AN465" i="31"/>
  <c r="AO465" i="31"/>
  <c r="AP465" i="31" s="1"/>
  <c r="AR465" i="31"/>
  <c r="AS465" i="31" s="1"/>
  <c r="AN466" i="31"/>
  <c r="AO466" i="31"/>
  <c r="AP466" i="31" s="1"/>
  <c r="AR466" i="31"/>
  <c r="AS466" i="31" s="1"/>
  <c r="AN467" i="31"/>
  <c r="AO467" i="31"/>
  <c r="AP467" i="31" s="1"/>
  <c r="AR467" i="31"/>
  <c r="AS467" i="31" s="1"/>
  <c r="AN468" i="31"/>
  <c r="AO468" i="31"/>
  <c r="AP468" i="31" s="1"/>
  <c r="AR468" i="31"/>
  <c r="AS468" i="31" s="1"/>
  <c r="AN469" i="31"/>
  <c r="AO469" i="31"/>
  <c r="AP469" i="31" s="1"/>
  <c r="AR469" i="31"/>
  <c r="AS469" i="31" s="1"/>
  <c r="AR73" i="31"/>
  <c r="AS73" i="31" s="1"/>
  <c r="AO73" i="31"/>
  <c r="AP73" i="31" s="1"/>
  <c r="AN73" i="31"/>
  <c r="AA1809" i="31"/>
  <c r="AA1808" i="31"/>
  <c r="AA1807" i="31"/>
  <c r="AA1806" i="31"/>
  <c r="AA1805" i="31"/>
  <c r="AA1804" i="31"/>
  <c r="AA1803" i="31"/>
  <c r="AA1802" i="31"/>
  <c r="AA1801" i="31"/>
  <c r="AA1800" i="31"/>
  <c r="AA1799" i="31"/>
  <c r="AA1798" i="31"/>
  <c r="AA1797" i="31"/>
  <c r="AA1796" i="31"/>
  <c r="AA1795" i="31"/>
  <c r="AA1794" i="31"/>
  <c r="AA1793" i="31"/>
  <c r="AA1792" i="31"/>
  <c r="AA1791" i="31"/>
  <c r="AA1790" i="31"/>
  <c r="AA1789" i="31"/>
  <c r="AA1788" i="31"/>
  <c r="AA1787" i="31"/>
  <c r="AA1786" i="31"/>
  <c r="AA1785" i="31"/>
  <c r="AA1784" i="31"/>
  <c r="AA1783" i="31"/>
  <c r="AA1782" i="31"/>
  <c r="AA1781" i="31"/>
  <c r="AA1780" i="31"/>
  <c r="AA1779" i="31"/>
  <c r="AA1778" i="31"/>
  <c r="AA1777" i="31"/>
  <c r="AA1776" i="31"/>
  <c r="AA1775" i="31"/>
  <c r="AA1774" i="31"/>
  <c r="AA1773" i="31"/>
  <c r="AA1772" i="31"/>
  <c r="AA1771" i="31"/>
  <c r="AA1770" i="31"/>
  <c r="AA1769" i="31"/>
  <c r="AA1768" i="31"/>
  <c r="AA1767" i="31"/>
  <c r="AA1766" i="31"/>
  <c r="AA1765" i="31"/>
  <c r="AA1764" i="31"/>
  <c r="AA1763" i="31"/>
  <c r="AA1762" i="31"/>
  <c r="AA1761" i="31"/>
  <c r="AA1470" i="31"/>
  <c r="AA1469" i="31"/>
  <c r="AA1464" i="31"/>
  <c r="AA1459" i="31"/>
  <c r="AA1760" i="31"/>
  <c r="AA1759" i="31"/>
  <c r="AA1758" i="31"/>
  <c r="AA1457" i="31"/>
  <c r="AA1757" i="31"/>
  <c r="AA1494" i="31"/>
  <c r="AA1488" i="31"/>
  <c r="AA1756" i="31"/>
  <c r="AA1755" i="31"/>
  <c r="AA1754" i="31"/>
  <c r="AA1753" i="31"/>
  <c r="AA1463" i="31"/>
  <c r="AA1752" i="31"/>
  <c r="AA1751" i="31"/>
  <c r="AA1750" i="31"/>
  <c r="AA1749" i="31"/>
  <c r="AA1748" i="31"/>
  <c r="AA1747" i="31"/>
  <c r="AA1746" i="31"/>
  <c r="AA1745" i="31"/>
  <c r="AA1744" i="31"/>
  <c r="AA1743" i="31"/>
  <c r="AA1742" i="31"/>
  <c r="AA1741" i="31"/>
  <c r="AA1740" i="31"/>
  <c r="AA1739" i="31"/>
  <c r="AA1738" i="31"/>
  <c r="AA1737" i="31"/>
  <c r="AA1734" i="31"/>
  <c r="AA1733" i="31"/>
  <c r="AA1732" i="31"/>
  <c r="AA1731" i="31"/>
  <c r="AA1730" i="31"/>
  <c r="AA1729" i="31"/>
  <c r="AA1728" i="31"/>
  <c r="AA1727" i="31"/>
  <c r="AA1726" i="31"/>
  <c r="AA1725" i="31"/>
  <c r="AA1724" i="31"/>
  <c r="AA1723" i="31"/>
  <c r="AA1722" i="31"/>
  <c r="AA1721" i="31"/>
  <c r="AA1720" i="31"/>
  <c r="AA1719" i="31"/>
  <c r="AA1718" i="31"/>
  <c r="AA1717" i="31"/>
  <c r="AA1716" i="31"/>
  <c r="AA1715" i="31"/>
  <c r="AA1714" i="31"/>
  <c r="AA1713" i="31"/>
  <c r="AA1712" i="31"/>
  <c r="AA1711" i="31"/>
  <c r="AA1710" i="31"/>
  <c r="AA1709" i="31"/>
  <c r="AA1708" i="31"/>
  <c r="AA1707" i="31"/>
  <c r="AA1706" i="31"/>
  <c r="AA1705" i="31"/>
  <c r="AA1704" i="31"/>
  <c r="AA1703" i="31"/>
  <c r="AA1702" i="31"/>
  <c r="AA1701" i="31"/>
  <c r="AA1700" i="31"/>
  <c r="AA1699" i="31"/>
  <c r="AA1698" i="31"/>
  <c r="AA1697" i="31"/>
  <c r="AA1735" i="31"/>
  <c r="AA1369" i="31"/>
  <c r="AA1696" i="31"/>
  <c r="AA1736" i="31"/>
  <c r="AA810" i="31"/>
  <c r="AA787" i="31"/>
  <c r="AA1695" i="31"/>
  <c r="AA1694" i="31"/>
  <c r="AA1693" i="31"/>
  <c r="AA1692" i="31"/>
  <c r="AA1691" i="31"/>
  <c r="AA1690" i="31"/>
  <c r="AA1544" i="31"/>
  <c r="AA1689" i="31"/>
  <c r="AA1688" i="31"/>
  <c r="AA1687" i="31"/>
  <c r="AA1686" i="31"/>
  <c r="AA1685" i="31"/>
  <c r="AA1684" i="31"/>
  <c r="AA1683" i="31"/>
  <c r="AA1682" i="31"/>
  <c r="AA1681" i="31"/>
  <c r="AA1680" i="31"/>
  <c r="AA1679" i="31"/>
  <c r="AA1678" i="31"/>
  <c r="AA1677" i="31"/>
  <c r="AA1016" i="31"/>
  <c r="AA1676" i="31"/>
  <c r="AA1675" i="31"/>
  <c r="AA1674" i="31"/>
  <c r="AA1673" i="31"/>
  <c r="AA1672" i="31"/>
  <c r="AA1671" i="31"/>
  <c r="AA1670" i="31"/>
  <c r="AA1669" i="31"/>
  <c r="AA1668" i="31"/>
  <c r="AA1667" i="31"/>
  <c r="AA1666" i="31"/>
  <c r="AA1665" i="31"/>
  <c r="AA1537" i="31"/>
  <c r="AA1664" i="31"/>
  <c r="AA1663" i="31"/>
  <c r="AA1662" i="31"/>
  <c r="AA1661" i="31"/>
  <c r="AA1660" i="31"/>
  <c r="AA1659" i="31"/>
  <c r="AA1658" i="31"/>
  <c r="AA1657" i="31"/>
  <c r="AA1656" i="31"/>
  <c r="AA1655" i="31"/>
  <c r="AA1654" i="31"/>
  <c r="AA1653" i="31"/>
  <c r="AA1652" i="31"/>
  <c r="AA1201" i="31"/>
  <c r="AA1152" i="31"/>
  <c r="AA1651" i="31"/>
  <c r="AA1650" i="31"/>
  <c r="AA1649" i="31"/>
  <c r="AA1648" i="31"/>
  <c r="AA1647" i="31"/>
  <c r="AA1646" i="31"/>
  <c r="AA1645" i="31"/>
  <c r="AA1644" i="31"/>
  <c r="AA1643" i="31"/>
  <c r="AA1642" i="31"/>
  <c r="AA1641" i="31"/>
  <c r="AA1640" i="31"/>
  <c r="AA1639" i="31"/>
  <c r="AA1638" i="31"/>
  <c r="AA1540" i="31"/>
  <c r="AA1637" i="31"/>
  <c r="AA1636" i="31"/>
  <c r="AA1541" i="31"/>
  <c r="AA1635" i="31"/>
  <c r="AA1634" i="31"/>
  <c r="AA1546" i="31"/>
  <c r="AA1633" i="31"/>
  <c r="AA1632" i="31"/>
  <c r="AA1545" i="31"/>
  <c r="AA1631" i="31"/>
  <c r="AA1630" i="31"/>
  <c r="AA1629" i="31"/>
  <c r="AA1539" i="31"/>
  <c r="AA1628" i="31"/>
  <c r="AA1623" i="31"/>
  <c r="AA1425" i="31"/>
  <c r="AA762" i="31"/>
  <c r="AA1627" i="31"/>
  <c r="AA1624" i="31"/>
  <c r="AA1423" i="31"/>
  <c r="AA1142" i="31"/>
  <c r="AA1626" i="31"/>
  <c r="AA1625" i="31"/>
  <c r="AA969" i="31"/>
  <c r="AA589" i="31"/>
  <c r="AA1622" i="31"/>
  <c r="AA1621" i="31"/>
  <c r="AA1620" i="31"/>
  <c r="AA1542" i="31"/>
  <c r="AA1619" i="31"/>
  <c r="AA1543" i="31"/>
  <c r="AA1618" i="31"/>
  <c r="AA1538" i="31"/>
  <c r="AA1617" i="31"/>
  <c r="AA1616" i="31"/>
  <c r="AA1615" i="31"/>
  <c r="AA1614" i="31"/>
  <c r="AA1587" i="31"/>
  <c r="AA1613" i="31"/>
  <c r="AA1586" i="31"/>
  <c r="AA1612" i="31"/>
  <c r="AA1610" i="31"/>
  <c r="AA1611" i="31"/>
  <c r="AA1609" i="31"/>
  <c r="AA1356" i="31"/>
  <c r="AA1608" i="31"/>
  <c r="AA1607" i="31"/>
  <c r="AA1606" i="31"/>
  <c r="AA1605" i="31"/>
  <c r="AA1604" i="31"/>
  <c r="AA1603" i="31"/>
  <c r="AA1602" i="31"/>
  <c r="AA1601" i="31"/>
  <c r="AA1600" i="31"/>
  <c r="AA1599" i="31"/>
  <c r="AA1598" i="31"/>
  <c r="AA1597" i="31"/>
  <c r="AA1596" i="31"/>
  <c r="AA1595" i="31"/>
  <c r="AA1594" i="31"/>
  <c r="AA1593" i="31"/>
  <c r="AA1592" i="31"/>
  <c r="AA1591" i="31"/>
  <c r="AA1590" i="31"/>
  <c r="AA1589" i="31"/>
  <c r="AA1588" i="31"/>
  <c r="AA1585" i="31"/>
  <c r="AA1584" i="31"/>
  <c r="AA1583" i="31"/>
  <c r="AA1582" i="31"/>
  <c r="AA1581" i="31"/>
  <c r="AA1580" i="31"/>
  <c r="AA1579" i="31"/>
  <c r="AA1578" i="31"/>
  <c r="AA1577" i="31"/>
  <c r="AA1576" i="31"/>
  <c r="AA1575" i="31"/>
  <c r="AA1574" i="31"/>
  <c r="AA1573" i="31"/>
  <c r="AA1572" i="31"/>
  <c r="AA1571" i="31"/>
  <c r="AA1570" i="31"/>
  <c r="AA1569" i="31"/>
  <c r="AA1568" i="31"/>
  <c r="AA1567" i="31"/>
  <c r="AA1566" i="31"/>
  <c r="AA1565" i="31"/>
  <c r="AA1564" i="31"/>
  <c r="AA1563" i="31"/>
  <c r="AA1562" i="31"/>
  <c r="AA1561" i="31"/>
  <c r="AA1560" i="31"/>
  <c r="AA1559" i="31"/>
  <c r="AA1558" i="31"/>
  <c r="AA1557" i="31"/>
  <c r="AA1556" i="31"/>
  <c r="AA1555" i="31"/>
  <c r="AA1554" i="31"/>
  <c r="AA1553" i="31"/>
  <c r="AA1552" i="31"/>
  <c r="AA1551" i="31"/>
  <c r="AA1550" i="31"/>
  <c r="AA1549" i="31"/>
  <c r="AA1548" i="31"/>
  <c r="AA1547" i="31"/>
  <c r="AA1536" i="31"/>
  <c r="AA1535" i="31"/>
  <c r="AA1534" i="31"/>
  <c r="AA1533" i="31"/>
  <c r="AA1532" i="31"/>
  <c r="AA1531" i="31"/>
  <c r="AA1530" i="31"/>
  <c r="AA1529" i="31"/>
  <c r="AA1528" i="31"/>
  <c r="AA1527" i="31"/>
  <c r="AA1526" i="31"/>
  <c r="AA1525" i="31"/>
  <c r="AA1524" i="31"/>
  <c r="AA1523" i="31"/>
  <c r="AA1522" i="31"/>
  <c r="AA1521" i="31"/>
  <c r="AA1520" i="31"/>
  <c r="AA1519" i="31"/>
  <c r="AA1518" i="31"/>
  <c r="AA1517" i="31"/>
  <c r="AA1516" i="31"/>
  <c r="AA1515" i="31"/>
  <c r="AA1514" i="31"/>
  <c r="AA1513" i="31"/>
  <c r="AA1512" i="31"/>
  <c r="AA1511" i="31"/>
  <c r="AA1510" i="31"/>
  <c r="AA1509" i="31"/>
  <c r="AA1508" i="31"/>
  <c r="AA1507" i="31"/>
  <c r="AA1506" i="31"/>
  <c r="AA1505" i="31"/>
  <c r="AA1504" i="31"/>
  <c r="AA1503" i="31"/>
  <c r="AA1502" i="31"/>
  <c r="AA1501" i="31"/>
  <c r="AA1500" i="31"/>
  <c r="AA1499" i="31"/>
  <c r="AA1497" i="31"/>
  <c r="AA1487" i="31"/>
  <c r="AA1498" i="31"/>
  <c r="AA1496" i="31"/>
  <c r="AA1495" i="31"/>
  <c r="AA1493" i="31"/>
  <c r="AA1492" i="31"/>
  <c r="AA1491" i="31"/>
  <c r="AA1490" i="31"/>
  <c r="AA1489" i="31"/>
  <c r="AA1486" i="31"/>
  <c r="AA1485" i="31"/>
  <c r="AA1484" i="31"/>
  <c r="AA1483" i="31"/>
  <c r="AA1482" i="31"/>
  <c r="AA1481" i="31"/>
  <c r="AA1480" i="31"/>
  <c r="AA1479" i="31"/>
  <c r="AA1478" i="31"/>
  <c r="AA1477" i="31"/>
  <c r="AA1476" i="31"/>
  <c r="AA1475" i="31"/>
  <c r="AA1474" i="31"/>
  <c r="AA1472" i="31"/>
  <c r="AA1444" i="31"/>
  <c r="AA1473" i="31"/>
  <c r="AA1471" i="31"/>
  <c r="AA1468" i="31"/>
  <c r="AA1467" i="31"/>
  <c r="AA1466" i="31"/>
  <c r="AA1465" i="31"/>
  <c r="AA1462" i="31"/>
  <c r="AA1461" i="31"/>
  <c r="AA1460" i="31"/>
  <c r="AA1458" i="31"/>
  <c r="AA1456" i="31"/>
  <c r="AA1455" i="31"/>
  <c r="AA1454" i="31"/>
  <c r="AA1453" i="31"/>
  <c r="AA1452" i="31"/>
  <c r="AA1451" i="31"/>
  <c r="AA1450" i="31"/>
  <c r="AA1449" i="31"/>
  <c r="AA1448" i="31"/>
  <c r="AA1443" i="31"/>
  <c r="AA1251" i="31"/>
  <c r="AA977" i="31"/>
  <c r="AA1447" i="31"/>
  <c r="AA1446" i="31"/>
  <c r="AA1445" i="31"/>
  <c r="AA1442" i="31"/>
  <c r="AA1431" i="31"/>
  <c r="AA1441" i="31"/>
  <c r="AA1440" i="31"/>
  <c r="AA1439" i="31"/>
  <c r="AA1438" i="31"/>
  <c r="AA1437" i="31"/>
  <c r="AA1436" i="31"/>
  <c r="AA1435" i="31"/>
  <c r="AA1434" i="31"/>
  <c r="AA1433" i="31"/>
  <c r="AA1430" i="31"/>
  <c r="AA1427" i="31"/>
  <c r="AA730" i="31"/>
  <c r="AA1432" i="31"/>
  <c r="AA1429" i="31"/>
  <c r="AA1428" i="31"/>
  <c r="AA1424" i="31"/>
  <c r="AA1426" i="31"/>
  <c r="AA1418" i="31"/>
  <c r="AA1422" i="31"/>
  <c r="AA1421" i="31"/>
  <c r="AA1420" i="31"/>
  <c r="AA1419" i="31"/>
  <c r="AA1417" i="31"/>
  <c r="AA1416" i="31"/>
  <c r="AA1415" i="31"/>
  <c r="AA1414" i="31"/>
  <c r="AA1413" i="31"/>
  <c r="AA1412" i="31"/>
  <c r="AA1411" i="31"/>
  <c r="AA1410" i="31"/>
  <c r="AA1409" i="31"/>
  <c r="AA1408" i="31"/>
  <c r="AA1407" i="31"/>
  <c r="AA1406" i="31"/>
  <c r="AA1401" i="31"/>
  <c r="AA1398" i="31"/>
  <c r="AA1382" i="31"/>
  <c r="AA1405" i="31"/>
  <c r="AA1404" i="31"/>
  <c r="AA1403" i="31"/>
  <c r="AA1402" i="31"/>
  <c r="AA1400" i="31"/>
  <c r="AA1399" i="31"/>
  <c r="AA1397" i="31"/>
  <c r="AA1396" i="31"/>
  <c r="AA1395" i="31"/>
  <c r="AA1394" i="31"/>
  <c r="AA1393" i="31"/>
  <c r="AA1392" i="31"/>
  <c r="AA1391" i="31"/>
  <c r="AA1390" i="31"/>
  <c r="AA1389" i="31"/>
  <c r="AA1388" i="31"/>
  <c r="AA1387" i="31"/>
  <c r="AA1386" i="31"/>
  <c r="AA1385" i="31"/>
  <c r="AA1384" i="31"/>
  <c r="AA1383" i="31"/>
  <c r="AA1381" i="31"/>
  <c r="AA1380" i="31"/>
  <c r="AA1379" i="31"/>
  <c r="AA1378" i="31"/>
  <c r="AA1377" i="31"/>
  <c r="AA1376" i="31"/>
  <c r="AA1375" i="31"/>
  <c r="AA1374" i="31"/>
  <c r="AA1373" i="31"/>
  <c r="AA1370" i="31"/>
  <c r="AA1372" i="31"/>
  <c r="AA1371" i="31"/>
  <c r="AA1368" i="31"/>
  <c r="AA1367" i="31"/>
  <c r="AA1366" i="31"/>
  <c r="AA1365" i="31"/>
  <c r="AA1364" i="31"/>
  <c r="AA1363" i="31"/>
  <c r="AA1362" i="31"/>
  <c r="AA1361" i="31"/>
  <c r="AA1360" i="31"/>
  <c r="AA1359" i="31"/>
  <c r="AA1358" i="31"/>
  <c r="AA1357" i="31"/>
  <c r="AA1344" i="31"/>
  <c r="AA1355" i="31"/>
  <c r="AA1354" i="31"/>
  <c r="AA1353" i="31"/>
  <c r="AA1352" i="31"/>
  <c r="AA1351" i="31"/>
  <c r="AA1350" i="31"/>
  <c r="AA1349" i="31"/>
  <c r="AA1348" i="31"/>
  <c r="AA1347" i="31"/>
  <c r="AA1346" i="31"/>
  <c r="AA1345" i="31"/>
  <c r="AA1343" i="31"/>
  <c r="AA1342" i="31"/>
  <c r="AA1341" i="31"/>
  <c r="AA1340" i="31"/>
  <c r="AA1339" i="31"/>
  <c r="AA1338" i="31"/>
  <c r="AA1337" i="31"/>
  <c r="AA1336" i="31"/>
  <c r="AA1335" i="31"/>
  <c r="AA1334" i="31"/>
  <c r="AA562" i="31"/>
  <c r="AA1333" i="31"/>
  <c r="AA1332" i="31"/>
  <c r="AA1331" i="31"/>
  <c r="AA1330" i="31"/>
  <c r="AA1322" i="31"/>
  <c r="AA1329" i="31"/>
  <c r="AA1328" i="31"/>
  <c r="AA1327" i="31"/>
  <c r="AA1326" i="31"/>
  <c r="AA1325" i="31"/>
  <c r="AA1324" i="31"/>
  <c r="AA1323" i="31"/>
  <c r="AA1321" i="31"/>
  <c r="AA1320" i="31"/>
  <c r="AA1319" i="31"/>
  <c r="AA1318" i="31"/>
  <c r="AA1317" i="31"/>
  <c r="AA1316" i="31"/>
  <c r="AA1315" i="31"/>
  <c r="AA1314" i="31"/>
  <c r="AA1313" i="31"/>
  <c r="AA1312" i="31"/>
  <c r="AA1311" i="31"/>
  <c r="AA1310" i="31"/>
  <c r="AA1309" i="31"/>
  <c r="AA1126" i="31"/>
  <c r="AA1308" i="31"/>
  <c r="AA1307" i="31"/>
  <c r="AA1306" i="31"/>
  <c r="AA1146" i="31"/>
  <c r="AA867" i="31"/>
  <c r="AA827" i="31"/>
  <c r="AA235" i="31"/>
  <c r="AA1305" i="31"/>
  <c r="AA1304" i="31"/>
  <c r="AA1275" i="31"/>
  <c r="AA1303" i="31"/>
  <c r="AA1302" i="31"/>
  <c r="AA577" i="31"/>
  <c r="AA573" i="31"/>
  <c r="AA1301" i="31"/>
  <c r="AA1300" i="31"/>
  <c r="AA1299" i="31"/>
  <c r="AA1298" i="31"/>
  <c r="AA1297" i="31"/>
  <c r="AA764" i="31"/>
  <c r="AA731" i="31"/>
  <c r="AA1296" i="31"/>
  <c r="AA1295" i="31"/>
  <c r="AA1294" i="31"/>
  <c r="AA1293" i="31"/>
  <c r="AA1292" i="31"/>
  <c r="AA1291" i="31"/>
  <c r="AA1290" i="31"/>
  <c r="AA1289" i="31"/>
  <c r="AA1288" i="31"/>
  <c r="AA1287" i="31"/>
  <c r="AA1286" i="31"/>
  <c r="AA1285" i="31"/>
  <c r="AA860" i="31"/>
  <c r="AA1284" i="31"/>
  <c r="AA1283" i="31"/>
  <c r="AA1282" i="31"/>
  <c r="AA1281" i="31"/>
  <c r="AA1280" i="31"/>
  <c r="AA1279" i="31"/>
  <c r="AA1278" i="31"/>
  <c r="AA1277" i="31"/>
  <c r="AA1276" i="31"/>
  <c r="AA1274" i="31"/>
  <c r="AA1273" i="31"/>
  <c r="AA1272" i="31"/>
  <c r="AA1271" i="31"/>
  <c r="AA1270" i="31"/>
  <c r="AA1269" i="31"/>
  <c r="AA1268" i="31"/>
  <c r="AA1267" i="31"/>
  <c r="AA1266" i="31"/>
  <c r="AA1265" i="31"/>
  <c r="AA1264" i="31"/>
  <c r="AA1263" i="31"/>
  <c r="AA1262" i="31"/>
  <c r="AA1261" i="31"/>
  <c r="AA1260" i="31"/>
  <c r="AA1259" i="31"/>
  <c r="AA1258" i="31"/>
  <c r="AA1257" i="31"/>
  <c r="AA1256" i="31"/>
  <c r="AA1255" i="31"/>
  <c r="AA1254" i="31"/>
  <c r="AA1253" i="31"/>
  <c r="AA1252" i="31"/>
  <c r="AA1250" i="31"/>
  <c r="AA1249" i="31"/>
  <c r="AA1248" i="31"/>
  <c r="AA1247" i="31"/>
  <c r="AA1246" i="31"/>
  <c r="AA1245" i="31"/>
  <c r="AA1244" i="31"/>
  <c r="AA1243" i="31"/>
  <c r="AA1242" i="31"/>
  <c r="AA1241" i="31"/>
  <c r="AA1240" i="31"/>
  <c r="AA1239" i="31"/>
  <c r="AA1238" i="31"/>
  <c r="AA1237" i="31"/>
  <c r="AA1236" i="31"/>
  <c r="AA1235" i="31"/>
  <c r="AA1234" i="31"/>
  <c r="AA1233" i="31"/>
  <c r="AA1232" i="31"/>
  <c r="AA1230" i="31"/>
  <c r="AA1231" i="31"/>
  <c r="AA1229" i="31"/>
  <c r="AA1228" i="31"/>
  <c r="AA1227" i="31"/>
  <c r="AA1223" i="31"/>
  <c r="AA1221" i="31"/>
  <c r="AA1220" i="31"/>
  <c r="AA1219" i="31"/>
  <c r="AA1218" i="31"/>
  <c r="AA1215" i="31"/>
  <c r="AA1212" i="31"/>
  <c r="AA1210" i="31"/>
  <c r="AA1209" i="31"/>
  <c r="AA1195" i="31"/>
  <c r="AA1194" i="31"/>
  <c r="AA1193" i="31"/>
  <c r="AA1192" i="31"/>
  <c r="AA1191" i="31"/>
  <c r="AA1226" i="31"/>
  <c r="AA1225" i="31"/>
  <c r="AA1224" i="31"/>
  <c r="AA1222" i="31"/>
  <c r="AA1217" i="31"/>
  <c r="AA1216" i="31"/>
  <c r="AA202" i="31"/>
  <c r="AA197" i="31"/>
  <c r="AA1214" i="31"/>
  <c r="AA1213" i="31"/>
  <c r="AA1211" i="31"/>
  <c r="AA1208" i="31"/>
  <c r="AA1207" i="31"/>
  <c r="AA1206" i="31"/>
  <c r="AA1205" i="31"/>
  <c r="AA1204" i="31"/>
  <c r="AA1203" i="31"/>
  <c r="AA1202" i="31"/>
  <c r="AA1200" i="31"/>
  <c r="AA1199" i="31"/>
  <c r="AA1198" i="31"/>
  <c r="AA1197" i="31"/>
  <c r="AA1196" i="31"/>
  <c r="AA1190" i="31"/>
  <c r="AA1189" i="31"/>
  <c r="AA1188" i="31"/>
  <c r="AA1187" i="31"/>
  <c r="AA1186" i="31"/>
  <c r="AA1185" i="31"/>
  <c r="AA1184" i="31"/>
  <c r="AA1183" i="31"/>
  <c r="AA1182" i="31"/>
  <c r="AA1181" i="31"/>
  <c r="AA1180" i="31"/>
  <c r="AA1179" i="31"/>
  <c r="AA1178" i="31"/>
  <c r="AA1177" i="31"/>
  <c r="AA1176" i="31"/>
  <c r="AA1175" i="31"/>
  <c r="AA1174" i="31"/>
  <c r="AA1173" i="31"/>
  <c r="AA1172" i="31"/>
  <c r="AA1171" i="31"/>
  <c r="AA1170" i="31"/>
  <c r="AA1169" i="31"/>
  <c r="AA1168" i="31"/>
  <c r="AA1167" i="31"/>
  <c r="AA1166" i="31"/>
  <c r="AA1165" i="31"/>
  <c r="AA1164" i="31"/>
  <c r="AA1163" i="31"/>
  <c r="AA1162" i="31"/>
  <c r="AA1161" i="31"/>
  <c r="AA1160" i="31"/>
  <c r="AA1159" i="31"/>
  <c r="AA1158" i="31"/>
  <c r="AA1157" i="31"/>
  <c r="AA1156" i="31"/>
  <c r="AA1155" i="31"/>
  <c r="AA1154" i="31"/>
  <c r="AA1153" i="31"/>
  <c r="AA1147" i="31"/>
  <c r="AA1151" i="31"/>
  <c r="AA1150" i="31"/>
  <c r="AA1149" i="31"/>
  <c r="AA1148" i="31"/>
  <c r="AA1145" i="31"/>
  <c r="AA1144" i="31"/>
  <c r="AA1143" i="31"/>
  <c r="AA1141" i="31"/>
  <c r="AA1140" i="31"/>
  <c r="AA1139" i="31"/>
  <c r="AA1138" i="31"/>
  <c r="AA1137" i="31"/>
  <c r="AA1136" i="31"/>
  <c r="AA1135" i="31"/>
  <c r="AA1134" i="31"/>
  <c r="AA1133" i="31"/>
  <c r="AA1132" i="31"/>
  <c r="AA1131" i="31"/>
  <c r="AA1130" i="31"/>
  <c r="AA1129" i="31"/>
  <c r="AA1128" i="31"/>
  <c r="AA898" i="31"/>
  <c r="AA1127" i="31"/>
  <c r="AA1125" i="31"/>
  <c r="AA1124" i="31"/>
  <c r="AA1123" i="31"/>
  <c r="AA1122" i="31"/>
  <c r="AA806" i="31"/>
  <c r="AA1121" i="31"/>
  <c r="AA923" i="31"/>
  <c r="AA1120" i="31"/>
  <c r="AA1119" i="31"/>
  <c r="AA1118" i="31"/>
  <c r="AA1117" i="31"/>
  <c r="AA1116" i="31"/>
  <c r="AA1115" i="31"/>
  <c r="AA1114" i="31"/>
  <c r="AA1113" i="31"/>
  <c r="AA1112" i="31"/>
  <c r="AA1111" i="31"/>
  <c r="AA1110" i="31"/>
  <c r="AA1109" i="31"/>
  <c r="AA1108" i="31"/>
  <c r="AA1107" i="31"/>
  <c r="AA1106" i="31"/>
  <c r="AA1105" i="31"/>
  <c r="AA1104" i="31"/>
  <c r="AA1103" i="31"/>
  <c r="AA1102" i="31"/>
  <c r="AA1101" i="31"/>
  <c r="AA1100" i="31"/>
  <c r="AA1099" i="31"/>
  <c r="AA1098" i="31"/>
  <c r="AA1097" i="31"/>
  <c r="AA1096" i="31"/>
  <c r="AA1095" i="31"/>
  <c r="AA1094" i="31"/>
  <c r="AA1093" i="31"/>
  <c r="AA1092" i="31"/>
  <c r="AA1091" i="31"/>
  <c r="AA1090" i="31"/>
  <c r="AA1089" i="31"/>
  <c r="AA1088" i="31"/>
  <c r="AA1087" i="31"/>
  <c r="AA1086" i="31"/>
  <c r="AA1085" i="31"/>
  <c r="AA1084" i="31"/>
  <c r="AA1083" i="31"/>
  <c r="AA1082" i="31"/>
  <c r="AA1081" i="31"/>
  <c r="AA1080" i="31"/>
  <c r="AA1079" i="31"/>
  <c r="AA1078" i="31"/>
  <c r="AA1077" i="31"/>
  <c r="AA1076" i="31"/>
  <c r="AA1075" i="31"/>
  <c r="AA1074" i="31"/>
  <c r="AA1073" i="31"/>
  <c r="AA1072" i="31"/>
  <c r="AA1071" i="31"/>
  <c r="AA1070" i="31"/>
  <c r="AA1069" i="31"/>
  <c r="AA1068" i="31"/>
  <c r="AA1018" i="31"/>
  <c r="AA1067" i="31"/>
  <c r="AA1017" i="31"/>
  <c r="AA1066" i="31"/>
  <c r="AA1065" i="31"/>
  <c r="AA1064" i="31"/>
  <c r="AA1063" i="31"/>
  <c r="AA1062" i="31"/>
  <c r="AA1061" i="31"/>
  <c r="AA1060" i="31"/>
  <c r="AA1059" i="31"/>
  <c r="AA1058" i="31"/>
  <c r="AA1057" i="31"/>
  <c r="AA1056" i="31"/>
  <c r="AA1055" i="31"/>
  <c r="AA929" i="31"/>
  <c r="AA875" i="31"/>
  <c r="AA1054" i="31"/>
  <c r="AA1053" i="31"/>
  <c r="AA1052" i="31"/>
  <c r="AA1051" i="31"/>
  <c r="AA1050" i="31"/>
  <c r="AA1049" i="31"/>
  <c r="AA1048" i="31"/>
  <c r="AA1047" i="31"/>
  <c r="AA1046" i="31"/>
  <c r="AA1045" i="31"/>
  <c r="AA1044" i="31"/>
  <c r="AA1043" i="31"/>
  <c r="AA1042" i="31"/>
  <c r="AA1041" i="31"/>
  <c r="AA1040" i="31"/>
  <c r="AA1039" i="31"/>
  <c r="AA1038" i="31"/>
  <c r="AA1037" i="31"/>
  <c r="AA1036" i="31"/>
  <c r="AA1035" i="31"/>
  <c r="AA1034" i="31"/>
  <c r="AA1033" i="31"/>
  <c r="AA1032" i="31"/>
  <c r="AA1031" i="31"/>
  <c r="AA1030" i="31"/>
  <c r="AA1029" i="31"/>
  <c r="AA1028" i="31"/>
  <c r="AA1027" i="31"/>
  <c r="AA1026" i="31"/>
  <c r="AA1025" i="31"/>
  <c r="AA1024" i="31"/>
  <c r="AA1023" i="31"/>
  <c r="AA1022" i="31"/>
  <c r="AA1021" i="31"/>
  <c r="AA1020" i="31"/>
  <c r="AA1019" i="31"/>
  <c r="AA1015" i="31"/>
  <c r="AA1014" i="31"/>
  <c r="AA1013" i="31"/>
  <c r="AA1012" i="31"/>
  <c r="AA1011" i="31"/>
  <c r="AA1010" i="31"/>
  <c r="AA1009" i="31"/>
  <c r="AA1008" i="31"/>
  <c r="AA1007" i="31"/>
  <c r="AA1006" i="31"/>
  <c r="AA1005" i="31"/>
  <c r="AA1004" i="31"/>
  <c r="AA1003" i="31"/>
  <c r="AA1002" i="31"/>
  <c r="AA1001" i="31"/>
  <c r="AA1000" i="31"/>
  <c r="AA999" i="31"/>
  <c r="AA998" i="31"/>
  <c r="AA997" i="31"/>
  <c r="AA996" i="31"/>
  <c r="AA995" i="31"/>
  <c r="AA994" i="31"/>
  <c r="AA993" i="31"/>
  <c r="AA992" i="31"/>
  <c r="AA991" i="31"/>
  <c r="AA990" i="31"/>
  <c r="AA989" i="31"/>
  <c r="AA988" i="31"/>
  <c r="AA987" i="31"/>
  <c r="AA986" i="31"/>
  <c r="AA985" i="31"/>
  <c r="AA984" i="31"/>
  <c r="AA983" i="31"/>
  <c r="AA982" i="31"/>
  <c r="AA981" i="31"/>
  <c r="AA980" i="31"/>
  <c r="AA979" i="31"/>
  <c r="AA978" i="31"/>
  <c r="AA976" i="31"/>
  <c r="AA975" i="31"/>
  <c r="AA974" i="31"/>
  <c r="AA973" i="31"/>
  <c r="AA972" i="31"/>
  <c r="AA971" i="31"/>
  <c r="AA970" i="31"/>
  <c r="AA968" i="31"/>
  <c r="AA967" i="31"/>
  <c r="AA966" i="31"/>
  <c r="AA965" i="31"/>
  <c r="AA964" i="31"/>
  <c r="AA963" i="31"/>
  <c r="AA962" i="31"/>
  <c r="AA961" i="31"/>
  <c r="AA960" i="31"/>
  <c r="AA959" i="31"/>
  <c r="AA958" i="31"/>
  <c r="AA957" i="31"/>
  <c r="AA956" i="31"/>
  <c r="AA955" i="31"/>
  <c r="AA954" i="31"/>
  <c r="AA953" i="31"/>
  <c r="AA952" i="31"/>
  <c r="AA951" i="31"/>
  <c r="AA950" i="31"/>
  <c r="AA949" i="31"/>
  <c r="AA948" i="31"/>
  <c r="AA472" i="31"/>
  <c r="AA947" i="31"/>
  <c r="AA946" i="31"/>
  <c r="AA945" i="31"/>
  <c r="AA944" i="31"/>
  <c r="AA943" i="31"/>
  <c r="AA942" i="31"/>
  <c r="AA941" i="31"/>
  <c r="AA883" i="31"/>
  <c r="AA940" i="31"/>
  <c r="AA939" i="31"/>
  <c r="AA938" i="31"/>
  <c r="AA937" i="31"/>
  <c r="AA936" i="31"/>
  <c r="AA935" i="31"/>
  <c r="AA934" i="31"/>
  <c r="AA933" i="31"/>
  <c r="AA932" i="31"/>
  <c r="AA931" i="31"/>
  <c r="AA930" i="31"/>
  <c r="AA928" i="31"/>
  <c r="AA927" i="31"/>
  <c r="AA926" i="31"/>
  <c r="AA925" i="31"/>
  <c r="AA924" i="31"/>
  <c r="AA922" i="31"/>
  <c r="AA921" i="31"/>
  <c r="AA920" i="31"/>
  <c r="AA919" i="31"/>
  <c r="AA918" i="31"/>
  <c r="AA917" i="31"/>
  <c r="AA916" i="31"/>
  <c r="AA915" i="31"/>
  <c r="AA914" i="31"/>
  <c r="AA913" i="31"/>
  <c r="AA276" i="31"/>
  <c r="AA912" i="31"/>
  <c r="AA911" i="31"/>
  <c r="AA910" i="31"/>
  <c r="AA909" i="31"/>
  <c r="AA908" i="31"/>
  <c r="AA907" i="31"/>
  <c r="AA906" i="31"/>
  <c r="AA905" i="31"/>
  <c r="AA904" i="31"/>
  <c r="AA903" i="31"/>
  <c r="AA902" i="31"/>
  <c r="AA901" i="31"/>
  <c r="AA900" i="31"/>
  <c r="AA899" i="31"/>
  <c r="AA897" i="31"/>
  <c r="AA896" i="31"/>
  <c r="AA895" i="31"/>
  <c r="AA894" i="31"/>
  <c r="AA893" i="31"/>
  <c r="AA892" i="31"/>
  <c r="AA891" i="31"/>
  <c r="AA890" i="31"/>
  <c r="AA889" i="31"/>
  <c r="AA888" i="31"/>
  <c r="AA887" i="31"/>
  <c r="AA886" i="31"/>
  <c r="AA885" i="31"/>
  <c r="AA884" i="31"/>
  <c r="AA882" i="31"/>
  <c r="AA844" i="31"/>
  <c r="AA881" i="31"/>
  <c r="AA880" i="31"/>
  <c r="AA879" i="31"/>
  <c r="AA878" i="31"/>
  <c r="AA843" i="31"/>
  <c r="AA877" i="31"/>
  <c r="AA845" i="31"/>
  <c r="AA876" i="31"/>
  <c r="AA842" i="31"/>
  <c r="AA874" i="31"/>
  <c r="AA873" i="31"/>
  <c r="AA872" i="31"/>
  <c r="AA871" i="31"/>
  <c r="AA852" i="31"/>
  <c r="AA870" i="31"/>
  <c r="AA851" i="31"/>
  <c r="AA869" i="31"/>
  <c r="AA850" i="31"/>
  <c r="AA868" i="31"/>
  <c r="AA853" i="31"/>
  <c r="AA866" i="31"/>
  <c r="AA865" i="31"/>
  <c r="AA864" i="31"/>
  <c r="AA863" i="31"/>
  <c r="AA862" i="31"/>
  <c r="AA861" i="31"/>
  <c r="AA859" i="31"/>
  <c r="AA858" i="31"/>
  <c r="AA857" i="31"/>
  <c r="AA856" i="31"/>
  <c r="AA855" i="31"/>
  <c r="AA854" i="31"/>
  <c r="AA849" i="31"/>
  <c r="AA848" i="31"/>
  <c r="AA847" i="31"/>
  <c r="AA846" i="31"/>
  <c r="AA841" i="31"/>
  <c r="AA840" i="31"/>
  <c r="AA839" i="31"/>
  <c r="AA838" i="31"/>
  <c r="AA837" i="31"/>
  <c r="AA836" i="31"/>
  <c r="AA835" i="31"/>
  <c r="AA834" i="31"/>
  <c r="AA833" i="31"/>
  <c r="AA832" i="31"/>
  <c r="AA831" i="31"/>
  <c r="AA830" i="31"/>
  <c r="AA829" i="31"/>
  <c r="AA828" i="31"/>
  <c r="AA826" i="31"/>
  <c r="AA825" i="31"/>
  <c r="AA824" i="31"/>
  <c r="AA823" i="31"/>
  <c r="AA822" i="31"/>
  <c r="AA821" i="31"/>
  <c r="AA820" i="31"/>
  <c r="AA819" i="31"/>
  <c r="AA818" i="31"/>
  <c r="AA817" i="31"/>
  <c r="AA816" i="31"/>
  <c r="AA815" i="31"/>
  <c r="AA814" i="31"/>
  <c r="AA813" i="31"/>
  <c r="AA812" i="31"/>
  <c r="AA811" i="31"/>
  <c r="AA808" i="31"/>
  <c r="AA809" i="31"/>
  <c r="AA807" i="31"/>
  <c r="AA805" i="31"/>
  <c r="AA804" i="31"/>
  <c r="AA803" i="31"/>
  <c r="AA802" i="31"/>
  <c r="AA801" i="31"/>
  <c r="AA800" i="31"/>
  <c r="AA799" i="31"/>
  <c r="AA798" i="31"/>
  <c r="AA789" i="31"/>
  <c r="AA797" i="31"/>
  <c r="AA796" i="31"/>
  <c r="AA795" i="31"/>
  <c r="AA794" i="31"/>
  <c r="AA779" i="31"/>
  <c r="AA793" i="31"/>
  <c r="AA763" i="31"/>
  <c r="AA792" i="31"/>
  <c r="AA791" i="31"/>
  <c r="AA790" i="31"/>
  <c r="AA788" i="31"/>
  <c r="AA786" i="31"/>
  <c r="AA785" i="31"/>
  <c r="AA784" i="31"/>
  <c r="AA783" i="31"/>
  <c r="AA782" i="31"/>
  <c r="AA781" i="31"/>
  <c r="AA780" i="31"/>
  <c r="AA778" i="31"/>
  <c r="AA777" i="31"/>
  <c r="AA776" i="31"/>
  <c r="AA775" i="31"/>
  <c r="AA774" i="31"/>
  <c r="AA773" i="31"/>
  <c r="AA772" i="31"/>
  <c r="AA771" i="31"/>
  <c r="AA770" i="31"/>
  <c r="AA769" i="31"/>
  <c r="AA768" i="31"/>
  <c r="AA767" i="31"/>
  <c r="AA766" i="31"/>
  <c r="AA765" i="31"/>
  <c r="AA761" i="31"/>
  <c r="AA760" i="31"/>
  <c r="AA759" i="31"/>
  <c r="AA758" i="31"/>
  <c r="AA757" i="31"/>
  <c r="AA756" i="31"/>
  <c r="AA755" i="31"/>
  <c r="AA754" i="31"/>
  <c r="AA753" i="31"/>
  <c r="AA752" i="31"/>
  <c r="AA751" i="31"/>
  <c r="AA750" i="31"/>
  <c r="AA749" i="31"/>
  <c r="AA748" i="31"/>
  <c r="AA747" i="31"/>
  <c r="AA746" i="31"/>
  <c r="AA745" i="31"/>
  <c r="AA744" i="31"/>
  <c r="AA743" i="31"/>
  <c r="AA742" i="31"/>
  <c r="AA741" i="31"/>
  <c r="AA740" i="31"/>
  <c r="AA739" i="31"/>
  <c r="AA738" i="31"/>
  <c r="AA737" i="31"/>
  <c r="AA736" i="31"/>
  <c r="AA735" i="31"/>
  <c r="AA734" i="31"/>
  <c r="AA733" i="31"/>
  <c r="AA732" i="31"/>
  <c r="AA729" i="31"/>
  <c r="AA728" i="31"/>
  <c r="AA727" i="31"/>
  <c r="AA726" i="31"/>
  <c r="AA725" i="31"/>
  <c r="AA724" i="31"/>
  <c r="AA723" i="31"/>
  <c r="AA716" i="31"/>
  <c r="AA714" i="31"/>
  <c r="AA694" i="31"/>
  <c r="AA722" i="31"/>
  <c r="AA721" i="31"/>
  <c r="AA720" i="31"/>
  <c r="AA719" i="31"/>
  <c r="AA715" i="31"/>
  <c r="AA717" i="31"/>
  <c r="AA713" i="31"/>
  <c r="AA712" i="31"/>
  <c r="AA711" i="31"/>
  <c r="AA710" i="31"/>
  <c r="AA709" i="31"/>
  <c r="AA708" i="31"/>
  <c r="AA707" i="31"/>
  <c r="AA706" i="31"/>
  <c r="AA705" i="31"/>
  <c r="AA704" i="31"/>
  <c r="AA703" i="31"/>
  <c r="AA702" i="31"/>
  <c r="AA701" i="31"/>
  <c r="AA693" i="31"/>
  <c r="AA692" i="31"/>
  <c r="AA700" i="31"/>
  <c r="AA687" i="31"/>
  <c r="AA657" i="31"/>
  <c r="AA699" i="31"/>
  <c r="AA698" i="31"/>
  <c r="AA656" i="31"/>
  <c r="AA697" i="31"/>
  <c r="AA718" i="31"/>
  <c r="AA696" i="31"/>
  <c r="AA695" i="31"/>
  <c r="AA691" i="31"/>
  <c r="AA690" i="31"/>
  <c r="AA689" i="31"/>
  <c r="AA688" i="31"/>
  <c r="AA664" i="31"/>
  <c r="AA663" i="31"/>
  <c r="AA655" i="31"/>
  <c r="AA652" i="31"/>
  <c r="AA686" i="31"/>
  <c r="AA685" i="31"/>
  <c r="AA684" i="31"/>
  <c r="AA683" i="31"/>
  <c r="AA682" i="31"/>
  <c r="AA681" i="31"/>
  <c r="AA680" i="31"/>
  <c r="AA679" i="31"/>
  <c r="AA678" i="31"/>
  <c r="AA677" i="31"/>
  <c r="AA676" i="31"/>
  <c r="AA675" i="31"/>
  <c r="AA674" i="31"/>
  <c r="AA673" i="31"/>
  <c r="AA672" i="31"/>
  <c r="AA671" i="31"/>
  <c r="AA670" i="31"/>
  <c r="AA669" i="31"/>
  <c r="AA668" i="31"/>
  <c r="AA667" i="31"/>
  <c r="AA666" i="31"/>
  <c r="AA665" i="31"/>
  <c r="AA662" i="31"/>
  <c r="AA661" i="31"/>
  <c r="AA660" i="31"/>
  <c r="AA659" i="31"/>
  <c r="AA658" i="31"/>
  <c r="AA654" i="31"/>
  <c r="AA653" i="31"/>
  <c r="AA651" i="31"/>
  <c r="AA650" i="31"/>
  <c r="AA649" i="31"/>
  <c r="AA648" i="31"/>
  <c r="AA647" i="31"/>
  <c r="AA646" i="31"/>
  <c r="AA627" i="31"/>
  <c r="AA610" i="31"/>
  <c r="AA609" i="31"/>
  <c r="AA579" i="31"/>
  <c r="AA578" i="31"/>
  <c r="AA645" i="31"/>
  <c r="AA636" i="31"/>
  <c r="AA635" i="31"/>
  <c r="AA633" i="31"/>
  <c r="AA632" i="31"/>
  <c r="AA631" i="31"/>
  <c r="AA644" i="31"/>
  <c r="AA634" i="31"/>
  <c r="AA630" i="31"/>
  <c r="AA629" i="31"/>
  <c r="AA628" i="31"/>
  <c r="AA626" i="31"/>
  <c r="AA622" i="31"/>
  <c r="AA621" i="31"/>
  <c r="AA572" i="31"/>
  <c r="AA643" i="31"/>
  <c r="AA642" i="31"/>
  <c r="AA641" i="31"/>
  <c r="AA640" i="31"/>
  <c r="AA639" i="31"/>
  <c r="AA638" i="31"/>
  <c r="AA637" i="31"/>
  <c r="AA625" i="31"/>
  <c r="AA594" i="31"/>
  <c r="AA574" i="31"/>
  <c r="AA624" i="31"/>
  <c r="AA623" i="31"/>
  <c r="AA614" i="31"/>
  <c r="AA620" i="31"/>
  <c r="AA566" i="31"/>
  <c r="AA619" i="31"/>
  <c r="AA618" i="31"/>
  <c r="AA617" i="31"/>
  <c r="AA616" i="31"/>
  <c r="AA615" i="31"/>
  <c r="AA613" i="31"/>
  <c r="AA612" i="31"/>
  <c r="AA611" i="31"/>
  <c r="AA608" i="31"/>
  <c r="AA607" i="31"/>
  <c r="AA606" i="31"/>
  <c r="AA605" i="31"/>
  <c r="AA604" i="31"/>
  <c r="AA603" i="31"/>
  <c r="AA602" i="31"/>
  <c r="AA601" i="31"/>
  <c r="AA600" i="31"/>
  <c r="AA599" i="31"/>
  <c r="AA598" i="31"/>
  <c r="AA597" i="31"/>
  <c r="AA596" i="31"/>
  <c r="AA595" i="31"/>
  <c r="AA592" i="31"/>
  <c r="AA593" i="31"/>
  <c r="AA591" i="31"/>
  <c r="AA590" i="31"/>
  <c r="AA588" i="31"/>
  <c r="AA561" i="31"/>
  <c r="AA528" i="31"/>
  <c r="AA587" i="31"/>
  <c r="AA586" i="31"/>
  <c r="AA585" i="31"/>
  <c r="AA584" i="31"/>
  <c r="AA583" i="31"/>
  <c r="AA582" i="31"/>
  <c r="AA581" i="31"/>
  <c r="AA580" i="31"/>
  <c r="AA576" i="31"/>
  <c r="AA575" i="31"/>
  <c r="AA571" i="31"/>
  <c r="AA570" i="31"/>
  <c r="AA569" i="31"/>
  <c r="AA568" i="31"/>
  <c r="AA567" i="31"/>
  <c r="AA564" i="31"/>
  <c r="AA565" i="31"/>
  <c r="AA563" i="31"/>
  <c r="AA560" i="31"/>
  <c r="AA559" i="31"/>
  <c r="AA558" i="31"/>
  <c r="AA557" i="31"/>
  <c r="AA556" i="31"/>
  <c r="AA555" i="31"/>
  <c r="AA554" i="31"/>
  <c r="AA553" i="31"/>
  <c r="AA552" i="31"/>
  <c r="AA551" i="31"/>
  <c r="AA550" i="31"/>
  <c r="AA549" i="31"/>
  <c r="AA548" i="31"/>
  <c r="AA547" i="31"/>
  <c r="AA546" i="31"/>
  <c r="AA545" i="31"/>
  <c r="AA544" i="31"/>
  <c r="AA543" i="31"/>
  <c r="AA542" i="31"/>
  <c r="AA541" i="31"/>
  <c r="AA540" i="31"/>
  <c r="AA539" i="31"/>
  <c r="AA538" i="31"/>
  <c r="AA537" i="31"/>
  <c r="AA536" i="31"/>
  <c r="AA535" i="31"/>
  <c r="AA534" i="31"/>
  <c r="AA533" i="31"/>
  <c r="AA532" i="31"/>
  <c r="AA531" i="31"/>
  <c r="AA530" i="31"/>
  <c r="AA529" i="31"/>
  <c r="AA527" i="31"/>
  <c r="AA525" i="31"/>
  <c r="AA526" i="31"/>
  <c r="AA524" i="31"/>
  <c r="AA523" i="31"/>
  <c r="AA518" i="31"/>
  <c r="AA470" i="31"/>
  <c r="AA467" i="31"/>
  <c r="AA437" i="31"/>
  <c r="AA426" i="31"/>
  <c r="AA522" i="31"/>
  <c r="AA521" i="31"/>
  <c r="AA520" i="31"/>
  <c r="AA519" i="31"/>
  <c r="AA517" i="31"/>
  <c r="AA516" i="31"/>
  <c r="AA515" i="31"/>
  <c r="AA514" i="31"/>
  <c r="AA513" i="31"/>
  <c r="AA512" i="31"/>
  <c r="AA511" i="31"/>
  <c r="AA510" i="31"/>
  <c r="AA509" i="31"/>
  <c r="AA508" i="31"/>
  <c r="AA507" i="31"/>
  <c r="AA504" i="31"/>
  <c r="AA506" i="31"/>
  <c r="AA505" i="31"/>
  <c r="AA501" i="31"/>
  <c r="AA503" i="31"/>
  <c r="AA502" i="31"/>
  <c r="AA498" i="31"/>
  <c r="AA500" i="31"/>
  <c r="AA499" i="31"/>
  <c r="AA495" i="31"/>
  <c r="AA497" i="31"/>
  <c r="AA496" i="31"/>
  <c r="AA492" i="31"/>
  <c r="AA494" i="31"/>
  <c r="AA493" i="31"/>
  <c r="AA491" i="31"/>
  <c r="AA490" i="31"/>
  <c r="AA489" i="31"/>
  <c r="AA488" i="31"/>
  <c r="AA487" i="31"/>
  <c r="AA486" i="31"/>
  <c r="AA485" i="31"/>
  <c r="AA484" i="31"/>
  <c r="AA483" i="31"/>
  <c r="AA482" i="31"/>
  <c r="AA481" i="31"/>
  <c r="AA480" i="31"/>
  <c r="AA479" i="31"/>
  <c r="AA478" i="31"/>
  <c r="AA477" i="31"/>
  <c r="AA476" i="31"/>
  <c r="AA475" i="31"/>
  <c r="AA474" i="31"/>
  <c r="AA473" i="31"/>
  <c r="AA469" i="31"/>
  <c r="AA471" i="31"/>
  <c r="AA468" i="31"/>
  <c r="AA466" i="31"/>
  <c r="AA465" i="31"/>
  <c r="AA464" i="31"/>
  <c r="AA463" i="31"/>
  <c r="AA462" i="31"/>
  <c r="AA461" i="31"/>
  <c r="AA460" i="31"/>
  <c r="AA459" i="31"/>
  <c r="AA458" i="31"/>
  <c r="AA457" i="31"/>
  <c r="AA456" i="31"/>
  <c r="AA455" i="31"/>
  <c r="AA454" i="31"/>
  <c r="AA453" i="31"/>
  <c r="AA452" i="31"/>
  <c r="AA451" i="31"/>
  <c r="AA450" i="31"/>
  <c r="AA449" i="31"/>
  <c r="AA448" i="31"/>
  <c r="AA447" i="31"/>
  <c r="AA446" i="31"/>
  <c r="AA445" i="31"/>
  <c r="AA444" i="31"/>
  <c r="AA443" i="31"/>
  <c r="AA442" i="31"/>
  <c r="AA441" i="31"/>
  <c r="AA440" i="31"/>
  <c r="AA439" i="31"/>
  <c r="AA435" i="31"/>
  <c r="AA438" i="31"/>
  <c r="AA434" i="31"/>
  <c r="AA436" i="31"/>
  <c r="AA433" i="31"/>
  <c r="AA432" i="31"/>
  <c r="AA431" i="31"/>
  <c r="AA430" i="31"/>
  <c r="AA429" i="31"/>
  <c r="AA428" i="31"/>
  <c r="AA427" i="31"/>
  <c r="AA425" i="31"/>
  <c r="AA424" i="31"/>
  <c r="AA423" i="31"/>
  <c r="AA422" i="31"/>
  <c r="AA421" i="31"/>
  <c r="AA420" i="31"/>
  <c r="AA419" i="31"/>
  <c r="AA418" i="31"/>
  <c r="AA417" i="31"/>
  <c r="AA416" i="31"/>
  <c r="AA415" i="31"/>
  <c r="AA414" i="31"/>
  <c r="AA413" i="31"/>
  <c r="AA412" i="31"/>
  <c r="AA411" i="31"/>
  <c r="AA410" i="31"/>
  <c r="AA409" i="31"/>
  <c r="AA408" i="31"/>
  <c r="AA407" i="31"/>
  <c r="AA406" i="31"/>
  <c r="AA405" i="31"/>
  <c r="AA401" i="31"/>
  <c r="AA404" i="31"/>
  <c r="AA403" i="31"/>
  <c r="AA402" i="31"/>
  <c r="AA400" i="31"/>
  <c r="AA399" i="31"/>
  <c r="AA398" i="31"/>
  <c r="AA397" i="31"/>
  <c r="AA396" i="31"/>
  <c r="AA395" i="31"/>
  <c r="AA394" i="31"/>
  <c r="AA393" i="31"/>
  <c r="AA392" i="31"/>
  <c r="AA391" i="31"/>
  <c r="AA390" i="31"/>
  <c r="AA389" i="31"/>
  <c r="AA388" i="31"/>
  <c r="AA387" i="31"/>
  <c r="AA386" i="31"/>
  <c r="AA385" i="31"/>
  <c r="AA384" i="31"/>
  <c r="AA383" i="31"/>
  <c r="AA382" i="31"/>
  <c r="AA381" i="31"/>
  <c r="AA380" i="31"/>
  <c r="AA379" i="31"/>
  <c r="AA378" i="31"/>
  <c r="AA377" i="31"/>
  <c r="AA376" i="31"/>
  <c r="AA76" i="31"/>
  <c r="AA375" i="31"/>
  <c r="AA75" i="31"/>
  <c r="AA374" i="31"/>
  <c r="AA373" i="31"/>
  <c r="AA372" i="31"/>
  <c r="AA371" i="31"/>
  <c r="AA370" i="31"/>
  <c r="AA369" i="31"/>
  <c r="AA368" i="31"/>
  <c r="AA367" i="31"/>
  <c r="AA366" i="31"/>
  <c r="AA365" i="31"/>
  <c r="AA364" i="31"/>
  <c r="AA363" i="31"/>
  <c r="AA362" i="31"/>
  <c r="AA361" i="31"/>
  <c r="AA360" i="31"/>
  <c r="AA359" i="31"/>
  <c r="AA358" i="31"/>
  <c r="AA357" i="31"/>
  <c r="AA356" i="31"/>
  <c r="AA355" i="31"/>
  <c r="AA354" i="31"/>
  <c r="AA353" i="31"/>
  <c r="AA352" i="31"/>
  <c r="AA351" i="31"/>
  <c r="AA350" i="31"/>
  <c r="AA349" i="31"/>
  <c r="AA343" i="31"/>
  <c r="AA348" i="31"/>
  <c r="AA347" i="31"/>
  <c r="AA346" i="31"/>
  <c r="AA327" i="31"/>
  <c r="AA345" i="31"/>
  <c r="AA344" i="31"/>
  <c r="AA334" i="31"/>
  <c r="AA321" i="31"/>
  <c r="AA341" i="31"/>
  <c r="AA340" i="31"/>
  <c r="AA342" i="31"/>
  <c r="AA339" i="31"/>
  <c r="AA338" i="31"/>
  <c r="AA337" i="31"/>
  <c r="AA336" i="31"/>
  <c r="AA335" i="31"/>
  <c r="AA333" i="31"/>
  <c r="AA332" i="31"/>
  <c r="AA331" i="31"/>
  <c r="AA330" i="31"/>
  <c r="AA329" i="31"/>
  <c r="AA328" i="31"/>
  <c r="AA326" i="31"/>
  <c r="AA325" i="31"/>
  <c r="AA324" i="31"/>
  <c r="AA323" i="31"/>
  <c r="AA322" i="31"/>
  <c r="AA308" i="31"/>
  <c r="AA284" i="31"/>
  <c r="AA320" i="31"/>
  <c r="AA319" i="31"/>
  <c r="AA318" i="31"/>
  <c r="AA317" i="31"/>
  <c r="AA316" i="31"/>
  <c r="AA315" i="31"/>
  <c r="AA307" i="31"/>
  <c r="AA306" i="31"/>
  <c r="AA290" i="31"/>
  <c r="AA289" i="31"/>
  <c r="AA288" i="31"/>
  <c r="AA287" i="31"/>
  <c r="AA286" i="31"/>
  <c r="AA281" i="31"/>
  <c r="AA280" i="31"/>
  <c r="AA279" i="31"/>
  <c r="AA278" i="31"/>
  <c r="AA274" i="31"/>
  <c r="AA256" i="31"/>
  <c r="AA228" i="31"/>
  <c r="AA314" i="31"/>
  <c r="AA313" i="31"/>
  <c r="AA312" i="31"/>
  <c r="AA311" i="31"/>
  <c r="AA310" i="31"/>
  <c r="AA309" i="31"/>
  <c r="AA263" i="31"/>
  <c r="AA305" i="31"/>
  <c r="AA304" i="31"/>
  <c r="AA303" i="31"/>
  <c r="AA302" i="31"/>
  <c r="AA301" i="31"/>
  <c r="AA300" i="31"/>
  <c r="AA299" i="31"/>
  <c r="AA298" i="31"/>
  <c r="AA297" i="31"/>
  <c r="AA296" i="31"/>
  <c r="AA295" i="31"/>
  <c r="AA294" i="31"/>
  <c r="AA293" i="31"/>
  <c r="AA292" i="31"/>
  <c r="AA291" i="31"/>
  <c r="AA285" i="31"/>
  <c r="AA283" i="31"/>
  <c r="AA282" i="31"/>
  <c r="AA277" i="31"/>
  <c r="AA275" i="31"/>
  <c r="AA273" i="31"/>
  <c r="AA267" i="31"/>
  <c r="AA272" i="31"/>
  <c r="AA255" i="31"/>
  <c r="AA271" i="31"/>
  <c r="AA270" i="31"/>
  <c r="AA269" i="31"/>
  <c r="AA266" i="31"/>
  <c r="AA268" i="31"/>
  <c r="AA264" i="31"/>
  <c r="AA262" i="31"/>
  <c r="AA265" i="31"/>
  <c r="AA261" i="31"/>
  <c r="AA260" i="31"/>
  <c r="AA259" i="31"/>
  <c r="AA258" i="31"/>
  <c r="AA257" i="31"/>
  <c r="AA254" i="31"/>
  <c r="AA233" i="31"/>
  <c r="AA253" i="31"/>
  <c r="AA252" i="31"/>
  <c r="AA251" i="31"/>
  <c r="AA137" i="31"/>
  <c r="AA250" i="31"/>
  <c r="AA249" i="31"/>
  <c r="AA248" i="31"/>
  <c r="AA247" i="31"/>
  <c r="AA246" i="31"/>
  <c r="AA245" i="31"/>
  <c r="AA244" i="31"/>
  <c r="AA243" i="31"/>
  <c r="AA242" i="31"/>
  <c r="AA241" i="31"/>
  <c r="AA240" i="31"/>
  <c r="AA239" i="31"/>
  <c r="AA238" i="31"/>
  <c r="AA237" i="31"/>
  <c r="AA236" i="31"/>
  <c r="AA234" i="31"/>
  <c r="AA232" i="31"/>
  <c r="AA227" i="31"/>
  <c r="AA231" i="31"/>
  <c r="AA230" i="31"/>
  <c r="AA229" i="31"/>
  <c r="AA219" i="31"/>
  <c r="AA218" i="31"/>
  <c r="AA172" i="31"/>
  <c r="AA148" i="31"/>
  <c r="AA226" i="31"/>
  <c r="AA225" i="31"/>
  <c r="AA224" i="31"/>
  <c r="AA223" i="31"/>
  <c r="AA222" i="31"/>
  <c r="AA221" i="31"/>
  <c r="AA220" i="31"/>
  <c r="AA217" i="31"/>
  <c r="AA216" i="31"/>
  <c r="AA215" i="31"/>
  <c r="AA214" i="31"/>
  <c r="AA213" i="31"/>
  <c r="AA212" i="31"/>
  <c r="AA211" i="31"/>
  <c r="AA210" i="31"/>
  <c r="AA209" i="31"/>
  <c r="AA208" i="31"/>
  <c r="AA207" i="31"/>
  <c r="AA206" i="31"/>
  <c r="AA205" i="31"/>
  <c r="AA204" i="31"/>
  <c r="AA203" i="31"/>
  <c r="AA201" i="31"/>
  <c r="AA200" i="31"/>
  <c r="AA192" i="31"/>
  <c r="AA186" i="31"/>
  <c r="AA175" i="31"/>
  <c r="AA162" i="31"/>
  <c r="AA199" i="31"/>
  <c r="AA198" i="31"/>
  <c r="AA194" i="31"/>
  <c r="AA193" i="31"/>
  <c r="AA190" i="31"/>
  <c r="AA189" i="31"/>
  <c r="AA196" i="31"/>
  <c r="AA195" i="31"/>
  <c r="AA191" i="31"/>
  <c r="AA188" i="31"/>
  <c r="AA185" i="31"/>
  <c r="AA174" i="31"/>
  <c r="AA170" i="31"/>
  <c r="AA143" i="31"/>
  <c r="AA187" i="31"/>
  <c r="AA184" i="31"/>
  <c r="AA173" i="31"/>
  <c r="AA169" i="31"/>
  <c r="AA149" i="31"/>
  <c r="AA183" i="31"/>
  <c r="AA182" i="31"/>
  <c r="AA181" i="31"/>
  <c r="AA180" i="31"/>
  <c r="AA179" i="31"/>
  <c r="AA178" i="31"/>
  <c r="AA177" i="31"/>
  <c r="AA176" i="31"/>
  <c r="AA165" i="31"/>
  <c r="AA164" i="31"/>
  <c r="AA163" i="31"/>
  <c r="AA161" i="31"/>
  <c r="AA153" i="31"/>
  <c r="AA131" i="31"/>
  <c r="AA130" i="31"/>
  <c r="AA160" i="31"/>
  <c r="AA171" i="31"/>
  <c r="AA138" i="31"/>
  <c r="AA134" i="31"/>
  <c r="AA123" i="31"/>
  <c r="AA159" i="31"/>
  <c r="AA166" i="31"/>
  <c r="AA152" i="31"/>
  <c r="AA129" i="31"/>
  <c r="AA121" i="31"/>
  <c r="AA158" i="31"/>
  <c r="AA157" i="31"/>
  <c r="AA151" i="31"/>
  <c r="AA133" i="31"/>
  <c r="AA119" i="31"/>
  <c r="AA156" i="31"/>
  <c r="AA168" i="31"/>
  <c r="AA167" i="31"/>
  <c r="AA154" i="31"/>
  <c r="AA122" i="31"/>
  <c r="AA118" i="31"/>
  <c r="AA155" i="31"/>
  <c r="AA150" i="31"/>
  <c r="AA132" i="31"/>
  <c r="AA117" i="31"/>
  <c r="AA147" i="31"/>
  <c r="AA146" i="31"/>
  <c r="AA145" i="31"/>
  <c r="AA144" i="31"/>
  <c r="AA142" i="31"/>
  <c r="AA120" i="31"/>
  <c r="AA115" i="31"/>
  <c r="AA141" i="31"/>
  <c r="AA116" i="31"/>
  <c r="AA140" i="31"/>
  <c r="AA112" i="31"/>
  <c r="AA111" i="31"/>
  <c r="AA106" i="31"/>
  <c r="AA139" i="31"/>
  <c r="AA136" i="31"/>
  <c r="AA126" i="31"/>
  <c r="AA135" i="31"/>
  <c r="AA125" i="31"/>
  <c r="AA128" i="31"/>
  <c r="AA127" i="31"/>
  <c r="AA124" i="31"/>
  <c r="AA114" i="31"/>
  <c r="AA93" i="31"/>
  <c r="AA92" i="31"/>
  <c r="AA90" i="31"/>
  <c r="AA74" i="31"/>
  <c r="AA113" i="31"/>
  <c r="AA80" i="31"/>
  <c r="AA73" i="31"/>
  <c r="AA110" i="31"/>
  <c r="AA109" i="31"/>
  <c r="AA108" i="31"/>
  <c r="AA107" i="31"/>
  <c r="AA105" i="31"/>
  <c r="AA104" i="31"/>
  <c r="AA103" i="31"/>
  <c r="AA102" i="31"/>
  <c r="AA101" i="31"/>
  <c r="AA100" i="31"/>
  <c r="AA99" i="31"/>
  <c r="AA98" i="31"/>
  <c r="AA97" i="31"/>
  <c r="AA96" i="31"/>
  <c r="AA95" i="31"/>
  <c r="AA78" i="31"/>
  <c r="AA94" i="31"/>
  <c r="AA79" i="31"/>
  <c r="AA91" i="31"/>
  <c r="AA89" i="31"/>
  <c r="AA88" i="31"/>
  <c r="AA87" i="31"/>
  <c r="AA86" i="31"/>
  <c r="AA85" i="31"/>
  <c r="AA84" i="31"/>
  <c r="AA83" i="31"/>
  <c r="AA82" i="31"/>
  <c r="AA81" i="31"/>
  <c r="AA77" i="31"/>
  <c r="AS448" i="31" l="1"/>
  <c r="AS432" i="31"/>
  <c r="AS360" i="31"/>
  <c r="AT360" i="31"/>
  <c r="AS397" i="31"/>
  <c r="AT397" i="31"/>
  <c r="AS443" i="31"/>
  <c r="AS442" i="31"/>
  <c r="AS362" i="31"/>
  <c r="AT362" i="31"/>
  <c r="AS322" i="31"/>
  <c r="AT322" i="31"/>
  <c r="AS419" i="31"/>
  <c r="AT419" i="31"/>
  <c r="AS447" i="31"/>
  <c r="AS431" i="31"/>
  <c r="AS399" i="31"/>
  <c r="AT399" i="31"/>
  <c r="AS396" i="31"/>
  <c r="AT396" i="31"/>
  <c r="AS380" i="31"/>
  <c r="AS364" i="31"/>
  <c r="AT364" i="31"/>
  <c r="AS449" i="31"/>
  <c r="AS433" i="31"/>
  <c r="AS430" i="31"/>
  <c r="AS398" i="31"/>
  <c r="AT398" i="31"/>
  <c r="AQ74" i="31"/>
  <c r="AQ194" i="31"/>
  <c r="AQ186" i="31"/>
  <c r="AQ170" i="31"/>
  <c r="AQ162" i="31"/>
  <c r="AQ150" i="31"/>
  <c r="AQ445" i="31"/>
  <c r="AQ257" i="31"/>
  <c r="AQ253" i="31"/>
  <c r="AQ249" i="31"/>
  <c r="AQ245" i="31"/>
  <c r="AQ241" i="31"/>
  <c r="AQ237" i="31"/>
  <c r="AQ233" i="31"/>
  <c r="AQ225" i="31"/>
  <c r="AQ193" i="31"/>
  <c r="AQ185" i="31"/>
  <c r="AQ229" i="31"/>
  <c r="AQ221" i="31"/>
  <c r="AQ464" i="31"/>
  <c r="AQ452" i="31"/>
  <c r="AQ359" i="31"/>
  <c r="AQ338" i="31"/>
  <c r="AQ323" i="31"/>
  <c r="AQ270" i="31"/>
  <c r="AQ251" i="31"/>
  <c r="AQ247" i="31"/>
  <c r="AQ243" i="31"/>
  <c r="AQ239" i="31"/>
  <c r="AQ235" i="31"/>
  <c r="AQ231" i="31"/>
  <c r="AQ227" i="31"/>
  <c r="AQ223" i="31"/>
  <c r="AQ144" i="31"/>
  <c r="AQ424" i="31"/>
  <c r="AQ372" i="31"/>
  <c r="AQ360" i="31"/>
  <c r="AQ352" i="31"/>
  <c r="AQ348" i="31"/>
  <c r="AQ324" i="31"/>
  <c r="AQ320" i="31"/>
  <c r="AQ316" i="31"/>
  <c r="AQ252" i="31"/>
  <c r="AQ248" i="31"/>
  <c r="AQ244" i="31"/>
  <c r="AQ240" i="31"/>
  <c r="AQ236" i="31"/>
  <c r="AQ232" i="31"/>
  <c r="AQ228" i="31"/>
  <c r="AQ224" i="31"/>
  <c r="AQ161" i="31"/>
  <c r="AQ138" i="31"/>
  <c r="AQ115" i="31"/>
  <c r="AQ406" i="31"/>
  <c r="AQ390" i="31"/>
  <c r="AQ354" i="31"/>
  <c r="AQ350" i="31"/>
  <c r="AQ250" i="31"/>
  <c r="AQ246" i="31"/>
  <c r="AQ242" i="31"/>
  <c r="AQ238" i="31"/>
  <c r="AQ234" i="31"/>
  <c r="AQ230" i="31"/>
  <c r="AQ226" i="31"/>
  <c r="AQ222" i="31"/>
  <c r="AQ73" i="31"/>
  <c r="AQ447" i="31"/>
  <c r="AQ351" i="31"/>
  <c r="AQ349" i="31"/>
  <c r="AQ318" i="31"/>
  <c r="AQ312" i="31"/>
  <c r="AQ311" i="31"/>
  <c r="AQ310" i="31"/>
  <c r="AQ309" i="31"/>
  <c r="AQ308" i="31"/>
  <c r="AQ307" i="31"/>
  <c r="AQ306" i="31"/>
  <c r="AQ305" i="31"/>
  <c r="AQ304" i="31"/>
  <c r="AQ303" i="31"/>
  <c r="AQ302" i="31"/>
  <c r="AQ301" i="31"/>
  <c r="AQ300" i="31"/>
  <c r="AQ299" i="31"/>
  <c r="AQ298" i="31"/>
  <c r="AQ297" i="31"/>
  <c r="AQ296" i="31"/>
  <c r="AQ295" i="31"/>
  <c r="AQ294" i="31"/>
  <c r="AQ293" i="31"/>
  <c r="AQ292" i="31"/>
  <c r="AQ291" i="31"/>
  <c r="AQ290" i="31"/>
  <c r="AQ289" i="31"/>
  <c r="AQ288" i="31"/>
  <c r="AQ287" i="31"/>
  <c r="AQ286" i="31"/>
  <c r="AQ285" i="31"/>
  <c r="AQ284" i="31"/>
  <c r="AQ283" i="31"/>
  <c r="AQ282" i="31"/>
  <c r="AQ281" i="31"/>
  <c r="AQ280" i="31"/>
  <c r="AQ279" i="31"/>
  <c r="AQ278" i="31"/>
  <c r="AQ277" i="31"/>
  <c r="AQ276" i="31"/>
  <c r="AQ275" i="31"/>
  <c r="AQ274" i="31"/>
  <c r="AQ273" i="31"/>
  <c r="AQ272" i="31"/>
  <c r="AQ271" i="31"/>
  <c r="AQ269" i="31"/>
  <c r="AQ268" i="31"/>
  <c r="AQ267" i="31"/>
  <c r="AQ206" i="31"/>
  <c r="AQ169" i="31"/>
  <c r="AQ264" i="31"/>
  <c r="AQ121" i="31"/>
  <c r="AQ119" i="31"/>
  <c r="AQ117" i="31"/>
  <c r="AQ400" i="31"/>
  <c r="AQ362" i="31"/>
  <c r="AQ346" i="31"/>
  <c r="AQ330" i="31"/>
  <c r="AQ326" i="31"/>
  <c r="AQ209" i="31"/>
  <c r="AQ178" i="31"/>
  <c r="AQ177" i="31"/>
  <c r="AQ152" i="31"/>
  <c r="AQ136" i="31"/>
  <c r="AQ388" i="31"/>
  <c r="AQ314" i="31"/>
  <c r="AQ460" i="31"/>
  <c r="AQ456" i="31"/>
  <c r="AQ446" i="31"/>
  <c r="AQ416" i="31"/>
  <c r="AQ402" i="31"/>
  <c r="AQ383" i="31"/>
  <c r="AQ373" i="31"/>
  <c r="AQ365" i="31"/>
  <c r="AQ363" i="31"/>
  <c r="AQ358" i="31"/>
  <c r="AQ344" i="31"/>
  <c r="AQ343" i="31"/>
  <c r="AQ335" i="31"/>
  <c r="AQ333" i="31"/>
  <c r="AQ322" i="31"/>
  <c r="AQ319" i="31"/>
  <c r="AQ317" i="31"/>
  <c r="AQ216" i="31"/>
  <c r="AQ182" i="31"/>
  <c r="AQ181" i="31"/>
  <c r="AQ166" i="31"/>
  <c r="AQ165" i="31"/>
  <c r="AQ153" i="31"/>
  <c r="AQ122" i="31"/>
  <c r="AQ120" i="31"/>
  <c r="AQ118" i="31"/>
  <c r="AQ113" i="31"/>
  <c r="AQ111" i="31"/>
  <c r="AQ110" i="31"/>
  <c r="AQ109" i="31"/>
  <c r="AQ108" i="31"/>
  <c r="AQ107" i="31"/>
  <c r="AQ106" i="31"/>
  <c r="AQ105" i="31"/>
  <c r="AQ104" i="31"/>
  <c r="AQ103" i="31"/>
  <c r="AQ102" i="31"/>
  <c r="AQ101" i="31"/>
  <c r="AQ100" i="31"/>
  <c r="AQ99" i="31"/>
  <c r="AQ98" i="31"/>
  <c r="AQ97" i="31"/>
  <c r="AQ96" i="31"/>
  <c r="AQ95" i="31"/>
  <c r="AQ94" i="31"/>
  <c r="AQ93" i="31"/>
  <c r="AQ92" i="31"/>
  <c r="AQ91" i="31"/>
  <c r="AQ90" i="31"/>
  <c r="AQ89" i="31"/>
  <c r="AQ88" i="31"/>
  <c r="AQ87" i="31"/>
  <c r="AQ86" i="31"/>
  <c r="AQ85" i="31"/>
  <c r="AQ84" i="31"/>
  <c r="AQ76" i="31"/>
  <c r="AQ75" i="31"/>
  <c r="AQ448" i="31"/>
  <c r="AQ444" i="31"/>
  <c r="AQ432" i="31"/>
  <c r="AQ399" i="31"/>
  <c r="AQ391" i="31"/>
  <c r="AQ386" i="31"/>
  <c r="AQ371" i="31"/>
  <c r="AQ356" i="31"/>
  <c r="AQ355" i="31"/>
  <c r="AQ200" i="31"/>
  <c r="AQ190" i="31"/>
  <c r="AQ189" i="31"/>
  <c r="AQ174" i="31"/>
  <c r="AQ173" i="31"/>
  <c r="AQ158" i="31"/>
  <c r="AQ128" i="31"/>
  <c r="AQ469" i="31"/>
  <c r="AQ466" i="31"/>
  <c r="AQ461" i="31"/>
  <c r="AQ384" i="31"/>
  <c r="AQ374" i="31"/>
  <c r="AQ364" i="31"/>
  <c r="AQ468" i="31"/>
  <c r="AQ404" i="31"/>
  <c r="AQ336" i="31"/>
  <c r="AQ130" i="31"/>
  <c r="AQ450" i="31"/>
  <c r="AQ430" i="31"/>
  <c r="AQ426" i="31"/>
  <c r="AQ420" i="31"/>
  <c r="AQ414" i="31"/>
  <c r="AQ410" i="31"/>
  <c r="AQ405" i="31"/>
  <c r="AQ398" i="31"/>
  <c r="AQ394" i="31"/>
  <c r="AQ389" i="31"/>
  <c r="AQ382" i="31"/>
  <c r="AQ375" i="31"/>
  <c r="AQ361" i="31"/>
  <c r="AQ342" i="31"/>
  <c r="AQ332" i="31"/>
  <c r="AQ266" i="31"/>
  <c r="AQ265" i="31"/>
  <c r="AQ212" i="31"/>
  <c r="AQ192" i="31"/>
  <c r="AQ191" i="31"/>
  <c r="AQ184" i="31"/>
  <c r="AQ183" i="31"/>
  <c r="AQ176" i="31"/>
  <c r="AQ175" i="31"/>
  <c r="AQ168" i="31"/>
  <c r="AQ167" i="31"/>
  <c r="AQ160" i="31"/>
  <c r="AQ159" i="31"/>
  <c r="AQ148" i="31"/>
  <c r="AQ146" i="31"/>
  <c r="AQ141" i="31"/>
  <c r="AQ132" i="31"/>
  <c r="AQ125" i="31"/>
  <c r="AQ214" i="31"/>
  <c r="AQ202" i="31"/>
  <c r="AQ458" i="31"/>
  <c r="AQ453" i="31"/>
  <c r="AQ433" i="31"/>
  <c r="AQ428" i="31"/>
  <c r="AQ422" i="31"/>
  <c r="AQ418" i="31"/>
  <c r="AQ412" i="31"/>
  <c r="AQ408" i="31"/>
  <c r="AQ396" i="31"/>
  <c r="AQ392" i="31"/>
  <c r="AQ370" i="31"/>
  <c r="AQ340" i="31"/>
  <c r="AQ339" i="31"/>
  <c r="AQ328" i="31"/>
  <c r="AQ327" i="31"/>
  <c r="AQ262" i="31"/>
  <c r="AQ261" i="31"/>
  <c r="AQ260" i="31"/>
  <c r="AQ259" i="31"/>
  <c r="AQ258" i="31"/>
  <c r="AQ220" i="31"/>
  <c r="AQ204" i="31"/>
  <c r="AQ203" i="31"/>
  <c r="AQ196" i="31"/>
  <c r="AQ195" i="31"/>
  <c r="AQ188" i="31"/>
  <c r="AQ187" i="31"/>
  <c r="AQ180" i="31"/>
  <c r="AQ179" i="31"/>
  <c r="AQ172" i="31"/>
  <c r="AQ171" i="31"/>
  <c r="AQ164" i="31"/>
  <c r="AQ163" i="31"/>
  <c r="AQ156" i="31"/>
  <c r="AQ147" i="31"/>
  <c r="AQ140" i="31"/>
  <c r="AQ133" i="31"/>
  <c r="AQ124" i="31"/>
  <c r="AQ114" i="31"/>
  <c r="AQ465" i="31"/>
  <c r="AQ462" i="31"/>
  <c r="AQ457" i="31"/>
  <c r="AQ454" i="31"/>
  <c r="AQ443" i="31"/>
  <c r="AQ442" i="31"/>
  <c r="AQ441" i="31"/>
  <c r="AQ440" i="31"/>
  <c r="AQ439" i="31"/>
  <c r="AQ438" i="31"/>
  <c r="AQ437" i="31"/>
  <c r="AQ436" i="31"/>
  <c r="AQ435" i="31"/>
  <c r="AQ434" i="31"/>
  <c r="AQ369" i="31"/>
  <c r="AQ368" i="31"/>
  <c r="AQ367" i="31"/>
  <c r="AQ366" i="31"/>
  <c r="AQ357" i="31"/>
  <c r="AQ347" i="31"/>
  <c r="AQ325" i="31"/>
  <c r="AQ315" i="31"/>
  <c r="AQ208" i="31"/>
  <c r="AQ198" i="31"/>
  <c r="AQ463" i="31"/>
  <c r="AQ455" i="31"/>
  <c r="AQ407" i="31"/>
  <c r="AQ380" i="31"/>
  <c r="AQ378" i="31"/>
  <c r="AQ376" i="31"/>
  <c r="AQ334" i="31"/>
  <c r="AQ449" i="31"/>
  <c r="AQ429" i="31"/>
  <c r="AQ427" i="31"/>
  <c r="AQ421" i="31"/>
  <c r="AQ419" i="31"/>
  <c r="AQ413" i="31"/>
  <c r="AQ397" i="31"/>
  <c r="AQ381" i="31"/>
  <c r="AQ341" i="31"/>
  <c r="AQ331" i="31"/>
  <c r="AQ467" i="31"/>
  <c r="AQ459" i="31"/>
  <c r="AQ451" i="31"/>
  <c r="AQ218" i="31"/>
  <c r="AQ210" i="31"/>
  <c r="AQ154" i="31"/>
  <c r="AQ149" i="31"/>
  <c r="AQ145" i="31"/>
  <c r="AQ142" i="31"/>
  <c r="AQ137" i="31"/>
  <c r="AQ134" i="31"/>
  <c r="AQ129" i="31"/>
  <c r="AQ126" i="31"/>
  <c r="AQ263" i="31"/>
  <c r="AQ207" i="31"/>
  <c r="AQ201" i="31"/>
  <c r="AQ197" i="31"/>
  <c r="AQ157" i="31"/>
  <c r="AQ155" i="31"/>
  <c r="AQ143" i="31"/>
  <c r="AQ135" i="31"/>
  <c r="AQ127" i="31"/>
  <c r="AQ353" i="31"/>
  <c r="AQ345" i="31"/>
  <c r="AQ337" i="31"/>
  <c r="AQ329" i="31"/>
  <c r="AQ321" i="31"/>
  <c r="AQ313" i="31"/>
  <c r="AQ256" i="31"/>
  <c r="AQ255" i="31"/>
  <c r="AQ254" i="31"/>
  <c r="AQ205" i="31"/>
  <c r="AQ199" i="31"/>
  <c r="AQ151" i="31"/>
  <c r="AQ139" i="31"/>
  <c r="AQ131" i="31"/>
  <c r="AQ123" i="31"/>
  <c r="AQ425" i="31"/>
  <c r="AQ417" i="31"/>
  <c r="AQ411" i="31"/>
  <c r="AQ403" i="31"/>
  <c r="AQ395" i="31"/>
  <c r="AQ387" i="31"/>
  <c r="AQ379" i="31"/>
  <c r="AQ431" i="31"/>
  <c r="AQ423" i="31"/>
  <c r="AQ415" i="31"/>
  <c r="AQ409" i="31"/>
  <c r="AQ401" i="31"/>
  <c r="AQ393" i="31"/>
  <c r="AQ385" i="31"/>
  <c r="AQ377" i="31"/>
  <c r="AQ219" i="31"/>
  <c r="AQ217" i="31"/>
  <c r="AQ215" i="31"/>
  <c r="AQ213" i="31"/>
  <c r="AQ211" i="31"/>
  <c r="AQ112" i="31"/>
  <c r="AQ116" i="31"/>
  <c r="V1811" i="31"/>
  <c r="V1812" i="31" s="1"/>
  <c r="X1811" i="31"/>
  <c r="X1812" i="31" l="1"/>
  <c r="N3" i="4" l="1"/>
  <c r="N4" i="4"/>
  <c r="N5" i="4"/>
  <c r="N2" i="4"/>
  <c r="N3" i="5"/>
  <c r="N4" i="5"/>
  <c r="N5" i="5"/>
  <c r="N2" i="5"/>
  <c r="N3" i="6"/>
  <c r="N4" i="6"/>
  <c r="N5" i="6"/>
  <c r="N2" i="6"/>
  <c r="R6" i="27" l="1"/>
  <c r="L14" i="27"/>
  <c r="N14" i="27"/>
  <c r="O14" i="27"/>
  <c r="P14" i="27"/>
  <c r="Q14" i="27"/>
  <c r="R14" i="27"/>
  <c r="G36" i="26"/>
  <c r="M14" i="27" l="1"/>
  <c r="AK13" i="31" l="1"/>
  <c r="AK12" i="31"/>
  <c r="D11" i="31"/>
  <c r="O3" i="31"/>
  <c r="O4" i="31" s="1"/>
  <c r="AA2" i="31"/>
  <c r="N7" i="4"/>
  <c r="N6" i="4"/>
  <c r="N7" i="5"/>
  <c r="N6" i="5"/>
  <c r="N7" i="6"/>
  <c r="N6" i="6"/>
  <c r="R65" i="27"/>
  <c r="Q65" i="27"/>
  <c r="P65" i="27"/>
  <c r="O65" i="27"/>
  <c r="N65" i="27"/>
  <c r="L65" i="27"/>
  <c r="R64" i="27"/>
  <c r="Q64" i="27"/>
  <c r="P64" i="27"/>
  <c r="O64" i="27"/>
  <c r="N64" i="27"/>
  <c r="L64" i="27"/>
  <c r="R63" i="27"/>
  <c r="Q63" i="27"/>
  <c r="P63" i="27"/>
  <c r="O63" i="27"/>
  <c r="N63" i="27"/>
  <c r="L63" i="27"/>
  <c r="R58" i="27"/>
  <c r="Q58" i="27"/>
  <c r="P58" i="27"/>
  <c r="O58" i="27"/>
  <c r="N58" i="27"/>
  <c r="L58" i="27"/>
  <c r="R46" i="27"/>
  <c r="Q46" i="27"/>
  <c r="P46" i="27"/>
  <c r="O46" i="27"/>
  <c r="N46" i="27"/>
  <c r="L46" i="27"/>
  <c r="R42" i="27"/>
  <c r="Q42" i="27"/>
  <c r="P42" i="27"/>
  <c r="O42" i="27"/>
  <c r="N42" i="27"/>
  <c r="L42" i="27"/>
  <c r="R38" i="27"/>
  <c r="Q38" i="27"/>
  <c r="P38" i="27"/>
  <c r="O38" i="27"/>
  <c r="N38" i="27"/>
  <c r="L38" i="27"/>
  <c r="R26" i="27"/>
  <c r="Q26" i="27"/>
  <c r="P26" i="27"/>
  <c r="O26" i="27"/>
  <c r="N26" i="27"/>
  <c r="L26" i="27"/>
  <c r="R24" i="27"/>
  <c r="Q24" i="27"/>
  <c r="P24" i="27"/>
  <c r="O24" i="27"/>
  <c r="N24" i="27"/>
  <c r="L24" i="27"/>
  <c r="R20" i="27"/>
  <c r="Q20" i="27"/>
  <c r="P20" i="27"/>
  <c r="O20" i="27"/>
  <c r="N20" i="27"/>
  <c r="L20" i="27"/>
  <c r="R16" i="27"/>
  <c r="Q16" i="27"/>
  <c r="P16" i="27"/>
  <c r="O16" i="27"/>
  <c r="N16" i="27"/>
  <c r="L16" i="27"/>
  <c r="AJ6" i="27"/>
  <c r="AA6" i="27"/>
  <c r="N62" i="27"/>
  <c r="O62" i="27"/>
  <c r="P62" i="27"/>
  <c r="Q62" i="27"/>
  <c r="R62" i="27"/>
  <c r="P56" i="27"/>
  <c r="Q56" i="27"/>
  <c r="R56" i="27"/>
  <c r="N12" i="27"/>
  <c r="O12" i="27"/>
  <c r="P12" i="27"/>
  <c r="Q12" i="27"/>
  <c r="R12" i="27"/>
  <c r="N36" i="27"/>
  <c r="O36" i="27"/>
  <c r="P36" i="27"/>
  <c r="Q36" i="27"/>
  <c r="R36" i="27"/>
  <c r="L60" i="27"/>
  <c r="O60" i="27"/>
  <c r="P60" i="27"/>
  <c r="Q60" i="27"/>
  <c r="R60" i="27"/>
  <c r="L34" i="27"/>
  <c r="O34" i="27"/>
  <c r="P34" i="27"/>
  <c r="Q34" i="27"/>
  <c r="R34" i="27"/>
  <c r="O10" i="27"/>
  <c r="P10" i="27"/>
  <c r="Q10" i="27"/>
  <c r="R10" i="27"/>
  <c r="N18" i="27"/>
  <c r="O18" i="27"/>
  <c r="P18" i="27"/>
  <c r="Q18" i="27"/>
  <c r="R18" i="27"/>
  <c r="N54" i="27"/>
  <c r="O54" i="27"/>
  <c r="P54" i="27"/>
  <c r="Q54" i="27"/>
  <c r="R54" i="27"/>
  <c r="N40" i="27"/>
  <c r="O40" i="27"/>
  <c r="P40" i="27"/>
  <c r="Q40" i="27"/>
  <c r="R40" i="27"/>
  <c r="L22" i="27"/>
  <c r="O22" i="27"/>
  <c r="P22" i="27"/>
  <c r="Q22" i="27"/>
  <c r="R22" i="27"/>
  <c r="N50" i="27"/>
  <c r="O50" i="27"/>
  <c r="P50" i="27"/>
  <c r="Q50" i="27"/>
  <c r="R50" i="27"/>
  <c r="L52" i="27"/>
  <c r="O52" i="27"/>
  <c r="P52" i="27"/>
  <c r="Q52" i="27"/>
  <c r="R52" i="27"/>
  <c r="N44" i="27"/>
  <c r="O44" i="27"/>
  <c r="P44" i="27"/>
  <c r="Q44" i="27"/>
  <c r="R44" i="27"/>
  <c r="O32" i="27"/>
  <c r="P32" i="27"/>
  <c r="Q32" i="27"/>
  <c r="R32" i="27"/>
  <c r="N32" i="27"/>
  <c r="F4" i="31"/>
  <c r="B5" i="31"/>
  <c r="F5" i="31"/>
  <c r="B4" i="31"/>
  <c r="F3" i="31"/>
  <c r="B3" i="31"/>
  <c r="AT22" i="31" l="1"/>
  <c r="AT25" i="31"/>
  <c r="AT21" i="31"/>
  <c r="AT23" i="31"/>
  <c r="AT36" i="31"/>
  <c r="AT35" i="31"/>
  <c r="AT34" i="31"/>
  <c r="AT18" i="31"/>
  <c r="AT31" i="31"/>
  <c r="AT24" i="31"/>
  <c r="AT33" i="31"/>
  <c r="AT29" i="31"/>
  <c r="AV29" i="31" s="1"/>
  <c r="AW29" i="31" s="1"/>
  <c r="AT28" i="31"/>
  <c r="AT19" i="31"/>
  <c r="AT32" i="31"/>
  <c r="AT27" i="31"/>
  <c r="AT26" i="31"/>
  <c r="AV23" i="31"/>
  <c r="AW23" i="31" s="1"/>
  <c r="AV31" i="31"/>
  <c r="AW31" i="31" s="1"/>
  <c r="AT17" i="31"/>
  <c r="AT30" i="31"/>
  <c r="AV30" i="31" s="1"/>
  <c r="AW30" i="31" s="1"/>
  <c r="AT20" i="31"/>
  <c r="AU34" i="31"/>
  <c r="AU23" i="31"/>
  <c r="AU18" i="31"/>
  <c r="AV18" i="31" s="1"/>
  <c r="AW18" i="31" s="1"/>
  <c r="AU33" i="31"/>
  <c r="AV33" i="31" s="1"/>
  <c r="AW33" i="31" s="1"/>
  <c r="AU35" i="31"/>
  <c r="AV35" i="31" s="1"/>
  <c r="AW35" i="31" s="1"/>
  <c r="AU36" i="31"/>
  <c r="AV36" i="31" s="1"/>
  <c r="AW36" i="31" s="1"/>
  <c r="AU31" i="31"/>
  <c r="AU24" i="31"/>
  <c r="AV24" i="31" s="1"/>
  <c r="AW24" i="31" s="1"/>
  <c r="AU29" i="31"/>
  <c r="AU21" i="31"/>
  <c r="AV21" i="31" s="1"/>
  <c r="AW21" i="31" s="1"/>
  <c r="AU25" i="31"/>
  <c r="AV25" i="31" s="1"/>
  <c r="AW25" i="31" s="1"/>
  <c r="AU30" i="31"/>
  <c r="AU26" i="31"/>
  <c r="AU27" i="31"/>
  <c r="AV27" i="31" s="1"/>
  <c r="AW27" i="31" s="1"/>
  <c r="AU19" i="31"/>
  <c r="AV19" i="31" s="1"/>
  <c r="AW19" i="31" s="1"/>
  <c r="AU32" i="31"/>
  <c r="AU20" i="31"/>
  <c r="AV20" i="31" s="1"/>
  <c r="AW20" i="31" s="1"/>
  <c r="AU28" i="31"/>
  <c r="AV28" i="31" s="1"/>
  <c r="AW28" i="31" s="1"/>
  <c r="AU17" i="31"/>
  <c r="AU22" i="31"/>
  <c r="AV22" i="31" s="1"/>
  <c r="AW22" i="31" s="1"/>
  <c r="AT70" i="31"/>
  <c r="AT49" i="31"/>
  <c r="AT45" i="31"/>
  <c r="AT69" i="31"/>
  <c r="AT42" i="31"/>
  <c r="AT63" i="31"/>
  <c r="AT56" i="31"/>
  <c r="AT47" i="31"/>
  <c r="AT60" i="31"/>
  <c r="AT41" i="31"/>
  <c r="AT57" i="31"/>
  <c r="AT39" i="31"/>
  <c r="AT55" i="31"/>
  <c r="AT67" i="31"/>
  <c r="AT59" i="31"/>
  <c r="AT71" i="31"/>
  <c r="AT43" i="31"/>
  <c r="AT61" i="31"/>
  <c r="AT58" i="31"/>
  <c r="AT50" i="31"/>
  <c r="AT46" i="31"/>
  <c r="AT53" i="31"/>
  <c r="AT54" i="31"/>
  <c r="AT44" i="31"/>
  <c r="AT64" i="31"/>
  <c r="AT37" i="31"/>
  <c r="AT48" i="31"/>
  <c r="AT72" i="31"/>
  <c r="AT52" i="31"/>
  <c r="AT68" i="31"/>
  <c r="AT51" i="31"/>
  <c r="AT62" i="31"/>
  <c r="AT66" i="31"/>
  <c r="AT65" i="31"/>
  <c r="AT38" i="31"/>
  <c r="AT40" i="31"/>
  <c r="AU45" i="31"/>
  <c r="AU37" i="31"/>
  <c r="AU60" i="31"/>
  <c r="AU40" i="31"/>
  <c r="AU63" i="31"/>
  <c r="AU48" i="31"/>
  <c r="AU57" i="31"/>
  <c r="AU66" i="31"/>
  <c r="AV66" i="31" s="1"/>
  <c r="AW66" i="31" s="1"/>
  <c r="AU46" i="31"/>
  <c r="AV46" i="31" s="1"/>
  <c r="AW46" i="31" s="1"/>
  <c r="AU51" i="31"/>
  <c r="AU61" i="31"/>
  <c r="AU44" i="31"/>
  <c r="AU72" i="31"/>
  <c r="AU54" i="31"/>
  <c r="AU64" i="31"/>
  <c r="AU43" i="31"/>
  <c r="AU42" i="31"/>
  <c r="AU58" i="31"/>
  <c r="AV58" i="31" s="1"/>
  <c r="AW58" i="31" s="1"/>
  <c r="AU71" i="31"/>
  <c r="AV71" i="31" s="1"/>
  <c r="AW71" i="31" s="1"/>
  <c r="AU67" i="31"/>
  <c r="AU70" i="31"/>
  <c r="AV70" i="31" s="1"/>
  <c r="AW70" i="31" s="1"/>
  <c r="AU55" i="31"/>
  <c r="AU39" i="31"/>
  <c r="AU52" i="31"/>
  <c r="AU50" i="31"/>
  <c r="AU56" i="31"/>
  <c r="AV56" i="31" s="1"/>
  <c r="AW56" i="31" s="1"/>
  <c r="AU38" i="31"/>
  <c r="AV38" i="31" s="1"/>
  <c r="AW38" i="31" s="1"/>
  <c r="AU41" i="31"/>
  <c r="AU69" i="31"/>
  <c r="AU65" i="31"/>
  <c r="AU59" i="31"/>
  <c r="AU53" i="31"/>
  <c r="AU62" i="31"/>
  <c r="AV62" i="31" s="1"/>
  <c r="AW62" i="31" s="1"/>
  <c r="AU47" i="31"/>
  <c r="AU68" i="31"/>
  <c r="AU49" i="31"/>
  <c r="AT78" i="31"/>
  <c r="AT83" i="31"/>
  <c r="AT77" i="31"/>
  <c r="AT81" i="31"/>
  <c r="AT82" i="31"/>
  <c r="AT79" i="31"/>
  <c r="AT80" i="31"/>
  <c r="AT114" i="31"/>
  <c r="AT263" i="31"/>
  <c r="AT394" i="31"/>
  <c r="AT286" i="31"/>
  <c r="AT223" i="31"/>
  <c r="AT85" i="31"/>
  <c r="AT94" i="31"/>
  <c r="AV220" i="31"/>
  <c r="AW220" i="31" s="1"/>
  <c r="AT271" i="31"/>
  <c r="AT232" i="31"/>
  <c r="AV176" i="31"/>
  <c r="AW176" i="31" s="1"/>
  <c r="AT280" i="31"/>
  <c r="AT143" i="31"/>
  <c r="AT347" i="31"/>
  <c r="AV146" i="31"/>
  <c r="AW146" i="31" s="1"/>
  <c r="AT90" i="31"/>
  <c r="AT276" i="31"/>
  <c r="AT139" i="31"/>
  <c r="AV357" i="31"/>
  <c r="AW357" i="31" s="1"/>
  <c r="AT361" i="31"/>
  <c r="AT290" i="31"/>
  <c r="AT239" i="31"/>
  <c r="AT248" i="31"/>
  <c r="AT117" i="31"/>
  <c r="AT284" i="31"/>
  <c r="AT225" i="31"/>
  <c r="AT273" i="31"/>
  <c r="AT141" i="31"/>
  <c r="AT267" i="31"/>
  <c r="AV207" i="31"/>
  <c r="AW207" i="31" s="1"/>
  <c r="AT157" i="31"/>
  <c r="AT288" i="31"/>
  <c r="AT133" i="31"/>
  <c r="AT167" i="31"/>
  <c r="AV181" i="31"/>
  <c r="AW181" i="31" s="1"/>
  <c r="AT294" i="31"/>
  <c r="AT270" i="31"/>
  <c r="AV362" i="31"/>
  <c r="AW362" i="31" s="1"/>
  <c r="AV397" i="31"/>
  <c r="AW397" i="31" s="1"/>
  <c r="AT104" i="31"/>
  <c r="AT118" i="31"/>
  <c r="AT338" i="31"/>
  <c r="AT308" i="31"/>
  <c r="AT98" i="31"/>
  <c r="AT233" i="31"/>
  <c r="AT151" i="31"/>
  <c r="AT319" i="31"/>
  <c r="AT298" i="31"/>
  <c r="AT186" i="31"/>
  <c r="AV366" i="31"/>
  <c r="AW366" i="31" s="1"/>
  <c r="AT108" i="31"/>
  <c r="AT283" i="31"/>
  <c r="AT243" i="31"/>
  <c r="AT234" i="31"/>
  <c r="AV384" i="31"/>
  <c r="AW384" i="31" s="1"/>
  <c r="AT412" i="31"/>
  <c r="AT416" i="31"/>
  <c r="AT418" i="31"/>
  <c r="AT183" i="31"/>
  <c r="AT279" i="31"/>
  <c r="AT281" i="31"/>
  <c r="AT382" i="31"/>
  <c r="AT381" i="31"/>
  <c r="AT302" i="31"/>
  <c r="AT376" i="31"/>
  <c r="AT113" i="31"/>
  <c r="AT287" i="31"/>
  <c r="AT140" i="31"/>
  <c r="AT405" i="31"/>
  <c r="AT296" i="31"/>
  <c r="AT207" i="31"/>
  <c r="AT321" i="31"/>
  <c r="AT150" i="31"/>
  <c r="AT329" i="31"/>
  <c r="AT365" i="31"/>
  <c r="AT306" i="31"/>
  <c r="AV375" i="31"/>
  <c r="AW375" i="31" s="1"/>
  <c r="AT153" i="31"/>
  <c r="AT93" i="31"/>
  <c r="AT110" i="31"/>
  <c r="AT253" i="31"/>
  <c r="AT245" i="31"/>
  <c r="AT250" i="31"/>
  <c r="AT292" i="31"/>
  <c r="AV144" i="31"/>
  <c r="AW144" i="31" s="1"/>
  <c r="AV180" i="31"/>
  <c r="AW180" i="31" s="1"/>
  <c r="AV358" i="31"/>
  <c r="AW358" i="31" s="1"/>
  <c r="AV147" i="31"/>
  <c r="AW147" i="31" s="1"/>
  <c r="AT410" i="31"/>
  <c r="AT120" i="31"/>
  <c r="AV201" i="31"/>
  <c r="AW201" i="31" s="1"/>
  <c r="AT341" i="31"/>
  <c r="AT156" i="31"/>
  <c r="AT371" i="31"/>
  <c r="AV314" i="31"/>
  <c r="AW314" i="31" s="1"/>
  <c r="AT349" i="31"/>
  <c r="AT171" i="31"/>
  <c r="AV364" i="31"/>
  <c r="AW364" i="31" s="1"/>
  <c r="AV322" i="31"/>
  <c r="AW322" i="31" s="1"/>
  <c r="AT299" i="31"/>
  <c r="AT464" i="31"/>
  <c r="AT170" i="31"/>
  <c r="AT162" i="31"/>
  <c r="AT331" i="31"/>
  <c r="AT190" i="31"/>
  <c r="AT87" i="31"/>
  <c r="AT388" i="31"/>
  <c r="AV388" i="31"/>
  <c r="AW388" i="31" s="1"/>
  <c r="AT191" i="31"/>
  <c r="AT136" i="31"/>
  <c r="AV369" i="31"/>
  <c r="AW369" i="31" s="1"/>
  <c r="AT177" i="31"/>
  <c r="AT222" i="31"/>
  <c r="AT74" i="31"/>
  <c r="AT254" i="31"/>
  <c r="AT194" i="31"/>
  <c r="AT130" i="31"/>
  <c r="AT303" i="31"/>
  <c r="AT193" i="31"/>
  <c r="AV353" i="31"/>
  <c r="AW353" i="31" s="1"/>
  <c r="AT249" i="31"/>
  <c r="AT258" i="31"/>
  <c r="AT469" i="31"/>
  <c r="AV312" i="31"/>
  <c r="AW312" i="31" s="1"/>
  <c r="AV205" i="31"/>
  <c r="AW205" i="31" s="1"/>
  <c r="AT134" i="31"/>
  <c r="AT187" i="31"/>
  <c r="AT404" i="31"/>
  <c r="AT327" i="31"/>
  <c r="AT137" i="31"/>
  <c r="AT76" i="31"/>
  <c r="AT238" i="31"/>
  <c r="AT465" i="31"/>
  <c r="AT163" i="31"/>
  <c r="AT241" i="31"/>
  <c r="AT343" i="31"/>
  <c r="AT272" i="31"/>
  <c r="AT353" i="31"/>
  <c r="AT146" i="31"/>
  <c r="AT174" i="31"/>
  <c r="AT92" i="31"/>
  <c r="AT324" i="31"/>
  <c r="AT228" i="31"/>
  <c r="AT345" i="31"/>
  <c r="AT421" i="31"/>
  <c r="AT169" i="31"/>
  <c r="AT261" i="31"/>
  <c r="AT351" i="31"/>
  <c r="AT102" i="31"/>
  <c r="AT356" i="31"/>
  <c r="AT332" i="31"/>
  <c r="AT291" i="31"/>
  <c r="AT212" i="31"/>
  <c r="AT149" i="31"/>
  <c r="AT106" i="31"/>
  <c r="AT237" i="31"/>
  <c r="AT214" i="31"/>
  <c r="AT389" i="31"/>
  <c r="AT346" i="31"/>
  <c r="AT372" i="31"/>
  <c r="AT314" i="31"/>
  <c r="AT315" i="31"/>
  <c r="AT426" i="31"/>
  <c r="AV447" i="31"/>
  <c r="AW447" i="31" s="1"/>
  <c r="AT205" i="31"/>
  <c r="AV313" i="31"/>
  <c r="AW313" i="31" s="1"/>
  <c r="AV394" i="31"/>
  <c r="AW394" i="31" s="1"/>
  <c r="AT172" i="31"/>
  <c r="AV386" i="31"/>
  <c r="AW386" i="31" s="1"/>
  <c r="AV383" i="31"/>
  <c r="AW383" i="31" s="1"/>
  <c r="AT131" i="31"/>
  <c r="AT277" i="31"/>
  <c r="AT424" i="31"/>
  <c r="AT159" i="31"/>
  <c r="AV443" i="31"/>
  <c r="AW443" i="31" s="1"/>
  <c r="AT423" i="31"/>
  <c r="AV425" i="31"/>
  <c r="AW425" i="31" s="1"/>
  <c r="AT379" i="31"/>
  <c r="AT310" i="31"/>
  <c r="AT390" i="31"/>
  <c r="AT366" i="31"/>
  <c r="AT152" i="31"/>
  <c r="AT213" i="31"/>
  <c r="AT395" i="31"/>
  <c r="AV363" i="31"/>
  <c r="AW363" i="31" s="1"/>
  <c r="AT268" i="31"/>
  <c r="AT161" i="31"/>
  <c r="AT320" i="31"/>
  <c r="AT408" i="31"/>
  <c r="AT407" i="31"/>
  <c r="AT274" i="31"/>
  <c r="AT86" i="31"/>
  <c r="AV396" i="31"/>
  <c r="AW396" i="31" s="1"/>
  <c r="AT242" i="31"/>
  <c r="AT122" i="31"/>
  <c r="AT185" i="31"/>
  <c r="AT88" i="31"/>
  <c r="AT121" i="31"/>
  <c r="AT325" i="31"/>
  <c r="AT367" i="31"/>
  <c r="AT101" i="31"/>
  <c r="AT334" i="31"/>
  <c r="AT357" i="31"/>
  <c r="AT128" i="31"/>
  <c r="AT244" i="31"/>
  <c r="AT363" i="31"/>
  <c r="AT96" i="31"/>
  <c r="AV432" i="31"/>
  <c r="AW432" i="31" s="1"/>
  <c r="AT289" i="31"/>
  <c r="AT427" i="31"/>
  <c r="AT330" i="31"/>
  <c r="AT256" i="31"/>
  <c r="AV367" i="31"/>
  <c r="AW367" i="31" s="1"/>
  <c r="AT336" i="31"/>
  <c r="AV145" i="31"/>
  <c r="AW145" i="31" s="1"/>
  <c r="AV209" i="31"/>
  <c r="AW209" i="31" s="1"/>
  <c r="AT235" i="31"/>
  <c r="AT285" i="31"/>
  <c r="AT468" i="31"/>
  <c r="AV431" i="31"/>
  <c r="AW431" i="31" s="1"/>
  <c r="AV442" i="31"/>
  <c r="AW442" i="31" s="1"/>
  <c r="AT355" i="31"/>
  <c r="AT178" i="31"/>
  <c r="AT75" i="31"/>
  <c r="AV392" i="31"/>
  <c r="AW392" i="31" s="1"/>
  <c r="AT282" i="31"/>
  <c r="AT138" i="31"/>
  <c r="AT307" i="31"/>
  <c r="AT422" i="31"/>
  <c r="AV376" i="31"/>
  <c r="AW376" i="31" s="1"/>
  <c r="AT165" i="31"/>
  <c r="AV370" i="31"/>
  <c r="AW370" i="31" s="1"/>
  <c r="AT275" i="31"/>
  <c r="AT269" i="31"/>
  <c r="AT229" i="31"/>
  <c r="AT216" i="31"/>
  <c r="AT154" i="31"/>
  <c r="AT176" i="31"/>
  <c r="AT147" i="31"/>
  <c r="AV178" i="31"/>
  <c r="AW178" i="31" s="1"/>
  <c r="AT305" i="31"/>
  <c r="AT115" i="31"/>
  <c r="AT160" i="31"/>
  <c r="AT337" i="31"/>
  <c r="AT145" i="31"/>
  <c r="AT173" i="31"/>
  <c r="AT413" i="31"/>
  <c r="AT123" i="31"/>
  <c r="AT378" i="31"/>
  <c r="AT188" i="31"/>
  <c r="AT148" i="31"/>
  <c r="AT105" i="31"/>
  <c r="AV310" i="31"/>
  <c r="AW310" i="31" s="1"/>
  <c r="AV359" i="31"/>
  <c r="AW359" i="31" s="1"/>
  <c r="AV390" i="31"/>
  <c r="AW390" i="31" s="1"/>
  <c r="AT144" i="31"/>
  <c r="AT293" i="31"/>
  <c r="AT175" i="31"/>
  <c r="AT217" i="31"/>
  <c r="AT403" i="31"/>
  <c r="AT211" i="31"/>
  <c r="AT411" i="31"/>
  <c r="AT393" i="31"/>
  <c r="AT387" i="31"/>
  <c r="AT103" i="31"/>
  <c r="AT119" i="31"/>
  <c r="AT84" i="31"/>
  <c r="AT127" i="31"/>
  <c r="AT179" i="31"/>
  <c r="AT226" i="31"/>
  <c r="AT313" i="31"/>
  <c r="AT89" i="31"/>
  <c r="AT262" i="31"/>
  <c r="AT259" i="31"/>
  <c r="AT264" i="31"/>
  <c r="AT251" i="31"/>
  <c r="AV360" i="31"/>
  <c r="AW360" i="31" s="1"/>
  <c r="AT467" i="31"/>
  <c r="AV206" i="31"/>
  <c r="AW206" i="31" s="1"/>
  <c r="AV419" i="31"/>
  <c r="AW419" i="31" s="1"/>
  <c r="AT466" i="31"/>
  <c r="AV177" i="31"/>
  <c r="AW177" i="31" s="1"/>
  <c r="AV433" i="31"/>
  <c r="AW433" i="31" s="1"/>
  <c r="AT182" i="31"/>
  <c r="AT111" i="31"/>
  <c r="AT95" i="31"/>
  <c r="AT326" i="31"/>
  <c r="AV449" i="31"/>
  <c r="AW449" i="31" s="1"/>
  <c r="AV356" i="31"/>
  <c r="AW356" i="31" s="1"/>
  <c r="AT192" i="31"/>
  <c r="AT125" i="31"/>
  <c r="AT236" i="31"/>
  <c r="AT348" i="31"/>
  <c r="AT210" i="31"/>
  <c r="AT406" i="31"/>
  <c r="AT278" i="31"/>
  <c r="AT203" i="31"/>
  <c r="AT218" i="31"/>
  <c r="AT209" i="31"/>
  <c r="AT370" i="31"/>
  <c r="AT129" i="31"/>
  <c r="AT99" i="31"/>
  <c r="AV311" i="31"/>
  <c r="AW311" i="31" s="1"/>
  <c r="AT297" i="31"/>
  <c r="AV399" i="31"/>
  <c r="AW399" i="31" s="1"/>
  <c r="AT227" i="31"/>
  <c r="AT311" i="31"/>
  <c r="AT368" i="31"/>
  <c r="AT202" i="31"/>
  <c r="AT386" i="31"/>
  <c r="AT352" i="31"/>
  <c r="AT429" i="31"/>
  <c r="AT135" i="31"/>
  <c r="AT247" i="31"/>
  <c r="AT198" i="31"/>
  <c r="AT375" i="31"/>
  <c r="AT257" i="31"/>
  <c r="AT374" i="31"/>
  <c r="AT295" i="31"/>
  <c r="AT255" i="31"/>
  <c r="AT304" i="31"/>
  <c r="AV354" i="31"/>
  <c r="AW354" i="31" s="1"/>
  <c r="AT158" i="31"/>
  <c r="AT142" i="31"/>
  <c r="AT354" i="31"/>
  <c r="AT224" i="31"/>
  <c r="AV378" i="31"/>
  <c r="AW378" i="31" s="1"/>
  <c r="AT420" i="31"/>
  <c r="AT377" i="31"/>
  <c r="AT425" i="31"/>
  <c r="AT116" i="31"/>
  <c r="AT166" i="31"/>
  <c r="AV380" i="31"/>
  <c r="AW380" i="31" s="1"/>
  <c r="AT252" i="31"/>
  <c r="AV393" i="31"/>
  <c r="AW393" i="31" s="1"/>
  <c r="AT384" i="31"/>
  <c r="AT100" i="31"/>
  <c r="AT312" i="31"/>
  <c r="AV368" i="31"/>
  <c r="AW368" i="31" s="1"/>
  <c r="AT350" i="31"/>
  <c r="AT181" i="31"/>
  <c r="AT323" i="31"/>
  <c r="AT300" i="31"/>
  <c r="AV196" i="31"/>
  <c r="AW196" i="31" s="1"/>
  <c r="AT230" i="31"/>
  <c r="AT204" i="31"/>
  <c r="AT109" i="31"/>
  <c r="AT359" i="31"/>
  <c r="AT201" i="31"/>
  <c r="AT339" i="31"/>
  <c r="AT391" i="31"/>
  <c r="AT301" i="31"/>
  <c r="AT385" i="31"/>
  <c r="AT428" i="31"/>
  <c r="AT73" i="31"/>
  <c r="AT208" i="31"/>
  <c r="AT195" i="31"/>
  <c r="AT126" i="31"/>
  <c r="AV365" i="31"/>
  <c r="AW365" i="31" s="1"/>
  <c r="AT220" i="31"/>
  <c r="AT240" i="31"/>
  <c r="AT369" i="31"/>
  <c r="AT328" i="31"/>
  <c r="AT358" i="31"/>
  <c r="AT221" i="31"/>
  <c r="AT260" i="31"/>
  <c r="AT132" i="31"/>
  <c r="AV391" i="31"/>
  <c r="AW391" i="31" s="1"/>
  <c r="AV377" i="31"/>
  <c r="AW377" i="31" s="1"/>
  <c r="AT112" i="31"/>
  <c r="AV387" i="31"/>
  <c r="AW387" i="31" s="1"/>
  <c r="AT189" i="31"/>
  <c r="AT335" i="31"/>
  <c r="AV406" i="31"/>
  <c r="AW406" i="31" s="1"/>
  <c r="AT197" i="31"/>
  <c r="AT316" i="31"/>
  <c r="AT342" i="31"/>
  <c r="AT97" i="31"/>
  <c r="AT402" i="31"/>
  <c r="AT414" i="31"/>
  <c r="AT246" i="31"/>
  <c r="AT392" i="31"/>
  <c r="AT383" i="31"/>
  <c r="AV448" i="31"/>
  <c r="AW448" i="31" s="1"/>
  <c r="AT409" i="31"/>
  <c r="AT219" i="31"/>
  <c r="AV389" i="31"/>
  <c r="AW389" i="31" s="1"/>
  <c r="AT164" i="31"/>
  <c r="AV208" i="31"/>
  <c r="AW208" i="31" s="1"/>
  <c r="AT215" i="31"/>
  <c r="AT344" i="31"/>
  <c r="AT373" i="31"/>
  <c r="AT180" i="31"/>
  <c r="AT265" i="31"/>
  <c r="AT401" i="31"/>
  <c r="AV430" i="31"/>
  <c r="AW430" i="31" s="1"/>
  <c r="AT107" i="31"/>
  <c r="AT91" i="31"/>
  <c r="AT206" i="31"/>
  <c r="AT168" i="31"/>
  <c r="AT340" i="31"/>
  <c r="AT196" i="31"/>
  <c r="AT155" i="31"/>
  <c r="AT317" i="31"/>
  <c r="AV179" i="31"/>
  <c r="AW179" i="31" s="1"/>
  <c r="AT184" i="31"/>
  <c r="AT333" i="31"/>
  <c r="AV210" i="31"/>
  <c r="AW210" i="31" s="1"/>
  <c r="AT124" i="31"/>
  <c r="AT200" i="31"/>
  <c r="AT231" i="31"/>
  <c r="AV398" i="31"/>
  <c r="AW398" i="31" s="1"/>
  <c r="AT400" i="31"/>
  <c r="AT417" i="31"/>
  <c r="AV385" i="31"/>
  <c r="AW385" i="31" s="1"/>
  <c r="AT415" i="31"/>
  <c r="AV355" i="31"/>
  <c r="AW355" i="31" s="1"/>
  <c r="AT318" i="31"/>
  <c r="AT266" i="31"/>
  <c r="AT199" i="31"/>
  <c r="AT309" i="31"/>
  <c r="AU83" i="31"/>
  <c r="AU78" i="31"/>
  <c r="AU81" i="31"/>
  <c r="AU79" i="31"/>
  <c r="AU82" i="31"/>
  <c r="AV82" i="31" s="1"/>
  <c r="AW82" i="31" s="1"/>
  <c r="AU80" i="31"/>
  <c r="AU77" i="31"/>
  <c r="AU111" i="31"/>
  <c r="AU210" i="31"/>
  <c r="AU96" i="31"/>
  <c r="AU160" i="31"/>
  <c r="AU166" i="31"/>
  <c r="AU435" i="31"/>
  <c r="AU97" i="31"/>
  <c r="AU348" i="31"/>
  <c r="AU267" i="31"/>
  <c r="AU273" i="31"/>
  <c r="AV273" i="31" s="1"/>
  <c r="AW273" i="31" s="1"/>
  <c r="AU240" i="31"/>
  <c r="AU122" i="31"/>
  <c r="AU300" i="31"/>
  <c r="AU293" i="31"/>
  <c r="AU100" i="31"/>
  <c r="AU275" i="31"/>
  <c r="AU193" i="31"/>
  <c r="AU308" i="31"/>
  <c r="AU233" i="31"/>
  <c r="AU274" i="31"/>
  <c r="AU223" i="31"/>
  <c r="AV223" i="31" s="1"/>
  <c r="AW223" i="31" s="1"/>
  <c r="AU177" i="31"/>
  <c r="AU384" i="31"/>
  <c r="AU292" i="31"/>
  <c r="AU453" i="31"/>
  <c r="AU146" i="31"/>
  <c r="AU138" i="31"/>
  <c r="AU181" i="31"/>
  <c r="AU209" i="31"/>
  <c r="AU196" i="31"/>
  <c r="AU154" i="31"/>
  <c r="AU402" i="31"/>
  <c r="AU422" i="31"/>
  <c r="AU279" i="31"/>
  <c r="AU324" i="31"/>
  <c r="AV324" i="31" s="1"/>
  <c r="AW324" i="31" s="1"/>
  <c r="AU391" i="31"/>
  <c r="AU277" i="31"/>
  <c r="AU332" i="31"/>
  <c r="AU288" i="31"/>
  <c r="AV288" i="31" s="1"/>
  <c r="AW288" i="31" s="1"/>
  <c r="AU413" i="31"/>
  <c r="AU436" i="31"/>
  <c r="AU183" i="31"/>
  <c r="AU281" i="31"/>
  <c r="AU246" i="31"/>
  <c r="AU437" i="31"/>
  <c r="AU414" i="31"/>
  <c r="AU224" i="31"/>
  <c r="AU191" i="31"/>
  <c r="AU372" i="31"/>
  <c r="AU103" i="31"/>
  <c r="AU296" i="31"/>
  <c r="AU228" i="31"/>
  <c r="AV228" i="31" s="1"/>
  <c r="AW228" i="31" s="1"/>
  <c r="AU298" i="31"/>
  <c r="AU76" i="31"/>
  <c r="AU366" i="31"/>
  <c r="AU189" i="31"/>
  <c r="AU343" i="31"/>
  <c r="AU185" i="31"/>
  <c r="AU447" i="31"/>
  <c r="AU285" i="31"/>
  <c r="AU266" i="31"/>
  <c r="AU227" i="31"/>
  <c r="AU333" i="31"/>
  <c r="AU73" i="31"/>
  <c r="AU216" i="31"/>
  <c r="AU225" i="31"/>
  <c r="AU342" i="31"/>
  <c r="AU106" i="31"/>
  <c r="AU289" i="31"/>
  <c r="AU424" i="31"/>
  <c r="AU158" i="31"/>
  <c r="AU237" i="31"/>
  <c r="AU198" i="31"/>
  <c r="AU229" i="31"/>
  <c r="AU438" i="31"/>
  <c r="AU291" i="31"/>
  <c r="AU243" i="31"/>
  <c r="AU334" i="31"/>
  <c r="AU190" i="31"/>
  <c r="AU416" i="31"/>
  <c r="AU310" i="31"/>
  <c r="AU315" i="31"/>
  <c r="AU398" i="31"/>
  <c r="AU182" i="31"/>
  <c r="AU295" i="31"/>
  <c r="AU323" i="31"/>
  <c r="AU336" i="31"/>
  <c r="AU304" i="31"/>
  <c r="AU445" i="31"/>
  <c r="AU368" i="31"/>
  <c r="AU155" i="31"/>
  <c r="AU297" i="31"/>
  <c r="AU157" i="31"/>
  <c r="AV157" i="31" s="1"/>
  <c r="AW157" i="31" s="1"/>
  <c r="AU162" i="31"/>
  <c r="AU337" i="31"/>
  <c r="AU314" i="31"/>
  <c r="AU251" i="31"/>
  <c r="AV251" i="31" s="1"/>
  <c r="AW251" i="31" s="1"/>
  <c r="AU454" i="31"/>
  <c r="AU322" i="31"/>
  <c r="AU301" i="31"/>
  <c r="AU432" i="31"/>
  <c r="AU434" i="31"/>
  <c r="AU344" i="31"/>
  <c r="AU456" i="31"/>
  <c r="AU412" i="31"/>
  <c r="AU317" i="31"/>
  <c r="AU305" i="31"/>
  <c r="AU367" i="31"/>
  <c r="AU260" i="31"/>
  <c r="AU330" i="31"/>
  <c r="AU212" i="31"/>
  <c r="AU197" i="31"/>
  <c r="AU173" i="31"/>
  <c r="AV173" i="31" s="1"/>
  <c r="AW173" i="31" s="1"/>
  <c r="AU373" i="31"/>
  <c r="AU307" i="31"/>
  <c r="AU90" i="31"/>
  <c r="AU108" i="31"/>
  <c r="AU104" i="31"/>
  <c r="AU75" i="31"/>
  <c r="AU220" i="31"/>
  <c r="AU280" i="31"/>
  <c r="AV280" i="31" s="1"/>
  <c r="AW280" i="31" s="1"/>
  <c r="AU284" i="31"/>
  <c r="AU168" i="31"/>
  <c r="AU256" i="31"/>
  <c r="AU88" i="31"/>
  <c r="AU340" i="31"/>
  <c r="AU272" i="31"/>
  <c r="AU102" i="31"/>
  <c r="AU128" i="31"/>
  <c r="AU406" i="31"/>
  <c r="AU101" i="31"/>
  <c r="AU194" i="31"/>
  <c r="AU254" i="31"/>
  <c r="AU345" i="31"/>
  <c r="AU226" i="31"/>
  <c r="AU118" i="31"/>
  <c r="AU167" i="31"/>
  <c r="AV167" i="31" s="1"/>
  <c r="AW167" i="31" s="1"/>
  <c r="AU455" i="31"/>
  <c r="AU242" i="31"/>
  <c r="AV242" i="31" s="1"/>
  <c r="AW242" i="31" s="1"/>
  <c r="AU405" i="31"/>
  <c r="AU113" i="31"/>
  <c r="AU321" i="31"/>
  <c r="AU370" i="31"/>
  <c r="AU262" i="31"/>
  <c r="AU392" i="31"/>
  <c r="AU235" i="31"/>
  <c r="AV235" i="31" s="1"/>
  <c r="AW235" i="31" s="1"/>
  <c r="AU201" i="31"/>
  <c r="AU420" i="31"/>
  <c r="AU460" i="31"/>
  <c r="AU213" i="31"/>
  <c r="AU431" i="31"/>
  <c r="AU401" i="31"/>
  <c r="AU464" i="31"/>
  <c r="AU278" i="31"/>
  <c r="AU123" i="31"/>
  <c r="AU362" i="31"/>
  <c r="AU148" i="31"/>
  <c r="AU105" i="31"/>
  <c r="AU442" i="31"/>
  <c r="AU175" i="31"/>
  <c r="AU217" i="31"/>
  <c r="AU211" i="31"/>
  <c r="AU379" i="31"/>
  <c r="AV379" i="31" s="1"/>
  <c r="AW379" i="31" s="1"/>
  <c r="AU316" i="31"/>
  <c r="AU214" i="31"/>
  <c r="AU87" i="31"/>
  <c r="AU135" i="31"/>
  <c r="AU439" i="31"/>
  <c r="AU428" i="31"/>
  <c r="AU230" i="31"/>
  <c r="AU309" i="31"/>
  <c r="AU356" i="31"/>
  <c r="AU341" i="31"/>
  <c r="AU248" i="31"/>
  <c r="AV248" i="31" s="1"/>
  <c r="AW248" i="31" s="1"/>
  <c r="AU451" i="31"/>
  <c r="AU239" i="31"/>
  <c r="AU222" i="31"/>
  <c r="AV222" i="31" s="1"/>
  <c r="AW222" i="31" s="1"/>
  <c r="AU171" i="31"/>
  <c r="AU299" i="31"/>
  <c r="AU86" i="31"/>
  <c r="AU364" i="31"/>
  <c r="AU156" i="31"/>
  <c r="AU404" i="31"/>
  <c r="AV404" i="31" s="1"/>
  <c r="AW404" i="31" s="1"/>
  <c r="AU188" i="31"/>
  <c r="AU423" i="31"/>
  <c r="AV423" i="31" s="1"/>
  <c r="AW423" i="31" s="1"/>
  <c r="AU164" i="31"/>
  <c r="AU165" i="31"/>
  <c r="AU115" i="31"/>
  <c r="AU170" i="31"/>
  <c r="AU149" i="31"/>
  <c r="AU95" i="31"/>
  <c r="AU331" i="31"/>
  <c r="AU126" i="31"/>
  <c r="AU440" i="31"/>
  <c r="AU141" i="31"/>
  <c r="AU390" i="31"/>
  <c r="AU426" i="31"/>
  <c r="AU335" i="31"/>
  <c r="AV335" i="31" s="1"/>
  <c r="AW335" i="31" s="1"/>
  <c r="AU386" i="31"/>
  <c r="AU259" i="31"/>
  <c r="AU329" i="31"/>
  <c r="AV329" i="31" s="1"/>
  <c r="AW329" i="31" s="1"/>
  <c r="AU320" i="31"/>
  <c r="AU327" i="31"/>
  <c r="AU249" i="31"/>
  <c r="AU374" i="31"/>
  <c r="AU313" i="31"/>
  <c r="AU107" i="31"/>
  <c r="AU365" i="31"/>
  <c r="AU396" i="31"/>
  <c r="AU261" i="31"/>
  <c r="AU312" i="31"/>
  <c r="AU286" i="31"/>
  <c r="AU247" i="31"/>
  <c r="AU468" i="31"/>
  <c r="AU152" i="31"/>
  <c r="AU395" i="31"/>
  <c r="AU419" i="31"/>
  <c r="AU236" i="31"/>
  <c r="AU269" i="31"/>
  <c r="AU91" i="31"/>
  <c r="AU388" i="31"/>
  <c r="AU74" i="31"/>
  <c r="AU446" i="31"/>
  <c r="AU127" i="31"/>
  <c r="AU270" i="31"/>
  <c r="AV270" i="31" s="1"/>
  <c r="AW270" i="31" s="1"/>
  <c r="AU394" i="31"/>
  <c r="AU257" i="31"/>
  <c r="AV257" i="31" s="1"/>
  <c r="AW257" i="31" s="1"/>
  <c r="AU114" i="31"/>
  <c r="AV114" i="31" s="1"/>
  <c r="AW114" i="31" s="1"/>
  <c r="AU357" i="31"/>
  <c r="AU253" i="31"/>
  <c r="AU98" i="31"/>
  <c r="AU179" i="31"/>
  <c r="AU147" i="31"/>
  <c r="AU410" i="31"/>
  <c r="AU218" i="31"/>
  <c r="AU195" i="31"/>
  <c r="AU421" i="31"/>
  <c r="AU408" i="31"/>
  <c r="AU369" i="31"/>
  <c r="AU124" i="31"/>
  <c r="AU328" i="31"/>
  <c r="AU200" i="31"/>
  <c r="AU358" i="31"/>
  <c r="AU221" i="31"/>
  <c r="AU231" i="31"/>
  <c r="AU169" i="31"/>
  <c r="AU380" i="31"/>
  <c r="AU132" i="31"/>
  <c r="AV132" i="31" s="1"/>
  <c r="AW132" i="31" s="1"/>
  <c r="AU418" i="31"/>
  <c r="AU466" i="31"/>
  <c r="AU354" i="31"/>
  <c r="AU174" i="31"/>
  <c r="AU318" i="31"/>
  <c r="AU202" i="31"/>
  <c r="AU427" i="31"/>
  <c r="AU346" i="31"/>
  <c r="AU161" i="31"/>
  <c r="AU255" i="31"/>
  <c r="AU244" i="31"/>
  <c r="AU381" i="31"/>
  <c r="AU238" i="31"/>
  <c r="AU136" i="31"/>
  <c r="AU271" i="31"/>
  <c r="AV271" i="31" s="1"/>
  <c r="AW271" i="31" s="1"/>
  <c r="AU458" i="31"/>
  <c r="AU144" i="31"/>
  <c r="AU245" i="31"/>
  <c r="AU389" i="31"/>
  <c r="AU306" i="31"/>
  <c r="AU355" i="31"/>
  <c r="AU145" i="31"/>
  <c r="AU349" i="31"/>
  <c r="AU397" i="31"/>
  <c r="AU172" i="31"/>
  <c r="AV172" i="31" s="1"/>
  <c r="AW172" i="31" s="1"/>
  <c r="AU129" i="31"/>
  <c r="AU400" i="31"/>
  <c r="AU443" i="31"/>
  <c r="AU417" i="31"/>
  <c r="AU411" i="31"/>
  <c r="AU415" i="31"/>
  <c r="AU140" i="31"/>
  <c r="AV140" i="31" s="1"/>
  <c r="AW140" i="31" s="1"/>
  <c r="AU232" i="31"/>
  <c r="AV232" i="31" s="1"/>
  <c r="AW232" i="31" s="1"/>
  <c r="AU375" i="31"/>
  <c r="AU393" i="31"/>
  <c r="AU429" i="31"/>
  <c r="AU84" i="31"/>
  <c r="AU302" i="31"/>
  <c r="AU125" i="31"/>
  <c r="AU433" i="31"/>
  <c r="AU137" i="31"/>
  <c r="AV137" i="31" s="1"/>
  <c r="AW137" i="31" s="1"/>
  <c r="AU134" i="31"/>
  <c r="AU371" i="31"/>
  <c r="AU94" i="31"/>
  <c r="AU282" i="31"/>
  <c r="AU163" i="31"/>
  <c r="AU303" i="31"/>
  <c r="AU450" i="31"/>
  <c r="AU204" i="31"/>
  <c r="AU109" i="31"/>
  <c r="AU359" i="31"/>
  <c r="AU205" i="31"/>
  <c r="AU339" i="31"/>
  <c r="AU425" i="31"/>
  <c r="AU387" i="31"/>
  <c r="AU119" i="31"/>
  <c r="AV119" i="31" s="1"/>
  <c r="AW119" i="31" s="1"/>
  <c r="AU130" i="31"/>
  <c r="AU448" i="31"/>
  <c r="AU430" i="31"/>
  <c r="AU117" i="31"/>
  <c r="AV117" i="31" s="1"/>
  <c r="AW117" i="31" s="1"/>
  <c r="AU326" i="31"/>
  <c r="AU142" i="31"/>
  <c r="AU457" i="31"/>
  <c r="AU353" i="31"/>
  <c r="AU376" i="31"/>
  <c r="AU347" i="31"/>
  <c r="AU263" i="31"/>
  <c r="AV263" i="31" s="1"/>
  <c r="AW263" i="31" s="1"/>
  <c r="AU351" i="31"/>
  <c r="AU382" i="31"/>
  <c r="AU363" i="31"/>
  <c r="AU378" i="31"/>
  <c r="AU180" i="31"/>
  <c r="AU377" i="31"/>
  <c r="AU116" i="31"/>
  <c r="AV116" i="31" s="1"/>
  <c r="AW116" i="31" s="1"/>
  <c r="AU151" i="31"/>
  <c r="AU120" i="31"/>
  <c r="AU294" i="31"/>
  <c r="AU184" i="31"/>
  <c r="AU399" i="31"/>
  <c r="AU350" i="31"/>
  <c r="AU325" i="31"/>
  <c r="AU234" i="31"/>
  <c r="AU186" i="31"/>
  <c r="AU268" i="31"/>
  <c r="AU143" i="31"/>
  <c r="AV143" i="31" s="1"/>
  <c r="AW143" i="31" s="1"/>
  <c r="AU283" i="31"/>
  <c r="AU465" i="31"/>
  <c r="AU85" i="31"/>
  <c r="AU407" i="31"/>
  <c r="AU452" i="31"/>
  <c r="AU176" i="31"/>
  <c r="AU461" i="31"/>
  <c r="AU463" i="31"/>
  <c r="AU219" i="31"/>
  <c r="AU206" i="31"/>
  <c r="AU265" i="31"/>
  <c r="AU403" i="31"/>
  <c r="AV403" i="31" s="1"/>
  <c r="AW403" i="31" s="1"/>
  <c r="AU192" i="31"/>
  <c r="AU92" i="31"/>
  <c r="AU89" i="31"/>
  <c r="AU360" i="31"/>
  <c r="AU207" i="31"/>
  <c r="AU150" i="31"/>
  <c r="AU99" i="31"/>
  <c r="AU449" i="31"/>
  <c r="AU287" i="31"/>
  <c r="AU264" i="31"/>
  <c r="AV264" i="31" s="1"/>
  <c r="AW264" i="31" s="1"/>
  <c r="AU469" i="31"/>
  <c r="AU467" i="31"/>
  <c r="AU462" i="31"/>
  <c r="AU441" i="31"/>
  <c r="AU131" i="31"/>
  <c r="AU361" i="31"/>
  <c r="AV361" i="31" s="1"/>
  <c r="AW361" i="31" s="1"/>
  <c r="AU159" i="31"/>
  <c r="AU112" i="31"/>
  <c r="AU215" i="31"/>
  <c r="AU121" i="31"/>
  <c r="AU459" i="31"/>
  <c r="AU276" i="31"/>
  <c r="AV276" i="31" s="1"/>
  <c r="AW276" i="31" s="1"/>
  <c r="AU187" i="31"/>
  <c r="AU311" i="31"/>
  <c r="AU178" i="31"/>
  <c r="AU319" i="31"/>
  <c r="AU199" i="31"/>
  <c r="AU252" i="31"/>
  <c r="AU241" i="31"/>
  <c r="AU444" i="31"/>
  <c r="AU110" i="31"/>
  <c r="AU153" i="31"/>
  <c r="AU93" i="31"/>
  <c r="AU250" i="31"/>
  <c r="AU258" i="31"/>
  <c r="AU203" i="31"/>
  <c r="AU290" i="31"/>
  <c r="AV290" i="31" s="1"/>
  <c r="AW290" i="31" s="1"/>
  <c r="AU352" i="31"/>
  <c r="AV352" i="31" s="1"/>
  <c r="AW352" i="31" s="1"/>
  <c r="AU383" i="31"/>
  <c r="AU208" i="31"/>
  <c r="AU338" i="31"/>
  <c r="AU409" i="31"/>
  <c r="AV409" i="31" s="1"/>
  <c r="AW409" i="31" s="1"/>
  <c r="AU133" i="31"/>
  <c r="AV133" i="31" s="1"/>
  <c r="AW133" i="31" s="1"/>
  <c r="AU139" i="31"/>
  <c r="AV139" i="31" s="1"/>
  <c r="AW139" i="31" s="1"/>
  <c r="AU385" i="31"/>
  <c r="T65" i="4"/>
  <c r="Q65" i="4"/>
  <c r="T114" i="4"/>
  <c r="Q114" i="4"/>
  <c r="S114" i="4"/>
  <c r="S65" i="4"/>
  <c r="Q462" i="6"/>
  <c r="T75" i="6"/>
  <c r="Q75" i="6"/>
  <c r="T462" i="6"/>
  <c r="S462" i="6"/>
  <c r="S75" i="6"/>
  <c r="L10" i="27"/>
  <c r="AD10" i="27" s="1"/>
  <c r="N56" i="27"/>
  <c r="L56" i="27"/>
  <c r="C44" i="26"/>
  <c r="C46" i="26" s="1"/>
  <c r="N60" i="27"/>
  <c r="M60" i="27" s="1"/>
  <c r="N22" i="27"/>
  <c r="M22" i="27" s="1"/>
  <c r="L62" i="27"/>
  <c r="M62" i="27" s="1"/>
  <c r="N52" i="27"/>
  <c r="M52" i="27" s="1"/>
  <c r="N34" i="27"/>
  <c r="M34" i="27" s="1"/>
  <c r="L54" i="27"/>
  <c r="M54" i="27" s="1"/>
  <c r="F44" i="26"/>
  <c r="F46" i="26" s="1"/>
  <c r="L36" i="27"/>
  <c r="M36" i="27" s="1"/>
  <c r="E44" i="26"/>
  <c r="E46" i="26" s="1"/>
  <c r="O56" i="27"/>
  <c r="D44" i="26"/>
  <c r="D46" i="26" s="1"/>
  <c r="L44" i="27"/>
  <c r="M44" i="27" s="1"/>
  <c r="L12" i="27"/>
  <c r="M12" i="27" s="1"/>
  <c r="L32" i="27"/>
  <c r="M32" i="27" s="1"/>
  <c r="L40" i="27"/>
  <c r="M40" i="27" s="1"/>
  <c r="L50" i="27"/>
  <c r="M50" i="27" s="1"/>
  <c r="N10" i="27"/>
  <c r="L18" i="27"/>
  <c r="M18" i="27" s="1"/>
  <c r="M26" i="27"/>
  <c r="M38" i="27"/>
  <c r="M42" i="27"/>
  <c r="M64" i="27"/>
  <c r="M63" i="27"/>
  <c r="M58" i="27"/>
  <c r="M20" i="27"/>
  <c r="M16" i="27"/>
  <c r="M65" i="27"/>
  <c r="M24" i="27"/>
  <c r="M46" i="27"/>
  <c r="AV34" i="31" l="1"/>
  <c r="AW34" i="31" s="1"/>
  <c r="AV26" i="31"/>
  <c r="AW26" i="31" s="1"/>
  <c r="AV17" i="31"/>
  <c r="AW17" i="31" s="1"/>
  <c r="AV32" i="31"/>
  <c r="AW32" i="31" s="1"/>
  <c r="AV72" i="31"/>
  <c r="AW72" i="31" s="1"/>
  <c r="AV53" i="31"/>
  <c r="AW53" i="31" s="1"/>
  <c r="AV59" i="31"/>
  <c r="AW59" i="31" s="1"/>
  <c r="AV63" i="31"/>
  <c r="AW63" i="31" s="1"/>
  <c r="AV44" i="31"/>
  <c r="AW44" i="31" s="1"/>
  <c r="AV47" i="31"/>
  <c r="AW47" i="31" s="1"/>
  <c r="AV51" i="31"/>
  <c r="AW51" i="31" s="1"/>
  <c r="AV54" i="31"/>
  <c r="AW54" i="31" s="1"/>
  <c r="AV68" i="31"/>
  <c r="AW68" i="31" s="1"/>
  <c r="AV67" i="31"/>
  <c r="AW67" i="31" s="1"/>
  <c r="AV52" i="31"/>
  <c r="AW52" i="31" s="1"/>
  <c r="AV55" i="31"/>
  <c r="AW55" i="31" s="1"/>
  <c r="AV42" i="31"/>
  <c r="AW42" i="31" s="1"/>
  <c r="AV40" i="31"/>
  <c r="AW40" i="31" s="1"/>
  <c r="AV50" i="31"/>
  <c r="AW50" i="31" s="1"/>
  <c r="AV39" i="31"/>
  <c r="AW39" i="31" s="1"/>
  <c r="AV69" i="31"/>
  <c r="AW69" i="31" s="1"/>
  <c r="AV48" i="31"/>
  <c r="AW48" i="31" s="1"/>
  <c r="AV57" i="31"/>
  <c r="AW57" i="31" s="1"/>
  <c r="AV45" i="31"/>
  <c r="AW45" i="31" s="1"/>
  <c r="AV65" i="31"/>
  <c r="AW65" i="31" s="1"/>
  <c r="AV37" i="31"/>
  <c r="AW37" i="31" s="1"/>
  <c r="AV61" i="31"/>
  <c r="AW61" i="31" s="1"/>
  <c r="AV41" i="31"/>
  <c r="AW41" i="31" s="1"/>
  <c r="AV49" i="31"/>
  <c r="AW49" i="31" s="1"/>
  <c r="AV64" i="31"/>
  <c r="AW64" i="31" s="1"/>
  <c r="AV43" i="31"/>
  <c r="AW43" i="31" s="1"/>
  <c r="AV60" i="31"/>
  <c r="AW60" i="31" s="1"/>
  <c r="AV204" i="31"/>
  <c r="AW204" i="31" s="1"/>
  <c r="AV428" i="31"/>
  <c r="AW428" i="31" s="1"/>
  <c r="AV142" i="31"/>
  <c r="AW142" i="31" s="1"/>
  <c r="AV411" i="31"/>
  <c r="AW411" i="31" s="1"/>
  <c r="AV214" i="31"/>
  <c r="AW214" i="31" s="1"/>
  <c r="AV78" i="31"/>
  <c r="AW78" i="31" s="1"/>
  <c r="AV372" i="31"/>
  <c r="AW372" i="31" s="1"/>
  <c r="AV200" i="31"/>
  <c r="AW200" i="31" s="1"/>
  <c r="AV211" i="31"/>
  <c r="AW211" i="31" s="1"/>
  <c r="AV84" i="31"/>
  <c r="AW84" i="31" s="1"/>
  <c r="AV426" i="31"/>
  <c r="AW426" i="31" s="1"/>
  <c r="AV434" i="31"/>
  <c r="AW434" i="31" s="1"/>
  <c r="AV127" i="31"/>
  <c r="AW127" i="31" s="1"/>
  <c r="AV439" i="31"/>
  <c r="AW439" i="31" s="1"/>
  <c r="AV401" i="31"/>
  <c r="AW401" i="31" s="1"/>
  <c r="AV237" i="31"/>
  <c r="AW237" i="31" s="1"/>
  <c r="AV413" i="31"/>
  <c r="AW413" i="31" s="1"/>
  <c r="AV77" i="31"/>
  <c r="AW77" i="31" s="1"/>
  <c r="AV286" i="31"/>
  <c r="AW286" i="31" s="1"/>
  <c r="AV106" i="31"/>
  <c r="AW106" i="31" s="1"/>
  <c r="AV81" i="31"/>
  <c r="AW81" i="31" s="1"/>
  <c r="AV164" i="31"/>
  <c r="AW164" i="31" s="1"/>
  <c r="AV278" i="31"/>
  <c r="AW278" i="31" s="1"/>
  <c r="AV284" i="31"/>
  <c r="AW284" i="31" s="1"/>
  <c r="AV225" i="31"/>
  <c r="AW225" i="31" s="1"/>
  <c r="AV83" i="31"/>
  <c r="AW83" i="31" s="1"/>
  <c r="AV183" i="31"/>
  <c r="AW183" i="31" s="1"/>
  <c r="AV128" i="31"/>
  <c r="AW128" i="31" s="1"/>
  <c r="AV193" i="31"/>
  <c r="AW193" i="31" s="1"/>
  <c r="AV267" i="31"/>
  <c r="AW267" i="31" s="1"/>
  <c r="AV110" i="31"/>
  <c r="AW110" i="31" s="1"/>
  <c r="AV187" i="31"/>
  <c r="AW187" i="31" s="1"/>
  <c r="AV99" i="31"/>
  <c r="AW99" i="31" s="1"/>
  <c r="AV150" i="31"/>
  <c r="AW150" i="31" s="1"/>
  <c r="AV349" i="31"/>
  <c r="AW349" i="31" s="1"/>
  <c r="AV98" i="31"/>
  <c r="AW98" i="31" s="1"/>
  <c r="AV446" i="31"/>
  <c r="AW446" i="31" s="1"/>
  <c r="AV241" i="31"/>
  <c r="AW241" i="31" s="1"/>
  <c r="AV162" i="31"/>
  <c r="AW162" i="31" s="1"/>
  <c r="AV294" i="31"/>
  <c r="AW294" i="31" s="1"/>
  <c r="AV113" i="31"/>
  <c r="AW113" i="31" s="1"/>
  <c r="AV108" i="31"/>
  <c r="AW108" i="31" s="1"/>
  <c r="AV124" i="31"/>
  <c r="AW124" i="31" s="1"/>
  <c r="AV259" i="31"/>
  <c r="AW259" i="31" s="1"/>
  <c r="AV402" i="31"/>
  <c r="AW402" i="31" s="1"/>
  <c r="AV459" i="31"/>
  <c r="AW459" i="31" s="1"/>
  <c r="AV374" i="31"/>
  <c r="AW374" i="31" s="1"/>
  <c r="AV460" i="31"/>
  <c r="AW460" i="31" s="1"/>
  <c r="AV260" i="31"/>
  <c r="AW260" i="31" s="1"/>
  <c r="AV93" i="31"/>
  <c r="AW93" i="31" s="1"/>
  <c r="AV134" i="31"/>
  <c r="AW134" i="31" s="1"/>
  <c r="AV320" i="31"/>
  <c r="AW320" i="31" s="1"/>
  <c r="AV454" i="31"/>
  <c r="AW454" i="31" s="1"/>
  <c r="AV308" i="31"/>
  <c r="AW308" i="31" s="1"/>
  <c r="AV418" i="31"/>
  <c r="AW418" i="31" s="1"/>
  <c r="AV265" i="31"/>
  <c r="AW265" i="31" s="1"/>
  <c r="AV275" i="31"/>
  <c r="AW275" i="31" s="1"/>
  <c r="AV303" i="31"/>
  <c r="AW303" i="31" s="1"/>
  <c r="AV95" i="31"/>
  <c r="AW95" i="31" s="1"/>
  <c r="AV163" i="31"/>
  <c r="AW163" i="31" s="1"/>
  <c r="AV136" i="31"/>
  <c r="AW136" i="31" s="1"/>
  <c r="AV202" i="31"/>
  <c r="AW202" i="31" s="1"/>
  <c r="AV330" i="31"/>
  <c r="AW330" i="31" s="1"/>
  <c r="AV414" i="31"/>
  <c r="AW414" i="31" s="1"/>
  <c r="AV170" i="31"/>
  <c r="AW170" i="31" s="1"/>
  <c r="AV285" i="31"/>
  <c r="AW285" i="31" s="1"/>
  <c r="AV122" i="31"/>
  <c r="AW122" i="31" s="1"/>
  <c r="AV85" i="31"/>
  <c r="AW85" i="31" s="1"/>
  <c r="AV239" i="31"/>
  <c r="AW239" i="31" s="1"/>
  <c r="AV456" i="31"/>
  <c r="AW456" i="31" s="1"/>
  <c r="AV292" i="31"/>
  <c r="AW292" i="31" s="1"/>
  <c r="AV307" i="31"/>
  <c r="AW307" i="31" s="1"/>
  <c r="AV415" i="31"/>
  <c r="AW415" i="31" s="1"/>
  <c r="AV337" i="31"/>
  <c r="AW337" i="31" s="1"/>
  <c r="AV219" i="31"/>
  <c r="AW219" i="31" s="1"/>
  <c r="AV105" i="31"/>
  <c r="AW105" i="31" s="1"/>
  <c r="AV437" i="31"/>
  <c r="AW437" i="31" s="1"/>
  <c r="AV466" i="31"/>
  <c r="AW466" i="31" s="1"/>
  <c r="AV184" i="31"/>
  <c r="AW184" i="31" s="1"/>
  <c r="AV302" i="31"/>
  <c r="AW302" i="31" s="1"/>
  <c r="AV468" i="31"/>
  <c r="AW468" i="31" s="1"/>
  <c r="AV149" i="31"/>
  <c r="AW149" i="31" s="1"/>
  <c r="AV213" i="31"/>
  <c r="AW213" i="31" s="1"/>
  <c r="AV321" i="31"/>
  <c r="AW321" i="31" s="1"/>
  <c r="AV424" i="31"/>
  <c r="AW424" i="31" s="1"/>
  <c r="AV76" i="31"/>
  <c r="AW76" i="31" s="1"/>
  <c r="AV435" i="31"/>
  <c r="AW435" i="31" s="1"/>
  <c r="AV203" i="31"/>
  <c r="AW203" i="31" s="1"/>
  <c r="AV467" i="31"/>
  <c r="AW467" i="31" s="1"/>
  <c r="AV282" i="31"/>
  <c r="AW282" i="31" s="1"/>
  <c r="AV238" i="31"/>
  <c r="AW238" i="31" s="1"/>
  <c r="AV341" i="31"/>
  <c r="AW341" i="31" s="1"/>
  <c r="AV148" i="31"/>
  <c r="AW148" i="31" s="1"/>
  <c r="AV254" i="31"/>
  <c r="AW254" i="31" s="1"/>
  <c r="AV88" i="31"/>
  <c r="AW88" i="31" s="1"/>
  <c r="AV295" i="31"/>
  <c r="AW295" i="31" s="1"/>
  <c r="AV298" i="31"/>
  <c r="AW298" i="31" s="1"/>
  <c r="AV79" i="31"/>
  <c r="AW79" i="31" s="1"/>
  <c r="AV469" i="31"/>
  <c r="AW469" i="31" s="1"/>
  <c r="AV306" i="31"/>
  <c r="AW306" i="31" s="1"/>
  <c r="AV381" i="31"/>
  <c r="AW381" i="31" s="1"/>
  <c r="AV269" i="31"/>
  <c r="AW269" i="31" s="1"/>
  <c r="AV141" i="31"/>
  <c r="AW141" i="31" s="1"/>
  <c r="AV123" i="31"/>
  <c r="AW123" i="31" s="1"/>
  <c r="AV305" i="31"/>
  <c r="AW305" i="31" s="1"/>
  <c r="AV296" i="31"/>
  <c r="AW296" i="31" s="1"/>
  <c r="AV96" i="31"/>
  <c r="AW96" i="31" s="1"/>
  <c r="AV261" i="31"/>
  <c r="AW261" i="31" s="1"/>
  <c r="AV440" i="31"/>
  <c r="AW440" i="31" s="1"/>
  <c r="AV185" i="31"/>
  <c r="AW185" i="31" s="1"/>
  <c r="AV121" i="31"/>
  <c r="AW121" i="31" s="1"/>
  <c r="AV199" i="31"/>
  <c r="AW199" i="31" s="1"/>
  <c r="AV92" i="31"/>
  <c r="AW92" i="31" s="1"/>
  <c r="AV186" i="31"/>
  <c r="AW186" i="31" s="1"/>
  <c r="AV371" i="31"/>
  <c r="AW371" i="31" s="1"/>
  <c r="AV218" i="31"/>
  <c r="AW218" i="31" s="1"/>
  <c r="AV309" i="31"/>
  <c r="AW309" i="31" s="1"/>
  <c r="AV338" i="31"/>
  <c r="AW338" i="31" s="1"/>
  <c r="AV236" i="31"/>
  <c r="AW236" i="31" s="1"/>
  <c r="AV373" i="31"/>
  <c r="AW373" i="31" s="1"/>
  <c r="AV315" i="31"/>
  <c r="AW315" i="31" s="1"/>
  <c r="AV153" i="31"/>
  <c r="AW153" i="31" s="1"/>
  <c r="AV407" i="31"/>
  <c r="AW407" i="31" s="1"/>
  <c r="AV130" i="31"/>
  <c r="AW130" i="31" s="1"/>
  <c r="AV464" i="31"/>
  <c r="AW464" i="31" s="1"/>
  <c r="AV188" i="31"/>
  <c r="AW188" i="31" s="1"/>
  <c r="AV102" i="31"/>
  <c r="AW102" i="31" s="1"/>
  <c r="AV191" i="31"/>
  <c r="AW191" i="31" s="1"/>
  <c r="AV417" i="31"/>
  <c r="AW417" i="31" s="1"/>
  <c r="AV465" i="31"/>
  <c r="AW465" i="31" s="1"/>
  <c r="AV125" i="31"/>
  <c r="AW125" i="31" s="1"/>
  <c r="AV444" i="31"/>
  <c r="AW444" i="31" s="1"/>
  <c r="AV441" i="31"/>
  <c r="AW441" i="31" s="1"/>
  <c r="AV416" i="31"/>
  <c r="AW416" i="31" s="1"/>
  <c r="AV342" i="31"/>
  <c r="AW342" i="31" s="1"/>
  <c r="AV436" i="31"/>
  <c r="AW436" i="31" s="1"/>
  <c r="AV453" i="31"/>
  <c r="AW453" i="31" s="1"/>
  <c r="AV340" i="31"/>
  <c r="AW340" i="31" s="1"/>
  <c r="AV427" i="31"/>
  <c r="AW427" i="31" s="1"/>
  <c r="AV334" i="31"/>
  <c r="AW334" i="31" s="1"/>
  <c r="AV158" i="31"/>
  <c r="AW158" i="31" s="1"/>
  <c r="AV333" i="31"/>
  <c r="AW333" i="31" s="1"/>
  <c r="AV230" i="31"/>
  <c r="AW230" i="31" s="1"/>
  <c r="AV461" i="31"/>
  <c r="AW461" i="31" s="1"/>
  <c r="AV351" i="31"/>
  <c r="AW351" i="31" s="1"/>
  <c r="AV429" i="31"/>
  <c r="AW429" i="31" s="1"/>
  <c r="AV174" i="31"/>
  <c r="AW174" i="31" s="1"/>
  <c r="AV115" i="31"/>
  <c r="AW115" i="31" s="1"/>
  <c r="AV194" i="31"/>
  <c r="AW194" i="31" s="1"/>
  <c r="AV256" i="31"/>
  <c r="AW256" i="31" s="1"/>
  <c r="AV301" i="31"/>
  <c r="AW301" i="31" s="1"/>
  <c r="AV297" i="31"/>
  <c r="AW297" i="31" s="1"/>
  <c r="AV182" i="31"/>
  <c r="AW182" i="31" s="1"/>
  <c r="AV246" i="31"/>
  <c r="AW246" i="31" s="1"/>
  <c r="AV160" i="31"/>
  <c r="AW160" i="31" s="1"/>
  <c r="AV299" i="31"/>
  <c r="AW299" i="31" s="1"/>
  <c r="AV168" i="31"/>
  <c r="AW168" i="31" s="1"/>
  <c r="AV138" i="31"/>
  <c r="AW138" i="31" s="1"/>
  <c r="AV240" i="31"/>
  <c r="AW240" i="31" s="1"/>
  <c r="AV291" i="31"/>
  <c r="AW291" i="31" s="1"/>
  <c r="AV452" i="31"/>
  <c r="AW452" i="31" s="1"/>
  <c r="AV109" i="31"/>
  <c r="AW109" i="31" s="1"/>
  <c r="AV229" i="31"/>
  <c r="AW229" i="31" s="1"/>
  <c r="AV318" i="31"/>
  <c r="AW318" i="31" s="1"/>
  <c r="AV281" i="31"/>
  <c r="AW281" i="31" s="1"/>
  <c r="AV243" i="31"/>
  <c r="AW243" i="31" s="1"/>
  <c r="AV412" i="31"/>
  <c r="AW412" i="31" s="1"/>
  <c r="AV445" i="31"/>
  <c r="AW445" i="31" s="1"/>
  <c r="AV216" i="31"/>
  <c r="AW216" i="31" s="1"/>
  <c r="AV111" i="31"/>
  <c r="AW111" i="31" s="1"/>
  <c r="AV244" i="31"/>
  <c r="AW244" i="31" s="1"/>
  <c r="AV350" i="31"/>
  <c r="AW350" i="31" s="1"/>
  <c r="AV450" i="31"/>
  <c r="AW450" i="31" s="1"/>
  <c r="AV118" i="31"/>
  <c r="AW118" i="31" s="1"/>
  <c r="AV73" i="31"/>
  <c r="AW73" i="31" s="1"/>
  <c r="AV189" i="31"/>
  <c r="AW189" i="31" s="1"/>
  <c r="AV272" i="31"/>
  <c r="AW272" i="31" s="1"/>
  <c r="AV166" i="31"/>
  <c r="AW166" i="31" s="1"/>
  <c r="AV221" i="31"/>
  <c r="AW221" i="31" s="1"/>
  <c r="AV247" i="31"/>
  <c r="AW247" i="31" s="1"/>
  <c r="AV152" i="31"/>
  <c r="AW152" i="31" s="1"/>
  <c r="AV226" i="31"/>
  <c r="AW226" i="31" s="1"/>
  <c r="AV75" i="31"/>
  <c r="AW75" i="31" s="1"/>
  <c r="AV224" i="31"/>
  <c r="AW224" i="31" s="1"/>
  <c r="AV100" i="31"/>
  <c r="AW100" i="31" s="1"/>
  <c r="AV97" i="31"/>
  <c r="AW97" i="31" s="1"/>
  <c r="AV336" i="31"/>
  <c r="AW336" i="31" s="1"/>
  <c r="AV408" i="31"/>
  <c r="AW408" i="31" s="1"/>
  <c r="AV156" i="31"/>
  <c r="AW156" i="31" s="1"/>
  <c r="AV293" i="31"/>
  <c r="AW293" i="31" s="1"/>
  <c r="AV212" i="31"/>
  <c r="AW212" i="31" s="1"/>
  <c r="AV159" i="31"/>
  <c r="AW159" i="31" s="1"/>
  <c r="AV192" i="31"/>
  <c r="AW192" i="31" s="1"/>
  <c r="AV457" i="31"/>
  <c r="AW457" i="31" s="1"/>
  <c r="AV252" i="31"/>
  <c r="AW252" i="31" s="1"/>
  <c r="AV462" i="31"/>
  <c r="AW462" i="31" s="1"/>
  <c r="AV283" i="31"/>
  <c r="AW283" i="31" s="1"/>
  <c r="AV169" i="31"/>
  <c r="AW169" i="31" s="1"/>
  <c r="AV253" i="31"/>
  <c r="AW253" i="31" s="1"/>
  <c r="AV74" i="31"/>
  <c r="AW74" i="31" s="1"/>
  <c r="AV345" i="31"/>
  <c r="AW345" i="31" s="1"/>
  <c r="AV104" i="31"/>
  <c r="AW104" i="31" s="1"/>
  <c r="AV126" i="31"/>
  <c r="AW126" i="31" s="1"/>
  <c r="AV304" i="31"/>
  <c r="AW304" i="31" s="1"/>
  <c r="AV422" i="31"/>
  <c r="AW422" i="31" s="1"/>
  <c r="AV400" i="31"/>
  <c r="AW400" i="31" s="1"/>
  <c r="AV255" i="31"/>
  <c r="AW255" i="31" s="1"/>
  <c r="AV279" i="31"/>
  <c r="AW279" i="31" s="1"/>
  <c r="AV343" i="31"/>
  <c r="AW343" i="31" s="1"/>
  <c r="AV165" i="31"/>
  <c r="AW165" i="31" s="1"/>
  <c r="AV451" i="31"/>
  <c r="AW451" i="31" s="1"/>
  <c r="AV463" i="31"/>
  <c r="AW463" i="31" s="1"/>
  <c r="AV382" i="31"/>
  <c r="AW382" i="31" s="1"/>
  <c r="AV421" i="31"/>
  <c r="AW421" i="31" s="1"/>
  <c r="AV215" i="31"/>
  <c r="AW215" i="31" s="1"/>
  <c r="AV190" i="31"/>
  <c r="AW190" i="31" s="1"/>
  <c r="AV217" i="31"/>
  <c r="AW217" i="31" s="1"/>
  <c r="AV87" i="31"/>
  <c r="AW87" i="31" s="1"/>
  <c r="AV325" i="31"/>
  <c r="AW325" i="31" s="1"/>
  <c r="AV154" i="31"/>
  <c r="AW154" i="31" s="1"/>
  <c r="AV161" i="31"/>
  <c r="AW161" i="31" s="1"/>
  <c r="AV262" i="31"/>
  <c r="AW262" i="31" s="1"/>
  <c r="AV438" i="31"/>
  <c r="AW438" i="31" s="1"/>
  <c r="AV107" i="31"/>
  <c r="AW107" i="31" s="1"/>
  <c r="AV348" i="31"/>
  <c r="AW348" i="31" s="1"/>
  <c r="AV258" i="31"/>
  <c r="AW258" i="31" s="1"/>
  <c r="AV89" i="31"/>
  <c r="AW89" i="31" s="1"/>
  <c r="AV268" i="31"/>
  <c r="AW268" i="31" s="1"/>
  <c r="AV120" i="31"/>
  <c r="AW120" i="31" s="1"/>
  <c r="AV94" i="31"/>
  <c r="AW94" i="31" s="1"/>
  <c r="AV195" i="31"/>
  <c r="AW195" i="31" s="1"/>
  <c r="AV249" i="31"/>
  <c r="AW249" i="31" s="1"/>
  <c r="AV86" i="31"/>
  <c r="AW86" i="31" s="1"/>
  <c r="AV405" i="31"/>
  <c r="AW405" i="31" s="1"/>
  <c r="AV90" i="31"/>
  <c r="AW90" i="31" s="1"/>
  <c r="AV274" i="31"/>
  <c r="AW274" i="31" s="1"/>
  <c r="AV131" i="31"/>
  <c r="AW131" i="31" s="1"/>
  <c r="AV197" i="31"/>
  <c r="AW197" i="31" s="1"/>
  <c r="AV91" i="31"/>
  <c r="AW91" i="31" s="1"/>
  <c r="AV135" i="31"/>
  <c r="AW135" i="31" s="1"/>
  <c r="AV198" i="31"/>
  <c r="AW198" i="31" s="1"/>
  <c r="AV155" i="31"/>
  <c r="AW155" i="31" s="1"/>
  <c r="AV420" i="31"/>
  <c r="AW420" i="31" s="1"/>
  <c r="AV317" i="31"/>
  <c r="AW317" i="31" s="1"/>
  <c r="AV80" i="31"/>
  <c r="AW80" i="31" s="1"/>
  <c r="AV300" i="31"/>
  <c r="AW300" i="31" s="1"/>
  <c r="AV326" i="31"/>
  <c r="AW326" i="31" s="1"/>
  <c r="AV266" i="31"/>
  <c r="AW266" i="31" s="1"/>
  <c r="AV250" i="31"/>
  <c r="AW250" i="31" s="1"/>
  <c r="AV319" i="31"/>
  <c r="AW319" i="31" s="1"/>
  <c r="AV151" i="31"/>
  <c r="AW151" i="31" s="1"/>
  <c r="AV327" i="31"/>
  <c r="AW327" i="31" s="1"/>
  <c r="AV233" i="31"/>
  <c r="AW233" i="31" s="1"/>
  <c r="AV332" i="31"/>
  <c r="AW332" i="31" s="1"/>
  <c r="AV175" i="31"/>
  <c r="AW175" i="31" s="1"/>
  <c r="AV346" i="31"/>
  <c r="AW346" i="31" s="1"/>
  <c r="AV323" i="31"/>
  <c r="AW323" i="31" s="1"/>
  <c r="AV289" i="31"/>
  <c r="AW289" i="31" s="1"/>
  <c r="AV344" i="31"/>
  <c r="AW344" i="31" s="1"/>
  <c r="AV395" i="31"/>
  <c r="AW395" i="31" s="1"/>
  <c r="AV458" i="31"/>
  <c r="AW458" i="31" s="1"/>
  <c r="AV277" i="31"/>
  <c r="AW277" i="31" s="1"/>
  <c r="AV328" i="31"/>
  <c r="AW328" i="31" s="1"/>
  <c r="AV287" i="31"/>
  <c r="AW287" i="31" s="1"/>
  <c r="AV347" i="31"/>
  <c r="AW347" i="31" s="1"/>
  <c r="AV129" i="31"/>
  <c r="AW129" i="31" s="1"/>
  <c r="AV245" i="31"/>
  <c r="AW245" i="31" s="1"/>
  <c r="AV410" i="31"/>
  <c r="AW410" i="31" s="1"/>
  <c r="AV171" i="31"/>
  <c r="AW171" i="31" s="1"/>
  <c r="AV455" i="31"/>
  <c r="AW455" i="31" s="1"/>
  <c r="AV103" i="31"/>
  <c r="AW103" i="31" s="1"/>
  <c r="AV231" i="31"/>
  <c r="AW231" i="31" s="1"/>
  <c r="AV339" i="31"/>
  <c r="AW339" i="31" s="1"/>
  <c r="AV234" i="31"/>
  <c r="AW234" i="31" s="1"/>
  <c r="AV331" i="31"/>
  <c r="AW331" i="31" s="1"/>
  <c r="AV112" i="31"/>
  <c r="AW112" i="31" s="1"/>
  <c r="AV101" i="31"/>
  <c r="AW101" i="31" s="1"/>
  <c r="AV227" i="31"/>
  <c r="AW227" i="31" s="1"/>
  <c r="AV316" i="31"/>
  <c r="AW316" i="31" s="1"/>
  <c r="X1813" i="31"/>
  <c r="X1814" i="31" s="1"/>
  <c r="M56" i="27"/>
  <c r="N7" i="1" l="1"/>
  <c r="N6" i="1"/>
  <c r="T348" i="1" l="1"/>
  <c r="Q346" i="1"/>
  <c r="Q342" i="1"/>
  <c r="T336" i="1"/>
  <c r="T333" i="1"/>
  <c r="Q328" i="1"/>
  <c r="T307" i="1"/>
  <c r="Q305" i="1"/>
  <c r="Q302" i="1"/>
  <c r="Q299" i="1"/>
  <c r="Q293" i="1"/>
  <c r="Q175" i="1"/>
  <c r="T341" i="1"/>
  <c r="Q339" i="1"/>
  <c r="T327" i="1"/>
  <c r="Q325" i="1"/>
  <c r="Q322" i="1"/>
  <c r="Q319" i="1"/>
  <c r="Q316" i="1"/>
  <c r="T304" i="1"/>
  <c r="T295" i="1"/>
  <c r="T266" i="1"/>
  <c r="T182" i="1"/>
  <c r="Q344" i="1"/>
  <c r="T340" i="1"/>
  <c r="Q338" i="1"/>
  <c r="Q335" i="1"/>
  <c r="T326" i="1"/>
  <c r="T323" i="1"/>
  <c r="Q321" i="1"/>
  <c r="T317" i="1"/>
  <c r="Q315" i="1"/>
  <c r="T297" i="1"/>
  <c r="T291" i="1"/>
  <c r="Q347" i="1"/>
  <c r="T337" i="1"/>
  <c r="T334" i="1"/>
  <c r="T331" i="1"/>
  <c r="Q329" i="1"/>
  <c r="Q300" i="1"/>
  <c r="Q336" i="1"/>
  <c r="Q307" i="1"/>
  <c r="Q348" i="1"/>
  <c r="Q341" i="1"/>
  <c r="T329" i="1"/>
  <c r="T300" i="1"/>
  <c r="Q295" i="1"/>
  <c r="T347" i="1"/>
  <c r="Q340" i="1"/>
  <c r="T328" i="1"/>
  <c r="Q323" i="1"/>
  <c r="Q317" i="1"/>
  <c r="T305" i="1"/>
  <c r="T299" i="1"/>
  <c r="T293" i="1"/>
  <c r="Q327" i="1"/>
  <c r="Q304" i="1"/>
  <c r="Q266" i="1"/>
  <c r="T175" i="1"/>
  <c r="Q343" i="1"/>
  <c r="Q326" i="1"/>
  <c r="T302" i="1"/>
  <c r="Q297" i="1"/>
  <c r="Q291" i="1"/>
  <c r="Q333" i="1"/>
  <c r="T316" i="1"/>
  <c r="Q331" i="1"/>
  <c r="Q182" i="1"/>
  <c r="T315" i="1"/>
  <c r="T339" i="1"/>
  <c r="T325" i="1"/>
  <c r="Q345" i="1"/>
  <c r="T338" i="1"/>
  <c r="T322" i="1"/>
  <c r="Q334" i="1"/>
  <c r="Q337" i="1"/>
  <c r="T321" i="1"/>
  <c r="T319" i="1"/>
  <c r="S346" i="1"/>
  <c r="T346" i="1" s="1"/>
  <c r="S339" i="1"/>
  <c r="S325" i="1"/>
  <c r="S322" i="1"/>
  <c r="S319" i="1"/>
  <c r="S316" i="1"/>
  <c r="S348" i="1"/>
  <c r="S345" i="1"/>
  <c r="S336" i="1"/>
  <c r="S333" i="1"/>
  <c r="S307" i="1"/>
  <c r="S347" i="1"/>
  <c r="S329" i="1"/>
  <c r="S300" i="1"/>
  <c r="S343" i="1"/>
  <c r="S340" i="1"/>
  <c r="S326" i="1"/>
  <c r="S323" i="1"/>
  <c r="S317" i="1"/>
  <c r="S297" i="1"/>
  <c r="S291" i="1"/>
  <c r="S341" i="1"/>
  <c r="S295" i="1"/>
  <c r="S335" i="1"/>
  <c r="S334" i="1"/>
  <c r="S182" i="1"/>
  <c r="S344" i="1"/>
  <c r="S338" i="1"/>
  <c r="S321" i="1"/>
  <c r="S315" i="1"/>
  <c r="S337" i="1"/>
  <c r="S331" i="1"/>
  <c r="S175" i="1"/>
  <c r="S266" i="1"/>
  <c r="S293" i="1"/>
  <c r="S304" i="1"/>
  <c r="S328" i="1"/>
  <c r="S342" i="1"/>
  <c r="S327" i="1"/>
  <c r="S305" i="1"/>
  <c r="S302" i="1"/>
  <c r="S299" i="1"/>
  <c r="T345" i="1" l="1"/>
  <c r="T343" i="1"/>
  <c r="T335" i="1"/>
  <c r="T344" i="1"/>
  <c r="T342" i="1"/>
  <c r="N105" i="4" l="1"/>
  <c r="O105" i="4" s="1"/>
  <c r="P105" i="4" s="1"/>
  <c r="N106" i="4"/>
  <c r="O106" i="4" s="1"/>
  <c r="P106" i="4" s="1"/>
  <c r="N107" i="4"/>
  <c r="O107" i="4" s="1"/>
  <c r="P107" i="4" s="1"/>
  <c r="N108" i="4"/>
  <c r="O108" i="4" s="1"/>
  <c r="P108" i="4" s="1"/>
  <c r="M338" i="1"/>
  <c r="N338" i="1" s="1"/>
  <c r="O338" i="1" s="1"/>
  <c r="P338" i="1" s="1"/>
  <c r="K338" i="1"/>
  <c r="L338" i="1" s="1"/>
  <c r="M337" i="1"/>
  <c r="K337" i="1"/>
  <c r="L337" i="1" s="1"/>
  <c r="M336" i="1"/>
  <c r="N336" i="1" s="1"/>
  <c r="O336" i="1" s="1"/>
  <c r="P336" i="1" s="1"/>
  <c r="K336" i="1"/>
  <c r="L336" i="1" s="1"/>
  <c r="N337" i="1" l="1"/>
  <c r="O337" i="1" s="1"/>
  <c r="P337" i="1" s="1"/>
  <c r="N335" i="1" l="1"/>
  <c r="O335" i="1" s="1"/>
  <c r="P335" i="1" s="1"/>
  <c r="K335" i="1"/>
  <c r="L335" i="1" s="1"/>
  <c r="U48" i="27" l="1"/>
  <c r="G28" i="26" l="1"/>
  <c r="G29" i="26"/>
  <c r="G30" i="26"/>
  <c r="G31" i="26"/>
  <c r="G32" i="26"/>
  <c r="G33" i="26"/>
  <c r="G35" i="26"/>
  <c r="G37" i="26"/>
  <c r="G38" i="26"/>
  <c r="G40" i="26"/>
  <c r="G41" i="26"/>
  <c r="G43" i="26"/>
  <c r="G27" i="26"/>
  <c r="V2" i="28" l="1"/>
  <c r="M3" i="28"/>
  <c r="M4" i="28" s="1"/>
  <c r="I5" i="28"/>
  <c r="V1253" i="28"/>
  <c r="V1231" i="28"/>
  <c r="V1557" i="28"/>
  <c r="V1556" i="28"/>
  <c r="V1555" i="28"/>
  <c r="V1554" i="28"/>
  <c r="V1553" i="28"/>
  <c r="V1552" i="28"/>
  <c r="V1551" i="28"/>
  <c r="V1550" i="28"/>
  <c r="V1549" i="28"/>
  <c r="V1548" i="28"/>
  <c r="V1547" i="28"/>
  <c r="V1546" i="28"/>
  <c r="V1545" i="28"/>
  <c r="V1544" i="28"/>
  <c r="V1543" i="28"/>
  <c r="V1542" i="28"/>
  <c r="V1541" i="28"/>
  <c r="V1540" i="28"/>
  <c r="V1539" i="28"/>
  <c r="V1538" i="28"/>
  <c r="V1537" i="28"/>
  <c r="V1536" i="28"/>
  <c r="V1535" i="28"/>
  <c r="V1534" i="28"/>
  <c r="V1533" i="28"/>
  <c r="V1532" i="28"/>
  <c r="V1531" i="28"/>
  <c r="V1530" i="28"/>
  <c r="V1529" i="28"/>
  <c r="V1528" i="28"/>
  <c r="V1527" i="28"/>
  <c r="V1526" i="28"/>
  <c r="V1525" i="28"/>
  <c r="V1524" i="28"/>
  <c r="V1523" i="28"/>
  <c r="V1522" i="28"/>
  <c r="V1521" i="28"/>
  <c r="V1520" i="28"/>
  <c r="V1519" i="28"/>
  <c r="V1518" i="28"/>
  <c r="V1517" i="28"/>
  <c r="V1516" i="28"/>
  <c r="V1515" i="28"/>
  <c r="V1514" i="28"/>
  <c r="V1513" i="28"/>
  <c r="V1512" i="28"/>
  <c r="V1511" i="28"/>
  <c r="V1510" i="28"/>
  <c r="V1509" i="28"/>
  <c r="V1508" i="28"/>
  <c r="V1507" i="28"/>
  <c r="V1506" i="28"/>
  <c r="V1505" i="28"/>
  <c r="V1504" i="28"/>
  <c r="V1503" i="28"/>
  <c r="V1502" i="28"/>
  <c r="V1501" i="28"/>
  <c r="V1500" i="28"/>
  <c r="V1197" i="28"/>
  <c r="V1196" i="28"/>
  <c r="V1191" i="28"/>
  <c r="V1186" i="28"/>
  <c r="V1499" i="28"/>
  <c r="V1498" i="28"/>
  <c r="V1497" i="28"/>
  <c r="V1183" i="28"/>
  <c r="V1496" i="28"/>
  <c r="V1221" i="28"/>
  <c r="V1215" i="28"/>
  <c r="V1495" i="28"/>
  <c r="V1494" i="28"/>
  <c r="V1493" i="28"/>
  <c r="V1492" i="28"/>
  <c r="V1190" i="28"/>
  <c r="V1491" i="28"/>
  <c r="V1490" i="28"/>
  <c r="V1489" i="28"/>
  <c r="V1488" i="28"/>
  <c r="V1487" i="28"/>
  <c r="V1486" i="28"/>
  <c r="V1485" i="28"/>
  <c r="V1484" i="28"/>
  <c r="V1483" i="28"/>
  <c r="V1482" i="28"/>
  <c r="V1481" i="28"/>
  <c r="V1480" i="28"/>
  <c r="V1479" i="28"/>
  <c r="V1478" i="28"/>
  <c r="V1477" i="28"/>
  <c r="V1476" i="28"/>
  <c r="V1475" i="28"/>
  <c r="V1472" i="28"/>
  <c r="V1471" i="28"/>
  <c r="V1470" i="28"/>
  <c r="V1469" i="28"/>
  <c r="V1468" i="28"/>
  <c r="V1467" i="28"/>
  <c r="V1466" i="28"/>
  <c r="V1465" i="28"/>
  <c r="V1464" i="28"/>
  <c r="V1463" i="28"/>
  <c r="V1462" i="28"/>
  <c r="V1461" i="28"/>
  <c r="V1460" i="28"/>
  <c r="V1459" i="28"/>
  <c r="V1458" i="28"/>
  <c r="V1457" i="28"/>
  <c r="V1456" i="28"/>
  <c r="V1455" i="28"/>
  <c r="V1454" i="28"/>
  <c r="V1453" i="28"/>
  <c r="V1452" i="28"/>
  <c r="V1451" i="28"/>
  <c r="V1450" i="28"/>
  <c r="V1449" i="28"/>
  <c r="V1448" i="28"/>
  <c r="V1447" i="28"/>
  <c r="V1446" i="28"/>
  <c r="V1445" i="28"/>
  <c r="V1444" i="28"/>
  <c r="V1443" i="28"/>
  <c r="V1442" i="28"/>
  <c r="V1441" i="28"/>
  <c r="V1440" i="28"/>
  <c r="V1439" i="28"/>
  <c r="V1438" i="28"/>
  <c r="V1437" i="28"/>
  <c r="V1436" i="28"/>
  <c r="V1435" i="28"/>
  <c r="V1434" i="28"/>
  <c r="V1473" i="28"/>
  <c r="V1092" i="28"/>
  <c r="V1433" i="28"/>
  <c r="V1474" i="28"/>
  <c r="V524" i="28"/>
  <c r="V502" i="28"/>
  <c r="V1432" i="28"/>
  <c r="V1032" i="28"/>
  <c r="V1431" i="28"/>
  <c r="V1430" i="28"/>
  <c r="V1429" i="28"/>
  <c r="V1428" i="28"/>
  <c r="V1427" i="28"/>
  <c r="V1426" i="28"/>
  <c r="V1278" i="28"/>
  <c r="V1425" i="28"/>
  <c r="V1424" i="28"/>
  <c r="V1423" i="28"/>
  <c r="V1422" i="28"/>
  <c r="V1421" i="28"/>
  <c r="V1420" i="28"/>
  <c r="V1419" i="28"/>
  <c r="V1418" i="28"/>
  <c r="V1417" i="28"/>
  <c r="V1416" i="28"/>
  <c r="V1415" i="28"/>
  <c r="V673" i="28"/>
  <c r="V672" i="28"/>
  <c r="V1414" i="28"/>
  <c r="V1413" i="28"/>
  <c r="V1412" i="28"/>
  <c r="V731" i="28"/>
  <c r="V1411" i="28"/>
  <c r="V1410" i="28"/>
  <c r="V1409" i="28"/>
  <c r="V1408" i="28"/>
  <c r="V1407" i="28"/>
  <c r="V1406" i="28"/>
  <c r="V1405" i="28"/>
  <c r="V1404" i="28"/>
  <c r="V1403" i="28"/>
  <c r="V1402" i="28"/>
  <c r="V1401" i="28"/>
  <c r="V1400" i="28"/>
  <c r="V1271" i="28"/>
  <c r="V1399" i="28"/>
  <c r="V1398" i="28"/>
  <c r="V1397" i="28"/>
  <c r="V1396" i="28"/>
  <c r="V1395" i="28"/>
  <c r="V1394" i="28"/>
  <c r="V1393" i="28"/>
  <c r="V1392" i="28"/>
  <c r="V1391" i="28"/>
  <c r="V1390" i="28"/>
  <c r="V1389" i="28"/>
  <c r="V1388" i="28"/>
  <c r="V1387" i="28"/>
  <c r="V1386" i="28"/>
  <c r="V918" i="28"/>
  <c r="V869" i="28"/>
  <c r="V1385" i="28"/>
  <c r="V1384" i="28"/>
  <c r="V1383" i="28"/>
  <c r="V1382" i="28"/>
  <c r="V1381" i="28"/>
  <c r="V1380" i="28"/>
  <c r="V1379" i="28"/>
  <c r="V1378" i="28"/>
  <c r="V628" i="28"/>
  <c r="V1377" i="28"/>
  <c r="V1376" i="28"/>
  <c r="V1375" i="28"/>
  <c r="V1374" i="28"/>
  <c r="V1373" i="28"/>
  <c r="V1372" i="28"/>
  <c r="V1274" i="28"/>
  <c r="V1371" i="28"/>
  <c r="V1370" i="28"/>
  <c r="V1275" i="28"/>
  <c r="V1369" i="28"/>
  <c r="V1280" i="28"/>
  <c r="V1368" i="28"/>
  <c r="V1367" i="28"/>
  <c r="V1279" i="28"/>
  <c r="V1366" i="28"/>
  <c r="V1365" i="28"/>
  <c r="V1364" i="28"/>
  <c r="V1273" i="28"/>
  <c r="V1363" i="28"/>
  <c r="V1362" i="28"/>
  <c r="V1357" i="28"/>
  <c r="V1147" i="28"/>
  <c r="V477" i="28"/>
  <c r="V1361" i="28"/>
  <c r="V1358" i="28"/>
  <c r="V1146" i="28"/>
  <c r="V859" i="28"/>
  <c r="V1360" i="28"/>
  <c r="V1359" i="28"/>
  <c r="V682" i="28"/>
  <c r="V295" i="28"/>
  <c r="V1356" i="28"/>
  <c r="V1355" i="28"/>
  <c r="V1276" i="28"/>
  <c r="V1354" i="28"/>
  <c r="V1277" i="28"/>
  <c r="V1353" i="28"/>
  <c r="V1272" i="28"/>
  <c r="V1352" i="28"/>
  <c r="V1351" i="28"/>
  <c r="V1350" i="28"/>
  <c r="V1266" i="28"/>
  <c r="V1349" i="28"/>
  <c r="V1348" i="28"/>
  <c r="V1347" i="28"/>
  <c r="V1346" i="28"/>
  <c r="V1322" i="28"/>
  <c r="V1345" i="28"/>
  <c r="V1321" i="28"/>
  <c r="V1344" i="28"/>
  <c r="V1343" i="28"/>
  <c r="V1342" i="28"/>
  <c r="V1341" i="28"/>
  <c r="V1340" i="28"/>
  <c r="V1339" i="28"/>
  <c r="V1338" i="28"/>
  <c r="V1337" i="28"/>
  <c r="V1336" i="28"/>
  <c r="V1335" i="28"/>
  <c r="V1334" i="28"/>
  <c r="V1333" i="28"/>
  <c r="V1332" i="28"/>
  <c r="V765" i="28"/>
  <c r="V738" i="28"/>
  <c r="V766" i="28"/>
  <c r="V739" i="28"/>
  <c r="V737" i="28"/>
  <c r="V1331" i="28"/>
  <c r="V1330" i="28"/>
  <c r="V1329" i="28"/>
  <c r="V1328" i="28"/>
  <c r="V1327" i="28"/>
  <c r="V1326" i="28"/>
  <c r="V1325" i="28"/>
  <c r="V1324" i="28"/>
  <c r="V1323" i="28"/>
  <c r="V1320" i="28"/>
  <c r="V1319" i="28"/>
  <c r="V1318" i="28"/>
  <c r="V1317" i="28"/>
  <c r="V1316" i="28"/>
  <c r="V1315" i="28"/>
  <c r="V1314" i="28"/>
  <c r="V1313" i="28"/>
  <c r="V1312" i="28"/>
  <c r="V1311" i="28"/>
  <c r="V1310" i="28"/>
  <c r="V1309" i="28"/>
  <c r="V1308" i="28"/>
  <c r="V1307" i="28"/>
  <c r="V1306" i="28"/>
  <c r="V1305" i="28"/>
  <c r="V1304" i="28"/>
  <c r="V1303" i="28"/>
  <c r="V1302" i="28"/>
  <c r="V1301" i="28"/>
  <c r="V1300" i="28"/>
  <c r="V1299" i="28"/>
  <c r="V1298" i="28"/>
  <c r="V1297" i="28"/>
  <c r="V1296" i="28"/>
  <c r="V1295" i="28"/>
  <c r="V1294" i="28"/>
  <c r="V1293" i="28"/>
  <c r="V1292" i="28"/>
  <c r="V1291" i="28"/>
  <c r="V1290" i="28"/>
  <c r="V1289" i="28"/>
  <c r="V1288" i="28"/>
  <c r="V1287" i="28"/>
  <c r="V1286" i="28"/>
  <c r="V1285" i="28"/>
  <c r="V1284" i="28"/>
  <c r="V1283" i="28"/>
  <c r="V1282" i="28"/>
  <c r="V1281" i="28"/>
  <c r="V1270" i="28"/>
  <c r="V1269" i="28"/>
  <c r="V1268" i="28"/>
  <c r="V1267" i="28"/>
  <c r="V1265" i="28"/>
  <c r="V1264" i="28"/>
  <c r="V1263" i="28"/>
  <c r="V720" i="28"/>
  <c r="V719" i="28"/>
  <c r="V718" i="28"/>
  <c r="V717" i="28"/>
  <c r="V1262" i="28"/>
  <c r="V1261" i="28"/>
  <c r="V1260" i="28"/>
  <c r="V1259" i="28"/>
  <c r="V1258" i="28"/>
  <c r="V1257" i="28"/>
  <c r="V1256" i="28"/>
  <c r="V1255" i="28"/>
  <c r="V1254" i="28"/>
  <c r="V1252" i="28"/>
  <c r="V1251" i="28"/>
  <c r="V1250" i="28"/>
  <c r="V1249" i="28"/>
  <c r="V1248" i="28"/>
  <c r="V1247" i="28"/>
  <c r="V1246" i="28"/>
  <c r="V1245" i="28"/>
  <c r="V1244" i="28"/>
  <c r="V1243" i="28"/>
  <c r="V1242" i="28"/>
  <c r="V1241" i="28"/>
  <c r="V1240" i="28"/>
  <c r="V1239" i="28"/>
  <c r="V1238" i="28"/>
  <c r="V1237" i="28"/>
  <c r="V1236" i="28"/>
  <c r="V1235" i="28"/>
  <c r="V1234" i="28"/>
  <c r="V707" i="28"/>
  <c r="V643" i="28"/>
  <c r="V1233" i="28"/>
  <c r="V1232" i="28"/>
  <c r="V1230" i="28"/>
  <c r="V1229" i="28"/>
  <c r="V1226" i="28"/>
  <c r="V1214" i="28"/>
  <c r="V1228" i="28"/>
  <c r="V1227" i="28"/>
  <c r="V1225" i="28"/>
  <c r="V1224" i="28"/>
  <c r="V1223" i="28"/>
  <c r="V1222" i="28"/>
  <c r="V1220" i="28"/>
  <c r="V1219" i="28"/>
  <c r="V1218" i="28"/>
  <c r="V1217" i="28"/>
  <c r="V1216" i="28"/>
  <c r="V1213" i="28"/>
  <c r="V1212" i="28"/>
  <c r="V1211" i="28"/>
  <c r="V1210" i="28"/>
  <c r="V1209" i="28"/>
  <c r="V1208" i="28"/>
  <c r="V1207" i="28"/>
  <c r="V1206" i="28"/>
  <c r="V1205" i="28"/>
  <c r="V1204" i="28"/>
  <c r="V1203" i="28"/>
  <c r="V1202" i="28"/>
  <c r="V1201" i="28"/>
  <c r="V1199" i="28"/>
  <c r="V1170" i="28"/>
  <c r="V1200" i="28"/>
  <c r="V1198" i="28"/>
  <c r="V1195" i="28"/>
  <c r="V1194" i="28"/>
  <c r="V1193" i="28"/>
  <c r="V1192" i="28"/>
  <c r="V1189" i="28"/>
  <c r="V1188" i="28"/>
  <c r="V1187" i="28"/>
  <c r="V1185" i="28"/>
  <c r="V1184" i="28"/>
  <c r="V695" i="28"/>
  <c r="V1181" i="28"/>
  <c r="V1180" i="28"/>
  <c r="V1179" i="28"/>
  <c r="V1178" i="28"/>
  <c r="V1177" i="28"/>
  <c r="V1176" i="28"/>
  <c r="V1182" i="28"/>
  <c r="V1175" i="28"/>
  <c r="V1174" i="28"/>
  <c r="V1169" i="28"/>
  <c r="V972" i="28"/>
  <c r="V691" i="28"/>
  <c r="V1173" i="28"/>
  <c r="V1172" i="28"/>
  <c r="V1171" i="28"/>
  <c r="V1168" i="28"/>
  <c r="V172" i="28"/>
  <c r="V1167" i="28"/>
  <c r="V1151" i="28"/>
  <c r="V1166" i="28"/>
  <c r="V1164" i="28"/>
  <c r="V1160" i="28"/>
  <c r="V1159" i="28"/>
  <c r="V1155" i="28"/>
  <c r="V1165" i="28"/>
  <c r="V1163" i="28"/>
  <c r="V1162" i="28"/>
  <c r="V1161" i="28"/>
  <c r="V685" i="28"/>
  <c r="V684" i="28"/>
  <c r="V658" i="28"/>
  <c r="V1158" i="28"/>
  <c r="V1157" i="28"/>
  <c r="V1156" i="28"/>
  <c r="V1154" i="28"/>
  <c r="V1153" i="28"/>
  <c r="V1150" i="28"/>
  <c r="V1149" i="28"/>
  <c r="V444" i="28"/>
  <c r="V1152" i="28"/>
  <c r="V1148" i="28"/>
  <c r="V1142" i="28"/>
  <c r="V1145" i="28"/>
  <c r="V680" i="28"/>
  <c r="V677" i="28"/>
  <c r="V679" i="28"/>
  <c r="V1144" i="28"/>
  <c r="V678" i="28"/>
  <c r="V676" i="28"/>
  <c r="V1143" i="28"/>
  <c r="V1141" i="28"/>
  <c r="V1140" i="28"/>
  <c r="V1139" i="28"/>
  <c r="V1138" i="28"/>
  <c r="V1137" i="28"/>
  <c r="V1136" i="28"/>
  <c r="V1135" i="28"/>
  <c r="V1134" i="28"/>
  <c r="V1133" i="28"/>
  <c r="V1132" i="28"/>
  <c r="V1131" i="28"/>
  <c r="V1130" i="28"/>
  <c r="V1124" i="28"/>
  <c r="V1121" i="28"/>
  <c r="V1105" i="28"/>
  <c r="V1129" i="28"/>
  <c r="V1128" i="28"/>
  <c r="V1127" i="28"/>
  <c r="V1126" i="28"/>
  <c r="V1125" i="28"/>
  <c r="V1123" i="28"/>
  <c r="V1122" i="28"/>
  <c r="V1120" i="28"/>
  <c r="V968" i="28"/>
  <c r="V1119" i="28"/>
  <c r="V1118" i="28"/>
  <c r="V1117" i="28"/>
  <c r="V1116" i="28"/>
  <c r="V1115" i="28"/>
  <c r="V1114" i="28"/>
  <c r="V1113" i="28"/>
  <c r="V1112" i="28"/>
  <c r="V1111" i="28"/>
  <c r="V1110" i="28"/>
  <c r="V1109" i="28"/>
  <c r="V1108" i="28"/>
  <c r="V1107" i="28"/>
  <c r="V1106" i="28"/>
  <c r="V1104" i="28"/>
  <c r="V1103" i="28"/>
  <c r="V1102" i="28"/>
  <c r="V1101" i="28"/>
  <c r="V1100" i="28"/>
  <c r="V1099" i="28"/>
  <c r="V1098" i="28"/>
  <c r="V1097" i="28"/>
  <c r="V1096" i="28"/>
  <c r="V1093" i="28"/>
  <c r="V1095" i="28"/>
  <c r="V1094" i="28"/>
  <c r="V1091" i="28"/>
  <c r="V1090" i="28"/>
  <c r="V1089" i="28"/>
  <c r="V1088" i="28"/>
  <c r="V1087" i="28"/>
  <c r="V1086" i="28"/>
  <c r="V1085" i="28"/>
  <c r="V1084" i="28"/>
  <c r="V1083" i="28"/>
  <c r="V1082" i="28"/>
  <c r="V966" i="28"/>
  <c r="V965" i="28"/>
  <c r="V1081" i="28"/>
  <c r="V1080" i="28"/>
  <c r="V1068" i="28"/>
  <c r="V1079" i="28"/>
  <c r="V1078" i="28"/>
  <c r="V1077" i="28"/>
  <c r="V1076" i="28"/>
  <c r="V1075" i="28"/>
  <c r="V1074" i="28"/>
  <c r="V1073" i="28"/>
  <c r="V1072" i="28"/>
  <c r="V1071" i="28"/>
  <c r="V1070" i="28"/>
  <c r="V1069" i="28"/>
  <c r="V1067" i="28"/>
  <c r="V1066" i="28"/>
  <c r="V1065" i="28"/>
  <c r="V1064" i="28"/>
  <c r="V1063" i="28"/>
  <c r="V1062" i="28"/>
  <c r="V1061" i="28"/>
  <c r="V1060" i="28"/>
  <c r="V1059" i="28"/>
  <c r="V1058" i="28"/>
  <c r="V268" i="28"/>
  <c r="V1057" i="28"/>
  <c r="V1056" i="28"/>
  <c r="V1055" i="28"/>
  <c r="V1054" i="28"/>
  <c r="V1053" i="28"/>
  <c r="V1052" i="28"/>
  <c r="V1051" i="28"/>
  <c r="V1050" i="28"/>
  <c r="V1049" i="28"/>
  <c r="V1048" i="28"/>
  <c r="V1047" i="28"/>
  <c r="V1045" i="28"/>
  <c r="V1044" i="28"/>
  <c r="V1043" i="28"/>
  <c r="V1042" i="28"/>
  <c r="V1041" i="28"/>
  <c r="V1040" i="28"/>
  <c r="V1039" i="28"/>
  <c r="V1038" i="28"/>
  <c r="V1046" i="28"/>
  <c r="V1037" i="28"/>
  <c r="V1036" i="28"/>
  <c r="V1035" i="28"/>
  <c r="V1034" i="28"/>
  <c r="V653" i="28"/>
  <c r="V652" i="28"/>
  <c r="V850" i="28"/>
  <c r="V632" i="28"/>
  <c r="V1033" i="28"/>
  <c r="V842" i="28"/>
  <c r="V1031" i="28"/>
  <c r="V1030" i="28"/>
  <c r="V1029" i="28"/>
  <c r="V863" i="28"/>
  <c r="V581" i="28"/>
  <c r="V541" i="28"/>
  <c r="V1028" i="28"/>
  <c r="V1027" i="28"/>
  <c r="V997" i="28"/>
  <c r="V1026" i="28"/>
  <c r="V1025" i="28"/>
  <c r="V283" i="28"/>
  <c r="V279" i="28"/>
  <c r="V1024" i="28"/>
  <c r="V466" i="28"/>
  <c r="V443" i="28"/>
  <c r="V1023" i="28"/>
  <c r="V1022" i="28"/>
  <c r="V1021" i="28"/>
  <c r="V1020" i="28"/>
  <c r="V1019" i="28"/>
  <c r="V479" i="28"/>
  <c r="V445" i="28"/>
  <c r="V1018" i="28"/>
  <c r="V1017" i="28"/>
  <c r="V1016" i="28"/>
  <c r="V1015" i="28"/>
  <c r="V1014" i="28"/>
  <c r="V1013" i="28"/>
  <c r="V1012" i="28"/>
  <c r="V1011" i="28"/>
  <c r="V1010" i="28"/>
  <c r="V1009" i="28"/>
  <c r="V1008" i="28"/>
  <c r="V1007" i="28"/>
  <c r="V574" i="28"/>
  <c r="V1006" i="28"/>
  <c r="V1005" i="28"/>
  <c r="V1004" i="28"/>
  <c r="V1003" i="28"/>
  <c r="V1002" i="28"/>
  <c r="V1001" i="28"/>
  <c r="V1000" i="28"/>
  <c r="V999" i="28"/>
  <c r="V998" i="28"/>
  <c r="V996" i="28"/>
  <c r="V995" i="28"/>
  <c r="V994" i="28"/>
  <c r="V993" i="28"/>
  <c r="V992" i="28"/>
  <c r="V991" i="28"/>
  <c r="V990" i="28"/>
  <c r="V989" i="28"/>
  <c r="V988" i="28"/>
  <c r="V987" i="28"/>
  <c r="V986" i="28"/>
  <c r="V985" i="28"/>
  <c r="V984" i="28"/>
  <c r="V983" i="28"/>
  <c r="V982" i="28"/>
  <c r="V981" i="28"/>
  <c r="V980" i="28"/>
  <c r="V979" i="28"/>
  <c r="V978" i="28"/>
  <c r="V977" i="28"/>
  <c r="V976" i="28"/>
  <c r="V975" i="28"/>
  <c r="V974" i="28"/>
  <c r="V973" i="28"/>
  <c r="V971" i="28"/>
  <c r="V970" i="28"/>
  <c r="V969" i="28"/>
  <c r="V967" i="28"/>
  <c r="V964" i="28"/>
  <c r="V963" i="28"/>
  <c r="V962" i="28"/>
  <c r="V961" i="28"/>
  <c r="V960" i="28"/>
  <c r="V959" i="28"/>
  <c r="V958" i="28"/>
  <c r="V957" i="28"/>
  <c r="V956" i="28"/>
  <c r="V955" i="28"/>
  <c r="V954" i="28"/>
  <c r="V953" i="28"/>
  <c r="V952" i="28"/>
  <c r="V951" i="28"/>
  <c r="V950" i="28"/>
  <c r="V948" i="28"/>
  <c r="V949" i="28"/>
  <c r="V947" i="28"/>
  <c r="V946" i="28"/>
  <c r="V945" i="28"/>
  <c r="V944" i="28"/>
  <c r="V940" i="28"/>
  <c r="V938" i="28"/>
  <c r="V937" i="28"/>
  <c r="V936" i="28"/>
  <c r="V935" i="28"/>
  <c r="V932" i="28"/>
  <c r="V929" i="28"/>
  <c r="V927" i="28"/>
  <c r="V926" i="28"/>
  <c r="V912" i="28"/>
  <c r="V911" i="28"/>
  <c r="V910" i="28"/>
  <c r="V909" i="28"/>
  <c r="V908" i="28"/>
  <c r="V943" i="28"/>
  <c r="V942" i="28"/>
  <c r="V941" i="28"/>
  <c r="V939" i="28"/>
  <c r="V934" i="28"/>
  <c r="V933" i="28"/>
  <c r="V931" i="28"/>
  <c r="V930" i="28"/>
  <c r="V928" i="28"/>
  <c r="V925" i="28"/>
  <c r="V924" i="28"/>
  <c r="V923" i="28"/>
  <c r="V922" i="28"/>
  <c r="V921" i="28"/>
  <c r="V920" i="28"/>
  <c r="V919" i="28"/>
  <c r="V917" i="28"/>
  <c r="V916" i="28"/>
  <c r="V915" i="28"/>
  <c r="V914" i="28"/>
  <c r="V913" i="28"/>
  <c r="V907" i="28"/>
  <c r="V906" i="28"/>
  <c r="V905" i="28"/>
  <c r="V904" i="28"/>
  <c r="V903" i="28"/>
  <c r="V902" i="28"/>
  <c r="V901" i="28"/>
  <c r="V900" i="28"/>
  <c r="V899" i="28"/>
  <c r="V898" i="28"/>
  <c r="V897" i="28"/>
  <c r="V896" i="28"/>
  <c r="V895" i="28"/>
  <c r="V894" i="28"/>
  <c r="V893" i="28"/>
  <c r="V892" i="28"/>
  <c r="V891" i="28"/>
  <c r="V890" i="28"/>
  <c r="V889" i="28"/>
  <c r="V888" i="28"/>
  <c r="V887" i="28"/>
  <c r="V886" i="28"/>
  <c r="V885" i="28"/>
  <c r="V884" i="28"/>
  <c r="V883" i="28"/>
  <c r="V882" i="28"/>
  <c r="V881" i="28"/>
  <c r="V880" i="28"/>
  <c r="V879" i="28"/>
  <c r="V878" i="28"/>
  <c r="V877" i="28"/>
  <c r="V876" i="28"/>
  <c r="V875" i="28"/>
  <c r="V874" i="28"/>
  <c r="V873" i="28"/>
  <c r="V872" i="28"/>
  <c r="V871" i="28"/>
  <c r="V870" i="28"/>
  <c r="V864" i="28"/>
  <c r="V868" i="28"/>
  <c r="V867" i="28"/>
  <c r="V866" i="28"/>
  <c r="V865" i="28"/>
  <c r="V862" i="28"/>
  <c r="V861" i="28"/>
  <c r="V860" i="28"/>
  <c r="V858" i="28"/>
  <c r="V857" i="28"/>
  <c r="V856" i="28"/>
  <c r="V855" i="28"/>
  <c r="V854" i="28"/>
  <c r="V853" i="28"/>
  <c r="V852" i="28"/>
  <c r="V625" i="28"/>
  <c r="V624" i="28"/>
  <c r="V623" i="28"/>
  <c r="V851" i="28"/>
  <c r="V849" i="28"/>
  <c r="V848" i="28"/>
  <c r="V847" i="28"/>
  <c r="V846" i="28"/>
  <c r="V845" i="28"/>
  <c r="V844" i="28"/>
  <c r="V612" i="28"/>
  <c r="V843" i="28"/>
  <c r="V841" i="28"/>
  <c r="V840" i="28"/>
  <c r="V839" i="28"/>
  <c r="V838" i="28"/>
  <c r="V520" i="28"/>
  <c r="V837" i="28"/>
  <c r="V636" i="28"/>
  <c r="V836" i="28"/>
  <c r="V835" i="28"/>
  <c r="V834" i="28"/>
  <c r="V833" i="28"/>
  <c r="V832" i="28"/>
  <c r="V831" i="28"/>
  <c r="V830" i="28"/>
  <c r="V829" i="28"/>
  <c r="V828" i="28"/>
  <c r="V827" i="28"/>
  <c r="V826" i="28"/>
  <c r="V825" i="28"/>
  <c r="V824" i="28"/>
  <c r="V823" i="28"/>
  <c r="V822" i="28"/>
  <c r="V821" i="28"/>
  <c r="V820" i="28"/>
  <c r="V819" i="28"/>
  <c r="V818" i="28"/>
  <c r="V817" i="28"/>
  <c r="V816" i="28"/>
  <c r="V815" i="28"/>
  <c r="V814" i="28"/>
  <c r="V813" i="28"/>
  <c r="V812" i="28"/>
  <c r="V811" i="28"/>
  <c r="V810" i="28"/>
  <c r="V809" i="28"/>
  <c r="V808" i="28"/>
  <c r="V807" i="28"/>
  <c r="V806" i="28"/>
  <c r="V805" i="28"/>
  <c r="V804" i="28"/>
  <c r="V803" i="28"/>
  <c r="V802" i="28"/>
  <c r="V801" i="28"/>
  <c r="V800" i="28"/>
  <c r="V799" i="28"/>
  <c r="V798" i="28"/>
  <c r="V797" i="28"/>
  <c r="V796" i="28"/>
  <c r="V795" i="28"/>
  <c r="V794" i="28"/>
  <c r="V793" i="28"/>
  <c r="V792" i="28"/>
  <c r="V791" i="28"/>
  <c r="V790" i="28"/>
  <c r="V789" i="28"/>
  <c r="V788" i="28"/>
  <c r="V787" i="28"/>
  <c r="V786" i="28"/>
  <c r="V785" i="28"/>
  <c r="V784" i="28"/>
  <c r="V783" i="28"/>
  <c r="V733" i="28"/>
  <c r="V782" i="28"/>
  <c r="V732" i="28"/>
  <c r="V781" i="28"/>
  <c r="V780" i="28"/>
  <c r="V779" i="28"/>
  <c r="V778" i="28"/>
  <c r="V777" i="28"/>
  <c r="V776" i="28"/>
  <c r="V775" i="28"/>
  <c r="V774" i="28"/>
  <c r="V773" i="28"/>
  <c r="V772" i="28"/>
  <c r="V771" i="28"/>
  <c r="V770" i="28"/>
  <c r="V642" i="28"/>
  <c r="V589" i="28"/>
  <c r="V769" i="28"/>
  <c r="V768" i="28"/>
  <c r="V767" i="28"/>
  <c r="V764" i="28"/>
  <c r="V763" i="28"/>
  <c r="V762" i="28"/>
  <c r="V761" i="28"/>
  <c r="V760" i="28"/>
  <c r="V759" i="28"/>
  <c r="V758" i="28"/>
  <c r="V757" i="28"/>
  <c r="V756" i="28"/>
  <c r="V755" i="28"/>
  <c r="V754" i="28"/>
  <c r="V753" i="28"/>
  <c r="V752" i="28"/>
  <c r="V751" i="28"/>
  <c r="V750" i="28"/>
  <c r="V749" i="28"/>
  <c r="V748" i="28"/>
  <c r="V747" i="28"/>
  <c r="V746" i="28"/>
  <c r="V745" i="28"/>
  <c r="V744" i="28"/>
  <c r="V743" i="28"/>
  <c r="V742" i="28"/>
  <c r="V741" i="28"/>
  <c r="V740" i="28"/>
  <c r="V736" i="28"/>
  <c r="V735" i="28"/>
  <c r="V734" i="28"/>
  <c r="V730" i="28"/>
  <c r="V729" i="28"/>
  <c r="V728" i="28"/>
  <c r="V727" i="28"/>
  <c r="V726" i="28"/>
  <c r="V725" i="28"/>
  <c r="V724" i="28"/>
  <c r="V723" i="28"/>
  <c r="V722" i="28"/>
  <c r="V721" i="28"/>
  <c r="V326" i="28"/>
  <c r="V716" i="28"/>
  <c r="V715" i="28"/>
  <c r="V714" i="28"/>
  <c r="V713" i="28"/>
  <c r="V712" i="28"/>
  <c r="V711" i="28"/>
  <c r="V710" i="28"/>
  <c r="V709" i="28"/>
  <c r="V708" i="28"/>
  <c r="V706" i="28"/>
  <c r="V705" i="28"/>
  <c r="V704" i="28"/>
  <c r="V703" i="28"/>
  <c r="V702" i="28"/>
  <c r="V701" i="28"/>
  <c r="V700" i="28"/>
  <c r="V699" i="28"/>
  <c r="V698" i="28"/>
  <c r="V697" i="28"/>
  <c r="V696" i="28"/>
  <c r="V694" i="28"/>
  <c r="V693" i="28"/>
  <c r="V692" i="28"/>
  <c r="V690" i="28"/>
  <c r="V689" i="28"/>
  <c r="V688" i="28"/>
  <c r="V687" i="28"/>
  <c r="V686" i="28"/>
  <c r="V125" i="28"/>
  <c r="V683" i="28"/>
  <c r="V681" i="28"/>
  <c r="V675" i="28"/>
  <c r="V674" i="28"/>
  <c r="V671" i="28"/>
  <c r="V670" i="28"/>
  <c r="V669" i="28"/>
  <c r="V668" i="28"/>
  <c r="V667" i="28"/>
  <c r="V666" i="28"/>
  <c r="V665" i="28"/>
  <c r="V664" i="28"/>
  <c r="V663" i="28"/>
  <c r="V662" i="28"/>
  <c r="V661" i="28"/>
  <c r="V170" i="28"/>
  <c r="V660" i="28"/>
  <c r="V659" i="28"/>
  <c r="V657" i="28"/>
  <c r="V656" i="28"/>
  <c r="V655" i="28"/>
  <c r="V654" i="28"/>
  <c r="V597" i="28"/>
  <c r="V651" i="28"/>
  <c r="V650" i="28"/>
  <c r="V649" i="28"/>
  <c r="V648" i="28"/>
  <c r="V647" i="28"/>
  <c r="V646" i="28"/>
  <c r="V645" i="28"/>
  <c r="V644" i="28"/>
  <c r="V641" i="28"/>
  <c r="V640" i="28"/>
  <c r="V639" i="28"/>
  <c r="V638" i="28"/>
  <c r="V637" i="28"/>
  <c r="V635" i="28"/>
  <c r="V634" i="28"/>
  <c r="V633" i="28"/>
  <c r="V631" i="28"/>
  <c r="V630" i="28"/>
  <c r="V629" i="28"/>
  <c r="V627" i="28"/>
  <c r="V626" i="28"/>
  <c r="V622" i="28"/>
  <c r="V621" i="28"/>
  <c r="V620" i="28"/>
  <c r="V619" i="28"/>
  <c r="V618" i="28"/>
  <c r="V617" i="28"/>
  <c r="V616" i="28"/>
  <c r="V615" i="28"/>
  <c r="V614" i="28"/>
  <c r="V613" i="28"/>
  <c r="V611" i="28"/>
  <c r="V610" i="28"/>
  <c r="V609" i="28"/>
  <c r="V608" i="28"/>
  <c r="V607" i="28"/>
  <c r="V606" i="28"/>
  <c r="V605" i="28"/>
  <c r="V604" i="28"/>
  <c r="V603" i="28"/>
  <c r="V602" i="28"/>
  <c r="V601" i="28"/>
  <c r="V600" i="28"/>
  <c r="V599" i="28"/>
  <c r="V598" i="28"/>
  <c r="V596" i="28"/>
  <c r="V558" i="28"/>
  <c r="V595" i="28"/>
  <c r="V594" i="28"/>
  <c r="V593" i="28"/>
  <c r="V592" i="28"/>
  <c r="V557" i="28"/>
  <c r="V591" i="28"/>
  <c r="V559" i="28"/>
  <c r="V590" i="28"/>
  <c r="V556" i="28"/>
  <c r="V588" i="28"/>
  <c r="V587" i="28"/>
  <c r="V586" i="28"/>
  <c r="V585" i="28"/>
  <c r="V566" i="28"/>
  <c r="V584" i="28"/>
  <c r="V565" i="28"/>
  <c r="V583" i="28"/>
  <c r="V564" i="28"/>
  <c r="V582" i="28"/>
  <c r="V567" i="28"/>
  <c r="V580" i="28"/>
  <c r="V579" i="28"/>
  <c r="V578" i="28"/>
  <c r="V577" i="28"/>
  <c r="V576" i="28"/>
  <c r="V575" i="28"/>
  <c r="V573" i="28"/>
  <c r="V572" i="28"/>
  <c r="V571" i="28"/>
  <c r="V570" i="28"/>
  <c r="V569" i="28"/>
  <c r="V568" i="28"/>
  <c r="V563" i="28"/>
  <c r="V562" i="28"/>
  <c r="V561" i="28"/>
  <c r="V560" i="28"/>
  <c r="V555" i="28"/>
  <c r="V554" i="28"/>
  <c r="V553" i="28"/>
  <c r="V552" i="28"/>
  <c r="V551" i="28"/>
  <c r="V550" i="28"/>
  <c r="V549" i="28"/>
  <c r="V548" i="28"/>
  <c r="V547" i="28"/>
  <c r="V546" i="28"/>
  <c r="V545" i="28"/>
  <c r="V544" i="28"/>
  <c r="V543" i="28"/>
  <c r="V542" i="28"/>
  <c r="V540" i="28"/>
  <c r="V539" i="28"/>
  <c r="V538" i="28"/>
  <c r="V537" i="28"/>
  <c r="V536" i="28"/>
  <c r="V535" i="28"/>
  <c r="V534" i="28"/>
  <c r="V533" i="28"/>
  <c r="V532" i="28"/>
  <c r="V531" i="28"/>
  <c r="V530" i="28"/>
  <c r="V529" i="28"/>
  <c r="V528" i="28"/>
  <c r="V527" i="28"/>
  <c r="V526" i="28"/>
  <c r="V525" i="28"/>
  <c r="V522" i="28"/>
  <c r="V523" i="28"/>
  <c r="V521" i="28"/>
  <c r="V519" i="28"/>
  <c r="V518" i="28"/>
  <c r="V517" i="28"/>
  <c r="V516" i="28"/>
  <c r="V515" i="28"/>
  <c r="V514" i="28"/>
  <c r="V513" i="28"/>
  <c r="V504" i="28"/>
  <c r="V509" i="28"/>
  <c r="V494" i="28"/>
  <c r="V512" i="28"/>
  <c r="V511" i="28"/>
  <c r="V510" i="28"/>
  <c r="V508" i="28"/>
  <c r="V478" i="28"/>
  <c r="V507" i="28"/>
  <c r="V506" i="28"/>
  <c r="V505" i="28"/>
  <c r="V503" i="28"/>
  <c r="V501" i="28"/>
  <c r="V500" i="28"/>
  <c r="V499" i="28"/>
  <c r="V498" i="28"/>
  <c r="V497" i="28"/>
  <c r="V496" i="28"/>
  <c r="V495" i="28"/>
  <c r="V493" i="28"/>
  <c r="V492" i="28"/>
  <c r="V491" i="28"/>
  <c r="V490" i="28"/>
  <c r="V489" i="28"/>
  <c r="V488" i="28"/>
  <c r="V487" i="28"/>
  <c r="V486" i="28"/>
  <c r="V485" i="28"/>
  <c r="V484" i="28"/>
  <c r="V483" i="28"/>
  <c r="V482" i="28"/>
  <c r="V481" i="28"/>
  <c r="V480" i="28"/>
  <c r="V476" i="28"/>
  <c r="V475" i="28"/>
  <c r="V474" i="28"/>
  <c r="V473" i="28"/>
  <c r="V472" i="28"/>
  <c r="V471" i="28"/>
  <c r="V470" i="28"/>
  <c r="V469" i="28"/>
  <c r="V468" i="28"/>
  <c r="V467" i="28"/>
  <c r="V465" i="28"/>
  <c r="V464" i="28"/>
  <c r="V463" i="28"/>
  <c r="V462" i="28"/>
  <c r="V461" i="28"/>
  <c r="V460" i="28"/>
  <c r="V459" i="28"/>
  <c r="V458" i="28"/>
  <c r="V457" i="28"/>
  <c r="V456" i="28"/>
  <c r="V455" i="28"/>
  <c r="V454" i="28"/>
  <c r="V453" i="28"/>
  <c r="V452" i="28"/>
  <c r="V451" i="28"/>
  <c r="V450" i="28"/>
  <c r="V449" i="28"/>
  <c r="V448" i="28"/>
  <c r="V447" i="28"/>
  <c r="V446" i="28"/>
  <c r="V442" i="28"/>
  <c r="V441" i="28"/>
  <c r="V440" i="28"/>
  <c r="V439" i="28"/>
  <c r="V438" i="28"/>
  <c r="V437" i="28"/>
  <c r="V436" i="28"/>
  <c r="V429" i="28"/>
  <c r="V427" i="28"/>
  <c r="V405" i="28"/>
  <c r="V435" i="28"/>
  <c r="V434" i="28"/>
  <c r="V433" i="28"/>
  <c r="V432" i="28"/>
  <c r="V431" i="28"/>
  <c r="V430" i="28"/>
  <c r="V428" i="28"/>
  <c r="V426" i="28"/>
  <c r="V425" i="28"/>
  <c r="V424" i="28"/>
  <c r="V423" i="28"/>
  <c r="V422" i="28"/>
  <c r="V421" i="28"/>
  <c r="V420" i="28"/>
  <c r="V419" i="28"/>
  <c r="V418" i="28"/>
  <c r="V417" i="28"/>
  <c r="V416" i="28"/>
  <c r="V415" i="28"/>
  <c r="V414" i="28"/>
  <c r="V413" i="28"/>
  <c r="V412" i="28"/>
  <c r="V404" i="28"/>
  <c r="V403" i="28"/>
  <c r="V411" i="28"/>
  <c r="V398" i="28"/>
  <c r="V367" i="28"/>
  <c r="V410" i="28"/>
  <c r="V409" i="28"/>
  <c r="V366" i="28"/>
  <c r="V408" i="28"/>
  <c r="V407" i="28"/>
  <c r="V406" i="28"/>
  <c r="V402" i="28"/>
  <c r="V401" i="28"/>
  <c r="V400" i="28"/>
  <c r="V399" i="28"/>
  <c r="V375" i="28"/>
  <c r="V374" i="28"/>
  <c r="V365" i="28"/>
  <c r="V362" i="28"/>
  <c r="V397" i="28"/>
  <c r="V396" i="28"/>
  <c r="V395" i="28"/>
  <c r="V394" i="28"/>
  <c r="V393" i="28"/>
  <c r="V392" i="28"/>
  <c r="V391" i="28"/>
  <c r="V390" i="28"/>
  <c r="V389" i="28"/>
  <c r="V388" i="28"/>
  <c r="V387" i="28"/>
  <c r="V386" i="28"/>
  <c r="V385" i="28"/>
  <c r="V384" i="28"/>
  <c r="V383" i="28"/>
  <c r="V382" i="28"/>
  <c r="V381" i="28"/>
  <c r="V380" i="28"/>
  <c r="V379" i="28"/>
  <c r="V378" i="28"/>
  <c r="V377" i="28"/>
  <c r="V376" i="28"/>
  <c r="V373" i="28"/>
  <c r="V372" i="28"/>
  <c r="V371" i="28"/>
  <c r="V370" i="28"/>
  <c r="V369" i="28"/>
  <c r="V368" i="28"/>
  <c r="V364" i="28"/>
  <c r="V363" i="28"/>
  <c r="V361" i="28"/>
  <c r="V360" i="28"/>
  <c r="V359" i="28"/>
  <c r="V358" i="28"/>
  <c r="V357" i="28"/>
  <c r="V356" i="28"/>
  <c r="V355" i="28"/>
  <c r="V336" i="28"/>
  <c r="V316" i="28"/>
  <c r="V315" i="28"/>
  <c r="V285" i="28"/>
  <c r="V284" i="28"/>
  <c r="V354" i="28"/>
  <c r="V345" i="28"/>
  <c r="V344" i="28"/>
  <c r="V342" i="28"/>
  <c r="V341" i="28"/>
  <c r="V340" i="28"/>
  <c r="V353" i="28"/>
  <c r="V343" i="28"/>
  <c r="V339" i="28"/>
  <c r="V338" i="28"/>
  <c r="V337" i="28"/>
  <c r="V335" i="28"/>
  <c r="V331" i="28"/>
  <c r="V330" i="28"/>
  <c r="V278" i="28"/>
  <c r="V352" i="28"/>
  <c r="V351" i="28"/>
  <c r="V350" i="28"/>
  <c r="V349" i="28"/>
  <c r="V348" i="28"/>
  <c r="V347" i="28"/>
  <c r="V346" i="28"/>
  <c r="V334" i="28"/>
  <c r="V300" i="28"/>
  <c r="V280" i="28"/>
  <c r="V333" i="28"/>
  <c r="V332" i="28"/>
  <c r="V322" i="28"/>
  <c r="V329" i="28"/>
  <c r="V272" i="28"/>
  <c r="V328" i="28"/>
  <c r="V327" i="28"/>
  <c r="V325" i="28"/>
  <c r="V324" i="28"/>
  <c r="V323" i="28"/>
  <c r="V321" i="28"/>
  <c r="V320" i="28"/>
  <c r="V319" i="28"/>
  <c r="V318" i="28"/>
  <c r="V317" i="28"/>
  <c r="V314" i="28"/>
  <c r="V313" i="28"/>
  <c r="V312" i="28"/>
  <c r="V311" i="28"/>
  <c r="V310" i="28"/>
  <c r="V309" i="28"/>
  <c r="V308" i="28"/>
  <c r="V307" i="28"/>
  <c r="V306" i="28"/>
  <c r="V305" i="28"/>
  <c r="V304" i="28"/>
  <c r="V303" i="28"/>
  <c r="V302" i="28"/>
  <c r="V301" i="28"/>
  <c r="V298" i="28"/>
  <c r="V299" i="28"/>
  <c r="V297" i="28"/>
  <c r="V296" i="28"/>
  <c r="V294" i="28"/>
  <c r="V267" i="28"/>
  <c r="V231" i="28"/>
  <c r="V293" i="28"/>
  <c r="V292" i="28"/>
  <c r="V291" i="28"/>
  <c r="V290" i="28"/>
  <c r="V289" i="28"/>
  <c r="V288" i="28"/>
  <c r="V287" i="28"/>
  <c r="V286" i="28"/>
  <c r="V282" i="28"/>
  <c r="V281" i="28"/>
  <c r="V277" i="28"/>
  <c r="V276" i="28"/>
  <c r="V275" i="28"/>
  <c r="V274" i="28"/>
  <c r="V273" i="28"/>
  <c r="V270" i="28"/>
  <c r="V269" i="28"/>
  <c r="V266" i="28"/>
  <c r="V265" i="28"/>
  <c r="V264" i="28"/>
  <c r="V263" i="28"/>
  <c r="V262" i="28"/>
  <c r="V261" i="28"/>
  <c r="V260" i="28"/>
  <c r="V259" i="28"/>
  <c r="V258" i="28"/>
  <c r="V257" i="28"/>
  <c r="V256" i="28"/>
  <c r="V255" i="28"/>
  <c r="V254" i="28"/>
  <c r="V253" i="28"/>
  <c r="V252" i="28"/>
  <c r="V251" i="28"/>
  <c r="V250" i="28"/>
  <c r="V249" i="28"/>
  <c r="V248" i="28"/>
  <c r="V247" i="28"/>
  <c r="V246" i="28"/>
  <c r="V245" i="28"/>
  <c r="V244" i="28"/>
  <c r="V243" i="28"/>
  <c r="V242" i="28"/>
  <c r="V241" i="28"/>
  <c r="V240" i="28"/>
  <c r="V239" i="28"/>
  <c r="V238" i="28"/>
  <c r="V237" i="28"/>
  <c r="V236" i="28"/>
  <c r="V235" i="28"/>
  <c r="V234" i="28"/>
  <c r="V233" i="28"/>
  <c r="V232" i="28"/>
  <c r="V230" i="28"/>
  <c r="V228" i="28"/>
  <c r="V229" i="28"/>
  <c r="V227" i="28"/>
  <c r="V226" i="28"/>
  <c r="V221" i="28"/>
  <c r="V168" i="28"/>
  <c r="V165" i="28"/>
  <c r="V133" i="28"/>
  <c r="V121" i="28"/>
  <c r="V225" i="28"/>
  <c r="V224" i="28"/>
  <c r="V223" i="28"/>
  <c r="V222" i="28"/>
  <c r="V220" i="28"/>
  <c r="V219" i="28"/>
  <c r="V218" i="28"/>
  <c r="V217" i="28"/>
  <c r="V216" i="28"/>
  <c r="V215" i="28"/>
  <c r="V214" i="28"/>
  <c r="V213" i="28"/>
  <c r="V212" i="28"/>
  <c r="V211" i="28"/>
  <c r="V208" i="28"/>
  <c r="V210" i="28"/>
  <c r="V209" i="28"/>
  <c r="V205" i="28"/>
  <c r="V207" i="28"/>
  <c r="V206" i="28"/>
  <c r="V202" i="28"/>
  <c r="V204" i="28"/>
  <c r="V203" i="28"/>
  <c r="V199" i="28"/>
  <c r="V201" i="28"/>
  <c r="V200" i="28"/>
  <c r="V196" i="28"/>
  <c r="V198" i="28"/>
  <c r="V197" i="28"/>
  <c r="V195" i="28"/>
  <c r="V194" i="28"/>
  <c r="V193" i="28"/>
  <c r="V192" i="28"/>
  <c r="V191" i="28"/>
  <c r="V190" i="28"/>
  <c r="V189" i="28"/>
  <c r="V188" i="28"/>
  <c r="V187" i="28"/>
  <c r="V186" i="28"/>
  <c r="V185" i="28"/>
  <c r="V184" i="28"/>
  <c r="V183" i="28"/>
  <c r="V182" i="28"/>
  <c r="V181" i="28"/>
  <c r="V180" i="28"/>
  <c r="V179" i="28"/>
  <c r="V178" i="28"/>
  <c r="V177" i="28"/>
  <c r="V176" i="28"/>
  <c r="V175" i="28"/>
  <c r="V174" i="28"/>
  <c r="V173" i="28"/>
  <c r="V171" i="28"/>
  <c r="V167" i="28"/>
  <c r="V169" i="28"/>
  <c r="V166" i="28"/>
  <c r="V164" i="28"/>
  <c r="V163" i="28"/>
  <c r="V162" i="28"/>
  <c r="V161" i="28"/>
  <c r="V160" i="28"/>
  <c r="V159" i="28"/>
  <c r="V158" i="28"/>
  <c r="V157" i="28"/>
  <c r="V156" i="28"/>
  <c r="V155" i="28"/>
  <c r="V154" i="28"/>
  <c r="V153" i="28"/>
  <c r="V152" i="28"/>
  <c r="V151" i="28"/>
  <c r="V150" i="28"/>
  <c r="V149" i="28"/>
  <c r="V148" i="28"/>
  <c r="V147" i="28"/>
  <c r="V146" i="28"/>
  <c r="V145" i="28"/>
  <c r="V144" i="28"/>
  <c r="V143" i="28"/>
  <c r="V142" i="28"/>
  <c r="V141" i="28"/>
  <c r="V140" i="28"/>
  <c r="V139" i="28"/>
  <c r="V138" i="28"/>
  <c r="V137" i="28"/>
  <c r="V136" i="28"/>
  <c r="V135" i="28"/>
  <c r="V131" i="28"/>
  <c r="V134" i="28"/>
  <c r="V130" i="28"/>
  <c r="V132" i="28"/>
  <c r="V129" i="28"/>
  <c r="V128" i="28"/>
  <c r="V127" i="28"/>
  <c r="V126" i="28"/>
  <c r="V124" i="28"/>
  <c r="V123" i="28"/>
  <c r="V122" i="28"/>
  <c r="V120" i="28"/>
  <c r="V119" i="28"/>
  <c r="V118" i="28"/>
  <c r="V117" i="28"/>
  <c r="V116" i="28"/>
  <c r="V115" i="28"/>
  <c r="V114" i="28"/>
  <c r="V113" i="28"/>
  <c r="V112" i="28"/>
  <c r="V111" i="28"/>
  <c r="V110" i="28"/>
  <c r="V109" i="28"/>
  <c r="V108" i="28"/>
  <c r="V107" i="28"/>
  <c r="V106" i="28"/>
  <c r="V105" i="28"/>
  <c r="V104" i="28"/>
  <c r="V103" i="28"/>
  <c r="V102" i="28"/>
  <c r="V101" i="28"/>
  <c r="V100" i="28"/>
  <c r="V99" i="28"/>
  <c r="V98" i="28"/>
  <c r="V97" i="28"/>
  <c r="V96" i="28"/>
  <c r="V92" i="28"/>
  <c r="V95" i="28"/>
  <c r="V94" i="28"/>
  <c r="V93" i="28"/>
  <c r="V91" i="28"/>
  <c r="V90" i="28"/>
  <c r="V89" i="28"/>
  <c r="V88" i="28"/>
  <c r="V87" i="28"/>
  <c r="V86" i="28"/>
  <c r="V85" i="28"/>
  <c r="V84" i="28"/>
  <c r="V83" i="28"/>
  <c r="V82" i="28"/>
  <c r="V81" i="28"/>
  <c r="V80" i="28"/>
  <c r="V79" i="28"/>
  <c r="V78" i="28"/>
  <c r="V77" i="28"/>
  <c r="V76" i="28"/>
  <c r="V75" i="28"/>
  <c r="V74" i="28"/>
  <c r="V73" i="28"/>
  <c r="V72" i="28"/>
  <c r="V71" i="28"/>
  <c r="V70" i="28"/>
  <c r="V69" i="28"/>
  <c r="V68" i="28"/>
  <c r="V67" i="28"/>
  <c r="V66" i="28"/>
  <c r="V65" i="28"/>
  <c r="V64" i="28"/>
  <c r="V63" i="28"/>
  <c r="V62" i="28"/>
  <c r="V61" i="28"/>
  <c r="V60" i="28"/>
  <c r="V59" i="28"/>
  <c r="V58" i="28"/>
  <c r="V57" i="28"/>
  <c r="V56" i="28"/>
  <c r="V55" i="28"/>
  <c r="V54" i="28"/>
  <c r="V53" i="28"/>
  <c r="V52" i="28"/>
  <c r="V51" i="28"/>
  <c r="V50" i="28"/>
  <c r="V49" i="28"/>
  <c r="V48" i="28"/>
  <c r="V47" i="28"/>
  <c r="V46" i="28"/>
  <c r="V45" i="28"/>
  <c r="V44" i="28"/>
  <c r="V43" i="28"/>
  <c r="V42" i="28"/>
  <c r="V41" i="28"/>
  <c r="V40" i="28"/>
  <c r="V39" i="28"/>
  <c r="V38" i="28"/>
  <c r="V37" i="28"/>
  <c r="V36" i="28"/>
  <c r="V35" i="28"/>
  <c r="V34" i="28"/>
  <c r="V33" i="28"/>
  <c r="V32" i="28"/>
  <c r="V31" i="28"/>
  <c r="V29" i="28"/>
  <c r="V28" i="28"/>
  <c r="V30" i="28"/>
  <c r="V27" i="28"/>
  <c r="V26" i="28"/>
  <c r="V25" i="28"/>
  <c r="V24" i="28"/>
  <c r="V23" i="28"/>
  <c r="V22" i="28"/>
  <c r="V21" i="28"/>
  <c r="V20" i="28"/>
  <c r="V19" i="28"/>
  <c r="V18" i="28"/>
  <c r="V17" i="28"/>
  <c r="V16" i="28"/>
  <c r="V15" i="28"/>
  <c r="V14" i="28"/>
  <c r="V271" i="28"/>
  <c r="S3" i="28"/>
  <c r="X4" i="28"/>
  <c r="B3" i="28"/>
  <c r="U4" i="28"/>
  <c r="Y3" i="28"/>
  <c r="AB3" i="28"/>
  <c r="N334" i="1" l="1"/>
  <c r="O334" i="1" s="1"/>
  <c r="P334" i="1" s="1"/>
  <c r="K334" i="1"/>
  <c r="L334" i="1" s="1"/>
  <c r="N333" i="1"/>
  <c r="O333" i="1" s="1"/>
  <c r="P333" i="1" s="1"/>
  <c r="K333" i="1"/>
  <c r="L333" i="1" s="1"/>
  <c r="N163" i="24"/>
  <c r="O163" i="24" s="1"/>
  <c r="P163" i="24" s="1"/>
  <c r="K163" i="24"/>
  <c r="L163" i="24" s="1"/>
  <c r="N329" i="1"/>
  <c r="O329" i="1" s="1"/>
  <c r="P329" i="1" s="1"/>
  <c r="N330" i="1"/>
  <c r="N331" i="1"/>
  <c r="O331" i="1" s="1"/>
  <c r="P331" i="1" s="1"/>
  <c r="N332" i="1"/>
  <c r="K331" i="1"/>
  <c r="L331" i="1" s="1"/>
  <c r="K329" i="1"/>
  <c r="J330" i="1" s="1"/>
  <c r="K330" i="1" s="1"/>
  <c r="L330" i="1" s="1"/>
  <c r="K195" i="4"/>
  <c r="L195" i="4" s="1"/>
  <c r="O330" i="1" l="1"/>
  <c r="P330" i="1" s="1"/>
  <c r="Q330" i="1" s="1"/>
  <c r="J332" i="1"/>
  <c r="L329" i="1"/>
  <c r="AE1" i="21"/>
  <c r="X11" i="21" s="1"/>
  <c r="AA11" i="21" s="1"/>
  <c r="P2" i="21"/>
  <c r="D3" i="21"/>
  <c r="Y11" i="21" s="1"/>
  <c r="P3" i="21"/>
  <c r="P5" i="21"/>
  <c r="K14" i="21"/>
  <c r="AF14" i="21" s="1"/>
  <c r="N14" i="21"/>
  <c r="AD14" i="21"/>
  <c r="AH14" i="21"/>
  <c r="K15" i="21"/>
  <c r="AF15" i="21" s="1"/>
  <c r="P15" i="21"/>
  <c r="Q15" i="21" s="1"/>
  <c r="AD15" i="21"/>
  <c r="AH15" i="21"/>
  <c r="K20" i="21"/>
  <c r="AF20" i="21" s="1"/>
  <c r="P20" i="21"/>
  <c r="Q20" i="21" s="1"/>
  <c r="AD20" i="21"/>
  <c r="AH20" i="21"/>
  <c r="K21" i="21"/>
  <c r="AF21" i="21" s="1"/>
  <c r="N21" i="21"/>
  <c r="P21" i="21" s="1"/>
  <c r="M77" i="4" s="1"/>
  <c r="M78" i="4" s="1"/>
  <c r="AD21" i="21"/>
  <c r="AH21" i="21"/>
  <c r="K22" i="21"/>
  <c r="AF22" i="21" s="1"/>
  <c r="N22" i="21"/>
  <c r="AD22" i="21"/>
  <c r="AH22" i="21"/>
  <c r="K28" i="21"/>
  <c r="AF28" i="21" s="1"/>
  <c r="P28" i="21"/>
  <c r="AD28" i="21"/>
  <c r="AH28" i="21"/>
  <c r="N30" i="21"/>
  <c r="AE1" i="18"/>
  <c r="X11" i="18" s="1"/>
  <c r="AA11" i="18" s="1"/>
  <c r="D3" i="18"/>
  <c r="AB11" i="18" s="1"/>
  <c r="AC11" i="18" s="1"/>
  <c r="P4" i="18"/>
  <c r="AG12" i="18" s="1"/>
  <c r="K12" i="18"/>
  <c r="AF12" i="18" s="1"/>
  <c r="P12" i="18"/>
  <c r="AD12" i="18"/>
  <c r="AE12" i="18"/>
  <c r="S12" i="18"/>
  <c r="AH12" i="18"/>
  <c r="K13" i="18"/>
  <c r="AF13" i="18" s="1"/>
  <c r="P13" i="18"/>
  <c r="Q13" i="18" s="1"/>
  <c r="AD13" i="18"/>
  <c r="AE13" i="18"/>
  <c r="S13" i="18"/>
  <c r="AH13" i="18"/>
  <c r="K14" i="18"/>
  <c r="AF14" i="18" s="1"/>
  <c r="P14" i="18"/>
  <c r="Q14" i="18" s="1"/>
  <c r="AD14" i="18"/>
  <c r="AE14" i="18"/>
  <c r="S14" i="18"/>
  <c r="AH14" i="18"/>
  <c r="K15" i="18"/>
  <c r="AF15" i="18" s="1"/>
  <c r="P15" i="18"/>
  <c r="Q15" i="18" s="1"/>
  <c r="AD15" i="18"/>
  <c r="AE15" i="18"/>
  <c r="S15" i="18"/>
  <c r="AH15" i="18"/>
  <c r="K16" i="18"/>
  <c r="AF16" i="18" s="1"/>
  <c r="P16" i="18"/>
  <c r="Q16" i="18" s="1"/>
  <c r="AD16" i="18"/>
  <c r="AE16" i="18"/>
  <c r="S16" i="18"/>
  <c r="AH16" i="18"/>
  <c r="K17" i="18"/>
  <c r="AF17" i="18" s="1"/>
  <c r="P17" i="18"/>
  <c r="Q17" i="18" s="1"/>
  <c r="AD17" i="18"/>
  <c r="AE17" i="18"/>
  <c r="S17" i="18"/>
  <c r="AH17" i="18"/>
  <c r="K18" i="18"/>
  <c r="AF18" i="18" s="1"/>
  <c r="P18" i="18"/>
  <c r="Q18" i="18" s="1"/>
  <c r="AD18" i="18"/>
  <c r="AE18" i="18"/>
  <c r="S18" i="18"/>
  <c r="AH18" i="18"/>
  <c r="K19" i="18"/>
  <c r="AF19" i="18" s="1"/>
  <c r="P19" i="18"/>
  <c r="Q19" i="18" s="1"/>
  <c r="AD19" i="18"/>
  <c r="AE19" i="18"/>
  <c r="S19" i="18"/>
  <c r="AH19" i="18"/>
  <c r="K20" i="18"/>
  <c r="AF20" i="18" s="1"/>
  <c r="N20" i="18"/>
  <c r="AD20" i="18"/>
  <c r="AE20" i="18"/>
  <c r="S20" i="18"/>
  <c r="AH20" i="18"/>
  <c r="K21" i="18"/>
  <c r="AF21" i="18" s="1"/>
  <c r="P21" i="18"/>
  <c r="Q21" i="18" s="1"/>
  <c r="AD21" i="18"/>
  <c r="AE21" i="18"/>
  <c r="S21" i="18"/>
  <c r="AH21" i="18"/>
  <c r="K22" i="18"/>
  <c r="AF22" i="18" s="1"/>
  <c r="N22" i="18"/>
  <c r="P22" i="18" s="1"/>
  <c r="Q22" i="18" s="1"/>
  <c r="AD22" i="18"/>
  <c r="AE22" i="18"/>
  <c r="S22" i="18"/>
  <c r="AH22" i="18"/>
  <c r="K23" i="18"/>
  <c r="AF23" i="18" s="1"/>
  <c r="N23" i="18"/>
  <c r="P23" i="18" s="1"/>
  <c r="Q23" i="18" s="1"/>
  <c r="AD23" i="18"/>
  <c r="AE23" i="18"/>
  <c r="S23" i="18"/>
  <c r="AH23" i="18"/>
  <c r="K24" i="18"/>
  <c r="AF24" i="18" s="1"/>
  <c r="P24" i="18"/>
  <c r="Q24" i="18" s="1"/>
  <c r="AD24" i="18"/>
  <c r="AE24" i="18"/>
  <c r="S24" i="18"/>
  <c r="AH24" i="18"/>
  <c r="K25" i="18"/>
  <c r="AF25" i="18" s="1"/>
  <c r="P25" i="18"/>
  <c r="Q25" i="18" s="1"/>
  <c r="AD25" i="18"/>
  <c r="AE25" i="18"/>
  <c r="S25" i="18"/>
  <c r="AH25" i="18"/>
  <c r="K26" i="18"/>
  <c r="AF26" i="18" s="1"/>
  <c r="P26" i="18"/>
  <c r="Q26" i="18" s="1"/>
  <c r="AD26" i="18"/>
  <c r="AE26" i="18"/>
  <c r="S26" i="18"/>
  <c r="AH26" i="18"/>
  <c r="K27" i="18"/>
  <c r="AF27" i="18" s="1"/>
  <c r="P27" i="18"/>
  <c r="Q27" i="18" s="1"/>
  <c r="AD27" i="18"/>
  <c r="AE27" i="18"/>
  <c r="S27" i="18"/>
  <c r="AH27" i="18"/>
  <c r="K28" i="18"/>
  <c r="AF28" i="18" s="1"/>
  <c r="P28" i="18"/>
  <c r="Q28" i="18" s="1"/>
  <c r="AD28" i="18"/>
  <c r="AE28" i="18"/>
  <c r="S28" i="18"/>
  <c r="AH28" i="18"/>
  <c r="K29" i="18"/>
  <c r="AF29" i="18" s="1"/>
  <c r="P29" i="18"/>
  <c r="Q29" i="18" s="1"/>
  <c r="AD29" i="18"/>
  <c r="AE29" i="18"/>
  <c r="S29" i="18"/>
  <c r="AH29" i="18"/>
  <c r="K30" i="18"/>
  <c r="AF30" i="18" s="1"/>
  <c r="P30" i="18"/>
  <c r="Q30" i="18" s="1"/>
  <c r="AD30" i="18"/>
  <c r="AE30" i="18"/>
  <c r="S30" i="18"/>
  <c r="AH30" i="18"/>
  <c r="K31" i="18"/>
  <c r="AF31" i="18" s="1"/>
  <c r="P31" i="18"/>
  <c r="Q31" i="18" s="1"/>
  <c r="AD31" i="18"/>
  <c r="AE31" i="18"/>
  <c r="S31" i="18"/>
  <c r="AH31" i="18"/>
  <c r="K36" i="18"/>
  <c r="AF36" i="18" s="1"/>
  <c r="P36" i="18"/>
  <c r="Q36" i="18" s="1"/>
  <c r="AD36" i="18"/>
  <c r="AE36" i="18"/>
  <c r="S36" i="18"/>
  <c r="AH36" i="18"/>
  <c r="K37" i="18"/>
  <c r="AF37" i="18" s="1"/>
  <c r="P37" i="18"/>
  <c r="Q37" i="18" s="1"/>
  <c r="AD37" i="18"/>
  <c r="AE37" i="18"/>
  <c r="S37" i="18"/>
  <c r="AH37" i="18"/>
  <c r="K38" i="18"/>
  <c r="AF38" i="18" s="1"/>
  <c r="P38" i="18"/>
  <c r="Q38" i="18" s="1"/>
  <c r="AD38" i="18"/>
  <c r="AE38" i="18"/>
  <c r="S38" i="18"/>
  <c r="AH38" i="18"/>
  <c r="K39" i="18"/>
  <c r="AF39" i="18" s="1"/>
  <c r="P39" i="18"/>
  <c r="Q39" i="18" s="1"/>
  <c r="AD39" i="18"/>
  <c r="AE39" i="18"/>
  <c r="S39" i="18"/>
  <c r="AH39" i="18"/>
  <c r="K40" i="18"/>
  <c r="AF40" i="18" s="1"/>
  <c r="P40" i="18"/>
  <c r="Q40" i="18" s="1"/>
  <c r="AD40" i="18"/>
  <c r="AE40" i="18"/>
  <c r="S40" i="18"/>
  <c r="AH40" i="18"/>
  <c r="N42" i="18"/>
  <c r="N48" i="18"/>
  <c r="P48" i="18"/>
  <c r="Q48" i="18"/>
  <c r="R48" i="18"/>
  <c r="V48" i="18"/>
  <c r="AA48" i="18"/>
  <c r="AB48" i="18"/>
  <c r="AC48" i="18"/>
  <c r="K52" i="18"/>
  <c r="AF52" i="18" s="1"/>
  <c r="P52" i="18"/>
  <c r="Q52" i="18" s="1"/>
  <c r="AD52" i="18"/>
  <c r="AE52" i="18"/>
  <c r="S52" i="18"/>
  <c r="AH52" i="18"/>
  <c r="K53" i="18"/>
  <c r="AF53" i="18" s="1"/>
  <c r="P53" i="18"/>
  <c r="Q53" i="18" s="1"/>
  <c r="AD53" i="18"/>
  <c r="AE53" i="18"/>
  <c r="S53" i="18"/>
  <c r="AH53" i="18"/>
  <c r="K54" i="18"/>
  <c r="AF54" i="18" s="1"/>
  <c r="N54" i="18"/>
  <c r="AD54" i="18"/>
  <c r="AE54" i="18"/>
  <c r="S54" i="18"/>
  <c r="AH54" i="18"/>
  <c r="K55" i="18"/>
  <c r="AF55" i="18" s="1"/>
  <c r="N55" i="18"/>
  <c r="P55" i="18" s="1"/>
  <c r="Q55" i="18" s="1"/>
  <c r="AD55" i="18"/>
  <c r="AE55" i="18"/>
  <c r="S55" i="18"/>
  <c r="AH55" i="18"/>
  <c r="K56" i="18"/>
  <c r="AF56" i="18" s="1"/>
  <c r="N56" i="18"/>
  <c r="P56" i="18" s="1"/>
  <c r="Q56" i="18" s="1"/>
  <c r="AD56" i="18"/>
  <c r="AE56" i="18"/>
  <c r="S56" i="18"/>
  <c r="AH56" i="18"/>
  <c r="K57" i="18"/>
  <c r="AF57" i="18" s="1"/>
  <c r="P57" i="18"/>
  <c r="Q57" i="18" s="1"/>
  <c r="AD57" i="18"/>
  <c r="AE57" i="18"/>
  <c r="S57" i="18"/>
  <c r="AH57" i="18"/>
  <c r="K58" i="18"/>
  <c r="AF58" i="18" s="1"/>
  <c r="N58" i="18"/>
  <c r="P58" i="18" s="1"/>
  <c r="AD58" i="18"/>
  <c r="AE58" i="18"/>
  <c r="S58" i="18"/>
  <c r="AH58" i="18"/>
  <c r="K59" i="18"/>
  <c r="AF59" i="18" s="1"/>
  <c r="P59" i="18"/>
  <c r="Q59" i="18" s="1"/>
  <c r="AD59" i="18"/>
  <c r="AE59" i="18"/>
  <c r="S59" i="18"/>
  <c r="AH59" i="18"/>
  <c r="K60" i="18"/>
  <c r="AF60" i="18" s="1"/>
  <c r="P60" i="18"/>
  <c r="Q60" i="18" s="1"/>
  <c r="AD60" i="18"/>
  <c r="AE60" i="18"/>
  <c r="S60" i="18"/>
  <c r="AH60" i="18"/>
  <c r="K65" i="18"/>
  <c r="AF65" i="18" s="1"/>
  <c r="P65" i="18"/>
  <c r="AD65" i="18"/>
  <c r="AE65" i="18"/>
  <c r="S65" i="18"/>
  <c r="AH65" i="18"/>
  <c r="K66" i="18"/>
  <c r="AF66" i="18" s="1"/>
  <c r="N66" i="18"/>
  <c r="P66" i="18" s="1"/>
  <c r="Q66" i="18" s="1"/>
  <c r="AD66" i="18"/>
  <c r="AE66" i="18"/>
  <c r="S66" i="18"/>
  <c r="AH66" i="18"/>
  <c r="K67" i="18"/>
  <c r="AF67" i="18" s="1"/>
  <c r="P67" i="18"/>
  <c r="Q67" i="18" s="1"/>
  <c r="AD67" i="18"/>
  <c r="AE67" i="18"/>
  <c r="S67" i="18"/>
  <c r="AH67" i="18"/>
  <c r="K68" i="18"/>
  <c r="AF68" i="18" s="1"/>
  <c r="N68" i="18"/>
  <c r="P68" i="18" s="1"/>
  <c r="Q68" i="18" s="1"/>
  <c r="AD68" i="18"/>
  <c r="AE68" i="18"/>
  <c r="S68" i="18"/>
  <c r="AH68" i="18"/>
  <c r="K69" i="18"/>
  <c r="AF69" i="18" s="1"/>
  <c r="P69" i="18"/>
  <c r="Q69" i="18" s="1"/>
  <c r="AD69" i="18"/>
  <c r="S69" i="18"/>
  <c r="AH69" i="18"/>
  <c r="K70" i="18"/>
  <c r="AF70" i="18" s="1"/>
  <c r="P70" i="18"/>
  <c r="Q70" i="18" s="1"/>
  <c r="AD70" i="18"/>
  <c r="X70" i="18" s="1"/>
  <c r="Y70" i="18" s="1"/>
  <c r="AA70" i="18" s="1"/>
  <c r="S70" i="18"/>
  <c r="AH70" i="18"/>
  <c r="O74" i="18"/>
  <c r="AD1" i="17"/>
  <c r="W11" i="17" s="1"/>
  <c r="Z11" i="17" s="1"/>
  <c r="O2" i="17"/>
  <c r="C3" i="17"/>
  <c r="AA11" i="17" s="1"/>
  <c r="AB11" i="17" s="1"/>
  <c r="O3" i="17"/>
  <c r="O4" i="17"/>
  <c r="O5" i="17"/>
  <c r="M8" i="17"/>
  <c r="J12" i="17"/>
  <c r="AE12" i="17" s="1"/>
  <c r="M12" i="17"/>
  <c r="AC12" i="17"/>
  <c r="R12" i="17"/>
  <c r="AG12" i="17"/>
  <c r="J13" i="17"/>
  <c r="AE13" i="17" s="1"/>
  <c r="M13" i="17"/>
  <c r="O13" i="17" s="1"/>
  <c r="P13" i="17" s="1"/>
  <c r="AC13" i="17"/>
  <c r="R13" i="17"/>
  <c r="AG13" i="17"/>
  <c r="J14" i="17"/>
  <c r="AE14" i="17" s="1"/>
  <c r="M14" i="17"/>
  <c r="O14" i="17" s="1"/>
  <c r="P14" i="17" s="1"/>
  <c r="AC14" i="17"/>
  <c r="R14" i="17"/>
  <c r="AG14" i="17"/>
  <c r="J15" i="17"/>
  <c r="AE15" i="17" s="1"/>
  <c r="O15" i="17"/>
  <c r="P15" i="17" s="1"/>
  <c r="AC15" i="17"/>
  <c r="R15" i="17"/>
  <c r="AG15" i="17"/>
  <c r="V17" i="17"/>
  <c r="V34" i="17" s="1"/>
  <c r="J23" i="17"/>
  <c r="AE23" i="17" s="1"/>
  <c r="O23" i="17"/>
  <c r="P23" i="17" s="1"/>
  <c r="AC23" i="17"/>
  <c r="R23" i="17"/>
  <c r="AG23" i="17"/>
  <c r="J24" i="17"/>
  <c r="AE24" i="17" s="1"/>
  <c r="O24" i="17"/>
  <c r="P24" i="17" s="1"/>
  <c r="AC24" i="17"/>
  <c r="R24" i="17"/>
  <c r="AG24" i="17"/>
  <c r="J25" i="17"/>
  <c r="AE25" i="17" s="1"/>
  <c r="M25" i="17"/>
  <c r="O25" i="17" s="1"/>
  <c r="AC25" i="17"/>
  <c r="R25" i="17"/>
  <c r="AG25" i="17"/>
  <c r="J26" i="17"/>
  <c r="AE26" i="17" s="1"/>
  <c r="M26" i="17"/>
  <c r="O26" i="17" s="1"/>
  <c r="P26" i="17" s="1"/>
  <c r="AC26" i="17"/>
  <c r="R26" i="17"/>
  <c r="AG26" i="17"/>
  <c r="J27" i="17"/>
  <c r="AE27" i="17" s="1"/>
  <c r="M27" i="17"/>
  <c r="O27" i="17" s="1"/>
  <c r="P27" i="17" s="1"/>
  <c r="AC27" i="17"/>
  <c r="R27" i="17"/>
  <c r="AG27" i="17"/>
  <c r="J28" i="17"/>
  <c r="AE28" i="17" s="1"/>
  <c r="O28" i="17"/>
  <c r="P28" i="17" s="1"/>
  <c r="AC28" i="17"/>
  <c r="R28" i="17"/>
  <c r="AG28" i="17"/>
  <c r="J29" i="17"/>
  <c r="AE29" i="17" s="1"/>
  <c r="O29" i="17"/>
  <c r="P29" i="17" s="1"/>
  <c r="AC29" i="17"/>
  <c r="R29" i="17"/>
  <c r="AG29" i="17"/>
  <c r="J30" i="17"/>
  <c r="AE30" i="17" s="1"/>
  <c r="O30" i="17"/>
  <c r="P30" i="17" s="1"/>
  <c r="AC30" i="17"/>
  <c r="R30" i="17"/>
  <c r="AG30" i="17"/>
  <c r="J31" i="17"/>
  <c r="AE31" i="17" s="1"/>
  <c r="M31" i="17"/>
  <c r="O31" i="17" s="1"/>
  <c r="P31" i="17" s="1"/>
  <c r="AC31" i="17"/>
  <c r="R31" i="17"/>
  <c r="AG31" i="17"/>
  <c r="J32" i="17"/>
  <c r="AE32" i="17" s="1"/>
  <c r="M32" i="17"/>
  <c r="O32" i="17" s="1"/>
  <c r="P32" i="17" s="1"/>
  <c r="AC32" i="17"/>
  <c r="R32" i="17"/>
  <c r="AG32" i="17"/>
  <c r="J40" i="17"/>
  <c r="AE40" i="17" s="1"/>
  <c r="M40" i="17"/>
  <c r="O40" i="17" s="1"/>
  <c r="AC40" i="17"/>
  <c r="R40" i="17"/>
  <c r="AG40" i="17"/>
  <c r="J41" i="17"/>
  <c r="AE41" i="17" s="1"/>
  <c r="M41" i="17"/>
  <c r="AC41" i="17"/>
  <c r="R41" i="17"/>
  <c r="AG41" i="17"/>
  <c r="J42" i="17"/>
  <c r="AE42" i="17" s="1"/>
  <c r="M42" i="17"/>
  <c r="O42" i="17" s="1"/>
  <c r="P42" i="17" s="1"/>
  <c r="AC42" i="17"/>
  <c r="R42" i="17"/>
  <c r="AG42" i="17"/>
  <c r="V44" i="17"/>
  <c r="J51" i="17"/>
  <c r="AE51" i="17" s="1"/>
  <c r="O51" i="17"/>
  <c r="P51" i="17" s="1"/>
  <c r="AC51" i="17"/>
  <c r="R51" i="17"/>
  <c r="AG51" i="17"/>
  <c r="J52" i="17"/>
  <c r="AE52" i="17" s="1"/>
  <c r="O52" i="17"/>
  <c r="P52" i="17" s="1"/>
  <c r="AC52" i="17"/>
  <c r="R52" i="17"/>
  <c r="AG52" i="17"/>
  <c r="J53" i="17"/>
  <c r="AE53" i="17" s="1"/>
  <c r="O53" i="17"/>
  <c r="P53" i="17" s="1"/>
  <c r="AC53" i="17"/>
  <c r="R53" i="17"/>
  <c r="AG53" i="17"/>
  <c r="J54" i="17"/>
  <c r="AE54" i="17" s="1"/>
  <c r="M54" i="17"/>
  <c r="AC54" i="17"/>
  <c r="R54" i="17"/>
  <c r="AG54" i="17"/>
  <c r="J55" i="17"/>
  <c r="AE55" i="17" s="1"/>
  <c r="M55" i="17"/>
  <c r="O55" i="17" s="1"/>
  <c r="P55" i="17" s="1"/>
  <c r="AC55" i="17"/>
  <c r="R55" i="17"/>
  <c r="AG55" i="17"/>
  <c r="J56" i="17"/>
  <c r="AE56" i="17" s="1"/>
  <c r="M56" i="17"/>
  <c r="O56" i="17" s="1"/>
  <c r="P56" i="17" s="1"/>
  <c r="AC56" i="17"/>
  <c r="R56" i="17"/>
  <c r="AG56" i="17"/>
  <c r="J57" i="17"/>
  <c r="AE57" i="17" s="1"/>
  <c r="M57" i="17"/>
  <c r="O57" i="17" s="1"/>
  <c r="P57" i="17" s="1"/>
  <c r="AC57" i="17"/>
  <c r="R57" i="17"/>
  <c r="AG57" i="17"/>
  <c r="J58" i="17"/>
  <c r="AE58" i="17" s="1"/>
  <c r="M58" i="17"/>
  <c r="O58" i="17" s="1"/>
  <c r="P58" i="17" s="1"/>
  <c r="AC58" i="17"/>
  <c r="R58" i="17"/>
  <c r="AG58" i="17"/>
  <c r="J59" i="17"/>
  <c r="AE59" i="17" s="1"/>
  <c r="M59" i="17"/>
  <c r="O59" i="17" s="1"/>
  <c r="P59" i="17" s="1"/>
  <c r="AC59" i="17"/>
  <c r="R59" i="17"/>
  <c r="AG59" i="17"/>
  <c r="J60" i="17"/>
  <c r="AE60" i="17" s="1"/>
  <c r="O60" i="17"/>
  <c r="P60" i="17" s="1"/>
  <c r="AC60" i="17"/>
  <c r="R60" i="17"/>
  <c r="AG60" i="17"/>
  <c r="J61" i="17"/>
  <c r="AE61" i="17" s="1"/>
  <c r="M61" i="17"/>
  <c r="O61" i="17" s="1"/>
  <c r="P61" i="17" s="1"/>
  <c r="AC61" i="17"/>
  <c r="R61" i="17"/>
  <c r="AG61" i="17"/>
  <c r="J62" i="17"/>
  <c r="AE62" i="17" s="1"/>
  <c r="O62" i="17"/>
  <c r="P62" i="17" s="1"/>
  <c r="AC62" i="17"/>
  <c r="R62" i="17"/>
  <c r="AG62" i="17"/>
  <c r="J63" i="17"/>
  <c r="AE63" i="17" s="1"/>
  <c r="O63" i="17"/>
  <c r="P63" i="17" s="1"/>
  <c r="AC63" i="17"/>
  <c r="R63" i="17"/>
  <c r="AG63" i="17"/>
  <c r="J64" i="17"/>
  <c r="AE64" i="17" s="1"/>
  <c r="O64" i="17"/>
  <c r="P64" i="17" s="1"/>
  <c r="AC64" i="17"/>
  <c r="R64" i="17"/>
  <c r="AG64" i="17"/>
  <c r="J65" i="17"/>
  <c r="AE65" i="17" s="1"/>
  <c r="O65" i="17"/>
  <c r="P65" i="17" s="1"/>
  <c r="AC65" i="17"/>
  <c r="R65" i="17"/>
  <c r="AG65" i="17"/>
  <c r="J66" i="17"/>
  <c r="AE66" i="17" s="1"/>
  <c r="O66" i="17"/>
  <c r="P66" i="17" s="1"/>
  <c r="AC66" i="17"/>
  <c r="R66" i="17"/>
  <c r="AG66" i="17"/>
  <c r="J67" i="17"/>
  <c r="AE67" i="17" s="1"/>
  <c r="O67" i="17"/>
  <c r="P67" i="17" s="1"/>
  <c r="AC67" i="17"/>
  <c r="R67" i="17"/>
  <c r="AG67" i="17"/>
  <c r="J68" i="17"/>
  <c r="AE68" i="17" s="1"/>
  <c r="O68" i="17"/>
  <c r="P68" i="17" s="1"/>
  <c r="AC68" i="17"/>
  <c r="R68" i="17"/>
  <c r="AG68" i="17"/>
  <c r="J69" i="17"/>
  <c r="AE69" i="17" s="1"/>
  <c r="O69" i="17"/>
  <c r="P69" i="17" s="1"/>
  <c r="AC69" i="17"/>
  <c r="R69" i="17"/>
  <c r="AG69" i="17"/>
  <c r="J70" i="17"/>
  <c r="AE70" i="17" s="1"/>
  <c r="O70" i="17"/>
  <c r="P70" i="17" s="1"/>
  <c r="AC70" i="17"/>
  <c r="R70" i="17"/>
  <c r="AG70" i="17"/>
  <c r="J71" i="17"/>
  <c r="AE71" i="17" s="1"/>
  <c r="O71" i="17"/>
  <c r="P71" i="17" s="1"/>
  <c r="AC71" i="17"/>
  <c r="R71" i="17"/>
  <c r="AG71" i="17"/>
  <c r="J72" i="17"/>
  <c r="AE72" i="17" s="1"/>
  <c r="O72" i="17"/>
  <c r="P72" i="17" s="1"/>
  <c r="AC72" i="17"/>
  <c r="R72" i="17"/>
  <c r="AG72" i="17"/>
  <c r="J73" i="17"/>
  <c r="AE73" i="17" s="1"/>
  <c r="O73" i="17"/>
  <c r="P73" i="17" s="1"/>
  <c r="AC73" i="17"/>
  <c r="R73" i="17"/>
  <c r="AG73" i="17"/>
  <c r="J74" i="17"/>
  <c r="AE74" i="17" s="1"/>
  <c r="O74" i="17"/>
  <c r="P74" i="17" s="1"/>
  <c r="AC74" i="17"/>
  <c r="R74" i="17"/>
  <c r="AG74" i="17"/>
  <c r="J75" i="17"/>
  <c r="AE75" i="17" s="1"/>
  <c r="O75" i="17"/>
  <c r="P75" i="17" s="1"/>
  <c r="AC75" i="17"/>
  <c r="R75" i="17"/>
  <c r="AG75" i="17"/>
  <c r="J76" i="17"/>
  <c r="AE76" i="17" s="1"/>
  <c r="O76" i="17"/>
  <c r="P76" i="17" s="1"/>
  <c r="AC76" i="17"/>
  <c r="R76" i="17"/>
  <c r="AG76" i="17"/>
  <c r="V78" i="17"/>
  <c r="Y78" i="17"/>
  <c r="J84" i="17"/>
  <c r="AE84" i="17" s="1"/>
  <c r="M84" i="17"/>
  <c r="O84" i="17" s="1"/>
  <c r="AC84" i="17"/>
  <c r="R84" i="17"/>
  <c r="AG84" i="17"/>
  <c r="J85" i="17"/>
  <c r="AE85" i="17" s="1"/>
  <c r="O85" i="17"/>
  <c r="P85" i="17" s="1"/>
  <c r="AC85" i="17"/>
  <c r="R85" i="17"/>
  <c r="AG85" i="17"/>
  <c r="J86" i="17"/>
  <c r="AE86" i="17" s="1"/>
  <c r="O86" i="17"/>
  <c r="P86" i="17" s="1"/>
  <c r="AC86" i="17"/>
  <c r="R86" i="17"/>
  <c r="AG86" i="17"/>
  <c r="J87" i="17"/>
  <c r="AE87" i="17" s="1"/>
  <c r="M87" i="17"/>
  <c r="O87" i="17" s="1"/>
  <c r="P87" i="17" s="1"/>
  <c r="AC87" i="17"/>
  <c r="R87" i="17"/>
  <c r="AG87" i="17"/>
  <c r="J88" i="17"/>
  <c r="AE88" i="17" s="1"/>
  <c r="M88" i="17"/>
  <c r="O88" i="17" s="1"/>
  <c r="P88" i="17" s="1"/>
  <c r="AC88" i="17"/>
  <c r="R88" i="17"/>
  <c r="AG88" i="17"/>
  <c r="J89" i="17"/>
  <c r="AE89" i="17" s="1"/>
  <c r="O89" i="17"/>
  <c r="P89" i="17" s="1"/>
  <c r="AC89" i="17"/>
  <c r="R89" i="17"/>
  <c r="AG89" i="17"/>
  <c r="J90" i="17"/>
  <c r="AE90" i="17" s="1"/>
  <c r="O90" i="17"/>
  <c r="P90" i="17" s="1"/>
  <c r="AC90" i="17"/>
  <c r="R90" i="17"/>
  <c r="AG90" i="17"/>
  <c r="J91" i="17"/>
  <c r="AE91" i="17" s="1"/>
  <c r="O91" i="17"/>
  <c r="P91" i="17" s="1"/>
  <c r="AC91" i="17"/>
  <c r="R91" i="17"/>
  <c r="AG91" i="17"/>
  <c r="J92" i="17"/>
  <c r="AE92" i="17" s="1"/>
  <c r="O92" i="17"/>
  <c r="P92" i="17" s="1"/>
  <c r="AC92" i="17"/>
  <c r="R92" i="17"/>
  <c r="AG92" i="17"/>
  <c r="J93" i="17"/>
  <c r="AE93" i="17" s="1"/>
  <c r="O93" i="17"/>
  <c r="P93" i="17" s="1"/>
  <c r="AC93" i="17"/>
  <c r="R93" i="17"/>
  <c r="AG93" i="17"/>
  <c r="J94" i="17"/>
  <c r="AE94" i="17" s="1"/>
  <c r="O94" i="17"/>
  <c r="P94" i="17" s="1"/>
  <c r="AC94" i="17"/>
  <c r="R94" i="17"/>
  <c r="AG94" i="17"/>
  <c r="B95" i="17"/>
  <c r="J95" i="17"/>
  <c r="AE95" i="17" s="1"/>
  <c r="M95" i="17"/>
  <c r="AC95" i="17"/>
  <c r="R95" i="17"/>
  <c r="AG95" i="17"/>
  <c r="J96" i="17"/>
  <c r="AE96" i="17" s="1"/>
  <c r="O96" i="17"/>
  <c r="P96" i="17" s="1"/>
  <c r="AC96" i="17"/>
  <c r="R96" i="17"/>
  <c r="AG96" i="17"/>
  <c r="J97" i="17"/>
  <c r="AE97" i="17" s="1"/>
  <c r="O97" i="17"/>
  <c r="P97" i="17" s="1"/>
  <c r="AC97" i="17"/>
  <c r="R97" i="17"/>
  <c r="AG97" i="17"/>
  <c r="J98" i="17"/>
  <c r="AE98" i="17" s="1"/>
  <c r="O98" i="17"/>
  <c r="P98" i="17" s="1"/>
  <c r="AC98" i="17"/>
  <c r="R98" i="17"/>
  <c r="AG98" i="17"/>
  <c r="J99" i="17"/>
  <c r="AE99" i="17" s="1"/>
  <c r="O99" i="17"/>
  <c r="P99" i="17" s="1"/>
  <c r="AC99" i="17"/>
  <c r="R99" i="17"/>
  <c r="AG99" i="17"/>
  <c r="J100" i="17"/>
  <c r="AE100" i="17" s="1"/>
  <c r="O100" i="17"/>
  <c r="P100" i="17" s="1"/>
  <c r="AC100" i="17"/>
  <c r="R100" i="17"/>
  <c r="AG100" i="17"/>
  <c r="J101" i="17"/>
  <c r="AE101" i="17" s="1"/>
  <c r="O101" i="17"/>
  <c r="P101" i="17" s="1"/>
  <c r="AC101" i="17"/>
  <c r="R101" i="17"/>
  <c r="AG101" i="17"/>
  <c r="J102" i="17"/>
  <c r="AE102" i="17" s="1"/>
  <c r="O102" i="17"/>
  <c r="P102" i="17" s="1"/>
  <c r="AC102" i="17"/>
  <c r="R102" i="17"/>
  <c r="AG102" i="17"/>
  <c r="J103" i="17"/>
  <c r="AE103" i="17" s="1"/>
  <c r="O103" i="17"/>
  <c r="P103" i="17" s="1"/>
  <c r="AC103" i="17"/>
  <c r="R103" i="17"/>
  <c r="AG103" i="17"/>
  <c r="J104" i="17"/>
  <c r="AE104" i="17" s="1"/>
  <c r="O104" i="17"/>
  <c r="P104" i="17" s="1"/>
  <c r="AC104" i="17"/>
  <c r="R104" i="17"/>
  <c r="AG104" i="17"/>
  <c r="J105" i="17"/>
  <c r="AE105" i="17" s="1"/>
  <c r="O105" i="17"/>
  <c r="P105" i="17" s="1"/>
  <c r="AC105" i="17"/>
  <c r="R105" i="17"/>
  <c r="AG105" i="17"/>
  <c r="V107" i="17"/>
  <c r="AE1" i="14"/>
  <c r="X11" i="14" s="1"/>
  <c r="AA11" i="14" s="1"/>
  <c r="D3" i="14"/>
  <c r="N42" i="14"/>
  <c r="P42" i="14" s="1"/>
  <c r="Q42" i="14" s="1"/>
  <c r="N46" i="14"/>
  <c r="N47" i="14"/>
  <c r="P47" i="14" s="1"/>
  <c r="Q47" i="14" s="1"/>
  <c r="N115" i="14"/>
  <c r="N120" i="14" s="1"/>
  <c r="N163" i="14"/>
  <c r="P163" i="14" s="1"/>
  <c r="Q163" i="14" s="1"/>
  <c r="N134" i="14"/>
  <c r="N152" i="14"/>
  <c r="P152" i="14" s="1"/>
  <c r="Q152" i="14" s="1"/>
  <c r="N172" i="14"/>
  <c r="K12" i="14"/>
  <c r="AF12" i="14" s="1"/>
  <c r="P12" i="14"/>
  <c r="Q12" i="14" s="1"/>
  <c r="AD12" i="14"/>
  <c r="AE12" i="14"/>
  <c r="AG12" i="14"/>
  <c r="S12" i="14"/>
  <c r="AH12" i="14"/>
  <c r="K13" i="14"/>
  <c r="AF13" i="14" s="1"/>
  <c r="P13" i="14"/>
  <c r="Q13" i="14" s="1"/>
  <c r="AD13" i="14"/>
  <c r="AE13" i="14"/>
  <c r="AG13" i="14"/>
  <c r="S13" i="14"/>
  <c r="AH13" i="14"/>
  <c r="K14" i="14"/>
  <c r="AF14" i="14" s="1"/>
  <c r="P14" i="14"/>
  <c r="Q14" i="14" s="1"/>
  <c r="AD14" i="14"/>
  <c r="AE14" i="14"/>
  <c r="AG14" i="14"/>
  <c r="S14" i="14"/>
  <c r="AH14" i="14"/>
  <c r="K15" i="14"/>
  <c r="AF15" i="14" s="1"/>
  <c r="P15" i="14"/>
  <c r="M227" i="1" s="1"/>
  <c r="M228" i="1" s="1"/>
  <c r="N228" i="1" s="1"/>
  <c r="AD15" i="14"/>
  <c r="AE15" i="14"/>
  <c r="AG15" i="14"/>
  <c r="S15" i="14"/>
  <c r="AH15" i="14"/>
  <c r="K16" i="14"/>
  <c r="AF16" i="14" s="1"/>
  <c r="P16" i="14"/>
  <c r="Q16" i="14" s="1"/>
  <c r="AD16" i="14"/>
  <c r="AE16" i="14"/>
  <c r="AG16" i="14"/>
  <c r="S16" i="14"/>
  <c r="AH16" i="14"/>
  <c r="K17" i="14"/>
  <c r="AF17" i="14" s="1"/>
  <c r="P17" i="14"/>
  <c r="Q17" i="14" s="1"/>
  <c r="AD17" i="14"/>
  <c r="AE17" i="14"/>
  <c r="AG17" i="14"/>
  <c r="S17" i="14"/>
  <c r="AH17" i="14"/>
  <c r="K18" i="14"/>
  <c r="AF18" i="14" s="1"/>
  <c r="P18" i="14"/>
  <c r="Q18" i="14" s="1"/>
  <c r="AD18" i="14"/>
  <c r="AE18" i="14"/>
  <c r="AG18" i="14"/>
  <c r="S18" i="14"/>
  <c r="AH18" i="14"/>
  <c r="K19" i="14"/>
  <c r="AF19" i="14" s="1"/>
  <c r="P19" i="14"/>
  <c r="Q19" i="14" s="1"/>
  <c r="AD19" i="14"/>
  <c r="AE19" i="14"/>
  <c r="AG19" i="14"/>
  <c r="S19" i="14"/>
  <c r="AH19" i="14"/>
  <c r="K20" i="14"/>
  <c r="AF20" i="14" s="1"/>
  <c r="N20" i="14"/>
  <c r="AD20" i="14"/>
  <c r="AE20" i="14"/>
  <c r="AG20" i="14"/>
  <c r="S20" i="14"/>
  <c r="AH20" i="14"/>
  <c r="K21" i="14"/>
  <c r="AF21" i="14" s="1"/>
  <c r="N21" i="14"/>
  <c r="P21" i="14" s="1"/>
  <c r="Q21" i="14" s="1"/>
  <c r="AD21" i="14"/>
  <c r="AE21" i="14"/>
  <c r="AG21" i="14"/>
  <c r="S21" i="14"/>
  <c r="AH21" i="14"/>
  <c r="K22" i="14"/>
  <c r="AF22" i="14" s="1"/>
  <c r="P22" i="14"/>
  <c r="Q22" i="14" s="1"/>
  <c r="AD22" i="14"/>
  <c r="AE22" i="14"/>
  <c r="AG22" i="14"/>
  <c r="S22" i="14"/>
  <c r="AH22" i="14"/>
  <c r="K23" i="14"/>
  <c r="AF23" i="14" s="1"/>
  <c r="N23" i="14"/>
  <c r="P23" i="14" s="1"/>
  <c r="Q23" i="14" s="1"/>
  <c r="AD23" i="14"/>
  <c r="AE23" i="14"/>
  <c r="AG23" i="14"/>
  <c r="S23" i="14"/>
  <c r="AH23" i="14"/>
  <c r="K24" i="14"/>
  <c r="AF24" i="14" s="1"/>
  <c r="N24" i="14"/>
  <c r="P24" i="14" s="1"/>
  <c r="Q24" i="14" s="1"/>
  <c r="AD24" i="14"/>
  <c r="AE24" i="14"/>
  <c r="AG24" i="14"/>
  <c r="S24" i="14"/>
  <c r="AH24" i="14"/>
  <c r="K25" i="14"/>
  <c r="AF25" i="14" s="1"/>
  <c r="N25" i="14"/>
  <c r="P25" i="14" s="1"/>
  <c r="Q25" i="14" s="1"/>
  <c r="AD25" i="14"/>
  <c r="AE25" i="14"/>
  <c r="AG25" i="14"/>
  <c r="S25" i="14"/>
  <c r="AH25" i="14"/>
  <c r="K26" i="14"/>
  <c r="AF26" i="14" s="1"/>
  <c r="P26" i="14"/>
  <c r="Q26" i="14" s="1"/>
  <c r="AD26" i="14"/>
  <c r="AE26" i="14"/>
  <c r="AG26" i="14"/>
  <c r="S26" i="14"/>
  <c r="AH26" i="14"/>
  <c r="K29" i="14"/>
  <c r="AF29" i="14" s="1"/>
  <c r="N29" i="14"/>
  <c r="P29" i="14" s="1"/>
  <c r="Q29" i="14" s="1"/>
  <c r="AD29" i="14"/>
  <c r="AE29" i="14"/>
  <c r="AG29" i="14"/>
  <c r="S29" i="14"/>
  <c r="AH29" i="14"/>
  <c r="K30" i="14"/>
  <c r="AF30" i="14" s="1"/>
  <c r="P30" i="14"/>
  <c r="Q30" i="14" s="1"/>
  <c r="AD30" i="14"/>
  <c r="AE30" i="14"/>
  <c r="AG30" i="14"/>
  <c r="S30" i="14"/>
  <c r="AH30" i="14"/>
  <c r="K31" i="14"/>
  <c r="AF31" i="14" s="1"/>
  <c r="P31" i="14"/>
  <c r="Q31" i="14" s="1"/>
  <c r="AD31" i="14"/>
  <c r="AE31" i="14"/>
  <c r="AG31" i="14"/>
  <c r="S31" i="14"/>
  <c r="AH31" i="14"/>
  <c r="K32" i="14"/>
  <c r="AF32" i="14" s="1"/>
  <c r="P32" i="14"/>
  <c r="Q32" i="14" s="1"/>
  <c r="AD32" i="14"/>
  <c r="AE32" i="14"/>
  <c r="AG32" i="14"/>
  <c r="S32" i="14"/>
  <c r="AH32" i="14"/>
  <c r="K33" i="14"/>
  <c r="AF33" i="14" s="1"/>
  <c r="N33" i="14"/>
  <c r="P33" i="14" s="1"/>
  <c r="Q33" i="14" s="1"/>
  <c r="AD33" i="14"/>
  <c r="AE33" i="14"/>
  <c r="AG33" i="14"/>
  <c r="S33" i="14"/>
  <c r="AH33" i="14"/>
  <c r="K34" i="14"/>
  <c r="AF34" i="14" s="1"/>
  <c r="P34" i="14"/>
  <c r="Q34" i="14" s="1"/>
  <c r="AD34" i="14"/>
  <c r="AE34" i="14"/>
  <c r="AG34" i="14"/>
  <c r="S34" i="14"/>
  <c r="AH34" i="14"/>
  <c r="K35" i="14"/>
  <c r="AF35" i="14" s="1"/>
  <c r="P35" i="14"/>
  <c r="Q35" i="14" s="1"/>
  <c r="AD35" i="14"/>
  <c r="AE35" i="14"/>
  <c r="AG35" i="14"/>
  <c r="S35" i="14"/>
  <c r="AH35" i="14"/>
  <c r="K36" i="14"/>
  <c r="AF36" i="14" s="1"/>
  <c r="P36" i="14"/>
  <c r="Q36" i="14" s="1"/>
  <c r="AD36" i="14"/>
  <c r="AE36" i="14"/>
  <c r="AG36" i="14"/>
  <c r="S36" i="14"/>
  <c r="AH36" i="14"/>
  <c r="K37" i="14"/>
  <c r="AF37" i="14" s="1"/>
  <c r="P37" i="14"/>
  <c r="Q37" i="14" s="1"/>
  <c r="AD37" i="14"/>
  <c r="AE37" i="14"/>
  <c r="AG37" i="14"/>
  <c r="S37" i="14"/>
  <c r="AH37" i="14"/>
  <c r="K38" i="14"/>
  <c r="AF38" i="14" s="1"/>
  <c r="P38" i="14"/>
  <c r="Q38" i="14" s="1"/>
  <c r="AD38" i="14"/>
  <c r="AE38" i="14"/>
  <c r="AG38" i="14"/>
  <c r="S38" i="14"/>
  <c r="AH38" i="14"/>
  <c r="K39" i="14"/>
  <c r="AF39" i="14" s="1"/>
  <c r="N39" i="14"/>
  <c r="P39" i="14" s="1"/>
  <c r="AD39" i="14"/>
  <c r="AE39" i="14"/>
  <c r="AG39" i="14"/>
  <c r="S39" i="14"/>
  <c r="AH39" i="14"/>
  <c r="K40" i="14"/>
  <c r="AF40" i="14" s="1"/>
  <c r="P40" i="14"/>
  <c r="Q40" i="14" s="1"/>
  <c r="AD40" i="14"/>
  <c r="AE40" i="14"/>
  <c r="AG40" i="14"/>
  <c r="S40" i="14"/>
  <c r="AH40" i="14"/>
  <c r="K41" i="14"/>
  <c r="AF41" i="14" s="1"/>
  <c r="P41" i="14"/>
  <c r="Q41" i="14" s="1"/>
  <c r="AD41" i="14"/>
  <c r="AE41" i="14"/>
  <c r="AG41" i="14"/>
  <c r="S41" i="14"/>
  <c r="AH41" i="14"/>
  <c r="K42" i="14"/>
  <c r="AF42" i="14" s="1"/>
  <c r="AD42" i="14"/>
  <c r="AE42" i="14"/>
  <c r="AG42" i="14"/>
  <c r="S42" i="14"/>
  <c r="AH42" i="14"/>
  <c r="K43" i="14"/>
  <c r="AF43" i="14" s="1"/>
  <c r="P43" i="14"/>
  <c r="Q43" i="14" s="1"/>
  <c r="AD43" i="14"/>
  <c r="AE43" i="14"/>
  <c r="AG43" i="14"/>
  <c r="S43" i="14"/>
  <c r="AH43" i="14"/>
  <c r="K44" i="14"/>
  <c r="AF44" i="14" s="1"/>
  <c r="P44" i="14"/>
  <c r="Q44" i="14" s="1"/>
  <c r="AD44" i="14"/>
  <c r="AE44" i="14"/>
  <c r="AG44" i="14"/>
  <c r="S44" i="14"/>
  <c r="AH44" i="14"/>
  <c r="K45" i="14"/>
  <c r="AF45" i="14" s="1"/>
  <c r="P45" i="14"/>
  <c r="Q45" i="14" s="1"/>
  <c r="AD45" i="14"/>
  <c r="AE45" i="14"/>
  <c r="AG45" i="14"/>
  <c r="S45" i="14"/>
  <c r="AH45" i="14"/>
  <c r="K46" i="14"/>
  <c r="AF46" i="14" s="1"/>
  <c r="AD46" i="14"/>
  <c r="AE46" i="14"/>
  <c r="AG46" i="14"/>
  <c r="S46" i="14"/>
  <c r="AH46" i="14"/>
  <c r="K47" i="14"/>
  <c r="AF47" i="14" s="1"/>
  <c r="AD47" i="14"/>
  <c r="AE47" i="14"/>
  <c r="AG47" i="14"/>
  <c r="S47" i="14"/>
  <c r="AH47" i="14"/>
  <c r="K52" i="14"/>
  <c r="AF52" i="14" s="1"/>
  <c r="P52" i="14"/>
  <c r="AD52" i="14"/>
  <c r="AE52" i="14"/>
  <c r="AG52" i="14"/>
  <c r="S52" i="14"/>
  <c r="AH52" i="14"/>
  <c r="K53" i="14"/>
  <c r="AF53" i="14" s="1"/>
  <c r="N53" i="14"/>
  <c r="P53" i="14" s="1"/>
  <c r="Q53" i="14" s="1"/>
  <c r="AD53" i="14"/>
  <c r="AE53" i="14"/>
  <c r="AG53" i="14"/>
  <c r="S53" i="14"/>
  <c r="AH53" i="14"/>
  <c r="K54" i="14"/>
  <c r="AF54" i="14" s="1"/>
  <c r="N54" i="14"/>
  <c r="P54" i="14" s="1"/>
  <c r="Q54" i="14" s="1"/>
  <c r="AD54" i="14"/>
  <c r="AE54" i="14"/>
  <c r="AG54" i="14"/>
  <c r="S54" i="14"/>
  <c r="AH54" i="14"/>
  <c r="K55" i="14"/>
  <c r="AF55" i="14" s="1"/>
  <c r="N55" i="14"/>
  <c r="P55" i="14" s="1"/>
  <c r="Q55" i="14" s="1"/>
  <c r="AD55" i="14"/>
  <c r="AE55" i="14"/>
  <c r="AG55" i="14"/>
  <c r="S55" i="14"/>
  <c r="AH55" i="14"/>
  <c r="K56" i="14"/>
  <c r="AF56" i="14" s="1"/>
  <c r="P56" i="14"/>
  <c r="Q56" i="14" s="1"/>
  <c r="AD56" i="14"/>
  <c r="AE56" i="14"/>
  <c r="AG56" i="14"/>
  <c r="S56" i="14"/>
  <c r="AH56" i="14"/>
  <c r="K57" i="14"/>
  <c r="AF57" i="14" s="1"/>
  <c r="N57" i="14"/>
  <c r="P57" i="14" s="1"/>
  <c r="AD57" i="14"/>
  <c r="AE57" i="14"/>
  <c r="AG57" i="14"/>
  <c r="S57" i="14"/>
  <c r="AH57" i="14"/>
  <c r="K58" i="14"/>
  <c r="AF58" i="14" s="1"/>
  <c r="N58" i="14"/>
  <c r="P58" i="14" s="1"/>
  <c r="AD58" i="14"/>
  <c r="AE58" i="14"/>
  <c r="AG58" i="14"/>
  <c r="S58" i="14"/>
  <c r="AH58" i="14"/>
  <c r="K59" i="14"/>
  <c r="AF59" i="14" s="1"/>
  <c r="P59" i="14"/>
  <c r="M13" i="24" s="1"/>
  <c r="AD59" i="14"/>
  <c r="AE59" i="14"/>
  <c r="AG59" i="14"/>
  <c r="S59" i="14"/>
  <c r="AH59" i="14"/>
  <c r="K60" i="14"/>
  <c r="AF60" i="14" s="1"/>
  <c r="P60" i="14"/>
  <c r="AD60" i="14"/>
  <c r="AE60" i="14"/>
  <c r="AG60" i="14"/>
  <c r="S60" i="14"/>
  <c r="AH60" i="14"/>
  <c r="K61" i="14"/>
  <c r="AF61" i="14" s="1"/>
  <c r="P61" i="14"/>
  <c r="Q61" i="14" s="1"/>
  <c r="AD61" i="14"/>
  <c r="AE61" i="14"/>
  <c r="AG61" i="14"/>
  <c r="S61" i="14"/>
  <c r="AH61" i="14"/>
  <c r="K62" i="14"/>
  <c r="AF62" i="14" s="1"/>
  <c r="P62" i="14"/>
  <c r="Q62" i="14" s="1"/>
  <c r="AD62" i="14"/>
  <c r="AE62" i="14"/>
  <c r="AG62" i="14"/>
  <c r="S62" i="14"/>
  <c r="AH62" i="14"/>
  <c r="K63" i="14"/>
  <c r="AF63" i="14" s="1"/>
  <c r="P63" i="14"/>
  <c r="Q63" i="14" s="1"/>
  <c r="AD63" i="14"/>
  <c r="AE63" i="14"/>
  <c r="AG63" i="14"/>
  <c r="S63" i="14"/>
  <c r="AH63" i="14"/>
  <c r="K64" i="14"/>
  <c r="AF64" i="14" s="1"/>
  <c r="N64" i="14"/>
  <c r="P64" i="14" s="1"/>
  <c r="AD64" i="14"/>
  <c r="AE64" i="14"/>
  <c r="AG64" i="14"/>
  <c r="S64" i="14"/>
  <c r="AH64" i="14"/>
  <c r="K65" i="14"/>
  <c r="AF65" i="14" s="1"/>
  <c r="N65" i="14"/>
  <c r="P65" i="14" s="1"/>
  <c r="Q65" i="14" s="1"/>
  <c r="AD65" i="14"/>
  <c r="AE65" i="14"/>
  <c r="AG65" i="14"/>
  <c r="S65" i="14"/>
  <c r="AH65" i="14"/>
  <c r="K66" i="14"/>
  <c r="AF66" i="14" s="1"/>
  <c r="N66" i="14"/>
  <c r="P66" i="14" s="1"/>
  <c r="AD66" i="14"/>
  <c r="AE66" i="14"/>
  <c r="AG66" i="14"/>
  <c r="S66" i="14"/>
  <c r="AH66" i="14"/>
  <c r="K67" i="14"/>
  <c r="AF67" i="14" s="1"/>
  <c r="N67" i="14"/>
  <c r="P67" i="14" s="1"/>
  <c r="M27" i="24" s="1"/>
  <c r="AD67" i="14"/>
  <c r="AE67" i="14"/>
  <c r="AG67" i="14"/>
  <c r="S67" i="14"/>
  <c r="AH67" i="14"/>
  <c r="K68" i="14"/>
  <c r="AF68" i="14" s="1"/>
  <c r="P68" i="14"/>
  <c r="Q68" i="14" s="1"/>
  <c r="AD68" i="14"/>
  <c r="AE68" i="14"/>
  <c r="AG68" i="14"/>
  <c r="S68" i="14"/>
  <c r="AH68" i="14"/>
  <c r="K69" i="14"/>
  <c r="AF69" i="14" s="1"/>
  <c r="P69" i="14"/>
  <c r="Q69" i="14" s="1"/>
  <c r="AD69" i="14"/>
  <c r="AE69" i="14"/>
  <c r="AG69" i="14"/>
  <c r="S69" i="14"/>
  <c r="AH69" i="14"/>
  <c r="K70" i="14"/>
  <c r="AF70" i="14" s="1"/>
  <c r="P70" i="14"/>
  <c r="Q70" i="14" s="1"/>
  <c r="AD70" i="14"/>
  <c r="AE70" i="14"/>
  <c r="AG70" i="14"/>
  <c r="S70" i="14"/>
  <c r="AH70" i="14"/>
  <c r="K71" i="14"/>
  <c r="AF71" i="14" s="1"/>
  <c r="N71" i="14"/>
  <c r="AD71" i="14"/>
  <c r="AE71" i="14"/>
  <c r="AG71" i="14"/>
  <c r="S71" i="14"/>
  <c r="AH71" i="14"/>
  <c r="K72" i="14"/>
  <c r="AF72" i="14" s="1"/>
  <c r="N72" i="14"/>
  <c r="AD72" i="14"/>
  <c r="AE72" i="14"/>
  <c r="AG72" i="14"/>
  <c r="S72" i="14"/>
  <c r="AH72" i="14"/>
  <c r="K73" i="14"/>
  <c r="AF73" i="14" s="1"/>
  <c r="N73" i="14"/>
  <c r="P73" i="14" s="1"/>
  <c r="AD73" i="14"/>
  <c r="AE73" i="14"/>
  <c r="AG73" i="14"/>
  <c r="S73" i="14"/>
  <c r="AH73" i="14"/>
  <c r="K74" i="14"/>
  <c r="AF74" i="14" s="1"/>
  <c r="P74" i="14"/>
  <c r="Q74" i="14" s="1"/>
  <c r="AD74" i="14"/>
  <c r="AE74" i="14"/>
  <c r="AG74" i="14"/>
  <c r="S74" i="14"/>
  <c r="AH74" i="14"/>
  <c r="K75" i="14"/>
  <c r="AF75" i="14" s="1"/>
  <c r="P75" i="14"/>
  <c r="AD75" i="14"/>
  <c r="AE75" i="14"/>
  <c r="AG75" i="14"/>
  <c r="S75" i="14"/>
  <c r="AH75" i="14"/>
  <c r="K76" i="14"/>
  <c r="AF76" i="14" s="1"/>
  <c r="N76" i="14"/>
  <c r="P76" i="14" s="1"/>
  <c r="Q76" i="14" s="1"/>
  <c r="AD76" i="14"/>
  <c r="AE76" i="14"/>
  <c r="AG76" i="14"/>
  <c r="S76" i="14"/>
  <c r="AH76" i="14"/>
  <c r="K77" i="14"/>
  <c r="AF77" i="14" s="1"/>
  <c r="N77" i="14"/>
  <c r="P77" i="14" s="1"/>
  <c r="Q77" i="14" s="1"/>
  <c r="AD77" i="14"/>
  <c r="AE77" i="14"/>
  <c r="AG77" i="14"/>
  <c r="S77" i="14"/>
  <c r="AH77" i="14"/>
  <c r="K78" i="14"/>
  <c r="AF78" i="14" s="1"/>
  <c r="N78" i="14"/>
  <c r="P78" i="14" s="1"/>
  <c r="AD78" i="14"/>
  <c r="AE78" i="14"/>
  <c r="AG78" i="14"/>
  <c r="S78" i="14"/>
  <c r="AH78" i="14"/>
  <c r="K79" i="14"/>
  <c r="AF79" i="14" s="1"/>
  <c r="P79" i="14"/>
  <c r="Q79" i="14" s="1"/>
  <c r="AD79" i="14"/>
  <c r="AE79" i="14"/>
  <c r="AG79" i="14"/>
  <c r="S79" i="14"/>
  <c r="AH79" i="14"/>
  <c r="K80" i="14"/>
  <c r="AF80" i="14" s="1"/>
  <c r="N80" i="14"/>
  <c r="AD80" i="14"/>
  <c r="AE80" i="14"/>
  <c r="AG80" i="14"/>
  <c r="S80" i="14"/>
  <c r="AH80" i="14"/>
  <c r="K81" i="14"/>
  <c r="AF81" i="14" s="1"/>
  <c r="N81" i="14"/>
  <c r="P81" i="14" s="1"/>
  <c r="AD81" i="14"/>
  <c r="AE81" i="14"/>
  <c r="AG81" i="14"/>
  <c r="S81" i="14"/>
  <c r="AH81" i="14"/>
  <c r="K82" i="14"/>
  <c r="AF82" i="14" s="1"/>
  <c r="P82" i="14"/>
  <c r="Q82" i="14" s="1"/>
  <c r="AD82" i="14"/>
  <c r="AE82" i="14"/>
  <c r="AG82" i="14"/>
  <c r="S82" i="14"/>
  <c r="AH82" i="14"/>
  <c r="K83" i="14"/>
  <c r="AF83" i="14" s="1"/>
  <c r="N83" i="14"/>
  <c r="P83" i="14" s="1"/>
  <c r="AD83" i="14"/>
  <c r="AE83" i="14"/>
  <c r="AG83" i="14"/>
  <c r="S83" i="14"/>
  <c r="AH83" i="14"/>
  <c r="K84" i="14"/>
  <c r="AF84" i="14" s="1"/>
  <c r="N84" i="14"/>
  <c r="P84" i="14" s="1"/>
  <c r="Q84" i="14" s="1"/>
  <c r="AD84" i="14"/>
  <c r="AE84" i="14"/>
  <c r="AG84" i="14"/>
  <c r="S84" i="14"/>
  <c r="AH84" i="14"/>
  <c r="K85" i="14"/>
  <c r="AF85" i="14" s="1"/>
  <c r="P85" i="14"/>
  <c r="Q85" i="14" s="1"/>
  <c r="AD85" i="14"/>
  <c r="AE85" i="14"/>
  <c r="AG85" i="14"/>
  <c r="S85" i="14"/>
  <c r="AH85" i="14"/>
  <c r="K86" i="14"/>
  <c r="AF86" i="14" s="1"/>
  <c r="P86" i="14"/>
  <c r="AD86" i="14"/>
  <c r="AE86" i="14"/>
  <c r="AG86" i="14"/>
  <c r="S86" i="14"/>
  <c r="AH86" i="14"/>
  <c r="K87" i="14"/>
  <c r="AF87" i="14" s="1"/>
  <c r="P87" i="14"/>
  <c r="AD87" i="14"/>
  <c r="AE87" i="14"/>
  <c r="AG87" i="14"/>
  <c r="S87" i="14"/>
  <c r="AH87" i="14"/>
  <c r="K88" i="14"/>
  <c r="AF88" i="14" s="1"/>
  <c r="P88" i="14"/>
  <c r="M60" i="24" s="1"/>
  <c r="N60" i="24" s="1"/>
  <c r="O60" i="24" s="1"/>
  <c r="P60" i="24" s="1"/>
  <c r="AD88" i="14"/>
  <c r="AE88" i="14"/>
  <c r="AG88" i="14"/>
  <c r="S88" i="14"/>
  <c r="AH88" i="14"/>
  <c r="K89" i="14"/>
  <c r="AF89" i="14" s="1"/>
  <c r="P89" i="14"/>
  <c r="Q89" i="14" s="1"/>
  <c r="AD89" i="14"/>
  <c r="AE89" i="14"/>
  <c r="AG89" i="14"/>
  <c r="S89" i="14"/>
  <c r="AH89" i="14"/>
  <c r="K90" i="14"/>
  <c r="AF90" i="14" s="1"/>
  <c r="P90" i="14"/>
  <c r="Q90" i="14" s="1"/>
  <c r="AD90" i="14"/>
  <c r="AE90" i="14"/>
  <c r="AG90" i="14"/>
  <c r="S90" i="14"/>
  <c r="AH90" i="14"/>
  <c r="K91" i="14"/>
  <c r="AF91" i="14" s="1"/>
  <c r="P91" i="14"/>
  <c r="Q91" i="14" s="1"/>
  <c r="AD91" i="14"/>
  <c r="AE91" i="14"/>
  <c r="AG91" i="14"/>
  <c r="S91" i="14"/>
  <c r="AH91" i="14"/>
  <c r="K92" i="14"/>
  <c r="AF92" i="14" s="1"/>
  <c r="P92" i="14"/>
  <c r="Q92" i="14" s="1"/>
  <c r="AD92" i="14"/>
  <c r="AE92" i="14"/>
  <c r="AG92" i="14"/>
  <c r="S92" i="14"/>
  <c r="AH92" i="14"/>
  <c r="K93" i="14"/>
  <c r="AF93" i="14" s="1"/>
  <c r="P93" i="14"/>
  <c r="Q93" i="14" s="1"/>
  <c r="AD93" i="14"/>
  <c r="AE93" i="14"/>
  <c r="AG93" i="14"/>
  <c r="S93" i="14"/>
  <c r="AH93" i="14"/>
  <c r="K94" i="14"/>
  <c r="AF94" i="14" s="1"/>
  <c r="P94" i="14"/>
  <c r="Q94" i="14" s="1"/>
  <c r="AD94" i="14"/>
  <c r="AE94" i="14"/>
  <c r="AG94" i="14"/>
  <c r="S94" i="14"/>
  <c r="AH94" i="14"/>
  <c r="K95" i="14"/>
  <c r="AF95" i="14" s="1"/>
  <c r="P95" i="14"/>
  <c r="Q95" i="14" s="1"/>
  <c r="AD95" i="14"/>
  <c r="AE95" i="14"/>
  <c r="AG95" i="14"/>
  <c r="S95" i="14"/>
  <c r="AH95" i="14"/>
  <c r="K100" i="14"/>
  <c r="AF100" i="14" s="1"/>
  <c r="P100" i="14"/>
  <c r="Q100" i="14" s="1"/>
  <c r="AD100" i="14"/>
  <c r="AE100" i="14"/>
  <c r="AG100" i="14"/>
  <c r="S100" i="14"/>
  <c r="AH100" i="14"/>
  <c r="K101" i="14"/>
  <c r="AF101" i="14" s="1"/>
  <c r="P101" i="14"/>
  <c r="M131" i="1" s="1"/>
  <c r="AD101" i="14"/>
  <c r="AE101" i="14"/>
  <c r="AG101" i="14"/>
  <c r="S101" i="14"/>
  <c r="AH101" i="14"/>
  <c r="K102" i="14"/>
  <c r="AF102" i="14" s="1"/>
  <c r="P102" i="14"/>
  <c r="Q102" i="14" s="1"/>
  <c r="AD102" i="14"/>
  <c r="AE102" i="14"/>
  <c r="AG102" i="14"/>
  <c r="S102" i="14"/>
  <c r="AH102" i="14"/>
  <c r="K103" i="14"/>
  <c r="AF103" i="14" s="1"/>
  <c r="P103" i="14"/>
  <c r="Q103" i="14" s="1"/>
  <c r="AD103" i="14"/>
  <c r="AE103" i="14"/>
  <c r="AG103" i="14"/>
  <c r="S103" i="14"/>
  <c r="AH103" i="14"/>
  <c r="K104" i="14"/>
  <c r="AF104" i="14" s="1"/>
  <c r="P104" i="14"/>
  <c r="Q104" i="14" s="1"/>
  <c r="AD104" i="14"/>
  <c r="AE104" i="14"/>
  <c r="AG104" i="14"/>
  <c r="S104" i="14"/>
  <c r="AH104" i="14"/>
  <c r="K105" i="14"/>
  <c r="AF105" i="14" s="1"/>
  <c r="P105" i="14"/>
  <c r="Q105" i="14" s="1"/>
  <c r="AD105" i="14"/>
  <c r="AE105" i="14"/>
  <c r="AG105" i="14"/>
  <c r="S105" i="14"/>
  <c r="AH105" i="14"/>
  <c r="K106" i="14"/>
  <c r="AF106" i="14" s="1"/>
  <c r="P106" i="14"/>
  <c r="Q106" i="14" s="1"/>
  <c r="AD106" i="14"/>
  <c r="AE106" i="14"/>
  <c r="AG106" i="14"/>
  <c r="S106" i="14"/>
  <c r="AH106" i="14"/>
  <c r="K107" i="14"/>
  <c r="AF107" i="14" s="1"/>
  <c r="P107" i="14"/>
  <c r="Q107" i="14" s="1"/>
  <c r="AD107" i="14"/>
  <c r="AE107" i="14"/>
  <c r="AG107" i="14"/>
  <c r="S107" i="14"/>
  <c r="AH107" i="14"/>
  <c r="K108" i="14"/>
  <c r="AF108" i="14" s="1"/>
  <c r="P108" i="14"/>
  <c r="Q108" i="14" s="1"/>
  <c r="AD108" i="14"/>
  <c r="AE108" i="14"/>
  <c r="AG108" i="14"/>
  <c r="S108" i="14"/>
  <c r="AH108" i="14"/>
  <c r="K109" i="14"/>
  <c r="AF109" i="14" s="1"/>
  <c r="P109" i="14"/>
  <c r="Q109" i="14" s="1"/>
  <c r="AD109" i="14"/>
  <c r="AE109" i="14"/>
  <c r="AG109" i="14"/>
  <c r="S109" i="14"/>
  <c r="AH109" i="14"/>
  <c r="K110" i="14"/>
  <c r="AF110" i="14" s="1"/>
  <c r="P110" i="14"/>
  <c r="Q110" i="14" s="1"/>
  <c r="AD110" i="14"/>
  <c r="AE110" i="14"/>
  <c r="AG110" i="14"/>
  <c r="S110" i="14"/>
  <c r="AH110" i="14"/>
  <c r="K111" i="14"/>
  <c r="AF111" i="14" s="1"/>
  <c r="P111" i="14"/>
  <c r="Q111" i="14" s="1"/>
  <c r="AD111" i="14"/>
  <c r="AE111" i="14"/>
  <c r="AG111" i="14"/>
  <c r="S111" i="14"/>
  <c r="AH111" i="14"/>
  <c r="K112" i="14"/>
  <c r="AF112" i="14" s="1"/>
  <c r="P112" i="14"/>
  <c r="Q112" i="14" s="1"/>
  <c r="AD112" i="14"/>
  <c r="AE112" i="14"/>
  <c r="AG112" i="14"/>
  <c r="S112" i="14"/>
  <c r="AH112" i="14"/>
  <c r="K113" i="14"/>
  <c r="AF113" i="14" s="1"/>
  <c r="P113" i="14"/>
  <c r="Q113" i="14" s="1"/>
  <c r="AD113" i="14"/>
  <c r="AE113" i="14"/>
  <c r="AG113" i="14"/>
  <c r="S113" i="14"/>
  <c r="AH113" i="14"/>
  <c r="K114" i="14"/>
  <c r="AF114" i="14" s="1"/>
  <c r="P114" i="14"/>
  <c r="Q114" i="14" s="1"/>
  <c r="AD114" i="14"/>
  <c r="AE114" i="14"/>
  <c r="AG114" i="14"/>
  <c r="S114" i="14"/>
  <c r="AH114" i="14"/>
  <c r="K115" i="14"/>
  <c r="AF115" i="14" s="1"/>
  <c r="AD115" i="14"/>
  <c r="AE115" i="14"/>
  <c r="AG115" i="14"/>
  <c r="S115" i="14"/>
  <c r="AH115" i="14"/>
  <c r="K116" i="14"/>
  <c r="AF116" i="14" s="1"/>
  <c r="P116" i="14"/>
  <c r="Q116" i="14" s="1"/>
  <c r="AD116" i="14"/>
  <c r="AE116" i="14"/>
  <c r="AG116" i="14"/>
  <c r="S116" i="14"/>
  <c r="AH116" i="14"/>
  <c r="K117" i="14"/>
  <c r="AF117" i="14" s="1"/>
  <c r="P117" i="14"/>
  <c r="Q117" i="14" s="1"/>
  <c r="AD117" i="14"/>
  <c r="AE117" i="14"/>
  <c r="AG117" i="14"/>
  <c r="S117" i="14"/>
  <c r="AH117" i="14"/>
  <c r="K118" i="14"/>
  <c r="AF118" i="14" s="1"/>
  <c r="P118" i="14"/>
  <c r="Q118" i="14" s="1"/>
  <c r="AD118" i="14"/>
  <c r="AE118" i="14"/>
  <c r="AG118" i="14"/>
  <c r="S118" i="14"/>
  <c r="AH118" i="14"/>
  <c r="W120" i="14"/>
  <c r="W124" i="14" s="1"/>
  <c r="K122" i="14"/>
  <c r="AF122" i="14" s="1"/>
  <c r="N122" i="14"/>
  <c r="P122" i="14" s="1"/>
  <c r="Q122" i="14" s="1"/>
  <c r="AD122" i="14"/>
  <c r="AE122" i="14"/>
  <c r="AG122" i="14"/>
  <c r="S122" i="14"/>
  <c r="AH122" i="14"/>
  <c r="K127" i="14"/>
  <c r="AF127" i="14" s="1"/>
  <c r="P127" i="14"/>
  <c r="AD127" i="14"/>
  <c r="AE127" i="14"/>
  <c r="AG127" i="14"/>
  <c r="S127" i="14"/>
  <c r="AH127" i="14"/>
  <c r="K128" i="14"/>
  <c r="AF128" i="14" s="1"/>
  <c r="P128" i="14"/>
  <c r="Q128" i="14" s="1"/>
  <c r="AD128" i="14"/>
  <c r="AE128" i="14"/>
  <c r="AG128" i="14"/>
  <c r="S128" i="14"/>
  <c r="AH128" i="14"/>
  <c r="K129" i="14"/>
  <c r="AF129" i="14" s="1"/>
  <c r="P129" i="14"/>
  <c r="Q129" i="14" s="1"/>
  <c r="AD129" i="14"/>
  <c r="AE129" i="14"/>
  <c r="AG129" i="14"/>
  <c r="S129" i="14"/>
  <c r="AH129" i="14"/>
  <c r="K130" i="14"/>
  <c r="AF130" i="14" s="1"/>
  <c r="P130" i="14"/>
  <c r="Q130" i="14" s="1"/>
  <c r="AD130" i="14"/>
  <c r="AE130" i="14"/>
  <c r="AG130" i="14"/>
  <c r="S130" i="14"/>
  <c r="AH130" i="14"/>
  <c r="K131" i="14"/>
  <c r="AF131" i="14" s="1"/>
  <c r="P131" i="14"/>
  <c r="Q131" i="14" s="1"/>
  <c r="AD131" i="14"/>
  <c r="AE131" i="14"/>
  <c r="AG131" i="14"/>
  <c r="S131" i="14"/>
  <c r="AH131" i="14"/>
  <c r="K132" i="14"/>
  <c r="AF132" i="14" s="1"/>
  <c r="P132" i="14"/>
  <c r="Q132" i="14" s="1"/>
  <c r="AD132" i="14"/>
  <c r="AE132" i="14"/>
  <c r="AG132" i="14"/>
  <c r="S132" i="14"/>
  <c r="AH132" i="14"/>
  <c r="K133" i="14"/>
  <c r="AF133" i="14" s="1"/>
  <c r="P133" i="14"/>
  <c r="Q133" i="14" s="1"/>
  <c r="AD133" i="14"/>
  <c r="AE133" i="14"/>
  <c r="AG133" i="14"/>
  <c r="S133" i="14"/>
  <c r="AH133" i="14"/>
  <c r="K134" i="14"/>
  <c r="AF134" i="14" s="1"/>
  <c r="AD134" i="14"/>
  <c r="AE134" i="14"/>
  <c r="AG134" i="14"/>
  <c r="S134" i="14"/>
  <c r="AH134" i="14"/>
  <c r="W136" i="14"/>
  <c r="K139" i="14"/>
  <c r="AF139" i="14" s="1"/>
  <c r="P139" i="14"/>
  <c r="Q139" i="14" s="1"/>
  <c r="AD139" i="14"/>
  <c r="AE139" i="14"/>
  <c r="AG139" i="14"/>
  <c r="S139" i="14"/>
  <c r="AH139" i="14"/>
  <c r="K140" i="14"/>
  <c r="AF140" i="14" s="1"/>
  <c r="P140" i="14"/>
  <c r="Q140" i="14" s="1"/>
  <c r="AD140" i="14"/>
  <c r="AE140" i="14"/>
  <c r="AG140" i="14"/>
  <c r="S140" i="14"/>
  <c r="AH140" i="14"/>
  <c r="K141" i="14"/>
  <c r="AF141" i="14" s="1"/>
  <c r="N141" i="14"/>
  <c r="AD141" i="14"/>
  <c r="AE141" i="14"/>
  <c r="AG141" i="14"/>
  <c r="S141" i="14"/>
  <c r="AH141" i="14"/>
  <c r="K142" i="14"/>
  <c r="AF142" i="14" s="1"/>
  <c r="P142" i="14"/>
  <c r="Q142" i="14" s="1"/>
  <c r="AD142" i="14"/>
  <c r="AE142" i="14"/>
  <c r="AG142" i="14"/>
  <c r="S142" i="14"/>
  <c r="AH142" i="14"/>
  <c r="K143" i="14"/>
  <c r="AF143" i="14" s="1"/>
  <c r="P143" i="14"/>
  <c r="Q143" i="14" s="1"/>
  <c r="AD143" i="14"/>
  <c r="AE143" i="14"/>
  <c r="AG143" i="14"/>
  <c r="S143" i="14"/>
  <c r="AH143" i="14"/>
  <c r="K144" i="14"/>
  <c r="AF144" i="14" s="1"/>
  <c r="P144" i="14"/>
  <c r="Q144" i="14" s="1"/>
  <c r="AD144" i="14"/>
  <c r="AE144" i="14"/>
  <c r="AG144" i="14"/>
  <c r="S144" i="14"/>
  <c r="AH144" i="14"/>
  <c r="K145" i="14"/>
  <c r="AF145" i="14" s="1"/>
  <c r="P145" i="14"/>
  <c r="Q145" i="14" s="1"/>
  <c r="AD145" i="14"/>
  <c r="AE145" i="14"/>
  <c r="AG145" i="14"/>
  <c r="S145" i="14"/>
  <c r="AH145" i="14"/>
  <c r="K146" i="14"/>
  <c r="AF146" i="14" s="1"/>
  <c r="P146" i="14"/>
  <c r="Q146" i="14" s="1"/>
  <c r="AD146" i="14"/>
  <c r="AE146" i="14"/>
  <c r="AG146" i="14"/>
  <c r="S146" i="14"/>
  <c r="AH146" i="14"/>
  <c r="K147" i="14"/>
  <c r="AF147" i="14" s="1"/>
  <c r="N147" i="14"/>
  <c r="P147" i="14" s="1"/>
  <c r="AD147" i="14"/>
  <c r="AE147" i="14"/>
  <c r="AG147" i="14"/>
  <c r="S147" i="14"/>
  <c r="AH147" i="14"/>
  <c r="K148" i="14"/>
  <c r="AF148" i="14" s="1"/>
  <c r="P148" i="14"/>
  <c r="Q148" i="14" s="1"/>
  <c r="AD148" i="14"/>
  <c r="AE148" i="14"/>
  <c r="AG148" i="14"/>
  <c r="S148" i="14"/>
  <c r="AH148" i="14"/>
  <c r="K149" i="14"/>
  <c r="AF149" i="14" s="1"/>
  <c r="P149" i="14"/>
  <c r="Q149" i="14" s="1"/>
  <c r="AD149" i="14"/>
  <c r="AE149" i="14"/>
  <c r="AG149" i="14"/>
  <c r="S149" i="14"/>
  <c r="AH149" i="14"/>
  <c r="K150" i="14"/>
  <c r="AF150" i="14" s="1"/>
  <c r="P150" i="14"/>
  <c r="Q150" i="14" s="1"/>
  <c r="AD150" i="14"/>
  <c r="AE150" i="14"/>
  <c r="AG150" i="14"/>
  <c r="S150" i="14"/>
  <c r="AH150" i="14"/>
  <c r="K151" i="14"/>
  <c r="AF151" i="14" s="1"/>
  <c r="P151" i="14"/>
  <c r="Q151" i="14" s="1"/>
  <c r="AD151" i="14"/>
  <c r="AE151" i="14"/>
  <c r="AG151" i="14"/>
  <c r="S151" i="14"/>
  <c r="AH151" i="14"/>
  <c r="K152" i="14"/>
  <c r="AF152" i="14" s="1"/>
  <c r="AD152" i="14"/>
  <c r="AE152" i="14"/>
  <c r="AG152" i="14"/>
  <c r="S152" i="14"/>
  <c r="AH152" i="14"/>
  <c r="K158" i="14"/>
  <c r="AF158" i="14" s="1"/>
  <c r="N158" i="14"/>
  <c r="P158" i="14" s="1"/>
  <c r="Q158" i="14" s="1"/>
  <c r="AD158" i="14"/>
  <c r="AE158" i="14"/>
  <c r="AG158" i="14"/>
  <c r="S158" i="14"/>
  <c r="AH158" i="14"/>
  <c r="K159" i="14"/>
  <c r="AF159" i="14" s="1"/>
  <c r="N159" i="14"/>
  <c r="P159" i="14" s="1"/>
  <c r="Q159" i="14" s="1"/>
  <c r="AD159" i="14"/>
  <c r="AE159" i="14"/>
  <c r="AG159" i="14"/>
  <c r="S159" i="14"/>
  <c r="AH159" i="14"/>
  <c r="K160" i="14"/>
  <c r="AF160" i="14" s="1"/>
  <c r="N160" i="14"/>
  <c r="P160" i="14" s="1"/>
  <c r="Q160" i="14" s="1"/>
  <c r="AD160" i="14"/>
  <c r="AE160" i="14"/>
  <c r="AG160" i="14"/>
  <c r="S160" i="14"/>
  <c r="AH160" i="14"/>
  <c r="K161" i="14"/>
  <c r="AF161" i="14" s="1"/>
  <c r="N161" i="14"/>
  <c r="P161" i="14" s="1"/>
  <c r="Q161" i="14" s="1"/>
  <c r="AD161" i="14"/>
  <c r="AE161" i="14"/>
  <c r="AG161" i="14"/>
  <c r="S161" i="14"/>
  <c r="AH161" i="14"/>
  <c r="K162" i="14"/>
  <c r="AF162" i="14" s="1"/>
  <c r="P162" i="14"/>
  <c r="Q162" i="14" s="1"/>
  <c r="AD162" i="14"/>
  <c r="AE162" i="14"/>
  <c r="AG162" i="14"/>
  <c r="S162" i="14"/>
  <c r="AH162" i="14"/>
  <c r="K163" i="14"/>
  <c r="AF163" i="14" s="1"/>
  <c r="AD163" i="14"/>
  <c r="AE163" i="14"/>
  <c r="AG163" i="14"/>
  <c r="S163" i="14"/>
  <c r="AH163" i="14"/>
  <c r="K164" i="14"/>
  <c r="AF164" i="14" s="1"/>
  <c r="P164" i="14"/>
  <c r="Q164" i="14" s="1"/>
  <c r="AD164" i="14"/>
  <c r="AE164" i="14"/>
  <c r="AG164" i="14"/>
  <c r="S164" i="14"/>
  <c r="AH164" i="14"/>
  <c r="K165" i="14"/>
  <c r="AF165" i="14" s="1"/>
  <c r="P165" i="14"/>
  <c r="Q165" i="14" s="1"/>
  <c r="AD165" i="14"/>
  <c r="AE165" i="14"/>
  <c r="AG165" i="14"/>
  <c r="S165" i="14"/>
  <c r="AH165" i="14"/>
  <c r="W167" i="14"/>
  <c r="K170" i="14"/>
  <c r="AF170" i="14" s="1"/>
  <c r="P170" i="14"/>
  <c r="AD170" i="14"/>
  <c r="AE170" i="14"/>
  <c r="AG170" i="14"/>
  <c r="S170" i="14"/>
  <c r="AH170" i="14"/>
  <c r="K171" i="14"/>
  <c r="AF171" i="14" s="1"/>
  <c r="P171" i="14"/>
  <c r="Q171" i="14" s="1"/>
  <c r="AD171" i="14"/>
  <c r="AE171" i="14"/>
  <c r="AG171" i="14"/>
  <c r="S171" i="14"/>
  <c r="AH171" i="14"/>
  <c r="K172" i="14"/>
  <c r="AF172" i="14" s="1"/>
  <c r="AD172" i="14"/>
  <c r="AE172" i="14"/>
  <c r="AG172" i="14"/>
  <c r="S172" i="14"/>
  <c r="AH172" i="14"/>
  <c r="W173" i="14"/>
  <c r="K1" i="24"/>
  <c r="K3" i="24"/>
  <c r="L3" i="24" s="1"/>
  <c r="K5" i="24"/>
  <c r="K7" i="24"/>
  <c r="L7" i="24" s="1"/>
  <c r="K9" i="24"/>
  <c r="J10" i="24" s="1"/>
  <c r="K10" i="24" s="1"/>
  <c r="L10" i="24" s="1"/>
  <c r="K11" i="24"/>
  <c r="K13" i="24"/>
  <c r="K15" i="24"/>
  <c r="L15" i="24" s="1"/>
  <c r="K17" i="24"/>
  <c r="K19" i="24"/>
  <c r="K21" i="24"/>
  <c r="K23" i="24"/>
  <c r="J24" i="24" s="1"/>
  <c r="K24" i="24" s="1"/>
  <c r="L24" i="24" s="1"/>
  <c r="K25" i="24"/>
  <c r="K27" i="24"/>
  <c r="K29" i="24"/>
  <c r="K31" i="24"/>
  <c r="K33" i="24"/>
  <c r="L33" i="24" s="1"/>
  <c r="K35" i="24"/>
  <c r="L35" i="24" s="1"/>
  <c r="K37" i="24"/>
  <c r="K39" i="24"/>
  <c r="L39" i="24" s="1"/>
  <c r="N39" i="24"/>
  <c r="O39" i="24" s="1"/>
  <c r="P39" i="24" s="1"/>
  <c r="K40" i="24"/>
  <c r="L40" i="24" s="1"/>
  <c r="N40" i="24"/>
  <c r="O40" i="24" s="1"/>
  <c r="P40" i="24" s="1"/>
  <c r="K41" i="24"/>
  <c r="L41" i="24" s="1"/>
  <c r="N41" i="24"/>
  <c r="O41" i="24" s="1"/>
  <c r="P41" i="24" s="1"/>
  <c r="K42" i="24"/>
  <c r="L42" i="24" s="1"/>
  <c r="N42" i="24"/>
  <c r="O42" i="24" s="1"/>
  <c r="P42" i="24" s="1"/>
  <c r="K43" i="24"/>
  <c r="L43" i="24" s="1"/>
  <c r="N43" i="24"/>
  <c r="O43" i="24" s="1"/>
  <c r="P43" i="24" s="1"/>
  <c r="K44" i="24"/>
  <c r="L44" i="24" s="1"/>
  <c r="N44" i="24"/>
  <c r="O44" i="24" s="1"/>
  <c r="P44" i="24" s="1"/>
  <c r="K45" i="24"/>
  <c r="L45" i="24" s="1"/>
  <c r="K47" i="24"/>
  <c r="J48" i="24" s="1"/>
  <c r="K48" i="24" s="1"/>
  <c r="L48" i="24" s="1"/>
  <c r="K49" i="24"/>
  <c r="L49" i="24" s="1"/>
  <c r="M49" i="24"/>
  <c r="K50" i="24"/>
  <c r="L50" i="24" s="1"/>
  <c r="N50" i="24"/>
  <c r="O50" i="24" s="1"/>
  <c r="P50" i="24" s="1"/>
  <c r="K51" i="24"/>
  <c r="J52" i="24" s="1"/>
  <c r="K52" i="24" s="1"/>
  <c r="L52" i="24" s="1"/>
  <c r="K53" i="24"/>
  <c r="L53" i="24" s="1"/>
  <c r="M53" i="24"/>
  <c r="N53" i="24" s="1"/>
  <c r="O53" i="24" s="1"/>
  <c r="P53" i="24" s="1"/>
  <c r="K54" i="24"/>
  <c r="L54" i="24" s="1"/>
  <c r="N54" i="24"/>
  <c r="O54" i="24" s="1"/>
  <c r="P54" i="24" s="1"/>
  <c r="K55" i="24"/>
  <c r="L55" i="24" s="1"/>
  <c r="N55" i="24"/>
  <c r="O55" i="24" s="1"/>
  <c r="P55" i="24" s="1"/>
  <c r="K56" i="24"/>
  <c r="K58" i="24"/>
  <c r="K60" i="24"/>
  <c r="L60" i="24" s="1"/>
  <c r="K62" i="24"/>
  <c r="L62" i="24" s="1"/>
  <c r="N62" i="24"/>
  <c r="O62" i="24" s="1"/>
  <c r="P62" i="24" s="1"/>
  <c r="K63" i="24"/>
  <c r="L63" i="24" s="1"/>
  <c r="N63" i="24"/>
  <c r="O63" i="24" s="1"/>
  <c r="P63" i="24" s="1"/>
  <c r="K64" i="24"/>
  <c r="L64" i="24" s="1"/>
  <c r="N64" i="24"/>
  <c r="O64" i="24" s="1"/>
  <c r="P64" i="24" s="1"/>
  <c r="K65" i="24"/>
  <c r="L65" i="24" s="1"/>
  <c r="N65" i="24"/>
  <c r="O65" i="24" s="1"/>
  <c r="P65" i="24" s="1"/>
  <c r="K66" i="24"/>
  <c r="L66" i="24" s="1"/>
  <c r="N66" i="24"/>
  <c r="O66" i="24" s="1"/>
  <c r="P66" i="24" s="1"/>
  <c r="K67" i="24"/>
  <c r="L67" i="24" s="1"/>
  <c r="N67" i="24"/>
  <c r="O67" i="24" s="1"/>
  <c r="P67" i="24" s="1"/>
  <c r="K68" i="24"/>
  <c r="L68" i="24" s="1"/>
  <c r="M68" i="24"/>
  <c r="K69" i="24"/>
  <c r="L69" i="24" s="1"/>
  <c r="N69" i="24"/>
  <c r="O69" i="24" s="1"/>
  <c r="P69" i="24" s="1"/>
  <c r="K70" i="24"/>
  <c r="L70" i="24" s="1"/>
  <c r="N70" i="24"/>
  <c r="O70" i="24" s="1"/>
  <c r="P70" i="24" s="1"/>
  <c r="K71" i="24"/>
  <c r="L71" i="24" s="1"/>
  <c r="N71" i="24"/>
  <c r="O71" i="24" s="1"/>
  <c r="P71" i="24" s="1"/>
  <c r="K72" i="24"/>
  <c r="L72" i="24" s="1"/>
  <c r="N72" i="24"/>
  <c r="O72" i="24" s="1"/>
  <c r="P72" i="24" s="1"/>
  <c r="K73" i="24"/>
  <c r="L73" i="24" s="1"/>
  <c r="N73" i="24"/>
  <c r="O73" i="24" s="1"/>
  <c r="P73" i="24" s="1"/>
  <c r="K74" i="24"/>
  <c r="L74" i="24" s="1"/>
  <c r="N74" i="24"/>
  <c r="O74" i="24" s="1"/>
  <c r="P74" i="24" s="1"/>
  <c r="K75" i="24"/>
  <c r="L75" i="24" s="1"/>
  <c r="N75" i="24"/>
  <c r="O75" i="24" s="1"/>
  <c r="P75" i="24" s="1"/>
  <c r="K76" i="24"/>
  <c r="L76" i="24" s="1"/>
  <c r="N76" i="24"/>
  <c r="O76" i="24" s="1"/>
  <c r="P76" i="24" s="1"/>
  <c r="K77" i="24"/>
  <c r="L77" i="24" s="1"/>
  <c r="N77" i="24"/>
  <c r="O77" i="24" s="1"/>
  <c r="P77" i="24" s="1"/>
  <c r="K78" i="24"/>
  <c r="L78" i="24" s="1"/>
  <c r="N78" i="24"/>
  <c r="O78" i="24" s="1"/>
  <c r="P78" i="24" s="1"/>
  <c r="K79" i="24"/>
  <c r="L79" i="24" s="1"/>
  <c r="N79" i="24"/>
  <c r="O79" i="24" s="1"/>
  <c r="P79" i="24" s="1"/>
  <c r="K80" i="24"/>
  <c r="L80" i="24" s="1"/>
  <c r="N80" i="24"/>
  <c r="O80" i="24" s="1"/>
  <c r="P80" i="24" s="1"/>
  <c r="K81" i="24"/>
  <c r="L81" i="24" s="1"/>
  <c r="N81" i="24"/>
  <c r="O81" i="24" s="1"/>
  <c r="P81" i="24" s="1"/>
  <c r="K82" i="24"/>
  <c r="L82" i="24" s="1"/>
  <c r="N82" i="24"/>
  <c r="O82" i="24" s="1"/>
  <c r="P82" i="24" s="1"/>
  <c r="K83" i="24"/>
  <c r="L83" i="24" s="1"/>
  <c r="N83" i="24"/>
  <c r="O83" i="24" s="1"/>
  <c r="P83" i="24" s="1"/>
  <c r="K84" i="24"/>
  <c r="L84" i="24" s="1"/>
  <c r="N84" i="24"/>
  <c r="O84" i="24" s="1"/>
  <c r="P84" i="24" s="1"/>
  <c r="K85" i="24"/>
  <c r="L85" i="24" s="1"/>
  <c r="N85" i="24"/>
  <c r="O85" i="24" s="1"/>
  <c r="P85" i="24" s="1"/>
  <c r="K86" i="24"/>
  <c r="L86" i="24" s="1"/>
  <c r="N86" i="24"/>
  <c r="O86" i="24" s="1"/>
  <c r="P86" i="24" s="1"/>
  <c r="K87" i="24"/>
  <c r="L87" i="24" s="1"/>
  <c r="N87" i="24"/>
  <c r="O87" i="24" s="1"/>
  <c r="P87" i="24" s="1"/>
  <c r="K88" i="24"/>
  <c r="L88" i="24" s="1"/>
  <c r="N88" i="24"/>
  <c r="O88" i="24" s="1"/>
  <c r="P88" i="24" s="1"/>
  <c r="K89" i="24"/>
  <c r="L89" i="24" s="1"/>
  <c r="N89" i="24"/>
  <c r="O89" i="24" s="1"/>
  <c r="P89" i="24" s="1"/>
  <c r="K90" i="24"/>
  <c r="L90" i="24" s="1"/>
  <c r="N90" i="24"/>
  <c r="O90" i="24" s="1"/>
  <c r="P90" i="24" s="1"/>
  <c r="K91" i="24"/>
  <c r="L91" i="24" s="1"/>
  <c r="N91" i="24"/>
  <c r="O91" i="24" s="1"/>
  <c r="P91" i="24" s="1"/>
  <c r="K92" i="24"/>
  <c r="L92" i="24" s="1"/>
  <c r="N92" i="24"/>
  <c r="O92" i="24" s="1"/>
  <c r="P92" i="24" s="1"/>
  <c r="K93" i="24"/>
  <c r="L93" i="24" s="1"/>
  <c r="N93" i="24"/>
  <c r="O93" i="24" s="1"/>
  <c r="P93" i="24" s="1"/>
  <c r="K94" i="24"/>
  <c r="L94" i="24" s="1"/>
  <c r="N94" i="24"/>
  <c r="O94" i="24" s="1"/>
  <c r="P94" i="24" s="1"/>
  <c r="K95" i="24"/>
  <c r="L95" i="24" s="1"/>
  <c r="N95" i="24"/>
  <c r="O95" i="24" s="1"/>
  <c r="P95" i="24" s="1"/>
  <c r="K96" i="24"/>
  <c r="L96" i="24" s="1"/>
  <c r="N96" i="24"/>
  <c r="O96" i="24" s="1"/>
  <c r="P96" i="24" s="1"/>
  <c r="K97" i="24"/>
  <c r="L97" i="24" s="1"/>
  <c r="N97" i="24"/>
  <c r="O97" i="24" s="1"/>
  <c r="P97" i="24" s="1"/>
  <c r="K98" i="24"/>
  <c r="L98" i="24" s="1"/>
  <c r="N98" i="24"/>
  <c r="O98" i="24" s="1"/>
  <c r="P98" i="24" s="1"/>
  <c r="K99" i="24"/>
  <c r="L99" i="24" s="1"/>
  <c r="N99" i="24"/>
  <c r="O99" i="24" s="1"/>
  <c r="P99" i="24" s="1"/>
  <c r="K100" i="24"/>
  <c r="L100" i="24" s="1"/>
  <c r="N100" i="24"/>
  <c r="O100" i="24" s="1"/>
  <c r="P100" i="24" s="1"/>
  <c r="K101" i="24"/>
  <c r="L101" i="24" s="1"/>
  <c r="N101" i="24"/>
  <c r="O101" i="24" s="1"/>
  <c r="P101" i="24" s="1"/>
  <c r="K102" i="24"/>
  <c r="L102" i="24" s="1"/>
  <c r="N102" i="24"/>
  <c r="O102" i="24" s="1"/>
  <c r="P102" i="24" s="1"/>
  <c r="K103" i="24"/>
  <c r="L103" i="24" s="1"/>
  <c r="N103" i="24"/>
  <c r="O103" i="24" s="1"/>
  <c r="P103" i="24" s="1"/>
  <c r="K104" i="24"/>
  <c r="L104" i="24" s="1"/>
  <c r="N104" i="24"/>
  <c r="O104" i="24" s="1"/>
  <c r="P104" i="24" s="1"/>
  <c r="K105" i="24"/>
  <c r="L105" i="24" s="1"/>
  <c r="N105" i="24"/>
  <c r="O105" i="24" s="1"/>
  <c r="P105" i="24" s="1"/>
  <c r="K106" i="24"/>
  <c r="L106" i="24" s="1"/>
  <c r="N106" i="24"/>
  <c r="O106" i="24" s="1"/>
  <c r="P106" i="24" s="1"/>
  <c r="K107" i="24"/>
  <c r="L107" i="24" s="1"/>
  <c r="N107" i="24"/>
  <c r="O107" i="24" s="1"/>
  <c r="P107" i="24" s="1"/>
  <c r="K109" i="24"/>
  <c r="L109" i="24" s="1"/>
  <c r="N109" i="24"/>
  <c r="O109" i="24" s="1"/>
  <c r="P109" i="24" s="1"/>
  <c r="K110" i="24"/>
  <c r="L110" i="24" s="1"/>
  <c r="N110" i="24"/>
  <c r="O110" i="24" s="1"/>
  <c r="P110" i="24" s="1"/>
  <c r="K111" i="24"/>
  <c r="L111" i="24" s="1"/>
  <c r="N111" i="24"/>
  <c r="O111" i="24" s="1"/>
  <c r="P111" i="24" s="1"/>
  <c r="K112" i="24"/>
  <c r="L112" i="24" s="1"/>
  <c r="N112" i="24"/>
  <c r="O112" i="24" s="1"/>
  <c r="P112" i="24" s="1"/>
  <c r="K113" i="24"/>
  <c r="L113" i="24" s="1"/>
  <c r="N113" i="24"/>
  <c r="O113" i="24" s="1"/>
  <c r="P113" i="24" s="1"/>
  <c r="K114" i="24"/>
  <c r="L114" i="24" s="1"/>
  <c r="N114" i="24"/>
  <c r="O114" i="24" s="1"/>
  <c r="P114" i="24" s="1"/>
  <c r="K115" i="24"/>
  <c r="L115" i="24" s="1"/>
  <c r="N115" i="24"/>
  <c r="O115" i="24" s="1"/>
  <c r="P115" i="24" s="1"/>
  <c r="K116" i="24"/>
  <c r="L116" i="24" s="1"/>
  <c r="N116" i="24"/>
  <c r="O116" i="24" s="1"/>
  <c r="P116" i="24" s="1"/>
  <c r="K117" i="24"/>
  <c r="L117" i="24" s="1"/>
  <c r="N117" i="24"/>
  <c r="O117" i="24" s="1"/>
  <c r="P117" i="24" s="1"/>
  <c r="K118" i="24"/>
  <c r="L118" i="24" s="1"/>
  <c r="N118" i="24"/>
  <c r="O118" i="24" s="1"/>
  <c r="P118" i="24" s="1"/>
  <c r="K119" i="24"/>
  <c r="L119" i="24" s="1"/>
  <c r="N119" i="24"/>
  <c r="O119" i="24" s="1"/>
  <c r="P119" i="24" s="1"/>
  <c r="K120" i="24"/>
  <c r="L120" i="24" s="1"/>
  <c r="N120" i="24"/>
  <c r="O120" i="24" s="1"/>
  <c r="P120" i="24" s="1"/>
  <c r="K121" i="24"/>
  <c r="L121" i="24" s="1"/>
  <c r="N121" i="24"/>
  <c r="O121" i="24" s="1"/>
  <c r="P121" i="24" s="1"/>
  <c r="K122" i="24"/>
  <c r="L122" i="24" s="1"/>
  <c r="N122" i="24"/>
  <c r="O122" i="24" s="1"/>
  <c r="P122" i="24" s="1"/>
  <c r="K123" i="24"/>
  <c r="L123" i="24" s="1"/>
  <c r="N123" i="24"/>
  <c r="O123" i="24" s="1"/>
  <c r="P123" i="24" s="1"/>
  <c r="K124" i="24"/>
  <c r="L124" i="24" s="1"/>
  <c r="N124" i="24"/>
  <c r="O124" i="24" s="1"/>
  <c r="P124" i="24" s="1"/>
  <c r="K125" i="24"/>
  <c r="L125" i="24" s="1"/>
  <c r="N125" i="24"/>
  <c r="O125" i="24" s="1"/>
  <c r="P125" i="24" s="1"/>
  <c r="K126" i="24"/>
  <c r="L126" i="24" s="1"/>
  <c r="N126" i="24"/>
  <c r="O126" i="24" s="1"/>
  <c r="P126" i="24" s="1"/>
  <c r="K127" i="24"/>
  <c r="L127" i="24" s="1"/>
  <c r="N127" i="24"/>
  <c r="O127" i="24" s="1"/>
  <c r="P127" i="24" s="1"/>
  <c r="K128" i="24"/>
  <c r="L128" i="24" s="1"/>
  <c r="N128" i="24"/>
  <c r="O128" i="24" s="1"/>
  <c r="P128" i="24" s="1"/>
  <c r="K129" i="24"/>
  <c r="L129" i="24" s="1"/>
  <c r="N129" i="24"/>
  <c r="O129" i="24" s="1"/>
  <c r="P129" i="24" s="1"/>
  <c r="K130" i="24"/>
  <c r="L130" i="24" s="1"/>
  <c r="N130" i="24"/>
  <c r="O130" i="24" s="1"/>
  <c r="P130" i="24" s="1"/>
  <c r="K131" i="24"/>
  <c r="L131" i="24" s="1"/>
  <c r="N131" i="24"/>
  <c r="O131" i="24" s="1"/>
  <c r="P131" i="24" s="1"/>
  <c r="K132" i="24"/>
  <c r="L132" i="24" s="1"/>
  <c r="N132" i="24"/>
  <c r="O132" i="24" s="1"/>
  <c r="P132" i="24" s="1"/>
  <c r="K133" i="24"/>
  <c r="L133" i="24" s="1"/>
  <c r="N133" i="24"/>
  <c r="O133" i="24" s="1"/>
  <c r="P133" i="24" s="1"/>
  <c r="K134" i="24"/>
  <c r="L134" i="24" s="1"/>
  <c r="N134" i="24"/>
  <c r="O134" i="24" s="1"/>
  <c r="P134" i="24" s="1"/>
  <c r="K135" i="24"/>
  <c r="L135" i="24" s="1"/>
  <c r="N135" i="24"/>
  <c r="O135" i="24" s="1"/>
  <c r="P135" i="24" s="1"/>
  <c r="K136" i="24"/>
  <c r="L136" i="24" s="1"/>
  <c r="N136" i="24"/>
  <c r="O136" i="24" s="1"/>
  <c r="P136" i="24" s="1"/>
  <c r="K137" i="24"/>
  <c r="L137" i="24" s="1"/>
  <c r="N137" i="24"/>
  <c r="O137" i="24" s="1"/>
  <c r="P137" i="24" s="1"/>
  <c r="K138" i="24"/>
  <c r="L138" i="24" s="1"/>
  <c r="N138" i="24"/>
  <c r="O138" i="24" s="1"/>
  <c r="P138" i="24" s="1"/>
  <c r="K139" i="24"/>
  <c r="L139" i="24" s="1"/>
  <c r="N139" i="24"/>
  <c r="O139" i="24" s="1"/>
  <c r="P139" i="24" s="1"/>
  <c r="K140" i="24"/>
  <c r="L140" i="24" s="1"/>
  <c r="N140" i="24"/>
  <c r="O140" i="24" s="1"/>
  <c r="P140" i="24" s="1"/>
  <c r="K141" i="24"/>
  <c r="L141" i="24" s="1"/>
  <c r="N141" i="24"/>
  <c r="O141" i="24" s="1"/>
  <c r="P141" i="24" s="1"/>
  <c r="K142" i="24"/>
  <c r="L142" i="24" s="1"/>
  <c r="N142" i="24"/>
  <c r="O142" i="24" s="1"/>
  <c r="P142" i="24" s="1"/>
  <c r="K143" i="24"/>
  <c r="L143" i="24" s="1"/>
  <c r="N143" i="24"/>
  <c r="O143" i="24" s="1"/>
  <c r="P143" i="24" s="1"/>
  <c r="K144" i="24"/>
  <c r="L144" i="24" s="1"/>
  <c r="N144" i="24"/>
  <c r="O144" i="24" s="1"/>
  <c r="P144" i="24" s="1"/>
  <c r="K145" i="24"/>
  <c r="L145" i="24" s="1"/>
  <c r="N145" i="24"/>
  <c r="O145" i="24" s="1"/>
  <c r="P145" i="24" s="1"/>
  <c r="K146" i="24"/>
  <c r="L146" i="24" s="1"/>
  <c r="N146" i="24"/>
  <c r="O146" i="24" s="1"/>
  <c r="P146" i="24" s="1"/>
  <c r="K147" i="24"/>
  <c r="L147" i="24" s="1"/>
  <c r="N147" i="24"/>
  <c r="O147" i="24" s="1"/>
  <c r="P147" i="24" s="1"/>
  <c r="K148" i="24"/>
  <c r="L148" i="24" s="1"/>
  <c r="N148" i="24"/>
  <c r="O148" i="24" s="1"/>
  <c r="P148" i="24" s="1"/>
  <c r="K149" i="24"/>
  <c r="L149" i="24" s="1"/>
  <c r="N149" i="24"/>
  <c r="O149" i="24" s="1"/>
  <c r="P149" i="24" s="1"/>
  <c r="K150" i="24"/>
  <c r="L150" i="24" s="1"/>
  <c r="N150" i="24"/>
  <c r="O150" i="24" s="1"/>
  <c r="P150" i="24" s="1"/>
  <c r="K151" i="24"/>
  <c r="L151" i="24" s="1"/>
  <c r="N151" i="24"/>
  <c r="O151" i="24" s="1"/>
  <c r="P151" i="24" s="1"/>
  <c r="K152" i="24"/>
  <c r="L152" i="24" s="1"/>
  <c r="N152" i="24"/>
  <c r="O152" i="24" s="1"/>
  <c r="P152" i="24" s="1"/>
  <c r="K153" i="24"/>
  <c r="L153" i="24" s="1"/>
  <c r="N153" i="24"/>
  <c r="O153" i="24" s="1"/>
  <c r="P153" i="24" s="1"/>
  <c r="K154" i="24"/>
  <c r="L154" i="24" s="1"/>
  <c r="N154" i="24"/>
  <c r="O154" i="24" s="1"/>
  <c r="P154" i="24" s="1"/>
  <c r="H158" i="24"/>
  <c r="H159" i="24"/>
  <c r="E3" i="4"/>
  <c r="T11" i="4" s="1"/>
  <c r="U11" i="4" s="1"/>
  <c r="M20" i="4"/>
  <c r="N20" i="4" s="1"/>
  <c r="O20" i="4" s="1"/>
  <c r="P20" i="4" s="1"/>
  <c r="M21" i="4"/>
  <c r="N21" i="4" s="1"/>
  <c r="O21" i="4" s="1"/>
  <c r="P21" i="4" s="1"/>
  <c r="M151" i="4"/>
  <c r="N151" i="4" s="1"/>
  <c r="O151" i="4" s="1"/>
  <c r="P151" i="4" s="1"/>
  <c r="M104" i="4"/>
  <c r="N104" i="4" s="1"/>
  <c r="O104" i="4" s="1"/>
  <c r="P104" i="4" s="1"/>
  <c r="M49" i="4"/>
  <c r="S11" i="4"/>
  <c r="K12" i="4"/>
  <c r="L12" i="4" s="1"/>
  <c r="M12" i="4"/>
  <c r="N12" i="4" s="1"/>
  <c r="O12" i="4" s="1"/>
  <c r="K13" i="4"/>
  <c r="L13" i="4" s="1"/>
  <c r="M13" i="4"/>
  <c r="N13" i="4" s="1"/>
  <c r="O13" i="4" s="1"/>
  <c r="P13" i="4" s="1"/>
  <c r="K14" i="4"/>
  <c r="L14" i="4" s="1"/>
  <c r="M14" i="4"/>
  <c r="N14" i="4" s="1"/>
  <c r="O14" i="4" s="1"/>
  <c r="P14" i="4" s="1"/>
  <c r="K15" i="4"/>
  <c r="L15" i="4" s="1"/>
  <c r="N15" i="4"/>
  <c r="O15" i="4" s="1"/>
  <c r="P15" i="4" s="1"/>
  <c r="K16" i="4"/>
  <c r="L16" i="4" s="1"/>
  <c r="M16" i="4"/>
  <c r="N16" i="4" s="1"/>
  <c r="N17" i="4"/>
  <c r="K18" i="4"/>
  <c r="L18" i="4" s="1"/>
  <c r="N18" i="4"/>
  <c r="O18" i="4" s="1"/>
  <c r="P18" i="4" s="1"/>
  <c r="K19" i="4"/>
  <c r="L19" i="4" s="1"/>
  <c r="M19" i="4"/>
  <c r="N19" i="4" s="1"/>
  <c r="O19" i="4" s="1"/>
  <c r="P19" i="4" s="1"/>
  <c r="K20" i="4"/>
  <c r="L20" i="4" s="1"/>
  <c r="K21" i="4"/>
  <c r="L21" i="4" s="1"/>
  <c r="K22" i="4"/>
  <c r="L22" i="4" s="1"/>
  <c r="N22" i="4"/>
  <c r="O22" i="4" s="1"/>
  <c r="P22" i="4" s="1"/>
  <c r="R24" i="4"/>
  <c r="R46" i="4" s="1"/>
  <c r="K27" i="4"/>
  <c r="L27" i="4" s="1"/>
  <c r="N27" i="4"/>
  <c r="O27" i="4" s="1"/>
  <c r="P27" i="4" s="1"/>
  <c r="K28" i="4"/>
  <c r="L28" i="4" s="1"/>
  <c r="N28" i="4"/>
  <c r="O28" i="4" s="1"/>
  <c r="P28" i="4" s="1"/>
  <c r="K29" i="4"/>
  <c r="L29" i="4" s="1"/>
  <c r="M29" i="4"/>
  <c r="K30" i="4"/>
  <c r="L30" i="4" s="1"/>
  <c r="M30" i="4"/>
  <c r="K31" i="4"/>
  <c r="L31" i="4" s="1"/>
  <c r="M31" i="4"/>
  <c r="K32" i="4"/>
  <c r="L32" i="4" s="1"/>
  <c r="N32" i="4"/>
  <c r="O32" i="4" s="1"/>
  <c r="P32" i="4" s="1"/>
  <c r="K33" i="4"/>
  <c r="L33" i="4" s="1"/>
  <c r="N33" i="4"/>
  <c r="O33" i="4" s="1"/>
  <c r="P33" i="4" s="1"/>
  <c r="K34" i="4"/>
  <c r="L34" i="4" s="1"/>
  <c r="N34" i="4"/>
  <c r="O34" i="4" s="1"/>
  <c r="P34" i="4" s="1"/>
  <c r="K35" i="4"/>
  <c r="L35" i="4" s="1"/>
  <c r="M35" i="4"/>
  <c r="N35" i="4" s="1"/>
  <c r="O35" i="4" s="1"/>
  <c r="P35" i="4" s="1"/>
  <c r="K36" i="4"/>
  <c r="L36" i="4" s="1"/>
  <c r="N36" i="4"/>
  <c r="O36" i="4" s="1"/>
  <c r="P36" i="4" s="1"/>
  <c r="K37" i="4"/>
  <c r="L37" i="4" s="1"/>
  <c r="N37" i="4"/>
  <c r="O37" i="4" s="1"/>
  <c r="P37" i="4" s="1"/>
  <c r="K38" i="4"/>
  <c r="L38" i="4" s="1"/>
  <c r="N38" i="4"/>
  <c r="O38" i="4" s="1"/>
  <c r="P38" i="4" s="1"/>
  <c r="K39" i="4"/>
  <c r="L39" i="4" s="1"/>
  <c r="N39" i="4"/>
  <c r="O39" i="4" s="1"/>
  <c r="P39" i="4" s="1"/>
  <c r="K40" i="4"/>
  <c r="L40" i="4" s="1"/>
  <c r="N40" i="4"/>
  <c r="O40" i="4" s="1"/>
  <c r="P40" i="4" s="1"/>
  <c r="K41" i="4"/>
  <c r="L41" i="4" s="1"/>
  <c r="N41" i="4"/>
  <c r="O41" i="4" s="1"/>
  <c r="P41" i="4" s="1"/>
  <c r="K42" i="4"/>
  <c r="L42" i="4" s="1"/>
  <c r="M42" i="4"/>
  <c r="K43" i="4"/>
  <c r="L43" i="4" s="1"/>
  <c r="N43" i="4"/>
  <c r="O43" i="4" s="1"/>
  <c r="P43" i="4" s="1"/>
  <c r="K44" i="4"/>
  <c r="L44" i="4" s="1"/>
  <c r="N44" i="4"/>
  <c r="O44" i="4" s="1"/>
  <c r="P44" i="4" s="1"/>
  <c r="V45" i="4"/>
  <c r="K49" i="4"/>
  <c r="L49" i="4" s="1"/>
  <c r="K53" i="4"/>
  <c r="L53" i="4" s="1"/>
  <c r="K55" i="4"/>
  <c r="L55" i="4" s="1"/>
  <c r="N57" i="4"/>
  <c r="K58" i="4"/>
  <c r="L58" i="4" s="1"/>
  <c r="N58" i="4"/>
  <c r="O58" i="4" s="1"/>
  <c r="P58" i="4" s="1"/>
  <c r="K59" i="4"/>
  <c r="L59" i="4" s="1"/>
  <c r="N59" i="4"/>
  <c r="O59" i="4" s="1"/>
  <c r="P59" i="4" s="1"/>
  <c r="K60" i="4"/>
  <c r="L60" i="4" s="1"/>
  <c r="N60" i="4"/>
  <c r="O60" i="4" s="1"/>
  <c r="P60" i="4" s="1"/>
  <c r="K61" i="4"/>
  <c r="L61" i="4" s="1"/>
  <c r="N61" i="4"/>
  <c r="O61" i="4" s="1"/>
  <c r="P61" i="4" s="1"/>
  <c r="R63" i="4"/>
  <c r="K66" i="4"/>
  <c r="L66" i="4" s="1"/>
  <c r="K68" i="4"/>
  <c r="L68" i="4" s="1"/>
  <c r="N68" i="4"/>
  <c r="O68" i="4" s="1"/>
  <c r="P68" i="4" s="1"/>
  <c r="K69" i="4"/>
  <c r="L69" i="4" s="1"/>
  <c r="N69" i="4"/>
  <c r="O69" i="4" s="1"/>
  <c r="P69" i="4" s="1"/>
  <c r="K70" i="4"/>
  <c r="L70" i="4" s="1"/>
  <c r="K72" i="4"/>
  <c r="L72" i="4" s="1"/>
  <c r="K74" i="4"/>
  <c r="L74" i="4" s="1"/>
  <c r="M74" i="4"/>
  <c r="K75" i="4"/>
  <c r="L75" i="4" s="1"/>
  <c r="M75" i="4"/>
  <c r="K76" i="4"/>
  <c r="L76" i="4" s="1"/>
  <c r="M76" i="4"/>
  <c r="N76" i="4" s="1"/>
  <c r="O76" i="4" s="1"/>
  <c r="P76" i="4" s="1"/>
  <c r="K77" i="4"/>
  <c r="L77" i="4" s="1"/>
  <c r="K79" i="4"/>
  <c r="L79" i="4" s="1"/>
  <c r="M79" i="4"/>
  <c r="N79" i="4" s="1"/>
  <c r="O79" i="4" s="1"/>
  <c r="P79" i="4" s="1"/>
  <c r="K80" i="4"/>
  <c r="L80" i="4" s="1"/>
  <c r="N80" i="4"/>
  <c r="O80" i="4" s="1"/>
  <c r="P80" i="4" s="1"/>
  <c r="K81" i="4"/>
  <c r="L81" i="4" s="1"/>
  <c r="M81" i="4"/>
  <c r="N81" i="4" s="1"/>
  <c r="O81" i="4" s="1"/>
  <c r="P81" i="4" s="1"/>
  <c r="K82" i="4"/>
  <c r="L82" i="4" s="1"/>
  <c r="N82" i="4"/>
  <c r="O82" i="4" s="1"/>
  <c r="P82" i="4" s="1"/>
  <c r="K83" i="4"/>
  <c r="L83" i="4" s="1"/>
  <c r="N83" i="4"/>
  <c r="O83" i="4" s="1"/>
  <c r="P83" i="4" s="1"/>
  <c r="K84" i="4"/>
  <c r="L84" i="4" s="1"/>
  <c r="M84" i="4"/>
  <c r="N84" i="4" s="1"/>
  <c r="O84" i="4" s="1"/>
  <c r="P84" i="4" s="1"/>
  <c r="K85" i="4"/>
  <c r="L85" i="4" s="1"/>
  <c r="N85" i="4"/>
  <c r="O85" i="4" s="1"/>
  <c r="P85" i="4" s="1"/>
  <c r="K86" i="4"/>
  <c r="L86" i="4" s="1"/>
  <c r="N86" i="4"/>
  <c r="O86" i="4" s="1"/>
  <c r="P86" i="4" s="1"/>
  <c r="K87" i="4"/>
  <c r="L87" i="4" s="1"/>
  <c r="N87" i="4"/>
  <c r="O87" i="4" s="1"/>
  <c r="P87" i="4" s="1"/>
  <c r="K88" i="4"/>
  <c r="K90" i="4"/>
  <c r="L90" i="4" s="1"/>
  <c r="N90" i="4"/>
  <c r="O90" i="4" s="1"/>
  <c r="P90" i="4" s="1"/>
  <c r="K91" i="4"/>
  <c r="L91" i="4" s="1"/>
  <c r="N91" i="4"/>
  <c r="O91" i="4" s="1"/>
  <c r="P91" i="4" s="1"/>
  <c r="K92" i="4"/>
  <c r="L92" i="4" s="1"/>
  <c r="K94" i="4"/>
  <c r="L94" i="4" s="1"/>
  <c r="N94" i="4"/>
  <c r="O94" i="4" s="1"/>
  <c r="P94" i="4" s="1"/>
  <c r="K95" i="4"/>
  <c r="L95" i="4" s="1"/>
  <c r="N95" i="4"/>
  <c r="O95" i="4" s="1"/>
  <c r="P95" i="4" s="1"/>
  <c r="K96" i="4"/>
  <c r="L96" i="4" s="1"/>
  <c r="N96" i="4"/>
  <c r="O96" i="4" s="1"/>
  <c r="P96" i="4" s="1"/>
  <c r="K97" i="4"/>
  <c r="L97" i="4" s="1"/>
  <c r="N97" i="4"/>
  <c r="O97" i="4" s="1"/>
  <c r="P97" i="4" s="1"/>
  <c r="K98" i="4"/>
  <c r="L98" i="4" s="1"/>
  <c r="N98" i="4"/>
  <c r="O98" i="4" s="1"/>
  <c r="P98" i="4" s="1"/>
  <c r="K99" i="4"/>
  <c r="L99" i="4" s="1"/>
  <c r="N99" i="4"/>
  <c r="O99" i="4" s="1"/>
  <c r="P99" i="4" s="1"/>
  <c r="K100" i="4"/>
  <c r="L100" i="4" s="1"/>
  <c r="N100" i="4"/>
  <c r="O100" i="4" s="1"/>
  <c r="P100" i="4" s="1"/>
  <c r="K101" i="4"/>
  <c r="L101" i="4" s="1"/>
  <c r="N101" i="4"/>
  <c r="O101" i="4" s="1"/>
  <c r="P101" i="4" s="1"/>
  <c r="J102" i="4"/>
  <c r="K102" i="4" s="1"/>
  <c r="L102" i="4" s="1"/>
  <c r="N102" i="4"/>
  <c r="K103" i="4"/>
  <c r="L103" i="4" s="1"/>
  <c r="N103" i="4"/>
  <c r="O103" i="4" s="1"/>
  <c r="P103" i="4" s="1"/>
  <c r="K104" i="4"/>
  <c r="L104" i="4" s="1"/>
  <c r="K105" i="4"/>
  <c r="L105" i="4" s="1"/>
  <c r="K106" i="4"/>
  <c r="L106" i="4" s="1"/>
  <c r="K107" i="4"/>
  <c r="L107" i="4" s="1"/>
  <c r="K108" i="4"/>
  <c r="L108" i="4" s="1"/>
  <c r="K109" i="4"/>
  <c r="L109" i="4" s="1"/>
  <c r="N109" i="4"/>
  <c r="O109" i="4" s="1"/>
  <c r="P109" i="4" s="1"/>
  <c r="K110" i="4"/>
  <c r="L110" i="4" s="1"/>
  <c r="N110" i="4"/>
  <c r="O110" i="4" s="1"/>
  <c r="P110" i="4" s="1"/>
  <c r="K111" i="4"/>
  <c r="L111" i="4" s="1"/>
  <c r="N111" i="4"/>
  <c r="O111" i="4" s="1"/>
  <c r="P111" i="4" s="1"/>
  <c r="K112" i="4"/>
  <c r="L112" i="4" s="1"/>
  <c r="N112" i="4"/>
  <c r="O112" i="4" s="1"/>
  <c r="P112" i="4" s="1"/>
  <c r="K113" i="4"/>
  <c r="L113" i="4" s="1"/>
  <c r="N113" i="4"/>
  <c r="O113" i="4" s="1"/>
  <c r="P113" i="4" s="1"/>
  <c r="R116" i="4"/>
  <c r="K120" i="4"/>
  <c r="L120" i="4" s="1"/>
  <c r="M120" i="4"/>
  <c r="N120" i="4" s="1"/>
  <c r="K121" i="4"/>
  <c r="L121" i="4" s="1"/>
  <c r="N121" i="4"/>
  <c r="O121" i="4" s="1"/>
  <c r="P121" i="4" s="1"/>
  <c r="K122" i="4"/>
  <c r="L122" i="4" s="1"/>
  <c r="N122" i="4"/>
  <c r="O122" i="4" s="1"/>
  <c r="P122" i="4" s="1"/>
  <c r="K123" i="4"/>
  <c r="L123" i="4" s="1"/>
  <c r="N123" i="4"/>
  <c r="O123" i="4" s="1"/>
  <c r="P123" i="4" s="1"/>
  <c r="K124" i="4"/>
  <c r="L124" i="4" s="1"/>
  <c r="M124" i="4"/>
  <c r="N124" i="4" s="1"/>
  <c r="O124" i="4" s="1"/>
  <c r="P124" i="4" s="1"/>
  <c r="K125" i="4"/>
  <c r="L125" i="4" s="1"/>
  <c r="M125" i="4"/>
  <c r="N125" i="4" s="1"/>
  <c r="O125" i="4" s="1"/>
  <c r="P125" i="4" s="1"/>
  <c r="K126" i="4"/>
  <c r="L126" i="4" s="1"/>
  <c r="N126" i="4"/>
  <c r="O126" i="4" s="1"/>
  <c r="P126" i="4" s="1"/>
  <c r="K127" i="4"/>
  <c r="L127" i="4" s="1"/>
  <c r="N127" i="4"/>
  <c r="O127" i="4" s="1"/>
  <c r="P127" i="4" s="1"/>
  <c r="K128" i="4"/>
  <c r="L128" i="4" s="1"/>
  <c r="N128" i="4"/>
  <c r="O128" i="4" s="1"/>
  <c r="P128" i="4" s="1"/>
  <c r="K129" i="4"/>
  <c r="L129" i="4" s="1"/>
  <c r="N129" i="4"/>
  <c r="O129" i="4" s="1"/>
  <c r="P129" i="4" s="1"/>
  <c r="K130" i="4"/>
  <c r="L130" i="4" s="1"/>
  <c r="N130" i="4"/>
  <c r="O130" i="4" s="1"/>
  <c r="P130" i="4" s="1"/>
  <c r="K131" i="4"/>
  <c r="L131" i="4" s="1"/>
  <c r="N131" i="4"/>
  <c r="O131" i="4" s="1"/>
  <c r="P131" i="4" s="1"/>
  <c r="C132" i="4"/>
  <c r="K132" i="4"/>
  <c r="L132" i="4" s="1"/>
  <c r="M132" i="4"/>
  <c r="N132" i="4" s="1"/>
  <c r="O132" i="4" s="1"/>
  <c r="P132" i="4" s="1"/>
  <c r="K133" i="4"/>
  <c r="L133" i="4" s="1"/>
  <c r="N133" i="4"/>
  <c r="O133" i="4" s="1"/>
  <c r="P133" i="4" s="1"/>
  <c r="K134" i="4"/>
  <c r="L134" i="4" s="1"/>
  <c r="N134" i="4"/>
  <c r="O134" i="4" s="1"/>
  <c r="P134" i="4" s="1"/>
  <c r="K135" i="4"/>
  <c r="L135" i="4" s="1"/>
  <c r="N135" i="4"/>
  <c r="O135" i="4" s="1"/>
  <c r="P135" i="4" s="1"/>
  <c r="K136" i="4"/>
  <c r="L136" i="4" s="1"/>
  <c r="N136" i="4"/>
  <c r="O136" i="4" s="1"/>
  <c r="P136" i="4" s="1"/>
  <c r="K137" i="4"/>
  <c r="L137" i="4" s="1"/>
  <c r="N137" i="4"/>
  <c r="O137" i="4" s="1"/>
  <c r="P137" i="4" s="1"/>
  <c r="K138" i="4"/>
  <c r="L138" i="4" s="1"/>
  <c r="N138" i="4"/>
  <c r="O138" i="4" s="1"/>
  <c r="P138" i="4" s="1"/>
  <c r="K139" i="4"/>
  <c r="L139" i="4" s="1"/>
  <c r="N139" i="4"/>
  <c r="O139" i="4" s="1"/>
  <c r="P139" i="4" s="1"/>
  <c r="K140" i="4"/>
  <c r="L140" i="4" s="1"/>
  <c r="N140" i="4"/>
  <c r="O140" i="4" s="1"/>
  <c r="P140" i="4" s="1"/>
  <c r="K141" i="4"/>
  <c r="L141" i="4" s="1"/>
  <c r="N141" i="4"/>
  <c r="O141" i="4" s="1"/>
  <c r="P141" i="4" s="1"/>
  <c r="K142" i="4"/>
  <c r="L142" i="4" s="1"/>
  <c r="N142" i="4"/>
  <c r="O142" i="4" s="1"/>
  <c r="P142" i="4" s="1"/>
  <c r="K143" i="4"/>
  <c r="L143" i="4" s="1"/>
  <c r="N143" i="4"/>
  <c r="O143" i="4" s="1"/>
  <c r="P143" i="4" s="1"/>
  <c r="K144" i="4"/>
  <c r="L144" i="4" s="1"/>
  <c r="N144" i="4"/>
  <c r="O144" i="4" s="1"/>
  <c r="P144" i="4" s="1"/>
  <c r="K145" i="4"/>
  <c r="L145" i="4" s="1"/>
  <c r="N145" i="4"/>
  <c r="O145" i="4" s="1"/>
  <c r="P145" i="4" s="1"/>
  <c r="K146" i="4"/>
  <c r="L146" i="4" s="1"/>
  <c r="N146" i="4"/>
  <c r="O146" i="4" s="1"/>
  <c r="P146" i="4" s="1"/>
  <c r="K147" i="4"/>
  <c r="L147" i="4" s="1"/>
  <c r="N147" i="4"/>
  <c r="O147" i="4" s="1"/>
  <c r="P147" i="4" s="1"/>
  <c r="K148" i="4"/>
  <c r="L148" i="4" s="1"/>
  <c r="N148" i="4"/>
  <c r="O148" i="4" s="1"/>
  <c r="P148" i="4" s="1"/>
  <c r="K149" i="4"/>
  <c r="L149" i="4" s="1"/>
  <c r="N149" i="4"/>
  <c r="O149" i="4" s="1"/>
  <c r="P149" i="4" s="1"/>
  <c r="K150" i="4"/>
  <c r="L150" i="4" s="1"/>
  <c r="N150" i="4"/>
  <c r="O150" i="4" s="1"/>
  <c r="P150" i="4" s="1"/>
  <c r="K151" i="4"/>
  <c r="L151" i="4" s="1"/>
  <c r="K152" i="4"/>
  <c r="L152" i="4" s="1"/>
  <c r="N152" i="4"/>
  <c r="O152" i="4" s="1"/>
  <c r="P152" i="4" s="1"/>
  <c r="K153" i="4"/>
  <c r="L153" i="4" s="1"/>
  <c r="N153" i="4"/>
  <c r="O153" i="4" s="1"/>
  <c r="P153" i="4" s="1"/>
  <c r="K154" i="4"/>
  <c r="L154" i="4" s="1"/>
  <c r="N154" i="4"/>
  <c r="O154" i="4" s="1"/>
  <c r="P154" i="4" s="1"/>
  <c r="K155" i="4"/>
  <c r="L155" i="4" s="1"/>
  <c r="N155" i="4"/>
  <c r="O155" i="4" s="1"/>
  <c r="P155" i="4" s="1"/>
  <c r="K156" i="4"/>
  <c r="L156" i="4" s="1"/>
  <c r="N156" i="4"/>
  <c r="O156" i="4" s="1"/>
  <c r="P156" i="4" s="1"/>
  <c r="K157" i="4"/>
  <c r="L157" i="4" s="1"/>
  <c r="N157" i="4"/>
  <c r="O157" i="4" s="1"/>
  <c r="P157" i="4" s="1"/>
  <c r="K158" i="4"/>
  <c r="L158" i="4" s="1"/>
  <c r="N158" i="4"/>
  <c r="O158" i="4" s="1"/>
  <c r="P158" i="4" s="1"/>
  <c r="K159" i="4"/>
  <c r="L159" i="4" s="1"/>
  <c r="N159" i="4"/>
  <c r="O159" i="4" s="1"/>
  <c r="P159" i="4" s="1"/>
  <c r="K160" i="4"/>
  <c r="L160" i="4" s="1"/>
  <c r="N160" i="4"/>
  <c r="O160" i="4" s="1"/>
  <c r="P160" i="4" s="1"/>
  <c r="K161" i="4"/>
  <c r="L161" i="4" s="1"/>
  <c r="N161" i="4"/>
  <c r="O161" i="4" s="1"/>
  <c r="P161" i="4" s="1"/>
  <c r="K162" i="4"/>
  <c r="L162" i="4" s="1"/>
  <c r="N162" i="4"/>
  <c r="O162" i="4" s="1"/>
  <c r="P162" i="4" s="1"/>
  <c r="K163" i="4"/>
  <c r="L163" i="4" s="1"/>
  <c r="N163" i="4"/>
  <c r="O163" i="4" s="1"/>
  <c r="P163" i="4" s="1"/>
  <c r="K164" i="4"/>
  <c r="L164" i="4" s="1"/>
  <c r="N164" i="4"/>
  <c r="O164" i="4" s="1"/>
  <c r="P164" i="4" s="1"/>
  <c r="K165" i="4"/>
  <c r="L165" i="4" s="1"/>
  <c r="N165" i="4"/>
  <c r="O165" i="4" s="1"/>
  <c r="P165" i="4" s="1"/>
  <c r="K166" i="4"/>
  <c r="L166" i="4" s="1"/>
  <c r="N166" i="4"/>
  <c r="O166" i="4" s="1"/>
  <c r="P166" i="4" s="1"/>
  <c r="K167" i="4"/>
  <c r="L167" i="4" s="1"/>
  <c r="N167" i="4"/>
  <c r="O167" i="4" s="1"/>
  <c r="P167" i="4" s="1"/>
  <c r="K168" i="4"/>
  <c r="L168" i="4" s="1"/>
  <c r="N168" i="4"/>
  <c r="O168" i="4" s="1"/>
  <c r="P168" i="4" s="1"/>
  <c r="K169" i="4"/>
  <c r="L169" i="4" s="1"/>
  <c r="N169" i="4"/>
  <c r="O169" i="4" s="1"/>
  <c r="P169" i="4" s="1"/>
  <c r="R171" i="4"/>
  <c r="W171" i="4"/>
  <c r="K175" i="4"/>
  <c r="L175" i="4" s="1"/>
  <c r="M177" i="4"/>
  <c r="N177" i="4"/>
  <c r="O177" i="4"/>
  <c r="P177" i="4"/>
  <c r="Q177" i="4"/>
  <c r="S177" i="4"/>
  <c r="T177" i="4"/>
  <c r="U177" i="4"/>
  <c r="K184" i="4"/>
  <c r="L184" i="4" s="1"/>
  <c r="K186" i="4"/>
  <c r="L186" i="4" s="1"/>
  <c r="N186" i="4"/>
  <c r="O186" i="4" s="1"/>
  <c r="P186" i="4" s="1"/>
  <c r="M187" i="4"/>
  <c r="N187" i="4" s="1"/>
  <c r="K191" i="4"/>
  <c r="L191" i="4" s="1"/>
  <c r="M191" i="4"/>
  <c r="N191" i="4" s="1"/>
  <c r="O191" i="4" s="1"/>
  <c r="P191" i="4" s="1"/>
  <c r="J196" i="4"/>
  <c r="K196" i="4" s="1"/>
  <c r="L196" i="4" s="1"/>
  <c r="M104" i="5"/>
  <c r="S11" i="5"/>
  <c r="T11" i="5"/>
  <c r="U11" i="5" s="1"/>
  <c r="K13" i="5"/>
  <c r="L13" i="5" s="1"/>
  <c r="N13" i="5"/>
  <c r="O13" i="5" s="1"/>
  <c r="P13" i="5" s="1"/>
  <c r="K14" i="5"/>
  <c r="L14" i="5" s="1"/>
  <c r="N14" i="5"/>
  <c r="O14" i="5" s="1"/>
  <c r="P14" i="5" s="1"/>
  <c r="K15" i="5"/>
  <c r="L15" i="5" s="1"/>
  <c r="N15" i="5"/>
  <c r="O15" i="5" s="1"/>
  <c r="P15" i="5" s="1"/>
  <c r="K16" i="5"/>
  <c r="L16" i="5" s="1"/>
  <c r="N16" i="5"/>
  <c r="O16" i="5" s="1"/>
  <c r="P16" i="5" s="1"/>
  <c r="K17" i="5"/>
  <c r="L17" i="5" s="1"/>
  <c r="N17" i="5"/>
  <c r="O17" i="5" s="1"/>
  <c r="P17" i="5" s="1"/>
  <c r="K18" i="5"/>
  <c r="L18" i="5" s="1"/>
  <c r="N18" i="5"/>
  <c r="O18" i="5" s="1"/>
  <c r="P18" i="5" s="1"/>
  <c r="K19" i="5"/>
  <c r="L19" i="5" s="1"/>
  <c r="N19" i="5"/>
  <c r="O19" i="5" s="1"/>
  <c r="P19" i="5" s="1"/>
  <c r="K20" i="5"/>
  <c r="L20" i="5" s="1"/>
  <c r="N20" i="5"/>
  <c r="O20" i="5" s="1"/>
  <c r="P20" i="5" s="1"/>
  <c r="K21" i="5"/>
  <c r="L21" i="5" s="1"/>
  <c r="N21" i="5"/>
  <c r="O21" i="5" s="1"/>
  <c r="P21" i="5" s="1"/>
  <c r="K22" i="5"/>
  <c r="L22" i="5" s="1"/>
  <c r="N22" i="5"/>
  <c r="O22" i="5" s="1"/>
  <c r="P22" i="5" s="1"/>
  <c r="K23" i="5"/>
  <c r="L23" i="5" s="1"/>
  <c r="N23" i="5"/>
  <c r="O23" i="5" s="1"/>
  <c r="P23" i="5" s="1"/>
  <c r="K24" i="5"/>
  <c r="L24" i="5" s="1"/>
  <c r="N24" i="5"/>
  <c r="O24" i="5" s="1"/>
  <c r="P24" i="5" s="1"/>
  <c r="K25" i="5"/>
  <c r="L25" i="5" s="1"/>
  <c r="N25" i="5"/>
  <c r="O25" i="5" s="1"/>
  <c r="P25" i="5" s="1"/>
  <c r="K26" i="5"/>
  <c r="L26" i="5" s="1"/>
  <c r="N26" i="5"/>
  <c r="O26" i="5" s="1"/>
  <c r="P26" i="5" s="1"/>
  <c r="K27" i="5"/>
  <c r="L27" i="5" s="1"/>
  <c r="N27" i="5"/>
  <c r="O27" i="5" s="1"/>
  <c r="P27" i="5" s="1"/>
  <c r="K28" i="5"/>
  <c r="L28" i="5" s="1"/>
  <c r="N28" i="5"/>
  <c r="O28" i="5" s="1"/>
  <c r="P28" i="5" s="1"/>
  <c r="K29" i="5"/>
  <c r="L29" i="5" s="1"/>
  <c r="N29" i="5"/>
  <c r="O29" i="5" s="1"/>
  <c r="P29" i="5" s="1"/>
  <c r="K30" i="5"/>
  <c r="L30" i="5" s="1"/>
  <c r="N30" i="5"/>
  <c r="O30" i="5" s="1"/>
  <c r="P30" i="5" s="1"/>
  <c r="K31" i="5"/>
  <c r="L31" i="5" s="1"/>
  <c r="N31" i="5"/>
  <c r="O31" i="5" s="1"/>
  <c r="P31" i="5" s="1"/>
  <c r="K32" i="5"/>
  <c r="L32" i="5" s="1"/>
  <c r="N32" i="5"/>
  <c r="O32" i="5" s="1"/>
  <c r="P32" i="5" s="1"/>
  <c r="K33" i="5"/>
  <c r="L33" i="5" s="1"/>
  <c r="N33" i="5"/>
  <c r="O33" i="5" s="1"/>
  <c r="P33" i="5" s="1"/>
  <c r="K34" i="5"/>
  <c r="L34" i="5" s="1"/>
  <c r="N34" i="5"/>
  <c r="O34" i="5" s="1"/>
  <c r="P34" i="5" s="1"/>
  <c r="K35" i="5"/>
  <c r="L35" i="5" s="1"/>
  <c r="N35" i="5"/>
  <c r="O35" i="5" s="1"/>
  <c r="P35" i="5" s="1"/>
  <c r="D36" i="5"/>
  <c r="K36" i="5"/>
  <c r="L36" i="5" s="1"/>
  <c r="M36" i="5"/>
  <c r="N36" i="5" s="1"/>
  <c r="O36" i="5" s="1"/>
  <c r="P36" i="5" s="1"/>
  <c r="D37" i="5"/>
  <c r="K37" i="5"/>
  <c r="L37" i="5" s="1"/>
  <c r="N37" i="5"/>
  <c r="O37" i="5" s="1"/>
  <c r="P37" i="5" s="1"/>
  <c r="D38" i="5"/>
  <c r="K38" i="5"/>
  <c r="L38" i="5" s="1"/>
  <c r="M38" i="5"/>
  <c r="N38" i="5" s="1"/>
  <c r="O38" i="5" s="1"/>
  <c r="P38" i="5" s="1"/>
  <c r="K39" i="5"/>
  <c r="L39" i="5" s="1"/>
  <c r="N39" i="5"/>
  <c r="O39" i="5" s="1"/>
  <c r="P39" i="5" s="1"/>
  <c r="D40" i="5"/>
  <c r="K40" i="5"/>
  <c r="L40" i="5" s="1"/>
  <c r="M40" i="5"/>
  <c r="N40" i="5" s="1"/>
  <c r="O40" i="5" s="1"/>
  <c r="P40" i="5" s="1"/>
  <c r="D41" i="5"/>
  <c r="K41" i="5"/>
  <c r="L41" i="5" s="1"/>
  <c r="M41" i="5"/>
  <c r="N41" i="5" s="1"/>
  <c r="O41" i="5" s="1"/>
  <c r="P41" i="5" s="1"/>
  <c r="K42" i="5"/>
  <c r="L42" i="5" s="1"/>
  <c r="N42" i="5"/>
  <c r="O42" i="5" s="1"/>
  <c r="P42" i="5" s="1"/>
  <c r="K43" i="5"/>
  <c r="L43" i="5" s="1"/>
  <c r="N43" i="5"/>
  <c r="O43" i="5" s="1"/>
  <c r="P43" i="5" s="1"/>
  <c r="K44" i="5"/>
  <c r="L44" i="5" s="1"/>
  <c r="N44" i="5"/>
  <c r="O44" i="5" s="1"/>
  <c r="P44" i="5" s="1"/>
  <c r="D45" i="5"/>
  <c r="K45" i="5"/>
  <c r="L45" i="5" s="1"/>
  <c r="M45" i="5"/>
  <c r="N45" i="5" s="1"/>
  <c r="O45" i="5" s="1"/>
  <c r="P45" i="5" s="1"/>
  <c r="K46" i="5"/>
  <c r="L46" i="5" s="1"/>
  <c r="N46" i="5"/>
  <c r="O46" i="5" s="1"/>
  <c r="P46" i="5" s="1"/>
  <c r="K47" i="5"/>
  <c r="L47" i="5" s="1"/>
  <c r="N47" i="5"/>
  <c r="O47" i="5" s="1"/>
  <c r="P47" i="5" s="1"/>
  <c r="D48" i="5"/>
  <c r="K48" i="5"/>
  <c r="L48" i="5" s="1"/>
  <c r="M48" i="5"/>
  <c r="N48" i="5" s="1"/>
  <c r="O48" i="5" s="1"/>
  <c r="P48" i="5" s="1"/>
  <c r="D49" i="5"/>
  <c r="K49" i="5"/>
  <c r="L49" i="5" s="1"/>
  <c r="M49" i="5"/>
  <c r="N49" i="5" s="1"/>
  <c r="O49" i="5" s="1"/>
  <c r="P49" i="5" s="1"/>
  <c r="K50" i="5"/>
  <c r="L50" i="5" s="1"/>
  <c r="N50" i="5"/>
  <c r="O50" i="5" s="1"/>
  <c r="P50" i="5" s="1"/>
  <c r="K51" i="5"/>
  <c r="L51" i="5" s="1"/>
  <c r="N51" i="5"/>
  <c r="O51" i="5" s="1"/>
  <c r="P51" i="5" s="1"/>
  <c r="K52" i="5"/>
  <c r="L52" i="5" s="1"/>
  <c r="N52" i="5"/>
  <c r="O52" i="5" s="1"/>
  <c r="P52" i="5" s="1"/>
  <c r="K53" i="5"/>
  <c r="L53" i="5" s="1"/>
  <c r="N53" i="5"/>
  <c r="O53" i="5" s="1"/>
  <c r="P53" i="5" s="1"/>
  <c r="K54" i="5"/>
  <c r="L54" i="5" s="1"/>
  <c r="N54" i="5"/>
  <c r="O54" i="5" s="1"/>
  <c r="P54" i="5" s="1"/>
  <c r="K55" i="5"/>
  <c r="L55" i="5" s="1"/>
  <c r="N55" i="5"/>
  <c r="O55" i="5" s="1"/>
  <c r="P55" i="5" s="1"/>
  <c r="K56" i="5"/>
  <c r="L56" i="5" s="1"/>
  <c r="N56" i="5"/>
  <c r="O56" i="5" s="1"/>
  <c r="P56" i="5" s="1"/>
  <c r="K57" i="5"/>
  <c r="L57" i="5" s="1"/>
  <c r="N57" i="5"/>
  <c r="O57" i="5" s="1"/>
  <c r="P57" i="5" s="1"/>
  <c r="D58" i="5"/>
  <c r="K58" i="5"/>
  <c r="L58" i="5" s="1"/>
  <c r="M58" i="5"/>
  <c r="N58" i="5" s="1"/>
  <c r="O58" i="5" s="1"/>
  <c r="P58" i="5" s="1"/>
  <c r="K59" i="5"/>
  <c r="L59" i="5" s="1"/>
  <c r="N59" i="5"/>
  <c r="O59" i="5" s="1"/>
  <c r="P59" i="5" s="1"/>
  <c r="K60" i="5"/>
  <c r="L60" i="5" s="1"/>
  <c r="N60" i="5"/>
  <c r="O60" i="5" s="1"/>
  <c r="P60" i="5" s="1"/>
  <c r="K61" i="5"/>
  <c r="L61" i="5" s="1"/>
  <c r="N61" i="5"/>
  <c r="O61" i="5" s="1"/>
  <c r="P61" i="5" s="1"/>
  <c r="K62" i="5"/>
  <c r="L62" i="5" s="1"/>
  <c r="N62" i="5"/>
  <c r="O62" i="5" s="1"/>
  <c r="P62" i="5" s="1"/>
  <c r="K63" i="5"/>
  <c r="L63" i="5" s="1"/>
  <c r="N63" i="5"/>
  <c r="O63" i="5" s="1"/>
  <c r="P63" i="5" s="1"/>
  <c r="K64" i="5"/>
  <c r="L64" i="5" s="1"/>
  <c r="N64" i="5"/>
  <c r="O64" i="5" s="1"/>
  <c r="P64" i="5" s="1"/>
  <c r="K65" i="5"/>
  <c r="L65" i="5" s="1"/>
  <c r="N65" i="5"/>
  <c r="O65" i="5" s="1"/>
  <c r="P65" i="5" s="1"/>
  <c r="K66" i="5"/>
  <c r="L66" i="5" s="1"/>
  <c r="N66" i="5"/>
  <c r="O66" i="5" s="1"/>
  <c r="P66" i="5" s="1"/>
  <c r="K67" i="5"/>
  <c r="L67" i="5" s="1"/>
  <c r="N67" i="5"/>
  <c r="O67" i="5" s="1"/>
  <c r="P67" i="5" s="1"/>
  <c r="K68" i="5"/>
  <c r="L68" i="5" s="1"/>
  <c r="N68" i="5"/>
  <c r="O68" i="5" s="1"/>
  <c r="P68" i="5" s="1"/>
  <c r="K69" i="5"/>
  <c r="L69" i="5" s="1"/>
  <c r="N69" i="5"/>
  <c r="O69" i="5" s="1"/>
  <c r="P69" i="5" s="1"/>
  <c r="K70" i="5"/>
  <c r="L70" i="5" s="1"/>
  <c r="N70" i="5"/>
  <c r="O70" i="5" s="1"/>
  <c r="P70" i="5" s="1"/>
  <c r="K71" i="5"/>
  <c r="L71" i="5" s="1"/>
  <c r="N71" i="5"/>
  <c r="O71" i="5" s="1"/>
  <c r="P71" i="5" s="1"/>
  <c r="K72" i="5"/>
  <c r="L72" i="5" s="1"/>
  <c r="N72" i="5"/>
  <c r="O72" i="5" s="1"/>
  <c r="P72" i="5" s="1"/>
  <c r="K73" i="5"/>
  <c r="L73" i="5" s="1"/>
  <c r="N73" i="5"/>
  <c r="O73" i="5" s="1"/>
  <c r="P73" i="5" s="1"/>
  <c r="K74" i="5"/>
  <c r="L74" i="5" s="1"/>
  <c r="N74" i="5"/>
  <c r="O74" i="5" s="1"/>
  <c r="P74" i="5" s="1"/>
  <c r="K75" i="5"/>
  <c r="L75" i="5" s="1"/>
  <c r="N75" i="5"/>
  <c r="O75" i="5" s="1"/>
  <c r="P75" i="5" s="1"/>
  <c r="K76" i="5"/>
  <c r="L76" i="5" s="1"/>
  <c r="N76" i="5"/>
  <c r="O76" i="5" s="1"/>
  <c r="P76" i="5" s="1"/>
  <c r="K77" i="5"/>
  <c r="L77" i="5" s="1"/>
  <c r="N77" i="5"/>
  <c r="O77" i="5" s="1"/>
  <c r="P77" i="5" s="1"/>
  <c r="K78" i="5"/>
  <c r="L78" i="5" s="1"/>
  <c r="N78" i="5"/>
  <c r="O78" i="5" s="1"/>
  <c r="P78" i="5" s="1"/>
  <c r="K79" i="5"/>
  <c r="L79" i="5" s="1"/>
  <c r="N79" i="5"/>
  <c r="O79" i="5" s="1"/>
  <c r="P79" i="5" s="1"/>
  <c r="K80" i="5"/>
  <c r="L80" i="5" s="1"/>
  <c r="N80" i="5"/>
  <c r="O80" i="5" s="1"/>
  <c r="P80" i="5" s="1"/>
  <c r="K81" i="5"/>
  <c r="L81" i="5" s="1"/>
  <c r="N81" i="5"/>
  <c r="O81" i="5" s="1"/>
  <c r="P81" i="5" s="1"/>
  <c r="K82" i="5"/>
  <c r="L82" i="5" s="1"/>
  <c r="N82" i="5"/>
  <c r="O82" i="5" s="1"/>
  <c r="P82" i="5" s="1"/>
  <c r="K83" i="5"/>
  <c r="L83" i="5" s="1"/>
  <c r="N83" i="5"/>
  <c r="O83" i="5" s="1"/>
  <c r="P83" i="5" s="1"/>
  <c r="K84" i="5"/>
  <c r="L84" i="5" s="1"/>
  <c r="N84" i="5"/>
  <c r="O84" i="5" s="1"/>
  <c r="P84" i="5" s="1"/>
  <c r="K85" i="5"/>
  <c r="L85" i="5" s="1"/>
  <c r="N85" i="5"/>
  <c r="O85" i="5" s="1"/>
  <c r="P85" i="5" s="1"/>
  <c r="K86" i="5"/>
  <c r="L86" i="5" s="1"/>
  <c r="N86" i="5"/>
  <c r="O86" i="5" s="1"/>
  <c r="P86" i="5" s="1"/>
  <c r="K87" i="5"/>
  <c r="L87" i="5" s="1"/>
  <c r="N87" i="5"/>
  <c r="O87" i="5" s="1"/>
  <c r="P87" i="5" s="1"/>
  <c r="K88" i="5"/>
  <c r="L88" i="5" s="1"/>
  <c r="N88" i="5"/>
  <c r="O88" i="5" s="1"/>
  <c r="P88" i="5" s="1"/>
  <c r="K89" i="5"/>
  <c r="L89" i="5" s="1"/>
  <c r="N89" i="5"/>
  <c r="O89" i="5" s="1"/>
  <c r="P89" i="5" s="1"/>
  <c r="K90" i="5"/>
  <c r="L90" i="5" s="1"/>
  <c r="N90" i="5"/>
  <c r="O90" i="5" s="1"/>
  <c r="P90" i="5" s="1"/>
  <c r="K91" i="5"/>
  <c r="L91" i="5" s="1"/>
  <c r="N91" i="5"/>
  <c r="O91" i="5" s="1"/>
  <c r="P91" i="5" s="1"/>
  <c r="K92" i="5"/>
  <c r="L92" i="5" s="1"/>
  <c r="N92" i="5"/>
  <c r="O92" i="5" s="1"/>
  <c r="P92" i="5" s="1"/>
  <c r="K93" i="5"/>
  <c r="L93" i="5" s="1"/>
  <c r="N93" i="5"/>
  <c r="O93" i="5" s="1"/>
  <c r="P93" i="5" s="1"/>
  <c r="K94" i="5"/>
  <c r="L94" i="5" s="1"/>
  <c r="N94" i="5"/>
  <c r="O94" i="5" s="1"/>
  <c r="P94" i="5" s="1"/>
  <c r="K95" i="5"/>
  <c r="L95" i="5" s="1"/>
  <c r="N95" i="5"/>
  <c r="O95" i="5" s="1"/>
  <c r="P95" i="5" s="1"/>
  <c r="K96" i="5"/>
  <c r="L96" i="5" s="1"/>
  <c r="N96" i="5"/>
  <c r="O96" i="5" s="1"/>
  <c r="P96" i="5" s="1"/>
  <c r="K97" i="5"/>
  <c r="L97" i="5" s="1"/>
  <c r="N97" i="5"/>
  <c r="O97" i="5" s="1"/>
  <c r="P97" i="5" s="1"/>
  <c r="K98" i="5"/>
  <c r="L98" i="5" s="1"/>
  <c r="N98" i="5"/>
  <c r="O98" i="5" s="1"/>
  <c r="P98" i="5" s="1"/>
  <c r="K99" i="5"/>
  <c r="L99" i="5" s="1"/>
  <c r="N99" i="5"/>
  <c r="O99" i="5" s="1"/>
  <c r="P99" i="5" s="1"/>
  <c r="K100" i="5"/>
  <c r="L100" i="5" s="1"/>
  <c r="N100" i="5"/>
  <c r="O100" i="5" s="1"/>
  <c r="P100" i="5" s="1"/>
  <c r="K101" i="5"/>
  <c r="L101" i="5" s="1"/>
  <c r="N101" i="5"/>
  <c r="O101" i="5" s="1"/>
  <c r="P101" i="5" s="1"/>
  <c r="K102" i="5"/>
  <c r="L102" i="5" s="1"/>
  <c r="N102" i="5"/>
  <c r="O102" i="5" s="1"/>
  <c r="P102" i="5" s="1"/>
  <c r="K103" i="5"/>
  <c r="L103" i="5" s="1"/>
  <c r="N103" i="5"/>
  <c r="O103" i="5" s="1"/>
  <c r="P103" i="5" s="1"/>
  <c r="K104" i="5"/>
  <c r="L104" i="5" s="1"/>
  <c r="K105" i="5"/>
  <c r="L105" i="5" s="1"/>
  <c r="N105" i="5"/>
  <c r="O105" i="5" s="1"/>
  <c r="P105" i="5" s="1"/>
  <c r="K106" i="5"/>
  <c r="L106" i="5" s="1"/>
  <c r="N106" i="5"/>
  <c r="O106" i="5" s="1"/>
  <c r="P106" i="5" s="1"/>
  <c r="K107" i="5"/>
  <c r="L107" i="5" s="1"/>
  <c r="N107" i="5"/>
  <c r="O107" i="5" s="1"/>
  <c r="P107" i="5" s="1"/>
  <c r="K108" i="5"/>
  <c r="L108" i="5" s="1"/>
  <c r="N108" i="5"/>
  <c r="O108" i="5" s="1"/>
  <c r="P108" i="5" s="1"/>
  <c r="K109" i="5"/>
  <c r="L109" i="5" s="1"/>
  <c r="N109" i="5"/>
  <c r="O109" i="5" s="1"/>
  <c r="P109" i="5" s="1"/>
  <c r="K110" i="5"/>
  <c r="L110" i="5" s="1"/>
  <c r="N110" i="5"/>
  <c r="O110" i="5" s="1"/>
  <c r="P110" i="5" s="1"/>
  <c r="K111" i="5"/>
  <c r="L111" i="5" s="1"/>
  <c r="N111" i="5"/>
  <c r="O111" i="5" s="1"/>
  <c r="P111" i="5" s="1"/>
  <c r="K112" i="5"/>
  <c r="L112" i="5" s="1"/>
  <c r="N112" i="5"/>
  <c r="O112" i="5" s="1"/>
  <c r="P112" i="5" s="1"/>
  <c r="K113" i="5"/>
  <c r="L113" i="5" s="1"/>
  <c r="N113" i="5"/>
  <c r="O113" i="5" s="1"/>
  <c r="P113" i="5" s="1"/>
  <c r="K114" i="5"/>
  <c r="L114" i="5" s="1"/>
  <c r="N114" i="5"/>
  <c r="O114" i="5" s="1"/>
  <c r="P114" i="5" s="1"/>
  <c r="K115" i="5"/>
  <c r="L115" i="5" s="1"/>
  <c r="N115" i="5"/>
  <c r="O115" i="5" s="1"/>
  <c r="P115" i="5" s="1"/>
  <c r="K116" i="5"/>
  <c r="L116" i="5" s="1"/>
  <c r="N116" i="5"/>
  <c r="O116" i="5" s="1"/>
  <c r="P116" i="5" s="1"/>
  <c r="K117" i="5"/>
  <c r="L117" i="5" s="1"/>
  <c r="N117" i="5"/>
  <c r="O117" i="5" s="1"/>
  <c r="P117" i="5" s="1"/>
  <c r="K118" i="5"/>
  <c r="L118" i="5" s="1"/>
  <c r="N118" i="5"/>
  <c r="O118" i="5" s="1"/>
  <c r="P118" i="5" s="1"/>
  <c r="R120" i="5"/>
  <c r="R123" i="5" s="1"/>
  <c r="B3" i="6"/>
  <c r="M236" i="6"/>
  <c r="M237" i="6"/>
  <c r="N237" i="6" s="1"/>
  <c r="M238" i="6"/>
  <c r="N238" i="6" s="1"/>
  <c r="S11" i="6"/>
  <c r="T11" i="6"/>
  <c r="U11" i="6"/>
  <c r="K12" i="6"/>
  <c r="L12" i="6" s="1"/>
  <c r="N12" i="6"/>
  <c r="O12" i="6" s="1"/>
  <c r="P12" i="6" s="1"/>
  <c r="K13" i="6"/>
  <c r="L13" i="6" s="1"/>
  <c r="N13" i="6"/>
  <c r="O13" i="6" s="1"/>
  <c r="P13" i="6" s="1"/>
  <c r="K14" i="6"/>
  <c r="L14" i="6" s="1"/>
  <c r="N14" i="6"/>
  <c r="O14" i="6" s="1"/>
  <c r="P14" i="6" s="1"/>
  <c r="K15" i="6"/>
  <c r="L15" i="6" s="1"/>
  <c r="N15" i="6"/>
  <c r="O15" i="6" s="1"/>
  <c r="P15" i="6" s="1"/>
  <c r="K16" i="6"/>
  <c r="L16" i="6" s="1"/>
  <c r="N16" i="6"/>
  <c r="O16" i="6" s="1"/>
  <c r="P16" i="6" s="1"/>
  <c r="K17" i="6"/>
  <c r="L17" i="6" s="1"/>
  <c r="N17" i="6"/>
  <c r="O17" i="6" s="1"/>
  <c r="P17" i="6" s="1"/>
  <c r="K18" i="6"/>
  <c r="L18" i="6" s="1"/>
  <c r="N18" i="6"/>
  <c r="O18" i="6" s="1"/>
  <c r="P18" i="6" s="1"/>
  <c r="K19" i="6"/>
  <c r="L19" i="6" s="1"/>
  <c r="N19" i="6"/>
  <c r="O19" i="6" s="1"/>
  <c r="P19" i="6" s="1"/>
  <c r="K20" i="6"/>
  <c r="L20" i="6" s="1"/>
  <c r="N20" i="6"/>
  <c r="O20" i="6" s="1"/>
  <c r="P20" i="6" s="1"/>
  <c r="K21" i="6"/>
  <c r="L21" i="6" s="1"/>
  <c r="N21" i="6"/>
  <c r="O21" i="6" s="1"/>
  <c r="P21" i="6" s="1"/>
  <c r="K22" i="6"/>
  <c r="L22" i="6" s="1"/>
  <c r="N22" i="6"/>
  <c r="O22" i="6" s="1"/>
  <c r="P22" i="6" s="1"/>
  <c r="K23" i="6"/>
  <c r="L23" i="6" s="1"/>
  <c r="N23" i="6"/>
  <c r="O23" i="6" s="1"/>
  <c r="P23" i="6" s="1"/>
  <c r="K24" i="6"/>
  <c r="L24" i="6" s="1"/>
  <c r="N24" i="6"/>
  <c r="O24" i="6" s="1"/>
  <c r="P24" i="6" s="1"/>
  <c r="K25" i="6"/>
  <c r="L25" i="6" s="1"/>
  <c r="N25" i="6"/>
  <c r="O25" i="6" s="1"/>
  <c r="P25" i="6" s="1"/>
  <c r="K26" i="6"/>
  <c r="L26" i="6" s="1"/>
  <c r="N26" i="6"/>
  <c r="O26" i="6" s="1"/>
  <c r="P26" i="6" s="1"/>
  <c r="K27" i="6"/>
  <c r="L27" i="6" s="1"/>
  <c r="N27" i="6"/>
  <c r="O27" i="6" s="1"/>
  <c r="P27" i="6" s="1"/>
  <c r="K28" i="6"/>
  <c r="L28" i="6" s="1"/>
  <c r="N28" i="6"/>
  <c r="O28" i="6" s="1"/>
  <c r="P28" i="6" s="1"/>
  <c r="K29" i="6"/>
  <c r="L29" i="6" s="1"/>
  <c r="N29" i="6"/>
  <c r="O29" i="6" s="1"/>
  <c r="P29" i="6" s="1"/>
  <c r="K30" i="6"/>
  <c r="L30" i="6" s="1"/>
  <c r="N30" i="6"/>
  <c r="O30" i="6" s="1"/>
  <c r="P30" i="6" s="1"/>
  <c r="K31" i="6"/>
  <c r="L31" i="6" s="1"/>
  <c r="N31" i="6"/>
  <c r="O31" i="6" s="1"/>
  <c r="P31" i="6" s="1"/>
  <c r="K32" i="6"/>
  <c r="L32" i="6" s="1"/>
  <c r="N32" i="6"/>
  <c r="O32" i="6" s="1"/>
  <c r="P32" i="6" s="1"/>
  <c r="K33" i="6"/>
  <c r="L33" i="6" s="1"/>
  <c r="N33" i="6"/>
  <c r="O33" i="6" s="1"/>
  <c r="P33" i="6" s="1"/>
  <c r="K34" i="6"/>
  <c r="L34" i="6" s="1"/>
  <c r="N34" i="6"/>
  <c r="O34" i="6" s="1"/>
  <c r="P34" i="6" s="1"/>
  <c r="K35" i="6"/>
  <c r="L35" i="6" s="1"/>
  <c r="N35" i="6"/>
  <c r="O35" i="6" s="1"/>
  <c r="P35" i="6" s="1"/>
  <c r="K36" i="6"/>
  <c r="L36" i="6" s="1"/>
  <c r="N36" i="6"/>
  <c r="O36" i="6" s="1"/>
  <c r="P36" i="6" s="1"/>
  <c r="K37" i="6"/>
  <c r="L37" i="6" s="1"/>
  <c r="N37" i="6"/>
  <c r="O37" i="6" s="1"/>
  <c r="P37" i="6" s="1"/>
  <c r="K38" i="6"/>
  <c r="L38" i="6" s="1"/>
  <c r="N38" i="6"/>
  <c r="O38" i="6" s="1"/>
  <c r="P38" i="6" s="1"/>
  <c r="K39" i="6"/>
  <c r="L39" i="6" s="1"/>
  <c r="N39" i="6"/>
  <c r="O39" i="6" s="1"/>
  <c r="P39" i="6" s="1"/>
  <c r="K40" i="6"/>
  <c r="L40" i="6" s="1"/>
  <c r="N40" i="6"/>
  <c r="O40" i="6" s="1"/>
  <c r="P40" i="6" s="1"/>
  <c r="K41" i="6"/>
  <c r="L41" i="6" s="1"/>
  <c r="N41" i="6"/>
  <c r="O41" i="6" s="1"/>
  <c r="P41" i="6" s="1"/>
  <c r="K42" i="6"/>
  <c r="L42" i="6" s="1"/>
  <c r="N42" i="6"/>
  <c r="O42" i="6" s="1"/>
  <c r="P42" i="6" s="1"/>
  <c r="K43" i="6"/>
  <c r="L43" i="6" s="1"/>
  <c r="N43" i="6"/>
  <c r="O43" i="6" s="1"/>
  <c r="P43" i="6" s="1"/>
  <c r="K44" i="6"/>
  <c r="L44" i="6" s="1"/>
  <c r="N44" i="6"/>
  <c r="O44" i="6" s="1"/>
  <c r="P44" i="6" s="1"/>
  <c r="K45" i="6"/>
  <c r="L45" i="6" s="1"/>
  <c r="N45" i="6"/>
  <c r="O45" i="6" s="1"/>
  <c r="P45" i="6" s="1"/>
  <c r="K46" i="6"/>
  <c r="L46" i="6" s="1"/>
  <c r="N46" i="6"/>
  <c r="O46" i="6" s="1"/>
  <c r="P46" i="6" s="1"/>
  <c r="K47" i="6"/>
  <c r="L47" i="6" s="1"/>
  <c r="N47" i="6"/>
  <c r="O47" i="6" s="1"/>
  <c r="P47" i="6" s="1"/>
  <c r="K48" i="6"/>
  <c r="L48" i="6" s="1"/>
  <c r="N48" i="6"/>
  <c r="O48" i="6" s="1"/>
  <c r="P48" i="6" s="1"/>
  <c r="K49" i="6"/>
  <c r="L49" i="6" s="1"/>
  <c r="N49" i="6"/>
  <c r="O49" i="6" s="1"/>
  <c r="P49" i="6" s="1"/>
  <c r="K50" i="6"/>
  <c r="L50" i="6" s="1"/>
  <c r="N50" i="6"/>
  <c r="O50" i="6" s="1"/>
  <c r="P50" i="6" s="1"/>
  <c r="K51" i="6"/>
  <c r="L51" i="6" s="1"/>
  <c r="N51" i="6"/>
  <c r="O51" i="6" s="1"/>
  <c r="P51" i="6" s="1"/>
  <c r="K52" i="6"/>
  <c r="L52" i="6" s="1"/>
  <c r="N52" i="6"/>
  <c r="O52" i="6" s="1"/>
  <c r="P52" i="6" s="1"/>
  <c r="K53" i="6"/>
  <c r="L53" i="6" s="1"/>
  <c r="N53" i="6"/>
  <c r="O53" i="6" s="1"/>
  <c r="P53" i="6" s="1"/>
  <c r="K54" i="6"/>
  <c r="L54" i="6" s="1"/>
  <c r="N54" i="6"/>
  <c r="O54" i="6" s="1"/>
  <c r="P54" i="6" s="1"/>
  <c r="K55" i="6"/>
  <c r="L55" i="6" s="1"/>
  <c r="N55" i="6"/>
  <c r="O55" i="6" s="1"/>
  <c r="P55" i="6" s="1"/>
  <c r="K56" i="6"/>
  <c r="L56" i="6" s="1"/>
  <c r="N56" i="6"/>
  <c r="O56" i="6" s="1"/>
  <c r="P56" i="6" s="1"/>
  <c r="K57" i="6"/>
  <c r="L57" i="6" s="1"/>
  <c r="M57" i="6"/>
  <c r="N57" i="6" s="1"/>
  <c r="O57" i="6" s="1"/>
  <c r="P57" i="6" s="1"/>
  <c r="K58" i="6"/>
  <c r="L58" i="6" s="1"/>
  <c r="N58" i="6"/>
  <c r="O58" i="6" s="1"/>
  <c r="P58" i="6" s="1"/>
  <c r="K59" i="6"/>
  <c r="L59" i="6" s="1"/>
  <c r="N59" i="6"/>
  <c r="O59" i="6" s="1"/>
  <c r="P59" i="6" s="1"/>
  <c r="K60" i="6"/>
  <c r="L60" i="6" s="1"/>
  <c r="N60" i="6"/>
  <c r="O60" i="6" s="1"/>
  <c r="P60" i="6" s="1"/>
  <c r="K61" i="6"/>
  <c r="L61" i="6" s="1"/>
  <c r="N61" i="6"/>
  <c r="O61" i="6" s="1"/>
  <c r="P61" i="6" s="1"/>
  <c r="K62" i="6"/>
  <c r="L62" i="6" s="1"/>
  <c r="N62" i="6"/>
  <c r="O62" i="6" s="1"/>
  <c r="P62" i="6" s="1"/>
  <c r="K63" i="6"/>
  <c r="L63" i="6" s="1"/>
  <c r="N63" i="6"/>
  <c r="O63" i="6" s="1"/>
  <c r="P63" i="6" s="1"/>
  <c r="K64" i="6"/>
  <c r="L64" i="6" s="1"/>
  <c r="N64" i="6"/>
  <c r="O64" i="6" s="1"/>
  <c r="P64" i="6" s="1"/>
  <c r="K65" i="6"/>
  <c r="L65" i="6" s="1"/>
  <c r="N65" i="6"/>
  <c r="O65" i="6" s="1"/>
  <c r="P65" i="6" s="1"/>
  <c r="K66" i="6"/>
  <c r="L66" i="6" s="1"/>
  <c r="N66" i="6"/>
  <c r="O66" i="6" s="1"/>
  <c r="P66" i="6" s="1"/>
  <c r="K67" i="6"/>
  <c r="L67" i="6" s="1"/>
  <c r="N67" i="6"/>
  <c r="O67" i="6" s="1"/>
  <c r="P67" i="6" s="1"/>
  <c r="K68" i="6"/>
  <c r="L68" i="6" s="1"/>
  <c r="M68" i="6"/>
  <c r="N68" i="6" s="1"/>
  <c r="O68" i="6" s="1"/>
  <c r="P68" i="6" s="1"/>
  <c r="K69" i="6"/>
  <c r="L69" i="6" s="1"/>
  <c r="M69" i="6"/>
  <c r="N69" i="6" s="1"/>
  <c r="O69" i="6" s="1"/>
  <c r="P69" i="6" s="1"/>
  <c r="K70" i="6"/>
  <c r="L70" i="6" s="1"/>
  <c r="N70" i="6"/>
  <c r="O70" i="6" s="1"/>
  <c r="P70" i="6" s="1"/>
  <c r="K71" i="6"/>
  <c r="L71" i="6" s="1"/>
  <c r="N71" i="6"/>
  <c r="O71" i="6" s="1"/>
  <c r="P71" i="6" s="1"/>
  <c r="K72" i="6"/>
  <c r="L72" i="6" s="1"/>
  <c r="N72" i="6"/>
  <c r="O72" i="6" s="1"/>
  <c r="P72" i="6" s="1"/>
  <c r="K73" i="6"/>
  <c r="L73" i="6" s="1"/>
  <c r="N73" i="6"/>
  <c r="O73" i="6" s="1"/>
  <c r="P73" i="6" s="1"/>
  <c r="K74" i="6"/>
  <c r="L74" i="6" s="1"/>
  <c r="N74" i="6"/>
  <c r="O74" i="6" s="1"/>
  <c r="P74" i="6" s="1"/>
  <c r="K76" i="6"/>
  <c r="L76" i="6" s="1"/>
  <c r="N76" i="6"/>
  <c r="O76" i="6" s="1"/>
  <c r="P76" i="6" s="1"/>
  <c r="K77" i="6"/>
  <c r="L77" i="6" s="1"/>
  <c r="N77" i="6"/>
  <c r="O77" i="6" s="1"/>
  <c r="P77" i="6" s="1"/>
  <c r="K78" i="6"/>
  <c r="L78" i="6" s="1"/>
  <c r="N78" i="6"/>
  <c r="O78" i="6" s="1"/>
  <c r="P78" i="6" s="1"/>
  <c r="K79" i="6"/>
  <c r="L79" i="6" s="1"/>
  <c r="N79" i="6"/>
  <c r="O79" i="6" s="1"/>
  <c r="P79" i="6" s="1"/>
  <c r="K80" i="6"/>
  <c r="L80" i="6" s="1"/>
  <c r="N80" i="6"/>
  <c r="O80" i="6" s="1"/>
  <c r="P80" i="6" s="1"/>
  <c r="K81" i="6"/>
  <c r="L81" i="6" s="1"/>
  <c r="N81" i="6"/>
  <c r="O81" i="6" s="1"/>
  <c r="P81" i="6" s="1"/>
  <c r="K82" i="6"/>
  <c r="L82" i="6" s="1"/>
  <c r="N82" i="6"/>
  <c r="O82" i="6" s="1"/>
  <c r="P82" i="6" s="1"/>
  <c r="K83" i="6"/>
  <c r="L83" i="6" s="1"/>
  <c r="N83" i="6"/>
  <c r="O83" i="6" s="1"/>
  <c r="P83" i="6" s="1"/>
  <c r="K84" i="6"/>
  <c r="L84" i="6" s="1"/>
  <c r="N84" i="6"/>
  <c r="O84" i="6" s="1"/>
  <c r="P84" i="6" s="1"/>
  <c r="K85" i="6"/>
  <c r="L85" i="6" s="1"/>
  <c r="N85" i="6"/>
  <c r="K86" i="6"/>
  <c r="L86" i="6" s="1"/>
  <c r="N86" i="6"/>
  <c r="O86" i="6" s="1"/>
  <c r="P86" i="6" s="1"/>
  <c r="K87" i="6"/>
  <c r="L87" i="6" s="1"/>
  <c r="N87" i="6"/>
  <c r="O87" i="6" s="1"/>
  <c r="P87" i="6" s="1"/>
  <c r="K88" i="6"/>
  <c r="L88" i="6" s="1"/>
  <c r="N88" i="6"/>
  <c r="O88" i="6" s="1"/>
  <c r="P88" i="6" s="1"/>
  <c r="K89" i="6"/>
  <c r="L89" i="6" s="1"/>
  <c r="N89" i="6"/>
  <c r="O89" i="6" s="1"/>
  <c r="P89" i="6" s="1"/>
  <c r="K90" i="6"/>
  <c r="L90" i="6" s="1"/>
  <c r="N90" i="6"/>
  <c r="O90" i="6" s="1"/>
  <c r="P90" i="6" s="1"/>
  <c r="K91" i="6"/>
  <c r="L91" i="6" s="1"/>
  <c r="N91" i="6"/>
  <c r="O91" i="6" s="1"/>
  <c r="P91" i="6" s="1"/>
  <c r="K92" i="6"/>
  <c r="L92" i="6" s="1"/>
  <c r="N92" i="6"/>
  <c r="O92" i="6" s="1"/>
  <c r="P92" i="6" s="1"/>
  <c r="K93" i="6"/>
  <c r="L93" i="6" s="1"/>
  <c r="N93" i="6"/>
  <c r="O93" i="6" s="1"/>
  <c r="P93" i="6" s="1"/>
  <c r="K94" i="6"/>
  <c r="L94" i="6" s="1"/>
  <c r="N94" i="6"/>
  <c r="O94" i="6" s="1"/>
  <c r="P94" i="6" s="1"/>
  <c r="K95" i="6"/>
  <c r="L95" i="6" s="1"/>
  <c r="M95" i="6"/>
  <c r="K96" i="6"/>
  <c r="L96" i="6" s="1"/>
  <c r="M96" i="6"/>
  <c r="N96" i="6" s="1"/>
  <c r="O96" i="6" s="1"/>
  <c r="P96" i="6" s="1"/>
  <c r="K97" i="6"/>
  <c r="L97" i="6" s="1"/>
  <c r="M97" i="6"/>
  <c r="N97" i="6" s="1"/>
  <c r="O97" i="6" s="1"/>
  <c r="P97" i="6" s="1"/>
  <c r="K98" i="6"/>
  <c r="L98" i="6" s="1"/>
  <c r="N98" i="6"/>
  <c r="O98" i="6" s="1"/>
  <c r="P98" i="6" s="1"/>
  <c r="K99" i="6"/>
  <c r="L99" i="6" s="1"/>
  <c r="M99" i="6"/>
  <c r="K100" i="6"/>
  <c r="L100" i="6" s="1"/>
  <c r="N100" i="6"/>
  <c r="O100" i="6" s="1"/>
  <c r="P100" i="6" s="1"/>
  <c r="D101" i="6"/>
  <c r="D254" i="6" s="1"/>
  <c r="K101" i="6"/>
  <c r="L101" i="6" s="1"/>
  <c r="M101" i="6"/>
  <c r="K102" i="6"/>
  <c r="L102" i="6" s="1"/>
  <c r="N102" i="6"/>
  <c r="O102" i="6" s="1"/>
  <c r="P102" i="6" s="1"/>
  <c r="K103" i="6"/>
  <c r="L103" i="6" s="1"/>
  <c r="N103" i="6"/>
  <c r="O103" i="6" s="1"/>
  <c r="P103" i="6" s="1"/>
  <c r="K104" i="6"/>
  <c r="L104" i="6" s="1"/>
  <c r="N104" i="6"/>
  <c r="O104" i="6" s="1"/>
  <c r="P104" i="6" s="1"/>
  <c r="K105" i="6"/>
  <c r="L105" i="6" s="1"/>
  <c r="N105" i="6"/>
  <c r="O105" i="6" s="1"/>
  <c r="P105" i="6" s="1"/>
  <c r="K106" i="6"/>
  <c r="L106" i="6" s="1"/>
  <c r="N106" i="6"/>
  <c r="O106" i="6" s="1"/>
  <c r="P106" i="6" s="1"/>
  <c r="K107" i="6"/>
  <c r="L107" i="6" s="1"/>
  <c r="N107" i="6"/>
  <c r="O107" i="6" s="1"/>
  <c r="P107" i="6" s="1"/>
  <c r="K108" i="6"/>
  <c r="L108" i="6" s="1"/>
  <c r="N108" i="6"/>
  <c r="O108" i="6" s="1"/>
  <c r="P108" i="6" s="1"/>
  <c r="K109" i="6"/>
  <c r="L109" i="6" s="1"/>
  <c r="N109" i="6"/>
  <c r="O109" i="6" s="1"/>
  <c r="P109" i="6" s="1"/>
  <c r="K110" i="6"/>
  <c r="L110" i="6" s="1"/>
  <c r="N110" i="6"/>
  <c r="O110" i="6" s="1"/>
  <c r="P110" i="6" s="1"/>
  <c r="K111" i="6"/>
  <c r="L111" i="6" s="1"/>
  <c r="N111" i="6"/>
  <c r="O111" i="6" s="1"/>
  <c r="P111" i="6" s="1"/>
  <c r="K112" i="6"/>
  <c r="L112" i="6" s="1"/>
  <c r="N112" i="6"/>
  <c r="O112" i="6" s="1"/>
  <c r="P112" i="6" s="1"/>
  <c r="K113" i="6"/>
  <c r="L113" i="6" s="1"/>
  <c r="N113" i="6"/>
  <c r="O113" i="6" s="1"/>
  <c r="P113" i="6" s="1"/>
  <c r="K114" i="6"/>
  <c r="L114" i="6" s="1"/>
  <c r="N114" i="6"/>
  <c r="O114" i="6" s="1"/>
  <c r="P114" i="6" s="1"/>
  <c r="K115" i="6"/>
  <c r="L115" i="6" s="1"/>
  <c r="N115" i="6"/>
  <c r="O115" i="6" s="1"/>
  <c r="P115" i="6" s="1"/>
  <c r="K116" i="6"/>
  <c r="L116" i="6" s="1"/>
  <c r="M116" i="6"/>
  <c r="N116" i="6" s="1"/>
  <c r="O116" i="6" s="1"/>
  <c r="P116" i="6" s="1"/>
  <c r="K117" i="6"/>
  <c r="L117" i="6" s="1"/>
  <c r="N117" i="6"/>
  <c r="O117" i="6" s="1"/>
  <c r="P117" i="6" s="1"/>
  <c r="K118" i="6"/>
  <c r="L118" i="6" s="1"/>
  <c r="N118" i="6"/>
  <c r="O118" i="6" s="1"/>
  <c r="P118" i="6" s="1"/>
  <c r="K119" i="6"/>
  <c r="L119" i="6" s="1"/>
  <c r="M119" i="6"/>
  <c r="N119" i="6" s="1"/>
  <c r="O119" i="6" s="1"/>
  <c r="P119" i="6" s="1"/>
  <c r="K120" i="6"/>
  <c r="L120" i="6" s="1"/>
  <c r="N120" i="6"/>
  <c r="O120" i="6" s="1"/>
  <c r="P120" i="6" s="1"/>
  <c r="K121" i="6"/>
  <c r="L121" i="6" s="1"/>
  <c r="N121" i="6"/>
  <c r="O121" i="6" s="1"/>
  <c r="P121" i="6" s="1"/>
  <c r="K122" i="6"/>
  <c r="L122" i="6" s="1"/>
  <c r="N122" i="6"/>
  <c r="O122" i="6" s="1"/>
  <c r="P122" i="6" s="1"/>
  <c r="K123" i="6"/>
  <c r="L123" i="6" s="1"/>
  <c r="N123" i="6"/>
  <c r="O123" i="6" s="1"/>
  <c r="P123" i="6" s="1"/>
  <c r="K124" i="6"/>
  <c r="L124" i="6" s="1"/>
  <c r="N124" i="6"/>
  <c r="O124" i="6" s="1"/>
  <c r="P124" i="6" s="1"/>
  <c r="K125" i="6"/>
  <c r="L125" i="6" s="1"/>
  <c r="N125" i="6"/>
  <c r="O125" i="6" s="1"/>
  <c r="P125" i="6" s="1"/>
  <c r="K126" i="6"/>
  <c r="L126" i="6" s="1"/>
  <c r="N126" i="6"/>
  <c r="O126" i="6" s="1"/>
  <c r="P126" i="6" s="1"/>
  <c r="K127" i="6"/>
  <c r="L127" i="6" s="1"/>
  <c r="N127" i="6"/>
  <c r="O127" i="6" s="1"/>
  <c r="P127" i="6" s="1"/>
  <c r="K128" i="6"/>
  <c r="L128" i="6" s="1"/>
  <c r="N128" i="6"/>
  <c r="O128" i="6" s="1"/>
  <c r="P128" i="6" s="1"/>
  <c r="K129" i="6"/>
  <c r="L129" i="6" s="1"/>
  <c r="N129" i="6"/>
  <c r="O129" i="6" s="1"/>
  <c r="P129" i="6" s="1"/>
  <c r="K130" i="6"/>
  <c r="L130" i="6" s="1"/>
  <c r="N130" i="6"/>
  <c r="O130" i="6" s="1"/>
  <c r="P130" i="6" s="1"/>
  <c r="K131" i="6"/>
  <c r="L131" i="6" s="1"/>
  <c r="N131" i="6"/>
  <c r="O131" i="6" s="1"/>
  <c r="P131" i="6" s="1"/>
  <c r="K132" i="6"/>
  <c r="L132" i="6" s="1"/>
  <c r="N132" i="6"/>
  <c r="O132" i="6" s="1"/>
  <c r="P132" i="6" s="1"/>
  <c r="K133" i="6"/>
  <c r="L133" i="6" s="1"/>
  <c r="N133" i="6"/>
  <c r="O133" i="6" s="1"/>
  <c r="P133" i="6" s="1"/>
  <c r="K134" i="6"/>
  <c r="L134" i="6" s="1"/>
  <c r="N134" i="6"/>
  <c r="O134" i="6" s="1"/>
  <c r="P134" i="6" s="1"/>
  <c r="K135" i="6"/>
  <c r="L135" i="6" s="1"/>
  <c r="N135" i="6"/>
  <c r="O135" i="6" s="1"/>
  <c r="P135" i="6" s="1"/>
  <c r="K136" i="6"/>
  <c r="L136" i="6" s="1"/>
  <c r="N136" i="6"/>
  <c r="O136" i="6" s="1"/>
  <c r="P136" i="6" s="1"/>
  <c r="K137" i="6"/>
  <c r="L137" i="6" s="1"/>
  <c r="N137" i="6"/>
  <c r="O137" i="6" s="1"/>
  <c r="P137" i="6" s="1"/>
  <c r="K138" i="6"/>
  <c r="L138" i="6" s="1"/>
  <c r="N138" i="6"/>
  <c r="O138" i="6" s="1"/>
  <c r="P138" i="6" s="1"/>
  <c r="K139" i="6"/>
  <c r="L139" i="6" s="1"/>
  <c r="N139" i="6"/>
  <c r="O139" i="6" s="1"/>
  <c r="P139" i="6" s="1"/>
  <c r="K140" i="6"/>
  <c r="L140" i="6" s="1"/>
  <c r="N140" i="6"/>
  <c r="O140" i="6" s="1"/>
  <c r="P140" i="6" s="1"/>
  <c r="K141" i="6"/>
  <c r="L141" i="6" s="1"/>
  <c r="N141" i="6"/>
  <c r="O141" i="6" s="1"/>
  <c r="P141" i="6" s="1"/>
  <c r="K142" i="6"/>
  <c r="L142" i="6" s="1"/>
  <c r="N142" i="6"/>
  <c r="O142" i="6" s="1"/>
  <c r="P142" i="6" s="1"/>
  <c r="K143" i="6"/>
  <c r="L143" i="6" s="1"/>
  <c r="N143" i="6"/>
  <c r="O143" i="6" s="1"/>
  <c r="P143" i="6" s="1"/>
  <c r="K144" i="6"/>
  <c r="L144" i="6" s="1"/>
  <c r="N144" i="6"/>
  <c r="O144" i="6" s="1"/>
  <c r="P144" i="6" s="1"/>
  <c r="K145" i="6"/>
  <c r="L145" i="6" s="1"/>
  <c r="N145" i="6"/>
  <c r="O145" i="6" s="1"/>
  <c r="P145" i="6" s="1"/>
  <c r="K146" i="6"/>
  <c r="L146" i="6" s="1"/>
  <c r="N146" i="6"/>
  <c r="O146" i="6" s="1"/>
  <c r="P146" i="6" s="1"/>
  <c r="K147" i="6"/>
  <c r="L147" i="6" s="1"/>
  <c r="N147" i="6"/>
  <c r="O147" i="6" s="1"/>
  <c r="P147" i="6" s="1"/>
  <c r="K148" i="6"/>
  <c r="L148" i="6" s="1"/>
  <c r="N148" i="6"/>
  <c r="O148" i="6" s="1"/>
  <c r="P148" i="6" s="1"/>
  <c r="K149" i="6"/>
  <c r="L149" i="6" s="1"/>
  <c r="N149" i="6"/>
  <c r="O149" i="6" s="1"/>
  <c r="P149" i="6" s="1"/>
  <c r="K150" i="6"/>
  <c r="L150" i="6" s="1"/>
  <c r="N150" i="6"/>
  <c r="O150" i="6" s="1"/>
  <c r="P150" i="6" s="1"/>
  <c r="K151" i="6"/>
  <c r="L151" i="6" s="1"/>
  <c r="N151" i="6"/>
  <c r="O151" i="6" s="1"/>
  <c r="P151" i="6" s="1"/>
  <c r="K152" i="6"/>
  <c r="L152" i="6" s="1"/>
  <c r="N152" i="6"/>
  <c r="O152" i="6" s="1"/>
  <c r="P152" i="6" s="1"/>
  <c r="K153" i="6"/>
  <c r="L153" i="6" s="1"/>
  <c r="N153" i="6"/>
  <c r="O153" i="6" s="1"/>
  <c r="P153" i="6" s="1"/>
  <c r="K154" i="6"/>
  <c r="L154" i="6" s="1"/>
  <c r="N154" i="6"/>
  <c r="O154" i="6" s="1"/>
  <c r="P154" i="6" s="1"/>
  <c r="K155" i="6"/>
  <c r="L155" i="6" s="1"/>
  <c r="N155" i="6"/>
  <c r="O155" i="6" s="1"/>
  <c r="P155" i="6" s="1"/>
  <c r="K156" i="6"/>
  <c r="L156" i="6" s="1"/>
  <c r="N156" i="6"/>
  <c r="O156" i="6" s="1"/>
  <c r="P156" i="6" s="1"/>
  <c r="K157" i="6"/>
  <c r="L157" i="6" s="1"/>
  <c r="N157" i="6"/>
  <c r="O157" i="6" s="1"/>
  <c r="P157" i="6" s="1"/>
  <c r="K158" i="6"/>
  <c r="L158" i="6" s="1"/>
  <c r="N158" i="6"/>
  <c r="O158" i="6" s="1"/>
  <c r="P158" i="6" s="1"/>
  <c r="K159" i="6"/>
  <c r="L159" i="6" s="1"/>
  <c r="N159" i="6"/>
  <c r="O159" i="6" s="1"/>
  <c r="P159" i="6" s="1"/>
  <c r="K160" i="6"/>
  <c r="L160" i="6" s="1"/>
  <c r="N160" i="6"/>
  <c r="O160" i="6" s="1"/>
  <c r="P160" i="6" s="1"/>
  <c r="K161" i="6"/>
  <c r="L161" i="6" s="1"/>
  <c r="N161" i="6"/>
  <c r="O161" i="6" s="1"/>
  <c r="P161" i="6" s="1"/>
  <c r="K162" i="6"/>
  <c r="L162" i="6" s="1"/>
  <c r="N162" i="6"/>
  <c r="O162" i="6" s="1"/>
  <c r="P162" i="6" s="1"/>
  <c r="K163" i="6"/>
  <c r="L163" i="6" s="1"/>
  <c r="N163" i="6"/>
  <c r="O163" i="6" s="1"/>
  <c r="P163" i="6" s="1"/>
  <c r="K164" i="6"/>
  <c r="L164" i="6" s="1"/>
  <c r="N164" i="6"/>
  <c r="O164" i="6" s="1"/>
  <c r="P164" i="6" s="1"/>
  <c r="K165" i="6"/>
  <c r="L165" i="6" s="1"/>
  <c r="N165" i="6"/>
  <c r="O165" i="6" s="1"/>
  <c r="P165" i="6" s="1"/>
  <c r="K166" i="6"/>
  <c r="L166" i="6" s="1"/>
  <c r="N166" i="6"/>
  <c r="O166" i="6" s="1"/>
  <c r="P166" i="6" s="1"/>
  <c r="K167" i="6"/>
  <c r="L167" i="6" s="1"/>
  <c r="N167" i="6"/>
  <c r="O167" i="6" s="1"/>
  <c r="P167" i="6" s="1"/>
  <c r="K168" i="6"/>
  <c r="L168" i="6" s="1"/>
  <c r="N168" i="6"/>
  <c r="O168" i="6" s="1"/>
  <c r="P168" i="6" s="1"/>
  <c r="K169" i="6"/>
  <c r="L169" i="6" s="1"/>
  <c r="N169" i="6"/>
  <c r="O169" i="6" s="1"/>
  <c r="P169" i="6" s="1"/>
  <c r="K170" i="6"/>
  <c r="L170" i="6" s="1"/>
  <c r="N170" i="6"/>
  <c r="O170" i="6" s="1"/>
  <c r="P170" i="6" s="1"/>
  <c r="K171" i="6"/>
  <c r="L171" i="6" s="1"/>
  <c r="N171" i="6"/>
  <c r="O171" i="6" s="1"/>
  <c r="P171" i="6" s="1"/>
  <c r="K172" i="6"/>
  <c r="L172" i="6" s="1"/>
  <c r="N172" i="6"/>
  <c r="O172" i="6" s="1"/>
  <c r="P172" i="6" s="1"/>
  <c r="K173" i="6"/>
  <c r="L173" i="6" s="1"/>
  <c r="N173" i="6"/>
  <c r="O173" i="6" s="1"/>
  <c r="P173" i="6" s="1"/>
  <c r="K174" i="6"/>
  <c r="L174" i="6" s="1"/>
  <c r="N174" i="6"/>
  <c r="O174" i="6" s="1"/>
  <c r="P174" i="6" s="1"/>
  <c r="K175" i="6"/>
  <c r="L175" i="6" s="1"/>
  <c r="N175" i="6"/>
  <c r="O175" i="6" s="1"/>
  <c r="P175" i="6" s="1"/>
  <c r="K176" i="6"/>
  <c r="L176" i="6" s="1"/>
  <c r="N176" i="6"/>
  <c r="O176" i="6" s="1"/>
  <c r="P176" i="6" s="1"/>
  <c r="K177" i="6"/>
  <c r="L177" i="6" s="1"/>
  <c r="N177" i="6"/>
  <c r="O177" i="6" s="1"/>
  <c r="P177" i="6" s="1"/>
  <c r="K178" i="6"/>
  <c r="L178" i="6" s="1"/>
  <c r="N178" i="6"/>
  <c r="O178" i="6" s="1"/>
  <c r="P178" i="6" s="1"/>
  <c r="K179" i="6"/>
  <c r="L179" i="6" s="1"/>
  <c r="N179" i="6"/>
  <c r="O179" i="6" s="1"/>
  <c r="P179" i="6" s="1"/>
  <c r="K180" i="6"/>
  <c r="L180" i="6" s="1"/>
  <c r="N180" i="6"/>
  <c r="O180" i="6" s="1"/>
  <c r="P180" i="6" s="1"/>
  <c r="K181" i="6"/>
  <c r="L181" i="6" s="1"/>
  <c r="N181" i="6"/>
  <c r="O181" i="6" s="1"/>
  <c r="P181" i="6" s="1"/>
  <c r="K182" i="6"/>
  <c r="L182" i="6" s="1"/>
  <c r="N182" i="6"/>
  <c r="O182" i="6" s="1"/>
  <c r="P182" i="6" s="1"/>
  <c r="K183" i="6"/>
  <c r="L183" i="6" s="1"/>
  <c r="N183" i="6"/>
  <c r="O183" i="6" s="1"/>
  <c r="P183" i="6" s="1"/>
  <c r="K184" i="6"/>
  <c r="L184" i="6" s="1"/>
  <c r="N184" i="6"/>
  <c r="O184" i="6" s="1"/>
  <c r="P184" i="6" s="1"/>
  <c r="K185" i="6"/>
  <c r="L185" i="6" s="1"/>
  <c r="N185" i="6"/>
  <c r="O185" i="6" s="1"/>
  <c r="P185" i="6" s="1"/>
  <c r="K186" i="6"/>
  <c r="L186" i="6" s="1"/>
  <c r="N186" i="6"/>
  <c r="O186" i="6" s="1"/>
  <c r="P186" i="6" s="1"/>
  <c r="K187" i="6"/>
  <c r="L187" i="6" s="1"/>
  <c r="N187" i="6"/>
  <c r="O187" i="6" s="1"/>
  <c r="P187" i="6" s="1"/>
  <c r="K188" i="6"/>
  <c r="L188" i="6" s="1"/>
  <c r="N188" i="6"/>
  <c r="O188" i="6" s="1"/>
  <c r="P188" i="6" s="1"/>
  <c r="K189" i="6"/>
  <c r="L189" i="6" s="1"/>
  <c r="N189" i="6"/>
  <c r="O189" i="6" s="1"/>
  <c r="P189" i="6" s="1"/>
  <c r="K190" i="6"/>
  <c r="L190" i="6" s="1"/>
  <c r="N190" i="6"/>
  <c r="O190" i="6" s="1"/>
  <c r="P190" i="6" s="1"/>
  <c r="K191" i="6"/>
  <c r="L191" i="6" s="1"/>
  <c r="N191" i="6"/>
  <c r="O191" i="6" s="1"/>
  <c r="P191" i="6" s="1"/>
  <c r="K192" i="6"/>
  <c r="L192" i="6" s="1"/>
  <c r="N192" i="6"/>
  <c r="O192" i="6" s="1"/>
  <c r="P192" i="6" s="1"/>
  <c r="K193" i="6"/>
  <c r="L193" i="6" s="1"/>
  <c r="N193" i="6"/>
  <c r="O193" i="6" s="1"/>
  <c r="P193" i="6" s="1"/>
  <c r="K194" i="6"/>
  <c r="L194" i="6" s="1"/>
  <c r="N194" i="6"/>
  <c r="O194" i="6" s="1"/>
  <c r="P194" i="6" s="1"/>
  <c r="K195" i="6"/>
  <c r="L195" i="6" s="1"/>
  <c r="N195" i="6"/>
  <c r="O195" i="6" s="1"/>
  <c r="P195" i="6" s="1"/>
  <c r="K196" i="6"/>
  <c r="L196" i="6" s="1"/>
  <c r="N196" i="6"/>
  <c r="O196" i="6" s="1"/>
  <c r="P196" i="6" s="1"/>
  <c r="K197" i="6"/>
  <c r="L197" i="6" s="1"/>
  <c r="N197" i="6"/>
  <c r="O197" i="6" s="1"/>
  <c r="P197" i="6" s="1"/>
  <c r="K198" i="6"/>
  <c r="L198" i="6" s="1"/>
  <c r="N198" i="6"/>
  <c r="O198" i="6" s="1"/>
  <c r="P198" i="6" s="1"/>
  <c r="K199" i="6"/>
  <c r="L199" i="6" s="1"/>
  <c r="N199" i="6"/>
  <c r="O199" i="6" s="1"/>
  <c r="P199" i="6" s="1"/>
  <c r="K200" i="6"/>
  <c r="L200" i="6" s="1"/>
  <c r="N200" i="6"/>
  <c r="O200" i="6" s="1"/>
  <c r="P200" i="6" s="1"/>
  <c r="K201" i="6"/>
  <c r="L201" i="6" s="1"/>
  <c r="N201" i="6"/>
  <c r="O201" i="6" s="1"/>
  <c r="P201" i="6" s="1"/>
  <c r="K202" i="6"/>
  <c r="L202" i="6" s="1"/>
  <c r="N202" i="6"/>
  <c r="O202" i="6" s="1"/>
  <c r="P202" i="6" s="1"/>
  <c r="K203" i="6"/>
  <c r="L203" i="6" s="1"/>
  <c r="N203" i="6"/>
  <c r="O203" i="6" s="1"/>
  <c r="P203" i="6" s="1"/>
  <c r="K204" i="6"/>
  <c r="L204" i="6" s="1"/>
  <c r="N204" i="6"/>
  <c r="O204" i="6" s="1"/>
  <c r="P204" i="6" s="1"/>
  <c r="K205" i="6"/>
  <c r="L205" i="6" s="1"/>
  <c r="N205" i="6"/>
  <c r="O205" i="6" s="1"/>
  <c r="P205" i="6" s="1"/>
  <c r="K206" i="6"/>
  <c r="L206" i="6" s="1"/>
  <c r="N206" i="6"/>
  <c r="O206" i="6" s="1"/>
  <c r="P206" i="6" s="1"/>
  <c r="K207" i="6"/>
  <c r="L207" i="6" s="1"/>
  <c r="N207" i="6"/>
  <c r="O207" i="6" s="1"/>
  <c r="P207" i="6" s="1"/>
  <c r="K208" i="6"/>
  <c r="L208" i="6" s="1"/>
  <c r="N208" i="6"/>
  <c r="O208" i="6" s="1"/>
  <c r="P208" i="6" s="1"/>
  <c r="K209" i="6"/>
  <c r="L209" i="6" s="1"/>
  <c r="N209" i="6"/>
  <c r="O209" i="6" s="1"/>
  <c r="P209" i="6" s="1"/>
  <c r="K210" i="6"/>
  <c r="L210" i="6" s="1"/>
  <c r="N210" i="6"/>
  <c r="O210" i="6" s="1"/>
  <c r="P210" i="6" s="1"/>
  <c r="K211" i="6"/>
  <c r="L211" i="6" s="1"/>
  <c r="N211" i="6"/>
  <c r="O211" i="6" s="1"/>
  <c r="P211" i="6" s="1"/>
  <c r="K212" i="6"/>
  <c r="L212" i="6" s="1"/>
  <c r="N212" i="6"/>
  <c r="O212" i="6" s="1"/>
  <c r="P212" i="6" s="1"/>
  <c r="K213" i="6"/>
  <c r="L213" i="6" s="1"/>
  <c r="N213" i="6"/>
  <c r="O213" i="6" s="1"/>
  <c r="P213" i="6" s="1"/>
  <c r="K214" i="6"/>
  <c r="L214" i="6" s="1"/>
  <c r="N214" i="6"/>
  <c r="O214" i="6" s="1"/>
  <c r="P214" i="6" s="1"/>
  <c r="K215" i="6"/>
  <c r="L215" i="6" s="1"/>
  <c r="N215" i="6"/>
  <c r="O215" i="6" s="1"/>
  <c r="P215" i="6" s="1"/>
  <c r="K216" i="6"/>
  <c r="L216" i="6" s="1"/>
  <c r="N216" i="6"/>
  <c r="O216" i="6" s="1"/>
  <c r="P216" i="6" s="1"/>
  <c r="K217" i="6"/>
  <c r="L217" i="6" s="1"/>
  <c r="N217" i="6"/>
  <c r="O217" i="6" s="1"/>
  <c r="P217" i="6" s="1"/>
  <c r="K218" i="6"/>
  <c r="L218" i="6" s="1"/>
  <c r="N218" i="6"/>
  <c r="O218" i="6" s="1"/>
  <c r="P218" i="6" s="1"/>
  <c r="K219" i="6"/>
  <c r="L219" i="6" s="1"/>
  <c r="N219" i="6"/>
  <c r="O219" i="6" s="1"/>
  <c r="P219" i="6" s="1"/>
  <c r="K220" i="6"/>
  <c r="L220" i="6" s="1"/>
  <c r="N220" i="6"/>
  <c r="O220" i="6" s="1"/>
  <c r="P220" i="6" s="1"/>
  <c r="K221" i="6"/>
  <c r="L221" i="6" s="1"/>
  <c r="N221" i="6"/>
  <c r="O221" i="6" s="1"/>
  <c r="P221" i="6" s="1"/>
  <c r="K222" i="6"/>
  <c r="L222" i="6" s="1"/>
  <c r="N222" i="6"/>
  <c r="O222" i="6" s="1"/>
  <c r="P222" i="6" s="1"/>
  <c r="K223" i="6"/>
  <c r="L223" i="6" s="1"/>
  <c r="N223" i="6"/>
  <c r="O223" i="6" s="1"/>
  <c r="P223" i="6" s="1"/>
  <c r="K224" i="6"/>
  <c r="L224" i="6" s="1"/>
  <c r="N224" i="6"/>
  <c r="O224" i="6" s="1"/>
  <c r="P224" i="6" s="1"/>
  <c r="K225" i="6"/>
  <c r="L225" i="6" s="1"/>
  <c r="N225" i="6"/>
  <c r="O225" i="6" s="1"/>
  <c r="P225" i="6" s="1"/>
  <c r="K226" i="6"/>
  <c r="L226" i="6" s="1"/>
  <c r="N226" i="6"/>
  <c r="O226" i="6" s="1"/>
  <c r="P226" i="6" s="1"/>
  <c r="K227" i="6"/>
  <c r="L227" i="6" s="1"/>
  <c r="N227" i="6"/>
  <c r="O227" i="6" s="1"/>
  <c r="P227" i="6" s="1"/>
  <c r="K228" i="6"/>
  <c r="L228" i="6" s="1"/>
  <c r="N228" i="6"/>
  <c r="O228" i="6" s="1"/>
  <c r="P228" i="6" s="1"/>
  <c r="K229" i="6"/>
  <c r="L229" i="6" s="1"/>
  <c r="N229" i="6"/>
  <c r="O229" i="6" s="1"/>
  <c r="P229" i="6" s="1"/>
  <c r="K230" i="6"/>
  <c r="L230" i="6" s="1"/>
  <c r="N230" i="6"/>
  <c r="O230" i="6" s="1"/>
  <c r="P230" i="6" s="1"/>
  <c r="K231" i="6"/>
  <c r="L231" i="6" s="1"/>
  <c r="N231" i="6"/>
  <c r="O231" i="6" s="1"/>
  <c r="P231" i="6" s="1"/>
  <c r="K232" i="6"/>
  <c r="L232" i="6" s="1"/>
  <c r="N232" i="6"/>
  <c r="O232" i="6" s="1"/>
  <c r="P232" i="6" s="1"/>
  <c r="K233" i="6"/>
  <c r="L233" i="6" s="1"/>
  <c r="N233" i="6"/>
  <c r="O233" i="6" s="1"/>
  <c r="P233" i="6" s="1"/>
  <c r="K234" i="6"/>
  <c r="L234" i="6" s="1"/>
  <c r="N234" i="6"/>
  <c r="O234" i="6" s="1"/>
  <c r="P234" i="6" s="1"/>
  <c r="K235" i="6"/>
  <c r="L235" i="6" s="1"/>
  <c r="N235" i="6"/>
  <c r="O235" i="6" s="1"/>
  <c r="P235" i="6" s="1"/>
  <c r="K236" i="6"/>
  <c r="L236" i="6" s="1"/>
  <c r="K237" i="6"/>
  <c r="L237" i="6" s="1"/>
  <c r="K238" i="6"/>
  <c r="L238" i="6" s="1"/>
  <c r="K239" i="6"/>
  <c r="L239" i="6" s="1"/>
  <c r="N239" i="6"/>
  <c r="O239" i="6" s="1"/>
  <c r="P239" i="6" s="1"/>
  <c r="K240" i="6"/>
  <c r="L240" i="6" s="1"/>
  <c r="N240" i="6"/>
  <c r="O240" i="6" s="1"/>
  <c r="P240" i="6" s="1"/>
  <c r="K241" i="6"/>
  <c r="L241" i="6" s="1"/>
  <c r="N241" i="6"/>
  <c r="O241" i="6" s="1"/>
  <c r="P241" i="6" s="1"/>
  <c r="K242" i="6"/>
  <c r="L242" i="6" s="1"/>
  <c r="N242" i="6"/>
  <c r="O242" i="6" s="1"/>
  <c r="P242" i="6" s="1"/>
  <c r="K243" i="6"/>
  <c r="L243" i="6" s="1"/>
  <c r="N243" i="6"/>
  <c r="O243" i="6" s="1"/>
  <c r="P243" i="6" s="1"/>
  <c r="K244" i="6"/>
  <c r="L244" i="6" s="1"/>
  <c r="N244" i="6"/>
  <c r="O244" i="6" s="1"/>
  <c r="P244" i="6" s="1"/>
  <c r="K245" i="6"/>
  <c r="L245" i="6" s="1"/>
  <c r="N245" i="6"/>
  <c r="O245" i="6" s="1"/>
  <c r="P245" i="6" s="1"/>
  <c r="K246" i="6"/>
  <c r="L246" i="6" s="1"/>
  <c r="N246" i="6"/>
  <c r="O246" i="6" s="1"/>
  <c r="P246" i="6" s="1"/>
  <c r="K247" i="6"/>
  <c r="L247" i="6" s="1"/>
  <c r="N247" i="6"/>
  <c r="O247" i="6" s="1"/>
  <c r="P247" i="6" s="1"/>
  <c r="K248" i="6"/>
  <c r="L248" i="6" s="1"/>
  <c r="N248" i="6"/>
  <c r="O248" i="6" s="1"/>
  <c r="P248" i="6" s="1"/>
  <c r="K249" i="6"/>
  <c r="L249" i="6" s="1"/>
  <c r="N249" i="6"/>
  <c r="O249" i="6" s="1"/>
  <c r="P249" i="6" s="1"/>
  <c r="K250" i="6"/>
  <c r="L250" i="6" s="1"/>
  <c r="N250" i="6"/>
  <c r="O250" i="6" s="1"/>
  <c r="P250" i="6" s="1"/>
  <c r="K251" i="6"/>
  <c r="L251" i="6" s="1"/>
  <c r="N251" i="6"/>
  <c r="O251" i="6" s="1"/>
  <c r="P251" i="6" s="1"/>
  <c r="R254" i="6"/>
  <c r="K258" i="6"/>
  <c r="L258" i="6" s="1"/>
  <c r="N258" i="6"/>
  <c r="K259" i="6"/>
  <c r="L259" i="6" s="1"/>
  <c r="N259" i="6"/>
  <c r="O259" i="6" s="1"/>
  <c r="P259" i="6" s="1"/>
  <c r="K260" i="6"/>
  <c r="L260" i="6" s="1"/>
  <c r="N260" i="6"/>
  <c r="O260" i="6" s="1"/>
  <c r="P260" i="6" s="1"/>
  <c r="K261" i="6"/>
  <c r="L261" i="6" s="1"/>
  <c r="N261" i="6"/>
  <c r="O261" i="6" s="1"/>
  <c r="P261" i="6" s="1"/>
  <c r="K262" i="6"/>
  <c r="L262" i="6" s="1"/>
  <c r="M262" i="6"/>
  <c r="N262" i="6" s="1"/>
  <c r="O262" i="6" s="1"/>
  <c r="P262" i="6" s="1"/>
  <c r="K263" i="6"/>
  <c r="L263" i="6" s="1"/>
  <c r="N263" i="6"/>
  <c r="O263" i="6" s="1"/>
  <c r="P263" i="6" s="1"/>
  <c r="K264" i="6"/>
  <c r="L264" i="6" s="1"/>
  <c r="N264" i="6"/>
  <c r="O264" i="6" s="1"/>
  <c r="P264" i="6" s="1"/>
  <c r="K265" i="6"/>
  <c r="L265" i="6" s="1"/>
  <c r="N265" i="6"/>
  <c r="O265" i="6" s="1"/>
  <c r="P265" i="6" s="1"/>
  <c r="K266" i="6"/>
  <c r="L266" i="6" s="1"/>
  <c r="N266" i="6"/>
  <c r="O266" i="6" s="1"/>
  <c r="P266" i="6" s="1"/>
  <c r="K267" i="6"/>
  <c r="L267" i="6" s="1"/>
  <c r="M267" i="6"/>
  <c r="N267" i="6" s="1"/>
  <c r="O267" i="6" s="1"/>
  <c r="P267" i="6" s="1"/>
  <c r="K268" i="6"/>
  <c r="L268" i="6" s="1"/>
  <c r="M268" i="6"/>
  <c r="N268" i="6" s="1"/>
  <c r="O268" i="6" s="1"/>
  <c r="P268" i="6" s="1"/>
  <c r="K269" i="6"/>
  <c r="L269" i="6" s="1"/>
  <c r="N269" i="6"/>
  <c r="O269" i="6" s="1"/>
  <c r="P269" i="6" s="1"/>
  <c r="K270" i="6"/>
  <c r="L270" i="6" s="1"/>
  <c r="N270" i="6"/>
  <c r="O270" i="6" s="1"/>
  <c r="P270" i="6" s="1"/>
  <c r="K271" i="6"/>
  <c r="L271" i="6" s="1"/>
  <c r="N271" i="6"/>
  <c r="O271" i="6" s="1"/>
  <c r="P271" i="6" s="1"/>
  <c r="K272" i="6"/>
  <c r="L272" i="6" s="1"/>
  <c r="N272" i="6"/>
  <c r="O272" i="6" s="1"/>
  <c r="P272" i="6" s="1"/>
  <c r="K273" i="6"/>
  <c r="L273" i="6" s="1"/>
  <c r="N273" i="6"/>
  <c r="O273" i="6" s="1"/>
  <c r="P273" i="6" s="1"/>
  <c r="K274" i="6"/>
  <c r="L274" i="6" s="1"/>
  <c r="N274" i="6"/>
  <c r="O274" i="6" s="1"/>
  <c r="P274" i="6" s="1"/>
  <c r="K275" i="6"/>
  <c r="L275" i="6" s="1"/>
  <c r="N275" i="6"/>
  <c r="O275" i="6" s="1"/>
  <c r="P275" i="6" s="1"/>
  <c r="K276" i="6"/>
  <c r="L276" i="6" s="1"/>
  <c r="N276" i="6"/>
  <c r="O276" i="6" s="1"/>
  <c r="P276" i="6" s="1"/>
  <c r="K277" i="6"/>
  <c r="L277" i="6" s="1"/>
  <c r="N277" i="6"/>
  <c r="O277" i="6" s="1"/>
  <c r="P277" i="6" s="1"/>
  <c r="K278" i="6"/>
  <c r="L278" i="6" s="1"/>
  <c r="N278" i="6"/>
  <c r="O278" i="6" s="1"/>
  <c r="P278" i="6" s="1"/>
  <c r="K279" i="6"/>
  <c r="L279" i="6" s="1"/>
  <c r="N279" i="6"/>
  <c r="O279" i="6" s="1"/>
  <c r="P279" i="6" s="1"/>
  <c r="K280" i="6"/>
  <c r="L280" i="6" s="1"/>
  <c r="N280" i="6"/>
  <c r="O280" i="6" s="1"/>
  <c r="P280" i="6" s="1"/>
  <c r="K281" i="6"/>
  <c r="L281" i="6" s="1"/>
  <c r="N281" i="6"/>
  <c r="O281" i="6" s="1"/>
  <c r="P281" i="6" s="1"/>
  <c r="K282" i="6"/>
  <c r="L282" i="6" s="1"/>
  <c r="N282" i="6"/>
  <c r="K283" i="6"/>
  <c r="L283" i="6" s="1"/>
  <c r="N283" i="6"/>
  <c r="P283" i="6"/>
  <c r="K284" i="6"/>
  <c r="L284" i="6" s="1"/>
  <c r="N284" i="6"/>
  <c r="P284" i="6"/>
  <c r="K285" i="6"/>
  <c r="L285" i="6" s="1"/>
  <c r="N285" i="6"/>
  <c r="P285" i="6"/>
  <c r="K286" i="6"/>
  <c r="L286" i="6" s="1"/>
  <c r="N286" i="6"/>
  <c r="P286" i="6"/>
  <c r="K287" i="6"/>
  <c r="L287" i="6" s="1"/>
  <c r="N287" i="6"/>
  <c r="O287" i="6" s="1"/>
  <c r="P287" i="6" s="1"/>
  <c r="K288" i="6"/>
  <c r="L288" i="6" s="1"/>
  <c r="N288" i="6"/>
  <c r="O288" i="6" s="1"/>
  <c r="P288" i="6" s="1"/>
  <c r="K289" i="6"/>
  <c r="L289" i="6" s="1"/>
  <c r="N289" i="6"/>
  <c r="O289" i="6" s="1"/>
  <c r="P289" i="6" s="1"/>
  <c r="K290" i="6"/>
  <c r="L290" i="6" s="1"/>
  <c r="N290" i="6"/>
  <c r="O290" i="6" s="1"/>
  <c r="P290" i="6" s="1"/>
  <c r="K291" i="6"/>
  <c r="L291" i="6" s="1"/>
  <c r="N291" i="6"/>
  <c r="O291" i="6" s="1"/>
  <c r="P291" i="6" s="1"/>
  <c r="K292" i="6"/>
  <c r="L292" i="6" s="1"/>
  <c r="N292" i="6"/>
  <c r="O292" i="6" s="1"/>
  <c r="P292" i="6" s="1"/>
  <c r="K293" i="6"/>
  <c r="L293" i="6" s="1"/>
  <c r="N293" i="6"/>
  <c r="O293" i="6" s="1"/>
  <c r="P293" i="6" s="1"/>
  <c r="K294" i="6"/>
  <c r="L294" i="6" s="1"/>
  <c r="N294" i="6"/>
  <c r="O294" i="6" s="1"/>
  <c r="P294" i="6" s="1"/>
  <c r="K295" i="6"/>
  <c r="L295" i="6" s="1"/>
  <c r="N295" i="6"/>
  <c r="O295" i="6" s="1"/>
  <c r="P295" i="6" s="1"/>
  <c r="K296" i="6"/>
  <c r="L296" i="6" s="1"/>
  <c r="N296" i="6"/>
  <c r="O296" i="6" s="1"/>
  <c r="P296" i="6" s="1"/>
  <c r="K297" i="6"/>
  <c r="L297" i="6" s="1"/>
  <c r="N297" i="6"/>
  <c r="O297" i="6" s="1"/>
  <c r="P297" i="6" s="1"/>
  <c r="K298" i="6"/>
  <c r="L298" i="6" s="1"/>
  <c r="N298" i="6"/>
  <c r="O298" i="6" s="1"/>
  <c r="P298" i="6" s="1"/>
  <c r="K299" i="6"/>
  <c r="L299" i="6" s="1"/>
  <c r="N299" i="6"/>
  <c r="O299" i="6" s="1"/>
  <c r="P299" i="6" s="1"/>
  <c r="K300" i="6"/>
  <c r="L300" i="6" s="1"/>
  <c r="N300" i="6"/>
  <c r="O300" i="6" s="1"/>
  <c r="P300" i="6" s="1"/>
  <c r="K301" i="6"/>
  <c r="L301" i="6" s="1"/>
  <c r="N301" i="6"/>
  <c r="O301" i="6" s="1"/>
  <c r="P301" i="6" s="1"/>
  <c r="K302" i="6"/>
  <c r="L302" i="6" s="1"/>
  <c r="N302" i="6"/>
  <c r="O302" i="6" s="1"/>
  <c r="P302" i="6" s="1"/>
  <c r="K303" i="6"/>
  <c r="L303" i="6" s="1"/>
  <c r="N303" i="6"/>
  <c r="O303" i="6" s="1"/>
  <c r="P303" i="6" s="1"/>
  <c r="K304" i="6"/>
  <c r="L304" i="6" s="1"/>
  <c r="N304" i="6"/>
  <c r="O304" i="6" s="1"/>
  <c r="P304" i="6" s="1"/>
  <c r="K305" i="6"/>
  <c r="L305" i="6" s="1"/>
  <c r="N305" i="6"/>
  <c r="O305" i="6" s="1"/>
  <c r="P305" i="6" s="1"/>
  <c r="K306" i="6"/>
  <c r="L306" i="6" s="1"/>
  <c r="N306" i="6"/>
  <c r="O306" i="6" s="1"/>
  <c r="P306" i="6" s="1"/>
  <c r="K307" i="6"/>
  <c r="L307" i="6" s="1"/>
  <c r="N307" i="6"/>
  <c r="O307" i="6" s="1"/>
  <c r="P307" i="6" s="1"/>
  <c r="K308" i="6"/>
  <c r="L308" i="6" s="1"/>
  <c r="N308" i="6"/>
  <c r="O308" i="6" s="1"/>
  <c r="P308" i="6" s="1"/>
  <c r="K309" i="6"/>
  <c r="L309" i="6" s="1"/>
  <c r="N309" i="6"/>
  <c r="O309" i="6" s="1"/>
  <c r="P309" i="6" s="1"/>
  <c r="K310" i="6"/>
  <c r="L310" i="6" s="1"/>
  <c r="N310" i="6"/>
  <c r="O310" i="6" s="1"/>
  <c r="P310" i="6" s="1"/>
  <c r="K311" i="6"/>
  <c r="L311" i="6" s="1"/>
  <c r="N311" i="6"/>
  <c r="O311" i="6" s="1"/>
  <c r="P311" i="6" s="1"/>
  <c r="K312" i="6"/>
  <c r="L312" i="6" s="1"/>
  <c r="N312" i="6"/>
  <c r="O312" i="6" s="1"/>
  <c r="P312" i="6" s="1"/>
  <c r="K313" i="6"/>
  <c r="L313" i="6" s="1"/>
  <c r="N313" i="6"/>
  <c r="O313" i="6" s="1"/>
  <c r="P313" i="6" s="1"/>
  <c r="K314" i="6"/>
  <c r="L314" i="6" s="1"/>
  <c r="N314" i="6"/>
  <c r="O314" i="6" s="1"/>
  <c r="P314" i="6" s="1"/>
  <c r="K315" i="6"/>
  <c r="L315" i="6" s="1"/>
  <c r="N315" i="6"/>
  <c r="O315" i="6" s="1"/>
  <c r="P315" i="6" s="1"/>
  <c r="K316" i="6"/>
  <c r="L316" i="6" s="1"/>
  <c r="N316" i="6"/>
  <c r="O316" i="6" s="1"/>
  <c r="P316" i="6" s="1"/>
  <c r="K317" i="6"/>
  <c r="L317" i="6" s="1"/>
  <c r="N317" i="6"/>
  <c r="O317" i="6" s="1"/>
  <c r="P317" i="6" s="1"/>
  <c r="K318" i="6"/>
  <c r="L318" i="6" s="1"/>
  <c r="N318" i="6"/>
  <c r="O318" i="6" s="1"/>
  <c r="P318" i="6" s="1"/>
  <c r="K319" i="6"/>
  <c r="L319" i="6" s="1"/>
  <c r="N319" i="6"/>
  <c r="O319" i="6" s="1"/>
  <c r="P319" i="6" s="1"/>
  <c r="K320" i="6"/>
  <c r="L320" i="6" s="1"/>
  <c r="N320" i="6"/>
  <c r="O320" i="6" s="1"/>
  <c r="P320" i="6" s="1"/>
  <c r="K321" i="6"/>
  <c r="L321" i="6" s="1"/>
  <c r="N321" i="6"/>
  <c r="O321" i="6" s="1"/>
  <c r="P321" i="6" s="1"/>
  <c r="K322" i="6"/>
  <c r="L322" i="6" s="1"/>
  <c r="N322" i="6"/>
  <c r="O322" i="6" s="1"/>
  <c r="P322" i="6" s="1"/>
  <c r="K323" i="6"/>
  <c r="L323" i="6" s="1"/>
  <c r="N323" i="6"/>
  <c r="O323" i="6" s="1"/>
  <c r="P323" i="6" s="1"/>
  <c r="K324" i="6"/>
  <c r="L324" i="6" s="1"/>
  <c r="N324" i="6"/>
  <c r="O324" i="6" s="1"/>
  <c r="P324" i="6" s="1"/>
  <c r="K325" i="6"/>
  <c r="L325" i="6" s="1"/>
  <c r="N325" i="6"/>
  <c r="O325" i="6" s="1"/>
  <c r="P325" i="6" s="1"/>
  <c r="K326" i="6"/>
  <c r="L326" i="6" s="1"/>
  <c r="N326" i="6"/>
  <c r="O326" i="6" s="1"/>
  <c r="P326" i="6" s="1"/>
  <c r="K327" i="6"/>
  <c r="L327" i="6" s="1"/>
  <c r="N327" i="6"/>
  <c r="O327" i="6" s="1"/>
  <c r="P327" i="6" s="1"/>
  <c r="K328" i="6"/>
  <c r="L328" i="6" s="1"/>
  <c r="N328" i="6"/>
  <c r="O328" i="6" s="1"/>
  <c r="P328" i="6" s="1"/>
  <c r="K329" i="6"/>
  <c r="L329" i="6" s="1"/>
  <c r="N329" i="6"/>
  <c r="O329" i="6" s="1"/>
  <c r="P329" i="6" s="1"/>
  <c r="K330" i="6"/>
  <c r="L330" i="6" s="1"/>
  <c r="N330" i="6"/>
  <c r="O330" i="6" s="1"/>
  <c r="P330" i="6" s="1"/>
  <c r="K331" i="6"/>
  <c r="L331" i="6" s="1"/>
  <c r="N331" i="6"/>
  <c r="O331" i="6" s="1"/>
  <c r="P331" i="6" s="1"/>
  <c r="K332" i="6"/>
  <c r="L332" i="6" s="1"/>
  <c r="N332" i="6"/>
  <c r="O332" i="6" s="1"/>
  <c r="P332" i="6" s="1"/>
  <c r="K333" i="6"/>
  <c r="L333" i="6" s="1"/>
  <c r="N333" i="6"/>
  <c r="O333" i="6" s="1"/>
  <c r="P333" i="6" s="1"/>
  <c r="K334" i="6"/>
  <c r="L334" i="6" s="1"/>
  <c r="N334" i="6"/>
  <c r="O334" i="6" s="1"/>
  <c r="P334" i="6" s="1"/>
  <c r="K335" i="6"/>
  <c r="L335" i="6" s="1"/>
  <c r="N335" i="6"/>
  <c r="O335" i="6" s="1"/>
  <c r="P335" i="6" s="1"/>
  <c r="K336" i="6"/>
  <c r="L336" i="6" s="1"/>
  <c r="N336" i="6"/>
  <c r="O336" i="6" s="1"/>
  <c r="P336" i="6" s="1"/>
  <c r="K337" i="6"/>
  <c r="L337" i="6" s="1"/>
  <c r="N337" i="6"/>
  <c r="O337" i="6" s="1"/>
  <c r="P337" i="6" s="1"/>
  <c r="K338" i="6"/>
  <c r="L338" i="6" s="1"/>
  <c r="N338" i="6"/>
  <c r="O338" i="6" s="1"/>
  <c r="P338" i="6" s="1"/>
  <c r="K339" i="6"/>
  <c r="L339" i="6" s="1"/>
  <c r="N339" i="6"/>
  <c r="O339" i="6" s="1"/>
  <c r="P339" i="6" s="1"/>
  <c r="K340" i="6"/>
  <c r="L340" i="6" s="1"/>
  <c r="N340" i="6"/>
  <c r="O340" i="6" s="1"/>
  <c r="P340" i="6" s="1"/>
  <c r="K341" i="6"/>
  <c r="L341" i="6" s="1"/>
  <c r="N341" i="6"/>
  <c r="O341" i="6" s="1"/>
  <c r="P341" i="6" s="1"/>
  <c r="K342" i="6"/>
  <c r="L342" i="6" s="1"/>
  <c r="N342" i="6"/>
  <c r="O342" i="6" s="1"/>
  <c r="P342" i="6" s="1"/>
  <c r="K343" i="6"/>
  <c r="L343" i="6" s="1"/>
  <c r="N343" i="6"/>
  <c r="O343" i="6" s="1"/>
  <c r="P343" i="6" s="1"/>
  <c r="K344" i="6"/>
  <c r="L344" i="6" s="1"/>
  <c r="N344" i="6"/>
  <c r="O344" i="6" s="1"/>
  <c r="P344" i="6" s="1"/>
  <c r="K345" i="6"/>
  <c r="L345" i="6" s="1"/>
  <c r="N345" i="6"/>
  <c r="O345" i="6" s="1"/>
  <c r="P345" i="6" s="1"/>
  <c r="K346" i="6"/>
  <c r="L346" i="6" s="1"/>
  <c r="N346" i="6"/>
  <c r="O346" i="6" s="1"/>
  <c r="P346" i="6" s="1"/>
  <c r="K347" i="6"/>
  <c r="L347" i="6" s="1"/>
  <c r="N347" i="6"/>
  <c r="O347" i="6" s="1"/>
  <c r="P347" i="6" s="1"/>
  <c r="K348" i="6"/>
  <c r="L348" i="6" s="1"/>
  <c r="N348" i="6"/>
  <c r="O348" i="6" s="1"/>
  <c r="P348" i="6" s="1"/>
  <c r="K349" i="6"/>
  <c r="L349" i="6" s="1"/>
  <c r="N349" i="6"/>
  <c r="O349" i="6" s="1"/>
  <c r="P349" i="6" s="1"/>
  <c r="K350" i="6"/>
  <c r="L350" i="6" s="1"/>
  <c r="N350" i="6"/>
  <c r="O350" i="6" s="1"/>
  <c r="P350" i="6" s="1"/>
  <c r="K351" i="6"/>
  <c r="L351" i="6" s="1"/>
  <c r="N351" i="6"/>
  <c r="O351" i="6" s="1"/>
  <c r="P351" i="6" s="1"/>
  <c r="K352" i="6"/>
  <c r="L352" i="6" s="1"/>
  <c r="N352" i="6"/>
  <c r="O352" i="6" s="1"/>
  <c r="P352" i="6" s="1"/>
  <c r="K353" i="6"/>
  <c r="L353" i="6" s="1"/>
  <c r="N353" i="6"/>
  <c r="O353" i="6" s="1"/>
  <c r="P353" i="6" s="1"/>
  <c r="K354" i="6"/>
  <c r="L354" i="6" s="1"/>
  <c r="N354" i="6"/>
  <c r="O354" i="6" s="1"/>
  <c r="P354" i="6" s="1"/>
  <c r="K355" i="6"/>
  <c r="L355" i="6" s="1"/>
  <c r="N355" i="6"/>
  <c r="O355" i="6" s="1"/>
  <c r="P355" i="6" s="1"/>
  <c r="K356" i="6"/>
  <c r="L356" i="6" s="1"/>
  <c r="N356" i="6"/>
  <c r="O356" i="6" s="1"/>
  <c r="P356" i="6" s="1"/>
  <c r="K357" i="6"/>
  <c r="L357" i="6" s="1"/>
  <c r="N357" i="6"/>
  <c r="O357" i="6" s="1"/>
  <c r="P357" i="6" s="1"/>
  <c r="K358" i="6"/>
  <c r="L358" i="6" s="1"/>
  <c r="N358" i="6"/>
  <c r="O358" i="6" s="1"/>
  <c r="P358" i="6" s="1"/>
  <c r="K359" i="6"/>
  <c r="L359" i="6" s="1"/>
  <c r="N359" i="6"/>
  <c r="O359" i="6" s="1"/>
  <c r="P359" i="6" s="1"/>
  <c r="K360" i="6"/>
  <c r="L360" i="6" s="1"/>
  <c r="N360" i="6"/>
  <c r="O360" i="6" s="1"/>
  <c r="P360" i="6" s="1"/>
  <c r="K361" i="6"/>
  <c r="L361" i="6" s="1"/>
  <c r="N361" i="6"/>
  <c r="O361" i="6" s="1"/>
  <c r="P361" i="6" s="1"/>
  <c r="K362" i="6"/>
  <c r="L362" i="6" s="1"/>
  <c r="N362" i="6"/>
  <c r="O362" i="6" s="1"/>
  <c r="P362" i="6" s="1"/>
  <c r="K363" i="6"/>
  <c r="L363" i="6" s="1"/>
  <c r="N363" i="6"/>
  <c r="O363" i="6" s="1"/>
  <c r="P363" i="6" s="1"/>
  <c r="K364" i="6"/>
  <c r="L364" i="6" s="1"/>
  <c r="N364" i="6"/>
  <c r="O364" i="6" s="1"/>
  <c r="P364" i="6" s="1"/>
  <c r="K365" i="6"/>
  <c r="L365" i="6" s="1"/>
  <c r="N365" i="6"/>
  <c r="O365" i="6" s="1"/>
  <c r="P365" i="6" s="1"/>
  <c r="K366" i="6"/>
  <c r="L366" i="6" s="1"/>
  <c r="N366" i="6"/>
  <c r="O366" i="6" s="1"/>
  <c r="P366" i="6" s="1"/>
  <c r="K367" i="6"/>
  <c r="L367" i="6" s="1"/>
  <c r="N367" i="6"/>
  <c r="O367" i="6" s="1"/>
  <c r="P367" i="6" s="1"/>
  <c r="K368" i="6"/>
  <c r="L368" i="6" s="1"/>
  <c r="N368" i="6"/>
  <c r="O368" i="6" s="1"/>
  <c r="P368" i="6" s="1"/>
  <c r="K369" i="6"/>
  <c r="L369" i="6" s="1"/>
  <c r="N369" i="6"/>
  <c r="O369" i="6" s="1"/>
  <c r="P369" i="6" s="1"/>
  <c r="K370" i="6"/>
  <c r="L370" i="6" s="1"/>
  <c r="N370" i="6"/>
  <c r="O370" i="6" s="1"/>
  <c r="P370" i="6" s="1"/>
  <c r="K371" i="6"/>
  <c r="L371" i="6" s="1"/>
  <c r="N371" i="6"/>
  <c r="O371" i="6" s="1"/>
  <c r="P371" i="6" s="1"/>
  <c r="K372" i="6"/>
  <c r="L372" i="6" s="1"/>
  <c r="N372" i="6"/>
  <c r="O372" i="6" s="1"/>
  <c r="P372" i="6" s="1"/>
  <c r="K373" i="6"/>
  <c r="L373" i="6" s="1"/>
  <c r="N373" i="6"/>
  <c r="O373" i="6" s="1"/>
  <c r="P373" i="6" s="1"/>
  <c r="K374" i="6"/>
  <c r="L374" i="6" s="1"/>
  <c r="N374" i="6"/>
  <c r="O374" i="6" s="1"/>
  <c r="P374" i="6" s="1"/>
  <c r="K375" i="6"/>
  <c r="L375" i="6" s="1"/>
  <c r="N375" i="6"/>
  <c r="O375" i="6" s="1"/>
  <c r="P375" i="6" s="1"/>
  <c r="K376" i="6"/>
  <c r="L376" i="6" s="1"/>
  <c r="N376" i="6"/>
  <c r="O376" i="6" s="1"/>
  <c r="P376" i="6" s="1"/>
  <c r="K377" i="6"/>
  <c r="L377" i="6" s="1"/>
  <c r="N377" i="6"/>
  <c r="O377" i="6" s="1"/>
  <c r="P377" i="6" s="1"/>
  <c r="K378" i="6"/>
  <c r="L378" i="6" s="1"/>
  <c r="N378" i="6"/>
  <c r="O378" i="6" s="1"/>
  <c r="P378" i="6" s="1"/>
  <c r="K379" i="6"/>
  <c r="L379" i="6" s="1"/>
  <c r="N379" i="6"/>
  <c r="O379" i="6" s="1"/>
  <c r="P379" i="6" s="1"/>
  <c r="K380" i="6"/>
  <c r="L380" i="6" s="1"/>
  <c r="N380" i="6"/>
  <c r="O380" i="6" s="1"/>
  <c r="P380" i="6" s="1"/>
  <c r="K381" i="6"/>
  <c r="L381" i="6" s="1"/>
  <c r="N381" i="6"/>
  <c r="O381" i="6" s="1"/>
  <c r="P381" i="6" s="1"/>
  <c r="K382" i="6"/>
  <c r="L382" i="6" s="1"/>
  <c r="N382" i="6"/>
  <c r="O382" i="6" s="1"/>
  <c r="P382" i="6" s="1"/>
  <c r="K383" i="6"/>
  <c r="L383" i="6" s="1"/>
  <c r="N383" i="6"/>
  <c r="O383" i="6" s="1"/>
  <c r="P383" i="6" s="1"/>
  <c r="K384" i="6"/>
  <c r="L384" i="6" s="1"/>
  <c r="N384" i="6"/>
  <c r="O384" i="6" s="1"/>
  <c r="P384" i="6" s="1"/>
  <c r="K385" i="6"/>
  <c r="L385" i="6" s="1"/>
  <c r="N385" i="6"/>
  <c r="O385" i="6" s="1"/>
  <c r="P385" i="6" s="1"/>
  <c r="K386" i="6"/>
  <c r="L386" i="6" s="1"/>
  <c r="N386" i="6"/>
  <c r="O386" i="6" s="1"/>
  <c r="P386" i="6" s="1"/>
  <c r="K387" i="6"/>
  <c r="L387" i="6" s="1"/>
  <c r="N387" i="6"/>
  <c r="O387" i="6" s="1"/>
  <c r="P387" i="6" s="1"/>
  <c r="K388" i="6"/>
  <c r="L388" i="6" s="1"/>
  <c r="N388" i="6"/>
  <c r="O388" i="6" s="1"/>
  <c r="P388" i="6" s="1"/>
  <c r="K389" i="6"/>
  <c r="L389" i="6" s="1"/>
  <c r="N389" i="6"/>
  <c r="O389" i="6" s="1"/>
  <c r="P389" i="6" s="1"/>
  <c r="K390" i="6"/>
  <c r="L390" i="6" s="1"/>
  <c r="N390" i="6"/>
  <c r="O390" i="6" s="1"/>
  <c r="P390" i="6" s="1"/>
  <c r="K391" i="6"/>
  <c r="L391" i="6" s="1"/>
  <c r="N391" i="6"/>
  <c r="O391" i="6" s="1"/>
  <c r="P391" i="6" s="1"/>
  <c r="K392" i="6"/>
  <c r="L392" i="6" s="1"/>
  <c r="N392" i="6"/>
  <c r="O392" i="6" s="1"/>
  <c r="P392" i="6" s="1"/>
  <c r="K393" i="6"/>
  <c r="L393" i="6" s="1"/>
  <c r="N393" i="6"/>
  <c r="O393" i="6" s="1"/>
  <c r="P393" i="6" s="1"/>
  <c r="K394" i="6"/>
  <c r="L394" i="6" s="1"/>
  <c r="N394" i="6"/>
  <c r="O394" i="6" s="1"/>
  <c r="P394" i="6" s="1"/>
  <c r="K395" i="6"/>
  <c r="L395" i="6" s="1"/>
  <c r="N395" i="6"/>
  <c r="O395" i="6" s="1"/>
  <c r="P395" i="6" s="1"/>
  <c r="K396" i="6"/>
  <c r="L396" i="6" s="1"/>
  <c r="N396" i="6"/>
  <c r="O396" i="6" s="1"/>
  <c r="P396" i="6" s="1"/>
  <c r="K397" i="6"/>
  <c r="L397" i="6" s="1"/>
  <c r="N397" i="6"/>
  <c r="O397" i="6" s="1"/>
  <c r="P397" i="6" s="1"/>
  <c r="K398" i="6"/>
  <c r="L398" i="6" s="1"/>
  <c r="N398" i="6"/>
  <c r="O398" i="6" s="1"/>
  <c r="P398" i="6" s="1"/>
  <c r="K399" i="6"/>
  <c r="L399" i="6" s="1"/>
  <c r="N399" i="6"/>
  <c r="O399" i="6" s="1"/>
  <c r="P399" i="6" s="1"/>
  <c r="K400" i="6"/>
  <c r="L400" i="6" s="1"/>
  <c r="N400" i="6"/>
  <c r="O400" i="6" s="1"/>
  <c r="P400" i="6" s="1"/>
  <c r="K401" i="6"/>
  <c r="L401" i="6" s="1"/>
  <c r="N401" i="6"/>
  <c r="O401" i="6" s="1"/>
  <c r="P401" i="6" s="1"/>
  <c r="K402" i="6"/>
  <c r="L402" i="6" s="1"/>
  <c r="N402" i="6"/>
  <c r="O402" i="6" s="1"/>
  <c r="P402" i="6" s="1"/>
  <c r="K403" i="6"/>
  <c r="L403" i="6" s="1"/>
  <c r="N403" i="6"/>
  <c r="O403" i="6" s="1"/>
  <c r="P403" i="6" s="1"/>
  <c r="D405" i="6"/>
  <c r="R405" i="6"/>
  <c r="K410" i="6"/>
  <c r="L410" i="6" s="1"/>
  <c r="N410" i="6"/>
  <c r="O410" i="6" s="1"/>
  <c r="P410" i="6" s="1"/>
  <c r="K411" i="6"/>
  <c r="L411" i="6" s="1"/>
  <c r="N411" i="6"/>
  <c r="D413" i="6"/>
  <c r="M413" i="6"/>
  <c r="R413" i="6"/>
  <c r="K418" i="6"/>
  <c r="L418" i="6" s="1"/>
  <c r="N418" i="6"/>
  <c r="D419" i="6"/>
  <c r="K419" i="6"/>
  <c r="L419" i="6" s="1"/>
  <c r="M419" i="6"/>
  <c r="K420" i="6"/>
  <c r="L420" i="6" s="1"/>
  <c r="N420" i="6"/>
  <c r="O420" i="6" s="1"/>
  <c r="P420" i="6" s="1"/>
  <c r="K421" i="6"/>
  <c r="L421" i="6" s="1"/>
  <c r="N421" i="6"/>
  <c r="O421" i="6" s="1"/>
  <c r="P421" i="6" s="1"/>
  <c r="D422" i="6"/>
  <c r="K422" i="6"/>
  <c r="L422" i="6" s="1"/>
  <c r="N422" i="6"/>
  <c r="O422" i="6" s="1"/>
  <c r="P422" i="6" s="1"/>
  <c r="K423" i="6"/>
  <c r="L423" i="6" s="1"/>
  <c r="N423" i="6"/>
  <c r="O423" i="6" s="1"/>
  <c r="P423" i="6" s="1"/>
  <c r="K424" i="6"/>
  <c r="L424" i="6" s="1"/>
  <c r="N424" i="6"/>
  <c r="O424" i="6" s="1"/>
  <c r="P424" i="6" s="1"/>
  <c r="K425" i="6"/>
  <c r="L425" i="6" s="1"/>
  <c r="N425" i="6"/>
  <c r="O425" i="6" s="1"/>
  <c r="P425" i="6" s="1"/>
  <c r="K426" i="6"/>
  <c r="L426" i="6" s="1"/>
  <c r="N426" i="6"/>
  <c r="O426" i="6" s="1"/>
  <c r="P426" i="6" s="1"/>
  <c r="K427" i="6"/>
  <c r="L427" i="6" s="1"/>
  <c r="N427" i="6"/>
  <c r="O427" i="6" s="1"/>
  <c r="P427" i="6" s="1"/>
  <c r="K428" i="6"/>
  <c r="L428" i="6" s="1"/>
  <c r="M428" i="6"/>
  <c r="K429" i="6"/>
  <c r="L429" i="6" s="1"/>
  <c r="N429" i="6"/>
  <c r="O429" i="6" s="1"/>
  <c r="P429" i="6" s="1"/>
  <c r="K430" i="6"/>
  <c r="L430" i="6" s="1"/>
  <c r="M430" i="6"/>
  <c r="N430" i="6" s="1"/>
  <c r="O430" i="6" s="1"/>
  <c r="P430" i="6" s="1"/>
  <c r="K431" i="6"/>
  <c r="L431" i="6" s="1"/>
  <c r="N431" i="6"/>
  <c r="O431" i="6" s="1"/>
  <c r="P431" i="6" s="1"/>
  <c r="K432" i="6"/>
  <c r="L432" i="6" s="1"/>
  <c r="N432" i="6"/>
  <c r="O432" i="6" s="1"/>
  <c r="P432" i="6" s="1"/>
  <c r="K433" i="6"/>
  <c r="L433" i="6" s="1"/>
  <c r="N433" i="6"/>
  <c r="O433" i="6" s="1"/>
  <c r="P433" i="6" s="1"/>
  <c r="K434" i="6"/>
  <c r="L434" i="6" s="1"/>
  <c r="N434" i="6"/>
  <c r="O434" i="6" s="1"/>
  <c r="P434" i="6" s="1"/>
  <c r="D435" i="6"/>
  <c r="K435" i="6"/>
  <c r="L435" i="6" s="1"/>
  <c r="M435" i="6"/>
  <c r="N435" i="6" s="1"/>
  <c r="O435" i="6" s="1"/>
  <c r="P435" i="6" s="1"/>
  <c r="K436" i="6"/>
  <c r="L436" i="6" s="1"/>
  <c r="N436" i="6"/>
  <c r="O436" i="6" s="1"/>
  <c r="P436" i="6" s="1"/>
  <c r="K437" i="6"/>
  <c r="L437" i="6" s="1"/>
  <c r="N437" i="6"/>
  <c r="O437" i="6" s="1"/>
  <c r="P437" i="6" s="1"/>
  <c r="K438" i="6"/>
  <c r="L438" i="6" s="1"/>
  <c r="N438" i="6"/>
  <c r="O438" i="6" s="1"/>
  <c r="P438" i="6" s="1"/>
  <c r="K439" i="6"/>
  <c r="L439" i="6" s="1"/>
  <c r="N439" i="6"/>
  <c r="O439" i="6" s="1"/>
  <c r="P439" i="6" s="1"/>
  <c r="K440" i="6"/>
  <c r="L440" i="6" s="1"/>
  <c r="N440" i="6"/>
  <c r="O440" i="6" s="1"/>
  <c r="P440" i="6" s="1"/>
  <c r="K441" i="6"/>
  <c r="L441" i="6" s="1"/>
  <c r="N441" i="6"/>
  <c r="O441" i="6" s="1"/>
  <c r="P441" i="6" s="1"/>
  <c r="K442" i="6"/>
  <c r="L442" i="6" s="1"/>
  <c r="N442" i="6"/>
  <c r="O442" i="6" s="1"/>
  <c r="P442" i="6" s="1"/>
  <c r="K443" i="6"/>
  <c r="L443" i="6" s="1"/>
  <c r="N443" i="6"/>
  <c r="O443" i="6" s="1"/>
  <c r="P443" i="6" s="1"/>
  <c r="K444" i="6"/>
  <c r="L444" i="6" s="1"/>
  <c r="N444" i="6"/>
  <c r="O444" i="6" s="1"/>
  <c r="P444" i="6" s="1"/>
  <c r="K445" i="6"/>
  <c r="L445" i="6" s="1"/>
  <c r="N445" i="6"/>
  <c r="O445" i="6" s="1"/>
  <c r="P445" i="6" s="1"/>
  <c r="K446" i="6"/>
  <c r="L446" i="6" s="1"/>
  <c r="N446" i="6"/>
  <c r="O446" i="6" s="1"/>
  <c r="P446" i="6" s="1"/>
  <c r="R448" i="6"/>
  <c r="K453" i="6"/>
  <c r="L453" i="6" s="1"/>
  <c r="M453" i="6"/>
  <c r="K454" i="6"/>
  <c r="L454" i="6" s="1"/>
  <c r="M454" i="6"/>
  <c r="N454" i="6" s="1"/>
  <c r="O454" i="6" s="1"/>
  <c r="P454" i="6" s="1"/>
  <c r="K455" i="6"/>
  <c r="L455" i="6" s="1"/>
  <c r="M455" i="6"/>
  <c r="N455" i="6" s="1"/>
  <c r="O455" i="6" s="1"/>
  <c r="P455" i="6" s="1"/>
  <c r="K456" i="6"/>
  <c r="L456" i="6" s="1"/>
  <c r="M456" i="6"/>
  <c r="N456" i="6" s="1"/>
  <c r="O456" i="6" s="1"/>
  <c r="P456" i="6" s="1"/>
  <c r="K457" i="6"/>
  <c r="L457" i="6" s="1"/>
  <c r="N457" i="6"/>
  <c r="O457" i="6" s="1"/>
  <c r="P457" i="6" s="1"/>
  <c r="D459" i="6"/>
  <c r="R459" i="6"/>
  <c r="K463" i="6"/>
  <c r="L463" i="6" s="1"/>
  <c r="N463" i="6"/>
  <c r="O463" i="6" s="1"/>
  <c r="P463" i="6" s="1"/>
  <c r="K464" i="6"/>
  <c r="L464" i="6" s="1"/>
  <c r="N464" i="6"/>
  <c r="O464" i="6" s="1"/>
  <c r="P464" i="6" s="1"/>
  <c r="K465" i="6"/>
  <c r="L465" i="6" s="1"/>
  <c r="N465" i="6"/>
  <c r="O465" i="6" s="1"/>
  <c r="K466" i="6"/>
  <c r="L466" i="6" s="1"/>
  <c r="N466" i="6"/>
  <c r="O466" i="6" s="1"/>
  <c r="P466" i="6" s="1"/>
  <c r="K467" i="6"/>
  <c r="L467" i="6" s="1"/>
  <c r="N467" i="6"/>
  <c r="O467" i="6" s="1"/>
  <c r="P467" i="6" s="1"/>
  <c r="K468" i="6"/>
  <c r="L468" i="6" s="1"/>
  <c r="N468" i="6"/>
  <c r="O468" i="6" s="1"/>
  <c r="P468" i="6" s="1"/>
  <c r="K469" i="6"/>
  <c r="L469" i="6" s="1"/>
  <c r="N469" i="6"/>
  <c r="O469" i="6" s="1"/>
  <c r="P469" i="6" s="1"/>
  <c r="K470" i="6"/>
  <c r="L470" i="6" s="1"/>
  <c r="N470" i="6"/>
  <c r="O470" i="6" s="1"/>
  <c r="P470" i="6" s="1"/>
  <c r="K471" i="6"/>
  <c r="L471" i="6" s="1"/>
  <c r="N471" i="6"/>
  <c r="O471" i="6" s="1"/>
  <c r="P471" i="6" s="1"/>
  <c r="K472" i="6"/>
  <c r="L472" i="6" s="1"/>
  <c r="N472" i="6"/>
  <c r="O472" i="6" s="1"/>
  <c r="P472" i="6" s="1"/>
  <c r="K473" i="6"/>
  <c r="L473" i="6" s="1"/>
  <c r="N473" i="6"/>
  <c r="O473" i="6" s="1"/>
  <c r="P473" i="6" s="1"/>
  <c r="K474" i="6"/>
  <c r="L474" i="6" s="1"/>
  <c r="N474" i="6"/>
  <c r="O474" i="6" s="1"/>
  <c r="P474" i="6" s="1"/>
  <c r="K475" i="6"/>
  <c r="L475" i="6" s="1"/>
  <c r="N475" i="6"/>
  <c r="O475" i="6" s="1"/>
  <c r="P475" i="6" s="1"/>
  <c r="K476" i="6"/>
  <c r="L476" i="6" s="1"/>
  <c r="N476" i="6"/>
  <c r="O476" i="6" s="1"/>
  <c r="P476" i="6" s="1"/>
  <c r="K477" i="6"/>
  <c r="L477" i="6" s="1"/>
  <c r="N477" i="6"/>
  <c r="O477" i="6" s="1"/>
  <c r="P477" i="6" s="1"/>
  <c r="K478" i="6"/>
  <c r="L478" i="6" s="1"/>
  <c r="N478" i="6"/>
  <c r="O478" i="6" s="1"/>
  <c r="P478" i="6" s="1"/>
  <c r="K479" i="6"/>
  <c r="L479" i="6" s="1"/>
  <c r="N479" i="6"/>
  <c r="O479" i="6" s="1"/>
  <c r="P479" i="6" s="1"/>
  <c r="K480" i="6"/>
  <c r="L480" i="6" s="1"/>
  <c r="N480" i="6"/>
  <c r="O480" i="6" s="1"/>
  <c r="P480" i="6" s="1"/>
  <c r="K481" i="6"/>
  <c r="L481" i="6" s="1"/>
  <c r="N481" i="6"/>
  <c r="O481" i="6" s="1"/>
  <c r="P481" i="6" s="1"/>
  <c r="K482" i="6"/>
  <c r="L482" i="6" s="1"/>
  <c r="N482" i="6"/>
  <c r="O482" i="6" s="1"/>
  <c r="P482" i="6" s="1"/>
  <c r="K483" i="6"/>
  <c r="L483" i="6" s="1"/>
  <c r="N483" i="6"/>
  <c r="O483" i="6" s="1"/>
  <c r="P483" i="6" s="1"/>
  <c r="K484" i="6"/>
  <c r="L484" i="6" s="1"/>
  <c r="N484" i="6"/>
  <c r="O484" i="6" s="1"/>
  <c r="P484" i="6" s="1"/>
  <c r="K485" i="6"/>
  <c r="L485" i="6" s="1"/>
  <c r="N485" i="6"/>
  <c r="O485" i="6" s="1"/>
  <c r="P485" i="6" s="1"/>
  <c r="K486" i="6"/>
  <c r="L486" i="6" s="1"/>
  <c r="N486" i="6"/>
  <c r="O486" i="6" s="1"/>
  <c r="P486" i="6" s="1"/>
  <c r="K487" i="6"/>
  <c r="L487" i="6" s="1"/>
  <c r="N487" i="6"/>
  <c r="O487" i="6" s="1"/>
  <c r="P487" i="6" s="1"/>
  <c r="K488" i="6"/>
  <c r="L488" i="6" s="1"/>
  <c r="N488" i="6"/>
  <c r="O488" i="6" s="1"/>
  <c r="P488" i="6" s="1"/>
  <c r="K489" i="6"/>
  <c r="L489" i="6" s="1"/>
  <c r="N489" i="6"/>
  <c r="O489" i="6" s="1"/>
  <c r="P489" i="6" s="1"/>
  <c r="K490" i="6"/>
  <c r="L490" i="6" s="1"/>
  <c r="N490" i="6"/>
  <c r="O490" i="6" s="1"/>
  <c r="P490" i="6" s="1"/>
  <c r="K491" i="6"/>
  <c r="L491" i="6" s="1"/>
  <c r="N491" i="6"/>
  <c r="O491" i="6" s="1"/>
  <c r="P491" i="6" s="1"/>
  <c r="K492" i="6"/>
  <c r="L492" i="6" s="1"/>
  <c r="N492" i="6"/>
  <c r="O492" i="6" s="1"/>
  <c r="P492" i="6" s="1"/>
  <c r="K493" i="6"/>
  <c r="L493" i="6" s="1"/>
  <c r="N493" i="6"/>
  <c r="O493" i="6" s="1"/>
  <c r="P493" i="6" s="1"/>
  <c r="K494" i="6"/>
  <c r="L494" i="6" s="1"/>
  <c r="N494" i="6"/>
  <c r="O494" i="6" s="1"/>
  <c r="P494" i="6" s="1"/>
  <c r="K495" i="6"/>
  <c r="L495" i="6" s="1"/>
  <c r="N495" i="6"/>
  <c r="O495" i="6" s="1"/>
  <c r="P495" i="6" s="1"/>
  <c r="K496" i="6"/>
  <c r="L496" i="6" s="1"/>
  <c r="N496" i="6"/>
  <c r="O496" i="6" s="1"/>
  <c r="P496" i="6" s="1"/>
  <c r="K497" i="6"/>
  <c r="L497" i="6" s="1"/>
  <c r="N497" i="6"/>
  <c r="O497" i="6" s="1"/>
  <c r="P497" i="6" s="1"/>
  <c r="K498" i="6"/>
  <c r="L498" i="6" s="1"/>
  <c r="N498" i="6"/>
  <c r="O498" i="6" s="1"/>
  <c r="P498" i="6" s="1"/>
  <c r="K499" i="6"/>
  <c r="L499" i="6" s="1"/>
  <c r="N499" i="6"/>
  <c r="O499" i="6" s="1"/>
  <c r="P499" i="6" s="1"/>
  <c r="K500" i="6"/>
  <c r="L500" i="6" s="1"/>
  <c r="N500" i="6"/>
  <c r="O500" i="6" s="1"/>
  <c r="P500" i="6" s="1"/>
  <c r="K501" i="6"/>
  <c r="L501" i="6" s="1"/>
  <c r="N501" i="6"/>
  <c r="O501" i="6" s="1"/>
  <c r="P501" i="6" s="1"/>
  <c r="K502" i="6"/>
  <c r="L502" i="6" s="1"/>
  <c r="N502" i="6"/>
  <c r="O502" i="6" s="1"/>
  <c r="P502" i="6" s="1"/>
  <c r="K503" i="6"/>
  <c r="L503" i="6" s="1"/>
  <c r="N503" i="6"/>
  <c r="O503" i="6" s="1"/>
  <c r="P503" i="6" s="1"/>
  <c r="K504" i="6"/>
  <c r="L504" i="6" s="1"/>
  <c r="N504" i="6"/>
  <c r="O504" i="6" s="1"/>
  <c r="P504" i="6" s="1"/>
  <c r="K505" i="6"/>
  <c r="L505" i="6" s="1"/>
  <c r="N505" i="6"/>
  <c r="O505" i="6" s="1"/>
  <c r="P505" i="6" s="1"/>
  <c r="K506" i="6"/>
  <c r="L506" i="6" s="1"/>
  <c r="N506" i="6"/>
  <c r="O506" i="6" s="1"/>
  <c r="P506" i="6" s="1"/>
  <c r="K507" i="6"/>
  <c r="L507" i="6" s="1"/>
  <c r="N507" i="6"/>
  <c r="O507" i="6" s="1"/>
  <c r="P507" i="6" s="1"/>
  <c r="K508" i="6"/>
  <c r="L508" i="6" s="1"/>
  <c r="N508" i="6"/>
  <c r="O508" i="6" s="1"/>
  <c r="P508" i="6" s="1"/>
  <c r="K509" i="6"/>
  <c r="L509" i="6" s="1"/>
  <c r="N509" i="6"/>
  <c r="O509" i="6" s="1"/>
  <c r="P509" i="6" s="1"/>
  <c r="K510" i="6"/>
  <c r="L510" i="6" s="1"/>
  <c r="N510" i="6"/>
  <c r="O510" i="6" s="1"/>
  <c r="P510" i="6" s="1"/>
  <c r="K511" i="6"/>
  <c r="L511" i="6" s="1"/>
  <c r="N511" i="6"/>
  <c r="O511" i="6" s="1"/>
  <c r="P511" i="6" s="1"/>
  <c r="K512" i="6"/>
  <c r="L512" i="6" s="1"/>
  <c r="N512" i="6"/>
  <c r="O512" i="6" s="1"/>
  <c r="P512" i="6" s="1"/>
  <c r="K513" i="6"/>
  <c r="L513" i="6" s="1"/>
  <c r="N513" i="6"/>
  <c r="O513" i="6" s="1"/>
  <c r="P513" i="6" s="1"/>
  <c r="K514" i="6"/>
  <c r="L514" i="6" s="1"/>
  <c r="N514" i="6"/>
  <c r="O514" i="6" s="1"/>
  <c r="P514" i="6" s="1"/>
  <c r="K515" i="6"/>
  <c r="L515" i="6" s="1"/>
  <c r="N515" i="6"/>
  <c r="O515" i="6" s="1"/>
  <c r="P515" i="6" s="1"/>
  <c r="K516" i="6"/>
  <c r="L516" i="6" s="1"/>
  <c r="N516" i="6"/>
  <c r="O516" i="6" s="1"/>
  <c r="P516" i="6" s="1"/>
  <c r="K517" i="6"/>
  <c r="L517" i="6" s="1"/>
  <c r="N517" i="6"/>
  <c r="O517" i="6" s="1"/>
  <c r="P517" i="6" s="1"/>
  <c r="K518" i="6"/>
  <c r="L518" i="6" s="1"/>
  <c r="N518" i="6"/>
  <c r="O518" i="6" s="1"/>
  <c r="P518" i="6" s="1"/>
  <c r="K519" i="6"/>
  <c r="L519" i="6" s="1"/>
  <c r="N519" i="6"/>
  <c r="O519" i="6" s="1"/>
  <c r="P519" i="6" s="1"/>
  <c r="K520" i="6"/>
  <c r="L520" i="6" s="1"/>
  <c r="N520" i="6"/>
  <c r="O520" i="6" s="1"/>
  <c r="P520" i="6" s="1"/>
  <c r="K521" i="6"/>
  <c r="L521" i="6" s="1"/>
  <c r="N521" i="6"/>
  <c r="O521" i="6" s="1"/>
  <c r="P521" i="6" s="1"/>
  <c r="K522" i="6"/>
  <c r="L522" i="6" s="1"/>
  <c r="N522" i="6"/>
  <c r="O522" i="6" s="1"/>
  <c r="P522" i="6" s="1"/>
  <c r="K523" i="6"/>
  <c r="L523" i="6" s="1"/>
  <c r="N523" i="6"/>
  <c r="O523" i="6" s="1"/>
  <c r="P523" i="6" s="1"/>
  <c r="K524" i="6"/>
  <c r="L524" i="6" s="1"/>
  <c r="N524" i="6"/>
  <c r="O524" i="6" s="1"/>
  <c r="P524" i="6" s="1"/>
  <c r="K525" i="6"/>
  <c r="L525" i="6" s="1"/>
  <c r="N525" i="6"/>
  <c r="O525" i="6" s="1"/>
  <c r="P525" i="6" s="1"/>
  <c r="K526" i="6"/>
  <c r="L526" i="6" s="1"/>
  <c r="N526" i="6"/>
  <c r="O526" i="6" s="1"/>
  <c r="P526" i="6" s="1"/>
  <c r="K527" i="6"/>
  <c r="L527" i="6" s="1"/>
  <c r="N527" i="6"/>
  <c r="O527" i="6" s="1"/>
  <c r="P527" i="6" s="1"/>
  <c r="K528" i="6"/>
  <c r="L528" i="6" s="1"/>
  <c r="N528" i="6"/>
  <c r="O528" i="6" s="1"/>
  <c r="P528" i="6" s="1"/>
  <c r="K529" i="6"/>
  <c r="L529" i="6" s="1"/>
  <c r="N529" i="6"/>
  <c r="O529" i="6" s="1"/>
  <c r="P529" i="6" s="1"/>
  <c r="K530" i="6"/>
  <c r="L530" i="6" s="1"/>
  <c r="N530" i="6"/>
  <c r="O530" i="6" s="1"/>
  <c r="P530" i="6" s="1"/>
  <c r="K531" i="6"/>
  <c r="L531" i="6" s="1"/>
  <c r="N531" i="6"/>
  <c r="O531" i="6" s="1"/>
  <c r="P531" i="6" s="1"/>
  <c r="K532" i="6"/>
  <c r="L532" i="6" s="1"/>
  <c r="N532" i="6"/>
  <c r="O532" i="6" s="1"/>
  <c r="P532" i="6" s="1"/>
  <c r="K533" i="6"/>
  <c r="L533" i="6" s="1"/>
  <c r="N533" i="6"/>
  <c r="O533" i="6" s="1"/>
  <c r="P533" i="6" s="1"/>
  <c r="K534" i="6"/>
  <c r="L534" i="6" s="1"/>
  <c r="N534" i="6"/>
  <c r="O534" i="6" s="1"/>
  <c r="P534" i="6" s="1"/>
  <c r="K535" i="6"/>
  <c r="L535" i="6" s="1"/>
  <c r="N535" i="6"/>
  <c r="O535" i="6" s="1"/>
  <c r="P535" i="6" s="1"/>
  <c r="K536" i="6"/>
  <c r="L536" i="6" s="1"/>
  <c r="N536" i="6"/>
  <c r="O536" i="6" s="1"/>
  <c r="P536" i="6" s="1"/>
  <c r="K537" i="6"/>
  <c r="L537" i="6" s="1"/>
  <c r="N537" i="6"/>
  <c r="O537" i="6" s="1"/>
  <c r="P537" i="6" s="1"/>
  <c r="K538" i="6"/>
  <c r="L538" i="6" s="1"/>
  <c r="N538" i="6"/>
  <c r="O538" i="6" s="1"/>
  <c r="P538" i="6" s="1"/>
  <c r="K539" i="6"/>
  <c r="L539" i="6" s="1"/>
  <c r="N539" i="6"/>
  <c r="O539" i="6" s="1"/>
  <c r="P539" i="6" s="1"/>
  <c r="K540" i="6"/>
  <c r="L540" i="6" s="1"/>
  <c r="N540" i="6"/>
  <c r="O540" i="6" s="1"/>
  <c r="P540" i="6" s="1"/>
  <c r="K541" i="6"/>
  <c r="L541" i="6" s="1"/>
  <c r="N541" i="6"/>
  <c r="O541" i="6" s="1"/>
  <c r="P541" i="6" s="1"/>
  <c r="K542" i="6"/>
  <c r="L542" i="6" s="1"/>
  <c r="N542" i="6"/>
  <c r="O542" i="6" s="1"/>
  <c r="P542" i="6" s="1"/>
  <c r="K543" i="6"/>
  <c r="L543" i="6" s="1"/>
  <c r="N543" i="6"/>
  <c r="O543" i="6" s="1"/>
  <c r="P543" i="6" s="1"/>
  <c r="K544" i="6"/>
  <c r="L544" i="6" s="1"/>
  <c r="N544" i="6"/>
  <c r="O544" i="6" s="1"/>
  <c r="P544" i="6" s="1"/>
  <c r="K545" i="6"/>
  <c r="L545" i="6" s="1"/>
  <c r="N545" i="6"/>
  <c r="O545" i="6" s="1"/>
  <c r="P545" i="6" s="1"/>
  <c r="K546" i="6"/>
  <c r="L546" i="6" s="1"/>
  <c r="N546" i="6"/>
  <c r="O546" i="6" s="1"/>
  <c r="P546" i="6" s="1"/>
  <c r="K547" i="6"/>
  <c r="L547" i="6" s="1"/>
  <c r="N547" i="6"/>
  <c r="O547" i="6" s="1"/>
  <c r="P547" i="6" s="1"/>
  <c r="K548" i="6"/>
  <c r="L548" i="6" s="1"/>
  <c r="N548" i="6"/>
  <c r="O548" i="6" s="1"/>
  <c r="P548" i="6" s="1"/>
  <c r="K549" i="6"/>
  <c r="L549" i="6" s="1"/>
  <c r="N549" i="6"/>
  <c r="O549" i="6" s="1"/>
  <c r="P549" i="6" s="1"/>
  <c r="K550" i="6"/>
  <c r="L550" i="6" s="1"/>
  <c r="N550" i="6"/>
  <c r="O550" i="6" s="1"/>
  <c r="P550" i="6" s="1"/>
  <c r="K551" i="6"/>
  <c r="L551" i="6" s="1"/>
  <c r="N551" i="6"/>
  <c r="O551" i="6" s="1"/>
  <c r="P551" i="6" s="1"/>
  <c r="K552" i="6"/>
  <c r="L552" i="6" s="1"/>
  <c r="N552" i="6"/>
  <c r="O552" i="6" s="1"/>
  <c r="P552" i="6" s="1"/>
  <c r="K553" i="6"/>
  <c r="L553" i="6" s="1"/>
  <c r="N553" i="6"/>
  <c r="O553" i="6" s="1"/>
  <c r="P553" i="6" s="1"/>
  <c r="K554" i="6"/>
  <c r="L554" i="6" s="1"/>
  <c r="N554" i="6"/>
  <c r="O554" i="6" s="1"/>
  <c r="P554" i="6" s="1"/>
  <c r="K555" i="6"/>
  <c r="L555" i="6" s="1"/>
  <c r="N555" i="6"/>
  <c r="O555" i="6" s="1"/>
  <c r="P555" i="6" s="1"/>
  <c r="K556" i="6"/>
  <c r="L556" i="6" s="1"/>
  <c r="N556" i="6"/>
  <c r="O556" i="6" s="1"/>
  <c r="P556" i="6" s="1"/>
  <c r="K557" i="6"/>
  <c r="L557" i="6" s="1"/>
  <c r="N557" i="6"/>
  <c r="O557" i="6" s="1"/>
  <c r="P557" i="6" s="1"/>
  <c r="K558" i="6"/>
  <c r="L558" i="6" s="1"/>
  <c r="N558" i="6"/>
  <c r="O558" i="6" s="1"/>
  <c r="P558" i="6" s="1"/>
  <c r="K559" i="6"/>
  <c r="L559" i="6" s="1"/>
  <c r="N559" i="6"/>
  <c r="O559" i="6" s="1"/>
  <c r="P559" i="6" s="1"/>
  <c r="K560" i="6"/>
  <c r="L560" i="6" s="1"/>
  <c r="N560" i="6"/>
  <c r="O560" i="6" s="1"/>
  <c r="P560" i="6" s="1"/>
  <c r="K561" i="6"/>
  <c r="L561" i="6" s="1"/>
  <c r="N561" i="6"/>
  <c r="O561" i="6" s="1"/>
  <c r="P561" i="6" s="1"/>
  <c r="K562" i="6"/>
  <c r="L562" i="6" s="1"/>
  <c r="N562" i="6"/>
  <c r="O562" i="6" s="1"/>
  <c r="P562" i="6" s="1"/>
  <c r="K563" i="6"/>
  <c r="L563" i="6" s="1"/>
  <c r="N563" i="6"/>
  <c r="O563" i="6" s="1"/>
  <c r="P563" i="6" s="1"/>
  <c r="K564" i="6"/>
  <c r="L564" i="6" s="1"/>
  <c r="N564" i="6"/>
  <c r="O564" i="6" s="1"/>
  <c r="P564" i="6" s="1"/>
  <c r="K565" i="6"/>
  <c r="L565" i="6" s="1"/>
  <c r="N565" i="6"/>
  <c r="O565" i="6" s="1"/>
  <c r="P565" i="6" s="1"/>
  <c r="D568" i="6"/>
  <c r="M568" i="6"/>
  <c r="R568" i="6"/>
  <c r="K572" i="6"/>
  <c r="L572" i="6" s="1"/>
  <c r="N572" i="6"/>
  <c r="O572" i="6" s="1"/>
  <c r="P572" i="6" s="1"/>
  <c r="K573" i="6"/>
  <c r="L573" i="6" s="1"/>
  <c r="N573" i="6"/>
  <c r="O573" i="6" s="1"/>
  <c r="P573" i="6" s="1"/>
  <c r="K574" i="6"/>
  <c r="L574" i="6" s="1"/>
  <c r="N574" i="6"/>
  <c r="O574" i="6" s="1"/>
  <c r="P574" i="6" s="1"/>
  <c r="K575" i="6"/>
  <c r="L575" i="6" s="1"/>
  <c r="N575" i="6"/>
  <c r="K576" i="6"/>
  <c r="L576" i="6" s="1"/>
  <c r="N576" i="6"/>
  <c r="O576" i="6" s="1"/>
  <c r="P576" i="6" s="1"/>
  <c r="K577" i="6"/>
  <c r="L577" i="6" s="1"/>
  <c r="N577" i="6"/>
  <c r="O577" i="6" s="1"/>
  <c r="P577" i="6" s="1"/>
  <c r="K578" i="6"/>
  <c r="L578" i="6" s="1"/>
  <c r="N578" i="6"/>
  <c r="O578" i="6" s="1"/>
  <c r="P578" i="6" s="1"/>
  <c r="K579" i="6"/>
  <c r="L579" i="6" s="1"/>
  <c r="N579" i="6"/>
  <c r="O579" i="6" s="1"/>
  <c r="P579" i="6" s="1"/>
  <c r="K580" i="6"/>
  <c r="L580" i="6" s="1"/>
  <c r="N580" i="6"/>
  <c r="O580" i="6" s="1"/>
  <c r="P580" i="6" s="1"/>
  <c r="K581" i="6"/>
  <c r="L581" i="6" s="1"/>
  <c r="N581" i="6"/>
  <c r="O581" i="6" s="1"/>
  <c r="P581" i="6" s="1"/>
  <c r="K582" i="6"/>
  <c r="L582" i="6" s="1"/>
  <c r="N582" i="6"/>
  <c r="O582" i="6" s="1"/>
  <c r="P582" i="6" s="1"/>
  <c r="K583" i="6"/>
  <c r="L583" i="6" s="1"/>
  <c r="N583" i="6"/>
  <c r="O583" i="6" s="1"/>
  <c r="P583" i="6" s="1"/>
  <c r="K584" i="6"/>
  <c r="L584" i="6" s="1"/>
  <c r="N584" i="6"/>
  <c r="O584" i="6" s="1"/>
  <c r="P584" i="6" s="1"/>
  <c r="K585" i="6"/>
  <c r="L585" i="6" s="1"/>
  <c r="N585" i="6"/>
  <c r="O585" i="6" s="1"/>
  <c r="P585" i="6" s="1"/>
  <c r="K586" i="6"/>
  <c r="L586" i="6" s="1"/>
  <c r="N586" i="6"/>
  <c r="O586" i="6" s="1"/>
  <c r="P586" i="6" s="1"/>
  <c r="K587" i="6"/>
  <c r="L587" i="6" s="1"/>
  <c r="N587" i="6"/>
  <c r="O587" i="6" s="1"/>
  <c r="P587" i="6" s="1"/>
  <c r="K588" i="6"/>
  <c r="L588" i="6" s="1"/>
  <c r="N588" i="6"/>
  <c r="O588" i="6" s="1"/>
  <c r="P588" i="6" s="1"/>
  <c r="K589" i="6"/>
  <c r="L589" i="6" s="1"/>
  <c r="N589" i="6"/>
  <c r="O589" i="6" s="1"/>
  <c r="P589" i="6" s="1"/>
  <c r="K590" i="6"/>
  <c r="L590" i="6" s="1"/>
  <c r="N590" i="6"/>
  <c r="O590" i="6" s="1"/>
  <c r="P590" i="6" s="1"/>
  <c r="K591" i="6"/>
  <c r="L591" i="6" s="1"/>
  <c r="N591" i="6"/>
  <c r="O591" i="6" s="1"/>
  <c r="P591" i="6" s="1"/>
  <c r="K592" i="6"/>
  <c r="L592" i="6" s="1"/>
  <c r="N592" i="6"/>
  <c r="O592" i="6" s="1"/>
  <c r="P592" i="6" s="1"/>
  <c r="K593" i="6"/>
  <c r="L593" i="6" s="1"/>
  <c r="N593" i="6"/>
  <c r="O593" i="6" s="1"/>
  <c r="P593" i="6" s="1"/>
  <c r="K594" i="6"/>
  <c r="L594" i="6" s="1"/>
  <c r="N594" i="6"/>
  <c r="O594" i="6" s="1"/>
  <c r="P594" i="6" s="1"/>
  <c r="K595" i="6"/>
  <c r="L595" i="6" s="1"/>
  <c r="N595" i="6"/>
  <c r="O595" i="6" s="1"/>
  <c r="P595" i="6" s="1"/>
  <c r="K596" i="6"/>
  <c r="L596" i="6" s="1"/>
  <c r="N596" i="6"/>
  <c r="O596" i="6" s="1"/>
  <c r="P596" i="6" s="1"/>
  <c r="K597" i="6"/>
  <c r="L597" i="6" s="1"/>
  <c r="N597" i="6"/>
  <c r="O597" i="6" s="1"/>
  <c r="P597" i="6" s="1"/>
  <c r="K598" i="6"/>
  <c r="L598" i="6" s="1"/>
  <c r="N598" i="6"/>
  <c r="O598" i="6" s="1"/>
  <c r="P598" i="6" s="1"/>
  <c r="K599" i="6"/>
  <c r="L599" i="6" s="1"/>
  <c r="N599" i="6"/>
  <c r="O599" i="6" s="1"/>
  <c r="P599" i="6" s="1"/>
  <c r="K600" i="6"/>
  <c r="L600" i="6" s="1"/>
  <c r="N600" i="6"/>
  <c r="O600" i="6" s="1"/>
  <c r="P600" i="6" s="1"/>
  <c r="K601" i="6"/>
  <c r="L601" i="6" s="1"/>
  <c r="N601" i="6"/>
  <c r="O601" i="6" s="1"/>
  <c r="P601" i="6" s="1"/>
  <c r="K602" i="6"/>
  <c r="L602" i="6" s="1"/>
  <c r="N602" i="6"/>
  <c r="O602" i="6" s="1"/>
  <c r="P602" i="6" s="1"/>
  <c r="K603" i="6"/>
  <c r="L603" i="6" s="1"/>
  <c r="N603" i="6"/>
  <c r="O603" i="6" s="1"/>
  <c r="P603" i="6" s="1"/>
  <c r="K604" i="6"/>
  <c r="L604" i="6" s="1"/>
  <c r="N604" i="6"/>
  <c r="O604" i="6" s="1"/>
  <c r="P604" i="6" s="1"/>
  <c r="K605" i="6"/>
  <c r="L605" i="6" s="1"/>
  <c r="N605" i="6"/>
  <c r="O605" i="6" s="1"/>
  <c r="P605" i="6" s="1"/>
  <c r="K606" i="6"/>
  <c r="L606" i="6" s="1"/>
  <c r="N606" i="6"/>
  <c r="O606" i="6" s="1"/>
  <c r="P606" i="6" s="1"/>
  <c r="K607" i="6"/>
  <c r="L607" i="6" s="1"/>
  <c r="N607" i="6"/>
  <c r="O607" i="6" s="1"/>
  <c r="P607" i="6" s="1"/>
  <c r="D610" i="6"/>
  <c r="M610" i="6"/>
  <c r="R610" i="6"/>
  <c r="K621" i="6"/>
  <c r="L621" i="6" s="1"/>
  <c r="N621" i="6"/>
  <c r="O621" i="6" s="1"/>
  <c r="P621" i="6" s="1"/>
  <c r="K622" i="6"/>
  <c r="L622" i="6" s="1"/>
  <c r="N622" i="6"/>
  <c r="O622" i="6" s="1"/>
  <c r="P622" i="6" s="1"/>
  <c r="M198" i="1"/>
  <c r="N198" i="1" s="1"/>
  <c r="O198" i="1" s="1"/>
  <c r="M199" i="1"/>
  <c r="N199" i="1" s="1"/>
  <c r="O199" i="1" s="1"/>
  <c r="P199" i="1" s="1"/>
  <c r="M200" i="1"/>
  <c r="N200" i="1" s="1"/>
  <c r="O200" i="1" s="1"/>
  <c r="P200" i="1" s="1"/>
  <c r="M201" i="1"/>
  <c r="N201" i="1" s="1"/>
  <c r="O201" i="1" s="1"/>
  <c r="P201" i="1" s="1"/>
  <c r="M202" i="1"/>
  <c r="N202" i="1" s="1"/>
  <c r="O202" i="1" s="1"/>
  <c r="P202" i="1" s="1"/>
  <c r="M203" i="1"/>
  <c r="N203" i="1" s="1"/>
  <c r="O203" i="1" s="1"/>
  <c r="P203" i="1" s="1"/>
  <c r="M204" i="1"/>
  <c r="N204" i="1" s="1"/>
  <c r="O204" i="1" s="1"/>
  <c r="P204" i="1" s="1"/>
  <c r="M205" i="1"/>
  <c r="N205" i="1" s="1"/>
  <c r="O205" i="1" s="1"/>
  <c r="P205" i="1" s="1"/>
  <c r="M206" i="1"/>
  <c r="N206" i="1" s="1"/>
  <c r="O206" i="1" s="1"/>
  <c r="P206" i="1" s="1"/>
  <c r="M207" i="1"/>
  <c r="N207" i="1" s="1"/>
  <c r="O207" i="1" s="1"/>
  <c r="P207" i="1" s="1"/>
  <c r="M208" i="1"/>
  <c r="N208" i="1" s="1"/>
  <c r="O208" i="1" s="1"/>
  <c r="P208" i="1" s="1"/>
  <c r="M209" i="1"/>
  <c r="N209" i="1" s="1"/>
  <c r="O209" i="1" s="1"/>
  <c r="P209" i="1" s="1"/>
  <c r="E3" i="1"/>
  <c r="T11" i="1" s="1"/>
  <c r="U11" i="1" s="1"/>
  <c r="X3" i="1"/>
  <c r="N342" i="1"/>
  <c r="O342" i="1" s="1"/>
  <c r="P342" i="1" s="1"/>
  <c r="N343" i="1"/>
  <c r="O343" i="1" s="1"/>
  <c r="P343" i="1" s="1"/>
  <c r="N344" i="1"/>
  <c r="O344" i="1" s="1"/>
  <c r="P344" i="1" s="1"/>
  <c r="N345" i="1"/>
  <c r="O345" i="1" s="1"/>
  <c r="P345" i="1" s="1"/>
  <c r="N166" i="1"/>
  <c r="O166" i="1" s="1"/>
  <c r="P166" i="1" s="1"/>
  <c r="N346" i="1"/>
  <c r="O346" i="1" s="1"/>
  <c r="P346" i="1" s="1"/>
  <c r="N341" i="1"/>
  <c r="O341" i="1" s="1"/>
  <c r="P341" i="1" s="1"/>
  <c r="N339" i="1"/>
  <c r="O339" i="1" s="1"/>
  <c r="P339" i="1" s="1"/>
  <c r="N340" i="1"/>
  <c r="O340" i="1" s="1"/>
  <c r="P340" i="1" s="1"/>
  <c r="S11" i="1"/>
  <c r="K12" i="1"/>
  <c r="L12" i="1" s="1"/>
  <c r="N12" i="1"/>
  <c r="K13" i="1"/>
  <c r="L13" i="1" s="1"/>
  <c r="N13" i="1"/>
  <c r="O13" i="1" s="1"/>
  <c r="P13" i="1" s="1"/>
  <c r="N14" i="1"/>
  <c r="K15" i="1"/>
  <c r="L15" i="1" s="1"/>
  <c r="K17" i="1"/>
  <c r="L17" i="1" s="1"/>
  <c r="N17" i="1"/>
  <c r="O17" i="1" s="1"/>
  <c r="P17" i="1" s="1"/>
  <c r="K18" i="1"/>
  <c r="L18" i="1" s="1"/>
  <c r="N18" i="1"/>
  <c r="O18" i="1" s="1"/>
  <c r="P18" i="1" s="1"/>
  <c r="K19" i="1"/>
  <c r="K20" i="1" s="1"/>
  <c r="L20" i="1" s="1"/>
  <c r="K21" i="1"/>
  <c r="K22" i="1" s="1"/>
  <c r="L22" i="1" s="1"/>
  <c r="N21" i="1"/>
  <c r="O21" i="1" s="1"/>
  <c r="P21" i="1" s="1"/>
  <c r="N22" i="1"/>
  <c r="K23" i="1"/>
  <c r="N23" i="1"/>
  <c r="O23" i="1" s="1"/>
  <c r="P23" i="1" s="1"/>
  <c r="M24" i="1"/>
  <c r="N24" i="1" s="1"/>
  <c r="K25" i="1"/>
  <c r="N25" i="1"/>
  <c r="O25" i="1" s="1"/>
  <c r="P25" i="1" s="1"/>
  <c r="N26" i="1"/>
  <c r="K27" i="1"/>
  <c r="K28" i="1" s="1"/>
  <c r="L28" i="1" s="1"/>
  <c r="K29" i="1"/>
  <c r="K30" i="1" s="1"/>
  <c r="L30" i="1" s="1"/>
  <c r="K31" i="1"/>
  <c r="K32" i="1" s="1"/>
  <c r="L32" i="1" s="1"/>
  <c r="K33" i="1"/>
  <c r="L33" i="1" s="1"/>
  <c r="K35" i="1"/>
  <c r="K36" i="1" s="1"/>
  <c r="L36" i="1" s="1"/>
  <c r="K37" i="1"/>
  <c r="K38" i="1" s="1"/>
  <c r="L38" i="1" s="1"/>
  <c r="K39" i="1"/>
  <c r="K40" i="1" s="1"/>
  <c r="L40" i="1" s="1"/>
  <c r="K41" i="1"/>
  <c r="L41" i="1" s="1"/>
  <c r="K43" i="1"/>
  <c r="L43" i="1" s="1"/>
  <c r="K45" i="1"/>
  <c r="L45" i="1" s="1"/>
  <c r="N45" i="1"/>
  <c r="O45" i="1" s="1"/>
  <c r="P45" i="1" s="1"/>
  <c r="K46" i="1"/>
  <c r="L46" i="1" s="1"/>
  <c r="N46" i="1"/>
  <c r="O46" i="1" s="1"/>
  <c r="P46" i="1" s="1"/>
  <c r="K47" i="1"/>
  <c r="L47" i="1" s="1"/>
  <c r="N47" i="1"/>
  <c r="O47" i="1" s="1"/>
  <c r="P47" i="1" s="1"/>
  <c r="K48" i="1"/>
  <c r="L48" i="1" s="1"/>
  <c r="N48" i="1"/>
  <c r="O48" i="1" s="1"/>
  <c r="P48" i="1" s="1"/>
  <c r="K49" i="1"/>
  <c r="L49" i="1" s="1"/>
  <c r="N49" i="1"/>
  <c r="O49" i="1" s="1"/>
  <c r="P49" i="1" s="1"/>
  <c r="K50" i="1"/>
  <c r="L50" i="1" s="1"/>
  <c r="M50" i="1"/>
  <c r="N50" i="1" s="1"/>
  <c r="O50" i="1" s="1"/>
  <c r="P50" i="1" s="1"/>
  <c r="K51" i="1"/>
  <c r="L51" i="1" s="1"/>
  <c r="N51" i="1"/>
  <c r="O51" i="1" s="1"/>
  <c r="P51" i="1" s="1"/>
  <c r="K52" i="1"/>
  <c r="L52" i="1" s="1"/>
  <c r="N52" i="1"/>
  <c r="O52" i="1" s="1"/>
  <c r="P52" i="1" s="1"/>
  <c r="K53" i="1"/>
  <c r="L53" i="1" s="1"/>
  <c r="N53" i="1"/>
  <c r="O53" i="1" s="1"/>
  <c r="P53" i="1" s="1"/>
  <c r="K54" i="1"/>
  <c r="L54" i="1" s="1"/>
  <c r="N54" i="1"/>
  <c r="O54" i="1" s="1"/>
  <c r="P54" i="1" s="1"/>
  <c r="K55" i="1"/>
  <c r="L55" i="1" s="1"/>
  <c r="N55" i="1"/>
  <c r="O55" i="1" s="1"/>
  <c r="P55" i="1" s="1"/>
  <c r="K56" i="1"/>
  <c r="L56" i="1" s="1"/>
  <c r="N56" i="1"/>
  <c r="O56" i="1" s="1"/>
  <c r="P56" i="1" s="1"/>
  <c r="K57" i="1"/>
  <c r="L57" i="1" s="1"/>
  <c r="N57" i="1"/>
  <c r="O57" i="1" s="1"/>
  <c r="P57" i="1" s="1"/>
  <c r="K58" i="1"/>
  <c r="L58" i="1" s="1"/>
  <c r="N58" i="1"/>
  <c r="O58" i="1" s="1"/>
  <c r="P58" i="1" s="1"/>
  <c r="K59" i="1"/>
  <c r="L59" i="1" s="1"/>
  <c r="N59" i="1"/>
  <c r="O59" i="1" s="1"/>
  <c r="P59" i="1" s="1"/>
  <c r="K60" i="1"/>
  <c r="L60" i="1" s="1"/>
  <c r="N60" i="1"/>
  <c r="O60" i="1" s="1"/>
  <c r="P60" i="1" s="1"/>
  <c r="K61" i="1"/>
  <c r="L61" i="1" s="1"/>
  <c r="N61" i="1"/>
  <c r="O61" i="1" s="1"/>
  <c r="P61" i="1" s="1"/>
  <c r="K62" i="1"/>
  <c r="L62" i="1" s="1"/>
  <c r="N62" i="1"/>
  <c r="O62" i="1" s="1"/>
  <c r="P62" i="1" s="1"/>
  <c r="K63" i="1"/>
  <c r="L63" i="1" s="1"/>
  <c r="N63" i="1"/>
  <c r="O63" i="1" s="1"/>
  <c r="P63" i="1" s="1"/>
  <c r="K64" i="1"/>
  <c r="L64" i="1" s="1"/>
  <c r="N64" i="1"/>
  <c r="O64" i="1" s="1"/>
  <c r="P64" i="1" s="1"/>
  <c r="K65" i="1"/>
  <c r="L65" i="1" s="1"/>
  <c r="N65" i="1"/>
  <c r="O65" i="1" s="1"/>
  <c r="P65" i="1" s="1"/>
  <c r="K66" i="1"/>
  <c r="L66" i="1" s="1"/>
  <c r="M66" i="1"/>
  <c r="N66" i="1" s="1"/>
  <c r="O66" i="1" s="1"/>
  <c r="P66" i="1" s="1"/>
  <c r="K67" i="1"/>
  <c r="L67" i="1" s="1"/>
  <c r="M67" i="1"/>
  <c r="K68" i="1"/>
  <c r="L68" i="1" s="1"/>
  <c r="M68" i="1"/>
  <c r="N68" i="1" s="1"/>
  <c r="O68" i="1" s="1"/>
  <c r="P68" i="1" s="1"/>
  <c r="K69" i="1"/>
  <c r="L69" i="1" s="1"/>
  <c r="N69" i="1"/>
  <c r="O69" i="1" s="1"/>
  <c r="P69" i="1" s="1"/>
  <c r="K70" i="1"/>
  <c r="L70" i="1" s="1"/>
  <c r="M70" i="1"/>
  <c r="K71" i="1"/>
  <c r="L71" i="1" s="1"/>
  <c r="N71" i="1"/>
  <c r="O71" i="1" s="1"/>
  <c r="P71" i="1" s="1"/>
  <c r="K72" i="1"/>
  <c r="L72" i="1" s="1"/>
  <c r="M72" i="1"/>
  <c r="N72" i="1" s="1"/>
  <c r="O72" i="1" s="1"/>
  <c r="P72" i="1" s="1"/>
  <c r="K73" i="1"/>
  <c r="L73" i="1" s="1"/>
  <c r="N73" i="1"/>
  <c r="O73" i="1" s="1"/>
  <c r="P73" i="1" s="1"/>
  <c r="K74" i="1"/>
  <c r="L74" i="1" s="1"/>
  <c r="N74" i="1"/>
  <c r="O74" i="1" s="1"/>
  <c r="P74" i="1" s="1"/>
  <c r="K75" i="1"/>
  <c r="L75" i="1" s="1"/>
  <c r="N75" i="1"/>
  <c r="O75" i="1" s="1"/>
  <c r="P75" i="1" s="1"/>
  <c r="K76" i="1"/>
  <c r="L76" i="1" s="1"/>
  <c r="N76" i="1"/>
  <c r="O76" i="1" s="1"/>
  <c r="P76" i="1" s="1"/>
  <c r="K77" i="1"/>
  <c r="L77" i="1" s="1"/>
  <c r="N77" i="1"/>
  <c r="O77" i="1" s="1"/>
  <c r="P77" i="1" s="1"/>
  <c r="K78" i="1"/>
  <c r="L78" i="1" s="1"/>
  <c r="N78" i="1"/>
  <c r="O78" i="1" s="1"/>
  <c r="P78" i="1" s="1"/>
  <c r="K79" i="1"/>
  <c r="L79" i="1" s="1"/>
  <c r="N79" i="1"/>
  <c r="O79" i="1" s="1"/>
  <c r="P79" i="1" s="1"/>
  <c r="K80" i="1"/>
  <c r="L80" i="1" s="1"/>
  <c r="N80" i="1"/>
  <c r="O80" i="1" s="1"/>
  <c r="P80" i="1" s="1"/>
  <c r="K81" i="1"/>
  <c r="L81" i="1" s="1"/>
  <c r="N81" i="1"/>
  <c r="O81" i="1" s="1"/>
  <c r="P81" i="1" s="1"/>
  <c r="K82" i="1"/>
  <c r="L82" i="1" s="1"/>
  <c r="N82" i="1"/>
  <c r="O82" i="1" s="1"/>
  <c r="P82" i="1" s="1"/>
  <c r="K83" i="1"/>
  <c r="L83" i="1" s="1"/>
  <c r="M83" i="1"/>
  <c r="N83" i="1" s="1"/>
  <c r="O83" i="1" s="1"/>
  <c r="P83" i="1" s="1"/>
  <c r="K84" i="1"/>
  <c r="L84" i="1" s="1"/>
  <c r="M84" i="1"/>
  <c r="K85" i="1"/>
  <c r="L85" i="1" s="1"/>
  <c r="N85" i="1"/>
  <c r="O85" i="1" s="1"/>
  <c r="P85" i="1" s="1"/>
  <c r="K86" i="1"/>
  <c r="L86" i="1" s="1"/>
  <c r="N86" i="1"/>
  <c r="O86" i="1" s="1"/>
  <c r="P86" i="1" s="1"/>
  <c r="K87" i="1"/>
  <c r="L87" i="1" s="1"/>
  <c r="N87" i="1"/>
  <c r="O87" i="1" s="1"/>
  <c r="P87" i="1" s="1"/>
  <c r="K88" i="1"/>
  <c r="L88" i="1" s="1"/>
  <c r="N88" i="1"/>
  <c r="O88" i="1" s="1"/>
  <c r="P88" i="1" s="1"/>
  <c r="K89" i="1"/>
  <c r="L89" i="1" s="1"/>
  <c r="N89" i="1"/>
  <c r="O89" i="1" s="1"/>
  <c r="P89" i="1" s="1"/>
  <c r="K90" i="1"/>
  <c r="L90" i="1" s="1"/>
  <c r="N90" i="1"/>
  <c r="O90" i="1" s="1"/>
  <c r="P90" i="1" s="1"/>
  <c r="K91" i="1"/>
  <c r="L91" i="1" s="1"/>
  <c r="N91" i="1"/>
  <c r="O91" i="1" s="1"/>
  <c r="P91" i="1" s="1"/>
  <c r="K92" i="1"/>
  <c r="L92" i="1" s="1"/>
  <c r="N92" i="1"/>
  <c r="O92" i="1" s="1"/>
  <c r="P92" i="1" s="1"/>
  <c r="K93" i="1"/>
  <c r="L93" i="1" s="1"/>
  <c r="N93" i="1"/>
  <c r="O93" i="1" s="1"/>
  <c r="P93" i="1" s="1"/>
  <c r="K94" i="1"/>
  <c r="L94" i="1" s="1"/>
  <c r="N94" i="1"/>
  <c r="O94" i="1" s="1"/>
  <c r="P94" i="1" s="1"/>
  <c r="K95" i="1"/>
  <c r="L95" i="1" s="1"/>
  <c r="N95" i="1"/>
  <c r="O95" i="1" s="1"/>
  <c r="P95" i="1" s="1"/>
  <c r="K96" i="1"/>
  <c r="L96" i="1" s="1"/>
  <c r="N96" i="1"/>
  <c r="O96" i="1" s="1"/>
  <c r="P96" i="1" s="1"/>
  <c r="K97" i="1"/>
  <c r="L97" i="1" s="1"/>
  <c r="N97" i="1"/>
  <c r="O97" i="1" s="1"/>
  <c r="P97" i="1" s="1"/>
  <c r="K98" i="1"/>
  <c r="L98" i="1" s="1"/>
  <c r="N98" i="1"/>
  <c r="O98" i="1" s="1"/>
  <c r="P98" i="1" s="1"/>
  <c r="K99" i="1"/>
  <c r="L99" i="1" s="1"/>
  <c r="N99" i="1"/>
  <c r="O99" i="1" s="1"/>
  <c r="P99" i="1" s="1"/>
  <c r="R101" i="1"/>
  <c r="K104" i="1"/>
  <c r="K106" i="1"/>
  <c r="K107" i="1" s="1"/>
  <c r="L107" i="1" s="1"/>
  <c r="K108" i="1"/>
  <c r="K110" i="1"/>
  <c r="L110" i="1" s="1"/>
  <c r="N110" i="1"/>
  <c r="O110" i="1" s="1"/>
  <c r="P110" i="1" s="1"/>
  <c r="K111" i="1"/>
  <c r="L111" i="1" s="1"/>
  <c r="N111" i="1"/>
  <c r="O111" i="1" s="1"/>
  <c r="P111" i="1" s="1"/>
  <c r="K112" i="1"/>
  <c r="L112" i="1" s="1"/>
  <c r="M112" i="1"/>
  <c r="N112" i="1" s="1"/>
  <c r="O112" i="1" s="1"/>
  <c r="P112" i="1" s="1"/>
  <c r="K113" i="1"/>
  <c r="L113" i="1" s="1"/>
  <c r="N113" i="1"/>
  <c r="O113" i="1" s="1"/>
  <c r="P113" i="1" s="1"/>
  <c r="K114" i="1"/>
  <c r="L114" i="1" s="1"/>
  <c r="N114" i="1"/>
  <c r="O114" i="1" s="1"/>
  <c r="P114" i="1" s="1"/>
  <c r="K115" i="1"/>
  <c r="L115" i="1" s="1"/>
  <c r="N115" i="1"/>
  <c r="O115" i="1" s="1"/>
  <c r="P115" i="1" s="1"/>
  <c r="K120" i="1"/>
  <c r="L120" i="1" s="1"/>
  <c r="N120" i="1"/>
  <c r="O120" i="1" s="1"/>
  <c r="P120" i="1" s="1"/>
  <c r="K121" i="1"/>
  <c r="L121" i="1" s="1"/>
  <c r="N121" i="1"/>
  <c r="O121" i="1" s="1"/>
  <c r="K122" i="1"/>
  <c r="L122" i="1" s="1"/>
  <c r="M122" i="1"/>
  <c r="N122" i="1" s="1"/>
  <c r="O122" i="1" s="1"/>
  <c r="P122" i="1" s="1"/>
  <c r="K123" i="1"/>
  <c r="L123" i="1" s="1"/>
  <c r="N123" i="1"/>
  <c r="O123" i="1" s="1"/>
  <c r="P123" i="1" s="1"/>
  <c r="K124" i="1"/>
  <c r="L124" i="1" s="1"/>
  <c r="N124" i="1"/>
  <c r="O124" i="1" s="1"/>
  <c r="P124" i="1" s="1"/>
  <c r="K125" i="1"/>
  <c r="L125" i="1" s="1"/>
  <c r="N125" i="1"/>
  <c r="O125" i="1" s="1"/>
  <c r="P125" i="1" s="1"/>
  <c r="K131" i="1"/>
  <c r="K132" i="1" s="1"/>
  <c r="L132" i="1" s="1"/>
  <c r="K133" i="1"/>
  <c r="L133" i="1" s="1"/>
  <c r="K339" i="1"/>
  <c r="L339" i="1" s="1"/>
  <c r="K340" i="1"/>
  <c r="L340" i="1" s="1"/>
  <c r="K135" i="1"/>
  <c r="L135" i="1" s="1"/>
  <c r="K136" i="1"/>
  <c r="K341" i="1"/>
  <c r="L341" i="1" s="1"/>
  <c r="K138" i="1"/>
  <c r="L138" i="1" s="1"/>
  <c r="K139" i="1"/>
  <c r="K141" i="1"/>
  <c r="N141" i="1"/>
  <c r="O141" i="1" s="1"/>
  <c r="P141" i="1" s="1"/>
  <c r="M142" i="1"/>
  <c r="N142" i="1" s="1"/>
  <c r="K143" i="1"/>
  <c r="L143" i="1" s="1"/>
  <c r="K145" i="1"/>
  <c r="L145" i="1" s="1"/>
  <c r="K147" i="1"/>
  <c r="K148" i="1" s="1"/>
  <c r="L148" i="1" s="1"/>
  <c r="M147" i="1"/>
  <c r="K149" i="1"/>
  <c r="K150" i="1" s="1"/>
  <c r="L150" i="1" s="1"/>
  <c r="K151" i="1"/>
  <c r="K152" i="1" s="1"/>
  <c r="L152" i="1" s="1"/>
  <c r="K153" i="1"/>
  <c r="K154" i="1" s="1"/>
  <c r="L154" i="1" s="1"/>
  <c r="K155" i="1"/>
  <c r="K156" i="1" s="1"/>
  <c r="L156" i="1" s="1"/>
  <c r="K157" i="1"/>
  <c r="K158" i="1" s="1"/>
  <c r="L158" i="1" s="1"/>
  <c r="K159" i="1"/>
  <c r="L159" i="1" s="1"/>
  <c r="N159" i="1"/>
  <c r="O159" i="1" s="1"/>
  <c r="P159" i="1" s="1"/>
  <c r="K160" i="1"/>
  <c r="K161" i="1" s="1"/>
  <c r="L161" i="1" s="1"/>
  <c r="K162" i="1"/>
  <c r="L162" i="1" s="1"/>
  <c r="N162" i="1"/>
  <c r="O162" i="1" s="1"/>
  <c r="P162" i="1" s="1"/>
  <c r="K163" i="1"/>
  <c r="L163" i="1" s="1"/>
  <c r="N163" i="1"/>
  <c r="O163" i="1" s="1"/>
  <c r="P163" i="1" s="1"/>
  <c r="K164" i="1"/>
  <c r="L164" i="1" s="1"/>
  <c r="N164" i="1"/>
  <c r="O164" i="1" s="1"/>
  <c r="P164" i="1" s="1"/>
  <c r="K342" i="1"/>
  <c r="L342" i="1" s="1"/>
  <c r="K343" i="1"/>
  <c r="L343" i="1" s="1"/>
  <c r="K344" i="1"/>
  <c r="L344" i="1" s="1"/>
  <c r="K165" i="1"/>
  <c r="L165" i="1" s="1"/>
  <c r="N165" i="1"/>
  <c r="O165" i="1" s="1"/>
  <c r="P165" i="1" s="1"/>
  <c r="K345" i="1"/>
  <c r="L345" i="1" s="1"/>
  <c r="K166" i="1"/>
  <c r="L166" i="1" s="1"/>
  <c r="K167" i="1"/>
  <c r="L167" i="1" s="1"/>
  <c r="M167" i="1"/>
  <c r="K346" i="1"/>
  <c r="L346" i="1" s="1"/>
  <c r="K168" i="1"/>
  <c r="L168" i="1" s="1"/>
  <c r="N168" i="1"/>
  <c r="O168" i="1" s="1"/>
  <c r="P168" i="1" s="1"/>
  <c r="K175" i="1"/>
  <c r="K176" i="1" s="1"/>
  <c r="L176" i="1" s="1"/>
  <c r="M175" i="1"/>
  <c r="K347" i="1"/>
  <c r="L347" i="1" s="1"/>
  <c r="N347" i="1"/>
  <c r="O347" i="1" s="1"/>
  <c r="P347" i="1" s="1"/>
  <c r="K183" i="1"/>
  <c r="L183" i="1" s="1"/>
  <c r="K185" i="1"/>
  <c r="K184" i="1" s="1"/>
  <c r="K187" i="1"/>
  <c r="L187" i="1" s="1"/>
  <c r="N187" i="1"/>
  <c r="O187" i="1" s="1"/>
  <c r="P187" i="1" s="1"/>
  <c r="K188" i="1"/>
  <c r="L188" i="1" s="1"/>
  <c r="N188" i="1"/>
  <c r="O188" i="1" s="1"/>
  <c r="P188" i="1" s="1"/>
  <c r="K189" i="1"/>
  <c r="L189" i="1" s="1"/>
  <c r="N189" i="1"/>
  <c r="O189" i="1" s="1"/>
  <c r="P189" i="1" s="1"/>
  <c r="K190" i="1"/>
  <c r="L190" i="1" s="1"/>
  <c r="N190" i="1"/>
  <c r="O190" i="1" s="1"/>
  <c r="P190" i="1" s="1"/>
  <c r="K196" i="1"/>
  <c r="L196" i="1" s="1"/>
  <c r="N196" i="1"/>
  <c r="O196" i="1" s="1"/>
  <c r="P196" i="1" s="1"/>
  <c r="K197" i="1"/>
  <c r="L197" i="1" s="1"/>
  <c r="N197" i="1"/>
  <c r="O197" i="1" s="1"/>
  <c r="P197" i="1" s="1"/>
  <c r="K198" i="1"/>
  <c r="L198" i="1" s="1"/>
  <c r="K199" i="1"/>
  <c r="L199" i="1" s="1"/>
  <c r="K200" i="1"/>
  <c r="L200" i="1" s="1"/>
  <c r="K201" i="1"/>
  <c r="L201" i="1" s="1"/>
  <c r="K202" i="1"/>
  <c r="L202" i="1" s="1"/>
  <c r="K203" i="1"/>
  <c r="L203" i="1" s="1"/>
  <c r="K204" i="1"/>
  <c r="L204" i="1" s="1"/>
  <c r="K205" i="1"/>
  <c r="L205" i="1" s="1"/>
  <c r="K206" i="1"/>
  <c r="L206" i="1" s="1"/>
  <c r="K207" i="1"/>
  <c r="L207" i="1" s="1"/>
  <c r="K208" i="1"/>
  <c r="L208" i="1" s="1"/>
  <c r="K209" i="1"/>
  <c r="L209" i="1" s="1"/>
  <c r="K210" i="1"/>
  <c r="L210" i="1" s="1"/>
  <c r="K212" i="1"/>
  <c r="L212" i="1" s="1"/>
  <c r="K214" i="1"/>
  <c r="L214" i="1" s="1"/>
  <c r="M214" i="1"/>
  <c r="N214" i="1" s="1"/>
  <c r="O214" i="1" s="1"/>
  <c r="P214" i="1" s="1"/>
  <c r="K215" i="1"/>
  <c r="L215" i="1" s="1"/>
  <c r="K217" i="1"/>
  <c r="L217" i="1" s="1"/>
  <c r="K219" i="1"/>
  <c r="L219" i="1" s="1"/>
  <c r="K221" i="1"/>
  <c r="K222" i="1" s="1"/>
  <c r="L222" i="1" s="1"/>
  <c r="K223" i="1"/>
  <c r="L223" i="1" s="1"/>
  <c r="M223" i="1"/>
  <c r="K224" i="1"/>
  <c r="L224" i="1" s="1"/>
  <c r="N224" i="1"/>
  <c r="O224" i="1" s="1"/>
  <c r="P224" i="1" s="1"/>
  <c r="K225" i="1"/>
  <c r="L225" i="1" s="1"/>
  <c r="N225" i="1"/>
  <c r="O225" i="1" s="1"/>
  <c r="P225" i="1" s="1"/>
  <c r="K226" i="1"/>
  <c r="L226" i="1" s="1"/>
  <c r="N226" i="1"/>
  <c r="O226" i="1" s="1"/>
  <c r="P226" i="1" s="1"/>
  <c r="K227" i="1"/>
  <c r="K228" i="1" s="1"/>
  <c r="L228" i="1" s="1"/>
  <c r="K229" i="1"/>
  <c r="L229" i="1" s="1"/>
  <c r="K230" i="1"/>
  <c r="K232" i="1"/>
  <c r="L232" i="1" s="1"/>
  <c r="K234" i="1"/>
  <c r="L234" i="1" s="1"/>
  <c r="K235" i="1"/>
  <c r="L235" i="1" s="1"/>
  <c r="K237" i="1"/>
  <c r="L237" i="1" s="1"/>
  <c r="K238" i="1"/>
  <c r="K239" i="1" s="1"/>
  <c r="L239" i="1" s="1"/>
  <c r="K240" i="1"/>
  <c r="K241" i="1" s="1"/>
  <c r="L241" i="1" s="1"/>
  <c r="K242" i="1"/>
  <c r="L242" i="1" s="1"/>
  <c r="K244" i="1"/>
  <c r="K245" i="1" s="1"/>
  <c r="L245" i="1" s="1"/>
  <c r="K246" i="1"/>
  <c r="L246" i="1" s="1"/>
  <c r="M246" i="1"/>
  <c r="N246" i="1" s="1"/>
  <c r="O246" i="1" s="1"/>
  <c r="P246" i="1" s="1"/>
  <c r="K247" i="1"/>
  <c r="L247" i="1" s="1"/>
  <c r="N247" i="1"/>
  <c r="O247" i="1" s="1"/>
  <c r="P247" i="1" s="1"/>
  <c r="K248" i="1"/>
  <c r="L248" i="1" s="1"/>
  <c r="N248" i="1"/>
  <c r="O248" i="1" s="1"/>
  <c r="P248" i="1" s="1"/>
  <c r="K249" i="1"/>
  <c r="L249" i="1" s="1"/>
  <c r="M249" i="1"/>
  <c r="N249" i="1" s="1"/>
  <c r="O249" i="1" s="1"/>
  <c r="P249" i="1" s="1"/>
  <c r="K250" i="1"/>
  <c r="L250" i="1" s="1"/>
  <c r="N250" i="1"/>
  <c r="O250" i="1" s="1"/>
  <c r="P250" i="1" s="1"/>
  <c r="K251" i="1"/>
  <c r="L251" i="1" s="1"/>
  <c r="N251" i="1"/>
  <c r="O251" i="1" s="1"/>
  <c r="P251" i="1" s="1"/>
  <c r="K252" i="1"/>
  <c r="L252" i="1" s="1"/>
  <c r="N252" i="1"/>
  <c r="O252" i="1" s="1"/>
  <c r="P252" i="1" s="1"/>
  <c r="K253" i="1"/>
  <c r="L253" i="1" s="1"/>
  <c r="N253" i="1"/>
  <c r="O253" i="1" s="1"/>
  <c r="P253" i="1" s="1"/>
  <c r="R255" i="1"/>
  <c r="K259" i="1"/>
  <c r="L259" i="1" s="1"/>
  <c r="N259" i="1"/>
  <c r="O259" i="1" s="1"/>
  <c r="P259" i="1" s="1"/>
  <c r="K260" i="1"/>
  <c r="L260" i="1" s="1"/>
  <c r="K262" i="1"/>
  <c r="L262" i="1" s="1"/>
  <c r="M262" i="1"/>
  <c r="N262" i="1" s="1"/>
  <c r="O262" i="1" s="1"/>
  <c r="P262" i="1" s="1"/>
  <c r="R264" i="1"/>
  <c r="K267" i="1"/>
  <c r="K268" i="1" s="1"/>
  <c r="L268" i="1" s="1"/>
  <c r="M267" i="1"/>
  <c r="N267" i="1" s="1"/>
  <c r="O267" i="1" s="1"/>
  <c r="R270" i="1"/>
  <c r="K275" i="1"/>
  <c r="L275" i="1" s="1"/>
  <c r="K277" i="1"/>
  <c r="L277" i="1" s="1"/>
  <c r="N277" i="1"/>
  <c r="O277" i="1" s="1"/>
  <c r="P277" i="1" s="1"/>
  <c r="K278" i="1"/>
  <c r="L278" i="1" s="1"/>
  <c r="N278" i="1"/>
  <c r="O278" i="1" s="1"/>
  <c r="P278" i="1" s="1"/>
  <c r="K279" i="1"/>
  <c r="L279" i="1" s="1"/>
  <c r="K281" i="1"/>
  <c r="L281" i="1" s="1"/>
  <c r="N281" i="1"/>
  <c r="O281" i="1" s="1"/>
  <c r="P281" i="1" s="1"/>
  <c r="K282" i="1"/>
  <c r="L282" i="1" s="1"/>
  <c r="N282" i="1"/>
  <c r="O282" i="1" s="1"/>
  <c r="P282" i="1" s="1"/>
  <c r="K348" i="1"/>
  <c r="L348" i="1" s="1"/>
  <c r="N348" i="1"/>
  <c r="O348" i="1" s="1"/>
  <c r="P348" i="1" s="1"/>
  <c r="R284" i="1"/>
  <c r="K291" i="1"/>
  <c r="J292" i="1" s="1"/>
  <c r="K292" i="1" s="1"/>
  <c r="L292" i="1" s="1"/>
  <c r="K293" i="1"/>
  <c r="L293" i="1" s="1"/>
  <c r="K295" i="1"/>
  <c r="L295" i="1" s="1"/>
  <c r="K297" i="1"/>
  <c r="L297" i="1" s="1"/>
  <c r="N297" i="1"/>
  <c r="O297" i="1" s="1"/>
  <c r="P297" i="1" s="1"/>
  <c r="N298" i="1"/>
  <c r="K299" i="1"/>
  <c r="L299" i="1" s="1"/>
  <c r="N299" i="1"/>
  <c r="O299" i="1" s="1"/>
  <c r="P299" i="1" s="1"/>
  <c r="K300" i="1"/>
  <c r="J301" i="1" s="1"/>
  <c r="K301" i="1" s="1"/>
  <c r="L301" i="1" s="1"/>
  <c r="K302" i="1"/>
  <c r="J303" i="1" s="1"/>
  <c r="K303" i="1" s="1"/>
  <c r="L303" i="1" s="1"/>
  <c r="K304" i="1"/>
  <c r="L304" i="1" s="1"/>
  <c r="N304" i="1"/>
  <c r="O304" i="1" s="1"/>
  <c r="P304" i="1" s="1"/>
  <c r="K305" i="1"/>
  <c r="J306" i="1" s="1"/>
  <c r="K306" i="1" s="1"/>
  <c r="L306" i="1" s="1"/>
  <c r="N305" i="1"/>
  <c r="O305" i="1" s="1"/>
  <c r="P305" i="1" s="1"/>
  <c r="N306" i="1"/>
  <c r="K307" i="1"/>
  <c r="L307" i="1" s="1"/>
  <c r="K315" i="1"/>
  <c r="L315" i="1" s="1"/>
  <c r="N315" i="1"/>
  <c r="O315" i="1" s="1"/>
  <c r="P315" i="1" s="1"/>
  <c r="K316" i="1"/>
  <c r="L316" i="1" s="1"/>
  <c r="N316" i="1"/>
  <c r="O316" i="1" s="1"/>
  <c r="P316" i="1" s="1"/>
  <c r="K317" i="1"/>
  <c r="J318" i="1" s="1"/>
  <c r="K318" i="1" s="1"/>
  <c r="L318" i="1" s="1"/>
  <c r="K319" i="1"/>
  <c r="L319" i="1" s="1"/>
  <c r="N319" i="1"/>
  <c r="O319" i="1" s="1"/>
  <c r="P319" i="1" s="1"/>
  <c r="N320" i="1"/>
  <c r="K321" i="1"/>
  <c r="L321" i="1" s="1"/>
  <c r="N321" i="1"/>
  <c r="O321" i="1" s="1"/>
  <c r="P321" i="1" s="1"/>
  <c r="K322" i="1"/>
  <c r="L322" i="1" s="1"/>
  <c r="N322" i="1"/>
  <c r="O322" i="1" s="1"/>
  <c r="P322" i="1" s="1"/>
  <c r="K323" i="1"/>
  <c r="L323" i="1" s="1"/>
  <c r="K325" i="1"/>
  <c r="L325" i="1" s="1"/>
  <c r="N325" i="1"/>
  <c r="O325" i="1" s="1"/>
  <c r="P325" i="1" s="1"/>
  <c r="K326" i="1"/>
  <c r="L326" i="1" s="1"/>
  <c r="N326" i="1"/>
  <c r="O326" i="1" s="1"/>
  <c r="P326" i="1" s="1"/>
  <c r="S330" i="1" l="1"/>
  <c r="T330" i="1"/>
  <c r="S166" i="4"/>
  <c r="T166" i="4" s="1"/>
  <c r="Q166" i="4"/>
  <c r="Q162" i="4"/>
  <c r="S162" i="4"/>
  <c r="T162" i="4" s="1"/>
  <c r="Q158" i="4"/>
  <c r="S158" i="4"/>
  <c r="T158" i="4"/>
  <c r="S154" i="4"/>
  <c r="Q154" i="4"/>
  <c r="T154" i="4"/>
  <c r="Q130" i="4"/>
  <c r="S130" i="4"/>
  <c r="T130" i="4"/>
  <c r="T126" i="4"/>
  <c r="Q126" i="4"/>
  <c r="S126" i="4"/>
  <c r="Q122" i="4"/>
  <c r="S122" i="4"/>
  <c r="T122" i="4"/>
  <c r="S108" i="4"/>
  <c r="Q108" i="4"/>
  <c r="Q102" i="4"/>
  <c r="S102" i="4"/>
  <c r="T102" i="4"/>
  <c r="Q98" i="4"/>
  <c r="S98" i="4"/>
  <c r="T98" i="4"/>
  <c r="Q94" i="4"/>
  <c r="S94" i="4"/>
  <c r="T94" i="4"/>
  <c r="T87" i="4"/>
  <c r="S87" i="4"/>
  <c r="Q87" i="4"/>
  <c r="T83" i="4"/>
  <c r="S83" i="4"/>
  <c r="Q83" i="4"/>
  <c r="Q79" i="4"/>
  <c r="T79" i="4"/>
  <c r="S79" i="4"/>
  <c r="T72" i="4"/>
  <c r="S72" i="4"/>
  <c r="Q72" i="4"/>
  <c r="Q43" i="4"/>
  <c r="S43" i="4"/>
  <c r="Q39" i="4"/>
  <c r="S39" i="4"/>
  <c r="T39" i="4"/>
  <c r="Q35" i="4"/>
  <c r="S35" i="4"/>
  <c r="T35" i="4"/>
  <c r="Q27" i="4"/>
  <c r="T27" i="4"/>
  <c r="S27" i="4"/>
  <c r="S14" i="4"/>
  <c r="Q14" i="4"/>
  <c r="T14" i="4" s="1"/>
  <c r="T149" i="4"/>
  <c r="Q149" i="4"/>
  <c r="S149" i="4"/>
  <c r="T145" i="4"/>
  <c r="S145" i="4"/>
  <c r="Q145" i="4"/>
  <c r="Q141" i="4"/>
  <c r="S141" i="4"/>
  <c r="T141" i="4"/>
  <c r="Q137" i="4"/>
  <c r="T137" i="4"/>
  <c r="S137" i="4"/>
  <c r="S133" i="4"/>
  <c r="Q133" i="4"/>
  <c r="T133" i="4"/>
  <c r="S112" i="4"/>
  <c r="Q112" i="4"/>
  <c r="S107" i="4"/>
  <c r="Q107" i="4"/>
  <c r="S92" i="4"/>
  <c r="T92" i="4"/>
  <c r="Q92" i="4"/>
  <c r="Q77" i="4"/>
  <c r="T77" i="4"/>
  <c r="S77" i="4"/>
  <c r="T70" i="4"/>
  <c r="Q70" i="4"/>
  <c r="S70" i="4"/>
  <c r="S61" i="4"/>
  <c r="T61" i="4"/>
  <c r="Q61" i="4"/>
  <c r="Q55" i="4"/>
  <c r="S55" i="4"/>
  <c r="T55" i="4"/>
  <c r="S18" i="4"/>
  <c r="Q18" i="4"/>
  <c r="S169" i="4"/>
  <c r="T169" i="4" s="1"/>
  <c r="Q169" i="4"/>
  <c r="S165" i="4"/>
  <c r="T165" i="4" s="1"/>
  <c r="Q165" i="4"/>
  <c r="S161" i="4"/>
  <c r="T161" i="4" s="1"/>
  <c r="Q161" i="4"/>
  <c r="Q157" i="4"/>
  <c r="T157" i="4"/>
  <c r="S157" i="4"/>
  <c r="T153" i="4"/>
  <c r="S153" i="4"/>
  <c r="Q153" i="4"/>
  <c r="Q129" i="4"/>
  <c r="S129" i="4"/>
  <c r="T129" i="4"/>
  <c r="Q125" i="4"/>
  <c r="S125" i="4"/>
  <c r="T125" i="4"/>
  <c r="T121" i="4"/>
  <c r="Q121" i="4"/>
  <c r="S121" i="4"/>
  <c r="Q106" i="4"/>
  <c r="S106" i="4"/>
  <c r="Q101" i="4"/>
  <c r="T101" i="4"/>
  <c r="S101" i="4"/>
  <c r="S97" i="4"/>
  <c r="T97" i="4"/>
  <c r="Q97" i="4"/>
  <c r="S86" i="4"/>
  <c r="T86" i="4"/>
  <c r="Q86" i="4"/>
  <c r="T82" i="4"/>
  <c r="Q82" i="4"/>
  <c r="S82" i="4"/>
  <c r="S53" i="4"/>
  <c r="T53" i="4"/>
  <c r="Q53" i="4"/>
  <c r="Q38" i="4"/>
  <c r="T38" i="4"/>
  <c r="S38" i="4"/>
  <c r="T34" i="4"/>
  <c r="Q34" i="4"/>
  <c r="S34" i="4"/>
  <c r="O17" i="4"/>
  <c r="P17" i="4" s="1"/>
  <c r="Q17" i="4" s="1"/>
  <c r="S17" i="4"/>
  <c r="S13" i="4"/>
  <c r="Q13" i="4"/>
  <c r="Q148" i="4"/>
  <c r="S148" i="4"/>
  <c r="T148" i="4"/>
  <c r="Q144" i="4"/>
  <c r="S144" i="4"/>
  <c r="T144" i="4"/>
  <c r="T140" i="4"/>
  <c r="Q140" i="4"/>
  <c r="S140" i="4"/>
  <c r="T136" i="4"/>
  <c r="S136" i="4"/>
  <c r="Q136" i="4"/>
  <c r="T132" i="4"/>
  <c r="Q132" i="4"/>
  <c r="S132" i="4"/>
  <c r="Q111" i="4"/>
  <c r="S111" i="4"/>
  <c r="S105" i="4"/>
  <c r="Q105" i="4"/>
  <c r="Q91" i="4"/>
  <c r="S91" i="4"/>
  <c r="T91" i="4"/>
  <c r="S76" i="4"/>
  <c r="T76" i="4"/>
  <c r="Q76" i="4"/>
  <c r="T69" i="4"/>
  <c r="Q69" i="4"/>
  <c r="S69" i="4"/>
  <c r="S60" i="4"/>
  <c r="Q60" i="4"/>
  <c r="Q22" i="4"/>
  <c r="S22" i="4"/>
  <c r="Q168" i="4"/>
  <c r="S168" i="4"/>
  <c r="T168" i="4" s="1"/>
  <c r="Q164" i="4"/>
  <c r="S164" i="4"/>
  <c r="T164" i="4" s="1"/>
  <c r="S160" i="4"/>
  <c r="T160" i="4" s="1"/>
  <c r="Q160" i="4"/>
  <c r="Q156" i="4"/>
  <c r="S156" i="4"/>
  <c r="T156" i="4"/>
  <c r="Q152" i="4"/>
  <c r="S152" i="4"/>
  <c r="T152" i="4"/>
  <c r="T128" i="4"/>
  <c r="S128" i="4"/>
  <c r="Q128" i="4"/>
  <c r="Q124" i="4"/>
  <c r="S124" i="4"/>
  <c r="T124" i="4"/>
  <c r="Q120" i="4"/>
  <c r="S120" i="4"/>
  <c r="T120" i="4"/>
  <c r="S104" i="4"/>
  <c r="Q104" i="4"/>
  <c r="S100" i="4"/>
  <c r="Q100" i="4"/>
  <c r="S96" i="4"/>
  <c r="Q96" i="4"/>
  <c r="T96" i="4"/>
  <c r="Q85" i="4"/>
  <c r="S85" i="4"/>
  <c r="T85" i="4"/>
  <c r="T81" i="4"/>
  <c r="Q81" i="4"/>
  <c r="S81" i="4"/>
  <c r="S41" i="4"/>
  <c r="Q41" i="4"/>
  <c r="S37" i="4"/>
  <c r="Q37" i="4"/>
  <c r="T37" i="4"/>
  <c r="Q33" i="4"/>
  <c r="S33" i="4"/>
  <c r="S21" i="4"/>
  <c r="Q21" i="4"/>
  <c r="S12" i="4"/>
  <c r="S151" i="4"/>
  <c r="T151" i="4"/>
  <c r="Q151" i="4"/>
  <c r="S147" i="4"/>
  <c r="T147" i="4"/>
  <c r="Q147" i="4"/>
  <c r="Q143" i="4"/>
  <c r="S143" i="4"/>
  <c r="T143" i="4"/>
  <c r="T139" i="4"/>
  <c r="Q139" i="4"/>
  <c r="S139" i="4"/>
  <c r="T135" i="4"/>
  <c r="S135" i="4"/>
  <c r="Q135" i="4"/>
  <c r="S110" i="4"/>
  <c r="T110" i="4" s="1"/>
  <c r="Q110" i="4"/>
  <c r="T90" i="4"/>
  <c r="Q90" i="4"/>
  <c r="S90" i="4"/>
  <c r="S75" i="4"/>
  <c r="Q75" i="4"/>
  <c r="T75" i="4"/>
  <c r="S68" i="4"/>
  <c r="Q68" i="4"/>
  <c r="T68" i="4"/>
  <c r="S59" i="4"/>
  <c r="Q59" i="4"/>
  <c r="S20" i="4"/>
  <c r="Q20" i="4"/>
  <c r="Q167" i="4"/>
  <c r="S167" i="4"/>
  <c r="T167" i="4" s="1"/>
  <c r="S163" i="4"/>
  <c r="T163" i="4" s="1"/>
  <c r="Q163" i="4"/>
  <c r="S159" i="4"/>
  <c r="T159" i="4"/>
  <c r="Q159" i="4"/>
  <c r="S155" i="4"/>
  <c r="T155" i="4"/>
  <c r="Q155" i="4"/>
  <c r="T131" i="4"/>
  <c r="S131" i="4"/>
  <c r="Q131" i="4"/>
  <c r="Q127" i="4"/>
  <c r="T127" i="4"/>
  <c r="S127" i="4"/>
  <c r="T123" i="4"/>
  <c r="S123" i="4"/>
  <c r="Q123" i="4"/>
  <c r="S103" i="4"/>
  <c r="Q103" i="4"/>
  <c r="T103" i="4"/>
  <c r="T99" i="4"/>
  <c r="Q99" i="4"/>
  <c r="S99" i="4"/>
  <c r="T95" i="4"/>
  <c r="Q95" i="4"/>
  <c r="S95" i="4"/>
  <c r="Q84" i="4"/>
  <c r="T84" i="4"/>
  <c r="S84" i="4"/>
  <c r="S80" i="4"/>
  <c r="T80" i="4"/>
  <c r="Q80" i="4"/>
  <c r="Q66" i="4"/>
  <c r="S66" i="4"/>
  <c r="T66" i="4"/>
  <c r="Q44" i="4"/>
  <c r="S44" i="4"/>
  <c r="T44" i="4" s="1"/>
  <c r="Q40" i="4"/>
  <c r="T40" i="4"/>
  <c r="S40" i="4"/>
  <c r="Q36" i="4"/>
  <c r="T36" i="4"/>
  <c r="S36" i="4"/>
  <c r="S32" i="4"/>
  <c r="Q32" i="4"/>
  <c r="T32" i="4"/>
  <c r="Q28" i="4"/>
  <c r="T28" i="4"/>
  <c r="S28" i="4"/>
  <c r="Q15" i="4"/>
  <c r="S15" i="4"/>
  <c r="S150" i="4"/>
  <c r="Q150" i="4"/>
  <c r="T150" i="4"/>
  <c r="S146" i="4"/>
  <c r="Q146" i="4"/>
  <c r="T146" i="4"/>
  <c r="S142" i="4"/>
  <c r="Q142" i="4"/>
  <c r="T142" i="4"/>
  <c r="S138" i="4"/>
  <c r="T138" i="4"/>
  <c r="Q138" i="4"/>
  <c r="S134" i="4"/>
  <c r="Q134" i="4"/>
  <c r="T134" i="4"/>
  <c r="Q113" i="4"/>
  <c r="T113" i="4"/>
  <c r="S113" i="4"/>
  <c r="T109" i="4"/>
  <c r="S109" i="4"/>
  <c r="Q109" i="4"/>
  <c r="T74" i="4"/>
  <c r="S74" i="4"/>
  <c r="Q74" i="4"/>
  <c r="Q58" i="4"/>
  <c r="S58" i="4"/>
  <c r="T58" i="4" s="1"/>
  <c r="Q19" i="4"/>
  <c r="S19" i="4"/>
  <c r="S97" i="5"/>
  <c r="Q97" i="5"/>
  <c r="T77" i="5"/>
  <c r="Q77" i="5"/>
  <c r="S77" i="5"/>
  <c r="T117" i="5"/>
  <c r="Q117" i="5"/>
  <c r="S117" i="5"/>
  <c r="S100" i="5"/>
  <c r="Q100" i="5"/>
  <c r="S96" i="5"/>
  <c r="Q96" i="5"/>
  <c r="Q92" i="5"/>
  <c r="S92" i="5"/>
  <c r="S88" i="5"/>
  <c r="Q88" i="5"/>
  <c r="S84" i="5"/>
  <c r="T84" i="5" s="1"/>
  <c r="Q84" i="5"/>
  <c r="T80" i="5"/>
  <c r="S80" i="5"/>
  <c r="Q80" i="5"/>
  <c r="Q76" i="5"/>
  <c r="T76" i="5"/>
  <c r="S76" i="5"/>
  <c r="Q72" i="5"/>
  <c r="T72" i="5"/>
  <c r="S72" i="5"/>
  <c r="S85" i="5"/>
  <c r="T85" i="5" s="1"/>
  <c r="Q85" i="5"/>
  <c r="Q116" i="5"/>
  <c r="T116" i="5"/>
  <c r="S116" i="5"/>
  <c r="S112" i="5"/>
  <c r="Q112" i="5"/>
  <c r="S108" i="5"/>
  <c r="Q108" i="5"/>
  <c r="Q103" i="5"/>
  <c r="S103" i="5"/>
  <c r="Q99" i="5"/>
  <c r="S99" i="5"/>
  <c r="S95" i="5"/>
  <c r="Q95" i="5"/>
  <c r="S91" i="5"/>
  <c r="T91" i="5" s="1"/>
  <c r="Q91" i="5"/>
  <c r="Q87" i="5"/>
  <c r="S87" i="5"/>
  <c r="T87" i="5" s="1"/>
  <c r="Q83" i="5"/>
  <c r="S83" i="5"/>
  <c r="T83" i="5"/>
  <c r="S79" i="5"/>
  <c r="T79" i="5"/>
  <c r="Q79" i="5"/>
  <c r="T75" i="5"/>
  <c r="Q75" i="5"/>
  <c r="S75" i="5"/>
  <c r="T71" i="5"/>
  <c r="Q71" i="5"/>
  <c r="S71" i="5"/>
  <c r="Q89" i="5"/>
  <c r="S89" i="5"/>
  <c r="Q109" i="5"/>
  <c r="S109" i="5"/>
  <c r="S115" i="5"/>
  <c r="Q115" i="5"/>
  <c r="S111" i="5"/>
  <c r="Q111" i="5"/>
  <c r="Q107" i="5"/>
  <c r="S107" i="5"/>
  <c r="S101" i="5"/>
  <c r="Q101" i="5"/>
  <c r="S81" i="5"/>
  <c r="T81" i="5"/>
  <c r="Q81" i="5"/>
  <c r="S105" i="5"/>
  <c r="Q105" i="5"/>
  <c r="S102" i="5"/>
  <c r="Q102" i="5"/>
  <c r="S98" i="5"/>
  <c r="Q98" i="5"/>
  <c r="S94" i="5"/>
  <c r="Q94" i="5"/>
  <c r="S90" i="5"/>
  <c r="Q90" i="5"/>
  <c r="S86" i="5"/>
  <c r="T86" i="5" s="1"/>
  <c r="Q86" i="5"/>
  <c r="Q82" i="5"/>
  <c r="T82" i="5"/>
  <c r="S82" i="5"/>
  <c r="T78" i="5"/>
  <c r="S78" i="5"/>
  <c r="Q78" i="5"/>
  <c r="Q74" i="5"/>
  <c r="T74" i="5"/>
  <c r="S74" i="5"/>
  <c r="Q93" i="5"/>
  <c r="S93" i="5"/>
  <c r="T73" i="5"/>
  <c r="Q73" i="5"/>
  <c r="S73" i="5"/>
  <c r="Q113" i="5"/>
  <c r="S113" i="5"/>
  <c r="S118" i="5"/>
  <c r="T118" i="5"/>
  <c r="Q118" i="5"/>
  <c r="Q114" i="5"/>
  <c r="S114" i="5"/>
  <c r="S110" i="5"/>
  <c r="Q110" i="5"/>
  <c r="Q106" i="5"/>
  <c r="S106" i="5"/>
  <c r="T549" i="6"/>
  <c r="Q549" i="6"/>
  <c r="S549" i="6"/>
  <c r="S525" i="6"/>
  <c r="Q525" i="6"/>
  <c r="T525" i="6"/>
  <c r="Q501" i="6"/>
  <c r="S501" i="6"/>
  <c r="Q473" i="6"/>
  <c r="T473" i="6"/>
  <c r="S473" i="6"/>
  <c r="Q99" i="6"/>
  <c r="T99" i="6"/>
  <c r="S99" i="6"/>
  <c r="T66" i="6"/>
  <c r="S66" i="6"/>
  <c r="Q66" i="6"/>
  <c r="T42" i="6"/>
  <c r="Q42" i="6"/>
  <c r="S42" i="6"/>
  <c r="Q18" i="6"/>
  <c r="T18" i="6"/>
  <c r="S18" i="6"/>
  <c r="Q605" i="6"/>
  <c r="T605" i="6"/>
  <c r="S605" i="6"/>
  <c r="Q581" i="6"/>
  <c r="S581" i="6"/>
  <c r="T581" i="6" s="1"/>
  <c r="Q439" i="6"/>
  <c r="T439" i="6"/>
  <c r="S439" i="6"/>
  <c r="Q403" i="6"/>
  <c r="T403" i="6" s="1"/>
  <c r="S403" i="6"/>
  <c r="Q379" i="6"/>
  <c r="S379" i="6"/>
  <c r="Q351" i="6"/>
  <c r="S351" i="6"/>
  <c r="S327" i="6"/>
  <c r="Q327" i="6"/>
  <c r="T327" i="6"/>
  <c r="Q303" i="6"/>
  <c r="T303" i="6"/>
  <c r="S303" i="6"/>
  <c r="Q277" i="6"/>
  <c r="T277" i="6"/>
  <c r="S277" i="6"/>
  <c r="T261" i="6"/>
  <c r="Q261" i="6"/>
  <c r="S261" i="6"/>
  <c r="Q230" i="6"/>
  <c r="S230" i="6"/>
  <c r="T230" i="6" s="1"/>
  <c r="Q206" i="6"/>
  <c r="S206" i="6"/>
  <c r="Q178" i="6"/>
  <c r="S178" i="6"/>
  <c r="Q154" i="6"/>
  <c r="S154" i="6"/>
  <c r="Q130" i="6"/>
  <c r="T130" i="6"/>
  <c r="S130" i="6"/>
  <c r="T106" i="6"/>
  <c r="Q106" i="6"/>
  <c r="S106" i="6"/>
  <c r="Q564" i="6"/>
  <c r="T564" i="6"/>
  <c r="S564" i="6"/>
  <c r="Q560" i="6"/>
  <c r="S560" i="6"/>
  <c r="T560" i="6"/>
  <c r="T556" i="6"/>
  <c r="Q556" i="6"/>
  <c r="S556" i="6"/>
  <c r="T552" i="6"/>
  <c r="Q552" i="6"/>
  <c r="S552" i="6"/>
  <c r="T548" i="6"/>
  <c r="Q548" i="6"/>
  <c r="S548" i="6"/>
  <c r="Q544" i="6"/>
  <c r="T544" i="6"/>
  <c r="S544" i="6"/>
  <c r="T540" i="6"/>
  <c r="Q540" i="6"/>
  <c r="S540" i="6"/>
  <c r="Q536" i="6"/>
  <c r="T536" i="6"/>
  <c r="S536" i="6"/>
  <c r="Q532" i="6"/>
  <c r="T532" i="6"/>
  <c r="S532" i="6"/>
  <c r="T528" i="6"/>
  <c r="Q528" i="6"/>
  <c r="S528" i="6"/>
  <c r="T524" i="6"/>
  <c r="Q524" i="6"/>
  <c r="S524" i="6"/>
  <c r="T520" i="6"/>
  <c r="Q520" i="6"/>
  <c r="S520" i="6"/>
  <c r="Q516" i="6"/>
  <c r="S516" i="6"/>
  <c r="S512" i="6"/>
  <c r="Q512" i="6"/>
  <c r="Q508" i="6"/>
  <c r="S508" i="6"/>
  <c r="Q504" i="6"/>
  <c r="S504" i="6"/>
  <c r="Q500" i="6"/>
  <c r="S500" i="6"/>
  <c r="Q496" i="6"/>
  <c r="T496" i="6" s="1"/>
  <c r="S496" i="6"/>
  <c r="Q492" i="6"/>
  <c r="S492" i="6"/>
  <c r="S488" i="6"/>
  <c r="Q488" i="6"/>
  <c r="S484" i="6"/>
  <c r="Q484" i="6"/>
  <c r="Q480" i="6"/>
  <c r="S480" i="6"/>
  <c r="T480" i="6" s="1"/>
  <c r="T476" i="6"/>
  <c r="Q476" i="6"/>
  <c r="S476" i="6"/>
  <c r="Q472" i="6"/>
  <c r="T472" i="6"/>
  <c r="S472" i="6"/>
  <c r="Q468" i="6"/>
  <c r="S468" i="6"/>
  <c r="T468" i="6" s="1"/>
  <c r="Q464" i="6"/>
  <c r="S464" i="6"/>
  <c r="T464" i="6" s="1"/>
  <c r="Q456" i="6"/>
  <c r="S456" i="6"/>
  <c r="T456" i="6" s="1"/>
  <c r="Q284" i="6"/>
  <c r="T284" i="6"/>
  <c r="S284" i="6"/>
  <c r="Q251" i="6"/>
  <c r="S251" i="6"/>
  <c r="Q247" i="6"/>
  <c r="S247" i="6"/>
  <c r="Q243" i="6"/>
  <c r="S243" i="6"/>
  <c r="S239" i="6"/>
  <c r="Q239" i="6"/>
  <c r="Q98" i="6"/>
  <c r="T98" i="6"/>
  <c r="S98" i="6"/>
  <c r="T94" i="6"/>
  <c r="Q94" i="6"/>
  <c r="S94" i="6"/>
  <c r="S90" i="6"/>
  <c r="T90" i="6"/>
  <c r="Q90" i="6"/>
  <c r="T86" i="6"/>
  <c r="Q86" i="6"/>
  <c r="S86" i="6"/>
  <c r="T82" i="6"/>
  <c r="Q82" i="6"/>
  <c r="S82" i="6"/>
  <c r="T78" i="6"/>
  <c r="Q78" i="6"/>
  <c r="S78" i="6"/>
  <c r="T73" i="6"/>
  <c r="Q73" i="6"/>
  <c r="S73" i="6"/>
  <c r="T69" i="6"/>
  <c r="Q69" i="6"/>
  <c r="S69" i="6"/>
  <c r="Q65" i="6"/>
  <c r="T65" i="6"/>
  <c r="S65" i="6"/>
  <c r="T61" i="6"/>
  <c r="Q61" i="6"/>
  <c r="S61" i="6"/>
  <c r="Q57" i="6"/>
  <c r="T57" i="6"/>
  <c r="S57" i="6"/>
  <c r="Q53" i="6"/>
  <c r="T53" i="6"/>
  <c r="S53" i="6"/>
  <c r="Q49" i="6"/>
  <c r="T49" i="6"/>
  <c r="S49" i="6"/>
  <c r="Q45" i="6"/>
  <c r="T45" i="6"/>
  <c r="S45" i="6"/>
  <c r="Q41" i="6"/>
  <c r="S41" i="6"/>
  <c r="T41" i="6"/>
  <c r="Q37" i="6"/>
  <c r="S37" i="6"/>
  <c r="T37" i="6"/>
  <c r="Q33" i="6"/>
  <c r="T33" i="6"/>
  <c r="S33" i="6"/>
  <c r="Q29" i="6"/>
  <c r="T29" i="6"/>
  <c r="S29" i="6"/>
  <c r="T25" i="6"/>
  <c r="Q25" i="6"/>
  <c r="S25" i="6"/>
  <c r="Q21" i="6"/>
  <c r="T21" i="6"/>
  <c r="S21" i="6"/>
  <c r="Q17" i="6"/>
  <c r="T17" i="6"/>
  <c r="S17" i="6"/>
  <c r="Q13" i="6"/>
  <c r="T13" i="6"/>
  <c r="S13" i="6"/>
  <c r="S545" i="6"/>
  <c r="T545" i="6" s="1"/>
  <c r="Q545" i="6"/>
  <c r="Q521" i="6"/>
  <c r="T521" i="6"/>
  <c r="S521" i="6"/>
  <c r="Q493" i="6"/>
  <c r="S493" i="6"/>
  <c r="Q457" i="6"/>
  <c r="S457" i="6"/>
  <c r="T457" i="6" s="1"/>
  <c r="T79" i="6"/>
  <c r="Q79" i="6"/>
  <c r="S79" i="6"/>
  <c r="T54" i="6"/>
  <c r="Q54" i="6"/>
  <c r="S54" i="6"/>
  <c r="T22" i="6"/>
  <c r="Q22" i="6"/>
  <c r="S22" i="6"/>
  <c r="Q597" i="6"/>
  <c r="S597" i="6"/>
  <c r="T395" i="6"/>
  <c r="S395" i="6"/>
  <c r="Q395" i="6"/>
  <c r="Q367" i="6"/>
  <c r="S367" i="6"/>
  <c r="Q343" i="6"/>
  <c r="S343" i="6"/>
  <c r="T315" i="6"/>
  <c r="Q315" i="6"/>
  <c r="S315" i="6"/>
  <c r="T291" i="6"/>
  <c r="Q291" i="6"/>
  <c r="S291" i="6"/>
  <c r="T265" i="6"/>
  <c r="Q265" i="6"/>
  <c r="S265" i="6"/>
  <c r="Q234" i="6"/>
  <c r="S234" i="6"/>
  <c r="Q202" i="6"/>
  <c r="S202" i="6"/>
  <c r="Q174" i="6"/>
  <c r="T174" i="6" s="1"/>
  <c r="S174" i="6"/>
  <c r="Q138" i="6"/>
  <c r="S138" i="6"/>
  <c r="T138" i="6" s="1"/>
  <c r="Q604" i="6"/>
  <c r="T604" i="6"/>
  <c r="S604" i="6"/>
  <c r="Q600" i="6"/>
  <c r="S600" i="6"/>
  <c r="Q596" i="6"/>
  <c r="S596" i="6"/>
  <c r="T596" i="6" s="1"/>
  <c r="Q592" i="6"/>
  <c r="S592" i="6"/>
  <c r="Q588" i="6"/>
  <c r="S588" i="6"/>
  <c r="Q584" i="6"/>
  <c r="S584" i="6"/>
  <c r="Q580" i="6"/>
  <c r="S580" i="6"/>
  <c r="T580" i="6" s="1"/>
  <c r="Q576" i="6"/>
  <c r="S576" i="6"/>
  <c r="T576" i="6" s="1"/>
  <c r="T572" i="6"/>
  <c r="S572" i="6"/>
  <c r="Q572" i="6"/>
  <c r="Q446" i="6"/>
  <c r="S446" i="6"/>
  <c r="Q442" i="6"/>
  <c r="S442" i="6"/>
  <c r="T442" i="6" s="1"/>
  <c r="T438" i="6"/>
  <c r="Q438" i="6"/>
  <c r="S438" i="6"/>
  <c r="Q402" i="6"/>
  <c r="S402" i="6"/>
  <c r="Q398" i="6"/>
  <c r="S398" i="6"/>
  <c r="Q394" i="6"/>
  <c r="S394" i="6"/>
  <c r="Q390" i="6"/>
  <c r="S390" i="6"/>
  <c r="Q386" i="6"/>
  <c r="S386" i="6"/>
  <c r="Q382" i="6"/>
  <c r="S382" i="6"/>
  <c r="Q378" i="6"/>
  <c r="S378" i="6"/>
  <c r="Q374" i="6"/>
  <c r="S374" i="6"/>
  <c r="Q370" i="6"/>
  <c r="S370" i="6"/>
  <c r="Q366" i="6"/>
  <c r="S366" i="6"/>
  <c r="Q362" i="6"/>
  <c r="S362" i="6"/>
  <c r="S358" i="6"/>
  <c r="Q358" i="6"/>
  <c r="Q354" i="6"/>
  <c r="S354" i="6"/>
  <c r="S350" i="6"/>
  <c r="Q350" i="6"/>
  <c r="Q346" i="6"/>
  <c r="S346" i="6"/>
  <c r="Q342" i="6"/>
  <c r="S342" i="6"/>
  <c r="Q338" i="6"/>
  <c r="S338" i="6"/>
  <c r="Q334" i="6"/>
  <c r="S334" i="6"/>
  <c r="S330" i="6"/>
  <c r="Q330" i="6"/>
  <c r="Q326" i="6"/>
  <c r="T326" i="6"/>
  <c r="S326" i="6"/>
  <c r="T322" i="6"/>
  <c r="Q322" i="6"/>
  <c r="S322" i="6"/>
  <c r="T318" i="6"/>
  <c r="Q318" i="6"/>
  <c r="S318" i="6"/>
  <c r="T314" i="6"/>
  <c r="Q314" i="6"/>
  <c r="S314" i="6"/>
  <c r="T310" i="6"/>
  <c r="S310" i="6"/>
  <c r="Q310" i="6"/>
  <c r="Q306" i="6"/>
  <c r="S306" i="6"/>
  <c r="T306" i="6"/>
  <c r="Q302" i="6"/>
  <c r="T302" i="6"/>
  <c r="S302" i="6"/>
  <c r="T298" i="6"/>
  <c r="Q298" i="6"/>
  <c r="S298" i="6"/>
  <c r="Q294" i="6"/>
  <c r="T294" i="6"/>
  <c r="S294" i="6"/>
  <c r="T290" i="6"/>
  <c r="Q290" i="6"/>
  <c r="S290" i="6"/>
  <c r="Q280" i="6"/>
  <c r="T280" i="6"/>
  <c r="S280" i="6"/>
  <c r="Q276" i="6"/>
  <c r="S276" i="6"/>
  <c r="T276" i="6"/>
  <c r="Q272" i="6"/>
  <c r="S272" i="6"/>
  <c r="Q268" i="6"/>
  <c r="T268" i="6"/>
  <c r="S268" i="6"/>
  <c r="T264" i="6"/>
  <c r="S264" i="6"/>
  <c r="Q264" i="6"/>
  <c r="T260" i="6"/>
  <c r="S260" i="6"/>
  <c r="Q260" i="6"/>
  <c r="Q233" i="6"/>
  <c r="S233" i="6"/>
  <c r="S229" i="6"/>
  <c r="Q229" i="6"/>
  <c r="Q225" i="6"/>
  <c r="S225" i="6"/>
  <c r="Q221" i="6"/>
  <c r="S221" i="6"/>
  <c r="Q217" i="6"/>
  <c r="S217" i="6"/>
  <c r="Q213" i="6"/>
  <c r="S213" i="6"/>
  <c r="Q209" i="6"/>
  <c r="S209" i="6"/>
  <c r="Q205" i="6"/>
  <c r="S205" i="6"/>
  <c r="Q201" i="6"/>
  <c r="S201" i="6"/>
  <c r="S197" i="6"/>
  <c r="Q197" i="6"/>
  <c r="Q193" i="6"/>
  <c r="S193" i="6"/>
  <c r="Q189" i="6"/>
  <c r="S189" i="6"/>
  <c r="T185" i="6"/>
  <c r="Q185" i="6"/>
  <c r="S185" i="6"/>
  <c r="Q181" i="6"/>
  <c r="S181" i="6"/>
  <c r="Q177" i="6"/>
  <c r="S177" i="6"/>
  <c r="Q173" i="6"/>
  <c r="S173" i="6"/>
  <c r="Q169" i="6"/>
  <c r="S169" i="6"/>
  <c r="Q165" i="6"/>
  <c r="S165" i="6"/>
  <c r="S161" i="6"/>
  <c r="Q161" i="6"/>
  <c r="Q157" i="6"/>
  <c r="S157" i="6"/>
  <c r="Q153" i="6"/>
  <c r="S153" i="6"/>
  <c r="T153" i="6"/>
  <c r="Q149" i="6"/>
  <c r="T149" i="6"/>
  <c r="S149" i="6"/>
  <c r="Q145" i="6"/>
  <c r="S145" i="6"/>
  <c r="T145" i="6" s="1"/>
  <c r="Q141" i="6"/>
  <c r="S141" i="6"/>
  <c r="T141" i="6" s="1"/>
  <c r="Q137" i="6"/>
  <c r="S137" i="6"/>
  <c r="T137" i="6" s="1"/>
  <c r="Q133" i="6"/>
  <c r="S133" i="6"/>
  <c r="T133" i="6" s="1"/>
  <c r="Q129" i="6"/>
  <c r="T129" i="6"/>
  <c r="S129" i="6"/>
  <c r="Q125" i="6"/>
  <c r="T125" i="6"/>
  <c r="S125" i="6"/>
  <c r="Q121" i="6"/>
  <c r="T121" i="6"/>
  <c r="S121" i="6"/>
  <c r="Q117" i="6"/>
  <c r="T117" i="6"/>
  <c r="S117" i="6"/>
  <c r="T113" i="6"/>
  <c r="S113" i="6"/>
  <c r="Q113" i="6"/>
  <c r="T109" i="6"/>
  <c r="Q109" i="6"/>
  <c r="S109" i="6"/>
  <c r="T105" i="6"/>
  <c r="Q105" i="6"/>
  <c r="S105" i="6"/>
  <c r="T101" i="6"/>
  <c r="Q101" i="6"/>
  <c r="S101" i="6"/>
  <c r="T557" i="6"/>
  <c r="Q557" i="6"/>
  <c r="S557" i="6"/>
  <c r="T541" i="6"/>
  <c r="Q541" i="6"/>
  <c r="S541" i="6"/>
  <c r="Q517" i="6"/>
  <c r="S517" i="6"/>
  <c r="T517" i="6" s="1"/>
  <c r="Q497" i="6"/>
  <c r="S497" i="6"/>
  <c r="Q477" i="6"/>
  <c r="S477" i="6"/>
  <c r="T477" i="6" s="1"/>
  <c r="Q244" i="6"/>
  <c r="S244" i="6"/>
  <c r="Q83" i="6"/>
  <c r="T83" i="6"/>
  <c r="S83" i="6"/>
  <c r="T74" i="6"/>
  <c r="Q74" i="6"/>
  <c r="S74" i="6"/>
  <c r="T50" i="6"/>
  <c r="Q50" i="6"/>
  <c r="S50" i="6"/>
  <c r="Q26" i="6"/>
  <c r="S26" i="6"/>
  <c r="T26" i="6"/>
  <c r="S593" i="6"/>
  <c r="Q593" i="6"/>
  <c r="S573" i="6"/>
  <c r="T573" i="6"/>
  <c r="Q573" i="6"/>
  <c r="Q391" i="6"/>
  <c r="S391" i="6"/>
  <c r="Q371" i="6"/>
  <c r="S371" i="6"/>
  <c r="Q355" i="6"/>
  <c r="T355" i="6" s="1"/>
  <c r="S355" i="6"/>
  <c r="Q331" i="6"/>
  <c r="T331" i="6"/>
  <c r="S331" i="6"/>
  <c r="Q311" i="6"/>
  <c r="T311" i="6"/>
  <c r="S311" i="6"/>
  <c r="Q287" i="6"/>
  <c r="S287" i="6"/>
  <c r="Q269" i="6"/>
  <c r="S269" i="6"/>
  <c r="T269" i="6" s="1"/>
  <c r="Q222" i="6"/>
  <c r="S222" i="6"/>
  <c r="Q210" i="6"/>
  <c r="S210" i="6"/>
  <c r="Q190" i="6"/>
  <c r="S190" i="6"/>
  <c r="Q170" i="6"/>
  <c r="S170" i="6"/>
  <c r="Q150" i="6"/>
  <c r="T150" i="6"/>
  <c r="S150" i="6"/>
  <c r="T126" i="6"/>
  <c r="Q126" i="6"/>
  <c r="S126" i="6"/>
  <c r="T114" i="6"/>
  <c r="Q114" i="6"/>
  <c r="S114" i="6"/>
  <c r="Q563" i="6"/>
  <c r="T563" i="6"/>
  <c r="S563" i="6"/>
  <c r="Q559" i="6"/>
  <c r="S559" i="6"/>
  <c r="T559" i="6" s="1"/>
  <c r="T555" i="6"/>
  <c r="Q555" i="6"/>
  <c r="S555" i="6"/>
  <c r="Q551" i="6"/>
  <c r="T551" i="6"/>
  <c r="S551" i="6"/>
  <c r="Q547" i="6"/>
  <c r="T547" i="6"/>
  <c r="S547" i="6"/>
  <c r="T543" i="6"/>
  <c r="Q543" i="6"/>
  <c r="S543" i="6"/>
  <c r="T539" i="6"/>
  <c r="Q539" i="6"/>
  <c r="S539" i="6"/>
  <c r="T535" i="6"/>
  <c r="S535" i="6"/>
  <c r="Q535" i="6"/>
  <c r="Q531" i="6"/>
  <c r="T531" i="6"/>
  <c r="S531" i="6"/>
  <c r="Q527" i="6"/>
  <c r="T527" i="6"/>
  <c r="S527" i="6"/>
  <c r="T523" i="6"/>
  <c r="Q523" i="6"/>
  <c r="S523" i="6"/>
  <c r="Q519" i="6"/>
  <c r="S519" i="6"/>
  <c r="T519" i="6" s="1"/>
  <c r="S515" i="6"/>
  <c r="Q515" i="6"/>
  <c r="Q511" i="6"/>
  <c r="S511" i="6"/>
  <c r="Q507" i="6"/>
  <c r="S507" i="6"/>
  <c r="Q503" i="6"/>
  <c r="S503" i="6"/>
  <c r="Q499" i="6"/>
  <c r="S499" i="6"/>
  <c r="S495" i="6"/>
  <c r="Q495" i="6"/>
  <c r="Q491" i="6"/>
  <c r="S491" i="6"/>
  <c r="Q487" i="6"/>
  <c r="S487" i="6"/>
  <c r="Q483" i="6"/>
  <c r="S483" i="6"/>
  <c r="T483" i="6" s="1"/>
  <c r="Q479" i="6"/>
  <c r="S479" i="6"/>
  <c r="T479" i="6" s="1"/>
  <c r="Q475" i="6"/>
  <c r="T475" i="6"/>
  <c r="S475" i="6"/>
  <c r="Q471" i="6"/>
  <c r="S471" i="6"/>
  <c r="T471" i="6"/>
  <c r="Q467" i="6"/>
  <c r="S467" i="6"/>
  <c r="T467" i="6" s="1"/>
  <c r="Q463" i="6"/>
  <c r="S463" i="6"/>
  <c r="T463" i="6" s="1"/>
  <c r="Q455" i="6"/>
  <c r="S455" i="6"/>
  <c r="T455" i="6" s="1"/>
  <c r="T286" i="6"/>
  <c r="Q286" i="6"/>
  <c r="S286" i="6"/>
  <c r="Q250" i="6"/>
  <c r="S250" i="6"/>
  <c r="Q246" i="6"/>
  <c r="T246" i="6" s="1"/>
  <c r="S246" i="6"/>
  <c r="Q242" i="6"/>
  <c r="S242" i="6"/>
  <c r="Q97" i="6"/>
  <c r="T97" i="6"/>
  <c r="S97" i="6"/>
  <c r="Q93" i="6"/>
  <c r="T93" i="6"/>
  <c r="S93" i="6"/>
  <c r="Q89" i="6"/>
  <c r="T89" i="6"/>
  <c r="S89" i="6"/>
  <c r="Q85" i="6"/>
  <c r="T85" i="6"/>
  <c r="S85" i="6"/>
  <c r="Q81" i="6"/>
  <c r="T81" i="6"/>
  <c r="S81" i="6"/>
  <c r="T77" i="6"/>
  <c r="Q77" i="6"/>
  <c r="S77" i="6"/>
  <c r="Q72" i="6"/>
  <c r="T72" i="6"/>
  <c r="S72" i="6"/>
  <c r="Q68" i="6"/>
  <c r="T68" i="6"/>
  <c r="S68" i="6"/>
  <c r="T64" i="6"/>
  <c r="Q64" i="6"/>
  <c r="S64" i="6"/>
  <c r="Q60" i="6"/>
  <c r="T60" i="6"/>
  <c r="S60" i="6"/>
  <c r="Q56" i="6"/>
  <c r="T56" i="6"/>
  <c r="S56" i="6"/>
  <c r="T52" i="6"/>
  <c r="Q52" i="6"/>
  <c r="S52" i="6"/>
  <c r="T48" i="6"/>
  <c r="Q48" i="6"/>
  <c r="S48" i="6"/>
  <c r="T44" i="6"/>
  <c r="S44" i="6"/>
  <c r="Q44" i="6"/>
  <c r="T40" i="6"/>
  <c r="Q40" i="6"/>
  <c r="S40" i="6"/>
  <c r="T36" i="6"/>
  <c r="Q36" i="6"/>
  <c r="S36" i="6"/>
  <c r="Q32" i="6"/>
  <c r="T32" i="6"/>
  <c r="S32" i="6"/>
  <c r="Q28" i="6"/>
  <c r="S28" i="6"/>
  <c r="T28" i="6"/>
  <c r="T24" i="6"/>
  <c r="S24" i="6"/>
  <c r="Q24" i="6"/>
  <c r="Q20" i="6"/>
  <c r="T20" i="6"/>
  <c r="S20" i="6"/>
  <c r="Q16" i="6"/>
  <c r="T16" i="6"/>
  <c r="S16" i="6"/>
  <c r="Q12" i="6"/>
  <c r="T12" i="6"/>
  <c r="S12" i="6"/>
  <c r="T565" i="6"/>
  <c r="Q565" i="6"/>
  <c r="S565" i="6"/>
  <c r="T533" i="6"/>
  <c r="Q533" i="6"/>
  <c r="S533" i="6"/>
  <c r="Q509" i="6"/>
  <c r="S509" i="6"/>
  <c r="Q485" i="6"/>
  <c r="S485" i="6"/>
  <c r="Q465" i="6"/>
  <c r="S465" i="6"/>
  <c r="T465" i="6" s="1"/>
  <c r="S248" i="6"/>
  <c r="Q248" i="6"/>
  <c r="Q91" i="6"/>
  <c r="T91" i="6"/>
  <c r="S91" i="6"/>
  <c r="T58" i="6"/>
  <c r="Q58" i="6"/>
  <c r="S58" i="6"/>
  <c r="Q34" i="6"/>
  <c r="T34" i="6"/>
  <c r="S34" i="6"/>
  <c r="Q589" i="6"/>
  <c r="S589" i="6"/>
  <c r="Q387" i="6"/>
  <c r="S387" i="6"/>
  <c r="Q363" i="6"/>
  <c r="S363" i="6"/>
  <c r="Q335" i="6"/>
  <c r="S335" i="6"/>
  <c r="T307" i="6"/>
  <c r="Q307" i="6"/>
  <c r="S307" i="6"/>
  <c r="Q281" i="6"/>
  <c r="T281" i="6"/>
  <c r="S281" i="6"/>
  <c r="Q218" i="6"/>
  <c r="S218" i="6"/>
  <c r="Q194" i="6"/>
  <c r="S194" i="6"/>
  <c r="Q166" i="6"/>
  <c r="S166" i="6"/>
  <c r="Q146" i="6"/>
  <c r="T146" i="6"/>
  <c r="S146" i="6"/>
  <c r="Q122" i="6"/>
  <c r="T122" i="6"/>
  <c r="S122" i="6"/>
  <c r="S102" i="6"/>
  <c r="Q102" i="6"/>
  <c r="T102" i="6"/>
  <c r="Q607" i="6"/>
  <c r="S607" i="6"/>
  <c r="T607" i="6" s="1"/>
  <c r="T603" i="6"/>
  <c r="Q603" i="6"/>
  <c r="S603" i="6"/>
  <c r="Q599" i="6"/>
  <c r="S599" i="6"/>
  <c r="Q595" i="6"/>
  <c r="S595" i="6"/>
  <c r="Q591" i="6"/>
  <c r="S591" i="6"/>
  <c r="Q587" i="6"/>
  <c r="S587" i="6"/>
  <c r="Q583" i="6"/>
  <c r="S583" i="6"/>
  <c r="Q579" i="6"/>
  <c r="S579" i="6"/>
  <c r="T579" i="6" s="1"/>
  <c r="Q575" i="6"/>
  <c r="S575" i="6"/>
  <c r="T575" i="6" s="1"/>
  <c r="Q445" i="6"/>
  <c r="S445" i="6"/>
  <c r="T441" i="6"/>
  <c r="Q441" i="6"/>
  <c r="S441" i="6"/>
  <c r="Q410" i="6"/>
  <c r="T410" i="6"/>
  <c r="S410" i="6"/>
  <c r="S401" i="6"/>
  <c r="Q401" i="6"/>
  <c r="Q397" i="6"/>
  <c r="S397" i="6"/>
  <c r="Q393" i="6"/>
  <c r="S393" i="6"/>
  <c r="T393" i="6" s="1"/>
  <c r="Q389" i="6"/>
  <c r="S389" i="6"/>
  <c r="Q385" i="6"/>
  <c r="S385" i="6"/>
  <c r="Q381" i="6"/>
  <c r="S381" i="6"/>
  <c r="S377" i="6"/>
  <c r="Q377" i="6"/>
  <c r="S373" i="6"/>
  <c r="Q373" i="6"/>
  <c r="Q369" i="6"/>
  <c r="S369" i="6"/>
  <c r="Q365" i="6"/>
  <c r="S365" i="6"/>
  <c r="Q361" i="6"/>
  <c r="S361" i="6"/>
  <c r="Q357" i="6"/>
  <c r="S357" i="6"/>
  <c r="S353" i="6"/>
  <c r="Q353" i="6"/>
  <c r="Q349" i="6"/>
  <c r="S349" i="6"/>
  <c r="Q345" i="6"/>
  <c r="S345" i="6"/>
  <c r="Q341" i="6"/>
  <c r="S341" i="6"/>
  <c r="Q337" i="6"/>
  <c r="S337" i="6"/>
  <c r="Q333" i="6"/>
  <c r="S333" i="6"/>
  <c r="Q329" i="6"/>
  <c r="S329" i="6"/>
  <c r="Q325" i="6"/>
  <c r="S325" i="6"/>
  <c r="Q321" i="6"/>
  <c r="S321" i="6"/>
  <c r="T317" i="6"/>
  <c r="Q317" i="6"/>
  <c r="S317" i="6"/>
  <c r="T313" i="6"/>
  <c r="Q313" i="6"/>
  <c r="S313" i="6"/>
  <c r="T309" i="6"/>
  <c r="Q309" i="6"/>
  <c r="S309" i="6"/>
  <c r="Q305" i="6"/>
  <c r="T305" i="6"/>
  <c r="S305" i="6"/>
  <c r="Q301" i="6"/>
  <c r="T301" i="6"/>
  <c r="S301" i="6"/>
  <c r="Q297" i="6"/>
  <c r="T297" i="6"/>
  <c r="S297" i="6"/>
  <c r="Q293" i="6"/>
  <c r="T293" i="6"/>
  <c r="S293" i="6"/>
  <c r="Q289" i="6"/>
  <c r="S289" i="6"/>
  <c r="Q283" i="6"/>
  <c r="T283" i="6"/>
  <c r="S283" i="6"/>
  <c r="Q279" i="6"/>
  <c r="T279" i="6"/>
  <c r="S279" i="6"/>
  <c r="Q275" i="6"/>
  <c r="T275" i="6"/>
  <c r="S275" i="6"/>
  <c r="T271" i="6"/>
  <c r="Q271" i="6"/>
  <c r="S271" i="6"/>
  <c r="T267" i="6"/>
  <c r="Q267" i="6"/>
  <c r="S267" i="6"/>
  <c r="T263" i="6"/>
  <c r="Q263" i="6"/>
  <c r="S263" i="6"/>
  <c r="T259" i="6"/>
  <c r="Q259" i="6"/>
  <c r="S259" i="6"/>
  <c r="Q232" i="6"/>
  <c r="S232" i="6"/>
  <c r="Q228" i="6"/>
  <c r="S228" i="6"/>
  <c r="S224" i="6"/>
  <c r="Q224" i="6"/>
  <c r="Q220" i="6"/>
  <c r="S220" i="6"/>
  <c r="Q216" i="6"/>
  <c r="S216" i="6"/>
  <c r="Q212" i="6"/>
  <c r="S212" i="6"/>
  <c r="Q208" i="6"/>
  <c r="S208" i="6"/>
  <c r="S204" i="6"/>
  <c r="Q204" i="6"/>
  <c r="Q200" i="6"/>
  <c r="S200" i="6"/>
  <c r="Q196" i="6"/>
  <c r="S196" i="6"/>
  <c r="S192" i="6"/>
  <c r="Q192" i="6"/>
  <c r="Q188" i="6"/>
  <c r="S188" i="6"/>
  <c r="Q184" i="6"/>
  <c r="S184" i="6"/>
  <c r="S180" i="6"/>
  <c r="Q180" i="6"/>
  <c r="Q176" i="6"/>
  <c r="S176" i="6"/>
  <c r="Q172" i="6"/>
  <c r="S172" i="6"/>
  <c r="T172" i="6" s="1"/>
  <c r="Q168" i="6"/>
  <c r="S168" i="6"/>
  <c r="Q164" i="6"/>
  <c r="S164" i="6"/>
  <c r="Q160" i="6"/>
  <c r="S160" i="6"/>
  <c r="Q156" i="6"/>
  <c r="S156" i="6"/>
  <c r="Q152" i="6"/>
  <c r="S152" i="6"/>
  <c r="T152" i="6"/>
  <c r="T148" i="6"/>
  <c r="Q148" i="6"/>
  <c r="S148" i="6"/>
  <c r="Q144" i="6"/>
  <c r="S144" i="6"/>
  <c r="T144" i="6" s="1"/>
  <c r="Q140" i="6"/>
  <c r="S140" i="6"/>
  <c r="T140" i="6" s="1"/>
  <c r="Q136" i="6"/>
  <c r="S136" i="6"/>
  <c r="T136" i="6" s="1"/>
  <c r="Q132" i="6"/>
  <c r="S132" i="6"/>
  <c r="T132" i="6" s="1"/>
  <c r="T128" i="6"/>
  <c r="Q128" i="6"/>
  <c r="S128" i="6"/>
  <c r="Q124" i="6"/>
  <c r="T124" i="6"/>
  <c r="S124" i="6"/>
  <c r="Q120" i="6"/>
  <c r="T120" i="6"/>
  <c r="S120" i="6"/>
  <c r="Q116" i="6"/>
  <c r="S116" i="6"/>
  <c r="T116" i="6"/>
  <c r="Q112" i="6"/>
  <c r="T112" i="6"/>
  <c r="S112" i="6"/>
  <c r="T108" i="6"/>
  <c r="Q108" i="6"/>
  <c r="S108" i="6"/>
  <c r="Q104" i="6"/>
  <c r="T104" i="6"/>
  <c r="S104" i="6"/>
  <c r="T553" i="6"/>
  <c r="Q553" i="6"/>
  <c r="S553" i="6"/>
  <c r="T529" i="6"/>
  <c r="Q529" i="6"/>
  <c r="S529" i="6"/>
  <c r="Q505" i="6"/>
  <c r="S505" i="6"/>
  <c r="Q481" i="6"/>
  <c r="S481" i="6"/>
  <c r="T481" i="6" s="1"/>
  <c r="Q453" i="6"/>
  <c r="Q240" i="6"/>
  <c r="S240" i="6"/>
  <c r="Q87" i="6"/>
  <c r="T87" i="6"/>
  <c r="S87" i="6"/>
  <c r="T62" i="6"/>
  <c r="Q62" i="6"/>
  <c r="S62" i="6"/>
  <c r="S38" i="6"/>
  <c r="T38" i="6"/>
  <c r="Q38" i="6"/>
  <c r="Q14" i="6"/>
  <c r="T14" i="6"/>
  <c r="S14" i="6"/>
  <c r="Q601" i="6"/>
  <c r="S601" i="6"/>
  <c r="Q577" i="6"/>
  <c r="S577" i="6"/>
  <c r="T577" i="6" s="1"/>
  <c r="Q399" i="6"/>
  <c r="S399" i="6"/>
  <c r="Q375" i="6"/>
  <c r="S375" i="6"/>
  <c r="Q347" i="6"/>
  <c r="S347" i="6"/>
  <c r="Q323" i="6"/>
  <c r="T323" i="6"/>
  <c r="S323" i="6"/>
  <c r="Q299" i="6"/>
  <c r="T299" i="6"/>
  <c r="S299" i="6"/>
  <c r="Q226" i="6"/>
  <c r="S226" i="6"/>
  <c r="Q198" i="6"/>
  <c r="S198" i="6"/>
  <c r="Q182" i="6"/>
  <c r="S182" i="6"/>
  <c r="Q162" i="6"/>
  <c r="S162" i="6"/>
  <c r="Q142" i="6"/>
  <c r="S142" i="6"/>
  <c r="T142" i="6" s="1"/>
  <c r="T118" i="6"/>
  <c r="Q118" i="6"/>
  <c r="S118" i="6"/>
  <c r="Q562" i="6"/>
  <c r="T562" i="6"/>
  <c r="S562" i="6"/>
  <c r="T558" i="6"/>
  <c r="Q558" i="6"/>
  <c r="S558" i="6"/>
  <c r="T554" i="6"/>
  <c r="Q554" i="6"/>
  <c r="S554" i="6"/>
  <c r="Q550" i="6"/>
  <c r="T550" i="6"/>
  <c r="S550" i="6"/>
  <c r="T546" i="6"/>
  <c r="Q546" i="6"/>
  <c r="S546" i="6"/>
  <c r="T542" i="6"/>
  <c r="Q542" i="6"/>
  <c r="S542" i="6"/>
  <c r="T538" i="6"/>
  <c r="Q538" i="6"/>
  <c r="S538" i="6"/>
  <c r="Q534" i="6"/>
  <c r="T534" i="6"/>
  <c r="S534" i="6"/>
  <c r="Q530" i="6"/>
  <c r="S530" i="6"/>
  <c r="T530" i="6" s="1"/>
  <c r="T526" i="6"/>
  <c r="Q526" i="6"/>
  <c r="S526" i="6"/>
  <c r="T522" i="6"/>
  <c r="S522" i="6"/>
  <c r="Q522" i="6"/>
  <c r="Q518" i="6"/>
  <c r="S518" i="6"/>
  <c r="T518" i="6" s="1"/>
  <c r="Q514" i="6"/>
  <c r="S514" i="6"/>
  <c r="Q510" i="6"/>
  <c r="S510" i="6"/>
  <c r="Q506" i="6"/>
  <c r="S506" i="6"/>
  <c r="Q502" i="6"/>
  <c r="S502" i="6"/>
  <c r="Q498" i="6"/>
  <c r="T498" i="6" s="1"/>
  <c r="S498" i="6"/>
  <c r="Q494" i="6"/>
  <c r="S494" i="6"/>
  <c r="Q490" i="6"/>
  <c r="S490" i="6"/>
  <c r="Q486" i="6"/>
  <c r="S486" i="6"/>
  <c r="Q482" i="6"/>
  <c r="S482" i="6"/>
  <c r="T482" i="6" s="1"/>
  <c r="Q478" i="6"/>
  <c r="S478" i="6"/>
  <c r="T478" i="6" s="1"/>
  <c r="T474" i="6"/>
  <c r="Q474" i="6"/>
  <c r="S474" i="6"/>
  <c r="Q470" i="6"/>
  <c r="S470" i="6"/>
  <c r="T470" i="6" s="1"/>
  <c r="Q466" i="6"/>
  <c r="S466" i="6"/>
  <c r="T466" i="6" s="1"/>
  <c r="S454" i="6"/>
  <c r="T454" i="6" s="1"/>
  <c r="Q454" i="6"/>
  <c r="Q249" i="6"/>
  <c r="S249" i="6"/>
  <c r="Q245" i="6"/>
  <c r="S245" i="6"/>
  <c r="Q241" i="6"/>
  <c r="S241" i="6"/>
  <c r="Q100" i="6"/>
  <c r="S100" i="6"/>
  <c r="T100" i="6"/>
  <c r="Q96" i="6"/>
  <c r="T96" i="6"/>
  <c r="S96" i="6"/>
  <c r="Q92" i="6"/>
  <c r="T92" i="6"/>
  <c r="S92" i="6"/>
  <c r="Q88" i="6"/>
  <c r="T88" i="6"/>
  <c r="S88" i="6"/>
  <c r="Q84" i="6"/>
  <c r="T84" i="6"/>
  <c r="S84" i="6"/>
  <c r="Q80" i="6"/>
  <c r="T80" i="6"/>
  <c r="S80" i="6"/>
  <c r="T76" i="6"/>
  <c r="S76" i="6"/>
  <c r="Q76" i="6"/>
  <c r="T71" i="6"/>
  <c r="Q71" i="6"/>
  <c r="S71" i="6"/>
  <c r="T67" i="6"/>
  <c r="Q67" i="6"/>
  <c r="S67" i="6"/>
  <c r="Q63" i="6"/>
  <c r="S63" i="6"/>
  <c r="T63" i="6"/>
  <c r="T59" i="6"/>
  <c r="Q59" i="6"/>
  <c r="S59" i="6"/>
  <c r="T55" i="6"/>
  <c r="Q55" i="6"/>
  <c r="S55" i="6"/>
  <c r="Q51" i="6"/>
  <c r="T51" i="6"/>
  <c r="S51" i="6"/>
  <c r="T47" i="6"/>
  <c r="Q47" i="6"/>
  <c r="S47" i="6"/>
  <c r="T43" i="6"/>
  <c r="S43" i="6"/>
  <c r="Q43" i="6"/>
  <c r="T39" i="6"/>
  <c r="S39" i="6"/>
  <c r="Q39" i="6"/>
  <c r="Q35" i="6"/>
  <c r="T35" i="6"/>
  <c r="S35" i="6"/>
  <c r="Q31" i="6"/>
  <c r="T31" i="6"/>
  <c r="S31" i="6"/>
  <c r="T27" i="6"/>
  <c r="Q27" i="6"/>
  <c r="S27" i="6"/>
  <c r="T23" i="6"/>
  <c r="Q23" i="6"/>
  <c r="S23" i="6"/>
  <c r="T19" i="6"/>
  <c r="Q19" i="6"/>
  <c r="S19" i="6"/>
  <c r="T15" i="6"/>
  <c r="Q15" i="6"/>
  <c r="S15" i="6"/>
  <c r="T561" i="6"/>
  <c r="Q561" i="6"/>
  <c r="S561" i="6"/>
  <c r="T537" i="6"/>
  <c r="Q537" i="6"/>
  <c r="S537" i="6"/>
  <c r="Q513" i="6"/>
  <c r="S513" i="6"/>
  <c r="Q489" i="6"/>
  <c r="S489" i="6"/>
  <c r="Q469" i="6"/>
  <c r="S469" i="6"/>
  <c r="T469" i="6" s="1"/>
  <c r="Q95" i="6"/>
  <c r="T95" i="6"/>
  <c r="S95" i="6"/>
  <c r="Q70" i="6"/>
  <c r="T70" i="6"/>
  <c r="S70" i="6"/>
  <c r="T46" i="6"/>
  <c r="Q46" i="6"/>
  <c r="S46" i="6"/>
  <c r="Q30" i="6"/>
  <c r="S30" i="6"/>
  <c r="T30" i="6"/>
  <c r="Q585" i="6"/>
  <c r="S585" i="6"/>
  <c r="Q443" i="6"/>
  <c r="S443" i="6"/>
  <c r="T443" i="6" s="1"/>
  <c r="Q383" i="6"/>
  <c r="S383" i="6"/>
  <c r="Q359" i="6"/>
  <c r="S359" i="6"/>
  <c r="Q339" i="6"/>
  <c r="S339" i="6"/>
  <c r="T319" i="6"/>
  <c r="Q319" i="6"/>
  <c r="S319" i="6"/>
  <c r="Q295" i="6"/>
  <c r="T295" i="6"/>
  <c r="S295" i="6"/>
  <c r="Q273" i="6"/>
  <c r="S273" i="6"/>
  <c r="S214" i="6"/>
  <c r="Q214" i="6"/>
  <c r="Q186" i="6"/>
  <c r="S186" i="6"/>
  <c r="S158" i="6"/>
  <c r="Q158" i="6"/>
  <c r="Q134" i="6"/>
  <c r="S134" i="6"/>
  <c r="T134" i="6" s="1"/>
  <c r="T110" i="6"/>
  <c r="Q110" i="6"/>
  <c r="S110" i="6"/>
  <c r="Q606" i="6"/>
  <c r="T606" i="6"/>
  <c r="S606" i="6"/>
  <c r="Q602" i="6"/>
  <c r="S602" i="6"/>
  <c r="S598" i="6"/>
  <c r="Q598" i="6"/>
  <c r="Q594" i="6"/>
  <c r="S594" i="6"/>
  <c r="Q590" i="6"/>
  <c r="S590" i="6"/>
  <c r="Q586" i="6"/>
  <c r="S586" i="6"/>
  <c r="Q582" i="6"/>
  <c r="S582" i="6"/>
  <c r="Q578" i="6"/>
  <c r="S578" i="6"/>
  <c r="T578" i="6" s="1"/>
  <c r="T574" i="6"/>
  <c r="Q574" i="6"/>
  <c r="S574" i="6"/>
  <c r="Q444" i="6"/>
  <c r="S444" i="6"/>
  <c r="T444" i="6" s="1"/>
  <c r="Q440" i="6"/>
  <c r="T440" i="6"/>
  <c r="S440" i="6"/>
  <c r="Q400" i="6"/>
  <c r="S400" i="6"/>
  <c r="Q396" i="6"/>
  <c r="S396" i="6"/>
  <c r="S392" i="6"/>
  <c r="Q392" i="6"/>
  <c r="S388" i="6"/>
  <c r="Q388" i="6"/>
  <c r="Q384" i="6"/>
  <c r="T384" i="6" s="1"/>
  <c r="S384" i="6"/>
  <c r="Q380" i="6"/>
  <c r="S380" i="6"/>
  <c r="Q376" i="6"/>
  <c r="S376" i="6"/>
  <c r="Q372" i="6"/>
  <c r="S372" i="6"/>
  <c r="Q368" i="6"/>
  <c r="S368" i="6"/>
  <c r="Q364" i="6"/>
  <c r="S364" i="6"/>
  <c r="Q360" i="6"/>
  <c r="S360" i="6"/>
  <c r="Q356" i="6"/>
  <c r="S356" i="6"/>
  <c r="Q352" i="6"/>
  <c r="S352" i="6"/>
  <c r="S348" i="6"/>
  <c r="Q348" i="6"/>
  <c r="Q344" i="6"/>
  <c r="T344" i="6" s="1"/>
  <c r="S344" i="6"/>
  <c r="Q340" i="6"/>
  <c r="S340" i="6"/>
  <c r="Q336" i="6"/>
  <c r="S336" i="6"/>
  <c r="T332" i="6"/>
  <c r="Q332" i="6"/>
  <c r="S332" i="6"/>
  <c r="Q328" i="6"/>
  <c r="T328" i="6"/>
  <c r="S328" i="6"/>
  <c r="Q324" i="6"/>
  <c r="T324" i="6"/>
  <c r="S324" i="6"/>
  <c r="T320" i="6"/>
  <c r="Q320" i="6"/>
  <c r="S320" i="6"/>
  <c r="T316" i="6"/>
  <c r="Q316" i="6"/>
  <c r="S316" i="6"/>
  <c r="Q312" i="6"/>
  <c r="T312" i="6"/>
  <c r="S312" i="6"/>
  <c r="Q308" i="6"/>
  <c r="S308" i="6"/>
  <c r="T308" i="6"/>
  <c r="Q304" i="6"/>
  <c r="T304" i="6"/>
  <c r="S304" i="6"/>
  <c r="Q300" i="6"/>
  <c r="T300" i="6"/>
  <c r="S300" i="6"/>
  <c r="S296" i="6"/>
  <c r="T296" i="6"/>
  <c r="Q296" i="6"/>
  <c r="T292" i="6"/>
  <c r="Q292" i="6"/>
  <c r="S292" i="6"/>
  <c r="Q288" i="6"/>
  <c r="S288" i="6"/>
  <c r="Q285" i="6"/>
  <c r="T285" i="6"/>
  <c r="S285" i="6"/>
  <c r="Q282" i="6"/>
  <c r="S282" i="6"/>
  <c r="T282" i="6"/>
  <c r="T278" i="6"/>
  <c r="Q278" i="6"/>
  <c r="S278" i="6"/>
  <c r="T274" i="6"/>
  <c r="Q274" i="6"/>
  <c r="S274" i="6"/>
  <c r="Q270" i="6"/>
  <c r="S270" i="6"/>
  <c r="T270" i="6" s="1"/>
  <c r="T266" i="6"/>
  <c r="S266" i="6"/>
  <c r="Q266" i="6"/>
  <c r="Q262" i="6"/>
  <c r="S262" i="6"/>
  <c r="T262" i="6"/>
  <c r="Q258" i="6"/>
  <c r="T258" i="6"/>
  <c r="S258" i="6"/>
  <c r="Q235" i="6"/>
  <c r="S235" i="6"/>
  <c r="Q231" i="6"/>
  <c r="S231" i="6"/>
  <c r="Q227" i="6"/>
  <c r="S227" i="6"/>
  <c r="Q223" i="6"/>
  <c r="S223" i="6"/>
  <c r="Q219" i="6"/>
  <c r="S219" i="6"/>
  <c r="Q215" i="6"/>
  <c r="S215" i="6"/>
  <c r="Q211" i="6"/>
  <c r="T211" i="6" s="1"/>
  <c r="S211" i="6"/>
  <c r="Q207" i="6"/>
  <c r="S207" i="6"/>
  <c r="Q203" i="6"/>
  <c r="S203" i="6"/>
  <c r="Q199" i="6"/>
  <c r="S199" i="6"/>
  <c r="Q195" i="6"/>
  <c r="S195" i="6"/>
  <c r="Q191" i="6"/>
  <c r="S191" i="6"/>
  <c r="Q187" i="6"/>
  <c r="S187" i="6"/>
  <c r="Q183" i="6"/>
  <c r="S183" i="6"/>
  <c r="Q179" i="6"/>
  <c r="S179" i="6"/>
  <c r="Q175" i="6"/>
  <c r="S175" i="6"/>
  <c r="Q171" i="6"/>
  <c r="S171" i="6"/>
  <c r="T171" i="6" s="1"/>
  <c r="Q167" i="6"/>
  <c r="S167" i="6"/>
  <c r="Q163" i="6"/>
  <c r="S163" i="6"/>
  <c r="Q159" i="6"/>
  <c r="S159" i="6"/>
  <c r="Q155" i="6"/>
  <c r="S155" i="6"/>
  <c r="Q151" i="6"/>
  <c r="T151" i="6"/>
  <c r="S151" i="6"/>
  <c r="Q147" i="6"/>
  <c r="S147" i="6"/>
  <c r="T147" i="6"/>
  <c r="Q143" i="6"/>
  <c r="S143" i="6"/>
  <c r="T143" i="6" s="1"/>
  <c r="Q139" i="6"/>
  <c r="S139" i="6"/>
  <c r="T139" i="6" s="1"/>
  <c r="Q135" i="6"/>
  <c r="S135" i="6"/>
  <c r="T135" i="6" s="1"/>
  <c r="Q131" i="6"/>
  <c r="S131" i="6"/>
  <c r="T131" i="6" s="1"/>
  <c r="Q127" i="6"/>
  <c r="T127" i="6"/>
  <c r="S127" i="6"/>
  <c r="Q123" i="6"/>
  <c r="T123" i="6"/>
  <c r="S123" i="6"/>
  <c r="Q119" i="6"/>
  <c r="T119" i="6"/>
  <c r="S119" i="6"/>
  <c r="T115" i="6"/>
  <c r="S115" i="6"/>
  <c r="Q115" i="6"/>
  <c r="T111" i="6"/>
  <c r="Q111" i="6"/>
  <c r="S111" i="6"/>
  <c r="T107" i="6"/>
  <c r="Q107" i="6"/>
  <c r="S107" i="6"/>
  <c r="T103" i="6"/>
  <c r="Q103" i="6"/>
  <c r="S103" i="6"/>
  <c r="T259" i="1"/>
  <c r="S259" i="1"/>
  <c r="Q259" i="1"/>
  <c r="T234" i="1"/>
  <c r="Q234" i="1"/>
  <c r="S234" i="1"/>
  <c r="S225" i="1"/>
  <c r="Q225" i="1"/>
  <c r="T225" i="1"/>
  <c r="U225" i="1" s="1"/>
  <c r="S215" i="1"/>
  <c r="Q215" i="1"/>
  <c r="T215" i="1"/>
  <c r="S206" i="1"/>
  <c r="Q206" i="1"/>
  <c r="T206" i="1" s="1"/>
  <c r="T198" i="1"/>
  <c r="Q198" i="1"/>
  <c r="S198" i="1"/>
  <c r="Q189" i="1"/>
  <c r="S189" i="1"/>
  <c r="S166" i="1"/>
  <c r="Q166" i="1"/>
  <c r="T164" i="1"/>
  <c r="Q164" i="1"/>
  <c r="S164" i="1"/>
  <c r="Q143" i="1"/>
  <c r="T143" i="1"/>
  <c r="S143" i="1"/>
  <c r="Q135" i="1"/>
  <c r="T135" i="1"/>
  <c r="S135" i="1"/>
  <c r="Q124" i="1"/>
  <c r="S124" i="1"/>
  <c r="S120" i="1"/>
  <c r="Q120" i="1"/>
  <c r="T120" i="1" s="1"/>
  <c r="Q112" i="1"/>
  <c r="S112" i="1"/>
  <c r="T112" i="1"/>
  <c r="S96" i="1"/>
  <c r="T96" i="1" s="1"/>
  <c r="Q96" i="1"/>
  <c r="Q92" i="1"/>
  <c r="T92" i="1"/>
  <c r="S92" i="1"/>
  <c r="S88" i="1"/>
  <c r="Q88" i="1"/>
  <c r="T88" i="1"/>
  <c r="Q80" i="1"/>
  <c r="T80" i="1"/>
  <c r="S80" i="1"/>
  <c r="S76" i="1"/>
  <c r="Q76" i="1"/>
  <c r="S72" i="1"/>
  <c r="Q72" i="1"/>
  <c r="S68" i="1"/>
  <c r="Q68" i="1"/>
  <c r="S64" i="1"/>
  <c r="Q64" i="1"/>
  <c r="S60" i="1"/>
  <c r="Q60" i="1"/>
  <c r="Q56" i="1"/>
  <c r="S56" i="1"/>
  <c r="S52" i="1"/>
  <c r="Q52" i="1"/>
  <c r="Q48" i="1"/>
  <c r="S48" i="1"/>
  <c r="T48" i="1"/>
  <c r="Q41" i="1"/>
  <c r="S41" i="1"/>
  <c r="T41" i="1"/>
  <c r="Q159" i="1"/>
  <c r="S159" i="1"/>
  <c r="T159" i="1"/>
  <c r="S281" i="1"/>
  <c r="Q281" i="1"/>
  <c r="Q250" i="1"/>
  <c r="S250" i="1"/>
  <c r="T246" i="1"/>
  <c r="Q246" i="1"/>
  <c r="S246" i="1"/>
  <c r="T232" i="1"/>
  <c r="S232" i="1"/>
  <c r="Q232" i="1"/>
  <c r="Q205" i="1"/>
  <c r="S205" i="1"/>
  <c r="T205" i="1" s="1"/>
  <c r="Q13" i="1"/>
  <c r="S13" i="1"/>
  <c r="T13" i="1"/>
  <c r="T235" i="1"/>
  <c r="S235" i="1"/>
  <c r="Q235" i="1"/>
  <c r="S43" i="1"/>
  <c r="T43" i="1"/>
  <c r="Q43" i="1"/>
  <c r="S279" i="1"/>
  <c r="T279" i="1"/>
  <c r="Q279" i="1"/>
  <c r="Q224" i="1"/>
  <c r="S224" i="1"/>
  <c r="S214" i="1"/>
  <c r="T214" i="1"/>
  <c r="Q214" i="1"/>
  <c r="Q204" i="1"/>
  <c r="T204" i="1" s="1"/>
  <c r="S204" i="1"/>
  <c r="S197" i="1"/>
  <c r="Q197" i="1"/>
  <c r="Q188" i="1"/>
  <c r="S188" i="1"/>
  <c r="Q163" i="1"/>
  <c r="S163" i="1"/>
  <c r="S123" i="1"/>
  <c r="Q123" i="1"/>
  <c r="S115" i="1"/>
  <c r="Q115" i="1"/>
  <c r="T115" i="1"/>
  <c r="Q111" i="1"/>
  <c r="T111" i="1"/>
  <c r="S111" i="1"/>
  <c r="S99" i="1"/>
  <c r="Q99" i="1"/>
  <c r="T99" i="1" s="1"/>
  <c r="Q95" i="1"/>
  <c r="S95" i="1"/>
  <c r="S91" i="1"/>
  <c r="Q91" i="1"/>
  <c r="T91" i="1"/>
  <c r="Q87" i="1"/>
  <c r="T87" i="1" s="1"/>
  <c r="S87" i="1"/>
  <c r="S83" i="1"/>
  <c r="Q83" i="1"/>
  <c r="Q79" i="1"/>
  <c r="S79" i="1"/>
  <c r="Q75" i="1"/>
  <c r="S75" i="1"/>
  <c r="Q71" i="1"/>
  <c r="S71" i="1"/>
  <c r="T71" i="1"/>
  <c r="Q63" i="1"/>
  <c r="S63" i="1"/>
  <c r="Q59" i="1"/>
  <c r="S59" i="1"/>
  <c r="Q55" i="1"/>
  <c r="S55" i="1"/>
  <c r="T51" i="1"/>
  <c r="Q51" i="1"/>
  <c r="S51" i="1"/>
  <c r="T47" i="1"/>
  <c r="S47" i="1"/>
  <c r="Q47" i="1"/>
  <c r="O12" i="1"/>
  <c r="P12" i="1" s="1"/>
  <c r="S275" i="1"/>
  <c r="Q275" i="1"/>
  <c r="T275" i="1"/>
  <c r="U275" i="1" s="1"/>
  <c r="S217" i="1"/>
  <c r="T217" i="1"/>
  <c r="Q217" i="1"/>
  <c r="Q253" i="1"/>
  <c r="S253" i="1"/>
  <c r="Q249" i="1"/>
  <c r="S249" i="1"/>
  <c r="T242" i="1"/>
  <c r="S242" i="1"/>
  <c r="Q242" i="1"/>
  <c r="Q229" i="1"/>
  <c r="T229" i="1"/>
  <c r="S229" i="1"/>
  <c r="S212" i="1"/>
  <c r="Q212" i="1"/>
  <c r="T212" i="1"/>
  <c r="Q203" i="1"/>
  <c r="S203" i="1"/>
  <c r="T203" i="1"/>
  <c r="Q165" i="1"/>
  <c r="T165" i="1"/>
  <c r="S165" i="1"/>
  <c r="S133" i="1"/>
  <c r="Q133" i="1"/>
  <c r="T133" i="1"/>
  <c r="T18" i="1"/>
  <c r="Q18" i="1"/>
  <c r="S18" i="1"/>
  <c r="T12" i="1"/>
  <c r="S12" i="1"/>
  <c r="Q12" i="1"/>
  <c r="S247" i="1"/>
  <c r="Q247" i="1"/>
  <c r="Q199" i="1"/>
  <c r="T199" i="1"/>
  <c r="S199" i="1"/>
  <c r="T145" i="1"/>
  <c r="Q145" i="1"/>
  <c r="S145" i="1"/>
  <c r="S278" i="1"/>
  <c r="Q278" i="1"/>
  <c r="S223" i="1"/>
  <c r="T223" i="1"/>
  <c r="U223" i="1" s="1"/>
  <c r="Q223" i="1"/>
  <c r="Q210" i="1"/>
  <c r="S210" i="1"/>
  <c r="T210" i="1"/>
  <c r="S202" i="1"/>
  <c r="Q202" i="1"/>
  <c r="T202" i="1"/>
  <c r="S196" i="1"/>
  <c r="Q196" i="1"/>
  <c r="S187" i="1"/>
  <c r="Q187" i="1"/>
  <c r="Q168" i="1"/>
  <c r="T168" i="1"/>
  <c r="S168" i="1"/>
  <c r="Q162" i="1"/>
  <c r="T162" i="1"/>
  <c r="S162" i="1"/>
  <c r="Q122" i="1"/>
  <c r="S122" i="1"/>
  <c r="S114" i="1"/>
  <c r="Q114" i="1"/>
  <c r="Q110" i="1"/>
  <c r="T110" i="1"/>
  <c r="S110" i="1"/>
  <c r="S98" i="1"/>
  <c r="Q98" i="1"/>
  <c r="Q94" i="1"/>
  <c r="S94" i="1"/>
  <c r="Q90" i="1"/>
  <c r="S90" i="1"/>
  <c r="T90" i="1"/>
  <c r="Q86" i="1"/>
  <c r="T86" i="1"/>
  <c r="S86" i="1"/>
  <c r="T82" i="1"/>
  <c r="S82" i="1"/>
  <c r="Q82" i="1"/>
  <c r="S78" i="1"/>
  <c r="Q78" i="1"/>
  <c r="Q74" i="1"/>
  <c r="T74" i="1"/>
  <c r="S74" i="1"/>
  <c r="S66" i="1"/>
  <c r="Q66" i="1"/>
  <c r="Q62" i="1"/>
  <c r="S62" i="1"/>
  <c r="Q58" i="1"/>
  <c r="S58" i="1"/>
  <c r="Q54" i="1"/>
  <c r="S54" i="1"/>
  <c r="T50" i="1"/>
  <c r="V50" i="1" s="1"/>
  <c r="Q50" i="1"/>
  <c r="S50" i="1"/>
  <c r="T46" i="1"/>
  <c r="S46" i="1"/>
  <c r="Q46" i="1"/>
  <c r="S33" i="1"/>
  <c r="T33" i="1"/>
  <c r="Q33" i="1"/>
  <c r="Q282" i="1"/>
  <c r="S282" i="1"/>
  <c r="S251" i="1"/>
  <c r="Q251" i="1"/>
  <c r="S207" i="1"/>
  <c r="Q207" i="1"/>
  <c r="T262" i="1"/>
  <c r="S262" i="1"/>
  <c r="Q262" i="1"/>
  <c r="U262" i="1" s="1"/>
  <c r="Q252" i="1"/>
  <c r="S252" i="1"/>
  <c r="S248" i="1"/>
  <c r="Q248" i="1"/>
  <c r="S209" i="1"/>
  <c r="Q209" i="1"/>
  <c r="T201" i="1"/>
  <c r="Q201" i="1"/>
  <c r="S201" i="1"/>
  <c r="T138" i="1"/>
  <c r="S138" i="1"/>
  <c r="Q138" i="1"/>
  <c r="Q17" i="1"/>
  <c r="S17" i="1"/>
  <c r="T17" i="1"/>
  <c r="Q277" i="1"/>
  <c r="S277" i="1"/>
  <c r="T260" i="1"/>
  <c r="S260" i="1"/>
  <c r="Q260" i="1"/>
  <c r="Q237" i="1"/>
  <c r="S226" i="1"/>
  <c r="Q226" i="1"/>
  <c r="T226" i="1"/>
  <c r="U226" i="1" s="1"/>
  <c r="S219" i="1"/>
  <c r="T219" i="1"/>
  <c r="Q219" i="1"/>
  <c r="Q208" i="1"/>
  <c r="T208" i="1" s="1"/>
  <c r="S208" i="1"/>
  <c r="S200" i="1"/>
  <c r="Q200" i="1"/>
  <c r="T200" i="1"/>
  <c r="S190" i="1"/>
  <c r="Q190" i="1"/>
  <c r="Q183" i="1"/>
  <c r="S183" i="1"/>
  <c r="T183" i="1"/>
  <c r="Q125" i="1"/>
  <c r="S125" i="1"/>
  <c r="S121" i="1"/>
  <c r="Q121" i="1"/>
  <c r="T121" i="1"/>
  <c r="T113" i="1"/>
  <c r="Q113" i="1"/>
  <c r="S113" i="1"/>
  <c r="Q97" i="1"/>
  <c r="S97" i="1"/>
  <c r="Q93" i="1"/>
  <c r="S93" i="1"/>
  <c r="Q89" i="1"/>
  <c r="T89" i="1"/>
  <c r="S89" i="1"/>
  <c r="S85" i="1"/>
  <c r="Q85" i="1"/>
  <c r="T85" i="1"/>
  <c r="T81" i="1"/>
  <c r="S81" i="1"/>
  <c r="Q81" i="1"/>
  <c r="S77" i="1"/>
  <c r="Q77" i="1"/>
  <c r="S73" i="1"/>
  <c r="Q73" i="1"/>
  <c r="S69" i="1"/>
  <c r="Q69" i="1"/>
  <c r="T69" i="1"/>
  <c r="S65" i="1"/>
  <c r="Q65" i="1"/>
  <c r="Q61" i="1"/>
  <c r="S61" i="1"/>
  <c r="S57" i="1"/>
  <c r="Q57" i="1"/>
  <c r="Q53" i="1"/>
  <c r="T53" i="1"/>
  <c r="S53" i="1"/>
  <c r="T49" i="1"/>
  <c r="Q49" i="1"/>
  <c r="S49" i="1"/>
  <c r="S45" i="1"/>
  <c r="T45" i="1"/>
  <c r="Q45" i="1"/>
  <c r="Q15" i="1"/>
  <c r="T15" i="1"/>
  <c r="S15" i="1"/>
  <c r="O238" i="6"/>
  <c r="P238" i="6" s="1"/>
  <c r="Q238" i="6" s="1"/>
  <c r="O237" i="6"/>
  <c r="P237" i="6" s="1"/>
  <c r="Q237" i="6" s="1"/>
  <c r="O16" i="4"/>
  <c r="P16" i="4" s="1"/>
  <c r="Q16" i="4" s="1"/>
  <c r="V335" i="1"/>
  <c r="M15" i="1"/>
  <c r="M16" i="1" s="1"/>
  <c r="N16" i="1" s="1"/>
  <c r="AG65" i="18"/>
  <c r="M293" i="1"/>
  <c r="M294" i="1" s="1"/>
  <c r="M143" i="1"/>
  <c r="N143" i="1" s="1"/>
  <c r="O143" i="1" s="1"/>
  <c r="P143" i="1" s="1"/>
  <c r="AG58" i="18"/>
  <c r="AG59" i="18"/>
  <c r="R59" i="18" s="1"/>
  <c r="V59" i="18" s="1"/>
  <c r="AG60" i="18"/>
  <c r="X60" i="18" s="1"/>
  <c r="Y60" i="18" s="1"/>
  <c r="AA60" i="18" s="1"/>
  <c r="AG66" i="18"/>
  <c r="X66" i="18" s="1"/>
  <c r="Y66" i="18" s="1"/>
  <c r="AA66" i="18" s="1"/>
  <c r="AG67" i="18"/>
  <c r="R67" i="18" s="1"/>
  <c r="AG55" i="18"/>
  <c r="X55" i="18" s="1"/>
  <c r="Y55" i="18" s="1"/>
  <c r="AA55" i="18" s="1"/>
  <c r="AG68" i="18"/>
  <c r="R68" i="18" s="1"/>
  <c r="V68" i="18" s="1"/>
  <c r="AG56" i="18"/>
  <c r="X56" i="18" s="1"/>
  <c r="Y56" i="18" s="1"/>
  <c r="AA56" i="18" s="1"/>
  <c r="AG57" i="18"/>
  <c r="R57" i="18" s="1"/>
  <c r="M138" i="1"/>
  <c r="N138" i="1" s="1"/>
  <c r="O138" i="1" s="1"/>
  <c r="P138" i="1" s="1"/>
  <c r="M230" i="1"/>
  <c r="M231" i="1" s="1"/>
  <c r="N231" i="1" s="1"/>
  <c r="M88" i="4"/>
  <c r="N88" i="4" s="1"/>
  <c r="O88" i="4" s="1"/>
  <c r="P88" i="4" s="1"/>
  <c r="M238" i="1"/>
  <c r="M239" i="1" s="1"/>
  <c r="N239" i="1" s="1"/>
  <c r="O239" i="1" s="1"/>
  <c r="P239" i="1" s="1"/>
  <c r="Q239" i="1" s="1"/>
  <c r="M66" i="4"/>
  <c r="N66" i="4" s="1"/>
  <c r="M160" i="1"/>
  <c r="N160" i="1" s="1"/>
  <c r="O160" i="1" s="1"/>
  <c r="P160" i="1" s="1"/>
  <c r="M106" i="1"/>
  <c r="N106" i="1" s="1"/>
  <c r="O106" i="1" s="1"/>
  <c r="P106" i="1" s="1"/>
  <c r="M217" i="1"/>
  <c r="M218" i="1" s="1"/>
  <c r="N218" i="1" s="1"/>
  <c r="M139" i="1"/>
  <c r="M140" i="1" s="1"/>
  <c r="M215" i="1"/>
  <c r="M216" i="1" s="1"/>
  <c r="M35" i="1"/>
  <c r="M36" i="1" s="1"/>
  <c r="N36" i="1" s="1"/>
  <c r="O36" i="1" s="1"/>
  <c r="P36" i="1" s="1"/>
  <c r="Q36" i="1" s="1"/>
  <c r="M39" i="1"/>
  <c r="M40" i="1" s="1"/>
  <c r="M302" i="1"/>
  <c r="N302" i="1" s="1"/>
  <c r="O302" i="1" s="1"/>
  <c r="P302" i="1" s="1"/>
  <c r="M229" i="1"/>
  <c r="N229" i="1" s="1"/>
  <c r="O229" i="1" s="1"/>
  <c r="P229" i="1" s="1"/>
  <c r="M133" i="1"/>
  <c r="N133" i="1" s="1"/>
  <c r="O133" i="1" s="1"/>
  <c r="P133" i="1" s="1"/>
  <c r="M27" i="1"/>
  <c r="M28" i="1" s="1"/>
  <c r="N28" i="1" s="1"/>
  <c r="O28" i="1" s="1"/>
  <c r="P28" i="1" s="1"/>
  <c r="Q28" i="1" s="1"/>
  <c r="AG39" i="18"/>
  <c r="R39" i="18" s="1"/>
  <c r="V39" i="18" s="1"/>
  <c r="AG52" i="18"/>
  <c r="X52" i="18" s="1"/>
  <c r="Y52" i="18" s="1"/>
  <c r="AA52" i="18" s="1"/>
  <c r="AG40" i="18"/>
  <c r="R40" i="18" s="1"/>
  <c r="AG53" i="18"/>
  <c r="X53" i="18" s="1"/>
  <c r="Y53" i="18" s="1"/>
  <c r="AA53" i="18" s="1"/>
  <c r="M153" i="1"/>
  <c r="N153" i="1" s="1"/>
  <c r="O153" i="1" s="1"/>
  <c r="P153" i="1" s="1"/>
  <c r="AG54" i="18"/>
  <c r="R54" i="18" s="1"/>
  <c r="T54" i="18" s="1"/>
  <c r="M221" i="1"/>
  <c r="N221" i="1" s="1"/>
  <c r="O221" i="1" s="1"/>
  <c r="P221" i="1" s="1"/>
  <c r="M300" i="1"/>
  <c r="M301" i="1" s="1"/>
  <c r="N301" i="1" s="1"/>
  <c r="O301" i="1" s="1"/>
  <c r="P301" i="1" s="1"/>
  <c r="Q301" i="1" s="1"/>
  <c r="M183" i="1"/>
  <c r="N183" i="1" s="1"/>
  <c r="M275" i="1"/>
  <c r="N275" i="1" s="1"/>
  <c r="O275" i="1" s="1"/>
  <c r="M108" i="1"/>
  <c r="M109" i="1" s="1"/>
  <c r="N109" i="1" s="1"/>
  <c r="M149" i="1"/>
  <c r="N149" i="1" s="1"/>
  <c r="O149" i="1" s="1"/>
  <c r="P149" i="1" s="1"/>
  <c r="M244" i="1"/>
  <c r="N244" i="1" s="1"/>
  <c r="O244" i="1" s="1"/>
  <c r="P244" i="1" s="1"/>
  <c r="M157" i="1"/>
  <c r="M158" i="1" s="1"/>
  <c r="M323" i="1"/>
  <c r="M324" i="1" s="1"/>
  <c r="N324" i="1" s="1"/>
  <c r="M260" i="1"/>
  <c r="M261" i="1" s="1"/>
  <c r="N261" i="1" s="1"/>
  <c r="M19" i="24"/>
  <c r="N19" i="24" s="1"/>
  <c r="O19" i="24" s="1"/>
  <c r="P19" i="24" s="1"/>
  <c r="AG38" i="18"/>
  <c r="R38" i="18" s="1"/>
  <c r="M145" i="1"/>
  <c r="M146" i="1" s="1"/>
  <c r="N146" i="1" s="1"/>
  <c r="M242" i="1"/>
  <c r="N242" i="1" s="1"/>
  <c r="O242" i="1" s="1"/>
  <c r="P242" i="1" s="1"/>
  <c r="M92" i="4"/>
  <c r="N92" i="4" s="1"/>
  <c r="O92" i="4" s="1"/>
  <c r="P92" i="4" s="1"/>
  <c r="AD100" i="17"/>
  <c r="V321" i="1"/>
  <c r="M210" i="1"/>
  <c r="M211" i="1" s="1"/>
  <c r="N211" i="1" s="1"/>
  <c r="M37" i="1"/>
  <c r="M38" i="1" s="1"/>
  <c r="N38" i="1" s="1"/>
  <c r="O38" i="1" s="1"/>
  <c r="P38" i="1" s="1"/>
  <c r="Q38" i="1" s="1"/>
  <c r="M21" i="24"/>
  <c r="N21" i="24" s="1"/>
  <c r="O21" i="24" s="1"/>
  <c r="P21" i="24" s="1"/>
  <c r="M7" i="24"/>
  <c r="N7" i="24" s="1"/>
  <c r="O7" i="24" s="1"/>
  <c r="P7" i="24" s="1"/>
  <c r="M307" i="1"/>
  <c r="N307" i="1" s="1"/>
  <c r="O307" i="1" s="1"/>
  <c r="P307" i="1" s="1"/>
  <c r="M234" i="1"/>
  <c r="N234" i="1" s="1"/>
  <c r="O234" i="1" s="1"/>
  <c r="P234" i="1" s="1"/>
  <c r="M151" i="1"/>
  <c r="N151" i="1" s="1"/>
  <c r="O151" i="1" s="1"/>
  <c r="P151" i="1" s="1"/>
  <c r="M317" i="1"/>
  <c r="N317" i="1" s="1"/>
  <c r="O317" i="1" s="1"/>
  <c r="P317" i="1" s="1"/>
  <c r="M33" i="1"/>
  <c r="N33" i="1" s="1"/>
  <c r="O33" i="1" s="1"/>
  <c r="P33" i="1" s="1"/>
  <c r="M136" i="1"/>
  <c r="M29" i="1"/>
  <c r="M30" i="1" s="1"/>
  <c r="N30" i="1" s="1"/>
  <c r="O30" i="1" s="1"/>
  <c r="P30" i="1" s="1"/>
  <c r="Q30" i="1" s="1"/>
  <c r="M72" i="4"/>
  <c r="N72" i="4" s="1"/>
  <c r="O72" i="4" s="1"/>
  <c r="P72" i="4" s="1"/>
  <c r="L29" i="1"/>
  <c r="P115" i="14"/>
  <c r="Q115" i="14" s="1"/>
  <c r="R115" i="14" s="1"/>
  <c r="V115" i="14" s="1"/>
  <c r="M291" i="1"/>
  <c r="M292" i="1" s="1"/>
  <c r="N292" i="1" s="1"/>
  <c r="O292" i="1" s="1"/>
  <c r="P292" i="1" s="1"/>
  <c r="Q292" i="1" s="1"/>
  <c r="U319" i="1"/>
  <c r="M279" i="1"/>
  <c r="M280" i="1" s="1"/>
  <c r="N280" i="1" s="1"/>
  <c r="M17" i="24"/>
  <c r="N17" i="24" s="1"/>
  <c r="O17" i="24" s="1"/>
  <c r="P17" i="24" s="1"/>
  <c r="M3" i="24"/>
  <c r="N3" i="24" s="1"/>
  <c r="O3" i="24" s="1"/>
  <c r="P3" i="24" s="1"/>
  <c r="M55" i="4"/>
  <c r="M56" i="4" s="1"/>
  <c r="N56" i="4" s="1"/>
  <c r="V297" i="1"/>
  <c r="M185" i="1"/>
  <c r="M186" i="1" s="1"/>
  <c r="N186" i="1" s="1"/>
  <c r="AG29" i="18"/>
  <c r="R29" i="18" s="1"/>
  <c r="AG15" i="18"/>
  <c r="X15" i="18" s="1"/>
  <c r="Y15" i="18" s="1"/>
  <c r="AA15" i="18" s="1"/>
  <c r="L131" i="1"/>
  <c r="L31" i="1"/>
  <c r="AG30" i="18"/>
  <c r="X30" i="18" s="1"/>
  <c r="Y30" i="18" s="1"/>
  <c r="AA30" i="18" s="1"/>
  <c r="AG31" i="18"/>
  <c r="R31" i="18" s="1"/>
  <c r="AG17" i="18"/>
  <c r="AG36" i="18"/>
  <c r="R36" i="18" s="1"/>
  <c r="AG18" i="18"/>
  <c r="R18" i="18" s="1"/>
  <c r="M240" i="1"/>
  <c r="M241" i="1" s="1"/>
  <c r="M41" i="1"/>
  <c r="N41" i="1" s="1"/>
  <c r="O41" i="1" s="1"/>
  <c r="P41" i="1" s="1"/>
  <c r="M184" i="4"/>
  <c r="M185" i="4" s="1"/>
  <c r="M29" i="24"/>
  <c r="N29" i="24" s="1"/>
  <c r="O29" i="24" s="1"/>
  <c r="P29" i="24" s="1"/>
  <c r="M219" i="1"/>
  <c r="N219" i="1" s="1"/>
  <c r="O219" i="1" s="1"/>
  <c r="P219" i="1" s="1"/>
  <c r="M212" i="1"/>
  <c r="M213" i="1" s="1"/>
  <c r="N213" i="1" s="1"/>
  <c r="M5" i="24"/>
  <c r="M6" i="24" s="1"/>
  <c r="M155" i="1"/>
  <c r="N155" i="1" s="1"/>
  <c r="O155" i="1" s="1"/>
  <c r="P155" i="1" s="1"/>
  <c r="M135" i="1"/>
  <c r="N135" i="1" s="1"/>
  <c r="O135" i="1" s="1"/>
  <c r="P135" i="1" s="1"/>
  <c r="M31" i="1"/>
  <c r="M32" i="1" s="1"/>
  <c r="M295" i="1"/>
  <c r="N295" i="1" s="1"/>
  <c r="O295" i="1" s="1"/>
  <c r="P295" i="1" s="1"/>
  <c r="M31" i="24"/>
  <c r="M32" i="24" s="1"/>
  <c r="N32" i="24" s="1"/>
  <c r="R75" i="14"/>
  <c r="T75" i="14" s="1"/>
  <c r="X115" i="14"/>
  <c r="Y115" i="14" s="1"/>
  <c r="AA115" i="14" s="1"/>
  <c r="AF70" i="17"/>
  <c r="Q59" i="14"/>
  <c r="X16" i="14"/>
  <c r="Y16" i="14" s="1"/>
  <c r="AA16" i="14" s="1"/>
  <c r="AG16" i="18"/>
  <c r="R16" i="18" s="1"/>
  <c r="V16" i="18" s="1"/>
  <c r="J294" i="1"/>
  <c r="K294" i="1" s="1"/>
  <c r="L294" i="1" s="1"/>
  <c r="K236" i="1"/>
  <c r="L236" i="1" s="1"/>
  <c r="AG19" i="18"/>
  <c r="X19" i="18" s="1"/>
  <c r="Y19" i="18" s="1"/>
  <c r="AA19" i="18" s="1"/>
  <c r="AG27" i="18"/>
  <c r="X27" i="18" s="1"/>
  <c r="Y27" i="18" s="1"/>
  <c r="AA27" i="18" s="1"/>
  <c r="AG26" i="18"/>
  <c r="X26" i="18" s="1"/>
  <c r="Y26" i="18" s="1"/>
  <c r="AA26" i="18" s="1"/>
  <c r="AG25" i="18"/>
  <c r="X25" i="18" s="1"/>
  <c r="Y25" i="18" s="1"/>
  <c r="AA25" i="18" s="1"/>
  <c r="AG20" i="18"/>
  <c r="R20" i="18" s="1"/>
  <c r="L227" i="1"/>
  <c r="AD87" i="17"/>
  <c r="AG28" i="18"/>
  <c r="X28" i="18" s="1"/>
  <c r="Y28" i="18" s="1"/>
  <c r="AA28" i="18" s="1"/>
  <c r="AG21" i="18"/>
  <c r="R21" i="18" s="1"/>
  <c r="Q147" i="14"/>
  <c r="X147" i="14" s="1"/>
  <c r="Y147" i="14" s="1"/>
  <c r="AA147" i="14" s="1"/>
  <c r="M232" i="1"/>
  <c r="M233" i="1" s="1"/>
  <c r="N233" i="1" s="1"/>
  <c r="Q58" i="18"/>
  <c r="M235" i="1"/>
  <c r="M237" i="1" s="1"/>
  <c r="N237" i="1" s="1"/>
  <c r="O237" i="1" s="1"/>
  <c r="P237" i="1" s="1"/>
  <c r="Q39" i="14"/>
  <c r="R39" i="14" s="1"/>
  <c r="M43" i="1"/>
  <c r="M44" i="1" s="1"/>
  <c r="N44" i="1" s="1"/>
  <c r="L157" i="1"/>
  <c r="R74" i="14"/>
  <c r="V74" i="14" s="1"/>
  <c r="R76" i="14"/>
  <c r="V76" i="14" s="1"/>
  <c r="R103" i="14"/>
  <c r="V103" i="14" s="1"/>
  <c r="X89" i="14"/>
  <c r="Y89" i="14" s="1"/>
  <c r="AA89" i="14" s="1"/>
  <c r="R17" i="17"/>
  <c r="R34" i="17" s="1"/>
  <c r="R70" i="14"/>
  <c r="V70" i="14" s="1"/>
  <c r="AF94" i="17"/>
  <c r="AF54" i="17"/>
  <c r="J46" i="24"/>
  <c r="K46" i="24" s="1"/>
  <c r="L46" i="24" s="1"/>
  <c r="X146" i="14"/>
  <c r="Y146" i="14" s="1"/>
  <c r="AA146" i="14" s="1"/>
  <c r="R55" i="14"/>
  <c r="V55" i="14" s="1"/>
  <c r="AG37" i="18"/>
  <c r="X37" i="18" s="1"/>
  <c r="Y37" i="18" s="1"/>
  <c r="AA37" i="18" s="1"/>
  <c r="AG22" i="18"/>
  <c r="X22" i="18" s="1"/>
  <c r="Y22" i="18" s="1"/>
  <c r="AA22" i="18" s="1"/>
  <c r="N77" i="4"/>
  <c r="O77" i="4" s="1"/>
  <c r="P77" i="4" s="1"/>
  <c r="AG23" i="18"/>
  <c r="R23" i="18" s="1"/>
  <c r="X47" i="14"/>
  <c r="Y47" i="14" s="1"/>
  <c r="AA47" i="14" s="1"/>
  <c r="AG24" i="18"/>
  <c r="R24" i="18" s="1"/>
  <c r="AG14" i="18"/>
  <c r="R14" i="18" s="1"/>
  <c r="AG13" i="18"/>
  <c r="R13" i="18" s="1"/>
  <c r="V13" i="18" s="1"/>
  <c r="X12" i="18"/>
  <c r="Y12" i="18" s="1"/>
  <c r="AA12" i="18" s="1"/>
  <c r="Y11" i="14"/>
  <c r="AB11" i="14"/>
  <c r="N173" i="14"/>
  <c r="P172" i="14"/>
  <c r="Q172" i="14" s="1"/>
  <c r="Q163" i="24"/>
  <c r="U163" i="24" s="1"/>
  <c r="U334" i="1"/>
  <c r="M405" i="6"/>
  <c r="X113" i="14"/>
  <c r="Y113" i="14" s="1"/>
  <c r="AA113" i="14" s="1"/>
  <c r="L37" i="24"/>
  <c r="Q37" i="24" s="1"/>
  <c r="J38" i="24"/>
  <c r="K38" i="24" s="1"/>
  <c r="L38" i="24" s="1"/>
  <c r="M268" i="1"/>
  <c r="M270" i="1" s="1"/>
  <c r="J59" i="24"/>
  <c r="K59" i="24" s="1"/>
  <c r="L59" i="24" s="1"/>
  <c r="L58" i="24"/>
  <c r="Q58" i="24" s="1"/>
  <c r="P72" i="14"/>
  <c r="X72" i="14" s="1"/>
  <c r="Y72" i="14" s="1"/>
  <c r="AA72" i="14" s="1"/>
  <c r="L240" i="1"/>
  <c r="Q83" i="14"/>
  <c r="R83" i="14" s="1"/>
  <c r="V83" i="14" s="1"/>
  <c r="M51" i="24"/>
  <c r="M52" i="24" s="1"/>
  <c r="N52" i="24" s="1"/>
  <c r="O52" i="24" s="1"/>
  <c r="P52" i="24" s="1"/>
  <c r="Q52" i="24" s="1"/>
  <c r="Q64" i="14"/>
  <c r="M23" i="24"/>
  <c r="N23" i="24" s="1"/>
  <c r="O23" i="24" s="1"/>
  <c r="P23" i="24" s="1"/>
  <c r="X163" i="14"/>
  <c r="Y163" i="14" s="1"/>
  <c r="AA163" i="14" s="1"/>
  <c r="X149" i="14"/>
  <c r="Y149" i="14" s="1"/>
  <c r="AA149" i="14" s="1"/>
  <c r="X92" i="14"/>
  <c r="Y92" i="14" s="1"/>
  <c r="AA92" i="14" s="1"/>
  <c r="R25" i="14"/>
  <c r="V25" i="14" s="1"/>
  <c r="N104" i="5"/>
  <c r="O104" i="5" s="1"/>
  <c r="P104" i="5" s="1"/>
  <c r="P120" i="5" s="1"/>
  <c r="P123" i="5" s="1"/>
  <c r="X170" i="14"/>
  <c r="Y170" i="14" s="1"/>
  <c r="AA170" i="14" s="1"/>
  <c r="R139" i="14"/>
  <c r="V139" i="14" s="1"/>
  <c r="X134" i="14"/>
  <c r="Y134" i="14" s="1"/>
  <c r="AA134" i="14" s="1"/>
  <c r="Q88" i="14"/>
  <c r="R88" i="14" s="1"/>
  <c r="V88" i="14" s="1"/>
  <c r="R63" i="14"/>
  <c r="T63" i="14" s="1"/>
  <c r="R59" i="14"/>
  <c r="T59" i="14" s="1"/>
  <c r="R19" i="14"/>
  <c r="V19" i="14" s="1"/>
  <c r="N72" i="18"/>
  <c r="R101" i="14"/>
  <c r="V101" i="14" s="1"/>
  <c r="R69" i="14"/>
  <c r="V69" i="14" s="1"/>
  <c r="X40" i="14"/>
  <c r="Y40" i="14" s="1"/>
  <c r="AA40" i="14" s="1"/>
  <c r="X36" i="14"/>
  <c r="Y36" i="14" s="1"/>
  <c r="AA36" i="14" s="1"/>
  <c r="R18" i="14"/>
  <c r="V18" i="14" s="1"/>
  <c r="AD26" i="17"/>
  <c r="R143" i="14"/>
  <c r="V143" i="14" s="1"/>
  <c r="R104" i="14"/>
  <c r="T104" i="14" s="1"/>
  <c r="R60" i="14"/>
  <c r="T60" i="14" s="1"/>
  <c r="M44" i="17"/>
  <c r="M120" i="5"/>
  <c r="M123" i="5" s="1"/>
  <c r="X116" i="14"/>
  <c r="Y116" i="14" s="1"/>
  <c r="AA116" i="14" s="1"/>
  <c r="X11" i="17"/>
  <c r="V333" i="1"/>
  <c r="L238" i="1"/>
  <c r="O228" i="1"/>
  <c r="P228" i="1" s="1"/>
  <c r="Q228" i="1" s="1"/>
  <c r="L106" i="1"/>
  <c r="L317" i="1"/>
  <c r="K261" i="1"/>
  <c r="L261" i="1" s="1"/>
  <c r="K42" i="1"/>
  <c r="L42" i="1" s="1"/>
  <c r="L19" i="1"/>
  <c r="K220" i="1"/>
  <c r="L220" i="1" s="1"/>
  <c r="K134" i="1"/>
  <c r="L134" i="1" s="1"/>
  <c r="N227" i="1"/>
  <c r="O227" i="1" s="1"/>
  <c r="P227" i="1" s="1"/>
  <c r="K211" i="1"/>
  <c r="L211" i="1" s="1"/>
  <c r="K16" i="1"/>
  <c r="L16" i="1" s="1"/>
  <c r="J61" i="24"/>
  <c r="K61" i="24" s="1"/>
  <c r="L61" i="24" s="1"/>
  <c r="J8" i="24"/>
  <c r="K8" i="24" s="1"/>
  <c r="L8" i="24" s="1"/>
  <c r="L9" i="24"/>
  <c r="Q9" i="24" s="1"/>
  <c r="L47" i="24"/>
  <c r="Q47" i="24" s="1"/>
  <c r="J34" i="24"/>
  <c r="K34" i="24" s="1"/>
  <c r="L34" i="24" s="1"/>
  <c r="L185" i="1"/>
  <c r="K218" i="1"/>
  <c r="L218" i="1" s="1"/>
  <c r="J296" i="1"/>
  <c r="K296" i="1" s="1"/>
  <c r="L296" i="1" s="1"/>
  <c r="O14" i="1"/>
  <c r="K332" i="1"/>
  <c r="L332" i="1" s="1"/>
  <c r="O332" i="1"/>
  <c r="P332" i="1" s="1"/>
  <c r="L160" i="1"/>
  <c r="L153" i="1"/>
  <c r="O568" i="6"/>
  <c r="X67" i="14"/>
  <c r="Y67" i="14" s="1"/>
  <c r="AA67" i="14" s="1"/>
  <c r="AD94" i="17"/>
  <c r="N127" i="1"/>
  <c r="J298" i="1"/>
  <c r="O54" i="17"/>
  <c r="O78" i="17" s="1"/>
  <c r="P54" i="18"/>
  <c r="Q54" i="18" s="1"/>
  <c r="N62" i="18"/>
  <c r="L291" i="1"/>
  <c r="V246" i="1"/>
  <c r="L244" i="1"/>
  <c r="L221" i="1"/>
  <c r="L151" i="1"/>
  <c r="L149" i="1"/>
  <c r="L27" i="1"/>
  <c r="P465" i="6"/>
  <c r="P568" i="6" s="1"/>
  <c r="M28" i="24"/>
  <c r="N28" i="24" s="1"/>
  <c r="N27" i="24"/>
  <c r="O27" i="24" s="1"/>
  <c r="P27" i="24" s="1"/>
  <c r="R117" i="14"/>
  <c r="V117" i="14" s="1"/>
  <c r="X117" i="14"/>
  <c r="Y117" i="14" s="1"/>
  <c r="AA117" i="14" s="1"/>
  <c r="AD68" i="17"/>
  <c r="AD69" i="17"/>
  <c r="AD71" i="17"/>
  <c r="AD72" i="17"/>
  <c r="AD76" i="17"/>
  <c r="AD99" i="17"/>
  <c r="AD23" i="17"/>
  <c r="AD56" i="17"/>
  <c r="AD75" i="17"/>
  <c r="AD30" i="17"/>
  <c r="AD31" i="17"/>
  <c r="AD32" i="17"/>
  <c r="AD40" i="17"/>
  <c r="AD41" i="17"/>
  <c r="AD42" i="17"/>
  <c r="AD53" i="17"/>
  <c r="AD54" i="17"/>
  <c r="AD55" i="17"/>
  <c r="AD58" i="17"/>
  <c r="AD64" i="17"/>
  <c r="AD93" i="17"/>
  <c r="AD13" i="17"/>
  <c r="AD14" i="17"/>
  <c r="AD51" i="17"/>
  <c r="AD52" i="17"/>
  <c r="AD61" i="17"/>
  <c r="AD70" i="17"/>
  <c r="AD101" i="17"/>
  <c r="AD105" i="17"/>
  <c r="AD29" i="17"/>
  <c r="AD85" i="17"/>
  <c r="AD27" i="17"/>
  <c r="AD62" i="17"/>
  <c r="AD90" i="17"/>
  <c r="AD97" i="17"/>
  <c r="AD102" i="17"/>
  <c r="AD57" i="17"/>
  <c r="AD73" i="17"/>
  <c r="AD84" i="17"/>
  <c r="AD88" i="17"/>
  <c r="AD12" i="17"/>
  <c r="AD86" i="17"/>
  <c r="AD65" i="17"/>
  <c r="AD98" i="17"/>
  <c r="AD28" i="17"/>
  <c r="AD104" i="17"/>
  <c r="AD60" i="17"/>
  <c r="AD67" i="17"/>
  <c r="AD63" i="17"/>
  <c r="K243" i="1"/>
  <c r="L243" i="1" s="1"/>
  <c r="R612" i="6"/>
  <c r="AD96" i="17"/>
  <c r="AD92" i="17"/>
  <c r="AD91" i="17"/>
  <c r="L31" i="24"/>
  <c r="Q31" i="24" s="1"/>
  <c r="J32" i="24"/>
  <c r="K32" i="24" s="1"/>
  <c r="L32" i="24" s="1"/>
  <c r="J14" i="24"/>
  <c r="K14" i="24" s="1"/>
  <c r="L14" i="24" s="1"/>
  <c r="L13" i="24"/>
  <c r="Q13" i="24" s="1"/>
  <c r="L155" i="1"/>
  <c r="L147" i="1"/>
  <c r="L39" i="1"/>
  <c r="L11" i="24"/>
  <c r="Q11" i="24" s="1"/>
  <c r="J12" i="24"/>
  <c r="K12" i="24" s="1"/>
  <c r="L12" i="24" s="1"/>
  <c r="L5" i="24"/>
  <c r="Q5" i="24" s="1"/>
  <c r="J6" i="24"/>
  <c r="K6" i="24" s="1"/>
  <c r="L6" i="24" s="1"/>
  <c r="K276" i="1"/>
  <c r="L276" i="1" s="1"/>
  <c r="K213" i="1"/>
  <c r="L213" i="1" s="1"/>
  <c r="K144" i="1"/>
  <c r="L144" i="1" s="1"/>
  <c r="D448" i="6"/>
  <c r="L17" i="24"/>
  <c r="Q17" i="24" s="1"/>
  <c r="J18" i="24"/>
  <c r="K18" i="24" s="1"/>
  <c r="L18" i="24" s="1"/>
  <c r="Q170" i="14"/>
  <c r="X59" i="14"/>
  <c r="Y59" i="14" s="1"/>
  <c r="AA59" i="14" s="1"/>
  <c r="R22" i="14"/>
  <c r="V22" i="14" s="1"/>
  <c r="N154" i="14"/>
  <c r="P141" i="14"/>
  <c r="M104" i="1" s="1"/>
  <c r="X68" i="14"/>
  <c r="Y68" i="14" s="1"/>
  <c r="AA68" i="14" s="1"/>
  <c r="X62" i="14"/>
  <c r="Y62" i="14" s="1"/>
  <c r="AA62" i="14" s="1"/>
  <c r="Q60" i="14"/>
  <c r="M15" i="24"/>
  <c r="M16" i="24" s="1"/>
  <c r="N16" i="24" s="1"/>
  <c r="Q58" i="14"/>
  <c r="M11" i="24"/>
  <c r="M12" i="24" s="1"/>
  <c r="X56" i="14"/>
  <c r="Y56" i="14" s="1"/>
  <c r="AA56" i="14" s="1"/>
  <c r="D120" i="5"/>
  <c r="D123" i="5" s="1"/>
  <c r="L25" i="24"/>
  <c r="Q25" i="24" s="1"/>
  <c r="J26" i="24"/>
  <c r="K26" i="24" s="1"/>
  <c r="L26" i="24" s="1"/>
  <c r="X70" i="14"/>
  <c r="Y70" i="14" s="1"/>
  <c r="AA70" i="14" s="1"/>
  <c r="R41" i="14"/>
  <c r="V41" i="14" s="1"/>
  <c r="L29" i="24"/>
  <c r="Q29" i="24" s="1"/>
  <c r="J30" i="24"/>
  <c r="K30" i="24" s="1"/>
  <c r="L30" i="24" s="1"/>
  <c r="R129" i="14"/>
  <c r="T129" i="14" s="1"/>
  <c r="R140" i="14"/>
  <c r="V140" i="14" s="1"/>
  <c r="X140" i="14"/>
  <c r="Y140" i="14" s="1"/>
  <c r="AA140" i="14" s="1"/>
  <c r="X139" i="14"/>
  <c r="Y139" i="14" s="1"/>
  <c r="AA139" i="14" s="1"/>
  <c r="X128" i="14"/>
  <c r="Y128" i="14" s="1"/>
  <c r="AA128" i="14" s="1"/>
  <c r="X127" i="14"/>
  <c r="Y127" i="14" s="1"/>
  <c r="R43" i="14"/>
  <c r="V43" i="14" s="1"/>
  <c r="AF100" i="17"/>
  <c r="AF88" i="17"/>
  <c r="AF97" i="17"/>
  <c r="AF96" i="17"/>
  <c r="AF84" i="17"/>
  <c r="Q42" i="18"/>
  <c r="D407" i="6"/>
  <c r="R133" i="14"/>
  <c r="V133" i="14" s="1"/>
  <c r="R100" i="14"/>
  <c r="V100" i="14" s="1"/>
  <c r="X100" i="14"/>
  <c r="Y100" i="14" s="1"/>
  <c r="AA100" i="14" s="1"/>
  <c r="R94" i="14"/>
  <c r="V94" i="14" s="1"/>
  <c r="R84" i="14"/>
  <c r="V84" i="14" s="1"/>
  <c r="Q87" i="14"/>
  <c r="R87" i="14" s="1"/>
  <c r="M58" i="24"/>
  <c r="N58" i="24" s="1"/>
  <c r="O58" i="24" s="1"/>
  <c r="P58" i="24" s="1"/>
  <c r="X43" i="14"/>
  <c r="Y43" i="14" s="1"/>
  <c r="AA43" i="14" s="1"/>
  <c r="R35" i="14"/>
  <c r="V35" i="14" s="1"/>
  <c r="AF105" i="17"/>
  <c r="R145" i="14"/>
  <c r="V145" i="14" s="1"/>
  <c r="X108" i="14"/>
  <c r="Y108" i="14" s="1"/>
  <c r="AA108" i="14" s="1"/>
  <c r="R71" i="14"/>
  <c r="V71" i="14" s="1"/>
  <c r="X31" i="14"/>
  <c r="Y31" i="14" s="1"/>
  <c r="AA31" i="14" s="1"/>
  <c r="Q28" i="21"/>
  <c r="Q30" i="21" s="1"/>
  <c r="P30" i="21"/>
  <c r="R128" i="14"/>
  <c r="T128" i="14" s="1"/>
  <c r="R113" i="14"/>
  <c r="V113" i="14" s="1"/>
  <c r="X19" i="14"/>
  <c r="Y19" i="14" s="1"/>
  <c r="AA19" i="14" s="1"/>
  <c r="P134" i="14"/>
  <c r="Q134" i="14" s="1"/>
  <c r="R134" i="14" s="1"/>
  <c r="N136" i="14"/>
  <c r="R108" i="14"/>
  <c r="V108" i="14" s="1"/>
  <c r="X78" i="14"/>
  <c r="Y78" i="14" s="1"/>
  <c r="AA78" i="14" s="1"/>
  <c r="X74" i="14"/>
  <c r="Y74" i="14" s="1"/>
  <c r="AA74" i="14" s="1"/>
  <c r="X64" i="14"/>
  <c r="Y64" i="14" s="1"/>
  <c r="AA64" i="14" s="1"/>
  <c r="O41" i="17"/>
  <c r="O44" i="17" s="1"/>
  <c r="N17" i="21"/>
  <c r="P14" i="21"/>
  <c r="Q14" i="21" s="1"/>
  <c r="X14" i="21" s="1"/>
  <c r="J16" i="24"/>
  <c r="K16" i="24" s="1"/>
  <c r="L16" i="24" s="1"/>
  <c r="X45" i="14"/>
  <c r="Y45" i="14" s="1"/>
  <c r="AA45" i="14" s="1"/>
  <c r="M34" i="17"/>
  <c r="X151" i="14"/>
  <c r="Y151" i="14" s="1"/>
  <c r="AA151" i="14" s="1"/>
  <c r="X42" i="14"/>
  <c r="Y42" i="14" s="1"/>
  <c r="AA42" i="14" s="1"/>
  <c r="X30" i="14"/>
  <c r="Y30" i="14" s="1"/>
  <c r="AA30" i="14" s="1"/>
  <c r="X129" i="14"/>
  <c r="Y129" i="14" s="1"/>
  <c r="AA129" i="14" s="1"/>
  <c r="X69" i="14"/>
  <c r="Y69" i="14" s="1"/>
  <c r="AA69" i="14" s="1"/>
  <c r="X15" i="14"/>
  <c r="Y15" i="14" s="1"/>
  <c r="AA15" i="14" s="1"/>
  <c r="M24" i="4"/>
  <c r="J185" i="4"/>
  <c r="K185" i="4" s="1"/>
  <c r="L185" i="4" s="1"/>
  <c r="J67" i="4"/>
  <c r="K67" i="4" s="1"/>
  <c r="L67" i="4" s="1"/>
  <c r="M171" i="4"/>
  <c r="O102" i="4"/>
  <c r="P102" i="4" s="1"/>
  <c r="J93" i="4"/>
  <c r="K93" i="4" s="1"/>
  <c r="L93" i="4" s="1"/>
  <c r="J187" i="4"/>
  <c r="K187" i="4" s="1"/>
  <c r="L187" i="4" s="1"/>
  <c r="J71" i="4"/>
  <c r="K71" i="4" s="1"/>
  <c r="L71" i="4" s="1"/>
  <c r="Y11" i="18"/>
  <c r="AB11" i="21"/>
  <c r="AC11" i="21" s="1"/>
  <c r="N236" i="6"/>
  <c r="P267" i="1"/>
  <c r="L184" i="1"/>
  <c r="K186" i="1"/>
  <c r="L186" i="1" s="1"/>
  <c r="O306" i="1"/>
  <c r="P306" i="1" s="1"/>
  <c r="Q306" i="1" s="1"/>
  <c r="N167" i="1"/>
  <c r="O167" i="1" s="1"/>
  <c r="P167" i="1" s="1"/>
  <c r="Q167" i="1" s="1"/>
  <c r="L305" i="1"/>
  <c r="L300" i="1"/>
  <c r="P121" i="1"/>
  <c r="O127" i="1"/>
  <c r="K109" i="1"/>
  <c r="L109" i="1" s="1"/>
  <c r="L108" i="1"/>
  <c r="K44" i="1"/>
  <c r="L44" i="1" s="1"/>
  <c r="J324" i="1"/>
  <c r="K324" i="1" s="1"/>
  <c r="L324" i="1" s="1"/>
  <c r="J308" i="1"/>
  <c r="K308" i="1" s="1"/>
  <c r="L308" i="1" s="1"/>
  <c r="L302" i="1"/>
  <c r="K280" i="1"/>
  <c r="L280" i="1" s="1"/>
  <c r="L267" i="1"/>
  <c r="K233" i="1"/>
  <c r="L233" i="1" s="1"/>
  <c r="N223" i="1"/>
  <c r="O223" i="1" s="1"/>
  <c r="P223" i="1" s="1"/>
  <c r="L136" i="1"/>
  <c r="K137" i="1"/>
  <c r="L137" i="1" s="1"/>
  <c r="O575" i="6"/>
  <c r="P575" i="6" s="1"/>
  <c r="P610" i="6" s="1"/>
  <c r="N610" i="6"/>
  <c r="J320" i="1"/>
  <c r="L230" i="1"/>
  <c r="K231" i="1"/>
  <c r="L231" i="1" s="1"/>
  <c r="K216" i="1"/>
  <c r="L216" i="1" s="1"/>
  <c r="P198" i="1"/>
  <c r="N175" i="1"/>
  <c r="M176" i="1"/>
  <c r="L21" i="1"/>
  <c r="L104" i="1"/>
  <c r="N70" i="1"/>
  <c r="O70" i="1" s="1"/>
  <c r="P70" i="1" s="1"/>
  <c r="Q70" i="1" s="1"/>
  <c r="N67" i="1"/>
  <c r="O67" i="1" s="1"/>
  <c r="P67" i="1" s="1"/>
  <c r="Q67" i="1" s="1"/>
  <c r="N428" i="6"/>
  <c r="O428" i="6" s="1"/>
  <c r="P428" i="6" s="1"/>
  <c r="M448" i="6"/>
  <c r="L141" i="1"/>
  <c r="K142" i="1"/>
  <c r="L142" i="1" s="1"/>
  <c r="N139" i="1"/>
  <c r="O139" i="1" s="1"/>
  <c r="P139" i="1" s="1"/>
  <c r="L139" i="1"/>
  <c r="K140" i="1"/>
  <c r="L140" i="1" s="1"/>
  <c r="N84" i="1"/>
  <c r="O84" i="1" s="1"/>
  <c r="P84" i="1" s="1"/>
  <c r="Q84" i="1" s="1"/>
  <c r="O85" i="6"/>
  <c r="P85" i="6" s="1"/>
  <c r="M154" i="1"/>
  <c r="L23" i="1"/>
  <c r="K24" i="1"/>
  <c r="L24" i="1" s="1"/>
  <c r="O411" i="6"/>
  <c r="S411" i="6" s="1"/>
  <c r="N413" i="6"/>
  <c r="M459" i="6"/>
  <c r="N453" i="6"/>
  <c r="L37" i="1"/>
  <c r="L25" i="1"/>
  <c r="K26" i="1"/>
  <c r="L26" i="1" s="1"/>
  <c r="N147" i="1"/>
  <c r="O147" i="1" s="1"/>
  <c r="P147" i="1" s="1"/>
  <c r="M148" i="1"/>
  <c r="M132" i="1"/>
  <c r="N131" i="1"/>
  <c r="M127" i="1"/>
  <c r="Q65" i="24"/>
  <c r="Q85" i="24"/>
  <c r="Q64" i="24"/>
  <c r="Q71" i="24"/>
  <c r="Q90" i="24"/>
  <c r="Q92" i="24"/>
  <c r="Q93" i="24"/>
  <c r="Q97" i="24"/>
  <c r="Q122" i="24"/>
  <c r="Q70" i="24"/>
  <c r="Q91" i="24"/>
  <c r="Q120" i="24"/>
  <c r="Q151" i="24"/>
  <c r="Q116" i="24"/>
  <c r="Q135" i="24"/>
  <c r="Q140" i="24"/>
  <c r="Q33" i="24"/>
  <c r="Q44" i="24"/>
  <c r="Q60" i="24"/>
  <c r="Q121" i="24"/>
  <c r="Q141" i="24"/>
  <c r="Q133" i="24"/>
  <c r="Q134" i="24"/>
  <c r="Q152" i="24"/>
  <c r="Q146" i="24"/>
  <c r="Q132" i="24"/>
  <c r="Q153" i="24"/>
  <c r="Q55" i="24"/>
  <c r="Q72" i="24"/>
  <c r="Q73" i="24"/>
  <c r="N568" i="6"/>
  <c r="N95" i="6"/>
  <c r="O95" i="6" s="1"/>
  <c r="P95" i="6" s="1"/>
  <c r="M254" i="6"/>
  <c r="O418" i="6"/>
  <c r="N405" i="6"/>
  <c r="O258" i="6"/>
  <c r="Q111" i="24"/>
  <c r="N99" i="6"/>
  <c r="O99" i="6" s="1"/>
  <c r="P99" i="6" s="1"/>
  <c r="O22" i="1"/>
  <c r="P22" i="1" s="1"/>
  <c r="Q22" i="1" s="1"/>
  <c r="N74" i="4"/>
  <c r="O74" i="4" s="1"/>
  <c r="P74" i="4" s="1"/>
  <c r="Q50" i="24"/>
  <c r="L35" i="1"/>
  <c r="N419" i="6"/>
  <c r="O419" i="6" s="1"/>
  <c r="P419" i="6" s="1"/>
  <c r="N101" i="6"/>
  <c r="O101" i="6" s="1"/>
  <c r="P101" i="6" s="1"/>
  <c r="R17" i="18"/>
  <c r="V17" i="18" s="1"/>
  <c r="X17" i="18"/>
  <c r="Y17" i="18" s="1"/>
  <c r="AA17" i="18" s="1"/>
  <c r="N31" i="4"/>
  <c r="Q101" i="24"/>
  <c r="J89" i="4"/>
  <c r="K89" i="4" s="1"/>
  <c r="L89" i="4" s="1"/>
  <c r="L88" i="4"/>
  <c r="Q125" i="24"/>
  <c r="Q107" i="24"/>
  <c r="Q74" i="24"/>
  <c r="X162" i="14"/>
  <c r="Y162" i="14" s="1"/>
  <c r="AA162" i="14" s="1"/>
  <c r="R162" i="14"/>
  <c r="Q75" i="24"/>
  <c r="X54" i="14"/>
  <c r="Y54" i="14" s="1"/>
  <c r="AA54" i="14" s="1"/>
  <c r="R54" i="14"/>
  <c r="N42" i="4"/>
  <c r="Q82" i="24"/>
  <c r="Q68" i="24"/>
  <c r="Q66" i="24"/>
  <c r="X114" i="14"/>
  <c r="Y114" i="14" s="1"/>
  <c r="AA114" i="14" s="1"/>
  <c r="R114" i="14"/>
  <c r="N75" i="4"/>
  <c r="O75" i="4" s="1"/>
  <c r="P75" i="4" s="1"/>
  <c r="Q150" i="24"/>
  <c r="Q119" i="24"/>
  <c r="Q105" i="24"/>
  <c r="Q99" i="24"/>
  <c r="Q87" i="24"/>
  <c r="Q83" i="24"/>
  <c r="Q40" i="24"/>
  <c r="R112" i="14"/>
  <c r="V112" i="14" s="1"/>
  <c r="R179" i="4"/>
  <c r="N49" i="4"/>
  <c r="O49" i="4" s="1"/>
  <c r="P49" i="4" s="1"/>
  <c r="Q145" i="24"/>
  <c r="Q143" i="24"/>
  <c r="X122" i="14"/>
  <c r="Y122" i="14" s="1"/>
  <c r="AA122" i="14" s="1"/>
  <c r="R122" i="14"/>
  <c r="V122" i="14" s="1"/>
  <c r="X46" i="14"/>
  <c r="Y46" i="14" s="1"/>
  <c r="AA46" i="14" s="1"/>
  <c r="Q144" i="24"/>
  <c r="Q142" i="24"/>
  <c r="Q139" i="24"/>
  <c r="Q137" i="24"/>
  <c r="Q129" i="24"/>
  <c r="Q127" i="24"/>
  <c r="Q115" i="24"/>
  <c r="Q113" i="24"/>
  <c r="Q103" i="24"/>
  <c r="X66" i="14"/>
  <c r="Y66" i="14" s="1"/>
  <c r="AA66" i="14" s="1"/>
  <c r="R66" i="14"/>
  <c r="N171" i="4"/>
  <c r="O120" i="4"/>
  <c r="Q154" i="24"/>
  <c r="Q167" i="14"/>
  <c r="Q148" i="24"/>
  <c r="Q131" i="24"/>
  <c r="Q126" i="24"/>
  <c r="Q117" i="24"/>
  <c r="Q95" i="24"/>
  <c r="Q89" i="24"/>
  <c r="L19" i="24"/>
  <c r="Q19" i="24" s="1"/>
  <c r="J20" i="24"/>
  <c r="K20" i="24" s="1"/>
  <c r="L20" i="24" s="1"/>
  <c r="X159" i="14"/>
  <c r="Y159" i="14" s="1"/>
  <c r="AA159" i="14" s="1"/>
  <c r="P167" i="14"/>
  <c r="X158" i="14"/>
  <c r="X144" i="14"/>
  <c r="Y144" i="14" s="1"/>
  <c r="AA144" i="14" s="1"/>
  <c r="R144" i="14"/>
  <c r="V144" i="14" s="1"/>
  <c r="R111" i="14"/>
  <c r="V111" i="14" s="1"/>
  <c r="Q75" i="14"/>
  <c r="X75" i="14"/>
  <c r="Y75" i="14" s="1"/>
  <c r="AA75" i="14" s="1"/>
  <c r="J78" i="4"/>
  <c r="K78" i="4" s="1"/>
  <c r="L78" i="4" s="1"/>
  <c r="N30" i="4"/>
  <c r="Q84" i="24"/>
  <c r="Q67" i="24"/>
  <c r="Q45" i="24"/>
  <c r="P80" i="14"/>
  <c r="X80" i="14" s="1"/>
  <c r="Y80" i="14" s="1"/>
  <c r="AA80" i="14" s="1"/>
  <c r="N97" i="14"/>
  <c r="R67" i="14"/>
  <c r="N78" i="4"/>
  <c r="J73" i="4"/>
  <c r="K73" i="4" s="1"/>
  <c r="L73" i="4" s="1"/>
  <c r="J54" i="4"/>
  <c r="N29" i="4"/>
  <c r="M46" i="4"/>
  <c r="Q138" i="24"/>
  <c r="Q110" i="24"/>
  <c r="Q100" i="24"/>
  <c r="Q43" i="24"/>
  <c r="X150" i="14"/>
  <c r="Y150" i="14" s="1"/>
  <c r="AA150" i="14" s="1"/>
  <c r="Q101" i="14"/>
  <c r="X101" i="14"/>
  <c r="Y101" i="14" s="1"/>
  <c r="AA101" i="14" s="1"/>
  <c r="Q112" i="24"/>
  <c r="Q53" i="24"/>
  <c r="R165" i="14"/>
  <c r="V165" i="14" s="1"/>
  <c r="X165" i="14"/>
  <c r="Y165" i="14" s="1"/>
  <c r="AA165" i="14" s="1"/>
  <c r="R82" i="14"/>
  <c r="V82" i="14" s="1"/>
  <c r="X82" i="14"/>
  <c r="Y82" i="14" s="1"/>
  <c r="AA82" i="14" s="1"/>
  <c r="O95" i="17"/>
  <c r="P95" i="17" s="1"/>
  <c r="M107" i="17"/>
  <c r="Q147" i="24"/>
  <c r="Q130" i="24"/>
  <c r="Q128" i="24"/>
  <c r="Q123" i="24"/>
  <c r="Q94" i="24"/>
  <c r="S154" i="14"/>
  <c r="S136" i="14"/>
  <c r="R85" i="14"/>
  <c r="V85" i="14" s="1"/>
  <c r="Q104" i="24"/>
  <c r="Q102" i="24"/>
  <c r="Q98" i="24"/>
  <c r="Q79" i="24"/>
  <c r="J36" i="24"/>
  <c r="K36" i="24" s="1"/>
  <c r="L36" i="24" s="1"/>
  <c r="L27" i="24"/>
  <c r="Q27" i="24" s="1"/>
  <c r="J28" i="24"/>
  <c r="K28" i="24" s="1"/>
  <c r="L28" i="24" s="1"/>
  <c r="Q127" i="14"/>
  <c r="X106" i="14"/>
  <c r="Y106" i="14" s="1"/>
  <c r="AA106" i="14" s="1"/>
  <c r="R106" i="14"/>
  <c r="S120" i="14"/>
  <c r="P20" i="14"/>
  <c r="X20" i="14" s="1"/>
  <c r="Y20" i="14" s="1"/>
  <c r="AA20" i="14" s="1"/>
  <c r="N49" i="14"/>
  <c r="Q80" i="24"/>
  <c r="Q63" i="24"/>
  <c r="Q39" i="24"/>
  <c r="Q35" i="24"/>
  <c r="Q15" i="24"/>
  <c r="X161" i="14"/>
  <c r="Y161" i="14" s="1"/>
  <c r="AA161" i="14" s="1"/>
  <c r="R161" i="14"/>
  <c r="V161" i="14" s="1"/>
  <c r="S167" i="14"/>
  <c r="X109" i="14"/>
  <c r="Y109" i="14" s="1"/>
  <c r="AA109" i="14" s="1"/>
  <c r="R109" i="14"/>
  <c r="X34" i="14"/>
  <c r="Y34" i="14" s="1"/>
  <c r="AA34" i="14" s="1"/>
  <c r="R34" i="14"/>
  <c r="V34" i="14" s="1"/>
  <c r="X33" i="14"/>
  <c r="Y33" i="14" s="1"/>
  <c r="AA33" i="14" s="1"/>
  <c r="R33" i="14"/>
  <c r="Q69" i="24"/>
  <c r="R149" i="14"/>
  <c r="V149" i="14" s="1"/>
  <c r="R148" i="14"/>
  <c r="V148" i="14" s="1"/>
  <c r="X148" i="14"/>
  <c r="Y148" i="14" s="1"/>
  <c r="AA148" i="14" s="1"/>
  <c r="X132" i="14"/>
  <c r="Y132" i="14" s="1"/>
  <c r="AA132" i="14" s="1"/>
  <c r="R132" i="14"/>
  <c r="V132" i="14" s="1"/>
  <c r="X102" i="14"/>
  <c r="Y102" i="14" s="1"/>
  <c r="AA102" i="14" s="1"/>
  <c r="R102" i="14"/>
  <c r="V102" i="14" s="1"/>
  <c r="Q81" i="14"/>
  <c r="X81" i="14"/>
  <c r="Y81" i="14" s="1"/>
  <c r="AA81" i="14" s="1"/>
  <c r="X79" i="14"/>
  <c r="Y79" i="14" s="1"/>
  <c r="AA79" i="14" s="1"/>
  <c r="Q66" i="14"/>
  <c r="M25" i="24"/>
  <c r="M26" i="24" s="1"/>
  <c r="O24" i="4"/>
  <c r="P12" i="4"/>
  <c r="P24" i="4" s="1"/>
  <c r="Q149" i="24"/>
  <c r="Q124" i="24"/>
  <c r="Q118" i="24"/>
  <c r="Q109" i="24"/>
  <c r="Q106" i="24"/>
  <c r="Q81" i="24"/>
  <c r="Q76" i="24"/>
  <c r="Q54" i="24"/>
  <c r="N49" i="24"/>
  <c r="O49" i="24" s="1"/>
  <c r="P49" i="24" s="1"/>
  <c r="Q42" i="24"/>
  <c r="L23" i="24"/>
  <c r="Q23" i="24" s="1"/>
  <c r="R130" i="14"/>
  <c r="V130" i="14" s="1"/>
  <c r="X130" i="14"/>
  <c r="Y130" i="14" s="1"/>
  <c r="AA130" i="14" s="1"/>
  <c r="Q78" i="14"/>
  <c r="M45" i="24"/>
  <c r="R77" i="14"/>
  <c r="V77" i="14" s="1"/>
  <c r="X77" i="14"/>
  <c r="Y77" i="14" s="1"/>
  <c r="AA77" i="14" s="1"/>
  <c r="P71" i="14"/>
  <c r="X71" i="14" s="1"/>
  <c r="Y71" i="14" s="1"/>
  <c r="AA71" i="14" s="1"/>
  <c r="X58" i="14"/>
  <c r="Y58" i="14" s="1"/>
  <c r="AA58" i="14" s="1"/>
  <c r="R58" i="14"/>
  <c r="X37" i="14"/>
  <c r="Y37" i="14" s="1"/>
  <c r="AA37" i="14" s="1"/>
  <c r="R36" i="14"/>
  <c r="V36" i="14" s="1"/>
  <c r="X18" i="14"/>
  <c r="Y18" i="14" s="1"/>
  <c r="AA18" i="14" s="1"/>
  <c r="Q88" i="24"/>
  <c r="Q77" i="24"/>
  <c r="L56" i="24"/>
  <c r="Q56" i="24" s="1"/>
  <c r="J57" i="24"/>
  <c r="K57" i="24" s="1"/>
  <c r="L57" i="24" s="1"/>
  <c r="Q49" i="24"/>
  <c r="L21" i="24"/>
  <c r="Q21" i="24" s="1"/>
  <c r="J22" i="24"/>
  <c r="K22" i="24" s="1"/>
  <c r="L22" i="24" s="1"/>
  <c r="Q3" i="24"/>
  <c r="J2" i="24"/>
  <c r="K2" i="24" s="1"/>
  <c r="L2" i="24" s="1"/>
  <c r="L1" i="24"/>
  <c r="Q1" i="24" s="1"/>
  <c r="X118" i="14"/>
  <c r="Y118" i="14" s="1"/>
  <c r="AA118" i="14" s="1"/>
  <c r="X110" i="14"/>
  <c r="Y110" i="14" s="1"/>
  <c r="AA110" i="14" s="1"/>
  <c r="R110" i="14"/>
  <c r="V110" i="14" s="1"/>
  <c r="R107" i="14"/>
  <c r="V107" i="14" s="1"/>
  <c r="X107" i="14"/>
  <c r="Y107" i="14" s="1"/>
  <c r="AA107" i="14" s="1"/>
  <c r="X105" i="14"/>
  <c r="Y105" i="14" s="1"/>
  <c r="AA105" i="14" s="1"/>
  <c r="R105" i="14"/>
  <c r="V105" i="14" s="1"/>
  <c r="M37" i="24"/>
  <c r="Q73" i="14"/>
  <c r="X63" i="14"/>
  <c r="Y63" i="14" s="1"/>
  <c r="AA63" i="14" s="1"/>
  <c r="M1" i="24"/>
  <c r="Q52" i="14"/>
  <c r="R23" i="14"/>
  <c r="V23" i="14" s="1"/>
  <c r="X23" i="14"/>
  <c r="Y23" i="14" s="1"/>
  <c r="AA23" i="14" s="1"/>
  <c r="N24" i="4"/>
  <c r="Q136" i="24"/>
  <c r="Q114" i="24"/>
  <c r="Q96" i="24"/>
  <c r="Q41" i="24"/>
  <c r="R142" i="14"/>
  <c r="V142" i="14" s="1"/>
  <c r="X142" i="14"/>
  <c r="Y142" i="14" s="1"/>
  <c r="AA142" i="14" s="1"/>
  <c r="X103" i="14"/>
  <c r="Y103" i="14" s="1"/>
  <c r="AA103" i="14" s="1"/>
  <c r="R93" i="14"/>
  <c r="X93" i="14"/>
  <c r="Y93" i="14" s="1"/>
  <c r="AA93" i="14" s="1"/>
  <c r="Q67" i="14"/>
  <c r="X61" i="14"/>
  <c r="Y61" i="14" s="1"/>
  <c r="AA61" i="14" s="1"/>
  <c r="R61" i="14"/>
  <c r="V61" i="14" s="1"/>
  <c r="X32" i="14"/>
  <c r="Y32" i="14" s="1"/>
  <c r="AA32" i="14" s="1"/>
  <c r="R32" i="14"/>
  <c r="Q86" i="24"/>
  <c r="Q78" i="24"/>
  <c r="N68" i="24"/>
  <c r="O68" i="24" s="1"/>
  <c r="P68" i="24" s="1"/>
  <c r="Q62" i="24"/>
  <c r="R171" i="14"/>
  <c r="V171" i="14" s="1"/>
  <c r="X171" i="14"/>
  <c r="R118" i="14"/>
  <c r="V118" i="14" s="1"/>
  <c r="X95" i="14"/>
  <c r="Y95" i="14" s="1"/>
  <c r="AA95" i="14" s="1"/>
  <c r="R95" i="14"/>
  <c r="V95" i="14" s="1"/>
  <c r="R92" i="14"/>
  <c r="R62" i="14"/>
  <c r="V62" i="14" s="1"/>
  <c r="R53" i="14"/>
  <c r="V53" i="14" s="1"/>
  <c r="X53" i="14"/>
  <c r="Y53" i="14" s="1"/>
  <c r="AA53" i="14" s="1"/>
  <c r="R29" i="14"/>
  <c r="V29" i="14" s="1"/>
  <c r="X29" i="14"/>
  <c r="Y29" i="14" s="1"/>
  <c r="AA29" i="14" s="1"/>
  <c r="R20" i="14"/>
  <c r="V20" i="14" s="1"/>
  <c r="R164" i="14"/>
  <c r="V164" i="14" s="1"/>
  <c r="R158" i="14"/>
  <c r="T158" i="14" s="1"/>
  <c r="R116" i="14"/>
  <c r="Q86" i="14"/>
  <c r="R86" i="14" s="1"/>
  <c r="V86" i="14" s="1"/>
  <c r="M56" i="24"/>
  <c r="R72" i="14"/>
  <c r="V72" i="14" s="1"/>
  <c r="X55" i="14"/>
  <c r="Y55" i="14" s="1"/>
  <c r="AA55" i="14" s="1"/>
  <c r="R40" i="14"/>
  <c r="R13" i="14"/>
  <c r="V13" i="14" s="1"/>
  <c r="X13" i="14"/>
  <c r="Y13" i="14" s="1"/>
  <c r="AA13" i="14" s="1"/>
  <c r="N8" i="14"/>
  <c r="P46" i="14"/>
  <c r="Q46" i="14" s="1"/>
  <c r="R46" i="14" s="1"/>
  <c r="J56" i="4"/>
  <c r="K56" i="4" s="1"/>
  <c r="M61" i="24"/>
  <c r="L51" i="24"/>
  <c r="Q51" i="24" s="1"/>
  <c r="X172" i="14"/>
  <c r="Y172" i="14" s="1"/>
  <c r="AA172" i="14" s="1"/>
  <c r="X164" i="14"/>
  <c r="Y164" i="14" s="1"/>
  <c r="AA164" i="14" s="1"/>
  <c r="R159" i="14"/>
  <c r="R146" i="14"/>
  <c r="X143" i="14"/>
  <c r="Y143" i="14" s="1"/>
  <c r="AA143" i="14" s="1"/>
  <c r="R141" i="14"/>
  <c r="V141" i="14" s="1"/>
  <c r="X131" i="14"/>
  <c r="Y131" i="14" s="1"/>
  <c r="AA131" i="14" s="1"/>
  <c r="R131" i="14"/>
  <c r="V131" i="14" s="1"/>
  <c r="R90" i="14"/>
  <c r="X90" i="14"/>
  <c r="Y90" i="14" s="1"/>
  <c r="AA90" i="14" s="1"/>
  <c r="R78" i="14"/>
  <c r="V78" i="14" s="1"/>
  <c r="R57" i="14"/>
  <c r="X57" i="14"/>
  <c r="Y57" i="14" s="1"/>
  <c r="AA57" i="14" s="1"/>
  <c r="R37" i="14"/>
  <c r="S49" i="14"/>
  <c r="P25" i="17"/>
  <c r="P34" i="17" s="1"/>
  <c r="O34" i="17"/>
  <c r="AF23" i="17"/>
  <c r="AF29" i="17"/>
  <c r="AF42" i="17"/>
  <c r="AF12" i="17"/>
  <c r="AF58" i="17"/>
  <c r="AF64" i="17"/>
  <c r="AF72" i="17"/>
  <c r="AF101" i="17"/>
  <c r="AF41" i="17"/>
  <c r="AF57" i="17"/>
  <c r="AF103" i="17"/>
  <c r="AF104" i="17"/>
  <c r="AF13" i="17"/>
  <c r="AF55" i="17"/>
  <c r="AF59" i="17"/>
  <c r="AF60" i="17"/>
  <c r="AF61" i="17"/>
  <c r="AF62" i="17"/>
  <c r="AF26" i="17"/>
  <c r="AF63" i="17"/>
  <c r="AF65" i="17"/>
  <c r="AF95" i="17"/>
  <c r="AF25" i="17"/>
  <c r="AF28" i="17"/>
  <c r="AF32" i="17"/>
  <c r="AF73" i="17"/>
  <c r="AF87" i="17"/>
  <c r="AF89" i="17"/>
  <c r="AF92" i="17"/>
  <c r="AF99" i="17"/>
  <c r="AF102" i="17"/>
  <c r="AF27" i="17"/>
  <c r="AF31" i="17"/>
  <c r="AF40" i="17"/>
  <c r="AF68" i="17"/>
  <c r="AF71" i="17"/>
  <c r="AF76" i="17"/>
  <c r="AF85" i="17"/>
  <c r="AF91" i="17"/>
  <c r="AF98" i="17"/>
  <c r="AF24" i="17"/>
  <c r="AF53" i="17"/>
  <c r="AF69" i="17"/>
  <c r="AF93" i="17"/>
  <c r="AF30" i="17"/>
  <c r="AF56" i="17"/>
  <c r="AF75" i="17"/>
  <c r="AF14" i="17"/>
  <c r="AF52" i="17"/>
  <c r="AF66" i="17"/>
  <c r="AF67" i="17"/>
  <c r="AF74" i="17"/>
  <c r="AF86" i="17"/>
  <c r="AF90" i="17"/>
  <c r="AF15" i="17"/>
  <c r="AF51" i="17"/>
  <c r="X59" i="18"/>
  <c r="Y59" i="18" s="1"/>
  <c r="AA59" i="18" s="1"/>
  <c r="M14" i="24"/>
  <c r="N13" i="24"/>
  <c r="O13" i="24" s="1"/>
  <c r="P13" i="24" s="1"/>
  <c r="Q7" i="24"/>
  <c r="X160" i="14"/>
  <c r="Y160" i="14" s="1"/>
  <c r="AA160" i="14" s="1"/>
  <c r="R160" i="14"/>
  <c r="V160" i="14" s="1"/>
  <c r="N167" i="14"/>
  <c r="X111" i="14"/>
  <c r="Y111" i="14" s="1"/>
  <c r="AA111" i="14" s="1"/>
  <c r="X65" i="14"/>
  <c r="Y65" i="14" s="1"/>
  <c r="AA65" i="14" s="1"/>
  <c r="R65" i="14"/>
  <c r="V65" i="14" s="1"/>
  <c r="M9" i="24"/>
  <c r="Q57" i="14"/>
  <c r="R44" i="14"/>
  <c r="X44" i="14"/>
  <c r="Y44" i="14" s="1"/>
  <c r="AA44" i="14" s="1"/>
  <c r="R30" i="14"/>
  <c r="O12" i="17"/>
  <c r="M17" i="17"/>
  <c r="S173" i="14"/>
  <c r="R150" i="14"/>
  <c r="V150" i="14" s="1"/>
  <c r="X133" i="14"/>
  <c r="Y133" i="14" s="1"/>
  <c r="AA133" i="14" s="1"/>
  <c r="R80" i="14"/>
  <c r="R79" i="14"/>
  <c r="R68" i="14"/>
  <c r="R64" i="14"/>
  <c r="V64" i="14" s="1"/>
  <c r="R56" i="14"/>
  <c r="V56" i="14" s="1"/>
  <c r="R42" i="14"/>
  <c r="V42" i="14" s="1"/>
  <c r="X38" i="14"/>
  <c r="Y38" i="14" s="1"/>
  <c r="AA38" i="14" s="1"/>
  <c r="X24" i="14"/>
  <c r="Y24" i="14" s="1"/>
  <c r="AA24" i="14" s="1"/>
  <c r="R24" i="14"/>
  <c r="V24" i="14" s="1"/>
  <c r="J4" i="24"/>
  <c r="K4" i="24" s="1"/>
  <c r="L4" i="24" s="1"/>
  <c r="R163" i="14"/>
  <c r="V163" i="14" s="1"/>
  <c r="X145" i="14"/>
  <c r="Y145" i="14" s="1"/>
  <c r="AA145" i="14" s="1"/>
  <c r="R127" i="14"/>
  <c r="R89" i="14"/>
  <c r="X60" i="14"/>
  <c r="Y60" i="14" s="1"/>
  <c r="AA60" i="14" s="1"/>
  <c r="R21" i="14"/>
  <c r="X21" i="14"/>
  <c r="Y21" i="14" s="1"/>
  <c r="AA21" i="14" s="1"/>
  <c r="X14" i="14"/>
  <c r="Y14" i="14" s="1"/>
  <c r="AA14" i="14" s="1"/>
  <c r="R14" i="14"/>
  <c r="X152" i="14"/>
  <c r="Y152" i="14" s="1"/>
  <c r="AA152" i="14" s="1"/>
  <c r="R152" i="14"/>
  <c r="V152" i="14" s="1"/>
  <c r="R151" i="14"/>
  <c r="X84" i="14"/>
  <c r="Y84" i="14" s="1"/>
  <c r="AA84" i="14" s="1"/>
  <c r="R81" i="14"/>
  <c r="X52" i="14"/>
  <c r="R52" i="14"/>
  <c r="R47" i="14"/>
  <c r="Q15" i="14"/>
  <c r="P84" i="17"/>
  <c r="R45" i="14"/>
  <c r="X25" i="14"/>
  <c r="Y25" i="14" s="1"/>
  <c r="AA25" i="14" s="1"/>
  <c r="R17" i="14"/>
  <c r="P40" i="17"/>
  <c r="R55" i="18"/>
  <c r="P42" i="18"/>
  <c r="R91" i="14"/>
  <c r="V91" i="14" s="1"/>
  <c r="R73" i="14"/>
  <c r="X17" i="14"/>
  <c r="Y17" i="14" s="1"/>
  <c r="AA17" i="14" s="1"/>
  <c r="M78" i="17"/>
  <c r="X104" i="14"/>
  <c r="Y104" i="14" s="1"/>
  <c r="AA104" i="14" s="1"/>
  <c r="X94" i="14"/>
  <c r="Y94" i="14" s="1"/>
  <c r="AA94" i="14" s="1"/>
  <c r="X91" i="14"/>
  <c r="Y91" i="14" s="1"/>
  <c r="AA91" i="14" s="1"/>
  <c r="X73" i="14"/>
  <c r="Y73" i="14" s="1"/>
  <c r="AA73" i="14" s="1"/>
  <c r="X35" i="14"/>
  <c r="Y35" i="14" s="1"/>
  <c r="AA35" i="14" s="1"/>
  <c r="X22" i="14"/>
  <c r="Y22" i="14" s="1"/>
  <c r="AA22" i="14" s="1"/>
  <c r="R16" i="14"/>
  <c r="V16" i="14" s="1"/>
  <c r="X12" i="14"/>
  <c r="R12" i="14"/>
  <c r="X69" i="18"/>
  <c r="Y69" i="18" s="1"/>
  <c r="AA69" i="18" s="1"/>
  <c r="R69" i="18"/>
  <c r="R12" i="18"/>
  <c r="AE28" i="21"/>
  <c r="AE22" i="21"/>
  <c r="V109" i="17"/>
  <c r="R15" i="21"/>
  <c r="X15" i="21"/>
  <c r="Y15" i="21" s="1"/>
  <c r="AA15" i="21" s="1"/>
  <c r="R170" i="14"/>
  <c r="X65" i="18"/>
  <c r="Y65" i="18" s="1"/>
  <c r="AA65" i="18" s="1"/>
  <c r="P20" i="18"/>
  <c r="P33" i="18" s="1"/>
  <c r="N33" i="18"/>
  <c r="AE20" i="21"/>
  <c r="X41" i="14"/>
  <c r="Y41" i="14" s="1"/>
  <c r="AA41" i="14" s="1"/>
  <c r="R38" i="14"/>
  <c r="V38" i="14" s="1"/>
  <c r="R31" i="14"/>
  <c r="V31" i="14" s="1"/>
  <c r="R26" i="14"/>
  <c r="V26" i="14" s="1"/>
  <c r="Q65" i="18"/>
  <c r="Q72" i="18" s="1"/>
  <c r="P72" i="18"/>
  <c r="P22" i="21"/>
  <c r="Q22" i="21" s="1"/>
  <c r="N24" i="21"/>
  <c r="R15" i="14"/>
  <c r="AD15" i="17"/>
  <c r="AD24" i="17"/>
  <c r="AD25" i="17"/>
  <c r="AD59" i="17"/>
  <c r="AD66" i="17"/>
  <c r="AD74" i="17"/>
  <c r="AD89" i="17"/>
  <c r="AD95" i="17"/>
  <c r="AD103" i="17"/>
  <c r="Q21" i="21"/>
  <c r="X21" i="21" s="1"/>
  <c r="Y21" i="21" s="1"/>
  <c r="AA21" i="21" s="1"/>
  <c r="R70" i="18"/>
  <c r="Q12" i="18"/>
  <c r="R65" i="18"/>
  <c r="P4" i="21"/>
  <c r="T189" i="1" l="1"/>
  <c r="T363" i="6"/>
  <c r="T487" i="6"/>
  <c r="T379" i="6"/>
  <c r="T162" i="6"/>
  <c r="T445" i="6"/>
  <c r="T486" i="6"/>
  <c r="T505" i="6"/>
  <c r="T289" i="6"/>
  <c r="T287" i="6"/>
  <c r="T244" i="6"/>
  <c r="T165" i="6"/>
  <c r="T181" i="6"/>
  <c r="T402" i="6"/>
  <c r="T367" i="6"/>
  <c r="T88" i="5"/>
  <c r="T197" i="6"/>
  <c r="T248" i="6"/>
  <c r="T186" i="6"/>
  <c r="T241" i="6"/>
  <c r="T583" i="6"/>
  <c r="T112" i="5"/>
  <c r="T100" i="5"/>
  <c r="T369" i="6"/>
  <c r="S292" i="1"/>
  <c r="T292" i="1" s="1"/>
  <c r="V292" i="1" s="1"/>
  <c r="T339" i="6"/>
  <c r="T489" i="6"/>
  <c r="T108" i="4"/>
  <c r="T195" i="6"/>
  <c r="T342" i="6"/>
  <c r="T374" i="6"/>
  <c r="T595" i="6"/>
  <c r="T503" i="6"/>
  <c r="T201" i="6"/>
  <c r="T206" i="6"/>
  <c r="T351" i="6"/>
  <c r="T108" i="5"/>
  <c r="T277" i="1"/>
  <c r="T76" i="1"/>
  <c r="T77" i="1"/>
  <c r="U77" i="1" s="1"/>
  <c r="T64" i="1"/>
  <c r="T124" i="1"/>
  <c r="T114" i="5"/>
  <c r="T347" i="6"/>
  <c r="T192" i="6"/>
  <c r="T224" i="6"/>
  <c r="T365" i="6"/>
  <c r="T189" i="6"/>
  <c r="T385" i="6"/>
  <c r="T587" i="6"/>
  <c r="T194" i="6"/>
  <c r="T511" i="6"/>
  <c r="T247" i="6"/>
  <c r="T99" i="5"/>
  <c r="T598" i="6"/>
  <c r="T370" i="6"/>
  <c r="T202" i="6"/>
  <c r="T325" i="6"/>
  <c r="T501" i="6"/>
  <c r="T390" i="6"/>
  <c r="T590" i="6"/>
  <c r="T359" i="6"/>
  <c r="T217" i="6"/>
  <c r="T60" i="4"/>
  <c r="T58" i="1"/>
  <c r="T93" i="1"/>
  <c r="U93" i="1" s="1"/>
  <c r="T282" i="1"/>
  <c r="T166" i="1"/>
  <c r="T21" i="4"/>
  <c r="T100" i="4"/>
  <c r="T15" i="4"/>
  <c r="T22" i="4"/>
  <c r="T17" i="4"/>
  <c r="T19" i="4"/>
  <c r="T33" i="4"/>
  <c r="T105" i="4"/>
  <c r="T59" i="4"/>
  <c r="T111" i="4"/>
  <c r="T13" i="4"/>
  <c r="T106" i="4"/>
  <c r="T18" i="4"/>
  <c r="T43" i="4"/>
  <c r="T41" i="4"/>
  <c r="T112" i="4"/>
  <c r="Q88" i="4"/>
  <c r="T88" i="4"/>
  <c r="S88" i="4"/>
  <c r="S16" i="4"/>
  <c r="T16" i="4" s="1"/>
  <c r="T107" i="4"/>
  <c r="T104" i="4"/>
  <c r="T20" i="4"/>
  <c r="Q12" i="4"/>
  <c r="T12" i="4" s="1"/>
  <c r="T106" i="5"/>
  <c r="T98" i="5"/>
  <c r="T109" i="5"/>
  <c r="T96" i="5"/>
  <c r="T111" i="5"/>
  <c r="T103" i="5"/>
  <c r="T89" i="5"/>
  <c r="T94" i="5"/>
  <c r="T95" i="5"/>
  <c r="T93" i="5"/>
  <c r="T115" i="5"/>
  <c r="T113" i="5"/>
  <c r="T97" i="5"/>
  <c r="T110" i="5"/>
  <c r="T101" i="5"/>
  <c r="T102" i="5"/>
  <c r="T107" i="5"/>
  <c r="T90" i="5"/>
  <c r="T105" i="5"/>
  <c r="T92" i="5"/>
  <c r="Q104" i="5"/>
  <c r="S104" i="5"/>
  <c r="T191" i="6"/>
  <c r="T288" i="6"/>
  <c r="T245" i="6"/>
  <c r="T346" i="6"/>
  <c r="T362" i="6"/>
  <c r="T234" i="6"/>
  <c r="T493" i="6"/>
  <c r="T239" i="6"/>
  <c r="T586" i="6"/>
  <c r="T585" i="6"/>
  <c r="T249" i="6"/>
  <c r="T337" i="6"/>
  <c r="T353" i="6"/>
  <c r="T350" i="6"/>
  <c r="T183" i="6"/>
  <c r="T199" i="6"/>
  <c r="T389" i="6"/>
  <c r="T591" i="6"/>
  <c r="T218" i="6"/>
  <c r="T335" i="6"/>
  <c r="T340" i="6"/>
  <c r="T356" i="6"/>
  <c r="T494" i="6"/>
  <c r="T216" i="6"/>
  <c r="T169" i="6"/>
  <c r="T380" i="6"/>
  <c r="T250" i="6"/>
  <c r="T210" i="6"/>
  <c r="T504" i="6"/>
  <c r="T226" i="6"/>
  <c r="T345" i="6"/>
  <c r="T588" i="6"/>
  <c r="T508" i="6"/>
  <c r="T207" i="6"/>
  <c r="T223" i="6"/>
  <c r="T364" i="6"/>
  <c r="T582" i="6"/>
  <c r="T383" i="6"/>
  <c r="T506" i="6"/>
  <c r="T399" i="6"/>
  <c r="T232" i="6"/>
  <c r="T341" i="6"/>
  <c r="T357" i="6"/>
  <c r="T589" i="6"/>
  <c r="T509" i="6"/>
  <c r="T193" i="6"/>
  <c r="T209" i="6"/>
  <c r="T382" i="6"/>
  <c r="T394" i="6"/>
  <c r="T167" i="6"/>
  <c r="T227" i="6"/>
  <c r="T602" i="6"/>
  <c r="T198" i="6"/>
  <c r="T240" i="6"/>
  <c r="T156" i="6"/>
  <c r="T188" i="6"/>
  <c r="T220" i="6"/>
  <c r="T329" i="6"/>
  <c r="T361" i="6"/>
  <c r="T242" i="6"/>
  <c r="T499" i="6"/>
  <c r="T225" i="6"/>
  <c r="T338" i="6"/>
  <c r="T354" i="6"/>
  <c r="T446" i="6"/>
  <c r="T488" i="6"/>
  <c r="T516" i="6"/>
  <c r="T372" i="6"/>
  <c r="T400" i="6"/>
  <c r="T273" i="6"/>
  <c r="T514" i="6"/>
  <c r="T601" i="6"/>
  <c r="T333" i="6"/>
  <c r="T349" i="6"/>
  <c r="T600" i="6"/>
  <c r="T492" i="6"/>
  <c r="T231" i="6"/>
  <c r="T159" i="6"/>
  <c r="T175" i="6"/>
  <c r="T219" i="6"/>
  <c r="T360" i="6"/>
  <c r="T376" i="6"/>
  <c r="T594" i="6"/>
  <c r="T164" i="6"/>
  <c r="T196" i="6"/>
  <c r="T212" i="6"/>
  <c r="T228" i="6"/>
  <c r="T321" i="6"/>
  <c r="T387" i="6"/>
  <c r="T491" i="6"/>
  <c r="T170" i="6"/>
  <c r="T391" i="6"/>
  <c r="T173" i="6"/>
  <c r="T221" i="6"/>
  <c r="T180" i="6"/>
  <c r="T495" i="6"/>
  <c r="T229" i="6"/>
  <c r="T214" i="6"/>
  <c r="T163" i="6"/>
  <c r="T179" i="6"/>
  <c r="T235" i="6"/>
  <c r="T510" i="6"/>
  <c r="T168" i="6"/>
  <c r="T184" i="6"/>
  <c r="T200" i="6"/>
  <c r="T401" i="6"/>
  <c r="T485" i="6"/>
  <c r="T190" i="6"/>
  <c r="T161" i="6"/>
  <c r="T177" i="6"/>
  <c r="T205" i="6"/>
  <c r="T233" i="6"/>
  <c r="T386" i="6"/>
  <c r="T398" i="6"/>
  <c r="T592" i="6"/>
  <c r="T251" i="6"/>
  <c r="T388" i="6"/>
  <c r="T158" i="6"/>
  <c r="T373" i="6"/>
  <c r="T515" i="6"/>
  <c r="S238" i="6"/>
  <c r="T238" i="6" s="1"/>
  <c r="T358" i="6"/>
  <c r="T154" i="6"/>
  <c r="T204" i="6"/>
  <c r="T155" i="6"/>
  <c r="T336" i="6"/>
  <c r="T348" i="6"/>
  <c r="T392" i="6"/>
  <c r="T502" i="6"/>
  <c r="T160" i="6"/>
  <c r="T176" i="6"/>
  <c r="T208" i="6"/>
  <c r="T377" i="6"/>
  <c r="S237" i="6"/>
  <c r="T237" i="6" s="1"/>
  <c r="T371" i="6"/>
  <c r="T593" i="6"/>
  <c r="T213" i="6"/>
  <c r="T330" i="6"/>
  <c r="T378" i="6"/>
  <c r="T584" i="6"/>
  <c r="T343" i="6"/>
  <c r="T597" i="6"/>
  <c r="T243" i="6"/>
  <c r="T484" i="6"/>
  <c r="T500" i="6"/>
  <c r="T512" i="6"/>
  <c r="T178" i="6"/>
  <c r="T187" i="6"/>
  <c r="T203" i="6"/>
  <c r="T215" i="6"/>
  <c r="T352" i="6"/>
  <c r="T368" i="6"/>
  <c r="T396" i="6"/>
  <c r="T513" i="6"/>
  <c r="T490" i="6"/>
  <c r="T182" i="6"/>
  <c r="T375" i="6"/>
  <c r="T381" i="6"/>
  <c r="T397" i="6"/>
  <c r="T599" i="6"/>
  <c r="T166" i="6"/>
  <c r="T507" i="6"/>
  <c r="T222" i="6"/>
  <c r="T497" i="6"/>
  <c r="T157" i="6"/>
  <c r="T272" i="6"/>
  <c r="T334" i="6"/>
  <c r="T366" i="6"/>
  <c r="T79" i="1"/>
  <c r="V79" i="1" s="1"/>
  <c r="T122" i="1"/>
  <c r="T61" i="1"/>
  <c r="V61" i="1" s="1"/>
  <c r="T281" i="1"/>
  <c r="U281" i="1" s="1"/>
  <c r="T190" i="1"/>
  <c r="T252" i="1"/>
  <c r="T98" i="1"/>
  <c r="U98" i="1" s="1"/>
  <c r="T253" i="1"/>
  <c r="T250" i="1"/>
  <c r="V250" i="1" s="1"/>
  <c r="T224" i="1"/>
  <c r="V224" i="1" s="1"/>
  <c r="S36" i="1"/>
  <c r="T36" i="1" s="1"/>
  <c r="V36" i="1" s="1"/>
  <c r="T125" i="1"/>
  <c r="T68" i="1"/>
  <c r="T57" i="1"/>
  <c r="T114" i="1"/>
  <c r="U114" i="1" s="1"/>
  <c r="T60" i="1"/>
  <c r="U60" i="1" s="1"/>
  <c r="T54" i="1"/>
  <c r="V54" i="1" s="1"/>
  <c r="T249" i="1"/>
  <c r="U249" i="1" s="1"/>
  <c r="T248" i="1"/>
  <c r="U248" i="1" s="1"/>
  <c r="T196" i="1"/>
  <c r="U196" i="1" s="1"/>
  <c r="T59" i="1"/>
  <c r="T188" i="1"/>
  <c r="V188" i="1" s="1"/>
  <c r="T278" i="1"/>
  <c r="T247" i="1"/>
  <c r="U247" i="1" s="1"/>
  <c r="T63" i="1"/>
  <c r="V63" i="1" s="1"/>
  <c r="T95" i="1"/>
  <c r="T56" i="1"/>
  <c r="V56" i="1" s="1"/>
  <c r="T72" i="1"/>
  <c r="V72" i="1" s="1"/>
  <c r="Q139" i="1"/>
  <c r="T139" i="1"/>
  <c r="S139" i="1"/>
  <c r="S108" i="1"/>
  <c r="Q108" i="1"/>
  <c r="T108" i="1"/>
  <c r="U108" i="1" s="1"/>
  <c r="T155" i="1"/>
  <c r="U155" i="1" s="1"/>
  <c r="S155" i="1"/>
  <c r="Q155" i="1"/>
  <c r="T27" i="1"/>
  <c r="U27" i="1" s="1"/>
  <c r="Q27" i="1"/>
  <c r="S27" i="1"/>
  <c r="Q153" i="1"/>
  <c r="S153" i="1"/>
  <c r="T153" i="1"/>
  <c r="S238" i="1"/>
  <c r="Q238" i="1"/>
  <c r="T238" i="1"/>
  <c r="Q131" i="1"/>
  <c r="S131" i="1"/>
  <c r="T131" i="1"/>
  <c r="V131" i="1" s="1"/>
  <c r="T29" i="1"/>
  <c r="Q29" i="1"/>
  <c r="S29" i="1"/>
  <c r="T97" i="1"/>
  <c r="T66" i="1"/>
  <c r="V66" i="1" s="1"/>
  <c r="T163" i="1"/>
  <c r="U163" i="1" s="1"/>
  <c r="Q151" i="1"/>
  <c r="T151" i="1"/>
  <c r="V151" i="1" s="1"/>
  <c r="S151" i="1"/>
  <c r="S19" i="1"/>
  <c r="Q19" i="1"/>
  <c r="T19" i="1"/>
  <c r="T240" i="1"/>
  <c r="V240" i="1" s="1"/>
  <c r="Q240" i="1"/>
  <c r="S240" i="1"/>
  <c r="T65" i="1"/>
  <c r="U65" i="1" s="1"/>
  <c r="T207" i="1"/>
  <c r="V207" i="1" s="1"/>
  <c r="S70" i="1"/>
  <c r="T70" i="1" s="1"/>
  <c r="T94" i="1"/>
  <c r="T55" i="1"/>
  <c r="V55" i="1" s="1"/>
  <c r="S67" i="1"/>
  <c r="T67" i="1" s="1"/>
  <c r="Q23" i="1"/>
  <c r="S23" i="1"/>
  <c r="T23" i="1"/>
  <c r="Q21" i="1"/>
  <c r="T21" i="1"/>
  <c r="S21" i="1"/>
  <c r="S221" i="1"/>
  <c r="T221" i="1"/>
  <c r="V221" i="1" s="1"/>
  <c r="Q221" i="1"/>
  <c r="T251" i="1"/>
  <c r="U251" i="1" s="1"/>
  <c r="Q230" i="1"/>
  <c r="T230" i="1"/>
  <c r="S230" i="1"/>
  <c r="S35" i="1"/>
  <c r="T35" i="1"/>
  <c r="Q35" i="1"/>
  <c r="Q25" i="1"/>
  <c r="T25" i="1"/>
  <c r="S25" i="1"/>
  <c r="T141" i="1"/>
  <c r="Q141" i="1"/>
  <c r="S141" i="1"/>
  <c r="S228" i="1"/>
  <c r="T228" i="1" s="1"/>
  <c r="S237" i="1"/>
  <c r="S84" i="1"/>
  <c r="T84" i="1" s="1"/>
  <c r="Q104" i="1"/>
  <c r="T104" i="1"/>
  <c r="S104" i="1"/>
  <c r="Q37" i="1"/>
  <c r="T37" i="1"/>
  <c r="S37" i="1"/>
  <c r="S244" i="1"/>
  <c r="Q244" i="1"/>
  <c r="T244" i="1"/>
  <c r="S157" i="1"/>
  <c r="T157" i="1"/>
  <c r="V157" i="1" s="1"/>
  <c r="Q157" i="1"/>
  <c r="S38" i="1"/>
  <c r="T38" i="1" s="1"/>
  <c r="T83" i="1"/>
  <c r="V83" i="1" s="1"/>
  <c r="S267" i="1"/>
  <c r="T267" i="1"/>
  <c r="Q267" i="1"/>
  <c r="Q160" i="1"/>
  <c r="S160" i="1"/>
  <c r="T160" i="1"/>
  <c r="V160" i="1" s="1"/>
  <c r="T136" i="1"/>
  <c r="Q136" i="1"/>
  <c r="S136" i="1"/>
  <c r="T39" i="1"/>
  <c r="Q39" i="1"/>
  <c r="S39" i="1"/>
  <c r="T106" i="1"/>
  <c r="U106" i="1" s="1"/>
  <c r="S106" i="1"/>
  <c r="Q106" i="1"/>
  <c r="S31" i="1"/>
  <c r="T31" i="1"/>
  <c r="Q31" i="1"/>
  <c r="T237" i="1"/>
  <c r="V237" i="1" s="1"/>
  <c r="T209" i="1"/>
  <c r="V209" i="1" s="1"/>
  <c r="T62" i="1"/>
  <c r="U62" i="1" s="1"/>
  <c r="T187" i="1"/>
  <c r="T123" i="1"/>
  <c r="V123" i="1" s="1"/>
  <c r="T197" i="1"/>
  <c r="V197" i="1" s="1"/>
  <c r="S167" i="1"/>
  <c r="T167" i="1" s="1"/>
  <c r="T52" i="1"/>
  <c r="S149" i="1"/>
  <c r="T149" i="1"/>
  <c r="V149" i="1" s="1"/>
  <c r="Q149" i="1"/>
  <c r="T147" i="1"/>
  <c r="Q147" i="1"/>
  <c r="S147" i="1"/>
  <c r="T185" i="1"/>
  <c r="V185" i="1" s="1"/>
  <c r="S185" i="1"/>
  <c r="Q185" i="1"/>
  <c r="Q227" i="1"/>
  <c r="T227" i="1"/>
  <c r="U227" i="1" s="1"/>
  <c r="S227" i="1"/>
  <c r="S28" i="1"/>
  <c r="T28" i="1" s="1"/>
  <c r="U28" i="1" s="1"/>
  <c r="T73" i="1"/>
  <c r="T78" i="1"/>
  <c r="U78" i="1" s="1"/>
  <c r="T75" i="1"/>
  <c r="U75" i="1" s="1"/>
  <c r="S239" i="1"/>
  <c r="T239" i="1" s="1"/>
  <c r="U239" i="1" s="1"/>
  <c r="S301" i="1"/>
  <c r="T301" i="1" s="1"/>
  <c r="V301" i="1" s="1"/>
  <c r="Q332" i="1"/>
  <c r="S332" i="1"/>
  <c r="S30" i="1"/>
  <c r="T30" i="1" s="1"/>
  <c r="V30" i="1" s="1"/>
  <c r="S306" i="1"/>
  <c r="T306" i="1" s="1"/>
  <c r="S22" i="1"/>
  <c r="T22" i="1" s="1"/>
  <c r="O31" i="4"/>
  <c r="P31" i="4" s="1"/>
  <c r="Q31" i="4" s="1"/>
  <c r="O236" i="6"/>
  <c r="P236" i="6" s="1"/>
  <c r="Q236" i="6" s="1"/>
  <c r="O42" i="4"/>
  <c r="P42" i="4" s="1"/>
  <c r="Q42" i="4" s="1"/>
  <c r="O30" i="4"/>
  <c r="P30" i="4" s="1"/>
  <c r="Q30" i="4" s="1"/>
  <c r="U110" i="1"/>
  <c r="N37" i="1"/>
  <c r="O37" i="1" s="1"/>
  <c r="P37" i="1" s="1"/>
  <c r="U244" i="1"/>
  <c r="M303" i="1"/>
  <c r="N303" i="1" s="1"/>
  <c r="O303" i="1" s="1"/>
  <c r="U335" i="1"/>
  <c r="U336" i="1"/>
  <c r="V336" i="1"/>
  <c r="V338" i="1"/>
  <c r="U338" i="1"/>
  <c r="V337" i="1"/>
  <c r="U337" i="1"/>
  <c r="R60" i="18"/>
  <c r="V60" i="18" s="1"/>
  <c r="N293" i="1"/>
  <c r="O293" i="1" s="1"/>
  <c r="P293" i="1" s="1"/>
  <c r="M67" i="4"/>
  <c r="N67" i="4" s="1"/>
  <c r="O67" i="4" s="1"/>
  <c r="P67" i="4" s="1"/>
  <c r="Q67" i="4" s="1"/>
  <c r="M144" i="1"/>
  <c r="N144" i="1" s="1"/>
  <c r="O144" i="1" s="1"/>
  <c r="P144" i="1" s="1"/>
  <c r="N157" i="1"/>
  <c r="O157" i="1" s="1"/>
  <c r="P157" i="1" s="1"/>
  <c r="N15" i="1"/>
  <c r="O15" i="1" s="1"/>
  <c r="P15" i="1" s="1"/>
  <c r="T101" i="14"/>
  <c r="V293" i="1"/>
  <c r="R66" i="18"/>
  <c r="V66" i="18" s="1"/>
  <c r="AB66" i="18" s="1"/>
  <c r="AC66" i="18" s="1"/>
  <c r="N39" i="1"/>
  <c r="O39" i="1" s="1"/>
  <c r="P39" i="1" s="1"/>
  <c r="R26" i="18"/>
  <c r="V26" i="18" s="1"/>
  <c r="AB18" i="14"/>
  <c r="T18" i="14"/>
  <c r="X67" i="18"/>
  <c r="Y67" i="18" s="1"/>
  <c r="AA67" i="18" s="1"/>
  <c r="N238" i="1"/>
  <c r="O238" i="1" s="1"/>
  <c r="P238" i="1" s="1"/>
  <c r="N230" i="1"/>
  <c r="O230" i="1" s="1"/>
  <c r="P230" i="1" s="1"/>
  <c r="T19" i="14"/>
  <c r="R30" i="18"/>
  <c r="V30" i="18" s="1"/>
  <c r="AB30" i="18" s="1"/>
  <c r="AC30" i="18" s="1"/>
  <c r="U138" i="1"/>
  <c r="U307" i="1"/>
  <c r="R58" i="18"/>
  <c r="T58" i="18" s="1"/>
  <c r="V143" i="1"/>
  <c r="AB133" i="14"/>
  <c r="AC133" i="14" s="1"/>
  <c r="T74" i="14"/>
  <c r="V41" i="1"/>
  <c r="AB74" i="14"/>
  <c r="AC74" i="14" s="1"/>
  <c r="N185" i="1"/>
  <c r="O185" i="1" s="1"/>
  <c r="P185" i="1" s="1"/>
  <c r="N51" i="24"/>
  <c r="O51" i="24" s="1"/>
  <c r="P51" i="24" s="1"/>
  <c r="X36" i="18"/>
  <c r="M243" i="1"/>
  <c r="N243" i="1" s="1"/>
  <c r="O243" i="1" s="1"/>
  <c r="P243" i="1" s="1"/>
  <c r="Q243" i="1" s="1"/>
  <c r="M34" i="1"/>
  <c r="N34" i="1" s="1"/>
  <c r="O34" i="1" s="1"/>
  <c r="P34" i="1" s="1"/>
  <c r="Q65" i="17"/>
  <c r="S65" i="17" s="1"/>
  <c r="W58" i="17"/>
  <c r="X58" i="17" s="1"/>
  <c r="Z58" i="17" s="1"/>
  <c r="V229" i="1"/>
  <c r="R147" i="14"/>
  <c r="X68" i="18"/>
  <c r="Y68" i="18" s="1"/>
  <c r="AA68" i="18" s="1"/>
  <c r="AB68" i="18" s="1"/>
  <c r="AC68" i="18" s="1"/>
  <c r="X16" i="18"/>
  <c r="Y16" i="18" s="1"/>
  <c r="AA16" i="18" s="1"/>
  <c r="Q71" i="17"/>
  <c r="S71" i="17" s="1"/>
  <c r="Q26" i="17"/>
  <c r="U26" i="17" s="1"/>
  <c r="N5" i="24"/>
  <c r="O5" i="24" s="1"/>
  <c r="P5" i="24" s="1"/>
  <c r="R25" i="18"/>
  <c r="T25" i="18" s="1"/>
  <c r="X29" i="18"/>
  <c r="Y29" i="18" s="1"/>
  <c r="AA29" i="18" s="1"/>
  <c r="T76" i="14"/>
  <c r="X76" i="14" s="1"/>
  <c r="Y76" i="14" s="1"/>
  <c r="AA76" i="14" s="1"/>
  <c r="AB76" i="14" s="1"/>
  <c r="W31" i="17"/>
  <c r="X31" i="17" s="1"/>
  <c r="Z31" i="17" s="1"/>
  <c r="M161" i="1"/>
  <c r="N161" i="1" s="1"/>
  <c r="O161" i="1" s="1"/>
  <c r="AB31" i="14"/>
  <c r="AC31" i="14" s="1"/>
  <c r="X57" i="18"/>
  <c r="Y57" i="18" s="1"/>
  <c r="AA57" i="18" s="1"/>
  <c r="R56" i="18"/>
  <c r="V56" i="18" s="1"/>
  <c r="AB56" i="18" s="1"/>
  <c r="AC56" i="18" s="1"/>
  <c r="T60" i="18"/>
  <c r="AB19" i="14"/>
  <c r="AC19" i="14" s="1"/>
  <c r="M245" i="1"/>
  <c r="N245" i="1" s="1"/>
  <c r="O245" i="1" s="1"/>
  <c r="T25" i="14"/>
  <c r="M152" i="1"/>
  <c r="N152" i="1" s="1"/>
  <c r="O152" i="1" s="1"/>
  <c r="N35" i="1"/>
  <c r="O35" i="1" s="1"/>
  <c r="P35" i="1" s="1"/>
  <c r="M89" i="4"/>
  <c r="N89" i="4" s="1"/>
  <c r="W69" i="17"/>
  <c r="X69" i="17" s="1"/>
  <c r="Z69" i="17" s="1"/>
  <c r="W70" i="17"/>
  <c r="X70" i="17" s="1"/>
  <c r="Z70" i="17" s="1"/>
  <c r="V323" i="1"/>
  <c r="N240" i="1"/>
  <c r="O240" i="1" s="1"/>
  <c r="P240" i="1" s="1"/>
  <c r="V133" i="1"/>
  <c r="V111" i="1"/>
  <c r="N217" i="1"/>
  <c r="O217" i="1" s="1"/>
  <c r="P217" i="1" s="1"/>
  <c r="X58" i="18"/>
  <c r="Y58" i="18" s="1"/>
  <c r="AA58" i="18" s="1"/>
  <c r="T22" i="14"/>
  <c r="AB78" i="14"/>
  <c r="AC78" i="14" s="1"/>
  <c r="Q97" i="17"/>
  <c r="S97" i="17" s="1"/>
  <c r="U217" i="1"/>
  <c r="V128" i="14"/>
  <c r="AB128" i="14" s="1"/>
  <c r="AC128" i="14" s="1"/>
  <c r="M222" i="1"/>
  <c r="N222" i="1" s="1"/>
  <c r="O222" i="1" s="1"/>
  <c r="M134" i="1"/>
  <c r="M107" i="1"/>
  <c r="N107" i="1" s="1"/>
  <c r="U242" i="1"/>
  <c r="M42" i="1"/>
  <c r="N42" i="1" s="1"/>
  <c r="O42" i="1" s="1"/>
  <c r="P42" i="1" s="1"/>
  <c r="Q42" i="1" s="1"/>
  <c r="M184" i="1"/>
  <c r="M192" i="1" s="1"/>
  <c r="N215" i="1"/>
  <c r="O215" i="1" s="1"/>
  <c r="P215" i="1" s="1"/>
  <c r="M20" i="24"/>
  <c r="N20" i="24" s="1"/>
  <c r="O20" i="24" s="1"/>
  <c r="P20" i="24" s="1"/>
  <c r="Q20" i="24" s="1"/>
  <c r="V215" i="1"/>
  <c r="R52" i="18"/>
  <c r="V52" i="18" s="1"/>
  <c r="AB52" i="18" s="1"/>
  <c r="AC52" i="18" s="1"/>
  <c r="Q70" i="17"/>
  <c r="S70" i="17" s="1"/>
  <c r="M93" i="4"/>
  <c r="N93" i="4" s="1"/>
  <c r="O93" i="4" s="1"/>
  <c r="P93" i="4" s="1"/>
  <c r="Q93" i="4" s="1"/>
  <c r="M4" i="24"/>
  <c r="N4" i="24" s="1"/>
  <c r="O4" i="24" s="1"/>
  <c r="P4" i="24" s="1"/>
  <c r="Q4" i="24" s="1"/>
  <c r="X13" i="18"/>
  <c r="Y13" i="18" s="1"/>
  <c r="AA13" i="18" s="1"/>
  <c r="AB13" i="18" s="1"/>
  <c r="AC13" i="18" s="1"/>
  <c r="W98" i="17"/>
  <c r="X98" i="17" s="1"/>
  <c r="Z98" i="17" s="1"/>
  <c r="Q28" i="17"/>
  <c r="U28" i="17" s="1"/>
  <c r="N300" i="1"/>
  <c r="O300" i="1" s="1"/>
  <c r="P300" i="1" s="1"/>
  <c r="N323" i="1"/>
  <c r="O323" i="1" s="1"/>
  <c r="P323" i="1" s="1"/>
  <c r="V135" i="1"/>
  <c r="N29" i="1"/>
  <c r="O29" i="1" s="1"/>
  <c r="P29" i="1" s="1"/>
  <c r="R37" i="18"/>
  <c r="V37" i="18" s="1"/>
  <c r="AB37" i="18" s="1"/>
  <c r="AC37" i="18" s="1"/>
  <c r="AB163" i="14"/>
  <c r="AC163" i="14" s="1"/>
  <c r="M276" i="1"/>
  <c r="N260" i="1"/>
  <c r="O260" i="1" s="1"/>
  <c r="T139" i="14"/>
  <c r="N27" i="1"/>
  <c r="O27" i="1" s="1"/>
  <c r="P27" i="1" s="1"/>
  <c r="X38" i="18"/>
  <c r="Y38" i="18" s="1"/>
  <c r="AA38" i="18" s="1"/>
  <c r="Q62" i="18"/>
  <c r="M264" i="1"/>
  <c r="N31" i="24"/>
  <c r="O31" i="24" s="1"/>
  <c r="P31" i="24" s="1"/>
  <c r="AB42" i="14"/>
  <c r="AC42" i="14" s="1"/>
  <c r="M407" i="6"/>
  <c r="M612" i="6" s="1"/>
  <c r="Q94" i="17"/>
  <c r="U94" i="17" s="1"/>
  <c r="V63" i="14"/>
  <c r="AB63" i="14" s="1"/>
  <c r="AC63" i="14" s="1"/>
  <c r="X40" i="18"/>
  <c r="Y40" i="18" s="1"/>
  <c r="AA40" i="18" s="1"/>
  <c r="V60" i="14"/>
  <c r="AB60" i="14" s="1"/>
  <c r="AC60" i="14" s="1"/>
  <c r="U260" i="1"/>
  <c r="V40" i="18"/>
  <c r="T40" i="18"/>
  <c r="N43" i="1"/>
  <c r="O43" i="1" s="1"/>
  <c r="P43" i="1" s="1"/>
  <c r="N279" i="1"/>
  <c r="O279" i="1" s="1"/>
  <c r="P279" i="1" s="1"/>
  <c r="X31" i="18"/>
  <c r="Y31" i="18" s="1"/>
  <c r="AA31" i="18" s="1"/>
  <c r="Q76" i="17"/>
  <c r="U76" i="17" s="1"/>
  <c r="U43" i="1"/>
  <c r="AB113" i="14"/>
  <c r="AC113" i="14" s="1"/>
  <c r="N108" i="1"/>
  <c r="O108" i="1" s="1"/>
  <c r="P108" i="1" s="1"/>
  <c r="M30" i="24"/>
  <c r="Q93" i="17"/>
  <c r="S93" i="17" s="1"/>
  <c r="X21" i="18"/>
  <c r="Y21" i="18" s="1"/>
  <c r="AA21" i="18" s="1"/>
  <c r="V219" i="1"/>
  <c r="U321" i="1"/>
  <c r="M150" i="1"/>
  <c r="N150" i="1" s="1"/>
  <c r="O150" i="1" s="1"/>
  <c r="AB140" i="14"/>
  <c r="AC140" i="14" s="1"/>
  <c r="V90" i="1"/>
  <c r="R53" i="18"/>
  <c r="Q57" i="17"/>
  <c r="U57" i="17" s="1"/>
  <c r="T94" i="14"/>
  <c r="Q40" i="17"/>
  <c r="T62" i="14"/>
  <c r="V89" i="1"/>
  <c r="V159" i="1"/>
  <c r="V183" i="1"/>
  <c r="V223" i="1"/>
  <c r="AB35" i="14"/>
  <c r="AC35" i="14" s="1"/>
  <c r="P62" i="18"/>
  <c r="Q32" i="17"/>
  <c r="U32" i="17" s="1"/>
  <c r="W72" i="17"/>
  <c r="X72" i="17" s="1"/>
  <c r="Z72" i="17" s="1"/>
  <c r="X54" i="18"/>
  <c r="Y54" i="18" s="1"/>
  <c r="AA54" i="18" s="1"/>
  <c r="W64" i="17"/>
  <c r="X64" i="17" s="1"/>
  <c r="Z64" i="17" s="1"/>
  <c r="V104" i="14"/>
  <c r="AB104" i="14" s="1"/>
  <c r="AC104" i="14" s="1"/>
  <c r="V212" i="1"/>
  <c r="T31" i="18"/>
  <c r="V31" i="18"/>
  <c r="W97" i="17"/>
  <c r="X97" i="17" s="1"/>
  <c r="Z97" i="17" s="1"/>
  <c r="T140" i="14"/>
  <c r="V48" i="1"/>
  <c r="U115" i="1"/>
  <c r="M318" i="1"/>
  <c r="N318" i="1" s="1"/>
  <c r="O318" i="1" s="1"/>
  <c r="T108" i="14"/>
  <c r="R27" i="18"/>
  <c r="V27" i="18" s="1"/>
  <c r="AB27" i="18" s="1"/>
  <c r="AC27" i="18" s="1"/>
  <c r="N145" i="1"/>
  <c r="O145" i="1" s="1"/>
  <c r="P145" i="1" s="1"/>
  <c r="X23" i="18"/>
  <c r="Y23" i="18" s="1"/>
  <c r="AA23" i="18" s="1"/>
  <c r="T13" i="18"/>
  <c r="N210" i="1"/>
  <c r="O210" i="1" s="1"/>
  <c r="P210" i="1" s="1"/>
  <c r="V75" i="14"/>
  <c r="AB75" i="14" s="1"/>
  <c r="AC75" i="14" s="1"/>
  <c r="M220" i="1"/>
  <c r="N220" i="1" s="1"/>
  <c r="O220" i="1" s="1"/>
  <c r="P220" i="1" s="1"/>
  <c r="Q220" i="1" s="1"/>
  <c r="V317" i="1"/>
  <c r="M137" i="1"/>
  <c r="N137" i="1" s="1"/>
  <c r="O137" i="1" s="1"/>
  <c r="P137" i="1" s="1"/>
  <c r="Q137" i="1" s="1"/>
  <c r="AB16" i="14"/>
  <c r="AC16" i="14" s="1"/>
  <c r="AB36" i="14"/>
  <c r="AC36" i="14" s="1"/>
  <c r="V59" i="14"/>
  <c r="AB59" i="14" s="1"/>
  <c r="AC59" i="14" s="1"/>
  <c r="U210" i="1"/>
  <c r="W54" i="17"/>
  <c r="X54" i="17" s="1"/>
  <c r="Z54" i="17" s="1"/>
  <c r="V145" i="1"/>
  <c r="V36" i="18"/>
  <c r="T36" i="18"/>
  <c r="T133" i="14"/>
  <c r="N136" i="1"/>
  <c r="O136" i="1" s="1"/>
  <c r="P136" i="1" s="1"/>
  <c r="AB115" i="14"/>
  <c r="AC115" i="14" s="1"/>
  <c r="Q54" i="17"/>
  <c r="U54" i="17" s="1"/>
  <c r="M59" i="24"/>
  <c r="M22" i="24"/>
  <c r="N22" i="24" s="1"/>
  <c r="O22" i="24" s="1"/>
  <c r="P22" i="24" s="1"/>
  <c r="Q22" i="24" s="1"/>
  <c r="V33" i="1"/>
  <c r="W96" i="17"/>
  <c r="X96" i="17" s="1"/>
  <c r="Z96" i="17" s="1"/>
  <c r="Q63" i="17"/>
  <c r="S63" i="17" s="1"/>
  <c r="W63" i="17" s="1"/>
  <c r="X63" i="17" s="1"/>
  <c r="Z63" i="17" s="1"/>
  <c r="V129" i="14"/>
  <c r="AB129" i="14" s="1"/>
  <c r="AC129" i="14" s="1"/>
  <c r="Q120" i="14"/>
  <c r="X87" i="14"/>
  <c r="Y87" i="14" s="1"/>
  <c r="AA87" i="14" s="1"/>
  <c r="W68" i="17"/>
  <c r="X68" i="17" s="1"/>
  <c r="Z68" i="17" s="1"/>
  <c r="AB108" i="14"/>
  <c r="AC108" i="14" s="1"/>
  <c r="W75" i="17"/>
  <c r="X75" i="17" s="1"/>
  <c r="Z75" i="17" s="1"/>
  <c r="M8" i="24"/>
  <c r="T100" i="14"/>
  <c r="M18" i="24"/>
  <c r="N18" i="24" s="1"/>
  <c r="O18" i="24" s="1"/>
  <c r="P18" i="24" s="1"/>
  <c r="Q18" i="24" s="1"/>
  <c r="W52" i="17"/>
  <c r="X52" i="17" s="1"/>
  <c r="Z52" i="17" s="1"/>
  <c r="X18" i="18"/>
  <c r="Y18" i="18" s="1"/>
  <c r="AA18" i="18" s="1"/>
  <c r="T102" i="14"/>
  <c r="W13" i="17"/>
  <c r="X13" i="17" s="1"/>
  <c r="Z13" i="17" s="1"/>
  <c r="R15" i="18"/>
  <c r="V15" i="18" s="1"/>
  <c r="AB15" i="18" s="1"/>
  <c r="AC15" i="18" s="1"/>
  <c r="P136" i="14"/>
  <c r="M156" i="1"/>
  <c r="W73" i="17"/>
  <c r="X73" i="17" s="1"/>
  <c r="Z73" i="17" s="1"/>
  <c r="Q29" i="17"/>
  <c r="U29" i="17" s="1"/>
  <c r="U45" i="1"/>
  <c r="W104" i="17"/>
  <c r="X104" i="17" s="1"/>
  <c r="Z104" i="17" s="1"/>
  <c r="X14" i="18"/>
  <c r="Y14" i="18" s="1"/>
  <c r="AA14" i="18" s="1"/>
  <c r="W41" i="17"/>
  <c r="X41" i="17" s="1"/>
  <c r="Z41" i="17" s="1"/>
  <c r="M24" i="24"/>
  <c r="P120" i="14"/>
  <c r="W88" i="17"/>
  <c r="X88" i="17" s="1"/>
  <c r="Z88" i="17" s="1"/>
  <c r="V279" i="1"/>
  <c r="W27" i="17"/>
  <c r="X27" i="17" s="1"/>
  <c r="Z27" i="17" s="1"/>
  <c r="Q31" i="17"/>
  <c r="U31" i="17" s="1"/>
  <c r="P127" i="1"/>
  <c r="T59" i="18"/>
  <c r="AB69" i="14"/>
  <c r="AC69" i="14" s="1"/>
  <c r="Q100" i="17"/>
  <c r="U100" i="17" s="1"/>
  <c r="R19" i="18"/>
  <c r="V19" i="18" s="1"/>
  <c r="AB19" i="18" s="1"/>
  <c r="AC19" i="18" s="1"/>
  <c r="W100" i="17"/>
  <c r="X100" i="17" s="1"/>
  <c r="Z100" i="17" s="1"/>
  <c r="W14" i="17"/>
  <c r="X14" i="17" s="1"/>
  <c r="Z14" i="17" s="1"/>
  <c r="Q60" i="17"/>
  <c r="S60" i="17" s="1"/>
  <c r="W60" i="17" s="1"/>
  <c r="X60" i="17" s="1"/>
  <c r="Z60" i="17" s="1"/>
  <c r="AB149" i="14"/>
  <c r="AC149" i="14" s="1"/>
  <c r="M73" i="4"/>
  <c r="N73" i="4" s="1"/>
  <c r="O73" i="4" s="1"/>
  <c r="P73" i="4" s="1"/>
  <c r="Q73" i="4" s="1"/>
  <c r="M308" i="1"/>
  <c r="N308" i="1" s="1"/>
  <c r="O308" i="1" s="1"/>
  <c r="P308" i="1" s="1"/>
  <c r="Q308" i="1" s="1"/>
  <c r="U297" i="1"/>
  <c r="AB70" i="14"/>
  <c r="AC70" i="14" s="1"/>
  <c r="T70" i="14"/>
  <c r="N32" i="21"/>
  <c r="R22" i="18"/>
  <c r="V22" i="18" s="1"/>
  <c r="AB22" i="18" s="1"/>
  <c r="AC22" i="18" s="1"/>
  <c r="T117" i="14"/>
  <c r="X39" i="14"/>
  <c r="Y39" i="14" s="1"/>
  <c r="AA39" i="14" s="1"/>
  <c r="Q85" i="17"/>
  <c r="U85" i="17" s="1"/>
  <c r="N184" i="4"/>
  <c r="O184" i="4" s="1"/>
  <c r="P184" i="4" s="1"/>
  <c r="U234" i="1"/>
  <c r="V88" i="1"/>
  <c r="Q41" i="17"/>
  <c r="U41" i="17" s="1"/>
  <c r="Q92" i="17"/>
  <c r="U92" i="17" s="1"/>
  <c r="P154" i="14"/>
  <c r="M296" i="1"/>
  <c r="N296" i="1" s="1"/>
  <c r="O296" i="1" s="1"/>
  <c r="P296" i="1" s="1"/>
  <c r="Q296" i="1" s="1"/>
  <c r="T69" i="14"/>
  <c r="R28" i="18"/>
  <c r="V28" i="18" s="1"/>
  <c r="AB28" i="18" s="1"/>
  <c r="AC28" i="18" s="1"/>
  <c r="T41" i="14"/>
  <c r="X88" i="14"/>
  <c r="Y88" i="14" s="1"/>
  <c r="AA88" i="14" s="1"/>
  <c r="AB88" i="14" s="1"/>
  <c r="AC88" i="14" s="1"/>
  <c r="X141" i="14"/>
  <c r="Y141" i="14" s="1"/>
  <c r="AA141" i="14" s="1"/>
  <c r="AA154" i="14" s="1"/>
  <c r="V54" i="18"/>
  <c r="U259" i="1"/>
  <c r="V113" i="1"/>
  <c r="U295" i="1"/>
  <c r="T17" i="18"/>
  <c r="Q24" i="17"/>
  <c r="U24" i="17" s="1"/>
  <c r="W67" i="17"/>
  <c r="X67" i="17" s="1"/>
  <c r="Z67" i="17" s="1"/>
  <c r="Q87" i="17"/>
  <c r="U87" i="17" s="1"/>
  <c r="Q42" i="17"/>
  <c r="U42" i="17" s="1"/>
  <c r="N55" i="4"/>
  <c r="O55" i="4" s="1"/>
  <c r="P55" i="4" s="1"/>
  <c r="Q136" i="14"/>
  <c r="Q141" i="14"/>
  <c r="Q154" i="14" s="1"/>
  <c r="T143" i="14"/>
  <c r="N31" i="1"/>
  <c r="O31" i="1" s="1"/>
  <c r="P31" i="1" s="1"/>
  <c r="W28" i="17"/>
  <c r="X28" i="17" s="1"/>
  <c r="Z28" i="17" s="1"/>
  <c r="N291" i="1"/>
  <c r="O291" i="1" s="1"/>
  <c r="P291" i="1" s="1"/>
  <c r="U291" i="1"/>
  <c r="AB139" i="14"/>
  <c r="AC139" i="14" s="1"/>
  <c r="V334" i="1"/>
  <c r="Q173" i="14"/>
  <c r="W53" i="17"/>
  <c r="X53" i="17" s="1"/>
  <c r="Z53" i="17" s="1"/>
  <c r="N268" i="1"/>
  <c r="O268" i="1" s="1"/>
  <c r="S268" i="1" s="1"/>
  <c r="T105" i="14"/>
  <c r="T43" i="14"/>
  <c r="V232" i="1"/>
  <c r="Q51" i="17"/>
  <c r="U51" i="17" s="1"/>
  <c r="Q27" i="17"/>
  <c r="U27" i="17" s="1"/>
  <c r="T113" i="14"/>
  <c r="AB103" i="14"/>
  <c r="AC103" i="14" s="1"/>
  <c r="AB60" i="18"/>
  <c r="AC60" i="18" s="1"/>
  <c r="AB62" i="14"/>
  <c r="AC62" i="14" s="1"/>
  <c r="N120" i="5"/>
  <c r="N123" i="5" s="1"/>
  <c r="R172" i="14"/>
  <c r="R173" i="14" s="1"/>
  <c r="P173" i="14"/>
  <c r="T55" i="14"/>
  <c r="T34" i="14"/>
  <c r="O120" i="5"/>
  <c r="O123" i="5" s="1"/>
  <c r="T103" i="14"/>
  <c r="N232" i="1"/>
  <c r="O232" i="1" s="1"/>
  <c r="P232" i="1" s="1"/>
  <c r="N212" i="1"/>
  <c r="O212" i="1" s="1"/>
  <c r="P212" i="1" s="1"/>
  <c r="AB29" i="14"/>
  <c r="AC29" i="14" s="1"/>
  <c r="V235" i="1"/>
  <c r="Q13" i="17"/>
  <c r="U13" i="17" s="1"/>
  <c r="Q58" i="17"/>
  <c r="U58" i="17" s="1"/>
  <c r="N235" i="1"/>
  <c r="O235" i="1" s="1"/>
  <c r="P235" i="1" s="1"/>
  <c r="P107" i="17"/>
  <c r="T56" i="14"/>
  <c r="AB94" i="14"/>
  <c r="AC94" i="14" s="1"/>
  <c r="Q75" i="17"/>
  <c r="U75" i="17" s="1"/>
  <c r="D612" i="6"/>
  <c r="M236" i="1"/>
  <c r="N236" i="1" s="1"/>
  <c r="O236" i="1" s="1"/>
  <c r="P236" i="1" s="1"/>
  <c r="Q236" i="1" s="1"/>
  <c r="T20" i="18"/>
  <c r="V20" i="18"/>
  <c r="O610" i="6"/>
  <c r="W87" i="17"/>
  <c r="X87" i="17" s="1"/>
  <c r="Z87" i="17" s="1"/>
  <c r="T35" i="14"/>
  <c r="AB152" i="14"/>
  <c r="AC152" i="14" s="1"/>
  <c r="T131" i="14"/>
  <c r="W51" i="17"/>
  <c r="X51" i="17" s="1"/>
  <c r="T144" i="14"/>
  <c r="V134" i="14"/>
  <c r="AB134" i="14" s="1"/>
  <c r="AC134" i="14" s="1"/>
  <c r="T134" i="14"/>
  <c r="AB148" i="14"/>
  <c r="AC148" i="14" s="1"/>
  <c r="Q14" i="17"/>
  <c r="S124" i="14"/>
  <c r="Q64" i="5"/>
  <c r="S64" i="5" s="1"/>
  <c r="T64" i="5" s="1"/>
  <c r="Q105" i="17"/>
  <c r="U105" i="17" s="1"/>
  <c r="S163" i="24"/>
  <c r="T163" i="24" s="1"/>
  <c r="V163" i="24" s="1"/>
  <c r="T36" i="14"/>
  <c r="T122" i="14"/>
  <c r="Q96" i="17"/>
  <c r="AB117" i="14"/>
  <c r="AC117" i="14" s="1"/>
  <c r="P24" i="21"/>
  <c r="AB59" i="18"/>
  <c r="AC59" i="18" s="1"/>
  <c r="Q101" i="17"/>
  <c r="S101" i="17" s="1"/>
  <c r="W32" i="17"/>
  <c r="X32" i="17" s="1"/>
  <c r="Z32" i="17" s="1"/>
  <c r="Q72" i="17"/>
  <c r="U72" i="17" s="1"/>
  <c r="W42" i="17"/>
  <c r="X42" i="17" s="1"/>
  <c r="Z42" i="17" s="1"/>
  <c r="W61" i="17"/>
  <c r="X61" i="17" s="1"/>
  <c r="Z61" i="17" s="1"/>
  <c r="W30" i="17"/>
  <c r="X30" i="17" s="1"/>
  <c r="Z30" i="17" s="1"/>
  <c r="Q69" i="17"/>
  <c r="S69" i="17" s="1"/>
  <c r="W76" i="17"/>
  <c r="X76" i="17" s="1"/>
  <c r="Z76" i="17" s="1"/>
  <c r="Q84" i="17"/>
  <c r="U84" i="17" s="1"/>
  <c r="Q91" i="17"/>
  <c r="U91" i="17" s="1"/>
  <c r="Q72" i="14"/>
  <c r="M35" i="24"/>
  <c r="S35" i="24" s="1"/>
  <c r="T35" i="24" s="1"/>
  <c r="V35" i="24" s="1"/>
  <c r="AB43" i="14"/>
  <c r="AC43" i="14" s="1"/>
  <c r="AB110" i="14"/>
  <c r="AC110" i="14" s="1"/>
  <c r="P17" i="21"/>
  <c r="R14" i="21"/>
  <c r="T14" i="21" s="1"/>
  <c r="Q59" i="5"/>
  <c r="S59" i="5" s="1"/>
  <c r="T59" i="5" s="1"/>
  <c r="V47" i="1"/>
  <c r="U333" i="1"/>
  <c r="O218" i="1"/>
  <c r="P218" i="1" s="1"/>
  <c r="Q218" i="1" s="1"/>
  <c r="U175" i="1"/>
  <c r="O261" i="1"/>
  <c r="P261" i="1" s="1"/>
  <c r="Q261" i="1" s="1"/>
  <c r="U49" i="1"/>
  <c r="O211" i="1"/>
  <c r="P211" i="1" s="1"/>
  <c r="Q211" i="1" s="1"/>
  <c r="K14" i="1"/>
  <c r="L14" i="1" s="1"/>
  <c r="Q60" i="5"/>
  <c r="S60" i="5" s="1"/>
  <c r="T60" i="5" s="1"/>
  <c r="U86" i="1"/>
  <c r="O186" i="1"/>
  <c r="P186" i="1" s="1"/>
  <c r="Q186" i="1" s="1"/>
  <c r="Q33" i="5"/>
  <c r="S33" i="5" s="1"/>
  <c r="T33" i="5" s="1"/>
  <c r="Q44" i="5"/>
  <c r="S44" i="5" s="1"/>
  <c r="T44" i="5" s="1"/>
  <c r="U26" i="6"/>
  <c r="O16" i="1"/>
  <c r="P16" i="1" s="1"/>
  <c r="Q16" i="1" s="1"/>
  <c r="O16" i="24"/>
  <c r="P16" i="24" s="1"/>
  <c r="Q16" i="24" s="1"/>
  <c r="O32" i="24"/>
  <c r="P32" i="24" s="1"/>
  <c r="Q32" i="24" s="1"/>
  <c r="N11" i="24"/>
  <c r="O11" i="24" s="1"/>
  <c r="P11" i="24" s="1"/>
  <c r="N15" i="24"/>
  <c r="O15" i="24" s="1"/>
  <c r="P15" i="24" s="1"/>
  <c r="O44" i="1"/>
  <c r="P44" i="1" s="1"/>
  <c r="Q44" i="1" s="1"/>
  <c r="Q20" i="5"/>
  <c r="S20" i="5" s="1"/>
  <c r="T20" i="5" s="1"/>
  <c r="Q16" i="5"/>
  <c r="S16" i="5" s="1"/>
  <c r="T16" i="5" s="1"/>
  <c r="U40" i="6"/>
  <c r="O213" i="1"/>
  <c r="P213" i="1" s="1"/>
  <c r="Q213" i="1" s="1"/>
  <c r="U14" i="6"/>
  <c r="U54" i="6"/>
  <c r="O109" i="1"/>
  <c r="P109" i="1" s="1"/>
  <c r="Q109" i="1" s="1"/>
  <c r="V12" i="1"/>
  <c r="U347" i="1"/>
  <c r="U46" i="6"/>
  <c r="U57" i="6"/>
  <c r="U56" i="6"/>
  <c r="U55" i="6"/>
  <c r="W95" i="17"/>
  <c r="X95" i="17" s="1"/>
  <c r="Z95" i="17" s="1"/>
  <c r="Q104" i="17"/>
  <c r="U104" i="17" s="1"/>
  <c r="W84" i="17"/>
  <c r="X84" i="17" s="1"/>
  <c r="Q30" i="17"/>
  <c r="U30" i="17" s="1"/>
  <c r="W105" i="17"/>
  <c r="X105" i="17" s="1"/>
  <c r="Z105" i="17" s="1"/>
  <c r="T84" i="14"/>
  <c r="T112" i="14"/>
  <c r="X112" i="14" s="1"/>
  <c r="Y112" i="14" s="1"/>
  <c r="Q38" i="5"/>
  <c r="S38" i="5" s="1"/>
  <c r="T38" i="5" s="1"/>
  <c r="Q55" i="5"/>
  <c r="S55" i="5" s="1"/>
  <c r="T55" i="5" s="1"/>
  <c r="Q62" i="5"/>
  <c r="S62" i="5" s="1"/>
  <c r="T62" i="5" s="1"/>
  <c r="U39" i="6"/>
  <c r="U52" i="6"/>
  <c r="Q25" i="5"/>
  <c r="S25" i="5" s="1"/>
  <c r="T25" i="5" s="1"/>
  <c r="Q70" i="5"/>
  <c r="S70" i="5" s="1"/>
  <c r="T70" i="5" s="1"/>
  <c r="U35" i="6"/>
  <c r="Q421" i="6"/>
  <c r="S421" i="6" s="1"/>
  <c r="T421" i="6" s="1"/>
  <c r="Q430" i="6"/>
  <c r="S430" i="6" s="1"/>
  <c r="T430" i="6" s="1"/>
  <c r="Q52" i="5"/>
  <c r="S52" i="5" s="1"/>
  <c r="T52" i="5" s="1"/>
  <c r="U43" i="6"/>
  <c r="U74" i="1"/>
  <c r="P54" i="17"/>
  <c r="P78" i="17" s="1"/>
  <c r="M70" i="4"/>
  <c r="AB100" i="14"/>
  <c r="AC100" i="14" s="1"/>
  <c r="Q61" i="5"/>
  <c r="S61" i="5" s="1"/>
  <c r="T61" i="5" s="1"/>
  <c r="T23" i="14"/>
  <c r="T77" i="14"/>
  <c r="W102" i="17"/>
  <c r="X102" i="17" s="1"/>
  <c r="Z102" i="17" s="1"/>
  <c r="AB23" i="14"/>
  <c r="AC23" i="14" s="1"/>
  <c r="AB130" i="14"/>
  <c r="AC130" i="14" s="1"/>
  <c r="T130" i="14"/>
  <c r="AB165" i="14"/>
  <c r="AC165" i="14" s="1"/>
  <c r="Q47" i="5"/>
  <c r="S47" i="5" s="1"/>
  <c r="T47" i="5" s="1"/>
  <c r="Q49" i="5"/>
  <c r="S49" i="5" s="1"/>
  <c r="T49" i="5" s="1"/>
  <c r="Q57" i="5"/>
  <c r="S57" i="5" s="1"/>
  <c r="T57" i="5" s="1"/>
  <c r="U44" i="6"/>
  <c r="U25" i="6"/>
  <c r="Q40" i="5"/>
  <c r="S40" i="5" s="1"/>
  <c r="T40" i="5" s="1"/>
  <c r="Q69" i="5"/>
  <c r="S69" i="5" s="1"/>
  <c r="T69" i="5" s="1"/>
  <c r="U47" i="6"/>
  <c r="Q54" i="5"/>
  <c r="S54" i="5" s="1"/>
  <c r="T54" i="5" s="1"/>
  <c r="P41" i="17"/>
  <c r="P44" i="17" s="1"/>
  <c r="M53" i="4"/>
  <c r="M105" i="1"/>
  <c r="N105" i="1" s="1"/>
  <c r="O105" i="1" s="1"/>
  <c r="N104" i="1"/>
  <c r="O104" i="1" s="1"/>
  <c r="P104" i="1" s="1"/>
  <c r="K298" i="1"/>
  <c r="L298" i="1" s="1"/>
  <c r="O298" i="1"/>
  <c r="P298" i="1" s="1"/>
  <c r="W66" i="17"/>
  <c r="X66" i="17" s="1"/>
  <c r="Z66" i="17" s="1"/>
  <c r="T53" i="14"/>
  <c r="W29" i="17"/>
  <c r="X29" i="17" s="1"/>
  <c r="Z29" i="17" s="1"/>
  <c r="O107" i="17"/>
  <c r="W86" i="17"/>
  <c r="X86" i="17" s="1"/>
  <c r="Z86" i="17" s="1"/>
  <c r="AB107" i="14"/>
  <c r="AC107" i="14" s="1"/>
  <c r="AB77" i="14"/>
  <c r="AC77" i="14" s="1"/>
  <c r="Q17" i="5"/>
  <c r="S17" i="5" s="1"/>
  <c r="T17" i="5" s="1"/>
  <c r="Q28" i="5"/>
  <c r="S28" i="5" s="1"/>
  <c r="T28" i="5" s="1"/>
  <c r="Q50" i="5"/>
  <c r="S50" i="5" s="1"/>
  <c r="T50" i="5" s="1"/>
  <c r="U23" i="6"/>
  <c r="Q24" i="5"/>
  <c r="S24" i="5" s="1"/>
  <c r="U42" i="6"/>
  <c r="U30" i="6"/>
  <c r="U17" i="6"/>
  <c r="U50" i="6"/>
  <c r="Q434" i="6"/>
  <c r="S434" i="6" s="1"/>
  <c r="T434" i="6" s="1"/>
  <c r="Q427" i="6"/>
  <c r="S427" i="6" s="1"/>
  <c r="T427" i="6" s="1"/>
  <c r="Q17" i="21"/>
  <c r="T145" i="14"/>
  <c r="Q29" i="5"/>
  <c r="S29" i="5" s="1"/>
  <c r="T29" i="5" s="1"/>
  <c r="T71" i="14"/>
  <c r="T82" i="14"/>
  <c r="P49" i="14"/>
  <c r="T20" i="14"/>
  <c r="AB56" i="14"/>
  <c r="AC56" i="14" s="1"/>
  <c r="T95" i="14"/>
  <c r="T64" i="14"/>
  <c r="AB20" i="14"/>
  <c r="AC20" i="14" s="1"/>
  <c r="T165" i="14"/>
  <c r="AB102" i="14"/>
  <c r="AC102" i="14" s="1"/>
  <c r="AB82" i="14"/>
  <c r="AC82" i="14" s="1"/>
  <c r="Q21" i="5"/>
  <c r="S21" i="5" s="1"/>
  <c r="T21" i="5" s="1"/>
  <c r="U15" i="6"/>
  <c r="Q63" i="5"/>
  <c r="S63" i="5" s="1"/>
  <c r="T63" i="5" s="1"/>
  <c r="Q43" i="5"/>
  <c r="S43" i="5" s="1"/>
  <c r="T43" i="5" s="1"/>
  <c r="U50" i="1"/>
  <c r="U13" i="6"/>
  <c r="U45" i="6"/>
  <c r="O142" i="1"/>
  <c r="P142" i="1" s="1"/>
  <c r="Q142" i="1" s="1"/>
  <c r="AB84" i="14"/>
  <c r="AC84" i="14" s="1"/>
  <c r="Q51" i="5"/>
  <c r="S51" i="5" s="1"/>
  <c r="U16" i="6"/>
  <c r="U28" i="6"/>
  <c r="U48" i="6"/>
  <c r="Q437" i="6"/>
  <c r="S437" i="6" s="1"/>
  <c r="T437" i="6" s="1"/>
  <c r="Q420" i="6"/>
  <c r="S420" i="6" s="1"/>
  <c r="T420" i="6" s="1"/>
  <c r="Q88" i="17"/>
  <c r="W24" i="17"/>
  <c r="X24" i="17" s="1"/>
  <c r="Z24" i="17" s="1"/>
  <c r="X86" i="14"/>
  <c r="Y86" i="14" s="1"/>
  <c r="AA86" i="14" s="1"/>
  <c r="U31" i="6"/>
  <c r="Q68" i="5"/>
  <c r="S68" i="5" s="1"/>
  <c r="T68" i="5" s="1"/>
  <c r="T88" i="14"/>
  <c r="AB64" i="14"/>
  <c r="AC64" i="14" s="1"/>
  <c r="AB65" i="14"/>
  <c r="AC65" i="14" s="1"/>
  <c r="Q61" i="17"/>
  <c r="AB132" i="14"/>
  <c r="AC132" i="14" s="1"/>
  <c r="Q53" i="5"/>
  <c r="S53" i="5" s="1"/>
  <c r="T53" i="5" s="1"/>
  <c r="Q32" i="5"/>
  <c r="S32" i="5" s="1"/>
  <c r="T32" i="5" s="1"/>
  <c r="U29" i="6"/>
  <c r="Q58" i="5"/>
  <c r="S58" i="5" s="1"/>
  <c r="T58" i="5" s="1"/>
  <c r="U41" i="6"/>
  <c r="U51" i="6"/>
  <c r="Q13" i="5"/>
  <c r="S13" i="5" s="1"/>
  <c r="Q56" i="5"/>
  <c r="S56" i="5" s="1"/>
  <c r="T56" i="5" s="1"/>
  <c r="Q418" i="6"/>
  <c r="Q39" i="5"/>
  <c r="S39" i="5" s="1"/>
  <c r="T39" i="5" s="1"/>
  <c r="U34" i="6"/>
  <c r="Q424" i="6"/>
  <c r="S424" i="6" s="1"/>
  <c r="T424" i="6" s="1"/>
  <c r="Q428" i="6"/>
  <c r="S428" i="6" s="1"/>
  <c r="T428" i="6" s="1"/>
  <c r="Q622" i="6"/>
  <c r="S622" i="6" s="1"/>
  <c r="T622" i="6" s="1"/>
  <c r="O78" i="4"/>
  <c r="P78" i="4" s="1"/>
  <c r="Q78" i="4" s="1"/>
  <c r="O187" i="4"/>
  <c r="P187" i="4" s="1"/>
  <c r="Q25" i="17"/>
  <c r="S25" i="17" s="1"/>
  <c r="U168" i="1"/>
  <c r="V168" i="1"/>
  <c r="U201" i="1"/>
  <c r="V201" i="1"/>
  <c r="V339" i="1"/>
  <c r="U339" i="1"/>
  <c r="U208" i="1"/>
  <c r="V208" i="1"/>
  <c r="V247" i="1"/>
  <c r="U203" i="1"/>
  <c r="V203" i="1"/>
  <c r="U40" i="17"/>
  <c r="S40" i="17"/>
  <c r="U69" i="1"/>
  <c r="V69" i="1"/>
  <c r="U80" i="1"/>
  <c r="V80" i="1"/>
  <c r="U204" i="1"/>
  <c r="V204" i="1"/>
  <c r="V138" i="1"/>
  <c r="V82" i="1"/>
  <c r="U82" i="1"/>
  <c r="U92" i="1"/>
  <c r="V92" i="1"/>
  <c r="U76" i="1"/>
  <c r="V76" i="1"/>
  <c r="U197" i="1"/>
  <c r="U315" i="1"/>
  <c r="V315" i="1"/>
  <c r="V91" i="1"/>
  <c r="U91" i="1"/>
  <c r="V93" i="1"/>
  <c r="V189" i="1"/>
  <c r="U189" i="1"/>
  <c r="V342" i="1"/>
  <c r="U342" i="1"/>
  <c r="V46" i="14"/>
  <c r="AB46" i="14" s="1"/>
  <c r="AC46" i="14" s="1"/>
  <c r="T46" i="14"/>
  <c r="AB71" i="14"/>
  <c r="AC71" i="14" s="1"/>
  <c r="U71" i="1"/>
  <c r="V71" i="1"/>
  <c r="T73" i="14"/>
  <c r="V73" i="14"/>
  <c r="AB73" i="14" s="1"/>
  <c r="AC73" i="14" s="1"/>
  <c r="U85" i="24"/>
  <c r="S85" i="24"/>
  <c r="T85" i="24" s="1"/>
  <c r="V85" i="24" s="1"/>
  <c r="N158" i="1"/>
  <c r="O158" i="1" s="1"/>
  <c r="U224" i="1"/>
  <c r="U345" i="1"/>
  <c r="V345" i="1"/>
  <c r="V277" i="1"/>
  <c r="U277" i="1"/>
  <c r="W25" i="17"/>
  <c r="X25" i="17" s="1"/>
  <c r="Z25" i="17" s="1"/>
  <c r="Q99" i="17"/>
  <c r="Q55" i="17"/>
  <c r="W40" i="17"/>
  <c r="AB53" i="14"/>
  <c r="AC53" i="14" s="1"/>
  <c r="V92" i="14"/>
  <c r="AB92" i="14" s="1"/>
  <c r="AC92" i="14" s="1"/>
  <c r="T92" i="14"/>
  <c r="S86" i="24"/>
  <c r="T86" i="24" s="1"/>
  <c r="V86" i="24" s="1"/>
  <c r="U86" i="24"/>
  <c r="S41" i="24"/>
  <c r="T41" i="24" s="1"/>
  <c r="V41" i="24" s="1"/>
  <c r="U41" i="24"/>
  <c r="Q95" i="17"/>
  <c r="M46" i="24"/>
  <c r="N45" i="24"/>
  <c r="O45" i="24" s="1"/>
  <c r="P45" i="24" s="1"/>
  <c r="S81" i="24"/>
  <c r="T81" i="24" s="1"/>
  <c r="V81" i="24" s="1"/>
  <c r="AB34" i="14"/>
  <c r="AC34" i="14" s="1"/>
  <c r="T141" i="14"/>
  <c r="U35" i="24"/>
  <c r="T72" i="14"/>
  <c r="S79" i="24"/>
  <c r="T79" i="24" s="1"/>
  <c r="V79" i="24" s="1"/>
  <c r="U79" i="24"/>
  <c r="S123" i="24"/>
  <c r="T123" i="24" s="1"/>
  <c r="O29" i="4"/>
  <c r="S29" i="4" s="1"/>
  <c r="N46" i="4"/>
  <c r="Q80" i="14"/>
  <c r="M47" i="24"/>
  <c r="S47" i="24" s="1"/>
  <c r="T47" i="24" s="1"/>
  <c r="R154" i="14"/>
  <c r="U84" i="24"/>
  <c r="S84" i="24"/>
  <c r="T84" i="24" s="1"/>
  <c r="V84" i="24" s="1"/>
  <c r="U89" i="24"/>
  <c r="S89" i="24"/>
  <c r="T89" i="24" s="1"/>
  <c r="V89" i="24" s="1"/>
  <c r="S127" i="24"/>
  <c r="T127" i="24" s="1"/>
  <c r="T164" i="14"/>
  <c r="S105" i="24"/>
  <c r="T105" i="24" s="1"/>
  <c r="V105" i="24" s="1"/>
  <c r="T148" i="14"/>
  <c r="S82" i="24"/>
  <c r="T82" i="24" s="1"/>
  <c r="T54" i="14"/>
  <c r="V54" i="14"/>
  <c r="AB54" i="14" s="1"/>
  <c r="AC54" i="14" s="1"/>
  <c r="V162" i="14"/>
  <c r="AB162" i="14" s="1"/>
  <c r="AC162" i="14" s="1"/>
  <c r="T162" i="14"/>
  <c r="V87" i="14"/>
  <c r="T87" i="14"/>
  <c r="N185" i="4"/>
  <c r="O185" i="4" s="1"/>
  <c r="P185" i="4" s="1"/>
  <c r="U55" i="24"/>
  <c r="S55" i="24"/>
  <c r="T55" i="24" s="1"/>
  <c r="V55" i="24" s="1"/>
  <c r="S134" i="24"/>
  <c r="T134" i="24" s="1"/>
  <c r="U17" i="24"/>
  <c r="S17" i="24"/>
  <c r="T17" i="24" s="1"/>
  <c r="V17" i="24" s="1"/>
  <c r="S120" i="24"/>
  <c r="T120" i="24" s="1"/>
  <c r="S90" i="24"/>
  <c r="T90" i="24" s="1"/>
  <c r="V90" i="24" s="1"/>
  <c r="U90" i="24"/>
  <c r="V75" i="1"/>
  <c r="O26" i="1"/>
  <c r="P26" i="1" s="1"/>
  <c r="Q26" i="1" s="1"/>
  <c r="K34" i="1"/>
  <c r="L34" i="1" s="1"/>
  <c r="N294" i="1"/>
  <c r="O294" i="1" s="1"/>
  <c r="P294" i="1" s="1"/>
  <c r="U164" i="1"/>
  <c r="V164" i="1"/>
  <c r="V281" i="1"/>
  <c r="U343" i="1"/>
  <c r="V343" i="1"/>
  <c r="U299" i="1"/>
  <c r="V299" i="1"/>
  <c r="U322" i="1"/>
  <c r="V322" i="1"/>
  <c r="O233" i="1"/>
  <c r="P233" i="1" s="1"/>
  <c r="Q233" i="1" s="1"/>
  <c r="V163" i="1"/>
  <c r="U348" i="1"/>
  <c r="V348" i="1"/>
  <c r="Q89" i="17"/>
  <c r="W89" i="17"/>
  <c r="X89" i="17" s="1"/>
  <c r="Z89" i="17" s="1"/>
  <c r="V47" i="14"/>
  <c r="AB47" i="14" s="1"/>
  <c r="AC47" i="14" s="1"/>
  <c r="T47" i="14"/>
  <c r="V79" i="14"/>
  <c r="AB79" i="14" s="1"/>
  <c r="AC79" i="14" s="1"/>
  <c r="T79" i="14"/>
  <c r="N9" i="24"/>
  <c r="O9" i="24" s="1"/>
  <c r="P9" i="24" s="1"/>
  <c r="M10" i="24"/>
  <c r="U60" i="17"/>
  <c r="S142" i="24"/>
  <c r="T142" i="24" s="1"/>
  <c r="P418" i="6"/>
  <c r="P448" i="6" s="1"/>
  <c r="O448" i="6"/>
  <c r="S140" i="24"/>
  <c r="T140" i="24" s="1"/>
  <c r="V53" i="1"/>
  <c r="U53" i="1"/>
  <c r="U112" i="1"/>
  <c r="V112" i="1"/>
  <c r="P44" i="18"/>
  <c r="P74" i="18"/>
  <c r="T39" i="14"/>
  <c r="V39" i="14"/>
  <c r="Q53" i="17"/>
  <c r="T15" i="21"/>
  <c r="V15" i="21"/>
  <c r="AB15" i="21" s="1"/>
  <c r="AC15" i="21" s="1"/>
  <c r="T26" i="18"/>
  <c r="V38" i="18"/>
  <c r="T38" i="18"/>
  <c r="AB22" i="14"/>
  <c r="AC22" i="14" s="1"/>
  <c r="T68" i="18"/>
  <c r="V81" i="14"/>
  <c r="AB81" i="14" s="1"/>
  <c r="AC81" i="14" s="1"/>
  <c r="T81" i="14"/>
  <c r="T83" i="14"/>
  <c r="X83" i="14" s="1"/>
  <c r="Y83" i="14" s="1"/>
  <c r="AA83" i="14" s="1"/>
  <c r="AB145" i="14"/>
  <c r="AC145" i="14" s="1"/>
  <c r="W57" i="17"/>
  <c r="X57" i="17" s="1"/>
  <c r="Z57" i="17" s="1"/>
  <c r="AB160" i="14"/>
  <c r="AC160" i="14" s="1"/>
  <c r="L56" i="4"/>
  <c r="J57" i="4"/>
  <c r="T65" i="14"/>
  <c r="Q102" i="17"/>
  <c r="AB61" i="14"/>
  <c r="AC61" i="14" s="1"/>
  <c r="T118" i="14"/>
  <c r="S96" i="24"/>
  <c r="T96" i="24" s="1"/>
  <c r="V96" i="24" s="1"/>
  <c r="U96" i="24"/>
  <c r="AB118" i="14"/>
  <c r="AC118" i="14" s="1"/>
  <c r="U21" i="24"/>
  <c r="S21" i="24"/>
  <c r="T21" i="24" s="1"/>
  <c r="V21" i="24" s="1"/>
  <c r="V58" i="14"/>
  <c r="AB58" i="14" s="1"/>
  <c r="AC58" i="14" s="1"/>
  <c r="T58" i="14"/>
  <c r="S23" i="24"/>
  <c r="T23" i="24" s="1"/>
  <c r="V23" i="24" s="1"/>
  <c r="U23" i="24"/>
  <c r="S106" i="24"/>
  <c r="T106" i="24" s="1"/>
  <c r="V106" i="24" s="1"/>
  <c r="T111" i="14"/>
  <c r="S39" i="24"/>
  <c r="T39" i="24" s="1"/>
  <c r="V39" i="24" s="1"/>
  <c r="U39" i="24"/>
  <c r="N177" i="14"/>
  <c r="N124" i="14"/>
  <c r="T85" i="14"/>
  <c r="X85" i="14" s="1"/>
  <c r="Y85" i="14" s="1"/>
  <c r="AA85" i="14" s="1"/>
  <c r="S98" i="24"/>
  <c r="T98" i="24" s="1"/>
  <c r="V98" i="24" s="1"/>
  <c r="U98" i="24"/>
  <c r="S128" i="24"/>
  <c r="T128" i="24" s="1"/>
  <c r="U43" i="24"/>
  <c r="S43" i="24"/>
  <c r="T43" i="24" s="1"/>
  <c r="V43" i="24" s="1"/>
  <c r="K54" i="4"/>
  <c r="L54" i="4" s="1"/>
  <c r="T91" i="14"/>
  <c r="S95" i="24"/>
  <c r="T95" i="24" s="1"/>
  <c r="V95" i="24" s="1"/>
  <c r="U95" i="24"/>
  <c r="S129" i="24"/>
  <c r="T129" i="24" s="1"/>
  <c r="AB122" i="14"/>
  <c r="AC122" i="14" s="1"/>
  <c r="S119" i="24"/>
  <c r="T119" i="24" s="1"/>
  <c r="S111" i="24"/>
  <c r="Q45" i="5"/>
  <c r="Q66" i="5"/>
  <c r="Q67" i="5"/>
  <c r="Q15" i="5"/>
  <c r="Q19" i="5"/>
  <c r="Q27" i="5"/>
  <c r="Q65" i="5"/>
  <c r="Q46" i="5"/>
  <c r="Q41" i="5"/>
  <c r="Q36" i="5"/>
  <c r="Q48" i="5"/>
  <c r="Q18" i="5"/>
  <c r="Q35" i="5"/>
  <c r="Q42" i="5"/>
  <c r="Q26" i="5"/>
  <c r="Q34" i="5"/>
  <c r="Q14" i="5"/>
  <c r="Q37" i="5"/>
  <c r="U44" i="24"/>
  <c r="S44" i="24"/>
  <c r="T44" i="24" s="1"/>
  <c r="V44" i="24" s="1"/>
  <c r="S91" i="24"/>
  <c r="T91" i="24" s="1"/>
  <c r="V91" i="24" s="1"/>
  <c r="U91" i="24"/>
  <c r="U71" i="24"/>
  <c r="S71" i="24"/>
  <c r="T71" i="24" s="1"/>
  <c r="V71" i="24" s="1"/>
  <c r="N140" i="1"/>
  <c r="O140" i="1" s="1"/>
  <c r="P140" i="1" s="1"/>
  <c r="Q140" i="1" s="1"/>
  <c r="M178" i="1"/>
  <c r="N176" i="1"/>
  <c r="O176" i="1" s="1"/>
  <c r="P275" i="1"/>
  <c r="S3" i="24"/>
  <c r="T3" i="24" s="1"/>
  <c r="V3" i="24" s="1"/>
  <c r="U3" i="24"/>
  <c r="M33" i="24"/>
  <c r="S33" i="24" s="1"/>
  <c r="T33" i="24" s="1"/>
  <c r="Q71" i="14"/>
  <c r="S124" i="24"/>
  <c r="T124" i="24" s="1"/>
  <c r="V106" i="14"/>
  <c r="AB106" i="14" s="1"/>
  <c r="AC106" i="14" s="1"/>
  <c r="T106" i="14"/>
  <c r="U25" i="24"/>
  <c r="S25" i="24"/>
  <c r="T25" i="24" s="1"/>
  <c r="V25" i="24" s="1"/>
  <c r="T14" i="14"/>
  <c r="V14" i="14"/>
  <c r="AB14" i="14" s="1"/>
  <c r="AC14" i="14" s="1"/>
  <c r="T70" i="18"/>
  <c r="V70" i="18"/>
  <c r="AB70" i="18" s="1"/>
  <c r="AC70" i="18" s="1"/>
  <c r="AG28" i="21"/>
  <c r="R28" i="21" s="1"/>
  <c r="AG20" i="21"/>
  <c r="AG22" i="21"/>
  <c r="T24" i="18"/>
  <c r="X24" i="18" s="1"/>
  <c r="Y24" i="18" s="1"/>
  <c r="AA24" i="18" s="1"/>
  <c r="V24" i="18"/>
  <c r="R21" i="21"/>
  <c r="Q24" i="21"/>
  <c r="Q103" i="17"/>
  <c r="W103" i="17"/>
  <c r="X103" i="17" s="1"/>
  <c r="Z103" i="17" s="1"/>
  <c r="Q15" i="17"/>
  <c r="W15" i="17"/>
  <c r="X15" i="17" s="1"/>
  <c r="Z15" i="17" s="1"/>
  <c r="T15" i="14"/>
  <c r="V15" i="14"/>
  <c r="AB15" i="14" s="1"/>
  <c r="AC15" i="14" s="1"/>
  <c r="W55" i="17"/>
  <c r="X55" i="17" s="1"/>
  <c r="Z55" i="17" s="1"/>
  <c r="T16" i="18"/>
  <c r="V12" i="18"/>
  <c r="AB12" i="18" s="1"/>
  <c r="T12" i="18"/>
  <c r="Q73" i="17"/>
  <c r="AB24" i="14"/>
  <c r="AC24" i="14" s="1"/>
  <c r="AB16" i="18"/>
  <c r="AC16" i="18" s="1"/>
  <c r="T44" i="14"/>
  <c r="V44" i="14"/>
  <c r="AB44" i="14" s="1"/>
  <c r="AC44" i="14" s="1"/>
  <c r="U7" i="24"/>
  <c r="S7" i="24"/>
  <c r="T7" i="24" s="1"/>
  <c r="V7" i="24" s="1"/>
  <c r="T37" i="14"/>
  <c r="V37" i="14"/>
  <c r="AB37" i="14" s="1"/>
  <c r="AC37" i="14" s="1"/>
  <c r="V146" i="14"/>
  <c r="AB146" i="14" s="1"/>
  <c r="AC146" i="14" s="1"/>
  <c r="T146" i="14"/>
  <c r="N26" i="24"/>
  <c r="O26" i="24" s="1"/>
  <c r="P26" i="24" s="1"/>
  <c r="Q26" i="24" s="1"/>
  <c r="T24" i="14"/>
  <c r="AB95" i="14"/>
  <c r="AC95" i="14" s="1"/>
  <c r="S114" i="24"/>
  <c r="T114" i="24" s="1"/>
  <c r="T21" i="18"/>
  <c r="V21" i="18"/>
  <c r="U1" i="24"/>
  <c r="S1" i="24"/>
  <c r="T1" i="24" s="1"/>
  <c r="V1" i="24" s="1"/>
  <c r="U49" i="24"/>
  <c r="S49" i="24"/>
  <c r="T49" i="24" s="1"/>
  <c r="V49" i="24" s="1"/>
  <c r="S109" i="24"/>
  <c r="T109" i="24" s="1"/>
  <c r="V109" i="24" s="1"/>
  <c r="V109" i="14"/>
  <c r="AB109" i="14" s="1"/>
  <c r="AC109" i="14" s="1"/>
  <c r="T109" i="14"/>
  <c r="S58" i="24"/>
  <c r="T58" i="24" s="1"/>
  <c r="V58" i="24" s="1"/>
  <c r="U58" i="24"/>
  <c r="W65" i="17"/>
  <c r="X65" i="17" s="1"/>
  <c r="Z65" i="17" s="1"/>
  <c r="Q20" i="14"/>
  <c r="Q49" i="14" s="1"/>
  <c r="M19" i="1"/>
  <c r="N6" i="24"/>
  <c r="O6" i="24" s="1"/>
  <c r="P6" i="24" s="1"/>
  <c r="Q6" i="24" s="1"/>
  <c r="S102" i="24"/>
  <c r="T102" i="24" s="1"/>
  <c r="V102" i="24" s="1"/>
  <c r="S130" i="24"/>
  <c r="T130" i="24" s="1"/>
  <c r="S31" i="24"/>
  <c r="T31" i="24" s="1"/>
  <c r="V31" i="24" s="1"/>
  <c r="U31" i="24"/>
  <c r="AB101" i="14"/>
  <c r="AC101" i="14" s="1"/>
  <c r="S100" i="24"/>
  <c r="T100" i="24" s="1"/>
  <c r="V100" i="24" s="1"/>
  <c r="U100" i="24"/>
  <c r="T160" i="14"/>
  <c r="S117" i="24"/>
  <c r="T117" i="24" s="1"/>
  <c r="T132" i="14"/>
  <c r="S137" i="24"/>
  <c r="T137" i="24" s="1"/>
  <c r="T78" i="14"/>
  <c r="S150" i="24"/>
  <c r="T150" i="24" s="1"/>
  <c r="T163" i="14"/>
  <c r="P258" i="6"/>
  <c r="P405" i="6" s="1"/>
  <c r="O405" i="6"/>
  <c r="S153" i="24"/>
  <c r="T153" i="24" s="1"/>
  <c r="S133" i="24"/>
  <c r="T133" i="24" s="1"/>
  <c r="U33" i="24"/>
  <c r="S70" i="24"/>
  <c r="T70" i="24" s="1"/>
  <c r="V70" i="24" s="1"/>
  <c r="U70" i="24"/>
  <c r="S64" i="24"/>
  <c r="T64" i="24" s="1"/>
  <c r="V64" i="24" s="1"/>
  <c r="U64" i="24"/>
  <c r="P14" i="1"/>
  <c r="U51" i="1"/>
  <c r="V51" i="1"/>
  <c r="N40" i="1"/>
  <c r="O40" i="1" s="1"/>
  <c r="S40" i="1" s="1"/>
  <c r="O175" i="1"/>
  <c r="U341" i="1"/>
  <c r="V341" i="1"/>
  <c r="V275" i="1"/>
  <c r="V12" i="14"/>
  <c r="R49" i="14"/>
  <c r="V29" i="18"/>
  <c r="AB29" i="18" s="1"/>
  <c r="AC29" i="18" s="1"/>
  <c r="T29" i="18"/>
  <c r="T30" i="14"/>
  <c r="V30" i="14"/>
  <c r="AB30" i="14" s="1"/>
  <c r="AC30" i="14" s="1"/>
  <c r="Q62" i="17"/>
  <c r="W62" i="17"/>
  <c r="X62" i="17" s="1"/>
  <c r="Z62" i="17" s="1"/>
  <c r="U51" i="24"/>
  <c r="S51" i="24"/>
  <c r="T51" i="24" s="1"/>
  <c r="V51" i="24" s="1"/>
  <c r="S62" i="24"/>
  <c r="T62" i="24" s="1"/>
  <c r="V62" i="24" s="1"/>
  <c r="U62" i="24"/>
  <c r="U56" i="24"/>
  <c r="S56" i="24"/>
  <c r="T56" i="24" s="1"/>
  <c r="V56" i="24" s="1"/>
  <c r="S42" i="24"/>
  <c r="T42" i="24" s="1"/>
  <c r="V42" i="24" s="1"/>
  <c r="U42" i="24"/>
  <c r="S53" i="24"/>
  <c r="T53" i="24" s="1"/>
  <c r="V53" i="24" s="1"/>
  <c r="U53" i="24"/>
  <c r="P120" i="4"/>
  <c r="P171" i="4" s="1"/>
  <c r="O171" i="4"/>
  <c r="S145" i="24"/>
  <c r="T145" i="24" s="1"/>
  <c r="S107" i="24"/>
  <c r="T107" i="24" s="1"/>
  <c r="V107" i="24" s="1"/>
  <c r="N132" i="1"/>
  <c r="O132" i="1" s="1"/>
  <c r="K146" i="1"/>
  <c r="L146" i="1" s="1"/>
  <c r="O146" i="1"/>
  <c r="P146" i="1" s="1"/>
  <c r="V23" i="18"/>
  <c r="T23" i="18"/>
  <c r="AB25" i="14"/>
  <c r="AC25" i="14" s="1"/>
  <c r="T67" i="18"/>
  <c r="V67" i="18"/>
  <c r="AB67" i="18" s="1"/>
  <c r="AC67" i="18" s="1"/>
  <c r="Q56" i="17"/>
  <c r="AB91" i="14"/>
  <c r="AC91" i="14" s="1"/>
  <c r="T45" i="14"/>
  <c r="V45" i="14"/>
  <c r="AB45" i="14" s="1"/>
  <c r="AC45" i="14" s="1"/>
  <c r="T89" i="14"/>
  <c r="V89" i="14"/>
  <c r="AB89" i="14" s="1"/>
  <c r="AC89" i="14" s="1"/>
  <c r="AB38" i="14"/>
  <c r="AC38" i="14" s="1"/>
  <c r="V68" i="14"/>
  <c r="AB68" i="14" s="1"/>
  <c r="AC68" i="14" s="1"/>
  <c r="T68" i="14"/>
  <c r="AB111" i="14"/>
  <c r="AC111" i="14" s="1"/>
  <c r="Q67" i="17"/>
  <c r="Q68" i="17"/>
  <c r="W26" i="17"/>
  <c r="X26" i="17" s="1"/>
  <c r="Z26" i="17" s="1"/>
  <c r="AB131" i="14"/>
  <c r="AC131" i="14" s="1"/>
  <c r="V159" i="14"/>
  <c r="AB159" i="14" s="1"/>
  <c r="AC159" i="14" s="1"/>
  <c r="T159" i="14"/>
  <c r="AB72" i="14"/>
  <c r="AC72" i="14" s="1"/>
  <c r="T39" i="18"/>
  <c r="X39" i="18" s="1"/>
  <c r="Y39" i="18" s="1"/>
  <c r="AA39" i="18" s="1"/>
  <c r="T26" i="14"/>
  <c r="X26" i="14" s="1"/>
  <c r="Y26" i="14" s="1"/>
  <c r="AA26" i="14" s="1"/>
  <c r="AB142" i="14"/>
  <c r="AC142" i="14" s="1"/>
  <c r="S136" i="24"/>
  <c r="T136" i="24" s="1"/>
  <c r="AB105" i="14"/>
  <c r="AC105" i="14" s="1"/>
  <c r="AC18" i="14"/>
  <c r="S118" i="24"/>
  <c r="T118" i="24" s="1"/>
  <c r="S63" i="24"/>
  <c r="T63" i="24" s="1"/>
  <c r="V63" i="24" s="1"/>
  <c r="U63" i="24"/>
  <c r="S104" i="24"/>
  <c r="T104" i="24" s="1"/>
  <c r="V104" i="24" s="1"/>
  <c r="S147" i="24"/>
  <c r="T147" i="24" s="1"/>
  <c r="S110" i="24"/>
  <c r="T110" i="24" s="1"/>
  <c r="V110" i="24" s="1"/>
  <c r="S126" i="24"/>
  <c r="T126" i="24" s="1"/>
  <c r="S139" i="24"/>
  <c r="T139" i="24" s="1"/>
  <c r="S143" i="24"/>
  <c r="T143" i="24" s="1"/>
  <c r="O66" i="4"/>
  <c r="S74" i="24"/>
  <c r="T74" i="24" s="1"/>
  <c r="V74" i="24" s="1"/>
  <c r="U74" i="24"/>
  <c r="W71" i="17"/>
  <c r="X71" i="17" s="1"/>
  <c r="Z71" i="17" s="1"/>
  <c r="S50" i="24"/>
  <c r="T50" i="24" s="1"/>
  <c r="V50" i="24" s="1"/>
  <c r="U50" i="24"/>
  <c r="N448" i="6"/>
  <c r="S132" i="24"/>
  <c r="T132" i="24" s="1"/>
  <c r="U47" i="24"/>
  <c r="S52" i="24"/>
  <c r="T52" i="24" s="1"/>
  <c r="V52" i="24" s="1"/>
  <c r="O131" i="1"/>
  <c r="N148" i="1"/>
  <c r="O148" i="1" s="1"/>
  <c r="N32" i="1"/>
  <c r="O32" i="1" s="1"/>
  <c r="S32" i="1" s="1"/>
  <c r="N216" i="1"/>
  <c r="O216" i="1" s="1"/>
  <c r="P216" i="1" s="1"/>
  <c r="Q216" i="1" s="1"/>
  <c r="O324" i="1"/>
  <c r="P324" i="1" s="1"/>
  <c r="Q324" i="1" s="1"/>
  <c r="Y14" i="21"/>
  <c r="X17" i="21"/>
  <c r="T40" i="14"/>
  <c r="V40" i="14"/>
  <c r="AB40" i="14" s="1"/>
  <c r="AC40" i="14" s="1"/>
  <c r="S131" i="24"/>
  <c r="T131" i="24" s="1"/>
  <c r="S40" i="24"/>
  <c r="T40" i="24" s="1"/>
  <c r="V40" i="24" s="1"/>
  <c r="U40" i="24"/>
  <c r="AB17" i="18"/>
  <c r="AC17" i="18" s="1"/>
  <c r="S122" i="24"/>
  <c r="T122" i="24" s="1"/>
  <c r="U18" i="1"/>
  <c r="V18" i="1"/>
  <c r="N154" i="1"/>
  <c r="O154" i="1" s="1"/>
  <c r="U165" i="1"/>
  <c r="V165" i="1"/>
  <c r="V214" i="1"/>
  <c r="U214" i="1"/>
  <c r="Q20" i="18"/>
  <c r="Q33" i="18" s="1"/>
  <c r="X20" i="18"/>
  <c r="Y20" i="18" s="1"/>
  <c r="AA20" i="18" s="1"/>
  <c r="T18" i="18"/>
  <c r="V18" i="18"/>
  <c r="X49" i="14"/>
  <c r="Y12" i="14"/>
  <c r="AB26" i="18"/>
  <c r="AC26" i="18" s="1"/>
  <c r="T17" i="14"/>
  <c r="V17" i="14"/>
  <c r="AB17" i="14" s="1"/>
  <c r="AC17" i="14" s="1"/>
  <c r="T52" i="14"/>
  <c r="V52" i="14"/>
  <c r="R97" i="14"/>
  <c r="V151" i="14"/>
  <c r="AB151" i="14" s="1"/>
  <c r="AC151" i="14" s="1"/>
  <c r="T151" i="14"/>
  <c r="Q64" i="17"/>
  <c r="V80" i="14"/>
  <c r="AB80" i="14" s="1"/>
  <c r="AC80" i="14" s="1"/>
  <c r="T80" i="14"/>
  <c r="Q52" i="17"/>
  <c r="W23" i="17"/>
  <c r="Q23" i="17"/>
  <c r="AB164" i="14"/>
  <c r="AC164" i="14" s="1"/>
  <c r="T116" i="14"/>
  <c r="V116" i="14"/>
  <c r="AB116" i="14" s="1"/>
  <c r="AC116" i="14" s="1"/>
  <c r="T115" i="14"/>
  <c r="V32" i="14"/>
  <c r="AB32" i="14" s="1"/>
  <c r="AC32" i="14" s="1"/>
  <c r="T32" i="14"/>
  <c r="V93" i="14"/>
  <c r="AB93" i="14" s="1"/>
  <c r="AC93" i="14" s="1"/>
  <c r="T93" i="14"/>
  <c r="W85" i="17"/>
  <c r="X85" i="17" s="1"/>
  <c r="Z85" i="17" s="1"/>
  <c r="N37" i="24"/>
  <c r="O37" i="24" s="1"/>
  <c r="P37" i="24" s="1"/>
  <c r="M38" i="24"/>
  <c r="N12" i="24"/>
  <c r="O12" i="24" s="1"/>
  <c r="P12" i="24" s="1"/>
  <c r="Q12" i="24" s="1"/>
  <c r="U77" i="24"/>
  <c r="S77" i="24"/>
  <c r="T77" i="24" s="1"/>
  <c r="V77" i="24" s="1"/>
  <c r="T86" i="14"/>
  <c r="S149" i="24"/>
  <c r="T149" i="24" s="1"/>
  <c r="T38" i="14"/>
  <c r="V33" i="14"/>
  <c r="AB33" i="14" s="1"/>
  <c r="AC33" i="14" s="1"/>
  <c r="T33" i="14"/>
  <c r="U27" i="24"/>
  <c r="S27" i="24"/>
  <c r="T27" i="24" s="1"/>
  <c r="V27" i="24" s="1"/>
  <c r="U11" i="24"/>
  <c r="S11" i="24"/>
  <c r="T11" i="24" s="1"/>
  <c r="V11" i="24" s="1"/>
  <c r="S112" i="24"/>
  <c r="T112" i="24" s="1"/>
  <c r="W93" i="17"/>
  <c r="X93" i="17" s="1"/>
  <c r="Z93" i="17" s="1"/>
  <c r="S45" i="24"/>
  <c r="T45" i="24" s="1"/>
  <c r="V45" i="24" s="1"/>
  <c r="U45" i="24"/>
  <c r="S148" i="24"/>
  <c r="T148" i="24" s="1"/>
  <c r="S103" i="24"/>
  <c r="T103" i="24" s="1"/>
  <c r="V103" i="24" s="1"/>
  <c r="S144" i="24"/>
  <c r="T144" i="24" s="1"/>
  <c r="T149" i="14"/>
  <c r="U83" i="24"/>
  <c r="S83" i="24"/>
  <c r="T83" i="24" s="1"/>
  <c r="V83" i="24" s="1"/>
  <c r="O56" i="4"/>
  <c r="P56" i="4" s="1"/>
  <c r="T114" i="14"/>
  <c r="V114" i="14"/>
  <c r="AB114" i="14" s="1"/>
  <c r="AC114" i="14" s="1"/>
  <c r="X136" i="14"/>
  <c r="S125" i="24"/>
  <c r="T125" i="24" s="1"/>
  <c r="S101" i="24"/>
  <c r="T101" i="24" s="1"/>
  <c r="V101" i="24" s="1"/>
  <c r="U101" i="24"/>
  <c r="U73" i="24"/>
  <c r="S73" i="24"/>
  <c r="T73" i="24" s="1"/>
  <c r="V73" i="24" s="1"/>
  <c r="S146" i="24"/>
  <c r="T146" i="24" s="1"/>
  <c r="S141" i="24"/>
  <c r="T141" i="24" s="1"/>
  <c r="S135" i="24"/>
  <c r="T135" i="24" s="1"/>
  <c r="U97" i="24"/>
  <c r="S97" i="24"/>
  <c r="T97" i="24" s="1"/>
  <c r="V97" i="24" s="1"/>
  <c r="S65" i="24"/>
  <c r="T65" i="24" s="1"/>
  <c r="V65" i="24" s="1"/>
  <c r="U65" i="24"/>
  <c r="N254" i="6"/>
  <c r="N407" i="6" s="1"/>
  <c r="Q127" i="1"/>
  <c r="U340" i="1"/>
  <c r="V340" i="1"/>
  <c r="N241" i="1"/>
  <c r="O241" i="1" s="1"/>
  <c r="V200" i="1"/>
  <c r="U200" i="1"/>
  <c r="U199" i="1"/>
  <c r="V199" i="1"/>
  <c r="V65" i="18"/>
  <c r="T65" i="18"/>
  <c r="Q66" i="17"/>
  <c r="T170" i="14"/>
  <c r="V170" i="14"/>
  <c r="V69" i="18"/>
  <c r="AB69" i="18" s="1"/>
  <c r="AC69" i="18" s="1"/>
  <c r="T69" i="18"/>
  <c r="T13" i="14"/>
  <c r="Y36" i="18"/>
  <c r="Y52" i="14"/>
  <c r="V21" i="14"/>
  <c r="AB21" i="14" s="1"/>
  <c r="AC21" i="14" s="1"/>
  <c r="T21" i="14"/>
  <c r="R136" i="14"/>
  <c r="T127" i="14"/>
  <c r="V127" i="14"/>
  <c r="T31" i="14"/>
  <c r="W101" i="17"/>
  <c r="X101" i="17" s="1"/>
  <c r="Z101" i="17" s="1"/>
  <c r="Q98" i="17"/>
  <c r="T57" i="14"/>
  <c r="V57" i="14"/>
  <c r="AB57" i="14" s="1"/>
  <c r="AC57" i="14" s="1"/>
  <c r="V90" i="14"/>
  <c r="AB90" i="14" s="1"/>
  <c r="AC90" i="14" s="1"/>
  <c r="T90" i="14"/>
  <c r="T142" i="14"/>
  <c r="T171" i="14"/>
  <c r="N61" i="24"/>
  <c r="O61" i="24" s="1"/>
  <c r="P61" i="24" s="1"/>
  <c r="Q61" i="24" s="1"/>
  <c r="AB55" i="14"/>
  <c r="AC55" i="14" s="1"/>
  <c r="M57" i="24"/>
  <c r="N56" i="24"/>
  <c r="O56" i="24" s="1"/>
  <c r="P56" i="24" s="1"/>
  <c r="Q90" i="17"/>
  <c r="Q86" i="17"/>
  <c r="U29" i="24"/>
  <c r="S29" i="24"/>
  <c r="T29" i="24" s="1"/>
  <c r="V29" i="24" s="1"/>
  <c r="M2" i="24"/>
  <c r="N1" i="24"/>
  <c r="O1" i="24" s="1"/>
  <c r="P1" i="24" s="1"/>
  <c r="S88" i="24"/>
  <c r="T88" i="24" s="1"/>
  <c r="V88" i="24" s="1"/>
  <c r="U88" i="24"/>
  <c r="U54" i="24"/>
  <c r="S54" i="24"/>
  <c r="T54" i="24" s="1"/>
  <c r="V54" i="24" s="1"/>
  <c r="U69" i="24"/>
  <c r="S69" i="24"/>
  <c r="T69" i="24" s="1"/>
  <c r="V69" i="24" s="1"/>
  <c r="AB161" i="14"/>
  <c r="AC161" i="14" s="1"/>
  <c r="T107" i="14"/>
  <c r="M109" i="17"/>
  <c r="AB150" i="14"/>
  <c r="AC150" i="14" s="1"/>
  <c r="T29" i="14"/>
  <c r="T67" i="14"/>
  <c r="V67" i="14"/>
  <c r="AB67" i="14" s="1"/>
  <c r="AC67" i="14" s="1"/>
  <c r="T110" i="14"/>
  <c r="AB144" i="14"/>
  <c r="AC144" i="14" s="1"/>
  <c r="S13" i="24"/>
  <c r="T13" i="24" s="1"/>
  <c r="V13" i="24" s="1"/>
  <c r="U13" i="24"/>
  <c r="V66" i="14"/>
  <c r="AB66" i="14" s="1"/>
  <c r="AC66" i="14" s="1"/>
  <c r="T66" i="14"/>
  <c r="S113" i="24"/>
  <c r="T113" i="24" s="1"/>
  <c r="T150" i="14"/>
  <c r="U87" i="24"/>
  <c r="S87" i="24"/>
  <c r="T87" i="24" s="1"/>
  <c r="V87" i="24" s="1"/>
  <c r="S66" i="24"/>
  <c r="T66" i="24" s="1"/>
  <c r="V66" i="24" s="1"/>
  <c r="U66" i="24"/>
  <c r="Y136" i="14"/>
  <c r="AA127" i="14"/>
  <c r="O89" i="4"/>
  <c r="P89" i="4" s="1"/>
  <c r="Q89" i="4" s="1"/>
  <c r="U72" i="24"/>
  <c r="S72" i="24"/>
  <c r="T72" i="24" s="1"/>
  <c r="V72" i="24" s="1"/>
  <c r="S37" i="24"/>
  <c r="T37" i="24" s="1"/>
  <c r="V37" i="24" s="1"/>
  <c r="U37" i="24"/>
  <c r="S121" i="24"/>
  <c r="T121" i="24" s="1"/>
  <c r="S116" i="24"/>
  <c r="T116" i="24" s="1"/>
  <c r="U93" i="24"/>
  <c r="S93" i="24"/>
  <c r="T93" i="24" s="1"/>
  <c r="V93" i="24" s="1"/>
  <c r="U9" i="24"/>
  <c r="S9" i="24"/>
  <c r="T9" i="24" s="1"/>
  <c r="V9" i="24" s="1"/>
  <c r="U131" i="1"/>
  <c r="K105" i="1"/>
  <c r="L105" i="1" s="1"/>
  <c r="Q429" i="6"/>
  <c r="Q621" i="6"/>
  <c r="O183" i="1"/>
  <c r="U205" i="1"/>
  <c r="V205" i="1"/>
  <c r="U162" i="1"/>
  <c r="V162" i="1"/>
  <c r="U202" i="1"/>
  <c r="V202" i="1"/>
  <c r="O280" i="1"/>
  <c r="P280" i="1" s="1"/>
  <c r="Q280" i="1" s="1"/>
  <c r="N44" i="18"/>
  <c r="N74" i="18"/>
  <c r="N14" i="24"/>
  <c r="O14" i="24" s="1"/>
  <c r="P14" i="24" s="1"/>
  <c r="Q14" i="24" s="1"/>
  <c r="T42" i="14"/>
  <c r="S80" i="24"/>
  <c r="T80" i="24" s="1"/>
  <c r="V80" i="24" s="1"/>
  <c r="S138" i="24"/>
  <c r="T138" i="24" s="1"/>
  <c r="S75" i="24"/>
  <c r="T75" i="24" s="1"/>
  <c r="V75" i="24" s="1"/>
  <c r="W74" i="17"/>
  <c r="X74" i="17" s="1"/>
  <c r="Z74" i="17" s="1"/>
  <c r="Q74" i="17"/>
  <c r="Q59" i="17"/>
  <c r="V25" i="18"/>
  <c r="AB25" i="18" s="1"/>
  <c r="AC25" i="18" s="1"/>
  <c r="W99" i="17"/>
  <c r="X99" i="17" s="1"/>
  <c r="Z99" i="17" s="1"/>
  <c r="AB41" i="14"/>
  <c r="AC41" i="14" s="1"/>
  <c r="T14" i="18"/>
  <c r="V14" i="18"/>
  <c r="T55" i="18"/>
  <c r="V55" i="18"/>
  <c r="AB55" i="18" s="1"/>
  <c r="AC55" i="18" s="1"/>
  <c r="T61" i="14"/>
  <c r="P12" i="17"/>
  <c r="O17" i="17"/>
  <c r="T12" i="14"/>
  <c r="AB143" i="14"/>
  <c r="AC143" i="14" s="1"/>
  <c r="AB13" i="14"/>
  <c r="AC13" i="14" s="1"/>
  <c r="R167" i="14"/>
  <c r="V158" i="14"/>
  <c r="W90" i="17"/>
  <c r="X90" i="17" s="1"/>
  <c r="Z90" i="17" s="1"/>
  <c r="O28" i="24"/>
  <c r="P28" i="24" s="1"/>
  <c r="Q28" i="24" s="1"/>
  <c r="Y171" i="14"/>
  <c r="X173" i="14"/>
  <c r="S78" i="24"/>
  <c r="T78" i="24" s="1"/>
  <c r="R120" i="14"/>
  <c r="P97" i="14"/>
  <c r="S76" i="24"/>
  <c r="T76" i="24" s="1"/>
  <c r="V76" i="24" s="1"/>
  <c r="U76" i="24"/>
  <c r="N25" i="24"/>
  <c r="O25" i="24" s="1"/>
  <c r="P25" i="24" s="1"/>
  <c r="S15" i="24"/>
  <c r="T15" i="24" s="1"/>
  <c r="V15" i="24" s="1"/>
  <c r="U15" i="24"/>
  <c r="T57" i="18"/>
  <c r="V57" i="18"/>
  <c r="T16" i="14"/>
  <c r="T147" i="14"/>
  <c r="V147" i="14"/>
  <c r="AB147" i="14" s="1"/>
  <c r="AC147" i="14" s="1"/>
  <c r="S94" i="24"/>
  <c r="T94" i="24" s="1"/>
  <c r="V94" i="24" s="1"/>
  <c r="U94" i="24"/>
  <c r="T152" i="14"/>
  <c r="U67" i="24"/>
  <c r="S67" i="24"/>
  <c r="T67" i="24" s="1"/>
  <c r="V67" i="24" s="1"/>
  <c r="Y158" i="14"/>
  <c r="X167" i="14"/>
  <c r="U19" i="24"/>
  <c r="S19" i="24"/>
  <c r="T19" i="24" s="1"/>
  <c r="V19" i="24" s="1"/>
  <c r="S154" i="24"/>
  <c r="T154" i="24" s="1"/>
  <c r="S115" i="24"/>
  <c r="T115" i="24" s="1"/>
  <c r="T161" i="14"/>
  <c r="U99" i="24"/>
  <c r="S99" i="24"/>
  <c r="T99" i="24" s="1"/>
  <c r="V99" i="24" s="1"/>
  <c r="S68" i="24"/>
  <c r="T68" i="24" s="1"/>
  <c r="V68" i="24" s="1"/>
  <c r="U68" i="24"/>
  <c r="Q23" i="5"/>
  <c r="Q31" i="5"/>
  <c r="Q22" i="5"/>
  <c r="Q30" i="5"/>
  <c r="Q426" i="6"/>
  <c r="Q433" i="6"/>
  <c r="Q435" i="6"/>
  <c r="Q436" i="6"/>
  <c r="Q419" i="6"/>
  <c r="Q423" i="6"/>
  <c r="Q425" i="6"/>
  <c r="Q422" i="6"/>
  <c r="S152" i="24"/>
  <c r="T152" i="24" s="1"/>
  <c r="U60" i="24"/>
  <c r="S60" i="24"/>
  <c r="T60" i="24" s="1"/>
  <c r="V60" i="24" s="1"/>
  <c r="S151" i="24"/>
  <c r="T151" i="24" s="1"/>
  <c r="U92" i="24"/>
  <c r="S92" i="24"/>
  <c r="T92" i="24" s="1"/>
  <c r="V92" i="24" s="1"/>
  <c r="S5" i="24"/>
  <c r="T5" i="24" s="1"/>
  <c r="V5" i="24" s="1"/>
  <c r="U5" i="24"/>
  <c r="N459" i="6"/>
  <c r="O453" i="6"/>
  <c r="S453" i="6" s="1"/>
  <c r="T453" i="6" s="1"/>
  <c r="O413" i="6"/>
  <c r="P411" i="6"/>
  <c r="Q431" i="6"/>
  <c r="O320" i="1"/>
  <c r="P320" i="1" s="1"/>
  <c r="K320" i="1"/>
  <c r="L320" i="1" s="1"/>
  <c r="Q432" i="6"/>
  <c r="O24" i="1"/>
  <c r="P24" i="1" s="1"/>
  <c r="Q24" i="1" s="1"/>
  <c r="U246" i="1"/>
  <c r="O231" i="1"/>
  <c r="P231" i="1" s="1"/>
  <c r="Q231" i="1" s="1"/>
  <c r="U188" i="1" l="1"/>
  <c r="U63" i="1"/>
  <c r="S294" i="1"/>
  <c r="V98" i="1"/>
  <c r="S308" i="1"/>
  <c r="T308" i="1" s="1"/>
  <c r="U308" i="1" s="1"/>
  <c r="U207" i="1"/>
  <c r="V114" i="1"/>
  <c r="V248" i="1"/>
  <c r="V62" i="1"/>
  <c r="U55" i="1"/>
  <c r="U66" i="1"/>
  <c r="U250" i="1"/>
  <c r="U209" i="1"/>
  <c r="U54" i="1"/>
  <c r="V249" i="1"/>
  <c r="U83" i="1"/>
  <c r="S78" i="4"/>
  <c r="T78" i="4" s="1"/>
  <c r="S30" i="4"/>
  <c r="T30" i="4" s="1"/>
  <c r="S73" i="4"/>
  <c r="T73" i="4" s="1"/>
  <c r="S42" i="4"/>
  <c r="T42" i="4" s="1"/>
  <c r="S31" i="4"/>
  <c r="T31" i="4" s="1"/>
  <c r="T104" i="5"/>
  <c r="U104" i="5" s="1"/>
  <c r="O254" i="6"/>
  <c r="O407" i="6" s="1"/>
  <c r="P254" i="6"/>
  <c r="P413" i="6"/>
  <c r="Q411" i="6"/>
  <c r="T411" i="6" s="1"/>
  <c r="S236" i="6"/>
  <c r="T236" i="6" s="1"/>
  <c r="V251" i="1"/>
  <c r="V60" i="1"/>
  <c r="U123" i="1"/>
  <c r="V196" i="1"/>
  <c r="U72" i="1"/>
  <c r="S213" i="1"/>
  <c r="T213" i="1" s="1"/>
  <c r="V213" i="1" s="1"/>
  <c r="S142" i="1"/>
  <c r="T142" i="1" s="1"/>
  <c r="S216" i="1"/>
  <c r="T216" i="1" s="1"/>
  <c r="S26" i="1"/>
  <c r="T26" i="1" s="1"/>
  <c r="S211" i="1"/>
  <c r="T211" i="1" s="1"/>
  <c r="U211" i="1" s="1"/>
  <c r="S24" i="1"/>
  <c r="T24" i="1" s="1"/>
  <c r="S67" i="4"/>
  <c r="T67" i="4" s="1"/>
  <c r="Q56" i="4"/>
  <c r="S56" i="4"/>
  <c r="S89" i="4"/>
  <c r="T89" i="4" s="1"/>
  <c r="S93" i="4"/>
  <c r="T93" i="4" s="1"/>
  <c r="V306" i="1"/>
  <c r="U306" i="1"/>
  <c r="S320" i="1"/>
  <c r="Q320" i="1"/>
  <c r="P154" i="1"/>
  <c r="Q154" i="1" s="1"/>
  <c r="S154" i="1"/>
  <c r="P176" i="1"/>
  <c r="S176" i="1"/>
  <c r="S178" i="1" s="1"/>
  <c r="F18" i="27" s="1"/>
  <c r="S218" i="1"/>
  <c r="T218" i="1" s="1"/>
  <c r="S186" i="1"/>
  <c r="T186" i="1" s="1"/>
  <c r="S44" i="1"/>
  <c r="T44" i="1" s="1"/>
  <c r="Q298" i="1"/>
  <c r="S298" i="1"/>
  <c r="Q146" i="1"/>
  <c r="S146" i="1"/>
  <c r="P318" i="1"/>
  <c r="Q318" i="1" s="1"/>
  <c r="S318" i="1"/>
  <c r="S16" i="1"/>
  <c r="T16" i="1" s="1"/>
  <c r="S220" i="1"/>
  <c r="T220" i="1" s="1"/>
  <c r="V220" i="1" s="1"/>
  <c r="Q14" i="1"/>
  <c r="S14" i="1"/>
  <c r="P152" i="1"/>
  <c r="Q152" i="1" s="1"/>
  <c r="S152" i="1"/>
  <c r="P303" i="1"/>
  <c r="S303" i="1"/>
  <c r="S296" i="1"/>
  <c r="T296" i="1" s="1"/>
  <c r="V296" i="1" s="1"/>
  <c r="S42" i="1"/>
  <c r="T42" i="1" s="1"/>
  <c r="V42" i="1" s="1"/>
  <c r="P158" i="1"/>
  <c r="Q158" i="1" s="1"/>
  <c r="S158" i="1"/>
  <c r="S261" i="1"/>
  <c r="T261" i="1" s="1"/>
  <c r="V261" i="1" s="1"/>
  <c r="V264" i="1" s="1"/>
  <c r="H24" i="27" s="1"/>
  <c r="S243" i="1"/>
  <c r="T243" i="1" s="1"/>
  <c r="U243" i="1" s="1"/>
  <c r="S109" i="1"/>
  <c r="T109" i="1" s="1"/>
  <c r="U109" i="1" s="1"/>
  <c r="S233" i="1"/>
  <c r="T233" i="1" s="1"/>
  <c r="S140" i="1"/>
  <c r="T140" i="1" s="1"/>
  <c r="S105" i="1"/>
  <c r="P150" i="1"/>
  <c r="Q150" i="1" s="1"/>
  <c r="S150" i="1"/>
  <c r="P241" i="1"/>
  <c r="S241" i="1"/>
  <c r="P148" i="1"/>
  <c r="S148" i="1"/>
  <c r="P132" i="1"/>
  <c r="S132" i="1"/>
  <c r="P161" i="1"/>
  <c r="Q161" i="1" s="1"/>
  <c r="S161" i="1"/>
  <c r="S324" i="1"/>
  <c r="T324" i="1" s="1"/>
  <c r="T332" i="1"/>
  <c r="S280" i="1"/>
  <c r="T280" i="1" s="1"/>
  <c r="U280" i="1" s="1"/>
  <c r="S231" i="1"/>
  <c r="T231" i="1" s="1"/>
  <c r="Q144" i="1"/>
  <c r="Q34" i="1"/>
  <c r="S34" i="1"/>
  <c r="P222" i="1"/>
  <c r="Q222" i="1" s="1"/>
  <c r="S222" i="1"/>
  <c r="P245" i="1"/>
  <c r="Q245" i="1" s="1"/>
  <c r="S245" i="1"/>
  <c r="S236" i="1"/>
  <c r="T236" i="1" s="1"/>
  <c r="V236" i="1" s="1"/>
  <c r="S137" i="1"/>
  <c r="T137" i="1" s="1"/>
  <c r="Q294" i="1"/>
  <c r="T294" i="1" s="1"/>
  <c r="V294" i="1" s="1"/>
  <c r="S144" i="1"/>
  <c r="V110" i="1"/>
  <c r="V307" i="1"/>
  <c r="U22" i="1"/>
  <c r="U38" i="1"/>
  <c r="V38" i="1"/>
  <c r="P40" i="1"/>
  <c r="Q40" i="1" s="1"/>
  <c r="T40" i="1" s="1"/>
  <c r="P32" i="1"/>
  <c r="Q32" i="1" s="1"/>
  <c r="T32" i="1" s="1"/>
  <c r="U104" i="24"/>
  <c r="U105" i="24"/>
  <c r="U75" i="24"/>
  <c r="Q264" i="1"/>
  <c r="S28" i="24"/>
  <c r="T28" i="24" s="1"/>
  <c r="V28" i="24" s="1"/>
  <c r="S32" i="24"/>
  <c r="T32" i="24" s="1"/>
  <c r="V32" i="24" s="1"/>
  <c r="S14" i="24"/>
  <c r="T14" i="24" s="1"/>
  <c r="V14" i="24" s="1"/>
  <c r="S6" i="24"/>
  <c r="T6" i="24" s="1"/>
  <c r="V6" i="24" s="1"/>
  <c r="S16" i="24"/>
  <c r="T16" i="24" s="1"/>
  <c r="V16" i="24" s="1"/>
  <c r="S12" i="24"/>
  <c r="T12" i="24" s="1"/>
  <c r="V12" i="24" s="1"/>
  <c r="S61" i="24"/>
  <c r="T61" i="24" s="1"/>
  <c r="V61" i="24" s="1"/>
  <c r="U107" i="24"/>
  <c r="S26" i="24"/>
  <c r="T26" i="24" s="1"/>
  <c r="V26" i="24" s="1"/>
  <c r="U103" i="24"/>
  <c r="U52" i="24"/>
  <c r="U106" i="24"/>
  <c r="U102" i="24"/>
  <c r="U160" i="1"/>
  <c r="V43" i="1"/>
  <c r="U41" i="1"/>
  <c r="U293" i="1"/>
  <c r="T66" i="18"/>
  <c r="R72" i="18"/>
  <c r="AA58" i="17"/>
  <c r="AB58" i="17" s="1"/>
  <c r="T17" i="21"/>
  <c r="S26" i="17"/>
  <c r="U71" i="17"/>
  <c r="AA31" i="17"/>
  <c r="AB31" i="17" s="1"/>
  <c r="U215" i="1"/>
  <c r="U143" i="1"/>
  <c r="T30" i="18"/>
  <c r="U229" i="1"/>
  <c r="AB57" i="18"/>
  <c r="AC57" i="18" s="1"/>
  <c r="U157" i="1"/>
  <c r="V58" i="18"/>
  <c r="AB58" i="18" s="1"/>
  <c r="AC58" i="18" s="1"/>
  <c r="U36" i="1"/>
  <c r="T52" i="18"/>
  <c r="S28" i="17"/>
  <c r="V239" i="1"/>
  <c r="U65" i="17"/>
  <c r="AA65" i="17" s="1"/>
  <c r="AB65" i="17" s="1"/>
  <c r="T56" i="18"/>
  <c r="V77" i="1"/>
  <c r="V242" i="1"/>
  <c r="AC76" i="14"/>
  <c r="AB21" i="18"/>
  <c r="AC21" i="18" s="1"/>
  <c r="AA72" i="18"/>
  <c r="V45" i="1"/>
  <c r="U185" i="1"/>
  <c r="AA28" i="17"/>
  <c r="AB28" i="17" s="1"/>
  <c r="U323" i="1"/>
  <c r="S94" i="17"/>
  <c r="W94" i="17" s="1"/>
  <c r="X94" i="17" s="1"/>
  <c r="Z94" i="17" s="1"/>
  <c r="AA94" i="17" s="1"/>
  <c r="AB94" i="17" s="1"/>
  <c r="S100" i="17"/>
  <c r="U279" i="1"/>
  <c r="AB18" i="18"/>
  <c r="AC18" i="18" s="1"/>
  <c r="U238" i="1"/>
  <c r="V238" i="1"/>
  <c r="N184" i="1"/>
  <c r="O184" i="1" s="1"/>
  <c r="N270" i="1"/>
  <c r="D26" i="27" s="1"/>
  <c r="U135" i="1"/>
  <c r="U149" i="1"/>
  <c r="S58" i="17"/>
  <c r="U221" i="1"/>
  <c r="U111" i="1"/>
  <c r="U97" i="17"/>
  <c r="AA97" i="17" s="1"/>
  <c r="AB97" i="17" s="1"/>
  <c r="S4" i="24"/>
  <c r="T4" i="24" s="1"/>
  <c r="V4" i="24" s="1"/>
  <c r="S18" i="24"/>
  <c r="T18" i="24" s="1"/>
  <c r="V18" i="24" s="1"/>
  <c r="S57" i="17"/>
  <c r="S104" i="17"/>
  <c r="V86" i="1"/>
  <c r="V217" i="1"/>
  <c r="AB141" i="14"/>
  <c r="AC141" i="14" s="1"/>
  <c r="AC154" i="14" s="1"/>
  <c r="S41" i="17"/>
  <c r="S91" i="17"/>
  <c r="W91" i="17" s="1"/>
  <c r="X91" i="17" s="1"/>
  <c r="Z91" i="17" s="1"/>
  <c r="AA91" i="17" s="1"/>
  <c r="AB91" i="17" s="1"/>
  <c r="U133" i="1"/>
  <c r="U48" i="1"/>
  <c r="U240" i="1"/>
  <c r="N24" i="24"/>
  <c r="O24" i="24" s="1"/>
  <c r="P24" i="24" s="1"/>
  <c r="Q24" i="24" s="1"/>
  <c r="V27" i="1"/>
  <c r="R42" i="18"/>
  <c r="S20" i="24"/>
  <c r="T20" i="24" s="1"/>
  <c r="V20" i="24" s="1"/>
  <c r="T37" i="18"/>
  <c r="T42" i="18" s="1"/>
  <c r="U292" i="1"/>
  <c r="V28" i="1"/>
  <c r="U317" i="1"/>
  <c r="N134" i="1"/>
  <c r="O134" i="1" s="1"/>
  <c r="AA62" i="18"/>
  <c r="U301" i="1"/>
  <c r="U70" i="17"/>
  <c r="AA70" i="17" s="1"/>
  <c r="AB70" i="17" s="1"/>
  <c r="V136" i="14"/>
  <c r="U159" i="1"/>
  <c r="T15" i="18"/>
  <c r="R62" i="18"/>
  <c r="AB40" i="18"/>
  <c r="AC40" i="18" s="1"/>
  <c r="U93" i="17"/>
  <c r="AA93" i="17" s="1"/>
  <c r="AB93" i="17" s="1"/>
  <c r="S13" i="17"/>
  <c r="AB38" i="18"/>
  <c r="AC38" i="18" s="1"/>
  <c r="T53" i="18"/>
  <c r="V53" i="18"/>
  <c r="AB53" i="18" s="1"/>
  <c r="AC53" i="18" s="1"/>
  <c r="U101" i="17"/>
  <c r="AA101" i="17" s="1"/>
  <c r="AB101" i="17" s="1"/>
  <c r="AA41" i="17"/>
  <c r="AB41" i="17" s="1"/>
  <c r="S22" i="24"/>
  <c r="T22" i="24" s="1"/>
  <c r="V22" i="24" s="1"/>
  <c r="S32" i="17"/>
  <c r="N276" i="1"/>
  <c r="N284" i="1" s="1"/>
  <c r="N264" i="1"/>
  <c r="D24" i="27" s="1"/>
  <c r="M284" i="1"/>
  <c r="AB23" i="18"/>
  <c r="AC23" i="18" s="1"/>
  <c r="T28" i="18"/>
  <c r="AA13" i="17"/>
  <c r="AB13" i="17" s="1"/>
  <c r="S264" i="1"/>
  <c r="F24" i="27" s="1"/>
  <c r="N59" i="24"/>
  <c r="O59" i="24" s="1"/>
  <c r="P59" i="24" s="1"/>
  <c r="Q59" i="24" s="1"/>
  <c r="S59" i="24" s="1"/>
  <c r="T59" i="24" s="1"/>
  <c r="V59" i="24" s="1"/>
  <c r="V65" i="1"/>
  <c r="U89" i="1"/>
  <c r="U145" i="1"/>
  <c r="AA104" i="17"/>
  <c r="AB104" i="17" s="1"/>
  <c r="U183" i="1"/>
  <c r="N30" i="24"/>
  <c r="O30" i="24" s="1"/>
  <c r="P30" i="24" s="1"/>
  <c r="Q30" i="24" s="1"/>
  <c r="S87" i="17"/>
  <c r="R33" i="18"/>
  <c r="T33" i="18" s="1"/>
  <c r="X33" i="18" s="1"/>
  <c r="Y33" i="18" s="1"/>
  <c r="N8" i="24"/>
  <c r="O8" i="24" s="1"/>
  <c r="P8" i="24" s="1"/>
  <c r="Q8" i="24" s="1"/>
  <c r="U90" i="1"/>
  <c r="T22" i="18"/>
  <c r="AA87" i="17"/>
  <c r="AB87" i="17" s="1"/>
  <c r="AB54" i="18"/>
  <c r="AC54" i="18" s="1"/>
  <c r="AA54" i="17"/>
  <c r="AB54" i="17" s="1"/>
  <c r="U219" i="1"/>
  <c r="U235" i="1"/>
  <c r="S76" i="17"/>
  <c r="S75" i="17"/>
  <c r="U63" i="17"/>
  <c r="AA63" i="17" s="1"/>
  <c r="AB63" i="17" s="1"/>
  <c r="M172" i="1"/>
  <c r="B16" i="27" s="1"/>
  <c r="AB31" i="18"/>
  <c r="AC31" i="18" s="1"/>
  <c r="V295" i="1"/>
  <c r="U47" i="1"/>
  <c r="X120" i="14"/>
  <c r="AA72" i="17"/>
  <c r="AB72" i="17" s="1"/>
  <c r="AA32" i="17"/>
  <c r="AB32" i="17" s="1"/>
  <c r="T27" i="18"/>
  <c r="V74" i="1"/>
  <c r="V115" i="1"/>
  <c r="U232" i="1"/>
  <c r="T19" i="18"/>
  <c r="U151" i="1"/>
  <c r="U212" i="1"/>
  <c r="S31" i="17"/>
  <c r="AA75" i="17"/>
  <c r="AB75" i="17" s="1"/>
  <c r="V210" i="1"/>
  <c r="S24" i="17"/>
  <c r="AB14" i="18"/>
  <c r="AC14" i="18" s="1"/>
  <c r="U30" i="1"/>
  <c r="S54" i="17"/>
  <c r="V78" i="1"/>
  <c r="S29" i="17"/>
  <c r="S92" i="17"/>
  <c r="W92" i="17" s="1"/>
  <c r="X92" i="17" s="1"/>
  <c r="Z92" i="17" s="1"/>
  <c r="AA92" i="17" s="1"/>
  <c r="AB92" i="17" s="1"/>
  <c r="U61" i="1"/>
  <c r="S72" i="17"/>
  <c r="AA29" i="17"/>
  <c r="AB29" i="17" s="1"/>
  <c r="U33" i="1"/>
  <c r="AB87" i="14"/>
  <c r="AC87" i="14" s="1"/>
  <c r="S105" i="17"/>
  <c r="AA76" i="17"/>
  <c r="AB76" i="17" s="1"/>
  <c r="U88" i="1"/>
  <c r="S42" i="17"/>
  <c r="Q44" i="17"/>
  <c r="N156" i="1"/>
  <c r="O156" i="1" s="1"/>
  <c r="AA100" i="17"/>
  <c r="AB100" i="17" s="1"/>
  <c r="Q97" i="14"/>
  <c r="Q124" i="14" s="1"/>
  <c r="S30" i="17"/>
  <c r="AA27" i="17"/>
  <c r="AB27" i="17" s="1"/>
  <c r="AA33" i="18"/>
  <c r="U12" i="1"/>
  <c r="P32" i="21"/>
  <c r="V234" i="1"/>
  <c r="AB39" i="14"/>
  <c r="AC39" i="14" s="1"/>
  <c r="AA42" i="17"/>
  <c r="AB42" i="17" s="1"/>
  <c r="AA112" i="14"/>
  <c r="AA120" i="14" s="1"/>
  <c r="Y120" i="14"/>
  <c r="V291" i="1"/>
  <c r="P407" i="6"/>
  <c r="U113" i="1"/>
  <c r="AA105" i="17"/>
  <c r="AB105" i="17" s="1"/>
  <c r="S84" i="17"/>
  <c r="O109" i="17"/>
  <c r="S27" i="17"/>
  <c r="S85" i="17"/>
  <c r="AA85" i="17"/>
  <c r="AB85" i="17" s="1"/>
  <c r="R17" i="21"/>
  <c r="U237" i="1"/>
  <c r="AA57" i="17"/>
  <c r="AB57" i="17" s="1"/>
  <c r="S51" i="17"/>
  <c r="AA30" i="17"/>
  <c r="AB30" i="17" s="1"/>
  <c r="M255" i="1"/>
  <c r="B22" i="27" s="1"/>
  <c r="T172" i="14"/>
  <c r="T173" i="14" s="1"/>
  <c r="V172" i="14"/>
  <c r="AB172" i="14" s="1"/>
  <c r="AC172" i="14" s="1"/>
  <c r="V155" i="1"/>
  <c r="V244" i="1"/>
  <c r="U56" i="1"/>
  <c r="AA60" i="17"/>
  <c r="AB60" i="17" s="1"/>
  <c r="U69" i="17"/>
  <c r="AA69" i="17" s="1"/>
  <c r="AB69" i="17" s="1"/>
  <c r="U96" i="17"/>
  <c r="AA96" i="17" s="1"/>
  <c r="AB96" i="17" s="1"/>
  <c r="S96" i="17"/>
  <c r="U14" i="17"/>
  <c r="AA14" i="17" s="1"/>
  <c r="AB14" i="17" s="1"/>
  <c r="S14" i="17"/>
  <c r="V14" i="21"/>
  <c r="V17" i="21" s="1"/>
  <c r="P124" i="14"/>
  <c r="T120" i="14"/>
  <c r="V42" i="18"/>
  <c r="N35" i="24"/>
  <c r="O35" i="24" s="1"/>
  <c r="P35" i="24" s="1"/>
  <c r="M36" i="24"/>
  <c r="X42" i="18"/>
  <c r="U25" i="17"/>
  <c r="AA25" i="17" s="1"/>
  <c r="AB25" i="17" s="1"/>
  <c r="U309" i="6"/>
  <c r="V347" i="1"/>
  <c r="U107" i="5"/>
  <c r="V153" i="1"/>
  <c r="U153" i="1"/>
  <c r="V71" i="5"/>
  <c r="V103" i="5"/>
  <c r="S418" i="6"/>
  <c r="T418" i="6" s="1"/>
  <c r="V228" i="1"/>
  <c r="U228" i="1"/>
  <c r="M117" i="1"/>
  <c r="B12" i="27" s="1"/>
  <c r="V102" i="6"/>
  <c r="U79" i="1"/>
  <c r="V82" i="5"/>
  <c r="V49" i="1"/>
  <c r="U147" i="1"/>
  <c r="V147" i="1"/>
  <c r="V527" i="6"/>
  <c r="U152" i="6"/>
  <c r="N255" i="1"/>
  <c r="D22" i="27" s="1"/>
  <c r="U330" i="1"/>
  <c r="V330" i="1"/>
  <c r="T51" i="5"/>
  <c r="U51" i="5" s="1"/>
  <c r="U329" i="1"/>
  <c r="V329" i="1"/>
  <c r="U607" i="6"/>
  <c r="V480" i="6"/>
  <c r="U331" i="1"/>
  <c r="V331" i="1"/>
  <c r="V198" i="1"/>
  <c r="U198" i="1"/>
  <c r="Q448" i="6"/>
  <c r="E38" i="27" s="1"/>
  <c r="Q107" i="17"/>
  <c r="V103" i="6"/>
  <c r="T167" i="14"/>
  <c r="V267" i="1"/>
  <c r="AA24" i="17"/>
  <c r="AB24" i="17" s="1"/>
  <c r="P177" i="14"/>
  <c r="Q32" i="21"/>
  <c r="V249" i="6"/>
  <c r="N70" i="4"/>
  <c r="O70" i="4" s="1"/>
  <c r="P70" i="4" s="1"/>
  <c r="M71" i="4"/>
  <c r="X28" i="21"/>
  <c r="Y28" i="21" s="1"/>
  <c r="AB86" i="14"/>
  <c r="AC86" i="14" s="1"/>
  <c r="N53" i="4"/>
  <c r="M54" i="4"/>
  <c r="N54" i="4" s="1"/>
  <c r="O54" i="4" s="1"/>
  <c r="P54" i="4" s="1"/>
  <c r="Q54" i="4" s="1"/>
  <c r="T136" i="14"/>
  <c r="T154" i="14"/>
  <c r="U53" i="6"/>
  <c r="V39" i="1"/>
  <c r="U39" i="1"/>
  <c r="V81" i="1"/>
  <c r="U81" i="1"/>
  <c r="T24" i="5"/>
  <c r="V24" i="5" s="1"/>
  <c r="U88" i="17"/>
  <c r="AA88" i="17" s="1"/>
  <c r="AB88" i="17" s="1"/>
  <c r="S88" i="17"/>
  <c r="V86" i="6"/>
  <c r="U381" i="6"/>
  <c r="T49" i="14"/>
  <c r="U61" i="17"/>
  <c r="AA61" i="17" s="1"/>
  <c r="AB61" i="17" s="1"/>
  <c r="S61" i="17"/>
  <c r="AA26" i="17"/>
  <c r="AB26" i="17" s="1"/>
  <c r="U317" i="6"/>
  <c r="V317" i="6"/>
  <c r="U25" i="5"/>
  <c r="V25" i="5"/>
  <c r="U313" i="6"/>
  <c r="V313" i="6"/>
  <c r="V131" i="24"/>
  <c r="U131" i="24"/>
  <c r="U143" i="24"/>
  <c r="V143" i="24"/>
  <c r="U167" i="6"/>
  <c r="V167" i="6"/>
  <c r="V133" i="6"/>
  <c r="U133" i="6"/>
  <c r="V71" i="6"/>
  <c r="U71" i="6"/>
  <c r="V21" i="5"/>
  <c r="U21" i="5"/>
  <c r="V117" i="24"/>
  <c r="U117" i="24"/>
  <c r="V84" i="5"/>
  <c r="U84" i="5"/>
  <c r="V124" i="6"/>
  <c r="U124" i="6"/>
  <c r="U124" i="24"/>
  <c r="V124" i="24"/>
  <c r="U279" i="6"/>
  <c r="V279" i="6"/>
  <c r="U243" i="6"/>
  <c r="V243" i="6"/>
  <c r="U28" i="5"/>
  <c r="V28" i="5"/>
  <c r="U537" i="6"/>
  <c r="V537" i="6"/>
  <c r="V260" i="6"/>
  <c r="U260" i="6"/>
  <c r="V154" i="6"/>
  <c r="U154" i="6"/>
  <c r="U95" i="6"/>
  <c r="V95" i="6"/>
  <c r="V149" i="24"/>
  <c r="U149" i="24"/>
  <c r="U68" i="6"/>
  <c r="V68" i="6"/>
  <c r="V145" i="24"/>
  <c r="U145" i="24"/>
  <c r="U150" i="24"/>
  <c r="V150" i="24"/>
  <c r="U401" i="6"/>
  <c r="V401" i="6"/>
  <c r="U56" i="5"/>
  <c r="V56" i="5"/>
  <c r="U148" i="24"/>
  <c r="V148" i="24"/>
  <c r="V582" i="6"/>
  <c r="U582" i="6"/>
  <c r="U226" i="6"/>
  <c r="V226" i="6"/>
  <c r="U68" i="5"/>
  <c r="V68" i="5"/>
  <c r="U271" i="6"/>
  <c r="V271" i="6"/>
  <c r="V127" i="24"/>
  <c r="U127" i="24"/>
  <c r="U152" i="24"/>
  <c r="V152" i="24"/>
  <c r="V344" i="1"/>
  <c r="U344" i="1"/>
  <c r="V229" i="6"/>
  <c r="U229" i="6"/>
  <c r="U84" i="6"/>
  <c r="V84" i="6"/>
  <c r="V78" i="5"/>
  <c r="U78" i="5"/>
  <c r="U156" i="6"/>
  <c r="V156" i="6"/>
  <c r="V115" i="6"/>
  <c r="U115" i="6"/>
  <c r="V174" i="6"/>
  <c r="U174" i="6"/>
  <c r="V87" i="6"/>
  <c r="U87" i="6"/>
  <c r="U73" i="1"/>
  <c r="V73" i="1"/>
  <c r="U445" i="6"/>
  <c r="V445" i="6"/>
  <c r="U270" i="6"/>
  <c r="V270" i="6"/>
  <c r="V139" i="24"/>
  <c r="U139" i="24"/>
  <c r="V206" i="1"/>
  <c r="U206" i="1"/>
  <c r="U377" i="6"/>
  <c r="V377" i="6"/>
  <c r="V193" i="6"/>
  <c r="U193" i="6"/>
  <c r="V90" i="5"/>
  <c r="U90" i="5"/>
  <c r="V104" i="6"/>
  <c r="U104" i="6"/>
  <c r="U443" i="6"/>
  <c r="V443" i="6"/>
  <c r="U464" i="6"/>
  <c r="V464" i="6"/>
  <c r="U116" i="6"/>
  <c r="V116" i="6"/>
  <c r="U55" i="5"/>
  <c r="V55" i="5"/>
  <c r="U100" i="5"/>
  <c r="V100" i="5"/>
  <c r="V38" i="5"/>
  <c r="U38" i="5"/>
  <c r="V92" i="5"/>
  <c r="U92" i="5"/>
  <c r="U234" i="6"/>
  <c r="V234" i="6"/>
  <c r="U267" i="6"/>
  <c r="V267" i="6"/>
  <c r="U160" i="6"/>
  <c r="V160" i="6"/>
  <c r="U230" i="1"/>
  <c r="V230" i="1"/>
  <c r="U238" i="6"/>
  <c r="V238" i="6"/>
  <c r="U373" i="6"/>
  <c r="V373" i="6"/>
  <c r="V457" i="6"/>
  <c r="U457" i="6"/>
  <c r="U83" i="5"/>
  <c r="V83" i="5"/>
  <c r="V120" i="6"/>
  <c r="U120" i="6"/>
  <c r="U140" i="6"/>
  <c r="V140" i="6"/>
  <c r="U49" i="5"/>
  <c r="V49" i="5"/>
  <c r="V378" i="6"/>
  <c r="U378" i="6"/>
  <c r="U52" i="1"/>
  <c r="V52" i="1"/>
  <c r="V134" i="24"/>
  <c r="U134" i="24"/>
  <c r="U507" i="6"/>
  <c r="V507" i="6"/>
  <c r="V162" i="6"/>
  <c r="U162" i="6"/>
  <c r="V82" i="24"/>
  <c r="U82" i="24"/>
  <c r="V533" i="6"/>
  <c r="U533" i="6"/>
  <c r="U59" i="6"/>
  <c r="V59" i="6"/>
  <c r="U16" i="5"/>
  <c r="V16" i="5"/>
  <c r="U206" i="6"/>
  <c r="V206" i="6"/>
  <c r="V131" i="6"/>
  <c r="U131" i="6"/>
  <c r="V201" i="6"/>
  <c r="U201" i="6"/>
  <c r="V104" i="5"/>
  <c r="U185" i="6"/>
  <c r="V185" i="6"/>
  <c r="U216" i="6"/>
  <c r="V216" i="6"/>
  <c r="U85" i="6"/>
  <c r="V85" i="6"/>
  <c r="U273" i="6"/>
  <c r="V273" i="6"/>
  <c r="U282" i="1"/>
  <c r="V282" i="1"/>
  <c r="U39" i="5"/>
  <c r="V39" i="5"/>
  <c r="U148" i="6"/>
  <c r="V148" i="6"/>
  <c r="U122" i="24"/>
  <c r="V122" i="24"/>
  <c r="U556" i="6"/>
  <c r="V556" i="6"/>
  <c r="U269" i="6"/>
  <c r="V269" i="6"/>
  <c r="U278" i="6"/>
  <c r="V278" i="6"/>
  <c r="U545" i="6"/>
  <c r="V545" i="6"/>
  <c r="V420" i="6"/>
  <c r="U420" i="6"/>
  <c r="V166" i="6"/>
  <c r="U166" i="6"/>
  <c r="V95" i="5"/>
  <c r="U95" i="5"/>
  <c r="U301" i="6"/>
  <c r="V301" i="6"/>
  <c r="U167" i="1"/>
  <c r="V167" i="1"/>
  <c r="V124" i="1"/>
  <c r="U124" i="1"/>
  <c r="V280" i="6"/>
  <c r="U280" i="6"/>
  <c r="U402" i="6"/>
  <c r="V402" i="6"/>
  <c r="V122" i="6"/>
  <c r="U122" i="6"/>
  <c r="V213" i="6"/>
  <c r="U213" i="6"/>
  <c r="U99" i="5"/>
  <c r="V99" i="5"/>
  <c r="U500" i="6"/>
  <c r="V500" i="6"/>
  <c r="U251" i="6"/>
  <c r="V251" i="6"/>
  <c r="U218" i="6"/>
  <c r="V218" i="6"/>
  <c r="V109" i="6"/>
  <c r="U109" i="6"/>
  <c r="U87" i="1"/>
  <c r="V87" i="1"/>
  <c r="V35" i="1"/>
  <c r="U35" i="1"/>
  <c r="U88" i="5"/>
  <c r="V88" i="5"/>
  <c r="U119" i="24"/>
  <c r="V119" i="24"/>
  <c r="U140" i="24"/>
  <c r="V140" i="24"/>
  <c r="V205" i="6"/>
  <c r="U205" i="6"/>
  <c r="U84" i="1"/>
  <c r="V84" i="1"/>
  <c r="U325" i="6"/>
  <c r="V325" i="6"/>
  <c r="V285" i="6"/>
  <c r="U285" i="6"/>
  <c r="V123" i="24"/>
  <c r="U123" i="24"/>
  <c r="U393" i="6"/>
  <c r="V393" i="6"/>
  <c r="V326" i="1"/>
  <c r="U326" i="1"/>
  <c r="U252" i="1"/>
  <c r="V252" i="1"/>
  <c r="V552" i="6"/>
  <c r="U552" i="6"/>
  <c r="V541" i="6"/>
  <c r="U541" i="6"/>
  <c r="U141" i="24"/>
  <c r="V141" i="24"/>
  <c r="U326" i="6"/>
  <c r="V326" i="6"/>
  <c r="U88" i="6"/>
  <c r="V88" i="6"/>
  <c r="V114" i="5"/>
  <c r="U114" i="5"/>
  <c r="V516" i="6"/>
  <c r="U516" i="6"/>
  <c r="V437" i="6"/>
  <c r="U437" i="6"/>
  <c r="V188" i="6"/>
  <c r="U188" i="6"/>
  <c r="V133" i="24"/>
  <c r="U133" i="24"/>
  <c r="U290" i="6"/>
  <c r="V290" i="6"/>
  <c r="U136" i="6"/>
  <c r="V136" i="6"/>
  <c r="U111" i="5"/>
  <c r="V111" i="5"/>
  <c r="V74" i="6"/>
  <c r="U74" i="6"/>
  <c r="U91" i="5"/>
  <c r="V91" i="5"/>
  <c r="U128" i="24"/>
  <c r="V128" i="24"/>
  <c r="U573" i="6"/>
  <c r="V573" i="6"/>
  <c r="V237" i="6"/>
  <c r="U237" i="6"/>
  <c r="U261" i="6"/>
  <c r="V261" i="6"/>
  <c r="U555" i="6"/>
  <c r="V555" i="6"/>
  <c r="U282" i="6"/>
  <c r="V282" i="6"/>
  <c r="U67" i="6"/>
  <c r="V67" i="6"/>
  <c r="V47" i="5"/>
  <c r="U47" i="5"/>
  <c r="U136" i="24"/>
  <c r="V136" i="24"/>
  <c r="U46" i="1"/>
  <c r="V46" i="1"/>
  <c r="U96" i="6"/>
  <c r="V96" i="6"/>
  <c r="V187" i="1"/>
  <c r="U187" i="1"/>
  <c r="V69" i="5"/>
  <c r="U69" i="5"/>
  <c r="U310" i="6"/>
  <c r="V310" i="6"/>
  <c r="U59" i="5"/>
  <c r="V59" i="5"/>
  <c r="U302" i="1"/>
  <c r="V302" i="1"/>
  <c r="V117" i="6"/>
  <c r="U117" i="6"/>
  <c r="U32" i="5"/>
  <c r="V32" i="5"/>
  <c r="U57" i="5"/>
  <c r="V57" i="5"/>
  <c r="U365" i="6"/>
  <c r="V365" i="6"/>
  <c r="U203" i="6"/>
  <c r="V203" i="6"/>
  <c r="V520" i="6"/>
  <c r="U520" i="6"/>
  <c r="U67" i="1"/>
  <c r="V67" i="1"/>
  <c r="V73" i="6"/>
  <c r="U73" i="6"/>
  <c r="V346" i="1"/>
  <c r="U346" i="1"/>
  <c r="U595" i="6"/>
  <c r="V595" i="6"/>
  <c r="U61" i="5"/>
  <c r="V61" i="5"/>
  <c r="V78" i="24"/>
  <c r="U78" i="24"/>
  <c r="U138" i="24"/>
  <c r="V138" i="24"/>
  <c r="U116" i="24"/>
  <c r="V116" i="24"/>
  <c r="U468" i="6"/>
  <c r="V468" i="6"/>
  <c r="U52" i="5"/>
  <c r="V52" i="5"/>
  <c r="U579" i="6"/>
  <c r="V579" i="6"/>
  <c r="U21" i="1"/>
  <c r="V21" i="1"/>
  <c r="U70" i="1"/>
  <c r="V70" i="1"/>
  <c r="V434" i="6"/>
  <c r="U434" i="6"/>
  <c r="U564" i="6"/>
  <c r="V564" i="6"/>
  <c r="V64" i="6"/>
  <c r="U64" i="6"/>
  <c r="U154" i="24"/>
  <c r="V154" i="24"/>
  <c r="U338" i="6"/>
  <c r="V338" i="6"/>
  <c r="V125" i="6"/>
  <c r="U125" i="6"/>
  <c r="V40" i="5"/>
  <c r="U40" i="5"/>
  <c r="U354" i="6"/>
  <c r="V354" i="6"/>
  <c r="V66" i="6"/>
  <c r="U66" i="6"/>
  <c r="U253" i="1"/>
  <c r="V253" i="1"/>
  <c r="U342" i="6"/>
  <c r="V342" i="6"/>
  <c r="U164" i="6"/>
  <c r="V164" i="6"/>
  <c r="V221" i="6"/>
  <c r="U221" i="6"/>
  <c r="U76" i="6"/>
  <c r="V76" i="6"/>
  <c r="U428" i="6"/>
  <c r="V428" i="6"/>
  <c r="V70" i="6"/>
  <c r="U70" i="6"/>
  <c r="V184" i="6"/>
  <c r="U184" i="6"/>
  <c r="V92" i="6"/>
  <c r="U92" i="6"/>
  <c r="V125" i="24"/>
  <c r="U125" i="24"/>
  <c r="U305" i="1"/>
  <c r="V305" i="1"/>
  <c r="V99" i="1"/>
  <c r="U99" i="1"/>
  <c r="V142" i="6"/>
  <c r="U142" i="6"/>
  <c r="U143" i="6"/>
  <c r="V143" i="6"/>
  <c r="V72" i="5"/>
  <c r="U72" i="5"/>
  <c r="V139" i="1"/>
  <c r="U139" i="1"/>
  <c r="V153" i="24"/>
  <c r="U153" i="24"/>
  <c r="U484" i="6"/>
  <c r="V484" i="6"/>
  <c r="V189" i="6"/>
  <c r="U189" i="6"/>
  <c r="V134" i="6"/>
  <c r="U134" i="6"/>
  <c r="U33" i="5"/>
  <c r="V33" i="5"/>
  <c r="V166" i="1"/>
  <c r="U166" i="1"/>
  <c r="V85" i="1"/>
  <c r="U85" i="1"/>
  <c r="U489" i="6"/>
  <c r="V489" i="6"/>
  <c r="V127" i="6"/>
  <c r="U127" i="6"/>
  <c r="V62" i="5"/>
  <c r="U62" i="5"/>
  <c r="U37" i="6"/>
  <c r="S30" i="5"/>
  <c r="T30" i="5" s="1"/>
  <c r="U22" i="6"/>
  <c r="V146" i="6"/>
  <c r="U146" i="6"/>
  <c r="S74" i="17"/>
  <c r="U74" i="17"/>
  <c r="AA74" i="17" s="1"/>
  <c r="AB74" i="17" s="1"/>
  <c r="V81" i="5"/>
  <c r="U81" i="5"/>
  <c r="U304" i="1"/>
  <c r="V304" i="1"/>
  <c r="V551" i="6"/>
  <c r="U551" i="6"/>
  <c r="S52" i="17"/>
  <c r="U52" i="17"/>
  <c r="AA52" i="17" s="1"/>
  <c r="AB52" i="17" s="1"/>
  <c r="AA12" i="14"/>
  <c r="Y49" i="14"/>
  <c r="V499" i="6"/>
  <c r="U499" i="6"/>
  <c r="U297" i="6"/>
  <c r="V297" i="6"/>
  <c r="V300" i="1"/>
  <c r="U300" i="1"/>
  <c r="U190" i="1"/>
  <c r="V190" i="1"/>
  <c r="U57" i="1"/>
  <c r="V57" i="1"/>
  <c r="U341" i="6"/>
  <c r="V341" i="6"/>
  <c r="U239" i="6"/>
  <c r="V239" i="6"/>
  <c r="U155" i="6"/>
  <c r="V155" i="6"/>
  <c r="AB85" i="14"/>
  <c r="AC85" i="14" s="1"/>
  <c r="V141" i="1"/>
  <c r="U141" i="1"/>
  <c r="V47" i="24"/>
  <c r="N47" i="24"/>
  <c r="O47" i="24" s="1"/>
  <c r="P47" i="24" s="1"/>
  <c r="M48" i="24"/>
  <c r="S425" i="6"/>
  <c r="T425" i="6" s="1"/>
  <c r="U49" i="6"/>
  <c r="AA158" i="14"/>
  <c r="Y167" i="14"/>
  <c r="AA136" i="14"/>
  <c r="AB127" i="14"/>
  <c r="AB136" i="14" s="1"/>
  <c r="N2" i="24"/>
  <c r="O2" i="24" s="1"/>
  <c r="P2" i="24" s="1"/>
  <c r="Q2" i="24" s="1"/>
  <c r="S2" i="24" s="1"/>
  <c r="T2" i="24" s="1"/>
  <c r="V2" i="24" s="1"/>
  <c r="U90" i="17"/>
  <c r="AA90" i="17" s="1"/>
  <c r="AB90" i="17" s="1"/>
  <c r="S90" i="17"/>
  <c r="AB20" i="18"/>
  <c r="AC20" i="18" s="1"/>
  <c r="Z51" i="17"/>
  <c r="U109" i="24"/>
  <c r="S15" i="17"/>
  <c r="U15" i="17"/>
  <c r="AA15" i="17" s="1"/>
  <c r="AB15" i="17" s="1"/>
  <c r="X20" i="21"/>
  <c r="Y20" i="21" s="1"/>
  <c r="AA20" i="21" s="1"/>
  <c r="S26" i="5"/>
  <c r="T26" i="5" s="1"/>
  <c r="S41" i="5"/>
  <c r="T41" i="5" s="1"/>
  <c r="S45" i="5"/>
  <c r="T45" i="5" s="1"/>
  <c r="N10" i="24"/>
  <c r="O10" i="24" s="1"/>
  <c r="P10" i="24" s="1"/>
  <c r="Q10" i="24" s="1"/>
  <c r="N46" i="24"/>
  <c r="O46" i="24" s="1"/>
  <c r="P46" i="24" s="1"/>
  <c r="Q46" i="24" s="1"/>
  <c r="S46" i="24" s="1"/>
  <c r="T46" i="24" s="1"/>
  <c r="V46" i="24" s="1"/>
  <c r="V122" i="1"/>
  <c r="U122" i="1"/>
  <c r="U27" i="6"/>
  <c r="V115" i="24"/>
  <c r="U115" i="24"/>
  <c r="U128" i="6"/>
  <c r="V128" i="6"/>
  <c r="U72" i="6"/>
  <c r="V72" i="6"/>
  <c r="U242" i="6"/>
  <c r="V242" i="6"/>
  <c r="V97" i="1"/>
  <c r="U97" i="1"/>
  <c r="U274" i="6"/>
  <c r="V274" i="6"/>
  <c r="U247" i="6"/>
  <c r="V247" i="6"/>
  <c r="X22" i="21"/>
  <c r="Y22" i="21" s="1"/>
  <c r="AA22" i="21" s="1"/>
  <c r="N33" i="24"/>
  <c r="O33" i="24" s="1"/>
  <c r="P33" i="24" s="1"/>
  <c r="V33" i="24"/>
  <c r="M34" i="24"/>
  <c r="U59" i="1"/>
  <c r="V59" i="1"/>
  <c r="S34" i="5"/>
  <c r="T34" i="5" s="1"/>
  <c r="S66" i="5"/>
  <c r="T66" i="5" s="1"/>
  <c r="U97" i="5"/>
  <c r="V97" i="5"/>
  <c r="AB83" i="14"/>
  <c r="AC83" i="14" s="1"/>
  <c r="Q74" i="18"/>
  <c r="Q44" i="18"/>
  <c r="U548" i="6"/>
  <c r="V548" i="6"/>
  <c r="U108" i="5"/>
  <c r="V108" i="5"/>
  <c r="U370" i="6"/>
  <c r="V370" i="6"/>
  <c r="U120" i="24"/>
  <c r="V120" i="24"/>
  <c r="U222" i="6"/>
  <c r="V222" i="6"/>
  <c r="U108" i="6"/>
  <c r="V108" i="6"/>
  <c r="V94" i="1"/>
  <c r="U94" i="1"/>
  <c r="P268" i="1"/>
  <c r="Q268" i="1" s="1"/>
  <c r="T268" i="1" s="1"/>
  <c r="O270" i="1"/>
  <c r="U214" i="6"/>
  <c r="V214" i="6"/>
  <c r="U476" i="6"/>
  <c r="V476" i="6"/>
  <c r="U115" i="5"/>
  <c r="V115" i="5"/>
  <c r="U194" i="6"/>
  <c r="V194" i="6"/>
  <c r="V79" i="6"/>
  <c r="U79" i="6"/>
  <c r="U80" i="24"/>
  <c r="U250" i="6"/>
  <c r="V250" i="6"/>
  <c r="S66" i="17"/>
  <c r="U66" i="17"/>
  <c r="AA66" i="17" s="1"/>
  <c r="AB66" i="17" s="1"/>
  <c r="U198" i="6"/>
  <c r="V198" i="6"/>
  <c r="V439" i="6"/>
  <c r="U439" i="6"/>
  <c r="U281" i="6"/>
  <c r="V281" i="6"/>
  <c r="V63" i="6"/>
  <c r="U63" i="6"/>
  <c r="V97" i="14"/>
  <c r="V69" i="6"/>
  <c r="U69" i="6"/>
  <c r="U277" i="6"/>
  <c r="V277" i="6"/>
  <c r="U68" i="17"/>
  <c r="AA68" i="17" s="1"/>
  <c r="AB68" i="17" s="1"/>
  <c r="S68" i="17"/>
  <c r="U62" i="17"/>
  <c r="AA62" i="17" s="1"/>
  <c r="AB62" i="17" s="1"/>
  <c r="S62" i="17"/>
  <c r="R177" i="14"/>
  <c r="R124" i="14"/>
  <c r="U125" i="1"/>
  <c r="V125" i="1"/>
  <c r="V95" i="1"/>
  <c r="U95" i="1"/>
  <c r="U109" i="5"/>
  <c r="V109" i="5"/>
  <c r="M20" i="1"/>
  <c r="N19" i="1"/>
  <c r="V19" i="1"/>
  <c r="U120" i="1"/>
  <c r="V120" i="1"/>
  <c r="T127" i="1"/>
  <c r="G14" i="27" s="1"/>
  <c r="U77" i="6"/>
  <c r="V77" i="6"/>
  <c r="S42" i="5"/>
  <c r="T42" i="5" s="1"/>
  <c r="S46" i="5"/>
  <c r="T46" i="5" s="1"/>
  <c r="Q187" i="4"/>
  <c r="Q184" i="4"/>
  <c r="Q185" i="4"/>
  <c r="Q186" i="4"/>
  <c r="Q191" i="4"/>
  <c r="Q49" i="4"/>
  <c r="E58" i="27" s="1"/>
  <c r="U183" i="6"/>
  <c r="V183" i="6"/>
  <c r="V75" i="5"/>
  <c r="U75" i="5"/>
  <c r="V17" i="5"/>
  <c r="U17" i="5"/>
  <c r="U224" i="6"/>
  <c r="V224" i="6"/>
  <c r="U142" i="24"/>
  <c r="V142" i="24"/>
  <c r="U37" i="1"/>
  <c r="V37" i="1"/>
  <c r="U15" i="1"/>
  <c r="V15" i="1"/>
  <c r="U202" i="6"/>
  <c r="V202" i="6"/>
  <c r="U44" i="5"/>
  <c r="V44" i="5"/>
  <c r="U53" i="5"/>
  <c r="V53" i="5"/>
  <c r="U321" i="6"/>
  <c r="V321" i="6"/>
  <c r="V178" i="6"/>
  <c r="U178" i="6"/>
  <c r="V136" i="1"/>
  <c r="U136" i="1"/>
  <c r="U135" i="24"/>
  <c r="V135" i="24"/>
  <c r="U560" i="6"/>
  <c r="V560" i="6"/>
  <c r="U329" i="6"/>
  <c r="V329" i="6"/>
  <c r="V217" i="6"/>
  <c r="U217" i="6"/>
  <c r="U207" i="6"/>
  <c r="V207" i="6"/>
  <c r="V289" i="6"/>
  <c r="U289" i="6"/>
  <c r="U50" i="5"/>
  <c r="V50" i="5"/>
  <c r="U144" i="24"/>
  <c r="V144" i="24"/>
  <c r="U23" i="17"/>
  <c r="S23" i="17"/>
  <c r="Q34" i="17"/>
  <c r="AA14" i="21"/>
  <c r="Y17" i="21"/>
  <c r="U195" i="6"/>
  <c r="V195" i="6"/>
  <c r="V421" i="6"/>
  <c r="U421" i="6"/>
  <c r="V197" i="6"/>
  <c r="U197" i="6"/>
  <c r="U79" i="5"/>
  <c r="V79" i="5"/>
  <c r="U76" i="5"/>
  <c r="V76" i="5"/>
  <c r="V126" i="24"/>
  <c r="U126" i="24"/>
  <c r="V357" i="6"/>
  <c r="U357" i="6"/>
  <c r="V83" i="6"/>
  <c r="U83" i="6"/>
  <c r="V58" i="6"/>
  <c r="U58" i="6"/>
  <c r="V49" i="14"/>
  <c r="P175" i="1"/>
  <c r="P178" i="1" s="1"/>
  <c r="O178" i="1"/>
  <c r="U157" i="6"/>
  <c r="V157" i="6"/>
  <c r="U180" i="6"/>
  <c r="V180" i="6"/>
  <c r="V64" i="5"/>
  <c r="U64" i="5"/>
  <c r="V130" i="24"/>
  <c r="U130" i="24"/>
  <c r="U103" i="17"/>
  <c r="AA103" i="17" s="1"/>
  <c r="AB103" i="17" s="1"/>
  <c r="S103" i="17"/>
  <c r="S127" i="1"/>
  <c r="F14" i="27" s="1"/>
  <c r="V68" i="1"/>
  <c r="U68" i="1"/>
  <c r="S35" i="5"/>
  <c r="T35" i="5" s="1"/>
  <c r="S65" i="5"/>
  <c r="T65" i="5" s="1"/>
  <c r="U374" i="6"/>
  <c r="V374" i="6"/>
  <c r="U175" i="6"/>
  <c r="V175" i="6"/>
  <c r="U168" i="6"/>
  <c r="V168" i="6"/>
  <c r="U113" i="6"/>
  <c r="V113" i="6"/>
  <c r="U259" i="6"/>
  <c r="V259" i="6"/>
  <c r="U172" i="6"/>
  <c r="V172" i="6"/>
  <c r="U604" i="6"/>
  <c r="V604" i="6"/>
  <c r="V427" i="6"/>
  <c r="U427" i="6"/>
  <c r="U235" i="6"/>
  <c r="V235" i="6"/>
  <c r="V241" i="6"/>
  <c r="U241" i="6"/>
  <c r="U231" i="6"/>
  <c r="V231" i="6"/>
  <c r="U337" i="6"/>
  <c r="V337" i="6"/>
  <c r="V70" i="5"/>
  <c r="U70" i="5"/>
  <c r="V80" i="5"/>
  <c r="U80" i="5"/>
  <c r="P29" i="4"/>
  <c r="Q29" i="4" s="1"/>
  <c r="T29" i="4" s="1"/>
  <c r="O46" i="4"/>
  <c r="U540" i="6"/>
  <c r="V540" i="6"/>
  <c r="U199" i="6"/>
  <c r="V199" i="6"/>
  <c r="U36" i="6"/>
  <c r="U19" i="6"/>
  <c r="U33" i="6"/>
  <c r="S23" i="5"/>
  <c r="T23" i="5" s="1"/>
  <c r="AA171" i="14"/>
  <c r="Y173" i="14"/>
  <c r="U59" i="17"/>
  <c r="S59" i="17"/>
  <c r="W59" i="17" s="1"/>
  <c r="X59" i="17" s="1"/>
  <c r="Z59" i="17" s="1"/>
  <c r="S621" i="6"/>
  <c r="T621" i="6" s="1"/>
  <c r="U621" i="6" s="1"/>
  <c r="N57" i="24"/>
  <c r="O57" i="24" s="1"/>
  <c r="P57" i="24" s="1"/>
  <c r="Q57" i="24" s="1"/>
  <c r="S57" i="24" s="1"/>
  <c r="T57" i="24" s="1"/>
  <c r="V57" i="24" s="1"/>
  <c r="Y42" i="18"/>
  <c r="AA36" i="18"/>
  <c r="N38" i="24"/>
  <c r="O38" i="24" s="1"/>
  <c r="P38" i="24" s="1"/>
  <c r="Q38" i="24" s="1"/>
  <c r="S38" i="24" s="1"/>
  <c r="T38" i="24" s="1"/>
  <c r="V38" i="24" s="1"/>
  <c r="X23" i="17"/>
  <c r="W34" i="17"/>
  <c r="P260" i="1"/>
  <c r="P264" i="1" s="1"/>
  <c r="O264" i="1"/>
  <c r="N178" i="1"/>
  <c r="D18" i="27" s="1"/>
  <c r="V120" i="14"/>
  <c r="S37" i="5"/>
  <c r="T37" i="5" s="1"/>
  <c r="S18" i="5"/>
  <c r="T18" i="5" s="1"/>
  <c r="S27" i="5"/>
  <c r="T27" i="5" s="1"/>
  <c r="V154" i="14"/>
  <c r="U102" i="17"/>
  <c r="AA102" i="17" s="1"/>
  <c r="AB102" i="17" s="1"/>
  <c r="S102" i="17"/>
  <c r="U53" i="17"/>
  <c r="AA53" i="17" s="1"/>
  <c r="AB53" i="17" s="1"/>
  <c r="S53" i="17"/>
  <c r="W44" i="17"/>
  <c r="X40" i="17"/>
  <c r="U44" i="17"/>
  <c r="V151" i="24"/>
  <c r="U151" i="24"/>
  <c r="U38" i="6"/>
  <c r="V386" i="6"/>
  <c r="U386" i="6"/>
  <c r="U349" i="6"/>
  <c r="V349" i="6"/>
  <c r="V25" i="1"/>
  <c r="U25" i="1"/>
  <c r="U284" i="6"/>
  <c r="V284" i="6"/>
  <c r="U101" i="6"/>
  <c r="V101" i="6"/>
  <c r="U104" i="1"/>
  <c r="Q405" i="6"/>
  <c r="E36" i="27" s="1"/>
  <c r="S22" i="5"/>
  <c r="T22" i="5" s="1"/>
  <c r="U353" i="6"/>
  <c r="V353" i="6"/>
  <c r="U227" i="6"/>
  <c r="V227" i="6"/>
  <c r="U223" i="6"/>
  <c r="V223" i="6"/>
  <c r="V141" i="6"/>
  <c r="U141" i="6"/>
  <c r="U219" i="6"/>
  <c r="V219" i="6"/>
  <c r="U215" i="6"/>
  <c r="V215" i="6"/>
  <c r="V113" i="24"/>
  <c r="U113" i="24"/>
  <c r="U132" i="6"/>
  <c r="V132" i="6"/>
  <c r="V442" i="6"/>
  <c r="U442" i="6"/>
  <c r="V29" i="5"/>
  <c r="U29" i="5"/>
  <c r="U64" i="17"/>
  <c r="AA64" i="17" s="1"/>
  <c r="AB64" i="17" s="1"/>
  <c r="S64" i="17"/>
  <c r="U132" i="24"/>
  <c r="V132" i="24"/>
  <c r="V186" i="6"/>
  <c r="U186" i="6"/>
  <c r="U80" i="6"/>
  <c r="V80" i="6"/>
  <c r="U65" i="6"/>
  <c r="V65" i="6"/>
  <c r="U316" i="1"/>
  <c r="V316" i="1"/>
  <c r="V23" i="1"/>
  <c r="U23" i="1"/>
  <c r="U106" i="6"/>
  <c r="V106" i="6"/>
  <c r="V21" i="21"/>
  <c r="AB21" i="21" s="1"/>
  <c r="AC21" i="21" s="1"/>
  <c r="T21" i="21"/>
  <c r="U232" i="6"/>
  <c r="V232" i="6"/>
  <c r="S14" i="5"/>
  <c r="T14" i="5" s="1"/>
  <c r="S19" i="5"/>
  <c r="T19" i="5" s="1"/>
  <c r="V245" i="6"/>
  <c r="U245" i="6"/>
  <c r="V86" i="5"/>
  <c r="U86" i="5"/>
  <c r="V454" i="6"/>
  <c r="U454" i="6"/>
  <c r="V182" i="6"/>
  <c r="U182" i="6"/>
  <c r="U176" i="6"/>
  <c r="V176" i="6"/>
  <c r="U20" i="5"/>
  <c r="V20" i="5"/>
  <c r="U81" i="24"/>
  <c r="U55" i="17"/>
  <c r="AA55" i="17" s="1"/>
  <c r="AB55" i="17" s="1"/>
  <c r="S55" i="17"/>
  <c r="U144" i="6"/>
  <c r="V144" i="6"/>
  <c r="S433" i="6"/>
  <c r="T433" i="6" s="1"/>
  <c r="U21" i="6"/>
  <c r="P17" i="17"/>
  <c r="P109" i="17" s="1"/>
  <c r="W12" i="17"/>
  <c r="Q12" i="17"/>
  <c r="P105" i="1"/>
  <c r="Q105" i="1" s="1"/>
  <c r="U43" i="5"/>
  <c r="V43" i="5"/>
  <c r="U60" i="5"/>
  <c r="V60" i="5"/>
  <c r="X97" i="14"/>
  <c r="V72" i="18"/>
  <c r="U325" i="1"/>
  <c r="V325" i="1"/>
  <c r="U64" i="1"/>
  <c r="V64" i="1"/>
  <c r="V146" i="24"/>
  <c r="U146" i="24"/>
  <c r="V96" i="5"/>
  <c r="U96" i="5"/>
  <c r="O107" i="1"/>
  <c r="N117" i="1"/>
  <c r="D12" i="27" s="1"/>
  <c r="U58" i="1"/>
  <c r="V58" i="1"/>
  <c r="V17" i="1"/>
  <c r="U17" i="1"/>
  <c r="AA71" i="17"/>
  <c r="AB71" i="17" s="1"/>
  <c r="U110" i="24"/>
  <c r="U147" i="24"/>
  <c r="V147" i="24"/>
  <c r="U118" i="24"/>
  <c r="V118" i="24"/>
  <c r="AB26" i="14"/>
  <c r="AC26" i="14" s="1"/>
  <c r="S67" i="17"/>
  <c r="U67" i="17"/>
  <c r="AA67" i="17" s="1"/>
  <c r="AB67" i="17" s="1"/>
  <c r="T28" i="21"/>
  <c r="T30" i="21" s="1"/>
  <c r="R30" i="21"/>
  <c r="V28" i="21"/>
  <c r="V30" i="21" s="1"/>
  <c r="U54" i="5"/>
  <c r="V54" i="5"/>
  <c r="Q120" i="5"/>
  <c r="Q123" i="5" s="1"/>
  <c r="Q78" i="17"/>
  <c r="U397" i="6"/>
  <c r="V397" i="6"/>
  <c r="V137" i="24"/>
  <c r="U137" i="24"/>
  <c r="AC12" i="18"/>
  <c r="V278" i="1"/>
  <c r="U278" i="1"/>
  <c r="U121" i="1"/>
  <c r="V121" i="1"/>
  <c r="S48" i="5"/>
  <c r="T48" i="5" s="1"/>
  <c r="S15" i="5"/>
  <c r="T15" i="5" s="1"/>
  <c r="U29" i="1"/>
  <c r="V29" i="1"/>
  <c r="U438" i="6"/>
  <c r="V438" i="6"/>
  <c r="V536" i="6"/>
  <c r="U536" i="6"/>
  <c r="U389" i="6"/>
  <c r="V389" i="6"/>
  <c r="T111" i="24"/>
  <c r="V111" i="24" s="1"/>
  <c r="U105" i="6"/>
  <c r="V105" i="6"/>
  <c r="U129" i="24"/>
  <c r="V129" i="24"/>
  <c r="K57" i="4"/>
  <c r="L57" i="4" s="1"/>
  <c r="O57" i="4"/>
  <c r="P57" i="4" s="1"/>
  <c r="AB65" i="18"/>
  <c r="U294" i="1"/>
  <c r="U95" i="17"/>
  <c r="AA95" i="17" s="1"/>
  <c r="AB95" i="17" s="1"/>
  <c r="S95" i="17"/>
  <c r="S423" i="6"/>
  <c r="T423" i="6" s="1"/>
  <c r="S31" i="5"/>
  <c r="T31" i="5" s="1"/>
  <c r="U294" i="6"/>
  <c r="V294" i="6"/>
  <c r="U333" i="6"/>
  <c r="V333" i="6"/>
  <c r="U330" i="6"/>
  <c r="V330" i="6"/>
  <c r="T97" i="14"/>
  <c r="V190" i="6"/>
  <c r="U190" i="6"/>
  <c r="V233" i="6"/>
  <c r="U233" i="6"/>
  <c r="U165" i="6"/>
  <c r="V165" i="6"/>
  <c r="U31" i="1"/>
  <c r="V31" i="1"/>
  <c r="S429" i="6"/>
  <c r="T429" i="6" s="1"/>
  <c r="V121" i="24"/>
  <c r="U121" i="24"/>
  <c r="U345" i="6"/>
  <c r="V345" i="6"/>
  <c r="V225" i="6"/>
  <c r="U225" i="6"/>
  <c r="U305" i="6"/>
  <c r="V305" i="6"/>
  <c r="U424" i="6"/>
  <c r="V424" i="6"/>
  <c r="U211" i="6"/>
  <c r="V211" i="6"/>
  <c r="V110" i="5"/>
  <c r="U110" i="5"/>
  <c r="U112" i="24"/>
  <c r="V112" i="24"/>
  <c r="U508" i="6"/>
  <c r="V508" i="6"/>
  <c r="U246" i="6"/>
  <c r="V246" i="6"/>
  <c r="V430" i="6"/>
  <c r="U430" i="6"/>
  <c r="V60" i="6"/>
  <c r="U60" i="6"/>
  <c r="P66" i="4"/>
  <c r="U544" i="6"/>
  <c r="V544" i="6"/>
  <c r="U112" i="5"/>
  <c r="V112" i="5"/>
  <c r="U93" i="5"/>
  <c r="V93" i="5"/>
  <c r="V114" i="24"/>
  <c r="U114" i="24"/>
  <c r="U230" i="6"/>
  <c r="V230" i="6"/>
  <c r="U210" i="6"/>
  <c r="V210" i="6"/>
  <c r="V118" i="5"/>
  <c r="U118" i="5"/>
  <c r="V63" i="5"/>
  <c r="U63" i="5"/>
  <c r="U622" i="6"/>
  <c r="V622" i="6"/>
  <c r="U539" i="6"/>
  <c r="V539" i="6"/>
  <c r="V209" i="6"/>
  <c r="U209" i="6"/>
  <c r="U101" i="5"/>
  <c r="V101" i="5"/>
  <c r="U153" i="6"/>
  <c r="V153" i="6"/>
  <c r="U369" i="6"/>
  <c r="V369" i="6"/>
  <c r="V113" i="5"/>
  <c r="U113" i="5"/>
  <c r="U89" i="5"/>
  <c r="V89" i="5"/>
  <c r="U58" i="5"/>
  <c r="V58" i="5"/>
  <c r="U589" i="6"/>
  <c r="V589" i="6"/>
  <c r="S432" i="6"/>
  <c r="T432" i="6" s="1"/>
  <c r="S431" i="6"/>
  <c r="T431" i="6" s="1"/>
  <c r="S422" i="6"/>
  <c r="T422" i="6" s="1"/>
  <c r="S419" i="6"/>
  <c r="T419" i="6" s="1"/>
  <c r="S436" i="6"/>
  <c r="T436" i="6" s="1"/>
  <c r="U20" i="6"/>
  <c r="Q610" i="6"/>
  <c r="E40" i="27" s="1"/>
  <c r="P453" i="6"/>
  <c r="O459" i="6"/>
  <c r="Q568" i="6"/>
  <c r="E34" i="27" s="1"/>
  <c r="S435" i="6"/>
  <c r="T435" i="6" s="1"/>
  <c r="S426" i="6"/>
  <c r="T426" i="6" s="1"/>
  <c r="U24" i="6"/>
  <c r="U32" i="6"/>
  <c r="U18" i="6"/>
  <c r="Q254" i="6"/>
  <c r="E32" i="27" s="1"/>
  <c r="V167" i="14"/>
  <c r="O255" i="1"/>
  <c r="P183" i="1"/>
  <c r="U86" i="17"/>
  <c r="AA86" i="17" s="1"/>
  <c r="AB86" i="17" s="1"/>
  <c r="S86" i="17"/>
  <c r="U98" i="17"/>
  <c r="AA98" i="17" s="1"/>
  <c r="AB98" i="17" s="1"/>
  <c r="S98" i="17"/>
  <c r="AA52" i="14"/>
  <c r="Y97" i="14"/>
  <c r="Z84" i="17"/>
  <c r="N612" i="6"/>
  <c r="P131" i="1"/>
  <c r="AB39" i="18"/>
  <c r="AC39" i="18" s="1"/>
  <c r="U56" i="17"/>
  <c r="S56" i="17"/>
  <c r="W56" i="17" s="1"/>
  <c r="T13" i="5"/>
  <c r="AB170" i="14"/>
  <c r="S73" i="17"/>
  <c r="U73" i="17"/>
  <c r="AA73" i="17" s="1"/>
  <c r="AB73" i="17" s="1"/>
  <c r="R22" i="21"/>
  <c r="AB24" i="18"/>
  <c r="AC24" i="18" s="1"/>
  <c r="S36" i="5"/>
  <c r="T36" i="5" s="1"/>
  <c r="S67" i="5"/>
  <c r="T67" i="5" s="1"/>
  <c r="R20" i="21"/>
  <c r="U89" i="17"/>
  <c r="AA89" i="17" s="1"/>
  <c r="AB89" i="17" s="1"/>
  <c r="S89" i="17"/>
  <c r="S99" i="17"/>
  <c r="U99" i="17"/>
  <c r="AA99" i="17" s="1"/>
  <c r="AB99" i="17" s="1"/>
  <c r="V10" i="27"/>
  <c r="V12" i="27"/>
  <c r="B14" i="27"/>
  <c r="D14" i="27"/>
  <c r="E14" i="27"/>
  <c r="V14" i="27"/>
  <c r="F16" i="27"/>
  <c r="G16" i="27"/>
  <c r="V16" i="27"/>
  <c r="B18" i="27"/>
  <c r="V18" i="27"/>
  <c r="B20" i="27"/>
  <c r="V20" i="27"/>
  <c r="V22" i="27"/>
  <c r="B24" i="27"/>
  <c r="E24" i="27"/>
  <c r="V24" i="27"/>
  <c r="B26" i="27"/>
  <c r="V26" i="27"/>
  <c r="U28" i="27"/>
  <c r="W28" i="27"/>
  <c r="X28" i="27"/>
  <c r="Y28" i="27"/>
  <c r="Z28" i="27"/>
  <c r="AA28" i="27"/>
  <c r="B32" i="27"/>
  <c r="D32" i="27"/>
  <c r="V32" i="27"/>
  <c r="B34" i="27"/>
  <c r="D34" i="27"/>
  <c r="V34" i="27"/>
  <c r="B36" i="27"/>
  <c r="D36" i="27"/>
  <c r="V36" i="27"/>
  <c r="B38" i="27"/>
  <c r="D38" i="27"/>
  <c r="V38" i="27"/>
  <c r="B40" i="27"/>
  <c r="D40" i="27"/>
  <c r="V40" i="27"/>
  <c r="C41" i="27"/>
  <c r="M41" i="27"/>
  <c r="AE41" i="27"/>
  <c r="B42" i="27"/>
  <c r="D42" i="27"/>
  <c r="V42" i="27"/>
  <c r="B44" i="27"/>
  <c r="D44" i="27"/>
  <c r="V44" i="27"/>
  <c r="B46" i="27"/>
  <c r="D46" i="27"/>
  <c r="V46" i="27"/>
  <c r="W48" i="27"/>
  <c r="X48" i="27"/>
  <c r="Y48" i="27"/>
  <c r="Z48" i="27"/>
  <c r="AA48" i="27"/>
  <c r="V50" i="27"/>
  <c r="V52" i="27"/>
  <c r="B54" i="27"/>
  <c r="D54" i="27"/>
  <c r="V54" i="27"/>
  <c r="B56" i="27"/>
  <c r="D56" i="27"/>
  <c r="V56" i="27"/>
  <c r="B58" i="27"/>
  <c r="D58" i="27"/>
  <c r="V58" i="27"/>
  <c r="V60" i="27"/>
  <c r="AD60" i="27"/>
  <c r="AF60" i="27"/>
  <c r="AG60" i="27"/>
  <c r="AH60" i="27"/>
  <c r="AI60" i="27"/>
  <c r="AJ60" i="27"/>
  <c r="B63" i="27"/>
  <c r="B62" i="27" s="1"/>
  <c r="D63" i="27"/>
  <c r="V62" i="27"/>
  <c r="V63" i="27"/>
  <c r="B64" i="27"/>
  <c r="H64" i="27" s="1"/>
  <c r="AG64" i="27"/>
  <c r="AH64" i="27"/>
  <c r="AI64" i="27"/>
  <c r="V64" i="27"/>
  <c r="B65" i="27"/>
  <c r="D65" i="27" s="1"/>
  <c r="AG65" i="27"/>
  <c r="AH65" i="27"/>
  <c r="AI65" i="27"/>
  <c r="V65" i="27"/>
  <c r="U67" i="27"/>
  <c r="W67" i="27"/>
  <c r="X67" i="27"/>
  <c r="Y67" i="27"/>
  <c r="Z67" i="27"/>
  <c r="AA67" i="27"/>
  <c r="U4" i="7"/>
  <c r="K4" i="7" s="1"/>
  <c r="AB8" i="7"/>
  <c r="AC8" i="7"/>
  <c r="AB12" i="7"/>
  <c r="AB16" i="7"/>
  <c r="AL9" i="7"/>
  <c r="AL10" i="7"/>
  <c r="AL11" i="7"/>
  <c r="AB10" i="7"/>
  <c r="AC10" i="7"/>
  <c r="AL49" i="7"/>
  <c r="AM49" i="7"/>
  <c r="AM74" i="7" s="1"/>
  <c r="AN49" i="7"/>
  <c r="AN74" i="7" s="1"/>
  <c r="AC12" i="7"/>
  <c r="AB14" i="7"/>
  <c r="AC14" i="7"/>
  <c r="AC16" i="7"/>
  <c r="AH18" i="7"/>
  <c r="AH22" i="7" s="1"/>
  <c r="AI18" i="7"/>
  <c r="AI22" i="7" s="1"/>
  <c r="AB20" i="7"/>
  <c r="AC20" i="7"/>
  <c r="AB24" i="7"/>
  <c r="AC24" i="7"/>
  <c r="J26" i="7"/>
  <c r="K26" i="7"/>
  <c r="N26" i="7"/>
  <c r="O26" i="7"/>
  <c r="AB30" i="7"/>
  <c r="AC30" i="7"/>
  <c r="AH30" i="7"/>
  <c r="AH32" i="7" s="1"/>
  <c r="AI30" i="7"/>
  <c r="AI32" i="7" s="1"/>
  <c r="AB32" i="7"/>
  <c r="AC32" i="7"/>
  <c r="AB34" i="7"/>
  <c r="AC34" i="7"/>
  <c r="N36" i="7"/>
  <c r="N46" i="7" s="1"/>
  <c r="O36" i="7"/>
  <c r="O46" i="7" s="1"/>
  <c r="AB38" i="7"/>
  <c r="AC38" i="7"/>
  <c r="C39" i="7"/>
  <c r="AB42" i="7"/>
  <c r="AC42" i="7"/>
  <c r="J46" i="7"/>
  <c r="K46" i="7"/>
  <c r="AK46" i="7"/>
  <c r="AN46" i="7"/>
  <c r="AO46" i="7"/>
  <c r="AK47" i="7"/>
  <c r="AL47" i="7"/>
  <c r="AM47" i="7"/>
  <c r="AN47" i="7"/>
  <c r="AO47" i="7"/>
  <c r="AB48" i="7"/>
  <c r="AC48" i="7"/>
  <c r="AK49" i="7"/>
  <c r="AK74" i="7" s="1"/>
  <c r="AO49" i="7"/>
  <c r="AO74" i="7" s="1"/>
  <c r="M50" i="7"/>
  <c r="Q50" i="7"/>
  <c r="AB50" i="7"/>
  <c r="AC50" i="7"/>
  <c r="AL50" i="7"/>
  <c r="AM50" i="7"/>
  <c r="M52" i="7"/>
  <c r="Q52" i="7"/>
  <c r="AB52" i="7"/>
  <c r="AC52" i="7"/>
  <c r="B94" i="7"/>
  <c r="C92" i="7" s="1"/>
  <c r="F120" i="7"/>
  <c r="F123" i="7"/>
  <c r="F126" i="7"/>
  <c r="E123" i="7"/>
  <c r="E126" i="7"/>
  <c r="C120" i="7"/>
  <c r="C123" i="7"/>
  <c r="C126" i="7"/>
  <c r="AB56" i="7"/>
  <c r="AC56" i="7"/>
  <c r="AB58" i="7"/>
  <c r="AC58" i="7"/>
  <c r="M60" i="7"/>
  <c r="AB60" i="7"/>
  <c r="AC60" i="7"/>
  <c r="M61" i="7"/>
  <c r="AB61" i="7"/>
  <c r="AC61" i="7"/>
  <c r="B102" i="7"/>
  <c r="B98" i="7"/>
  <c r="B100" i="7" s="1"/>
  <c r="B104" i="7"/>
  <c r="F94" i="7"/>
  <c r="F92" i="7"/>
  <c r="AB62" i="7"/>
  <c r="AC62" i="7"/>
  <c r="AB63" i="7"/>
  <c r="AC63" i="7"/>
  <c r="C85" i="7"/>
  <c r="G119" i="7"/>
  <c r="H119" i="7" s="1"/>
  <c r="H122" i="7"/>
  <c r="G125" i="7"/>
  <c r="H125" i="7" s="1"/>
  <c r="D130" i="7"/>
  <c r="D131" i="7" s="1"/>
  <c r="T298" i="1" l="1"/>
  <c r="T56" i="4"/>
  <c r="T105" i="1"/>
  <c r="T150" i="1"/>
  <c r="V150" i="1" s="1"/>
  <c r="V109" i="1"/>
  <c r="P255" i="1"/>
  <c r="U213" i="1"/>
  <c r="T152" i="1"/>
  <c r="U152" i="1" s="1"/>
  <c r="V137" i="1"/>
  <c r="U137" i="1"/>
  <c r="U231" i="1"/>
  <c r="V231" i="1"/>
  <c r="V216" i="1"/>
  <c r="U216" i="1"/>
  <c r="V142" i="1"/>
  <c r="U142" i="1"/>
  <c r="T245" i="1"/>
  <c r="V245" i="1" s="1"/>
  <c r="T222" i="1"/>
  <c r="U222" i="1" s="1"/>
  <c r="T158" i="1"/>
  <c r="V158" i="1" s="1"/>
  <c r="T144" i="1"/>
  <c r="U144" i="1" s="1"/>
  <c r="S54" i="4"/>
  <c r="T54" i="4" s="1"/>
  <c r="Q57" i="4"/>
  <c r="S57" i="4"/>
  <c r="T57" i="4" s="1"/>
  <c r="V140" i="1"/>
  <c r="U140" i="1"/>
  <c r="U233" i="1"/>
  <c r="V233" i="1"/>
  <c r="V186" i="1"/>
  <c r="U186" i="1"/>
  <c r="V324" i="1"/>
  <c r="U324" i="1"/>
  <c r="U218" i="1"/>
  <c r="V218" i="1"/>
  <c r="U332" i="1"/>
  <c r="V332" i="1"/>
  <c r="P156" i="1"/>
  <c r="Q156" i="1" s="1"/>
  <c r="S156" i="1"/>
  <c r="P184" i="1"/>
  <c r="S184" i="1"/>
  <c r="Q132" i="1"/>
  <c r="T132" i="1" s="1"/>
  <c r="V132" i="1" s="1"/>
  <c r="V280" i="1"/>
  <c r="P134" i="1"/>
  <c r="Q134" i="1" s="1"/>
  <c r="S134" i="1"/>
  <c r="T14" i="1"/>
  <c r="U14" i="1" s="1"/>
  <c r="T146" i="1"/>
  <c r="Q148" i="1"/>
  <c r="T148" i="1" s="1"/>
  <c r="U148" i="1" s="1"/>
  <c r="Q241" i="1"/>
  <c r="T241" i="1" s="1"/>
  <c r="V241" i="1" s="1"/>
  <c r="Q176" i="1"/>
  <c r="T176" i="1" s="1"/>
  <c r="P107" i="1"/>
  <c r="P117" i="1" s="1"/>
  <c r="S107" i="1"/>
  <c r="S117" i="1" s="1"/>
  <c r="F12" i="27" s="1"/>
  <c r="AH12" i="27" s="1"/>
  <c r="T34" i="1"/>
  <c r="U34" i="1" s="1"/>
  <c r="T161" i="1"/>
  <c r="U161" i="1" s="1"/>
  <c r="Q303" i="1"/>
  <c r="T303" i="1" s="1"/>
  <c r="U303" i="1" s="1"/>
  <c r="T318" i="1"/>
  <c r="V318" i="1" s="1"/>
  <c r="T154" i="1"/>
  <c r="O192" i="1"/>
  <c r="T320" i="1"/>
  <c r="V320" i="1" s="1"/>
  <c r="U24" i="1"/>
  <c r="P46" i="4"/>
  <c r="Q46" i="4"/>
  <c r="T264" i="1"/>
  <c r="G24" i="27" s="1"/>
  <c r="AI24" i="27" s="1"/>
  <c r="V22" i="1"/>
  <c r="V16" i="1"/>
  <c r="U16" i="1"/>
  <c r="U44" i="1"/>
  <c r="V44" i="1"/>
  <c r="U26" i="1"/>
  <c r="V26" i="1"/>
  <c r="V211" i="1"/>
  <c r="U4" i="24"/>
  <c r="U61" i="24"/>
  <c r="U6" i="24"/>
  <c r="P270" i="1"/>
  <c r="U28" i="24"/>
  <c r="U57" i="24"/>
  <c r="S10" i="24"/>
  <c r="T10" i="24" s="1"/>
  <c r="V10" i="24" s="1"/>
  <c r="U12" i="24"/>
  <c r="U20" i="24"/>
  <c r="U2" i="24"/>
  <c r="U59" i="24"/>
  <c r="U18" i="24"/>
  <c r="U14" i="24"/>
  <c r="U22" i="24"/>
  <c r="U16" i="24"/>
  <c r="U26" i="24"/>
  <c r="S30" i="24"/>
  <c r="T30" i="24" s="1"/>
  <c r="V30" i="24" s="1"/>
  <c r="S8" i="24"/>
  <c r="T8" i="24" s="1"/>
  <c r="V8" i="24" s="1"/>
  <c r="U38" i="24"/>
  <c r="U46" i="24"/>
  <c r="S24" i="24"/>
  <c r="T24" i="24" s="1"/>
  <c r="V24" i="24" s="1"/>
  <c r="U32" i="24"/>
  <c r="U261" i="1"/>
  <c r="U264" i="1" s="1"/>
  <c r="H58" i="7"/>
  <c r="G62" i="7"/>
  <c r="G63" i="7"/>
  <c r="G58" i="7"/>
  <c r="F58" i="7"/>
  <c r="F63" i="7"/>
  <c r="F62" i="7"/>
  <c r="E63" i="7"/>
  <c r="E62" i="7"/>
  <c r="E58" i="7"/>
  <c r="D58" i="7"/>
  <c r="B58" i="7"/>
  <c r="V222" i="1"/>
  <c r="V243" i="1"/>
  <c r="N192" i="1"/>
  <c r="D20" i="27" s="1"/>
  <c r="AF20" i="27" s="1"/>
  <c r="U150" i="1"/>
  <c r="X177" i="14"/>
  <c r="U42" i="1"/>
  <c r="U220" i="1"/>
  <c r="S44" i="17"/>
  <c r="R44" i="18"/>
  <c r="AB154" i="14"/>
  <c r="AB62" i="18"/>
  <c r="O276" i="1"/>
  <c r="AB112" i="14"/>
  <c r="AB120" i="14" s="1"/>
  <c r="V62" i="18"/>
  <c r="AC62" i="18"/>
  <c r="R74" i="18"/>
  <c r="V33" i="18"/>
  <c r="V44" i="18" s="1"/>
  <c r="X107" i="17"/>
  <c r="W107" i="17"/>
  <c r="X30" i="21"/>
  <c r="X32" i="21" s="1"/>
  <c r="V107" i="5"/>
  <c r="S34" i="17"/>
  <c r="U527" i="6"/>
  <c r="U102" i="6"/>
  <c r="U296" i="1"/>
  <c r="O172" i="1"/>
  <c r="N172" i="1"/>
  <c r="D16" i="27" s="1"/>
  <c r="AF16" i="27" s="1"/>
  <c r="Q177" i="14"/>
  <c r="U86" i="6"/>
  <c r="U267" i="1"/>
  <c r="V308" i="1"/>
  <c r="V309" i="6"/>
  <c r="AD16" i="27"/>
  <c r="S255" i="1"/>
  <c r="F22" i="27" s="1"/>
  <c r="AH22" i="27" s="1"/>
  <c r="U236" i="1"/>
  <c r="AF24" i="27"/>
  <c r="AF46" i="27"/>
  <c r="V173" i="14"/>
  <c r="V177" i="14" s="1"/>
  <c r="AD24" i="27"/>
  <c r="C46" i="27"/>
  <c r="AB33" i="18"/>
  <c r="C42" i="27"/>
  <c r="AD14" i="27"/>
  <c r="U24" i="5"/>
  <c r="U103" i="6"/>
  <c r="U480" i="6"/>
  <c r="U103" i="5"/>
  <c r="E130" i="7"/>
  <c r="E131" i="7" s="1"/>
  <c r="AJ64" i="27"/>
  <c r="C36" i="27"/>
  <c r="AD20" i="27"/>
  <c r="C93" i="7"/>
  <c r="U34" i="17"/>
  <c r="AD44" i="27"/>
  <c r="C40" i="27"/>
  <c r="AH16" i="27"/>
  <c r="AG38" i="27"/>
  <c r="AF38" i="27"/>
  <c r="AF36" i="27"/>
  <c r="M63" i="4"/>
  <c r="B50" i="27" s="1"/>
  <c r="AD50" i="27" s="1"/>
  <c r="N36" i="24"/>
  <c r="O36" i="24" s="1"/>
  <c r="P36" i="24" s="1"/>
  <c r="Q36" i="24" s="1"/>
  <c r="S36" i="24" s="1"/>
  <c r="T36" i="24" s="1"/>
  <c r="V36" i="24" s="1"/>
  <c r="AD32" i="27"/>
  <c r="AF26" i="27"/>
  <c r="R28" i="27"/>
  <c r="AD22" i="27"/>
  <c r="U107" i="17"/>
  <c r="AJ24" i="27"/>
  <c r="P28" i="27"/>
  <c r="Y124" i="14"/>
  <c r="AF65" i="27"/>
  <c r="AF56" i="27"/>
  <c r="P67" i="27"/>
  <c r="E44" i="27"/>
  <c r="AG44" i="27" s="1"/>
  <c r="AH14" i="27"/>
  <c r="AE60" i="27"/>
  <c r="AF44" i="27"/>
  <c r="AI14" i="27"/>
  <c r="M101" i="1"/>
  <c r="F95" i="7"/>
  <c r="G92" i="7" s="1"/>
  <c r="G120" i="7"/>
  <c r="H120" i="7" s="1"/>
  <c r="AM11" i="7"/>
  <c r="U418" i="6"/>
  <c r="V418" i="6"/>
  <c r="V152" i="6"/>
  <c r="U71" i="5"/>
  <c r="U411" i="6"/>
  <c r="V607" i="6"/>
  <c r="V110" i="6"/>
  <c r="U110" i="6"/>
  <c r="U263" i="6"/>
  <c r="V263" i="6"/>
  <c r="AD26" i="27"/>
  <c r="V381" i="6"/>
  <c r="U82" i="5"/>
  <c r="C18" i="27"/>
  <c r="AF22" i="27"/>
  <c r="V51" i="5"/>
  <c r="Q413" i="6"/>
  <c r="E42" i="27" s="1"/>
  <c r="AG42" i="27" s="1"/>
  <c r="V116" i="5"/>
  <c r="U116" i="5"/>
  <c r="AF14" i="27"/>
  <c r="U249" i="6"/>
  <c r="C22" i="27"/>
  <c r="C14" i="27"/>
  <c r="U147" i="6"/>
  <c r="V147" i="6"/>
  <c r="V298" i="1"/>
  <c r="U298" i="1"/>
  <c r="N48" i="27"/>
  <c r="Y4" i="7"/>
  <c r="AF63" i="27"/>
  <c r="C34" i="27"/>
  <c r="AH24" i="27"/>
  <c r="N28" i="27"/>
  <c r="Q28" i="27"/>
  <c r="AG14" i="27"/>
  <c r="N71" i="4"/>
  <c r="M116" i="4"/>
  <c r="V28" i="27"/>
  <c r="Q67" i="27"/>
  <c r="AD46" i="27"/>
  <c r="AD18" i="27"/>
  <c r="AG32" i="27"/>
  <c r="AM48" i="7"/>
  <c r="Y69" i="27"/>
  <c r="L67" i="27"/>
  <c r="AD40" i="27"/>
  <c r="P48" i="27"/>
  <c r="V48" i="27"/>
  <c r="W69" i="27"/>
  <c r="C24" i="27"/>
  <c r="AH18" i="27"/>
  <c r="L48" i="27"/>
  <c r="O53" i="4"/>
  <c r="P53" i="4" s="1"/>
  <c r="P63" i="4" s="1"/>
  <c r="N63" i="4"/>
  <c r="D50" i="27" s="1"/>
  <c r="R48" i="27"/>
  <c r="AG24" i="27"/>
  <c r="U78" i="17"/>
  <c r="O48" i="27"/>
  <c r="AA69" i="27"/>
  <c r="AA70" i="27" s="1"/>
  <c r="AF40" i="27"/>
  <c r="C26" i="27"/>
  <c r="AF18" i="27"/>
  <c r="AD12" i="27"/>
  <c r="M10" i="27"/>
  <c r="S107" i="17"/>
  <c r="AC127" i="14"/>
  <c r="AC136" i="14" s="1"/>
  <c r="N67" i="27"/>
  <c r="D48" i="27"/>
  <c r="AD38" i="27"/>
  <c r="AD65" i="27"/>
  <c r="AD58" i="27"/>
  <c r="R67" i="27"/>
  <c r="V67" i="27"/>
  <c r="U69" i="27"/>
  <c r="U70" i="27" s="1"/>
  <c r="AD42" i="27"/>
  <c r="Q48" i="27"/>
  <c r="AD36" i="27"/>
  <c r="Q407" i="6"/>
  <c r="T124" i="14"/>
  <c r="S413" i="6"/>
  <c r="S78" i="17"/>
  <c r="AG40" i="27"/>
  <c r="V127" i="1"/>
  <c r="H14" i="27" s="1"/>
  <c r="AJ14" i="27" s="1"/>
  <c r="AI16" i="27"/>
  <c r="S610" i="6"/>
  <c r="F40" i="27" s="1"/>
  <c r="AH40" i="27" s="1"/>
  <c r="U19" i="1"/>
  <c r="AG58" i="27"/>
  <c r="AF58" i="27"/>
  <c r="C58" i="27"/>
  <c r="C56" i="27"/>
  <c r="G123" i="7"/>
  <c r="H123" i="7" s="1"/>
  <c r="AM10" i="7"/>
  <c r="AD56" i="27"/>
  <c r="C130" i="7"/>
  <c r="C131" i="7" s="1"/>
  <c r="C132" i="7" s="1"/>
  <c r="AL12" i="7"/>
  <c r="AL48" i="7"/>
  <c r="V586" i="6"/>
  <c r="U586" i="6"/>
  <c r="U593" i="6"/>
  <c r="V593" i="6"/>
  <c r="U562" i="6"/>
  <c r="V562" i="6"/>
  <c r="U177" i="6"/>
  <c r="V177" i="6"/>
  <c r="U422" i="6"/>
  <c r="V422" i="6"/>
  <c r="U376" i="6"/>
  <c r="V376" i="6"/>
  <c r="V303" i="6"/>
  <c r="U303" i="6"/>
  <c r="U436" i="6"/>
  <c r="V436" i="6"/>
  <c r="U121" i="6"/>
  <c r="V121" i="6"/>
  <c r="U538" i="6"/>
  <c r="V538" i="6"/>
  <c r="V395" i="6"/>
  <c r="U395" i="6"/>
  <c r="V488" i="6"/>
  <c r="U488" i="6"/>
  <c r="V493" i="6"/>
  <c r="U493" i="6"/>
  <c r="V549" i="6"/>
  <c r="U549" i="6"/>
  <c r="V22" i="5"/>
  <c r="U22" i="5"/>
  <c r="U145" i="6"/>
  <c r="V145" i="6"/>
  <c r="V85" i="5"/>
  <c r="U85" i="5"/>
  <c r="V262" i="6"/>
  <c r="U262" i="6"/>
  <c r="U440" i="6"/>
  <c r="V440" i="6"/>
  <c r="V382" i="6"/>
  <c r="U382" i="6"/>
  <c r="U388" i="6"/>
  <c r="V388" i="6"/>
  <c r="U466" i="6"/>
  <c r="V466" i="6"/>
  <c r="V34" i="5"/>
  <c r="U34" i="5"/>
  <c r="U475" i="6"/>
  <c r="V475" i="6"/>
  <c r="U384" i="6"/>
  <c r="V384" i="6"/>
  <c r="V479" i="6"/>
  <c r="U479" i="6"/>
  <c r="U292" i="6"/>
  <c r="V292" i="6"/>
  <c r="V398" i="6"/>
  <c r="U398" i="6"/>
  <c r="V81" i="6"/>
  <c r="U81" i="6"/>
  <c r="B108" i="7"/>
  <c r="C104" i="7" s="1"/>
  <c r="V137" i="6"/>
  <c r="U137" i="6"/>
  <c r="V315" i="6"/>
  <c r="U315" i="6"/>
  <c r="V512" i="6"/>
  <c r="U512" i="6"/>
  <c r="V170" i="6"/>
  <c r="U170" i="6"/>
  <c r="V471" i="6"/>
  <c r="U471" i="6"/>
  <c r="U515" i="6"/>
  <c r="V515" i="6"/>
  <c r="U433" i="6"/>
  <c r="V433" i="6"/>
  <c r="V561" i="6"/>
  <c r="U561" i="6"/>
  <c r="V339" i="6"/>
  <c r="U339" i="6"/>
  <c r="U554" i="6"/>
  <c r="V554" i="6"/>
  <c r="U587" i="6"/>
  <c r="V587" i="6"/>
  <c r="V295" i="6"/>
  <c r="U295" i="6"/>
  <c r="V268" i="6"/>
  <c r="U268" i="6"/>
  <c r="U542" i="6"/>
  <c r="V542" i="6"/>
  <c r="U45" i="5"/>
  <c r="V45" i="5"/>
  <c r="V150" i="6"/>
  <c r="U150" i="6"/>
  <c r="V383" i="6"/>
  <c r="U383" i="6"/>
  <c r="U196" i="6"/>
  <c r="V196" i="6"/>
  <c r="U298" i="6"/>
  <c r="V298" i="6"/>
  <c r="U308" i="6"/>
  <c r="V308" i="6"/>
  <c r="V67" i="5"/>
  <c r="U67" i="5"/>
  <c r="AG34" i="27"/>
  <c r="U511" i="6"/>
  <c r="V511" i="6"/>
  <c r="U31" i="5"/>
  <c r="V31" i="5"/>
  <c r="V547" i="6"/>
  <c r="U547" i="6"/>
  <c r="V14" i="5"/>
  <c r="U14" i="5"/>
  <c r="V264" i="6"/>
  <c r="U264" i="6"/>
  <c r="V519" i="6"/>
  <c r="U519" i="6"/>
  <c r="U592" i="6"/>
  <c r="V592" i="6"/>
  <c r="V350" i="6"/>
  <c r="U350" i="6"/>
  <c r="V130" i="6"/>
  <c r="U130" i="6"/>
  <c r="V41" i="5"/>
  <c r="U41" i="5"/>
  <c r="V425" i="6"/>
  <c r="U425" i="6"/>
  <c r="V302" i="6"/>
  <c r="U302" i="6"/>
  <c r="U244" i="6"/>
  <c r="V244" i="6"/>
  <c r="U36" i="5"/>
  <c r="V36" i="5"/>
  <c r="U208" i="6"/>
  <c r="V208" i="6"/>
  <c r="V78" i="6"/>
  <c r="U78" i="6"/>
  <c r="T568" i="6"/>
  <c r="G34" i="27" s="1"/>
  <c r="AI34" i="27" s="1"/>
  <c r="U463" i="6"/>
  <c r="V463" i="6"/>
  <c r="V432" i="6"/>
  <c r="U432" i="6"/>
  <c r="U495" i="6"/>
  <c r="V495" i="6"/>
  <c r="V287" i="6"/>
  <c r="U287" i="6"/>
  <c r="U27" i="5"/>
  <c r="V27" i="5"/>
  <c r="U596" i="6"/>
  <c r="V596" i="6"/>
  <c r="V347" i="6"/>
  <c r="U347" i="6"/>
  <c r="V472" i="6"/>
  <c r="U472" i="6"/>
  <c r="V90" i="6"/>
  <c r="U90" i="6"/>
  <c r="V359" i="6"/>
  <c r="U359" i="6"/>
  <c r="U584" i="6"/>
  <c r="V584" i="6"/>
  <c r="U332" i="6"/>
  <c r="V332" i="6"/>
  <c r="U240" i="6"/>
  <c r="V240" i="6"/>
  <c r="V399" i="6"/>
  <c r="U399" i="6"/>
  <c r="U163" i="6"/>
  <c r="V163" i="6"/>
  <c r="U478" i="6"/>
  <c r="V478" i="6"/>
  <c r="U497" i="6"/>
  <c r="V497" i="6"/>
  <c r="U320" i="6"/>
  <c r="V320" i="6"/>
  <c r="V18" i="5"/>
  <c r="U18" i="5"/>
  <c r="U525" i="6"/>
  <c r="V525" i="6"/>
  <c r="U514" i="6"/>
  <c r="V514" i="6"/>
  <c r="U135" i="6"/>
  <c r="V135" i="6"/>
  <c r="U322" i="6"/>
  <c r="V322" i="6"/>
  <c r="U390" i="6"/>
  <c r="V390" i="6"/>
  <c r="V114" i="6"/>
  <c r="U114" i="6"/>
  <c r="V327" i="6"/>
  <c r="U327" i="6"/>
  <c r="V111" i="6"/>
  <c r="U111" i="6"/>
  <c r="V403" i="6"/>
  <c r="U403" i="6"/>
  <c r="V335" i="6"/>
  <c r="U335" i="6"/>
  <c r="U465" i="6"/>
  <c r="V465" i="6"/>
  <c r="V73" i="5"/>
  <c r="U73" i="5"/>
  <c r="U78" i="4"/>
  <c r="V78" i="4"/>
  <c r="V485" i="6"/>
  <c r="U485" i="6"/>
  <c r="U524" i="6"/>
  <c r="V524" i="6"/>
  <c r="V102" i="5"/>
  <c r="U102" i="5"/>
  <c r="V387" i="6"/>
  <c r="U387" i="6"/>
  <c r="V291" i="6"/>
  <c r="U291" i="6"/>
  <c r="V574" i="6"/>
  <c r="U574" i="6"/>
  <c r="V99" i="6"/>
  <c r="U99" i="6"/>
  <c r="V487" i="6"/>
  <c r="U487" i="6"/>
  <c r="V62" i="6"/>
  <c r="U62" i="6"/>
  <c r="U486" i="6"/>
  <c r="V486" i="6"/>
  <c r="U591" i="6"/>
  <c r="V591" i="6"/>
  <c r="U348" i="6"/>
  <c r="V348" i="6"/>
  <c r="U426" i="6"/>
  <c r="V426" i="6"/>
  <c r="V118" i="6"/>
  <c r="U118" i="6"/>
  <c r="U534" i="6"/>
  <c r="V534" i="6"/>
  <c r="U173" i="6"/>
  <c r="V173" i="6"/>
  <c r="V323" i="6"/>
  <c r="U323" i="6"/>
  <c r="V441" i="6"/>
  <c r="U441" i="6"/>
  <c r="V89" i="6"/>
  <c r="U89" i="6"/>
  <c r="U139" i="6"/>
  <c r="V139" i="6"/>
  <c r="U37" i="5"/>
  <c r="V37" i="5"/>
  <c r="V351" i="6"/>
  <c r="U351" i="6"/>
  <c r="V391" i="6"/>
  <c r="U391" i="6"/>
  <c r="V65" i="5"/>
  <c r="U65" i="5"/>
  <c r="U523" i="6"/>
  <c r="V523" i="6"/>
  <c r="AD62" i="27"/>
  <c r="U181" i="6"/>
  <c r="V181" i="6"/>
  <c r="U505" i="6"/>
  <c r="V505" i="6"/>
  <c r="U563" i="6"/>
  <c r="V563" i="6"/>
  <c r="V169" i="6"/>
  <c r="U169" i="6"/>
  <c r="T448" i="6"/>
  <c r="G38" i="27" s="1"/>
  <c r="AI38" i="27" s="1"/>
  <c r="V331" i="6"/>
  <c r="U331" i="6"/>
  <c r="U580" i="6"/>
  <c r="V580" i="6"/>
  <c r="U498" i="6"/>
  <c r="V498" i="6"/>
  <c r="V379" i="6"/>
  <c r="U379" i="6"/>
  <c r="U522" i="6"/>
  <c r="V522" i="6"/>
  <c r="V535" i="6"/>
  <c r="U535" i="6"/>
  <c r="U456" i="6"/>
  <c r="V456" i="6"/>
  <c r="V46" i="5"/>
  <c r="U46" i="5"/>
  <c r="V100" i="6"/>
  <c r="U100" i="6"/>
  <c r="V82" i="6"/>
  <c r="U82" i="6"/>
  <c r="U474" i="6"/>
  <c r="V474" i="6"/>
  <c r="U360" i="6"/>
  <c r="V360" i="6"/>
  <c r="V455" i="6"/>
  <c r="U455" i="6"/>
  <c r="V106" i="5"/>
  <c r="U106" i="5"/>
  <c r="V423" i="6"/>
  <c r="U423" i="6"/>
  <c r="U576" i="6"/>
  <c r="V576" i="6"/>
  <c r="V286" i="6"/>
  <c r="U286" i="6"/>
  <c r="U98" i="6"/>
  <c r="V98" i="6"/>
  <c r="U510" i="6"/>
  <c r="V510" i="6"/>
  <c r="U312" i="6"/>
  <c r="V312" i="6"/>
  <c r="V501" i="6"/>
  <c r="U501" i="6"/>
  <c r="U446" i="6"/>
  <c r="V446" i="6"/>
  <c r="AF54" i="27"/>
  <c r="AG36" i="27"/>
  <c r="AF42" i="27"/>
  <c r="S448" i="6"/>
  <c r="F38" i="27" s="1"/>
  <c r="AH38" i="27" s="1"/>
  <c r="U314" i="6"/>
  <c r="V314" i="6"/>
  <c r="S254" i="6"/>
  <c r="U530" i="6"/>
  <c r="V530" i="6"/>
  <c r="U585" i="6"/>
  <c r="V585" i="6"/>
  <c r="V138" i="6"/>
  <c r="U138" i="6"/>
  <c r="U526" i="6"/>
  <c r="V526" i="6"/>
  <c r="U15" i="5"/>
  <c r="V15" i="5"/>
  <c r="U577" i="6"/>
  <c r="V577" i="6"/>
  <c r="U300" i="6"/>
  <c r="V300" i="6"/>
  <c r="V606" i="6"/>
  <c r="U606" i="6"/>
  <c r="U159" i="6"/>
  <c r="V159" i="6"/>
  <c r="V469" i="6"/>
  <c r="U469" i="6"/>
  <c r="V559" i="6"/>
  <c r="U559" i="6"/>
  <c r="G126" i="7"/>
  <c r="H126" i="7" s="1"/>
  <c r="AM9" i="7"/>
  <c r="D64" i="27"/>
  <c r="AF64" i="27" s="1"/>
  <c r="AD63" i="27"/>
  <c r="C54" i="27"/>
  <c r="B48" i="27"/>
  <c r="B49" i="27" s="1"/>
  <c r="C32" i="27"/>
  <c r="O28" i="27"/>
  <c r="C12" i="27"/>
  <c r="V74" i="5"/>
  <c r="U74" i="5"/>
  <c r="V22" i="21"/>
  <c r="AB22" i="21" s="1"/>
  <c r="AC22" i="21" s="1"/>
  <c r="T22" i="21"/>
  <c r="U506" i="6"/>
  <c r="V506" i="6"/>
  <c r="V578" i="6"/>
  <c r="U578" i="6"/>
  <c r="P459" i="6"/>
  <c r="P612" i="6" s="1"/>
  <c r="U364" i="6"/>
  <c r="V364" i="6"/>
  <c r="V366" i="6"/>
  <c r="U366" i="6"/>
  <c r="U482" i="6"/>
  <c r="V482" i="6"/>
  <c r="U575" i="6"/>
  <c r="V575" i="6"/>
  <c r="U502" i="6"/>
  <c r="V502" i="6"/>
  <c r="AB72" i="18"/>
  <c r="AC65" i="18"/>
  <c r="AC72" i="18" s="1"/>
  <c r="U77" i="5"/>
  <c r="V77" i="5"/>
  <c r="U597" i="6"/>
  <c r="V597" i="6"/>
  <c r="W17" i="17"/>
  <c r="X12" i="17"/>
  <c r="V594" i="6"/>
  <c r="U594" i="6"/>
  <c r="U266" i="6"/>
  <c r="V266" i="6"/>
  <c r="U581" i="6"/>
  <c r="V581" i="6"/>
  <c r="U23" i="5"/>
  <c r="V23" i="5"/>
  <c r="U296" i="6"/>
  <c r="V296" i="6"/>
  <c r="U518" i="6"/>
  <c r="V518" i="6"/>
  <c r="U368" i="6"/>
  <c r="V368" i="6"/>
  <c r="V362" i="6"/>
  <c r="U362" i="6"/>
  <c r="U491" i="6"/>
  <c r="V491" i="6"/>
  <c r="U528" i="6"/>
  <c r="V528" i="6"/>
  <c r="U293" i="6"/>
  <c r="V293" i="6"/>
  <c r="V334" i="6"/>
  <c r="U334" i="6"/>
  <c r="U352" i="6"/>
  <c r="V352" i="6"/>
  <c r="V66" i="5"/>
  <c r="U66" i="5"/>
  <c r="N34" i="24"/>
  <c r="O34" i="24" s="1"/>
  <c r="P34" i="24" s="1"/>
  <c r="Q34" i="24" s="1"/>
  <c r="S34" i="24" s="1"/>
  <c r="T34" i="24" s="1"/>
  <c r="V34" i="24" s="1"/>
  <c r="V504" i="6"/>
  <c r="U504" i="6"/>
  <c r="U336" i="6"/>
  <c r="V336" i="6"/>
  <c r="V73" i="4"/>
  <c r="U73" i="4"/>
  <c r="V394" i="6"/>
  <c r="U394" i="6"/>
  <c r="U344" i="6"/>
  <c r="V344" i="6"/>
  <c r="U191" i="6"/>
  <c r="V191" i="6"/>
  <c r="V517" i="6"/>
  <c r="U517" i="6"/>
  <c r="U588" i="6"/>
  <c r="V588" i="6"/>
  <c r="U490" i="6"/>
  <c r="V490" i="6"/>
  <c r="AF12" i="27"/>
  <c r="U275" i="6"/>
  <c r="V275" i="6"/>
  <c r="Z69" i="27"/>
  <c r="Z70" i="27" s="1"/>
  <c r="AD34" i="27"/>
  <c r="Q63" i="4"/>
  <c r="E50" i="27" s="1"/>
  <c r="U306" i="6"/>
  <c r="V306" i="6"/>
  <c r="AB158" i="14"/>
  <c r="AB167" i="14" s="1"/>
  <c r="AA167" i="14"/>
  <c r="F130" i="7"/>
  <c r="F131" i="7" s="1"/>
  <c r="AN48" i="7"/>
  <c r="D62" i="27"/>
  <c r="AF62" i="27" s="1"/>
  <c r="V20" i="21"/>
  <c r="AB20" i="21" s="1"/>
  <c r="R24" i="21"/>
  <c r="R32" i="21" s="1"/>
  <c r="T20" i="21"/>
  <c r="Z107" i="17"/>
  <c r="AA84" i="17"/>
  <c r="AA107" i="17" s="1"/>
  <c r="O117" i="1"/>
  <c r="S49" i="4"/>
  <c r="F58" i="27" s="1"/>
  <c r="AH58" i="27" s="1"/>
  <c r="S186" i="4"/>
  <c r="T186" i="4" s="1"/>
  <c r="S184" i="4"/>
  <c r="T184" i="4" s="1"/>
  <c r="V184" i="4" s="1"/>
  <c r="U184" i="4"/>
  <c r="AA51" i="17"/>
  <c r="AB51" i="17" s="1"/>
  <c r="U583" i="6"/>
  <c r="V583" i="6"/>
  <c r="V343" i="6"/>
  <c r="U343" i="6"/>
  <c r="V363" i="6"/>
  <c r="U363" i="6"/>
  <c r="V265" i="6"/>
  <c r="U265" i="6"/>
  <c r="U61" i="6"/>
  <c r="V61" i="6"/>
  <c r="V419" i="6"/>
  <c r="U419" i="6"/>
  <c r="U400" i="6"/>
  <c r="V400" i="6"/>
  <c r="U431" i="6"/>
  <c r="V431" i="6"/>
  <c r="U87" i="5"/>
  <c r="V87" i="5"/>
  <c r="V429" i="6"/>
  <c r="U429" i="6"/>
  <c r="V318" i="6"/>
  <c r="U318" i="6"/>
  <c r="U410" i="6"/>
  <c r="V410" i="6"/>
  <c r="U248" i="6"/>
  <c r="V248" i="6"/>
  <c r="U123" i="6"/>
  <c r="V123" i="6"/>
  <c r="AA28" i="21"/>
  <c r="Y30" i="21"/>
  <c r="Y32" i="21" s="1"/>
  <c r="U380" i="6"/>
  <c r="V380" i="6"/>
  <c r="U356" i="6"/>
  <c r="V356" i="6"/>
  <c r="U283" i="6"/>
  <c r="V283" i="6"/>
  <c r="U601" i="6"/>
  <c r="V601" i="6"/>
  <c r="V94" i="5"/>
  <c r="U94" i="5"/>
  <c r="U171" i="6"/>
  <c r="V171" i="6"/>
  <c r="U288" i="6"/>
  <c r="V288" i="6"/>
  <c r="U212" i="6"/>
  <c r="V212" i="6"/>
  <c r="U550" i="6"/>
  <c r="V550" i="6"/>
  <c r="V481" i="6"/>
  <c r="U481" i="6"/>
  <c r="U483" i="6"/>
  <c r="V483" i="6"/>
  <c r="U200" i="6"/>
  <c r="V200" i="6"/>
  <c r="Q171" i="4"/>
  <c r="F63" i="27"/>
  <c r="AH63" i="27" s="1"/>
  <c r="U42" i="5"/>
  <c r="V42" i="5"/>
  <c r="U119" i="6"/>
  <c r="V119" i="6"/>
  <c r="U328" i="6"/>
  <c r="V328" i="6"/>
  <c r="U473" i="6"/>
  <c r="V473" i="6"/>
  <c r="U192" i="6"/>
  <c r="V192" i="6"/>
  <c r="V598" i="6"/>
  <c r="U598" i="6"/>
  <c r="V105" i="5"/>
  <c r="U105" i="5"/>
  <c r="U372" i="6"/>
  <c r="V372" i="6"/>
  <c r="V602" i="6"/>
  <c r="U602" i="6"/>
  <c r="U605" i="6"/>
  <c r="V605" i="6"/>
  <c r="V26" i="5"/>
  <c r="U26" i="5"/>
  <c r="V565" i="6"/>
  <c r="U565" i="6"/>
  <c r="U361" i="6"/>
  <c r="V361" i="6"/>
  <c r="U316" i="6"/>
  <c r="V316" i="6"/>
  <c r="U129" i="6"/>
  <c r="V129" i="6"/>
  <c r="U340" i="6"/>
  <c r="V340" i="6"/>
  <c r="U599" i="6"/>
  <c r="V599" i="6"/>
  <c r="AE4" i="7"/>
  <c r="O67" i="27"/>
  <c r="AD54" i="27"/>
  <c r="C44" i="27"/>
  <c r="C38" i="27"/>
  <c r="AF34" i="27"/>
  <c r="L28" i="27"/>
  <c r="AC170" i="14"/>
  <c r="AC33" i="18"/>
  <c r="AA42" i="18"/>
  <c r="AB36" i="18"/>
  <c r="AB42" i="18" s="1"/>
  <c r="AA59" i="17"/>
  <c r="AB59" i="17" s="1"/>
  <c r="S191" i="4"/>
  <c r="T191" i="4" s="1"/>
  <c r="S185" i="4"/>
  <c r="T185" i="4" s="1"/>
  <c r="V185" i="4" s="1"/>
  <c r="S187" i="4"/>
  <c r="T187" i="4" s="1"/>
  <c r="Q24" i="4"/>
  <c r="E56" i="27" s="1"/>
  <c r="AG56" i="27" s="1"/>
  <c r="O612" i="6"/>
  <c r="AA49" i="14"/>
  <c r="AB12" i="14"/>
  <c r="AB49" i="14" s="1"/>
  <c r="U111" i="24"/>
  <c r="AF32" i="27"/>
  <c r="T120" i="5"/>
  <c r="T123" i="5" s="1"/>
  <c r="V13" i="5"/>
  <c r="U13" i="5"/>
  <c r="AA97" i="14"/>
  <c r="AB52" i="14"/>
  <c r="AB97" i="14" s="1"/>
  <c r="U600" i="6"/>
  <c r="V600" i="6"/>
  <c r="U392" i="6"/>
  <c r="V392" i="6"/>
  <c r="V91" i="6"/>
  <c r="U91" i="6"/>
  <c r="V367" i="6"/>
  <c r="U367" i="6"/>
  <c r="V98" i="5"/>
  <c r="U98" i="5"/>
  <c r="V149" i="6"/>
  <c r="U149" i="6"/>
  <c r="U470" i="6"/>
  <c r="V470" i="6"/>
  <c r="U220" i="6"/>
  <c r="V220" i="6"/>
  <c r="V371" i="6"/>
  <c r="U371" i="6"/>
  <c r="U513" i="6"/>
  <c r="V513" i="6"/>
  <c r="U151" i="6"/>
  <c r="V151" i="6"/>
  <c r="U396" i="6"/>
  <c r="V396" i="6"/>
  <c r="V355" i="6"/>
  <c r="U355" i="6"/>
  <c r="U236" i="6"/>
  <c r="V236" i="6"/>
  <c r="U346" i="6"/>
  <c r="V346" i="6"/>
  <c r="AA17" i="21"/>
  <c r="AB14" i="21"/>
  <c r="AB17" i="21" s="1"/>
  <c r="V94" i="6"/>
  <c r="U94" i="6"/>
  <c r="U324" i="6"/>
  <c r="V324" i="6"/>
  <c r="V272" i="6"/>
  <c r="U272" i="6"/>
  <c r="U228" i="6"/>
  <c r="V228" i="6"/>
  <c r="V276" i="6"/>
  <c r="U276" i="6"/>
  <c r="U358" i="6"/>
  <c r="V358" i="6"/>
  <c r="O4" i="7"/>
  <c r="H65" i="27"/>
  <c r="AJ65" i="27" s="1"/>
  <c r="X56" i="17"/>
  <c r="W78" i="17"/>
  <c r="X44" i="17"/>
  <c r="Z40" i="17"/>
  <c r="U127" i="1"/>
  <c r="U444" i="6"/>
  <c r="V444" i="6"/>
  <c r="V299" i="6"/>
  <c r="U299" i="6"/>
  <c r="U477" i="6"/>
  <c r="V477" i="6"/>
  <c r="V385" i="6"/>
  <c r="U385" i="6"/>
  <c r="V117" i="5"/>
  <c r="U117" i="5"/>
  <c r="V93" i="6"/>
  <c r="U93" i="6"/>
  <c r="V311" i="6"/>
  <c r="U311" i="6"/>
  <c r="V158" i="6"/>
  <c r="U158" i="6"/>
  <c r="V467" i="6"/>
  <c r="U467" i="6"/>
  <c r="S120" i="5"/>
  <c r="S123" i="5" s="1"/>
  <c r="O19" i="1"/>
  <c r="AL74" i="7"/>
  <c r="X69" i="27"/>
  <c r="AD64" i="27"/>
  <c r="V13" i="1"/>
  <c r="U13" i="1"/>
  <c r="V307" i="6"/>
  <c r="U307" i="6"/>
  <c r="V435" i="6"/>
  <c r="U435" i="6"/>
  <c r="V375" i="6"/>
  <c r="U375" i="6"/>
  <c r="S568" i="6"/>
  <c r="F34" i="27" s="1"/>
  <c r="AH34" i="27" s="1"/>
  <c r="V590" i="6"/>
  <c r="U590" i="6"/>
  <c r="U320" i="1"/>
  <c r="V97" i="6"/>
  <c r="U97" i="6"/>
  <c r="U304" i="6"/>
  <c r="V304" i="6"/>
  <c r="U204" i="6"/>
  <c r="V204" i="6"/>
  <c r="U48" i="5"/>
  <c r="V48" i="5"/>
  <c r="U179" i="6"/>
  <c r="V179" i="6"/>
  <c r="U112" i="6"/>
  <c r="V112" i="6"/>
  <c r="U19" i="5"/>
  <c r="V19" i="5"/>
  <c r="U603" i="6"/>
  <c r="V603" i="6"/>
  <c r="U258" i="6"/>
  <c r="V258" i="6"/>
  <c r="T405" i="6"/>
  <c r="G36" i="27" s="1"/>
  <c r="AI36" i="27" s="1"/>
  <c r="U553" i="6"/>
  <c r="V553" i="6"/>
  <c r="U496" i="6"/>
  <c r="V496" i="6"/>
  <c r="X34" i="17"/>
  <c r="Z23" i="17"/>
  <c r="AB171" i="14"/>
  <c r="AC171" i="14" s="1"/>
  <c r="AA173" i="14"/>
  <c r="U187" i="6"/>
  <c r="V187" i="6"/>
  <c r="V319" i="6"/>
  <c r="U319" i="6"/>
  <c r="U521" i="6"/>
  <c r="V521" i="6"/>
  <c r="U492" i="6"/>
  <c r="V492" i="6"/>
  <c r="U35" i="5"/>
  <c r="V35" i="5"/>
  <c r="V124" i="14"/>
  <c r="U558" i="6"/>
  <c r="V558" i="6"/>
  <c r="N20" i="1"/>
  <c r="O20" i="1" s="1"/>
  <c r="S20" i="1" s="1"/>
  <c r="U509" i="6"/>
  <c r="V509" i="6"/>
  <c r="U557" i="6"/>
  <c r="V557" i="6"/>
  <c r="U161" i="6"/>
  <c r="V161" i="6"/>
  <c r="U546" i="6"/>
  <c r="V546" i="6"/>
  <c r="V529" i="6"/>
  <c r="U529" i="6"/>
  <c r="U531" i="6"/>
  <c r="V531" i="6"/>
  <c r="X124" i="14"/>
  <c r="N48" i="24"/>
  <c r="O48" i="24" s="1"/>
  <c r="P48" i="24" s="1"/>
  <c r="Q48" i="24" s="1"/>
  <c r="V107" i="6"/>
  <c r="U107" i="6"/>
  <c r="U532" i="6"/>
  <c r="V532" i="6"/>
  <c r="V126" i="6"/>
  <c r="U126" i="6"/>
  <c r="U494" i="6"/>
  <c r="V494" i="6"/>
  <c r="V503" i="6"/>
  <c r="U503" i="6"/>
  <c r="V543" i="6"/>
  <c r="U543" i="6"/>
  <c r="V30" i="5"/>
  <c r="U30" i="5"/>
  <c r="E63" i="27"/>
  <c r="AG63" i="27" s="1"/>
  <c r="Q17" i="17"/>
  <c r="Q109" i="17" s="1"/>
  <c r="U12" i="17"/>
  <c r="U17" i="17" s="1"/>
  <c r="S12" i="17"/>
  <c r="S17" i="17" s="1"/>
  <c r="S405" i="6"/>
  <c r="F36" i="27" s="1"/>
  <c r="AH36" i="27" s="1"/>
  <c r="AA24" i="21"/>
  <c r="V152" i="1" l="1"/>
  <c r="V144" i="1"/>
  <c r="T134" i="1"/>
  <c r="V134" i="1" s="1"/>
  <c r="Q255" i="1"/>
  <c r="E22" i="27" s="1"/>
  <c r="AG22" i="27" s="1"/>
  <c r="E20" i="7" s="1"/>
  <c r="V34" i="1"/>
  <c r="U245" i="1"/>
  <c r="P172" i="1"/>
  <c r="T255" i="1"/>
  <c r="G22" i="27" s="1"/>
  <c r="AI22" i="27" s="1"/>
  <c r="G20" i="7" s="1"/>
  <c r="S172" i="1"/>
  <c r="U241" i="1"/>
  <c r="U158" i="1"/>
  <c r="M180" i="1"/>
  <c r="M272" i="1" s="1"/>
  <c r="B10" i="27"/>
  <c r="T58" i="7"/>
  <c r="O58" i="7"/>
  <c r="Y58" i="7" s="1"/>
  <c r="U176" i="1"/>
  <c r="U178" i="1" s="1"/>
  <c r="T178" i="1"/>
  <c r="G18" i="27" s="1"/>
  <c r="AI18" i="27" s="1"/>
  <c r="G16" i="7" s="1"/>
  <c r="V176" i="1"/>
  <c r="V178" i="1" s="1"/>
  <c r="H18" i="27" s="1"/>
  <c r="AJ18" i="27" s="1"/>
  <c r="H16" i="7" s="1"/>
  <c r="Q184" i="1"/>
  <c r="T184" i="1" s="1"/>
  <c r="Q178" i="1"/>
  <c r="E18" i="27" s="1"/>
  <c r="AG18" i="27" s="1"/>
  <c r="E16" i="7" s="1"/>
  <c r="U318" i="1"/>
  <c r="V161" i="1"/>
  <c r="V303" i="1"/>
  <c r="T156" i="1"/>
  <c r="P276" i="1"/>
  <c r="Q276" i="1" s="1"/>
  <c r="S276" i="1"/>
  <c r="V14" i="1"/>
  <c r="Q172" i="1"/>
  <c r="E16" i="27" s="1"/>
  <c r="AG16" i="27" s="1"/>
  <c r="E14" i="7" s="1"/>
  <c r="Q107" i="1"/>
  <c r="Q117" i="1" s="1"/>
  <c r="E12" i="27" s="1"/>
  <c r="AG12" i="27" s="1"/>
  <c r="E10" i="7" s="1"/>
  <c r="V148" i="1"/>
  <c r="U132" i="1"/>
  <c r="U154" i="1"/>
  <c r="V154" i="1"/>
  <c r="P192" i="1"/>
  <c r="D24" i="7"/>
  <c r="B24" i="7"/>
  <c r="V24" i="1"/>
  <c r="U32" i="1"/>
  <c r="V32" i="1"/>
  <c r="U40" i="1"/>
  <c r="V40" i="1"/>
  <c r="P20" i="1"/>
  <c r="Q20" i="1" s="1"/>
  <c r="T20" i="1" s="1"/>
  <c r="V105" i="1"/>
  <c r="U24" i="24"/>
  <c r="Q270" i="1"/>
  <c r="E26" i="27" s="1"/>
  <c r="AG26" i="27" s="1"/>
  <c r="U8" i="24"/>
  <c r="U36" i="24"/>
  <c r="U34" i="24"/>
  <c r="S192" i="1"/>
  <c r="F20" i="27" s="1"/>
  <c r="AH20" i="27" s="1"/>
  <c r="U30" i="24"/>
  <c r="S48" i="24"/>
  <c r="T48" i="24" s="1"/>
  <c r="V48" i="24" s="1"/>
  <c r="U185" i="4"/>
  <c r="U10" i="24"/>
  <c r="V255" i="1"/>
  <c r="H22" i="27" s="1"/>
  <c r="AJ22" i="27" s="1"/>
  <c r="X58" i="7"/>
  <c r="U106" i="4"/>
  <c r="V106" i="4"/>
  <c r="U107" i="4"/>
  <c r="V107" i="4"/>
  <c r="V108" i="4"/>
  <c r="U108" i="4"/>
  <c r="U105" i="4"/>
  <c r="V105" i="4"/>
  <c r="U104" i="4"/>
  <c r="V104" i="4"/>
  <c r="C58" i="7"/>
  <c r="G83" i="7"/>
  <c r="H62" i="7"/>
  <c r="H63" i="7"/>
  <c r="F56" i="7"/>
  <c r="F61" i="7"/>
  <c r="E56" i="7"/>
  <c r="E61" i="7"/>
  <c r="E54" i="7"/>
  <c r="D61" i="7"/>
  <c r="D62" i="7"/>
  <c r="D54" i="7"/>
  <c r="D60" i="7"/>
  <c r="D63" i="7"/>
  <c r="D56" i="7"/>
  <c r="D52" i="7"/>
  <c r="B63" i="7"/>
  <c r="B56" i="7"/>
  <c r="B54" i="7"/>
  <c r="B48" i="7"/>
  <c r="G32" i="7"/>
  <c r="G36" i="7"/>
  <c r="G34" i="7"/>
  <c r="F32" i="7"/>
  <c r="F36" i="7"/>
  <c r="F34" i="7"/>
  <c r="F38" i="7"/>
  <c r="E34" i="7"/>
  <c r="E30" i="7"/>
  <c r="E32" i="7"/>
  <c r="E42" i="7"/>
  <c r="E36" i="7"/>
  <c r="E38" i="7"/>
  <c r="E40" i="7"/>
  <c r="D42" i="7"/>
  <c r="D38" i="7"/>
  <c r="D44" i="7"/>
  <c r="D34" i="7"/>
  <c r="D32" i="7"/>
  <c r="D36" i="7"/>
  <c r="D40" i="7"/>
  <c r="B42" i="7"/>
  <c r="B40" i="7"/>
  <c r="B36" i="7"/>
  <c r="B34" i="7"/>
  <c r="B30" i="7"/>
  <c r="H22" i="7"/>
  <c r="H12" i="7"/>
  <c r="G22" i="7"/>
  <c r="G14" i="7"/>
  <c r="G12" i="7"/>
  <c r="F16" i="7"/>
  <c r="F10" i="7"/>
  <c r="F12" i="7"/>
  <c r="F20" i="7"/>
  <c r="F22" i="7"/>
  <c r="F14" i="7"/>
  <c r="E12" i="7"/>
  <c r="E22" i="7"/>
  <c r="D12" i="7"/>
  <c r="D18" i="7"/>
  <c r="D22" i="7"/>
  <c r="D20" i="7"/>
  <c r="D10" i="7"/>
  <c r="B12" i="7"/>
  <c r="B20" i="7"/>
  <c r="B22" i="7"/>
  <c r="B18" i="7"/>
  <c r="B16" i="7"/>
  <c r="B14" i="7"/>
  <c r="B10" i="7"/>
  <c r="O284" i="1"/>
  <c r="C20" i="27"/>
  <c r="AC112" i="14"/>
  <c r="AC120" i="14" s="1"/>
  <c r="V74" i="18"/>
  <c r="V411" i="6"/>
  <c r="V413" i="6" s="1"/>
  <c r="AE38" i="27"/>
  <c r="AE65" i="27"/>
  <c r="T413" i="6"/>
  <c r="G44" i="27" s="1"/>
  <c r="AI44" i="27" s="1"/>
  <c r="O63" i="4"/>
  <c r="C16" i="27"/>
  <c r="W109" i="17"/>
  <c r="D14" i="7"/>
  <c r="AE16" i="27"/>
  <c r="C50" i="27"/>
  <c r="G94" i="7"/>
  <c r="G95" i="7"/>
  <c r="M28" i="27"/>
  <c r="AE24" i="27"/>
  <c r="U109" i="17"/>
  <c r="R69" i="27"/>
  <c r="R70" i="27" s="1"/>
  <c r="S109" i="17"/>
  <c r="V146" i="1"/>
  <c r="U146" i="1"/>
  <c r="M67" i="27"/>
  <c r="AE36" i="27"/>
  <c r="N69" i="27"/>
  <c r="N70" i="27" s="1"/>
  <c r="AB74" i="18"/>
  <c r="AC158" i="14"/>
  <c r="AC167" i="14" s="1"/>
  <c r="AE18" i="27"/>
  <c r="AE22" i="27"/>
  <c r="M48" i="27"/>
  <c r="T24" i="21"/>
  <c r="T32" i="21" s="1"/>
  <c r="AF50" i="27"/>
  <c r="L69" i="27"/>
  <c r="L70" i="27" s="1"/>
  <c r="V24" i="21"/>
  <c r="V32" i="21" s="1"/>
  <c r="P69" i="27"/>
  <c r="P70" i="27" s="1"/>
  <c r="AE14" i="27"/>
  <c r="AE44" i="27"/>
  <c r="AE20" i="27"/>
  <c r="AE26" i="27"/>
  <c r="AC12" i="14"/>
  <c r="AC49" i="14" s="1"/>
  <c r="AB44" i="18"/>
  <c r="Q69" i="27"/>
  <c r="Q70" i="27" s="1"/>
  <c r="F44" i="27"/>
  <c r="AH44" i="27" s="1"/>
  <c r="F42" i="27"/>
  <c r="AH42" i="27" s="1"/>
  <c r="AE40" i="27"/>
  <c r="B38" i="7"/>
  <c r="M179" i="4"/>
  <c r="B52" i="27"/>
  <c r="AC36" i="18"/>
  <c r="AC42" i="18" s="1"/>
  <c r="AC74" i="18" s="1"/>
  <c r="D16" i="7"/>
  <c r="V69" i="27"/>
  <c r="O71" i="4"/>
  <c r="S71" i="4" s="1"/>
  <c r="N116" i="4"/>
  <c r="U448" i="6"/>
  <c r="AM12" i="7"/>
  <c r="AE46" i="27"/>
  <c r="B44" i="7"/>
  <c r="V42" i="4"/>
  <c r="H63" i="27" s="1"/>
  <c r="AJ63" i="27" s="1"/>
  <c r="V448" i="6"/>
  <c r="H38" i="27" s="1"/>
  <c r="AJ38" i="27" s="1"/>
  <c r="AE58" i="27"/>
  <c r="E62" i="27"/>
  <c r="AG62" i="27" s="1"/>
  <c r="V254" i="6"/>
  <c r="H32" i="27" s="1"/>
  <c r="AE56" i="27"/>
  <c r="V158" i="4"/>
  <c r="U158" i="4"/>
  <c r="V161" i="4"/>
  <c r="U161" i="4"/>
  <c r="U111" i="4"/>
  <c r="V111" i="4"/>
  <c r="U99" i="4"/>
  <c r="V99" i="4"/>
  <c r="T63" i="4"/>
  <c r="G50" i="27" s="1"/>
  <c r="V91" i="4"/>
  <c r="U91" i="4"/>
  <c r="U101" i="4"/>
  <c r="V101" i="4"/>
  <c r="U72" i="4"/>
  <c r="V72" i="4"/>
  <c r="V133" i="4"/>
  <c r="U133" i="4"/>
  <c r="U186" i="4"/>
  <c r="V186" i="4"/>
  <c r="U33" i="4"/>
  <c r="V33" i="4"/>
  <c r="U22" i="4"/>
  <c r="V22" i="4"/>
  <c r="V127" i="4"/>
  <c r="U127" i="4"/>
  <c r="V155" i="4"/>
  <c r="U155" i="4"/>
  <c r="U152" i="4"/>
  <c r="V152" i="4"/>
  <c r="V142" i="4"/>
  <c r="U142" i="4"/>
  <c r="V166" i="4"/>
  <c r="U166" i="4"/>
  <c r="V149" i="4"/>
  <c r="U149" i="4"/>
  <c r="V109" i="4"/>
  <c r="U109" i="4"/>
  <c r="U77" i="4"/>
  <c r="V77" i="4"/>
  <c r="U76" i="4"/>
  <c r="V76" i="4"/>
  <c r="U112" i="4"/>
  <c r="V112" i="4"/>
  <c r="U34" i="4"/>
  <c r="V34" i="4"/>
  <c r="V131" i="4"/>
  <c r="U131" i="4"/>
  <c r="V153" i="4"/>
  <c r="U153" i="4"/>
  <c r="U129" i="4"/>
  <c r="V129" i="4"/>
  <c r="U96" i="4"/>
  <c r="V96" i="4"/>
  <c r="U148" i="4"/>
  <c r="V148" i="4"/>
  <c r="U92" i="4"/>
  <c r="V92" i="4"/>
  <c r="U38" i="4"/>
  <c r="V38" i="4"/>
  <c r="U68" i="4"/>
  <c r="V68" i="4"/>
  <c r="V145" i="4"/>
  <c r="U145" i="4"/>
  <c r="V21" i="4"/>
  <c r="U21" i="4"/>
  <c r="V167" i="4"/>
  <c r="U167" i="4"/>
  <c r="V113" i="4"/>
  <c r="U113" i="4"/>
  <c r="U97" i="4"/>
  <c r="V97" i="4"/>
  <c r="V86" i="4"/>
  <c r="U86" i="4"/>
  <c r="V32" i="4"/>
  <c r="U32" i="4"/>
  <c r="U139" i="4"/>
  <c r="V139" i="4"/>
  <c r="V36" i="4"/>
  <c r="U36" i="4"/>
  <c r="V137" i="4"/>
  <c r="U137" i="4"/>
  <c r="U87" i="4"/>
  <c r="V87" i="4"/>
  <c r="V12" i="4"/>
  <c r="U12" i="4"/>
  <c r="T24" i="4"/>
  <c r="G56" i="27" s="1"/>
  <c r="AI56" i="27" s="1"/>
  <c r="U191" i="4"/>
  <c r="V191" i="4"/>
  <c r="V138" i="4"/>
  <c r="U138" i="4"/>
  <c r="U125" i="4"/>
  <c r="V125" i="4"/>
  <c r="V53" i="4"/>
  <c r="U53" i="4"/>
  <c r="V19" i="4"/>
  <c r="U19" i="4"/>
  <c r="U35" i="4"/>
  <c r="V35" i="4"/>
  <c r="V15" i="4"/>
  <c r="U15" i="4"/>
  <c r="U110" i="4"/>
  <c r="V110" i="4"/>
  <c r="V169" i="4"/>
  <c r="U169" i="4"/>
  <c r="V121" i="4"/>
  <c r="U121" i="4"/>
  <c r="U164" i="4"/>
  <c r="V164" i="4"/>
  <c r="U84" i="4"/>
  <c r="V84" i="4"/>
  <c r="U57" i="4"/>
  <c r="V57" i="4"/>
  <c r="V162" i="4"/>
  <c r="U162" i="4"/>
  <c r="V163" i="4"/>
  <c r="U163" i="4"/>
  <c r="V28" i="4"/>
  <c r="U28" i="4"/>
  <c r="U39" i="4"/>
  <c r="V39" i="4"/>
  <c r="U30" i="4"/>
  <c r="V30" i="4"/>
  <c r="U83" i="4"/>
  <c r="V83" i="4"/>
  <c r="U20" i="4"/>
  <c r="V20" i="4"/>
  <c r="V58" i="4"/>
  <c r="U58" i="4"/>
  <c r="V89" i="4"/>
  <c r="U89" i="4"/>
  <c r="U37" i="4"/>
  <c r="V37" i="4"/>
  <c r="V55" i="4"/>
  <c r="U55" i="4"/>
  <c r="V141" i="4"/>
  <c r="U141" i="4"/>
  <c r="V81" i="4"/>
  <c r="U81" i="4"/>
  <c r="U44" i="4"/>
  <c r="V44" i="4"/>
  <c r="V40" i="4"/>
  <c r="U40" i="4"/>
  <c r="U74" i="4"/>
  <c r="V74" i="4"/>
  <c r="U82" i="4"/>
  <c r="V82" i="4"/>
  <c r="V146" i="4"/>
  <c r="U146" i="4"/>
  <c r="V54" i="4"/>
  <c r="U54" i="4"/>
  <c r="U94" i="4"/>
  <c r="V94" i="4"/>
  <c r="U56" i="4"/>
  <c r="V56" i="4"/>
  <c r="V165" i="4"/>
  <c r="U165" i="4"/>
  <c r="U187" i="4"/>
  <c r="V187" i="4"/>
  <c r="V120" i="4"/>
  <c r="U120" i="4"/>
  <c r="T171" i="4"/>
  <c r="U14" i="4"/>
  <c r="V14" i="4"/>
  <c r="V128" i="4"/>
  <c r="U128" i="4"/>
  <c r="U136" i="4"/>
  <c r="V136" i="4"/>
  <c r="V59" i="4"/>
  <c r="U59" i="4"/>
  <c r="V405" i="6"/>
  <c r="H36" i="27" s="1"/>
  <c r="AJ36" i="27" s="1"/>
  <c r="P19" i="1"/>
  <c r="O101" i="1"/>
  <c r="O180" i="1" s="1"/>
  <c r="O272" i="1" s="1"/>
  <c r="V157" i="4"/>
  <c r="U157" i="4"/>
  <c r="V69" i="4"/>
  <c r="U69" i="4"/>
  <c r="U413" i="6"/>
  <c r="U572" i="6"/>
  <c r="U610" i="6" s="1"/>
  <c r="V572" i="6"/>
  <c r="V610" i="6" s="1"/>
  <c r="H40" i="27" s="1"/>
  <c r="AJ40" i="27" s="1"/>
  <c r="T610" i="6"/>
  <c r="G40" i="27" s="1"/>
  <c r="AI40" i="27" s="1"/>
  <c r="B32" i="7"/>
  <c r="AE34" i="27"/>
  <c r="U75" i="4"/>
  <c r="V75" i="4"/>
  <c r="U98" i="4"/>
  <c r="V98" i="4"/>
  <c r="Z12" i="17"/>
  <c r="X17" i="17"/>
  <c r="C48" i="27"/>
  <c r="U95" i="4"/>
  <c r="V95" i="4"/>
  <c r="V568" i="6"/>
  <c r="H34" i="27" s="1"/>
  <c r="AJ34" i="27" s="1"/>
  <c r="AE12" i="27"/>
  <c r="AB24" i="21"/>
  <c r="AC20" i="21"/>
  <c r="AC24" i="21" s="1"/>
  <c r="V16" i="4"/>
  <c r="U16" i="4"/>
  <c r="AA23" i="17"/>
  <c r="AA34" i="17" s="1"/>
  <c r="Z34" i="17"/>
  <c r="U405" i="6"/>
  <c r="AF48" i="27"/>
  <c r="D30" i="7"/>
  <c r="O69" i="27"/>
  <c r="O70" i="27" s="1"/>
  <c r="U93" i="4"/>
  <c r="V93" i="4"/>
  <c r="V41" i="4"/>
  <c r="U41" i="4"/>
  <c r="AB84" i="17"/>
  <c r="AB107" i="17" s="1"/>
  <c r="U568" i="6"/>
  <c r="F83" i="7"/>
  <c r="AC173" i="14"/>
  <c r="U168" i="4"/>
  <c r="V168" i="4"/>
  <c r="U147" i="4"/>
  <c r="V147" i="4"/>
  <c r="V151" i="4"/>
  <c r="U151" i="4"/>
  <c r="V88" i="4"/>
  <c r="U88" i="4"/>
  <c r="V18" i="4"/>
  <c r="U18" i="4"/>
  <c r="S24" i="4"/>
  <c r="F56" i="27" s="1"/>
  <c r="AH56" i="27" s="1"/>
  <c r="U85" i="4"/>
  <c r="V85" i="4"/>
  <c r="U61" i="4"/>
  <c r="V61" i="4"/>
  <c r="V126" i="4"/>
  <c r="U126" i="4"/>
  <c r="V66" i="4"/>
  <c r="U66" i="4"/>
  <c r="V13" i="4"/>
  <c r="U13" i="4"/>
  <c r="S101" i="1"/>
  <c r="S63" i="4"/>
  <c r="F50" i="27" s="1"/>
  <c r="U79" i="4"/>
  <c r="V79" i="4"/>
  <c r="V150" i="4"/>
  <c r="U150" i="4"/>
  <c r="S459" i="6"/>
  <c r="F46" i="27" s="1"/>
  <c r="AH46" i="27" s="1"/>
  <c r="Q459" i="6"/>
  <c r="V130" i="4"/>
  <c r="U130" i="4"/>
  <c r="E83" i="7"/>
  <c r="V154" i="4"/>
  <c r="U154" i="4"/>
  <c r="V67" i="4"/>
  <c r="U67" i="4"/>
  <c r="U160" i="4"/>
  <c r="V160" i="4"/>
  <c r="V159" i="4"/>
  <c r="U159" i="4"/>
  <c r="U31" i="4"/>
  <c r="V31" i="4"/>
  <c r="B62" i="7"/>
  <c r="AE64" i="27"/>
  <c r="V123" i="4"/>
  <c r="U123" i="4"/>
  <c r="U43" i="4"/>
  <c r="V43" i="4"/>
  <c r="AG50" i="27"/>
  <c r="AE32" i="27"/>
  <c r="C106" i="7"/>
  <c r="C102" i="7"/>
  <c r="U80" i="4"/>
  <c r="V80" i="4"/>
  <c r="V124" i="4"/>
  <c r="U124" i="4"/>
  <c r="V90" i="4"/>
  <c r="U90" i="4"/>
  <c r="S46" i="4"/>
  <c r="F62" i="27" s="1"/>
  <c r="AH62" i="27" s="1"/>
  <c r="U12" i="6"/>
  <c r="U254" i="6" s="1"/>
  <c r="T254" i="6"/>
  <c r="T407" i="6" s="1"/>
  <c r="AC52" i="14"/>
  <c r="AC97" i="14" s="1"/>
  <c r="AB124" i="14"/>
  <c r="S171" i="4"/>
  <c r="AD48" i="27"/>
  <c r="C100" i="7"/>
  <c r="V17" i="4"/>
  <c r="U17" i="4"/>
  <c r="V60" i="4"/>
  <c r="U60" i="4"/>
  <c r="U156" i="4"/>
  <c r="V156" i="4"/>
  <c r="U140" i="4"/>
  <c r="V140" i="4"/>
  <c r="U132" i="4"/>
  <c r="V132" i="4"/>
  <c r="AE63" i="27"/>
  <c r="B61" i="7"/>
  <c r="Z44" i="17"/>
  <c r="AA40" i="17"/>
  <c r="AA44" i="17" s="1"/>
  <c r="Z56" i="17"/>
  <c r="X78" i="17"/>
  <c r="U120" i="5"/>
  <c r="U123" i="5" s="1"/>
  <c r="AB173" i="14"/>
  <c r="AB177" i="14" s="1"/>
  <c r="E54" i="27"/>
  <c r="AG54" i="27" s="1"/>
  <c r="AA30" i="21"/>
  <c r="AA32" i="21" s="1"/>
  <c r="AB28" i="21"/>
  <c r="AB30" i="21" s="1"/>
  <c r="T49" i="4"/>
  <c r="S407" i="6"/>
  <c r="F32" i="27"/>
  <c r="G32" i="27"/>
  <c r="C62" i="27"/>
  <c r="AA177" i="14"/>
  <c r="AA124" i="14"/>
  <c r="U135" i="4"/>
  <c r="V135" i="4"/>
  <c r="V134" i="4"/>
  <c r="U134" i="4"/>
  <c r="N101" i="1"/>
  <c r="U143" i="4"/>
  <c r="V143" i="4"/>
  <c r="AC14" i="21"/>
  <c r="AC17" i="21" s="1"/>
  <c r="V120" i="5"/>
  <c r="V123" i="5" s="1"/>
  <c r="AA74" i="18"/>
  <c r="AA44" i="18"/>
  <c r="B52" i="7"/>
  <c r="AE54" i="27"/>
  <c r="V103" i="4"/>
  <c r="U103" i="4"/>
  <c r="U122" i="4"/>
  <c r="V122" i="4"/>
  <c r="U102" i="4"/>
  <c r="V102" i="4"/>
  <c r="U100" i="4"/>
  <c r="V100" i="4"/>
  <c r="V70" i="4"/>
  <c r="U70" i="4"/>
  <c r="U144" i="4"/>
  <c r="V144" i="4"/>
  <c r="AE62" i="27"/>
  <c r="B60" i="7"/>
  <c r="G130" i="7"/>
  <c r="G131" i="7" s="1"/>
  <c r="AE42" i="27"/>
  <c r="U255" i="1" l="1"/>
  <c r="B28" i="27"/>
  <c r="U134" i="1"/>
  <c r="P284" i="1"/>
  <c r="P101" i="1"/>
  <c r="P180" i="1" s="1"/>
  <c r="P272" i="1" s="1"/>
  <c r="T276" i="1"/>
  <c r="U12" i="7"/>
  <c r="U22" i="7"/>
  <c r="AI26" i="7" s="1"/>
  <c r="U16" i="7"/>
  <c r="U58" i="7"/>
  <c r="T40" i="7"/>
  <c r="AH47" i="7" s="1"/>
  <c r="X38" i="7"/>
  <c r="E77" i="7"/>
  <c r="T77" i="7" s="1"/>
  <c r="X36" i="7"/>
  <c r="J61" i="7"/>
  <c r="T61" i="7" s="1"/>
  <c r="AH61" i="7" s="1"/>
  <c r="T42" i="7"/>
  <c r="AH46" i="7" s="1"/>
  <c r="X56" i="7"/>
  <c r="T32" i="7"/>
  <c r="AH38" i="7" s="1"/>
  <c r="X30" i="7"/>
  <c r="T34" i="7"/>
  <c r="AH42" i="7" s="1"/>
  <c r="T22" i="7"/>
  <c r="AH26" i="7" s="1"/>
  <c r="T20" i="7"/>
  <c r="T12" i="7"/>
  <c r="X14" i="7"/>
  <c r="X16" i="7"/>
  <c r="T10" i="7"/>
  <c r="AH21" i="7" s="1"/>
  <c r="D77" i="7"/>
  <c r="B77" i="7"/>
  <c r="U184" i="1"/>
  <c r="U192" i="1" s="1"/>
  <c r="V184" i="1"/>
  <c r="V192" i="1" s="1"/>
  <c r="H20" i="27" s="1"/>
  <c r="AJ20" i="27" s="1"/>
  <c r="H18" i="7" s="1"/>
  <c r="T192" i="1"/>
  <c r="G20" i="27" s="1"/>
  <c r="AI20" i="27" s="1"/>
  <c r="G18" i="7" s="1"/>
  <c r="T107" i="1"/>
  <c r="T117" i="1" s="1"/>
  <c r="G12" i="27" s="1"/>
  <c r="AI12" i="27" s="1"/>
  <c r="Q192" i="1"/>
  <c r="E20" i="27" s="1"/>
  <c r="AG20" i="27" s="1"/>
  <c r="E18" i="7" s="1"/>
  <c r="V156" i="1"/>
  <c r="V172" i="1" s="1"/>
  <c r="H16" i="27" s="1"/>
  <c r="AJ16" i="27" s="1"/>
  <c r="H14" i="7" s="1"/>
  <c r="U156" i="1"/>
  <c r="U172" i="1" s="1"/>
  <c r="T172" i="1"/>
  <c r="F18" i="7"/>
  <c r="E24" i="7"/>
  <c r="T24" i="7" s="1"/>
  <c r="C24" i="7"/>
  <c r="U105" i="1"/>
  <c r="U48" i="24"/>
  <c r="Q284" i="1"/>
  <c r="S270" i="1"/>
  <c r="F26" i="27" s="1"/>
  <c r="AH26" i="27" s="1"/>
  <c r="H20" i="7"/>
  <c r="C60" i="7"/>
  <c r="C61" i="7"/>
  <c r="D82" i="7"/>
  <c r="H83" i="7"/>
  <c r="K83" i="7" s="1"/>
  <c r="H81" i="7"/>
  <c r="O81" i="7" s="1"/>
  <c r="X32" i="7"/>
  <c r="D78" i="7"/>
  <c r="C52" i="7"/>
  <c r="E78" i="7"/>
  <c r="C56" i="7"/>
  <c r="D83" i="7"/>
  <c r="C54" i="7"/>
  <c r="H61" i="7"/>
  <c r="C63" i="7"/>
  <c r="D84" i="7"/>
  <c r="T56" i="7"/>
  <c r="G54" i="7"/>
  <c r="B78" i="7"/>
  <c r="F60" i="7"/>
  <c r="F54" i="7"/>
  <c r="E60" i="7"/>
  <c r="E52" i="7"/>
  <c r="AE50" i="27"/>
  <c r="T30" i="7"/>
  <c r="C44" i="7"/>
  <c r="C40" i="7"/>
  <c r="T38" i="7"/>
  <c r="AH45" i="7" s="1"/>
  <c r="C36" i="7"/>
  <c r="X12" i="7"/>
  <c r="X34" i="7"/>
  <c r="H34" i="7"/>
  <c r="H32" i="7"/>
  <c r="H36" i="7"/>
  <c r="H38" i="7"/>
  <c r="T36" i="7"/>
  <c r="AH44" i="7" s="1"/>
  <c r="G38" i="7"/>
  <c r="D46" i="7"/>
  <c r="C42" i="7"/>
  <c r="C38" i="7"/>
  <c r="G42" i="7"/>
  <c r="F42" i="7"/>
  <c r="F44" i="7"/>
  <c r="F40" i="7"/>
  <c r="X42" i="7"/>
  <c r="C32" i="7"/>
  <c r="C34" i="7"/>
  <c r="T14" i="7"/>
  <c r="AH14" i="7" s="1"/>
  <c r="Y16" i="7"/>
  <c r="Y12" i="7"/>
  <c r="X20" i="7"/>
  <c r="C12" i="7"/>
  <c r="X10" i="7"/>
  <c r="C18" i="7"/>
  <c r="T16" i="7"/>
  <c r="C10" i="7"/>
  <c r="C22" i="7"/>
  <c r="C20" i="7"/>
  <c r="C16" i="7"/>
  <c r="C14" i="7"/>
  <c r="G42" i="27"/>
  <c r="AI42" i="27" s="1"/>
  <c r="M69" i="27"/>
  <c r="AC44" i="18"/>
  <c r="D48" i="7"/>
  <c r="U42" i="4"/>
  <c r="AB32" i="21"/>
  <c r="AC177" i="14"/>
  <c r="X109" i="17"/>
  <c r="G63" i="27"/>
  <c r="AI63" i="27" s="1"/>
  <c r="S612" i="6"/>
  <c r="U407" i="6"/>
  <c r="B46" i="7"/>
  <c r="N179" i="4"/>
  <c r="D52" i="27"/>
  <c r="C30" i="7"/>
  <c r="P71" i="4"/>
  <c r="Q71" i="4" s="1"/>
  <c r="T71" i="4" s="1"/>
  <c r="O116" i="4"/>
  <c r="O179" i="4" s="1"/>
  <c r="B67" i="27"/>
  <c r="B68" i="27" s="1"/>
  <c r="AD52" i="27"/>
  <c r="D81" i="7"/>
  <c r="U453" i="6"/>
  <c r="U459" i="6" s="1"/>
  <c r="T46" i="4"/>
  <c r="W123" i="5"/>
  <c r="AC124" i="14"/>
  <c r="AH32" i="27"/>
  <c r="F48" i="27"/>
  <c r="AC28" i="21"/>
  <c r="AC30" i="21" s="1"/>
  <c r="AC32" i="21" s="1"/>
  <c r="AA56" i="17"/>
  <c r="AA78" i="17" s="1"/>
  <c r="Z78" i="17"/>
  <c r="G82" i="7"/>
  <c r="E82" i="7"/>
  <c r="F82" i="7"/>
  <c r="B82" i="7"/>
  <c r="B81" i="7"/>
  <c r="B84" i="7"/>
  <c r="C62" i="7"/>
  <c r="B83" i="7"/>
  <c r="AH50" i="27"/>
  <c r="AI32" i="27"/>
  <c r="AB40" i="17"/>
  <c r="AB44" i="17" s="1"/>
  <c r="E84" i="7"/>
  <c r="F84" i="7"/>
  <c r="G84" i="7"/>
  <c r="T83" i="7"/>
  <c r="AH66" i="7" s="1"/>
  <c r="AQ66" i="7" s="1"/>
  <c r="J83" i="7"/>
  <c r="E46" i="27"/>
  <c r="Q612" i="6"/>
  <c r="S180" i="1"/>
  <c r="F10" i="27"/>
  <c r="AB23" i="17"/>
  <c r="AB34" i="17" s="1"/>
  <c r="Z17" i="17"/>
  <c r="AA12" i="17"/>
  <c r="AA17" i="17" s="1"/>
  <c r="H84" i="7"/>
  <c r="G54" i="27"/>
  <c r="AI54" i="27" s="1"/>
  <c r="AJ32" i="27"/>
  <c r="U24" i="4"/>
  <c r="H82" i="7"/>
  <c r="U63" i="4"/>
  <c r="N180" i="1"/>
  <c r="N272" i="1" s="1"/>
  <c r="D10" i="27"/>
  <c r="F54" i="27"/>
  <c r="AH54" i="27" s="1"/>
  <c r="AE48" i="27"/>
  <c r="U171" i="4"/>
  <c r="V407" i="6"/>
  <c r="V24" i="4"/>
  <c r="H56" i="27" s="1"/>
  <c r="AJ56" i="27" s="1"/>
  <c r="AI50" i="27"/>
  <c r="H44" i="27"/>
  <c r="AJ44" i="27" s="1"/>
  <c r="H42" i="27"/>
  <c r="AJ42" i="27" s="1"/>
  <c r="U49" i="4"/>
  <c r="V49" i="4"/>
  <c r="H58" i="27" s="1"/>
  <c r="AJ58" i="27" s="1"/>
  <c r="G58" i="27"/>
  <c r="AI58" i="27" s="1"/>
  <c r="G81" i="7"/>
  <c r="F81" i="7"/>
  <c r="E81" i="7"/>
  <c r="U27" i="4"/>
  <c r="V27" i="4"/>
  <c r="E48" i="7"/>
  <c r="V171" i="4"/>
  <c r="H54" i="27" s="1"/>
  <c r="AJ54" i="27" s="1"/>
  <c r="V63" i="4"/>
  <c r="H50" i="27" s="1"/>
  <c r="R46" i="7" l="1"/>
  <c r="U18" i="7"/>
  <c r="AI20" i="7" s="1"/>
  <c r="AI15" i="7"/>
  <c r="AE12" i="7"/>
  <c r="AE22" i="7"/>
  <c r="AE16" i="7"/>
  <c r="AI19" i="7"/>
  <c r="AI9" i="7"/>
  <c r="AD34" i="7"/>
  <c r="Y14" i="7"/>
  <c r="X61" i="7"/>
  <c r="AD61" i="7" s="1"/>
  <c r="AD40" i="7"/>
  <c r="J77" i="7"/>
  <c r="N77" i="7"/>
  <c r="E79" i="7"/>
  <c r="U20" i="7"/>
  <c r="AD30" i="7"/>
  <c r="AD56" i="7"/>
  <c r="AD32" i="7"/>
  <c r="AD42" i="7"/>
  <c r="Y38" i="7"/>
  <c r="Y36" i="7"/>
  <c r="G77" i="7"/>
  <c r="U32" i="7"/>
  <c r="AI38" i="7" s="1"/>
  <c r="Y34" i="7"/>
  <c r="J52" i="7"/>
  <c r="J60" i="7"/>
  <c r="T60" i="7" s="1"/>
  <c r="AH60" i="7" s="1"/>
  <c r="AM60" i="7" s="1"/>
  <c r="K61" i="7"/>
  <c r="U61" i="7" s="1"/>
  <c r="AI61" i="7" s="1"/>
  <c r="F78" i="7"/>
  <c r="AD16" i="7"/>
  <c r="AD22" i="7"/>
  <c r="AH10" i="7"/>
  <c r="AD12" i="7"/>
  <c r="T18" i="7"/>
  <c r="AH20" i="7" s="1"/>
  <c r="AD20" i="7"/>
  <c r="AD10" i="7"/>
  <c r="AH31" i="7"/>
  <c r="D79" i="7"/>
  <c r="C48" i="7"/>
  <c r="B79" i="7"/>
  <c r="B80" i="7" s="1"/>
  <c r="U107" i="1"/>
  <c r="U117" i="1" s="1"/>
  <c r="V107" i="1"/>
  <c r="V117" i="1" s="1"/>
  <c r="H12" i="27" s="1"/>
  <c r="AJ12" i="27" s="1"/>
  <c r="H10" i="7" s="1"/>
  <c r="G10" i="7"/>
  <c r="F24" i="7"/>
  <c r="X24" i="7"/>
  <c r="AD24" i="7" s="1"/>
  <c r="T101" i="1"/>
  <c r="G10" i="27" s="1"/>
  <c r="V20" i="1"/>
  <c r="V101" i="1" s="1"/>
  <c r="H10" i="27" s="1"/>
  <c r="AJ10" i="27" s="1"/>
  <c r="U20" i="1"/>
  <c r="U101" i="1" s="1"/>
  <c r="Q101" i="1"/>
  <c r="S272" i="1"/>
  <c r="V268" i="1"/>
  <c r="V270" i="1" s="1"/>
  <c r="H26" i="27" s="1"/>
  <c r="U268" i="1"/>
  <c r="U270" i="1" s="1"/>
  <c r="T270" i="1"/>
  <c r="G26" i="27" s="1"/>
  <c r="P116" i="4"/>
  <c r="P179" i="4" s="1"/>
  <c r="S284" i="1"/>
  <c r="Y20" i="7"/>
  <c r="K81" i="7"/>
  <c r="K63" i="7" s="1"/>
  <c r="U83" i="7"/>
  <c r="AI66" i="7" s="1"/>
  <c r="AN84" i="7" s="1"/>
  <c r="G78" i="7"/>
  <c r="U81" i="7"/>
  <c r="AI64" i="7" s="1"/>
  <c r="J78" i="7"/>
  <c r="N78" i="7"/>
  <c r="F77" i="7"/>
  <c r="T78" i="7"/>
  <c r="AH59" i="7" s="1"/>
  <c r="AO59" i="7" s="1"/>
  <c r="N52" i="7"/>
  <c r="H54" i="7"/>
  <c r="AH37" i="7"/>
  <c r="H52" i="7"/>
  <c r="H56" i="7"/>
  <c r="D85" i="7"/>
  <c r="G56" i="7"/>
  <c r="G52" i="7"/>
  <c r="G61" i="7"/>
  <c r="F52" i="7"/>
  <c r="AH48" i="7"/>
  <c r="U34" i="7"/>
  <c r="AI42" i="7" s="1"/>
  <c r="AD36" i="7"/>
  <c r="Y32" i="7"/>
  <c r="U38" i="7"/>
  <c r="AI45" i="7" s="1"/>
  <c r="U36" i="7"/>
  <c r="AI44" i="7" s="1"/>
  <c r="H40" i="7"/>
  <c r="H42" i="7"/>
  <c r="C46" i="7"/>
  <c r="G40" i="7"/>
  <c r="AD14" i="7"/>
  <c r="U14" i="7"/>
  <c r="AI14" i="7" s="1"/>
  <c r="AH19" i="7"/>
  <c r="AH15" i="7"/>
  <c r="AH16" i="7" s="1"/>
  <c r="AH9" i="7"/>
  <c r="AD28" i="27"/>
  <c r="B8" i="7"/>
  <c r="V453" i="6"/>
  <c r="V459" i="6" s="1"/>
  <c r="H46" i="27" s="1"/>
  <c r="AJ46" i="27" s="1"/>
  <c r="T459" i="6"/>
  <c r="G46" i="27" s="1"/>
  <c r="AI46" i="27" s="1"/>
  <c r="Z109" i="17"/>
  <c r="G62" i="27"/>
  <c r="AI62" i="27" s="1"/>
  <c r="X83" i="7"/>
  <c r="B69" i="27"/>
  <c r="B47" i="7"/>
  <c r="U612" i="6"/>
  <c r="AF52" i="27"/>
  <c r="D67" i="27"/>
  <c r="C52" i="27"/>
  <c r="C67" i="27" s="1"/>
  <c r="B50" i="7"/>
  <c r="AD67" i="27"/>
  <c r="V29" i="4"/>
  <c r="V46" i="4" s="1"/>
  <c r="H62" i="27" s="1"/>
  <c r="AJ62" i="27" s="1"/>
  <c r="U29" i="4"/>
  <c r="U46" i="4" s="1"/>
  <c r="F85" i="7"/>
  <c r="G85" i="7"/>
  <c r="G48" i="7"/>
  <c r="K82" i="7"/>
  <c r="U82" i="7"/>
  <c r="AI65" i="7" s="1"/>
  <c r="O82" i="7"/>
  <c r="O62" i="7" s="1"/>
  <c r="AG46" i="27"/>
  <c r="E48" i="27"/>
  <c r="E49" i="27" s="1"/>
  <c r="AM61" i="7"/>
  <c r="AQ61" i="7" s="1"/>
  <c r="H85" i="7"/>
  <c r="AB12" i="17"/>
  <c r="AB17" i="17" s="1"/>
  <c r="AB56" i="17"/>
  <c r="AB78" i="17" s="1"/>
  <c r="AH56" i="7"/>
  <c r="AA109" i="17"/>
  <c r="AJ50" i="27"/>
  <c r="H30" i="7"/>
  <c r="J82" i="7"/>
  <c r="N82" i="7"/>
  <c r="T82" i="7"/>
  <c r="J81" i="7"/>
  <c r="N81" i="7"/>
  <c r="T81" i="7"/>
  <c r="E85" i="7"/>
  <c r="AF10" i="27"/>
  <c r="D28" i="27"/>
  <c r="C10" i="27"/>
  <c r="C28" i="27" s="1"/>
  <c r="U84" i="7"/>
  <c r="AI67" i="7" s="1"/>
  <c r="K84" i="7"/>
  <c r="G30" i="7"/>
  <c r="B85" i="7"/>
  <c r="B86" i="7" s="1"/>
  <c r="O63" i="7"/>
  <c r="AH48" i="27"/>
  <c r="F30" i="7"/>
  <c r="X48" i="7"/>
  <c r="T48" i="7"/>
  <c r="F28" i="27"/>
  <c r="AH10" i="27"/>
  <c r="J84" i="7"/>
  <c r="F48" i="7"/>
  <c r="B26" i="7" l="1"/>
  <c r="R26" i="7" s="1"/>
  <c r="U180" i="1"/>
  <c r="U272" i="1" s="1"/>
  <c r="AE18" i="7"/>
  <c r="AI16" i="7"/>
  <c r="AE20" i="7"/>
  <c r="X77" i="7"/>
  <c r="Y10" i="7"/>
  <c r="J79" i="7"/>
  <c r="E87" i="7"/>
  <c r="E88" i="7" s="1"/>
  <c r="N54" i="7"/>
  <c r="G79" i="7"/>
  <c r="G87" i="7" s="1"/>
  <c r="G88" i="7" s="1"/>
  <c r="AO60" i="7"/>
  <c r="AN60" i="7"/>
  <c r="Y61" i="7"/>
  <c r="AE61" i="7" s="1"/>
  <c r="AL60" i="7"/>
  <c r="AK60" i="7"/>
  <c r="X60" i="7"/>
  <c r="AD60" i="7" s="1"/>
  <c r="X52" i="7"/>
  <c r="AE32" i="7"/>
  <c r="U56" i="7"/>
  <c r="O52" i="7"/>
  <c r="Y42" i="7"/>
  <c r="U40" i="7"/>
  <c r="AI47" i="7" s="1"/>
  <c r="H78" i="7"/>
  <c r="O78" i="7" s="1"/>
  <c r="F46" i="7"/>
  <c r="F79" i="7"/>
  <c r="F87" i="7" s="1"/>
  <c r="F88" i="7" s="1"/>
  <c r="D87" i="7"/>
  <c r="D88" i="7" s="1"/>
  <c r="AD18" i="7"/>
  <c r="U10" i="7"/>
  <c r="Q180" i="1"/>
  <c r="Q272" i="1" s="1"/>
  <c r="E10" i="27"/>
  <c r="H8" i="7"/>
  <c r="V180" i="1"/>
  <c r="V272" i="1" s="1"/>
  <c r="AI10" i="27"/>
  <c r="T180" i="1"/>
  <c r="T272" i="1" s="1"/>
  <c r="AI26" i="27"/>
  <c r="Q116" i="4"/>
  <c r="AJ26" i="27"/>
  <c r="U276" i="1"/>
  <c r="U284" i="1" s="1"/>
  <c r="V276" i="1"/>
  <c r="V284" i="1" s="1"/>
  <c r="T284" i="1"/>
  <c r="AL84" i="7"/>
  <c r="AM84" i="7"/>
  <c r="AO84" i="7"/>
  <c r="Y83" i="7"/>
  <c r="AK84" i="7"/>
  <c r="Y81" i="7"/>
  <c r="J54" i="7"/>
  <c r="T79" i="7"/>
  <c r="T87" i="7" s="1"/>
  <c r="N79" i="7"/>
  <c r="N87" i="7" s="1"/>
  <c r="AN59" i="7"/>
  <c r="AL59" i="7"/>
  <c r="H77" i="7"/>
  <c r="O77" i="7" s="1"/>
  <c r="T52" i="7"/>
  <c r="AH55" i="7" s="1"/>
  <c r="AM59" i="7"/>
  <c r="AK59" i="7"/>
  <c r="X78" i="7"/>
  <c r="K52" i="7"/>
  <c r="Y56" i="7"/>
  <c r="H60" i="7"/>
  <c r="G60" i="7"/>
  <c r="AE52" i="27"/>
  <c r="AE34" i="7"/>
  <c r="AE36" i="7"/>
  <c r="U42" i="7"/>
  <c r="AI46" i="7" s="1"/>
  <c r="H44" i="7"/>
  <c r="G44" i="7"/>
  <c r="AE14" i="7"/>
  <c r="AD69" i="27"/>
  <c r="AJ48" i="27"/>
  <c r="H48" i="27"/>
  <c r="AI48" i="27"/>
  <c r="T612" i="6"/>
  <c r="G48" i="27"/>
  <c r="V612" i="6"/>
  <c r="W612" i="6" s="1"/>
  <c r="B87" i="7"/>
  <c r="B88" i="7" s="1"/>
  <c r="C69" i="27"/>
  <c r="D69" i="27"/>
  <c r="B65" i="7"/>
  <c r="D50" i="7"/>
  <c r="AF67" i="27"/>
  <c r="X81" i="7"/>
  <c r="X63" i="7" s="1"/>
  <c r="AD48" i="7"/>
  <c r="K85" i="7"/>
  <c r="Y82" i="7"/>
  <c r="X82" i="7"/>
  <c r="O85" i="7"/>
  <c r="AO85" i="7"/>
  <c r="AK85" i="7"/>
  <c r="AM85" i="7"/>
  <c r="AL85" i="7"/>
  <c r="AN85" i="7"/>
  <c r="AH53" i="7"/>
  <c r="AF28" i="27"/>
  <c r="D8" i="7"/>
  <c r="AE10" i="27"/>
  <c r="AH65" i="7"/>
  <c r="AQ65" i="7" s="1"/>
  <c r="H48" i="7"/>
  <c r="AB109" i="17"/>
  <c r="E44" i="7"/>
  <c r="AG48" i="27"/>
  <c r="U85" i="7"/>
  <c r="Y63" i="7"/>
  <c r="Y30" i="7"/>
  <c r="U30" i="7"/>
  <c r="F8" i="7"/>
  <c r="AH28" i="27"/>
  <c r="Y84" i="7"/>
  <c r="AH64" i="7"/>
  <c r="AQ64" i="7" s="1"/>
  <c r="T63" i="7"/>
  <c r="T84" i="7"/>
  <c r="AH67" i="7" s="1"/>
  <c r="AQ67" i="7" s="1"/>
  <c r="U63" i="7"/>
  <c r="AN83" i="7"/>
  <c r="AK83" i="7"/>
  <c r="AO83" i="7"/>
  <c r="AL83" i="7"/>
  <c r="AM83" i="7"/>
  <c r="AK82" i="7"/>
  <c r="AL82" i="7"/>
  <c r="AM82" i="7"/>
  <c r="AO82" i="7"/>
  <c r="AN82" i="7"/>
  <c r="N84" i="7"/>
  <c r="N63" i="7"/>
  <c r="AM56" i="7"/>
  <c r="AN56" i="7"/>
  <c r="AO56" i="7"/>
  <c r="AK56" i="7"/>
  <c r="AL56" i="7"/>
  <c r="K62" i="7"/>
  <c r="J85" i="7"/>
  <c r="AM81" i="7"/>
  <c r="AQ81" i="7" s="1"/>
  <c r="B67" i="7" l="1"/>
  <c r="B68" i="7" s="1"/>
  <c r="AE10" i="7"/>
  <c r="AI48" i="7"/>
  <c r="J87" i="7"/>
  <c r="X79" i="7"/>
  <c r="X87" i="7" s="1"/>
  <c r="Y8" i="7"/>
  <c r="K78" i="7"/>
  <c r="F26" i="7"/>
  <c r="AQ60" i="7"/>
  <c r="U52" i="7"/>
  <c r="AI55" i="7" s="1"/>
  <c r="AL77" i="7" s="1"/>
  <c r="AE40" i="7"/>
  <c r="AE56" i="7"/>
  <c r="U78" i="7"/>
  <c r="AI59" i="7" s="1"/>
  <c r="AN79" i="7" s="1"/>
  <c r="K60" i="7"/>
  <c r="Y60" i="7" s="1"/>
  <c r="G46" i="7"/>
  <c r="U44" i="7"/>
  <c r="AI39" i="7" s="1"/>
  <c r="D65" i="7"/>
  <c r="AI21" i="7"/>
  <c r="AI31" i="7"/>
  <c r="AI10" i="7"/>
  <c r="AE67" i="27"/>
  <c r="G8" i="7"/>
  <c r="H28" i="27"/>
  <c r="H29" i="27" s="1"/>
  <c r="AD70" i="27"/>
  <c r="U8" i="7"/>
  <c r="AI8" i="7" s="1"/>
  <c r="W272" i="1"/>
  <c r="G28" i="27"/>
  <c r="AG10" i="27"/>
  <c r="E28" i="27"/>
  <c r="E29" i="27" s="1"/>
  <c r="H24" i="7"/>
  <c r="AJ28" i="27"/>
  <c r="S116" i="4"/>
  <c r="G24" i="7"/>
  <c r="AI28" i="27"/>
  <c r="E52" i="27"/>
  <c r="Q179" i="4"/>
  <c r="AQ84" i="7"/>
  <c r="X54" i="7"/>
  <c r="T54" i="7"/>
  <c r="K77" i="7"/>
  <c r="U77" i="7"/>
  <c r="AI56" i="7" s="1"/>
  <c r="H79" i="7"/>
  <c r="H87" i="7" s="1"/>
  <c r="H88" i="7" s="1"/>
  <c r="AQ59" i="7"/>
  <c r="AD52" i="7"/>
  <c r="Y52" i="7"/>
  <c r="H46" i="7"/>
  <c r="Y44" i="7"/>
  <c r="AE42" i="7"/>
  <c r="AE28" i="27"/>
  <c r="AF69" i="27"/>
  <c r="C50" i="7"/>
  <c r="C65" i="7" s="1"/>
  <c r="AD63" i="7"/>
  <c r="AQ82" i="7"/>
  <c r="X84" i="7"/>
  <c r="AQ85" i="7"/>
  <c r="AQ83" i="7"/>
  <c r="AQ56" i="7"/>
  <c r="D26" i="7"/>
  <c r="C8" i="7"/>
  <c r="C26" i="7" s="1"/>
  <c r="AI37" i="7"/>
  <c r="AL55" i="7"/>
  <c r="AM55" i="7"/>
  <c r="AN55" i="7"/>
  <c r="AO55" i="7"/>
  <c r="AK55" i="7"/>
  <c r="T62" i="7"/>
  <c r="N62" i="7"/>
  <c r="AE63" i="7"/>
  <c r="T44" i="7"/>
  <c r="X44" i="7"/>
  <c r="X46" i="7" s="1"/>
  <c r="E46" i="7"/>
  <c r="O54" i="7"/>
  <c r="O79" i="7"/>
  <c r="O87" i="7" s="1"/>
  <c r="Y48" i="7"/>
  <c r="U48" i="7"/>
  <c r="AE30" i="7"/>
  <c r="AL53" i="7"/>
  <c r="AN53" i="7"/>
  <c r="AO53" i="7"/>
  <c r="AK53" i="7"/>
  <c r="AM53" i="7"/>
  <c r="H47" i="7" l="1"/>
  <c r="K54" i="7"/>
  <c r="AE52" i="7"/>
  <c r="K79" i="7"/>
  <c r="K87" i="7" s="1"/>
  <c r="AO77" i="7"/>
  <c r="U46" i="7"/>
  <c r="AN77" i="7"/>
  <c r="AM77" i="7"/>
  <c r="AK77" i="7"/>
  <c r="AL79" i="7"/>
  <c r="Y78" i="7"/>
  <c r="AK79" i="7"/>
  <c r="AI40" i="7"/>
  <c r="AI50" i="7" s="1"/>
  <c r="AM79" i="7"/>
  <c r="AO79" i="7"/>
  <c r="AE44" i="7"/>
  <c r="U60" i="7"/>
  <c r="AI60" i="7" s="1"/>
  <c r="AO80" i="7" s="1"/>
  <c r="D67" i="7"/>
  <c r="AI12" i="7"/>
  <c r="AI34" i="7" s="1"/>
  <c r="AI71" i="7" s="1"/>
  <c r="AF70" i="27"/>
  <c r="AE69" i="27"/>
  <c r="G26" i="7"/>
  <c r="AE8" i="7"/>
  <c r="AG28" i="27"/>
  <c r="E8" i="7"/>
  <c r="F52" i="27"/>
  <c r="S179" i="4"/>
  <c r="AG52" i="27"/>
  <c r="E67" i="27"/>
  <c r="T116" i="4"/>
  <c r="U71" i="4"/>
  <c r="U116" i="4" s="1"/>
  <c r="U179" i="4" s="1"/>
  <c r="V71" i="4"/>
  <c r="V116" i="4" s="1"/>
  <c r="H52" i="27" s="1"/>
  <c r="Y24" i="7"/>
  <c r="Y26" i="7" s="1"/>
  <c r="U24" i="7"/>
  <c r="H26" i="7"/>
  <c r="AD54" i="7"/>
  <c r="U79" i="7"/>
  <c r="U87" i="7" s="1"/>
  <c r="Y77" i="7"/>
  <c r="Y46" i="7"/>
  <c r="C67" i="7"/>
  <c r="E47" i="7"/>
  <c r="AQ55" i="7"/>
  <c r="AH39" i="7"/>
  <c r="AH40" i="7" s="1"/>
  <c r="AH50" i="7" s="1"/>
  <c r="T46" i="7"/>
  <c r="AI53" i="7"/>
  <c r="AD44" i="7"/>
  <c r="AE48" i="7"/>
  <c r="AM78" i="7"/>
  <c r="AL78" i="7"/>
  <c r="AN78" i="7"/>
  <c r="AO78" i="7"/>
  <c r="AK78" i="7"/>
  <c r="AQ53" i="7"/>
  <c r="E26" i="7" l="1"/>
  <c r="AL80" i="7"/>
  <c r="D68" i="7"/>
  <c r="H27" i="7"/>
  <c r="AM80" i="7"/>
  <c r="AI51" i="7"/>
  <c r="AQ77" i="7"/>
  <c r="AQ79" i="7"/>
  <c r="AN80" i="7"/>
  <c r="AK80" i="7"/>
  <c r="AE60" i="7"/>
  <c r="Y79" i="7"/>
  <c r="Y87" i="7" s="1"/>
  <c r="AE70" i="27"/>
  <c r="C68" i="7"/>
  <c r="X8" i="7"/>
  <c r="X26" i="7" s="1"/>
  <c r="T8" i="7"/>
  <c r="G52" i="27"/>
  <c r="T179" i="4"/>
  <c r="E50" i="7"/>
  <c r="AG67" i="27"/>
  <c r="AE24" i="7"/>
  <c r="U26" i="7"/>
  <c r="AI35" i="7" s="1"/>
  <c r="E68" i="27"/>
  <c r="E69" i="27"/>
  <c r="AH52" i="27"/>
  <c r="F67" i="27"/>
  <c r="AJ52" i="27"/>
  <c r="H67" i="27"/>
  <c r="U54" i="7"/>
  <c r="Y54" i="7"/>
  <c r="AQ78" i="7"/>
  <c r="AN75" i="7"/>
  <c r="AK75" i="7"/>
  <c r="AO75" i="7"/>
  <c r="AL75" i="7"/>
  <c r="AM75" i="7"/>
  <c r="AH51" i="7"/>
  <c r="E27" i="7" l="1"/>
  <c r="AQ80" i="7"/>
  <c r="AG69" i="27"/>
  <c r="AD8" i="7"/>
  <c r="AH8" i="7"/>
  <c r="AH12" i="7" s="1"/>
  <c r="AH34" i="7" s="1"/>
  <c r="T26" i="7"/>
  <c r="H68" i="27"/>
  <c r="H69" i="27"/>
  <c r="H50" i="7"/>
  <c r="AJ67" i="27"/>
  <c r="N50" i="7"/>
  <c r="N65" i="7" s="1"/>
  <c r="N67" i="7" s="1"/>
  <c r="J50" i="7"/>
  <c r="E65" i="7"/>
  <c r="F68" i="27"/>
  <c r="F69" i="27"/>
  <c r="F50" i="7"/>
  <c r="AH67" i="27"/>
  <c r="AI52" i="27"/>
  <c r="G67" i="27"/>
  <c r="AE54" i="7"/>
  <c r="AQ75" i="7"/>
  <c r="F65" i="7" l="1"/>
  <c r="F67" i="7" s="1"/>
  <c r="AG70" i="27"/>
  <c r="AH69" i="27"/>
  <c r="AH71" i="7"/>
  <c r="AH35" i="7"/>
  <c r="O50" i="7"/>
  <c r="O65" i="7" s="1"/>
  <c r="O67" i="7" s="1"/>
  <c r="K50" i="7"/>
  <c r="H65" i="7"/>
  <c r="H67" i="7" s="1"/>
  <c r="AJ69" i="27"/>
  <c r="G69" i="27"/>
  <c r="G68" i="27"/>
  <c r="G50" i="7"/>
  <c r="AI67" i="27"/>
  <c r="E66" i="7"/>
  <c r="E67" i="7"/>
  <c r="T50" i="7"/>
  <c r="X50" i="7"/>
  <c r="X65" i="7" s="1"/>
  <c r="X67" i="7" s="1"/>
  <c r="J65" i="7"/>
  <c r="J67" i="7" s="1"/>
  <c r="G65" i="7" l="1"/>
  <c r="G67" i="7" s="1"/>
  <c r="AJ70" i="27"/>
  <c r="F68" i="7"/>
  <c r="AH70" i="27"/>
  <c r="AI69" i="27"/>
  <c r="E68" i="7"/>
  <c r="U50" i="7"/>
  <c r="AI54" i="7" s="1"/>
  <c r="H66" i="7"/>
  <c r="H68" i="7"/>
  <c r="Y50" i="7"/>
  <c r="K65" i="7"/>
  <c r="K67" i="7" s="1"/>
  <c r="AH54" i="7"/>
  <c r="T65" i="7"/>
  <c r="AD50" i="7"/>
  <c r="G68" i="7" l="1"/>
  <c r="AI70" i="27"/>
  <c r="U65" i="7"/>
  <c r="U67" i="7" s="1"/>
  <c r="Y65" i="7"/>
  <c r="Y67" i="7" s="1"/>
  <c r="AE50" i="7"/>
  <c r="T67" i="7"/>
  <c r="AN54" i="7"/>
  <c r="AN69" i="7" s="1"/>
  <c r="AK54" i="7"/>
  <c r="AK69" i="7" s="1"/>
  <c r="AL54" i="7"/>
  <c r="AL69" i="7" s="1"/>
  <c r="AO54" i="7"/>
  <c r="AO69" i="7" s="1"/>
  <c r="AM54" i="7"/>
  <c r="AM69" i="7" s="1"/>
  <c r="AH69" i="7"/>
  <c r="AH70" i="7" s="1"/>
  <c r="AL76" i="7"/>
  <c r="AL87" i="7" s="1"/>
  <c r="AK76" i="7"/>
  <c r="AK87" i="7" s="1"/>
  <c r="AO76" i="7"/>
  <c r="AO87" i="7" s="1"/>
  <c r="AM76" i="7"/>
  <c r="AM87" i="7" s="1"/>
  <c r="AN76" i="7"/>
  <c r="AN87" i="7" s="1"/>
  <c r="AI69" i="7"/>
  <c r="AI70" i="7" l="1"/>
  <c r="AP87" i="7"/>
  <c r="AQ54" i="7"/>
  <c r="AP69" i="7"/>
  <c r="AQ7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Heather Garland</author>
    <author>Hammond, Greg (UTC)</author>
  </authors>
  <commentList>
    <comment ref="J3" authorId="0" shapeId="0" xr:uid="{00000000-0006-0000-0100-000001000000}">
      <text>
        <r>
          <rPr>
            <b/>
            <sz val="9"/>
            <color indexed="81"/>
            <rFont val="Tahoma"/>
            <family val="2"/>
          </rPr>
          <t>Heather Garland:</t>
        </r>
        <r>
          <rPr>
            <sz val="9"/>
            <color indexed="81"/>
            <rFont val="Tahoma"/>
            <family val="2"/>
          </rPr>
          <t xml:space="preserve">
All trucks and containers are kept on separate scheudle between 2111 and 2140. Only the shared buildings need to be allocated between 2111/2140.
</t>
        </r>
      </text>
    </comment>
    <comment ref="N3" authorId="0" shapeId="0" xr:uid="{00000000-0006-0000-0100-000002000000}">
      <text>
        <r>
          <rPr>
            <b/>
            <sz val="9"/>
            <color indexed="81"/>
            <rFont val="Tahoma"/>
            <family val="2"/>
          </rPr>
          <t>Heather Garland:</t>
        </r>
        <r>
          <rPr>
            <sz val="9"/>
            <color indexed="81"/>
            <rFont val="Tahoma"/>
            <family val="2"/>
          </rPr>
          <t xml:space="preserve">
All trucks and containers are kept on separate scheudle between 2111 and 2132. Only the shared buildings need to be allocated between 2111/2140.
</t>
        </r>
      </text>
    </comment>
    <comment ref="AC10" authorId="1" shapeId="0" xr:uid="{00000000-0006-0000-0100-000003000000}">
      <text>
        <r>
          <rPr>
            <b/>
            <sz val="9"/>
            <color indexed="81"/>
            <rFont val="Tahoma"/>
            <family val="2"/>
          </rPr>
          <t>Hammond, Greg (UTC):</t>
        </r>
        <r>
          <rPr>
            <sz val="9"/>
            <color indexed="81"/>
            <rFont val="Tahoma"/>
            <family val="2"/>
          </rPr>
          <t xml:space="preserve">
Pasted from Revenue + Cust Tab</t>
        </r>
      </text>
    </comment>
    <comment ref="A12" authorId="0" shapeId="0" xr:uid="{00000000-0006-0000-0100-000004000000}">
      <text>
        <r>
          <rPr>
            <b/>
            <sz val="9"/>
            <color indexed="81"/>
            <rFont val="Tahoma"/>
            <family val="2"/>
          </rPr>
          <t>Heather Garland:</t>
        </r>
        <r>
          <rPr>
            <sz val="9"/>
            <color indexed="81"/>
            <rFont val="Tahoma"/>
            <family val="2"/>
          </rPr>
          <t xml:space="preserve">
Hauling commingle from Fife transfer to Pioneer.</t>
        </r>
      </text>
    </comment>
    <comment ref="X18" authorId="0" shapeId="0" xr:uid="{00000000-0006-0000-0100-000005000000}">
      <text>
        <r>
          <rPr>
            <b/>
            <sz val="9"/>
            <color indexed="81"/>
            <rFont val="Tahoma"/>
            <family val="2"/>
          </rPr>
          <t>Heather Garland:</t>
        </r>
        <r>
          <rPr>
            <sz val="9"/>
            <color indexed="81"/>
            <rFont val="Tahoma"/>
            <family val="2"/>
          </rPr>
          <t xml:space="preserve">
No MF Recyclingin Cities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WCNX</author>
    <author>Melissa Cheesman</author>
    <author>Ben Thompson</author>
    <author>Hammond, Greg (UTC)</author>
    <author>Heather Garland</author>
  </authors>
  <commentList>
    <comment ref="D1" authorId="0" shapeId="0" xr:uid="{00000000-0006-0000-0C00-000001000000}">
      <text>
        <r>
          <rPr>
            <b/>
            <sz val="8"/>
            <color indexed="81"/>
            <rFont val="Tahoma"/>
            <family val="2"/>
          </rPr>
          <t>WCNX:</t>
        </r>
        <r>
          <rPr>
            <sz val="8"/>
            <color indexed="81"/>
            <rFont val="Tahoma"/>
            <family val="2"/>
          </rPr>
          <t xml:space="preserve">
Transferred from PCR 8/2014.</t>
        </r>
      </text>
    </comment>
    <comment ref="M31" authorId="1" shapeId="0" xr:uid="{00000000-0006-0000-0C00-000002000000}">
      <text>
        <r>
          <rPr>
            <b/>
            <sz val="9"/>
            <color indexed="81"/>
            <rFont val="Tahoma"/>
            <family val="2"/>
          </rPr>
          <t>Melissa Cheesman:</t>
        </r>
        <r>
          <rPr>
            <sz val="9"/>
            <color indexed="81"/>
            <rFont val="Tahoma"/>
            <family val="2"/>
          </rPr>
          <t xml:space="preserve">
Company 2,241.56 (= 560.39 * 4)
Invoice 1987.20 (= 496.80 * 4)</t>
        </r>
      </text>
    </comment>
    <comment ref="B62" authorId="2" shapeId="0" xr:uid="{00000000-0006-0000-0C00-000003000000}">
      <text>
        <r>
          <rPr>
            <b/>
            <sz val="9"/>
            <color indexed="81"/>
            <rFont val="Tahoma"/>
            <family val="2"/>
          </rPr>
          <t>Ben Thompson:</t>
        </r>
        <r>
          <rPr>
            <sz val="9"/>
            <color indexed="81"/>
            <rFont val="Tahoma"/>
            <family val="2"/>
          </rPr>
          <t xml:space="preserve">
# from 2131 FAR.</t>
        </r>
      </text>
    </comment>
    <comment ref="E62" authorId="3" shapeId="0" xr:uid="{00000000-0006-0000-0C00-000004000000}">
      <text>
        <r>
          <rPr>
            <b/>
            <sz val="9"/>
            <color indexed="81"/>
            <rFont val="Tahoma"/>
            <family val="2"/>
          </rPr>
          <t>Hammond, Greg (UTC):</t>
        </r>
        <r>
          <rPr>
            <sz val="9"/>
            <color indexed="81"/>
            <rFont val="Tahoma"/>
            <family val="2"/>
          </rPr>
          <t xml:space="preserve">
Labeled as 2003 Sterling Semi Tractor in prior case</t>
        </r>
      </text>
    </comment>
    <comment ref="M68" authorId="4" shapeId="0" xr:uid="{00000000-0006-0000-0C00-000005000000}">
      <text>
        <r>
          <rPr>
            <b/>
            <sz val="9"/>
            <color indexed="81"/>
            <rFont val="Tahoma"/>
            <family val="2"/>
          </rPr>
          <t>Heather Garland:</t>
        </r>
        <r>
          <rPr>
            <sz val="9"/>
            <color indexed="81"/>
            <rFont val="Tahoma"/>
            <family val="2"/>
          </rPr>
          <t xml:space="preserve">
104 purchased.  All on 2111 FAR.  Some were placed on 2131's deprec. Schedule.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Melissa Cheesman</author>
    <author>Heather Garland</author>
    <author>WCNX</author>
    <author>Ben Thompson</author>
  </authors>
  <commentList>
    <comment ref="N36" authorId="0" shapeId="0" xr:uid="{00000000-0006-0000-0D00-000001000000}">
      <text>
        <r>
          <rPr>
            <b/>
            <sz val="9"/>
            <color indexed="81"/>
            <rFont val="Tahoma"/>
            <family val="2"/>
          </rPr>
          <t>Melissa Cheesman:</t>
        </r>
        <r>
          <rPr>
            <sz val="9"/>
            <color indexed="81"/>
            <rFont val="Tahoma"/>
            <family val="2"/>
          </rPr>
          <t xml:space="preserve">
Company 285,892.00
Invoices 284,650.28</t>
        </r>
      </text>
    </comment>
    <comment ref="N42" authorId="1" shapeId="0" xr:uid="{00000000-0006-0000-0D00-000002000000}">
      <text>
        <r>
          <rPr>
            <b/>
            <sz val="9"/>
            <color indexed="81"/>
            <rFont val="Tahoma"/>
            <family val="2"/>
          </rPr>
          <t>Heather Garland:</t>
        </r>
        <r>
          <rPr>
            <sz val="9"/>
            <color indexed="81"/>
            <rFont val="Tahoma"/>
            <family val="2"/>
          </rPr>
          <t xml:space="preserve">
104 purchased.  All on 2111 FAR.  Some were placed on 2131's deprec. Schedule.</t>
        </r>
      </text>
    </comment>
    <comment ref="C52" authorId="2" shapeId="0" xr:uid="{00000000-0006-0000-0D00-000003000000}">
      <text>
        <r>
          <rPr>
            <b/>
            <sz val="8"/>
            <color indexed="81"/>
            <rFont val="Tahoma"/>
            <family val="2"/>
          </rPr>
          <t>WCNX:</t>
        </r>
        <r>
          <rPr>
            <sz val="8"/>
            <color indexed="81"/>
            <rFont val="Tahoma"/>
            <family val="2"/>
          </rPr>
          <t xml:space="preserve">
Transferred from PCR 8/2014.</t>
        </r>
      </text>
    </comment>
    <comment ref="N70" authorId="0" shapeId="0" xr:uid="{00000000-0006-0000-0D00-000004000000}">
      <text>
        <r>
          <rPr>
            <b/>
            <sz val="9"/>
            <color indexed="81"/>
            <rFont val="Tahoma"/>
            <family val="2"/>
          </rPr>
          <t>Melissa Cheesman:</t>
        </r>
        <r>
          <rPr>
            <sz val="9"/>
            <color indexed="81"/>
            <rFont val="Tahoma"/>
            <family val="2"/>
          </rPr>
          <t xml:space="preserve">
Company 2,241.56 (= 560.39 * 4)
Invoice 1987.20 (= 496.80 * 4)</t>
        </r>
      </text>
    </comment>
    <comment ref="N79" authorId="0" shapeId="0" xr:uid="{00000000-0006-0000-0D00-000005000000}">
      <text>
        <r>
          <rPr>
            <b/>
            <sz val="9"/>
            <color indexed="81"/>
            <rFont val="Tahoma"/>
            <family val="2"/>
          </rPr>
          <t>Melissa Cheesman:</t>
        </r>
        <r>
          <rPr>
            <sz val="9"/>
            <color indexed="81"/>
            <rFont val="Tahoma"/>
            <family val="2"/>
          </rPr>
          <t xml:space="preserve">
at site visit company said asset broke down and maybe scrapped
6/20/2013 - company says this trailer is still in use.</t>
        </r>
      </text>
    </comment>
    <comment ref="A85" authorId="2" shapeId="0" xr:uid="{00000000-0006-0000-0D00-000006000000}">
      <text>
        <r>
          <rPr>
            <b/>
            <sz val="8"/>
            <color indexed="81"/>
            <rFont val="Tahoma"/>
            <family val="2"/>
          </rPr>
          <t>WCNX:</t>
        </r>
        <r>
          <rPr>
            <sz val="8"/>
            <color indexed="81"/>
            <rFont val="Tahoma"/>
            <family val="2"/>
          </rPr>
          <t xml:space="preserve">
This was incorrectly put on 2131 FAR. This is the 2131 FAR #.</t>
        </r>
      </text>
    </comment>
    <comment ref="A89" authorId="3" shapeId="0" xr:uid="{00000000-0006-0000-0D00-000007000000}">
      <text>
        <r>
          <rPr>
            <b/>
            <sz val="9"/>
            <color indexed="81"/>
            <rFont val="Tahoma"/>
            <family val="2"/>
          </rPr>
          <t>Ben Thompson:</t>
        </r>
        <r>
          <rPr>
            <sz val="9"/>
            <color indexed="81"/>
            <rFont val="Tahoma"/>
            <family val="2"/>
          </rPr>
          <t xml:space="preserve">
# from 2131 FAR.</t>
        </r>
      </text>
    </comment>
    <comment ref="N115" authorId="1" shapeId="0" xr:uid="{00000000-0006-0000-0D00-000008000000}">
      <text>
        <r>
          <rPr>
            <b/>
            <sz val="9"/>
            <color indexed="81"/>
            <rFont val="Tahoma"/>
            <family val="2"/>
          </rPr>
          <t>Heather Garland:</t>
        </r>
        <r>
          <rPr>
            <sz val="9"/>
            <color indexed="81"/>
            <rFont val="Tahoma"/>
            <family val="2"/>
          </rPr>
          <t xml:space="preserve">
104 purchased.  All on 2111 FAR.  Some were placed on 2131's deprec. Schedule.</t>
        </r>
      </text>
    </comment>
    <comment ref="N134" authorId="1" shapeId="0" xr:uid="{00000000-0006-0000-0D00-000009000000}">
      <text>
        <r>
          <rPr>
            <b/>
            <sz val="9"/>
            <color indexed="81"/>
            <rFont val="Tahoma"/>
            <family val="2"/>
          </rPr>
          <t>Heather Garland:</t>
        </r>
        <r>
          <rPr>
            <sz val="9"/>
            <color indexed="81"/>
            <rFont val="Tahoma"/>
            <family val="2"/>
          </rPr>
          <t xml:space="preserve">
104 purchased.  All on 2111 FAR.  Some were placed on 2131's deprec. Schedule.</t>
        </r>
      </text>
    </comment>
    <comment ref="N143" authorId="0" shapeId="0" xr:uid="{00000000-0006-0000-0D00-00000A000000}">
      <text>
        <r>
          <rPr>
            <b/>
            <sz val="9"/>
            <color indexed="81"/>
            <rFont val="Tahoma"/>
            <family val="2"/>
          </rPr>
          <t>Melissa Cheesman:</t>
        </r>
        <r>
          <rPr>
            <sz val="9"/>
            <color indexed="81"/>
            <rFont val="Tahoma"/>
            <family val="2"/>
          </rPr>
          <t xml:space="preserve">
Company 202,296.90
Invoices 202,260.86</t>
        </r>
      </text>
    </comment>
    <comment ref="N145" authorId="0" shapeId="0" xr:uid="{00000000-0006-0000-0D00-00000B000000}">
      <text>
        <r>
          <rPr>
            <b/>
            <sz val="9"/>
            <color indexed="81"/>
            <rFont val="Tahoma"/>
            <family val="2"/>
          </rPr>
          <t>Melissa Cheesman:</t>
        </r>
        <r>
          <rPr>
            <sz val="9"/>
            <color indexed="81"/>
            <rFont val="Tahoma"/>
            <family val="2"/>
          </rPr>
          <t xml:space="preserve">
Company 3,362.34 (=2801.95+560.39)
Invoice 2,980.8 (= 496.80 * 6)</t>
        </r>
      </text>
    </comment>
    <comment ref="G148" authorId="0" shapeId="0" xr:uid="{00000000-0006-0000-0D00-00000C000000}">
      <text>
        <r>
          <rPr>
            <b/>
            <sz val="9"/>
            <color indexed="81"/>
            <rFont val="Tahoma"/>
            <family val="2"/>
          </rPr>
          <t>Melissa Cheesman:</t>
        </r>
        <r>
          <rPr>
            <sz val="9"/>
            <color indexed="81"/>
            <rFont val="Tahoma"/>
            <family val="2"/>
          </rPr>
          <t xml:space="preserve">
change from 33% to 20% (USOA)
</t>
        </r>
      </text>
    </comment>
    <comment ref="N148" authorId="0" shapeId="0" xr:uid="{00000000-0006-0000-0D00-00000D000000}">
      <text>
        <r>
          <rPr>
            <b/>
            <sz val="9"/>
            <color indexed="81"/>
            <rFont val="Tahoma"/>
            <family val="2"/>
          </rPr>
          <t>Melissa Cheesman:</t>
        </r>
        <r>
          <rPr>
            <sz val="9"/>
            <color indexed="81"/>
            <rFont val="Tahoma"/>
            <family val="2"/>
          </rPr>
          <t xml:space="preserve">
Company 313,064.91
Invoice 313,661.14</t>
        </r>
      </text>
    </comment>
    <comment ref="N152" authorId="1" shapeId="0" xr:uid="{00000000-0006-0000-0D00-00000E000000}">
      <text>
        <r>
          <rPr>
            <b/>
            <sz val="9"/>
            <color indexed="81"/>
            <rFont val="Tahoma"/>
            <family val="2"/>
          </rPr>
          <t>Heather Garland:</t>
        </r>
        <r>
          <rPr>
            <sz val="9"/>
            <color indexed="81"/>
            <rFont val="Tahoma"/>
            <family val="2"/>
          </rPr>
          <t xml:space="preserve">
104 purchased.  All on 2111 FAR.  Some were placed on 2131's deprec. Schedule.</t>
        </r>
      </text>
    </comment>
    <comment ref="N158" authorId="0" shapeId="0" xr:uid="{00000000-0006-0000-0D00-00000F000000}">
      <text>
        <r>
          <rPr>
            <b/>
            <sz val="9"/>
            <color indexed="81"/>
            <rFont val="Tahoma"/>
            <family val="2"/>
          </rPr>
          <t>Melissa Cheesman:</t>
        </r>
        <r>
          <rPr>
            <sz val="9"/>
            <color indexed="81"/>
            <rFont val="Tahoma"/>
            <family val="2"/>
          </rPr>
          <t xml:space="preserve">
Company 1,681.71 (= 560.39 * 3)
Invoice 1,490.40 (= 496.80 * 3)</t>
        </r>
      </text>
    </comment>
    <comment ref="G161" authorId="0" shapeId="0" xr:uid="{00000000-0006-0000-0D00-000010000000}">
      <text>
        <r>
          <rPr>
            <b/>
            <sz val="9"/>
            <color indexed="81"/>
            <rFont val="Tahoma"/>
            <family val="2"/>
          </rPr>
          <t>Melissa Cheesman:</t>
        </r>
        <r>
          <rPr>
            <sz val="9"/>
            <color indexed="81"/>
            <rFont val="Tahoma"/>
            <family val="2"/>
          </rPr>
          <t xml:space="preserve">
changed from 0 to 20%
</t>
        </r>
      </text>
    </comment>
    <comment ref="N163" authorId="1" shapeId="0" xr:uid="{00000000-0006-0000-0D00-000011000000}">
      <text>
        <r>
          <rPr>
            <b/>
            <sz val="9"/>
            <color indexed="81"/>
            <rFont val="Tahoma"/>
            <family val="2"/>
          </rPr>
          <t>Heather Garland:</t>
        </r>
        <r>
          <rPr>
            <sz val="9"/>
            <color indexed="81"/>
            <rFont val="Tahoma"/>
            <family val="2"/>
          </rPr>
          <t xml:space="preserve">
104 purchased.  All on 2111 FAR.  Some were placed on 2131's deprec. Schedule.</t>
        </r>
      </text>
    </comment>
    <comment ref="N172" authorId="1" shapeId="0" xr:uid="{00000000-0006-0000-0D00-000012000000}">
      <text>
        <r>
          <rPr>
            <b/>
            <sz val="9"/>
            <color indexed="81"/>
            <rFont val="Tahoma"/>
            <family val="2"/>
          </rPr>
          <t>Heather Garland:</t>
        </r>
        <r>
          <rPr>
            <sz val="9"/>
            <color indexed="81"/>
            <rFont val="Tahoma"/>
            <family val="2"/>
          </rPr>
          <t xml:space="preserve">
104 purchased.  All on 2111 FAR.  Some were placed on 2131's deprec. Schedule.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Melissa Cheesman</author>
    <author>WCNX</author>
  </authors>
  <commentList>
    <comment ref="E13" authorId="0" shapeId="0" xr:uid="{00000000-0006-0000-0E00-000001000000}">
      <text>
        <r>
          <rPr>
            <b/>
            <sz val="9"/>
            <color indexed="81"/>
            <rFont val="Tahoma"/>
            <family val="2"/>
          </rPr>
          <t>Melissa Cheesman:</t>
        </r>
        <r>
          <rPr>
            <sz val="9"/>
            <color indexed="81"/>
            <rFont val="Tahoma"/>
            <family val="2"/>
          </rPr>
          <t xml:space="preserve">
company changed from Nov to Jan 2012 based on improvement completion date. Org date was set to payment due date</t>
        </r>
      </text>
    </comment>
    <comment ref="I13" authorId="0" shapeId="0" xr:uid="{00000000-0006-0000-0E00-000002000000}">
      <text>
        <r>
          <rPr>
            <b/>
            <sz val="9"/>
            <color indexed="81"/>
            <rFont val="Tahoma"/>
            <family val="2"/>
          </rPr>
          <t>Melissa Cheesman:</t>
        </r>
        <r>
          <rPr>
            <sz val="7"/>
            <color indexed="81"/>
            <rFont val="Tahoma"/>
            <family val="2"/>
          </rPr>
          <t xml:space="preserve">
Company agreed to 30</t>
        </r>
      </text>
    </comment>
    <comment ref="M13" authorId="1" shapeId="0" xr:uid="{00000000-0006-0000-0E00-000003000000}">
      <text>
        <r>
          <rPr>
            <b/>
            <sz val="8"/>
            <color indexed="81"/>
            <rFont val="Tahoma"/>
            <family val="2"/>
          </rPr>
          <t>WCNX:</t>
        </r>
        <r>
          <rPr>
            <sz val="8"/>
            <color indexed="81"/>
            <rFont val="Tahoma"/>
            <family val="2"/>
          </rPr>
          <t xml:space="preserve">
Added back the amounts related to the new building that were subtracted out in the last rate filing because the building was not finished at that time.</t>
        </r>
      </text>
    </comment>
    <comment ref="I29" authorId="0" shapeId="0" xr:uid="{00000000-0006-0000-0E00-000004000000}">
      <text>
        <r>
          <rPr>
            <b/>
            <sz val="9"/>
            <color indexed="81"/>
            <rFont val="Tahoma"/>
            <family val="2"/>
          </rPr>
          <t>Melissa Cheesman:</t>
        </r>
        <r>
          <rPr>
            <sz val="9"/>
            <color indexed="81"/>
            <rFont val="Tahoma"/>
            <family val="2"/>
          </rPr>
          <t xml:space="preserve">
change from 10 to 20
</t>
        </r>
      </text>
    </comment>
    <comment ref="M29" authorId="0" shapeId="0" xr:uid="{00000000-0006-0000-0E00-000005000000}">
      <text>
        <r>
          <rPr>
            <b/>
            <sz val="9"/>
            <color indexed="81"/>
            <rFont val="Tahoma"/>
            <family val="2"/>
          </rPr>
          <t>Melissa Cheesman:</t>
        </r>
        <r>
          <rPr>
            <sz val="9"/>
            <color indexed="81"/>
            <rFont val="Tahoma"/>
            <family val="2"/>
          </rPr>
          <t xml:space="preserve">
Company 157686.68
Staff = 157686.68 - DM Share of asset and adj based on invoice cost
Invoices submitted totaled 612,482.89</t>
        </r>
      </text>
    </comment>
    <comment ref="M31" authorId="1" shapeId="0" xr:uid="{00000000-0006-0000-0E00-000006000000}">
      <text>
        <r>
          <rPr>
            <b/>
            <sz val="8"/>
            <color indexed="81"/>
            <rFont val="Tahoma"/>
            <family val="2"/>
          </rPr>
          <t>WCNX:</t>
        </r>
        <r>
          <rPr>
            <sz val="8"/>
            <color indexed="81"/>
            <rFont val="Tahoma"/>
            <family val="2"/>
          </rPr>
          <t xml:space="preserve">
Transferred from TRCI. In service at TRCI 9/12/2011. Assumed original 84 months, was at TRCI for 25 months, 59 months remaining of the NBV.</t>
        </r>
      </text>
    </comment>
    <comment ref="M32" authorId="1" shapeId="0" xr:uid="{00000000-0006-0000-0E00-000007000000}">
      <text>
        <r>
          <rPr>
            <b/>
            <sz val="8"/>
            <color indexed="81"/>
            <rFont val="Tahoma"/>
            <family val="2"/>
          </rPr>
          <t>WCNX:</t>
        </r>
        <r>
          <rPr>
            <sz val="8"/>
            <color indexed="81"/>
            <rFont val="Tahoma"/>
            <family val="2"/>
          </rPr>
          <t xml:space="preserve">
</t>
        </r>
        <r>
          <rPr>
            <b/>
            <sz val="8"/>
            <color indexed="81"/>
            <rFont val="Tahoma"/>
            <family val="2"/>
          </rPr>
          <t>T</t>
        </r>
        <r>
          <rPr>
            <sz val="8"/>
            <color indexed="81"/>
            <rFont val="Tahoma"/>
            <family val="2"/>
          </rPr>
          <t>ransferred from TRCI. In service at TRCI on 6/26/2007. Assumed original 84 months, was at TRCI for 75 months, 9 months remaining of the NBV.</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Melissa Cheesman</author>
  </authors>
  <commentList>
    <comment ref="G58" authorId="0" shapeId="0" xr:uid="{00000000-0006-0000-0F00-000001000000}">
      <text>
        <r>
          <rPr>
            <b/>
            <sz val="9"/>
            <color indexed="81"/>
            <rFont val="Tahoma"/>
            <family val="2"/>
          </rPr>
          <t>Melissa Cheesman:</t>
        </r>
        <r>
          <rPr>
            <sz val="9"/>
            <color indexed="81"/>
            <rFont val="Tahoma"/>
            <family val="2"/>
          </rPr>
          <t xml:space="preserve">
changed from 0 to 20% consistent with truck #139</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Melissa Cheesman</author>
  </authors>
  <commentList>
    <comment ref="N14" authorId="0" shapeId="0" xr:uid="{00000000-0006-0000-1000-000001000000}">
      <text>
        <r>
          <rPr>
            <b/>
            <sz val="9"/>
            <color indexed="81"/>
            <rFont val="Tahoma"/>
            <family val="2"/>
          </rPr>
          <t>Melissa Cheesman:</t>
        </r>
        <r>
          <rPr>
            <sz val="9"/>
            <color indexed="81"/>
            <rFont val="Tahoma"/>
            <family val="2"/>
          </rPr>
          <t xml:space="preserve">
Partial removal of Danylle truck, based on contact log, for time spent on non-regulated activities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Heather Garland</author>
  </authors>
  <commentList>
    <comment ref="A14" authorId="0" shapeId="0" xr:uid="{00000000-0006-0000-0200-000001000000}">
      <text>
        <r>
          <rPr>
            <b/>
            <sz val="9"/>
            <color indexed="81"/>
            <rFont val="Tahoma"/>
            <family val="2"/>
          </rPr>
          <t>Brian Vandenburg:</t>
        </r>
        <r>
          <rPr>
            <sz val="9"/>
            <color indexed="81"/>
            <rFont val="Tahoma"/>
            <family val="2"/>
          </rPr>
          <t xml:space="preserve">
Hauling commingle from Fife transfer to Pioneer.
As of 2024 used 3rd party to transfer out MSW.</t>
        </r>
      </text>
    </comment>
    <comment ref="K14" authorId="0" shapeId="0" xr:uid="{00000000-0006-0000-0200-000002000000}">
      <text>
        <r>
          <rPr>
            <b/>
            <sz val="9"/>
            <color indexed="81"/>
            <rFont val="Tahoma"/>
            <family val="2"/>
          </rPr>
          <t>Heather Garland:</t>
        </r>
        <r>
          <rPr>
            <sz val="9"/>
            <color indexed="81"/>
            <rFont val="Tahoma"/>
            <family val="2"/>
          </rPr>
          <t xml:space="preserve">
Hauling commingle from Fife transfer to Pioneer.</t>
        </r>
      </text>
    </comment>
    <comment ref="T14" authorId="0" shapeId="0" xr:uid="{00000000-0006-0000-0200-000003000000}">
      <text>
        <r>
          <rPr>
            <b/>
            <sz val="9"/>
            <color indexed="81"/>
            <rFont val="Tahoma"/>
            <family val="2"/>
          </rPr>
          <t>Heather Garland:</t>
        </r>
        <r>
          <rPr>
            <sz val="9"/>
            <color indexed="81"/>
            <rFont val="Tahoma"/>
            <family val="2"/>
          </rPr>
          <t xml:space="preserve">
Hauling commingle from Fife transfer to Pioneer.</t>
        </r>
      </text>
    </comment>
    <comment ref="AC14" authorId="0" shapeId="0" xr:uid="{00000000-0006-0000-0200-000004000000}">
      <text>
        <r>
          <rPr>
            <b/>
            <sz val="9"/>
            <color indexed="81"/>
            <rFont val="Tahoma"/>
            <family val="2"/>
          </rPr>
          <t>Heather Garland:</t>
        </r>
        <r>
          <rPr>
            <sz val="9"/>
            <color indexed="81"/>
            <rFont val="Tahoma"/>
            <family val="2"/>
          </rPr>
          <t xml:space="preserve">
Hauling commingle from Fife transfer to Pioneer.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Puryear</author>
  </authors>
  <commentList>
    <comment ref="R10" authorId="0" shapeId="0" xr:uid="{00000000-0006-0000-0300-000001000000}">
      <text>
        <r>
          <rPr>
            <sz val="9"/>
            <color indexed="81"/>
            <rFont val="Tahoma"/>
            <family val="2"/>
          </rPr>
          <t>Multiple accounts are allowed
Example: 14110,15110 
or a range of accounts 
Example:
14110..15110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Jennifer Puryear</author>
    <author>Heather Garland</author>
  </authors>
  <commentList>
    <comment ref="L13" authorId="0" shapeId="0" xr:uid="{D74B5222-887D-461B-9318-9C795103616F}">
      <text>
        <r>
          <rPr>
            <sz val="9"/>
            <color indexed="81"/>
            <rFont val="Tahoma"/>
            <family val="2"/>
          </rPr>
          <t>Multiple accounts are allowed
Example: 14110,15110 
or a range of accounts 
Example:
14110..15110</t>
        </r>
      </text>
    </comment>
    <comment ref="BA76" authorId="1" shapeId="0" xr:uid="{87AF65D3-05CD-4347-9B68-5252CB336F07}">
      <text>
        <r>
          <rPr>
            <b/>
            <sz val="9"/>
            <color indexed="81"/>
            <rFont val="Tahoma"/>
            <family val="2"/>
          </rPr>
          <t>Heather Garland:</t>
        </r>
        <r>
          <rPr>
            <sz val="9"/>
            <color indexed="81"/>
            <rFont val="Tahoma"/>
            <family val="2"/>
          </rPr>
          <t xml:space="preserve">
Hauling commingle from Fife transfer to Pioneer.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Ben Thompson</author>
    <author>Adam Rodriguez</author>
  </authors>
  <commentList>
    <comment ref="I23" authorId="0" shapeId="0" xr:uid="{FEED3A0D-15E3-4E6C-80A6-213BA8FB238E}">
      <text>
        <r>
          <rPr>
            <sz val="9"/>
            <color indexed="81"/>
            <rFont val="Tahoma"/>
            <family val="2"/>
          </rPr>
          <t>If adding, editing, or saving PO's for more than one district at a time, all of those districts must first be included in the report pull.</t>
        </r>
      </text>
    </comment>
    <comment ref="Q28" authorId="1" shapeId="0" xr:uid="{9AA8C6C3-204F-493C-921D-3DB688AE6AAC}">
      <text>
        <r>
          <rPr>
            <b/>
            <sz val="9"/>
            <color indexed="81"/>
            <rFont val="Tahoma"/>
            <family val="2"/>
          </rPr>
          <t>Add / Replace</t>
        </r>
      </text>
    </comment>
    <comment ref="R28" authorId="1" shapeId="0" xr:uid="{B4898F0E-4EC8-4A11-8D4A-0BBE4FE49A10}">
      <text>
        <r>
          <rPr>
            <b/>
            <sz val="9"/>
            <color indexed="81"/>
            <rFont val="Tahoma"/>
            <family val="2"/>
          </rPr>
          <t>New / Used</t>
        </r>
      </text>
    </comment>
    <comment ref="AO28" authorId="1" shapeId="0" xr:uid="{1CD41441-3AD1-4C1D-A788-C1FC8A8BEEAB}">
      <text>
        <r>
          <rPr>
            <b/>
            <sz val="9"/>
            <color indexed="81"/>
            <rFont val="Tahoma"/>
            <family val="2"/>
          </rPr>
          <t xml:space="preserve">This field will not be uploaded to DMS
</t>
        </r>
        <r>
          <rPr>
            <sz val="9"/>
            <color indexed="81"/>
            <rFont val="Tahoma"/>
            <family val="2"/>
          </rPr>
          <t>Text will become a hyperlink when you pull again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Brian Vandenburg</author>
    <author>Hammond, Greg (UTC)</author>
    <author>Lindsay Waldram</author>
    <author>Heather Garland</author>
    <author>Melissa Cheesman</author>
    <author>tc={E8FF9895-A4F0-44F1-B556-70EF8B208258}</author>
    <author>Akasha Leffler</author>
  </authors>
  <commentList>
    <comment ref="AD10" authorId="0" shapeId="0" xr:uid="{20C3F92A-87FE-484A-AFF1-7DA16A3529CB}">
      <text>
        <r>
          <rPr>
            <b/>
            <sz val="9"/>
            <color indexed="81"/>
            <rFont val="Tahoma"/>
            <family val="2"/>
          </rPr>
          <t>Brian Vandenburg:</t>
        </r>
        <r>
          <rPr>
            <sz val="9"/>
            <color indexed="81"/>
            <rFont val="Tahoma"/>
            <family val="2"/>
          </rPr>
          <t xml:space="preserve">
Company filed last four rate cases on average every 2.72 years. This spreads remaining depreciation over 3 years
</t>
        </r>
      </text>
    </comment>
    <comment ref="E15" authorId="1" shapeId="0" xr:uid="{00000000-0006-0000-0700-000001000000}">
      <text>
        <r>
          <rPr>
            <b/>
            <sz val="9"/>
            <color indexed="81"/>
            <rFont val="Tahoma"/>
            <family val="2"/>
          </rPr>
          <t>Hammond, Greg (UTC):</t>
        </r>
        <r>
          <rPr>
            <sz val="9"/>
            <color indexed="81"/>
            <rFont val="Tahoma"/>
            <family val="2"/>
          </rPr>
          <t xml:space="preserve">
Don't see in last rate case</t>
        </r>
      </text>
    </comment>
    <comment ref="E21" authorId="1" shapeId="0" xr:uid="{00000000-0006-0000-0700-000002000000}">
      <text>
        <r>
          <rPr>
            <b/>
            <sz val="9"/>
            <color indexed="81"/>
            <rFont val="Tahoma"/>
            <family val="2"/>
          </rPr>
          <t>Hammond, Greg (UTC):</t>
        </r>
        <r>
          <rPr>
            <sz val="9"/>
            <color indexed="81"/>
            <rFont val="Tahoma"/>
            <family val="2"/>
          </rPr>
          <t xml:space="preserve">
Retired for Automation in TG-170036</t>
        </r>
      </text>
    </comment>
    <comment ref="M23" authorId="2" shapeId="0" xr:uid="{00000000-0006-0000-0700-000003000000}">
      <text>
        <r>
          <rPr>
            <b/>
            <sz val="9"/>
            <color indexed="81"/>
            <rFont val="Tahoma"/>
            <family val="2"/>
          </rPr>
          <t>Lindsay Waldram:</t>
        </r>
        <r>
          <rPr>
            <sz val="9"/>
            <color indexed="81"/>
            <rFont val="Tahoma"/>
            <family val="2"/>
          </rPr>
          <t xml:space="preserve">
Added $58k per amount on FAR related to parent asset.  Unable to find on American depreciation schedule
</t>
        </r>
        <r>
          <rPr>
            <b/>
            <sz val="9"/>
            <color indexed="81"/>
            <rFont val="Tahoma"/>
            <family val="2"/>
          </rPr>
          <t xml:space="preserve">
Greg Hammond:</t>
        </r>
        <r>
          <rPr>
            <sz val="9"/>
            <color indexed="81"/>
            <rFont val="Tahoma"/>
            <family val="2"/>
          </rPr>
          <t xml:space="preserve">
Amount in TG-170036 was $138,815, will need support for the additional 58k</t>
        </r>
      </text>
    </comment>
    <comment ref="E25" authorId="1" shapeId="0" xr:uid="{00000000-0006-0000-0700-000004000000}">
      <text>
        <r>
          <rPr>
            <b/>
            <sz val="9"/>
            <color indexed="81"/>
            <rFont val="Tahoma"/>
            <family val="2"/>
          </rPr>
          <t>Hammond, Greg (UTC):</t>
        </r>
        <r>
          <rPr>
            <sz val="9"/>
            <color indexed="81"/>
            <rFont val="Tahoma"/>
            <family val="2"/>
          </rPr>
          <t xml:space="preserve">
Retired for Automation in TG-170036</t>
        </r>
      </text>
    </comment>
    <comment ref="E49" authorId="1" shapeId="0" xr:uid="{00000000-0006-0000-0700-000005000000}">
      <text>
        <r>
          <rPr>
            <b/>
            <sz val="9"/>
            <color indexed="81"/>
            <rFont val="Tahoma"/>
            <family val="2"/>
          </rPr>
          <t>Hammond, Greg (UTC):</t>
        </r>
        <r>
          <rPr>
            <sz val="9"/>
            <color indexed="81"/>
            <rFont val="Tahoma"/>
            <family val="2"/>
          </rPr>
          <t xml:space="preserve">
Retired for Automation in TG-170036</t>
        </r>
      </text>
    </comment>
    <comment ref="M50" authorId="3" shapeId="0" xr:uid="{00000000-0006-0000-0700-000006000000}">
      <text>
        <r>
          <rPr>
            <b/>
            <sz val="9"/>
            <color indexed="81"/>
            <rFont val="Tahoma"/>
            <family val="2"/>
          </rPr>
          <t>Heather Garland:</t>
        </r>
        <r>
          <rPr>
            <sz val="9"/>
            <color indexed="81"/>
            <rFont val="Tahoma"/>
            <family val="2"/>
          </rPr>
          <t xml:space="preserve">
104 purchased.  All on 2111 FAR.  Some were placed on 2131's deprec. Schedule.</t>
        </r>
      </text>
    </comment>
    <comment ref="E54" authorId="1" shapeId="0" xr:uid="{00000000-0006-0000-0700-000007000000}">
      <text>
        <r>
          <rPr>
            <b/>
            <sz val="9"/>
            <color indexed="81"/>
            <rFont val="Tahoma"/>
            <family val="2"/>
          </rPr>
          <t>Hammond, Greg (UTC):</t>
        </r>
        <r>
          <rPr>
            <sz val="9"/>
            <color indexed="81"/>
            <rFont val="Tahoma"/>
            <family val="2"/>
          </rPr>
          <t xml:space="preserve">
The blue highlighted trucks were added in TG-170037</t>
        </r>
      </text>
    </comment>
    <comment ref="E119" authorId="3" shapeId="0" xr:uid="{00000000-0006-0000-0700-000008000000}">
      <text>
        <r>
          <rPr>
            <b/>
            <sz val="9"/>
            <color indexed="81"/>
            <rFont val="Tahoma"/>
            <family val="2"/>
          </rPr>
          <t>Heather Garland:</t>
        </r>
        <r>
          <rPr>
            <sz val="9"/>
            <color indexed="81"/>
            <rFont val="Tahoma"/>
            <family val="2"/>
          </rPr>
          <t xml:space="preserve">
As of our analysis in Oct 2020 Fife transfer hauling is being done primarily via third party.  Trucks 147 and 156 are used to haul recycling out of the t-stn, but they have zero value so we have not added them here.</t>
        </r>
      </text>
    </comment>
    <comment ref="M141" authorId="2" shapeId="0" xr:uid="{00000000-0006-0000-0700-000009000000}">
      <text>
        <r>
          <rPr>
            <b/>
            <sz val="9"/>
            <color indexed="81"/>
            <rFont val="Tahoma"/>
            <family val="2"/>
          </rPr>
          <t>Lindsay Waldram:</t>
        </r>
        <r>
          <rPr>
            <sz val="9"/>
            <color indexed="81"/>
            <rFont val="Tahoma"/>
            <family val="2"/>
          </rPr>
          <t xml:space="preserve">
Updated amount to match FAR</t>
        </r>
      </text>
    </comment>
    <comment ref="M185" authorId="4" shapeId="0" xr:uid="{00000000-0006-0000-0700-00000A000000}">
      <text>
        <r>
          <rPr>
            <b/>
            <sz val="9"/>
            <color indexed="81"/>
            <rFont val="Tahoma"/>
            <family val="2"/>
          </rPr>
          <t>Melissa Cheesman:</t>
        </r>
        <r>
          <rPr>
            <sz val="9"/>
            <color indexed="81"/>
            <rFont val="Tahoma"/>
            <family val="2"/>
          </rPr>
          <t xml:space="preserve">
Company 285,892.00
Invoices 284,650.28</t>
        </r>
      </text>
    </comment>
    <comment ref="M210" authorId="4" shapeId="0" xr:uid="{00000000-0006-0000-0700-00000B000000}">
      <text>
        <r>
          <rPr>
            <b/>
            <sz val="9"/>
            <color indexed="81"/>
            <rFont val="Tahoma"/>
            <family val="2"/>
          </rPr>
          <t>Melissa Cheesman:</t>
        </r>
        <r>
          <rPr>
            <sz val="9"/>
            <color indexed="81"/>
            <rFont val="Tahoma"/>
            <family val="2"/>
          </rPr>
          <t xml:space="preserve">
Company 1,681.71 (= 560.39 * 3)
Invoice 1,490.40 (= 496.80 * 3)</t>
        </r>
      </text>
    </comment>
    <comment ref="H215" authorId="4" shapeId="0" xr:uid="{00000000-0006-0000-0700-00000C000000}">
      <text>
        <r>
          <rPr>
            <b/>
            <sz val="9"/>
            <color indexed="81"/>
            <rFont val="Tahoma"/>
            <family val="2"/>
          </rPr>
          <t>Melissa Cheesman:</t>
        </r>
        <r>
          <rPr>
            <sz val="9"/>
            <color indexed="81"/>
            <rFont val="Tahoma"/>
            <family val="2"/>
          </rPr>
          <t xml:space="preserve">
changed from 0 to 20%
</t>
        </r>
      </text>
    </comment>
    <comment ref="M223" authorId="3" shapeId="0" xr:uid="{00000000-0006-0000-0700-00000D000000}">
      <text>
        <r>
          <rPr>
            <b/>
            <sz val="9"/>
            <color indexed="81"/>
            <rFont val="Tahoma"/>
            <family val="2"/>
          </rPr>
          <t>Heather Garland:</t>
        </r>
        <r>
          <rPr>
            <sz val="9"/>
            <color indexed="81"/>
            <rFont val="Tahoma"/>
            <family val="2"/>
          </rPr>
          <t xml:space="preserve">
104 purchased.  All on 2111 FAR.  Some were placed on 2131's deprec. Schedule.</t>
        </r>
      </text>
    </comment>
    <comment ref="M229" authorId="4" shapeId="0" xr:uid="{00000000-0006-0000-0700-00000E000000}">
      <text>
        <r>
          <rPr>
            <b/>
            <sz val="9"/>
            <color indexed="81"/>
            <rFont val="Tahoma"/>
            <family val="2"/>
          </rPr>
          <t>Melissa Cheesman:</t>
        </r>
        <r>
          <rPr>
            <sz val="9"/>
            <color indexed="81"/>
            <rFont val="Tahoma"/>
            <family val="2"/>
          </rPr>
          <t xml:space="preserve">
Company 3,362.34 (=2801.95+560.39)
Invoice 2,980.8 (= 496.80 * 6)</t>
        </r>
      </text>
    </comment>
    <comment ref="B237" authorId="2" shapeId="0" xr:uid="{00000000-0006-0000-0700-00000F000000}">
      <text>
        <r>
          <rPr>
            <b/>
            <sz val="9"/>
            <color indexed="81"/>
            <rFont val="Tahoma"/>
            <family val="2"/>
          </rPr>
          <t>Lindsay Waldram:</t>
        </r>
        <r>
          <rPr>
            <sz val="9"/>
            <color indexed="81"/>
            <rFont val="Tahoma"/>
            <family val="2"/>
          </rPr>
          <t xml:space="preserve">
These were not on the American depreciation listing however it is the remaining cameras related to this FAR number</t>
        </r>
      </text>
    </comment>
    <comment ref="H238" authorId="4" shapeId="0" xr:uid="{00000000-0006-0000-0700-000010000000}">
      <text>
        <r>
          <rPr>
            <b/>
            <sz val="9"/>
            <color indexed="81"/>
            <rFont val="Tahoma"/>
            <family val="2"/>
          </rPr>
          <t>Melissa Cheesman:</t>
        </r>
        <r>
          <rPr>
            <sz val="9"/>
            <color indexed="81"/>
            <rFont val="Tahoma"/>
            <family val="2"/>
          </rPr>
          <t xml:space="preserve">
change from 33% to 20% (USOA)
</t>
        </r>
      </text>
    </comment>
    <comment ref="M238" authorId="4" shapeId="0" xr:uid="{00000000-0006-0000-0700-000011000000}">
      <text>
        <r>
          <rPr>
            <b/>
            <sz val="9"/>
            <color indexed="81"/>
            <rFont val="Tahoma"/>
            <family val="2"/>
          </rPr>
          <t>Melissa Cheesman:</t>
        </r>
        <r>
          <rPr>
            <sz val="9"/>
            <color indexed="81"/>
            <rFont val="Tahoma"/>
            <family val="2"/>
          </rPr>
          <t xml:space="preserve">
Company 313,064.91
Invoice 313,661.14</t>
        </r>
      </text>
    </comment>
    <comment ref="M246" authorId="3" shapeId="0" xr:uid="{00000000-0006-0000-0700-000012000000}">
      <text>
        <r>
          <rPr>
            <b/>
            <sz val="9"/>
            <color indexed="81"/>
            <rFont val="Tahoma"/>
            <family val="2"/>
          </rPr>
          <t>Heather Garland:</t>
        </r>
        <r>
          <rPr>
            <sz val="9"/>
            <color indexed="81"/>
            <rFont val="Tahoma"/>
            <family val="2"/>
          </rPr>
          <t xml:space="preserve">
104 purchased.  All on 2111 FAR.  Some were placed on 2131's deprec. Schedule.</t>
        </r>
      </text>
    </comment>
    <comment ref="M262" authorId="3" shapeId="0" xr:uid="{00000000-0006-0000-0700-000013000000}">
      <text>
        <r>
          <rPr>
            <b/>
            <sz val="9"/>
            <color indexed="81"/>
            <rFont val="Tahoma"/>
            <family val="2"/>
          </rPr>
          <t>Heather Garland:</t>
        </r>
        <r>
          <rPr>
            <sz val="9"/>
            <color indexed="81"/>
            <rFont val="Tahoma"/>
            <family val="2"/>
          </rPr>
          <t xml:space="preserve">
104 purchased.  All on 2111 FAR.  Some were placed on 2131's deprec. Schedule.</t>
        </r>
      </text>
    </comment>
    <comment ref="M279" authorId="4" shapeId="0" xr:uid="{00000000-0006-0000-0700-000014000000}">
      <text>
        <r>
          <rPr>
            <b/>
            <sz val="9"/>
            <color indexed="81"/>
            <rFont val="Tahoma"/>
            <family val="2"/>
          </rPr>
          <t>Melissa Cheesman:</t>
        </r>
        <r>
          <rPr>
            <sz val="9"/>
            <color indexed="81"/>
            <rFont val="Tahoma"/>
            <family val="2"/>
          </rPr>
          <t xml:space="preserve">
Company 285,892.00
Invoices 284,650.28</t>
        </r>
      </text>
    </comment>
    <comment ref="E299" authorId="1" shapeId="0" xr:uid="{00000000-0006-0000-0700-000015000000}">
      <text>
        <r>
          <rPr>
            <b/>
            <sz val="9"/>
            <color indexed="81"/>
            <rFont val="Tahoma"/>
            <family val="2"/>
          </rPr>
          <t>Hammond, Greg (UTC):</t>
        </r>
        <r>
          <rPr>
            <sz val="9"/>
            <color indexed="81"/>
            <rFont val="Tahoma"/>
            <family val="2"/>
          </rPr>
          <t xml:space="preserve">
Retired for Automation in TG-170036</t>
        </r>
      </text>
    </comment>
    <comment ref="E305" authorId="1" shapeId="0" xr:uid="{00000000-0006-0000-0700-000016000000}">
      <text>
        <r>
          <rPr>
            <b/>
            <sz val="9"/>
            <color indexed="81"/>
            <rFont val="Tahoma"/>
            <family val="2"/>
          </rPr>
          <t>Hammond, Greg (UTC):</t>
        </r>
        <r>
          <rPr>
            <sz val="9"/>
            <color indexed="81"/>
            <rFont val="Tahoma"/>
            <family val="2"/>
          </rPr>
          <t xml:space="preserve">
Retired for Automation in TG-170036</t>
        </r>
      </text>
    </comment>
    <comment ref="E319" authorId="1" shapeId="0" xr:uid="{00000000-0006-0000-0700-000017000000}">
      <text>
        <r>
          <rPr>
            <b/>
            <sz val="9"/>
            <color indexed="81"/>
            <rFont val="Tahoma"/>
            <family val="2"/>
          </rPr>
          <t>Hammond, Greg (UTC):</t>
        </r>
        <r>
          <rPr>
            <sz val="9"/>
            <color indexed="81"/>
            <rFont val="Tahoma"/>
            <family val="2"/>
          </rPr>
          <t xml:space="preserve">
Retired for Automation in TG-170036. 
Per Company - Did not end up retiring as anticipated</t>
        </r>
      </text>
    </comment>
    <comment ref="B335" authorId="5" shapeId="0" xr:uid="{00000000-0006-0000-0700-000018000000}">
      <text>
        <t>[Threaded comment]
Your version of Excel allows you to read this threaded comment; however, any edits to it will get removed if the file is opened in a newer version of Excel. Learn more: https://go.microsoft.com/fwlink/?linkid=870924
Comment:
    transferred to 2211</t>
      </text>
    </comment>
    <comment ref="B347" authorId="6" shapeId="0" xr:uid="{00000000-0006-0000-0700-000019000000}">
      <text>
        <r>
          <rPr>
            <b/>
            <sz val="9"/>
            <color indexed="81"/>
            <rFont val="Tahoma"/>
            <family val="2"/>
          </rPr>
          <t>Akasha Leffler:</t>
        </r>
        <r>
          <rPr>
            <sz val="9"/>
            <color indexed="81"/>
            <rFont val="Tahoma"/>
            <family val="2"/>
          </rPr>
          <t xml:space="preserve">
This is on Vashon's FAR</t>
        </r>
      </text>
    </comment>
    <comment ref="B348" authorId="6" shapeId="0" xr:uid="{00000000-0006-0000-0700-00001A000000}">
      <text>
        <r>
          <rPr>
            <b/>
            <sz val="9"/>
            <color indexed="81"/>
            <rFont val="Tahoma"/>
            <family val="2"/>
          </rPr>
          <t>Akasha Leffler:</t>
        </r>
        <r>
          <rPr>
            <sz val="9"/>
            <color indexed="81"/>
            <rFont val="Tahoma"/>
            <family val="2"/>
          </rPr>
          <t xml:space="preserve">
This is on Vashon's FAR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Lindsay Waldram</author>
    <author>Melissa Cheesman</author>
    <author>WCNX</author>
    <author>Heather Garland</author>
  </authors>
  <commentList>
    <comment ref="M19" authorId="0" shapeId="0" xr:uid="{00000000-0006-0000-0800-000001000000}">
      <text>
        <r>
          <rPr>
            <b/>
            <sz val="9"/>
            <color indexed="81"/>
            <rFont val="Tahoma"/>
            <family val="2"/>
          </rPr>
          <t>Lindsay Waldram:</t>
        </r>
        <r>
          <rPr>
            <sz val="9"/>
            <color indexed="81"/>
            <rFont val="Tahoma"/>
            <family val="2"/>
          </rPr>
          <t xml:space="preserve">
Updated cost per FAR (was $5,222)</t>
        </r>
      </text>
    </comment>
    <comment ref="M100" authorId="1" shapeId="0" xr:uid="{00000000-0006-0000-0800-000002000000}">
      <text>
        <r>
          <rPr>
            <b/>
            <sz val="9"/>
            <color indexed="81"/>
            <rFont val="Tahoma"/>
            <family val="2"/>
          </rPr>
          <t>Melissa Cheesman:</t>
        </r>
        <r>
          <rPr>
            <sz val="9"/>
            <color indexed="81"/>
            <rFont val="Tahoma"/>
            <family val="2"/>
          </rPr>
          <t xml:space="preserve">
Company 14,689.92 (=163.96+7181+3147.84+4197.12)
Invoices 8,394.24 (=4197.12+4197.12)</t>
        </r>
      </text>
    </comment>
    <comment ref="M117" authorId="1" shapeId="0" xr:uid="{00000000-0006-0000-0800-000003000000}">
      <text>
        <r>
          <rPr>
            <b/>
            <sz val="9"/>
            <color indexed="81"/>
            <rFont val="Tahoma"/>
            <family val="2"/>
          </rPr>
          <t>Melissa Cheesman:</t>
        </r>
        <r>
          <rPr>
            <sz val="9"/>
            <color indexed="81"/>
            <rFont val="Tahoma"/>
            <family val="2"/>
          </rPr>
          <t xml:space="preserve">
Company 7,334.39 (=5836.62+486+39+972.77)
Invoices 7,295.78 (==5836.62+486.39+972.77</t>
        </r>
      </text>
    </comment>
    <comment ref="C261" authorId="0" shapeId="0" xr:uid="{00000000-0006-0000-0800-000004000000}">
      <text>
        <r>
          <rPr>
            <b/>
            <sz val="9"/>
            <color indexed="81"/>
            <rFont val="Tahoma"/>
            <family val="2"/>
          </rPr>
          <t>Lindsay Waldram:</t>
        </r>
        <r>
          <rPr>
            <sz val="9"/>
            <color indexed="81"/>
            <rFont val="Tahoma"/>
            <family val="2"/>
          </rPr>
          <t xml:space="preserve">
Shows up as Taxes on the FAR.  Date and amount match</t>
        </r>
      </text>
    </comment>
    <comment ref="M410" authorId="1" shapeId="0" xr:uid="{00000000-0006-0000-0800-000005000000}">
      <text>
        <r>
          <rPr>
            <b/>
            <sz val="9"/>
            <color indexed="81"/>
            <rFont val="Tahoma"/>
            <family val="2"/>
          </rPr>
          <t>Melissa Cheesman:</t>
        </r>
        <r>
          <rPr>
            <sz val="9"/>
            <color indexed="81"/>
            <rFont val="Tahoma"/>
            <family val="2"/>
          </rPr>
          <t xml:space="preserve">
Company 41,871.60 (=12077.65+12077+65+5574.3+12077.65)
Invoices 41,807.25 (=12077.65+12077.65+5574.3+12077.65)</t>
        </r>
      </text>
    </comment>
    <comment ref="D419" authorId="2" shapeId="0" xr:uid="{00000000-0006-0000-0800-000006000000}">
      <text>
        <r>
          <rPr>
            <b/>
            <sz val="8"/>
            <color indexed="81"/>
            <rFont val="Tahoma"/>
            <family val="2"/>
          </rPr>
          <t>WCNX:</t>
        </r>
        <r>
          <rPr>
            <sz val="8"/>
            <color indexed="81"/>
            <rFont val="Tahoma"/>
            <family val="2"/>
          </rPr>
          <t xml:space="preserve">
Retired 351 carts on 3/6/2013.</t>
        </r>
      </text>
    </comment>
    <comment ref="M422" authorId="0" shapeId="0" xr:uid="{00000000-0006-0000-0800-000007000000}">
      <text>
        <r>
          <rPr>
            <b/>
            <sz val="9"/>
            <color indexed="81"/>
            <rFont val="Tahoma"/>
            <family val="2"/>
          </rPr>
          <t>Lindsay Waldram:</t>
        </r>
        <r>
          <rPr>
            <sz val="9"/>
            <color indexed="81"/>
            <rFont val="Tahoma"/>
            <family val="2"/>
          </rPr>
          <t xml:space="preserve">
Updated from 10,782 to $10,909 per FAR</t>
        </r>
      </text>
    </comment>
    <comment ref="M423" authorId="0" shapeId="0" xr:uid="{00000000-0006-0000-0800-000008000000}">
      <text>
        <r>
          <rPr>
            <b/>
            <sz val="9"/>
            <color indexed="81"/>
            <rFont val="Tahoma"/>
            <family val="2"/>
          </rPr>
          <t>Lindsay Waldram:</t>
        </r>
        <r>
          <rPr>
            <sz val="9"/>
            <color indexed="81"/>
            <rFont val="Tahoma"/>
            <family val="2"/>
          </rPr>
          <t xml:space="preserve">
Updated to match FAR of $14,222.  Was $14,484</t>
        </r>
      </text>
    </comment>
    <comment ref="D433" authorId="0" shapeId="0" xr:uid="{00000000-0006-0000-0800-000009000000}">
      <text>
        <r>
          <rPr>
            <b/>
            <sz val="9"/>
            <color indexed="81"/>
            <rFont val="Tahoma"/>
            <family val="2"/>
          </rPr>
          <t>Lindsay Waldram:</t>
        </r>
        <r>
          <rPr>
            <sz val="9"/>
            <color indexed="81"/>
            <rFont val="Tahoma"/>
            <family val="2"/>
          </rPr>
          <t xml:space="preserve">
Should be YW per FAR??</t>
        </r>
      </text>
    </comment>
    <comment ref="E461" authorId="3" shapeId="0" xr:uid="{00000000-0006-0000-0800-00000A000000}">
      <text>
        <r>
          <rPr>
            <b/>
            <sz val="9"/>
            <color indexed="81"/>
            <rFont val="Tahoma"/>
            <family val="2"/>
          </rPr>
          <t>Heather Garland:</t>
        </r>
        <r>
          <rPr>
            <sz val="9"/>
            <color indexed="81"/>
            <rFont val="Tahoma"/>
            <family val="2"/>
          </rPr>
          <t xml:space="preserve">
Carts are interchangeable between Murrey's and DM.  Going forward, all carts purchased will be combined and allocated out out on the appropriate allocator.</t>
        </r>
      </text>
    </comment>
    <comment ref="E570" authorId="3" shapeId="0" xr:uid="{00000000-0006-0000-0800-00000B000000}">
      <text>
        <r>
          <rPr>
            <b/>
            <sz val="9"/>
            <color indexed="81"/>
            <rFont val="Tahoma"/>
            <family val="2"/>
          </rPr>
          <t>Heather Garland:</t>
        </r>
        <r>
          <rPr>
            <sz val="9"/>
            <color indexed="81"/>
            <rFont val="Tahoma"/>
            <family val="2"/>
          </rPr>
          <t xml:space="preserve">
Carts are interchangeable between Murrey's and DM.  Going forward, all carts purchased will be combined and allocated out out on the appropriate allocator.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Melissa Cheesman</author>
  </authors>
  <commentList>
    <comment ref="J56" authorId="0" shapeId="0" xr:uid="{00000000-0006-0000-0900-000001000000}">
      <text>
        <r>
          <rPr>
            <b/>
            <sz val="9"/>
            <color indexed="81"/>
            <rFont val="Tahoma"/>
            <family val="2"/>
          </rPr>
          <t>Melissa Cheesman:</t>
        </r>
        <r>
          <rPr>
            <sz val="9"/>
            <color indexed="81"/>
            <rFont val="Tahoma"/>
            <family val="2"/>
          </rPr>
          <t xml:space="preserve">
changed from 5 to 7, per settlement agreement</t>
        </r>
      </text>
    </comment>
    <comment ref="J58" authorId="0" shapeId="0" xr:uid="{00000000-0006-0000-0900-000002000000}">
      <text>
        <r>
          <rPr>
            <b/>
            <sz val="9"/>
            <color indexed="81"/>
            <rFont val="Tahoma"/>
            <family val="2"/>
          </rPr>
          <t>Melissa Cheesman:</t>
        </r>
        <r>
          <rPr>
            <sz val="9"/>
            <color indexed="81"/>
            <rFont val="Tahoma"/>
            <family val="2"/>
          </rPr>
          <t xml:space="preserve">
changed from 5 to 7, per settlement agreement</t>
        </r>
      </text>
    </comment>
    <comment ref="J59" authorId="0" shapeId="0" xr:uid="{00000000-0006-0000-0900-000003000000}">
      <text>
        <r>
          <rPr>
            <b/>
            <sz val="9"/>
            <color indexed="81"/>
            <rFont val="Tahoma"/>
            <family val="2"/>
          </rPr>
          <t>Melissa Cheesman:</t>
        </r>
        <r>
          <rPr>
            <sz val="9"/>
            <color indexed="81"/>
            <rFont val="Tahoma"/>
            <family val="2"/>
          </rPr>
          <t xml:space="preserve">
changed from 5 to 7, per settlement agreement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Melissa Cheesman</author>
    <author>WCNX</author>
    <author>Heather Garland</author>
    <author>Lindsay Waldram</author>
  </authors>
  <commentList>
    <comment ref="G13" authorId="0" shapeId="0" xr:uid="{00000000-0006-0000-0A00-000001000000}">
      <text>
        <r>
          <rPr>
            <b/>
            <sz val="9"/>
            <color indexed="81"/>
            <rFont val="Tahoma"/>
            <family val="2"/>
          </rPr>
          <t>Melissa Cheesman:</t>
        </r>
        <r>
          <rPr>
            <sz val="9"/>
            <color indexed="81"/>
            <rFont val="Tahoma"/>
            <family val="2"/>
          </rPr>
          <t xml:space="preserve">
company changed from Nov to Jan 2012 based on improvement completion date. Org date was set to payment due date</t>
        </r>
      </text>
    </comment>
    <comment ref="J13" authorId="0" shapeId="0" xr:uid="{00000000-0006-0000-0A00-000002000000}">
      <text>
        <r>
          <rPr>
            <b/>
            <sz val="9"/>
            <color indexed="81"/>
            <rFont val="Tahoma"/>
            <family val="2"/>
          </rPr>
          <t>Melissa Cheesman:</t>
        </r>
        <r>
          <rPr>
            <sz val="7"/>
            <color indexed="81"/>
            <rFont val="Tahoma"/>
            <family val="2"/>
          </rPr>
          <t xml:space="preserve">
Company agreed to 30</t>
        </r>
      </text>
    </comment>
    <comment ref="M13" authorId="1" shapeId="0" xr:uid="{00000000-0006-0000-0A00-000003000000}">
      <text>
        <r>
          <rPr>
            <b/>
            <sz val="8"/>
            <color indexed="81"/>
            <rFont val="Tahoma"/>
            <family val="2"/>
          </rPr>
          <t>WCNX:</t>
        </r>
        <r>
          <rPr>
            <sz val="8"/>
            <color indexed="81"/>
            <rFont val="Tahoma"/>
            <family val="2"/>
          </rPr>
          <t xml:space="preserve">
Added back the amounts related to the new building that were subtracted out in the last rate filing because the building was not finished at that time.</t>
        </r>
      </text>
    </comment>
    <comment ref="B20" authorId="2" shapeId="0" xr:uid="{00000000-0006-0000-0A00-000004000000}">
      <text>
        <r>
          <rPr>
            <b/>
            <sz val="9"/>
            <color indexed="81"/>
            <rFont val="Tahoma"/>
            <family val="2"/>
          </rPr>
          <t>Heather Garland:</t>
        </r>
        <r>
          <rPr>
            <sz val="9"/>
            <color indexed="81"/>
            <rFont val="Tahoma"/>
            <family val="2"/>
          </rPr>
          <t xml:space="preserve">
CER#  2111-19-0027</t>
        </r>
      </text>
    </comment>
    <comment ref="J20" authorId="2" shapeId="0" xr:uid="{00000000-0006-0000-0A00-000005000000}">
      <text>
        <r>
          <rPr>
            <b/>
            <sz val="9"/>
            <color indexed="81"/>
            <rFont val="Tahoma"/>
            <family val="2"/>
          </rPr>
          <t>Heather Garland:</t>
        </r>
        <r>
          <rPr>
            <sz val="9"/>
            <color indexed="81"/>
            <rFont val="Tahoma"/>
            <family val="2"/>
          </rPr>
          <t xml:space="preserve">
Different lines on the FAR have different asset lives. In talking with Kelly there were no structures and most was parking lot and excavation work so 7 years is appropriate. </t>
        </r>
      </text>
    </comment>
    <comment ref="J33" authorId="0" shapeId="0" xr:uid="{00000000-0006-0000-0A00-000006000000}">
      <text>
        <r>
          <rPr>
            <b/>
            <sz val="9"/>
            <color indexed="81"/>
            <rFont val="Tahoma"/>
            <family val="2"/>
          </rPr>
          <t>Melissa Cheesman:</t>
        </r>
        <r>
          <rPr>
            <sz val="9"/>
            <color indexed="81"/>
            <rFont val="Tahoma"/>
            <family val="2"/>
          </rPr>
          <t xml:space="preserve">
change from 10 to 20
</t>
        </r>
      </text>
    </comment>
    <comment ref="M33" authorId="0" shapeId="0" xr:uid="{00000000-0006-0000-0A00-000007000000}">
      <text>
        <r>
          <rPr>
            <b/>
            <sz val="9"/>
            <color indexed="81"/>
            <rFont val="Tahoma"/>
            <family val="2"/>
          </rPr>
          <t>Melissa Cheesman:</t>
        </r>
        <r>
          <rPr>
            <sz val="9"/>
            <color indexed="81"/>
            <rFont val="Tahoma"/>
            <family val="2"/>
          </rPr>
          <t xml:space="preserve">
Company 157686.68
Staff = 157686.68 - DM Share of asset and adj based on invoice cost
Invoices submitted totaled 612,482.89</t>
        </r>
      </text>
    </comment>
    <comment ref="M35" authorId="1" shapeId="0" xr:uid="{00000000-0006-0000-0A00-000008000000}">
      <text>
        <r>
          <rPr>
            <b/>
            <sz val="8"/>
            <color indexed="81"/>
            <rFont val="Tahoma"/>
            <family val="2"/>
          </rPr>
          <t>WCNX:</t>
        </r>
        <r>
          <rPr>
            <sz val="8"/>
            <color indexed="81"/>
            <rFont val="Tahoma"/>
            <family val="2"/>
          </rPr>
          <t xml:space="preserve">
Transferred from TRCI. In service at TRCI 9/12/2011. Assumed original 84 months, was at TRCI for 25 months, 59 months remaining of the NBV.</t>
        </r>
      </text>
    </comment>
    <comment ref="E104" authorId="2" shapeId="0" xr:uid="{00000000-0006-0000-0A00-000009000000}">
      <text>
        <r>
          <rPr>
            <b/>
            <sz val="9"/>
            <color indexed="81"/>
            <rFont val="Tahoma"/>
            <family val="2"/>
          </rPr>
          <t>Heather Garland:</t>
        </r>
        <r>
          <rPr>
            <sz val="9"/>
            <color indexed="81"/>
            <rFont val="Tahoma"/>
            <family val="2"/>
          </rPr>
          <t xml:space="preserve">
Under construction.</t>
        </r>
      </text>
    </comment>
    <comment ref="F104" authorId="3" shapeId="0" xr:uid="{00000000-0006-0000-0A00-00000A000000}">
      <text>
        <r>
          <rPr>
            <b/>
            <sz val="9"/>
            <color indexed="81"/>
            <rFont val="Tahoma"/>
            <family val="2"/>
          </rPr>
          <t>Lindsay Waldram:</t>
        </r>
        <r>
          <rPr>
            <sz val="9"/>
            <color indexed="81"/>
            <rFont val="Tahoma"/>
            <family val="2"/>
          </rPr>
          <t xml:space="preserve">
Updated to date in service
</t>
        </r>
      </text>
    </comment>
    <comment ref="F105" authorId="3" shapeId="0" xr:uid="{00000000-0006-0000-0A00-00000B000000}">
      <text>
        <r>
          <rPr>
            <b/>
            <sz val="9"/>
            <color indexed="81"/>
            <rFont val="Tahoma"/>
            <family val="2"/>
          </rPr>
          <t>Lindsay Waldram:</t>
        </r>
        <r>
          <rPr>
            <sz val="9"/>
            <color indexed="81"/>
            <rFont val="Tahoma"/>
            <family val="2"/>
          </rPr>
          <t xml:space="preserve">
Updated to date in service
</t>
        </r>
      </text>
    </comment>
    <comment ref="F106" authorId="3" shapeId="0" xr:uid="{00000000-0006-0000-0A00-00000C000000}">
      <text>
        <r>
          <rPr>
            <b/>
            <sz val="9"/>
            <color indexed="81"/>
            <rFont val="Tahoma"/>
            <family val="2"/>
          </rPr>
          <t>Lindsay Waldram:</t>
        </r>
        <r>
          <rPr>
            <sz val="9"/>
            <color indexed="81"/>
            <rFont val="Tahoma"/>
            <family val="2"/>
          </rPr>
          <t xml:space="preserve">
Updated to date in service
</t>
        </r>
      </text>
    </comment>
    <comment ref="F107" authorId="3" shapeId="0" xr:uid="{00000000-0006-0000-0A00-00000D000000}">
      <text>
        <r>
          <rPr>
            <b/>
            <sz val="9"/>
            <color indexed="81"/>
            <rFont val="Tahoma"/>
            <family val="2"/>
          </rPr>
          <t>Lindsay Waldram:</t>
        </r>
        <r>
          <rPr>
            <sz val="9"/>
            <color indexed="81"/>
            <rFont val="Tahoma"/>
            <family val="2"/>
          </rPr>
          <t xml:space="preserve">
Updated to date in service
</t>
        </r>
      </text>
    </comment>
    <comment ref="F108" authorId="3" shapeId="0" xr:uid="{00000000-0006-0000-0A00-00000E000000}">
      <text>
        <r>
          <rPr>
            <b/>
            <sz val="9"/>
            <color indexed="81"/>
            <rFont val="Tahoma"/>
            <family val="2"/>
          </rPr>
          <t>Lindsay Waldram:</t>
        </r>
        <r>
          <rPr>
            <sz val="9"/>
            <color indexed="81"/>
            <rFont val="Tahoma"/>
            <family val="2"/>
          </rPr>
          <t xml:space="preserve">
Updated to date in service
</t>
        </r>
      </text>
    </comment>
    <comment ref="E186" authorId="2" shapeId="0" xr:uid="{00000000-0006-0000-0A00-00000F000000}">
      <text>
        <r>
          <rPr>
            <b/>
            <sz val="9"/>
            <color indexed="81"/>
            <rFont val="Tahoma"/>
            <family val="2"/>
          </rPr>
          <t>Heather Garland:</t>
        </r>
        <r>
          <rPr>
            <sz val="9"/>
            <color indexed="81"/>
            <rFont val="Tahoma"/>
            <family val="2"/>
          </rPr>
          <t xml:space="preserve">
Transferred to Vashon 1/2020.</t>
        </r>
      </text>
    </comment>
    <comment ref="M186" authorId="3" shapeId="0" xr:uid="{00000000-0006-0000-0A00-000010000000}">
      <text>
        <r>
          <rPr>
            <b/>
            <sz val="9"/>
            <color indexed="81"/>
            <rFont val="Tahoma"/>
            <family val="2"/>
          </rPr>
          <t>Lindsay Waldram:</t>
        </r>
        <r>
          <rPr>
            <sz val="9"/>
            <color indexed="81"/>
            <rFont val="Tahoma"/>
            <family val="2"/>
          </rPr>
          <t xml:space="preserve">
Updated to full amount on the FAR.  Originally reduced to remove portion used in unreg areas.  This will be assessed with allocators</t>
        </r>
      </text>
    </comment>
    <comment ref="M191" authorId="1" shapeId="0" xr:uid="{00000000-0006-0000-0A00-000011000000}">
      <text>
        <r>
          <rPr>
            <b/>
            <sz val="8"/>
            <color indexed="81"/>
            <rFont val="Tahoma"/>
            <family val="2"/>
          </rPr>
          <t>WCNX:</t>
        </r>
        <r>
          <rPr>
            <sz val="8"/>
            <color indexed="81"/>
            <rFont val="Tahoma"/>
            <family val="2"/>
          </rPr>
          <t xml:space="preserve">
</t>
        </r>
        <r>
          <rPr>
            <b/>
            <sz val="8"/>
            <color indexed="81"/>
            <rFont val="Tahoma"/>
            <family val="2"/>
          </rPr>
          <t>T</t>
        </r>
        <r>
          <rPr>
            <sz val="8"/>
            <color indexed="81"/>
            <rFont val="Tahoma"/>
            <family val="2"/>
          </rPr>
          <t>ransferred from TRCI. In service at TRCI on 6/26/2007. Assumed original 84 months, was at TRCI for 75 months, 9 months remaining of the NBV.</t>
        </r>
      </text>
    </comment>
  </commentList>
</comments>
</file>

<file path=xl/sharedStrings.xml><?xml version="1.0" encoding="utf-8"?>
<sst xmlns="http://schemas.openxmlformats.org/spreadsheetml/2006/main" count="44878" uniqueCount="4861">
  <si>
    <t>Depreciation Schedule</t>
  </si>
  <si>
    <t>Months in first year</t>
  </si>
  <si>
    <t>CONVENTIONS</t>
  </si>
  <si>
    <t>Months in second year</t>
  </si>
  <si>
    <t>A.</t>
  </si>
  <si>
    <t>Purchase date</t>
  </si>
  <si>
    <t>First year</t>
  </si>
  <si>
    <t>B.</t>
  </si>
  <si>
    <t>End of Test Period</t>
  </si>
  <si>
    <t xml:space="preserve">Calendar year test period: </t>
  </si>
  <si>
    <t>mos in first year</t>
  </si>
  <si>
    <t>Second year</t>
  </si>
  <si>
    <t>C</t>
  </si>
  <si>
    <t>Date fully Depr</t>
  </si>
  <si>
    <t>mos in 2nd year</t>
  </si>
  <si>
    <t>D.</t>
  </si>
  <si>
    <t>Beg of Test Period</t>
  </si>
  <si>
    <t>Total</t>
  </si>
  <si>
    <t>Beginning</t>
  </si>
  <si>
    <t>Allocated</t>
  </si>
  <si>
    <t>E.</t>
  </si>
  <si>
    <t>Disposition Date</t>
  </si>
  <si>
    <t>Second Year</t>
  </si>
  <si>
    <t>Salvage</t>
  </si>
  <si>
    <t>Year</t>
  </si>
  <si>
    <t>Disposal</t>
  </si>
  <si>
    <t>Accumulated</t>
  </si>
  <si>
    <t>Branch</t>
  </si>
  <si>
    <t>Accum.</t>
  </si>
  <si>
    <t>Value</t>
  </si>
  <si>
    <t>Method</t>
  </si>
  <si>
    <t>Asset</t>
  </si>
  <si>
    <t>Test year</t>
  </si>
  <si>
    <t>Test yr.</t>
  </si>
  <si>
    <t>%</t>
  </si>
  <si>
    <t>Depreciation</t>
  </si>
  <si>
    <t>Allo.</t>
  </si>
  <si>
    <t>Depr.</t>
  </si>
  <si>
    <t>Average</t>
  </si>
  <si>
    <t>Mo</t>
  </si>
  <si>
    <t>M</t>
  </si>
  <si>
    <t xml:space="preserve"> Mo.</t>
  </si>
  <si>
    <t>Cost</t>
  </si>
  <si>
    <t>Depn</t>
  </si>
  <si>
    <t>Depn.</t>
  </si>
  <si>
    <t>Investment</t>
  </si>
  <si>
    <t>B</t>
  </si>
  <si>
    <t>C.</t>
  </si>
  <si>
    <t>Dispositions must be in test period</t>
  </si>
  <si>
    <t>-</t>
  </si>
  <si>
    <t>Total Trucks</t>
  </si>
  <si>
    <t>Total Roll-off Trucks</t>
  </si>
  <si>
    <t>S/L</t>
  </si>
  <si>
    <t>Codes</t>
  </si>
  <si>
    <t>RL</t>
  </si>
  <si>
    <t>FL</t>
  </si>
  <si>
    <t>RO</t>
  </si>
  <si>
    <t xml:space="preserve"> </t>
  </si>
  <si>
    <t>GARBAGE</t>
  </si>
  <si>
    <t>Date in</t>
  </si>
  <si>
    <t>Truck</t>
  </si>
  <si>
    <t xml:space="preserve">Service </t>
  </si>
  <si>
    <t>No</t>
  </si>
  <si>
    <t>Asset Classification</t>
  </si>
  <si>
    <t xml:space="preserve">Life </t>
  </si>
  <si>
    <t xml:space="preserve">Fully </t>
  </si>
  <si>
    <t>Years</t>
  </si>
  <si>
    <t>Depr</t>
  </si>
  <si>
    <t>Test</t>
  </si>
  <si>
    <t xml:space="preserve">Monthly </t>
  </si>
  <si>
    <t>4 RADIOS (N)</t>
  </si>
  <si>
    <t>DL</t>
  </si>
  <si>
    <t>MW</t>
  </si>
  <si>
    <t xml:space="preserve">TRANSMISSION TRk </t>
  </si>
  <si>
    <t xml:space="preserve">2003 INT'L W/PCkER (N) </t>
  </si>
  <si>
    <t>Transmission Repair</t>
  </si>
  <si>
    <t>Trl</t>
  </si>
  <si>
    <t>TF</t>
  </si>
  <si>
    <t>FLEX MASTER LIFT AXLE  (N)</t>
  </si>
  <si>
    <t>1996 PETERBILT TRACTOR (U)</t>
  </si>
  <si>
    <t>3-TRI AXLE CHASSIS (N)</t>
  </si>
  <si>
    <t>2003 Helm 4 Axle Trl Chasis (U)</t>
  </si>
  <si>
    <t>Roll-off Trucks:</t>
  </si>
  <si>
    <t>1998 PBILT (0799)(RF294) (N)</t>
  </si>
  <si>
    <t>2005 Peterbilt M-330 Roll Off</t>
  </si>
  <si>
    <t>2004 Cascon Powerlift RO Hoist System</t>
  </si>
  <si>
    <t>2005 Cascon Powerlift RO Hoist System</t>
  </si>
  <si>
    <t>MULTI-FAMILY</t>
  </si>
  <si>
    <t>MF</t>
  </si>
  <si>
    <t>RADIOS (N)</t>
  </si>
  <si>
    <t>TOTAL MF</t>
  </si>
  <si>
    <t>CURBSIDE RECYCLING</t>
  </si>
  <si>
    <t>CS</t>
  </si>
  <si>
    <t>4 RADIOS &amp; BASE STATION (N)</t>
  </si>
  <si>
    <t>C1</t>
  </si>
  <si>
    <t>2005 AUTOCAR SIDELOAD (N)</t>
  </si>
  <si>
    <t>2005 AUTOCAR SIDELOAD (N) w/Greas Sys</t>
  </si>
  <si>
    <t>TOTAL CURBSIDE RECYCLING</t>
  </si>
  <si>
    <t>YARD WASTE</t>
  </si>
  <si>
    <t>YW</t>
  </si>
  <si>
    <t>Total Yard Waste</t>
  </si>
  <si>
    <t>Murrey's Disposal Co., Inc.</t>
  </si>
  <si>
    <t>1 Yd FL Container w/lid (N)</t>
  </si>
  <si>
    <t>2 Yd RL Container w/lid (N)</t>
  </si>
  <si>
    <t>6 Yd FL Container w/lid (N)</t>
  </si>
  <si>
    <t>Total Containers</t>
  </si>
  <si>
    <t>Drop Box's</t>
  </si>
  <si>
    <t>25 Yd Drop Box (N)</t>
  </si>
  <si>
    <t>30 Yd Drop Box (N)</t>
  </si>
  <si>
    <t>Total Cont &amp; DB</t>
  </si>
  <si>
    <t>MULT-FAMILY</t>
  </si>
  <si>
    <t>Total MF</t>
  </si>
  <si>
    <t>96 GAL CARTS (N)</t>
  </si>
  <si>
    <t>64 GAL CARTS (N)</t>
  </si>
  <si>
    <t>96 GAL CARTS (N)     CER 2140</t>
  </si>
  <si>
    <t>Grand Total</t>
  </si>
  <si>
    <t>Quantity</t>
  </si>
  <si>
    <t>Accum</t>
  </si>
  <si>
    <t>Ending</t>
  </si>
  <si>
    <t>95 GAL TOTERS (N)</t>
  </si>
  <si>
    <t>TOTAL</t>
  </si>
  <si>
    <t>Equipment</t>
  </si>
  <si>
    <t>Test Year</t>
  </si>
  <si>
    <t>Accum Depr</t>
  </si>
  <si>
    <t>Trucks</t>
  </si>
  <si>
    <t>Garbage</t>
  </si>
  <si>
    <t>Roll-off</t>
  </si>
  <si>
    <t xml:space="preserve">MF </t>
  </si>
  <si>
    <t xml:space="preserve">Yard Waste </t>
  </si>
  <si>
    <t>Containers:</t>
  </si>
  <si>
    <t>Drop Boxes</t>
  </si>
  <si>
    <t>Multi-Family</t>
  </si>
  <si>
    <t>Total Cont, Carts,Totes</t>
  </si>
  <si>
    <t>Service Equipment</t>
  </si>
  <si>
    <t>Shop Equipment</t>
  </si>
  <si>
    <t>Office Equipment</t>
  </si>
  <si>
    <t>Building</t>
  </si>
  <si>
    <t>TRANSFORMER-TRANSFER STN</t>
  </si>
  <si>
    <t>TF STATION UPGRADE</t>
  </si>
  <si>
    <t>RETENTION POND</t>
  </si>
  <si>
    <t>TOTAL SERVICE CARS &amp; EQUIP</t>
  </si>
  <si>
    <t>Service Cars &amp; Equipment</t>
  </si>
  <si>
    <t>TS CRANE (2/00)</t>
  </si>
  <si>
    <t>PRESSURE WASHER (2002)</t>
  </si>
  <si>
    <t>TOTAL SHOP &amp; GARAGE EQUIP</t>
  </si>
  <si>
    <t>TOTAL FURN &amp; OFFICE EQUIP</t>
  </si>
  <si>
    <t>Transmission</t>
  </si>
  <si>
    <t>24' Reiter Cont (U) (storing MW)</t>
  </si>
  <si>
    <t>1 Yd RL Container w/lid (N)</t>
  </si>
  <si>
    <t>4 Yd FL Container w/lid (N)</t>
  </si>
  <si>
    <t>2 Yd FL Container w/lid (N)</t>
  </si>
  <si>
    <t>2006 Autocar w/Packer (N)</t>
  </si>
  <si>
    <t>1997 PTRB TRCT 5610 (N) TF-Amer</t>
  </si>
  <si>
    <t>Land</t>
  </si>
  <si>
    <t>2006 Ford F150 PU (N) Rob Brown</t>
  </si>
  <si>
    <t>RL SP</t>
  </si>
  <si>
    <t>RL C</t>
  </si>
  <si>
    <t>2007 Autocar w/Packer (N)</t>
  </si>
  <si>
    <t>Engine Overhaul</t>
  </si>
  <si>
    <t xml:space="preserve">2003 INT'L W/PCKER (N) </t>
  </si>
  <si>
    <t>Medical Waste</t>
  </si>
  <si>
    <t>Total Medical Waste</t>
  </si>
  <si>
    <t>1.5 Yd RL Container w/lid (N)</t>
  </si>
  <si>
    <t>Cameras (5)</t>
  </si>
  <si>
    <t>Cameras (6)</t>
  </si>
  <si>
    <t>Cameras (4)</t>
  </si>
  <si>
    <t>Cameras (1)</t>
  </si>
  <si>
    <t>Cameras (3)</t>
  </si>
  <si>
    <t>Var</t>
  </si>
  <si>
    <t>Cameras (17)</t>
  </si>
  <si>
    <t xml:space="preserve">YW </t>
  </si>
  <si>
    <t>2008 Travis Aluminum Live Floor 53'</t>
  </si>
  <si>
    <t xml:space="preserve">2008 INT'L w/Packer (N) </t>
  </si>
  <si>
    <t xml:space="preserve">2007 INT'L w/Packer (N) </t>
  </si>
  <si>
    <t>2008 Ford F-450 Shop Trk (N)</t>
  </si>
  <si>
    <t>TF Tractor</t>
  </si>
  <si>
    <t>2007 PTRB TRCTR (U)</t>
  </si>
  <si>
    <t>2008 Autocar Sideload (N)</t>
  </si>
  <si>
    <t>Grizzly</t>
  </si>
  <si>
    <t>2008 Pterbilt  w/Packer (30 yrd) (N)</t>
  </si>
  <si>
    <t>Tarper</t>
  </si>
  <si>
    <t>Auto Tarper</t>
  </si>
  <si>
    <t>Transfer Trucks</t>
  </si>
  <si>
    <t>2008 Navistar w/Packer (N)</t>
  </si>
  <si>
    <t>Air Compressor</t>
  </si>
  <si>
    <t>C-2</t>
  </si>
  <si>
    <t>GMC Cont Del Unit (N)</t>
  </si>
  <si>
    <t>RM Licensing</t>
  </si>
  <si>
    <t xml:space="preserve">2007 FORD F-150 PU (U) </t>
  </si>
  <si>
    <t>95 GAL CARTS (N)</t>
  </si>
  <si>
    <t xml:space="preserve">95 GAL CARTS (N) </t>
  </si>
  <si>
    <t>4 YD FL Containers</t>
  </si>
  <si>
    <t>1 YD RL Containers</t>
  </si>
  <si>
    <t>2 YD RL Containers</t>
  </si>
  <si>
    <t>1 Yd RL Container</t>
  </si>
  <si>
    <t>95 GAL TOTERS (N) - DK. BLUE</t>
  </si>
  <si>
    <t>Tire Machine (U)</t>
  </si>
  <si>
    <t>Yard Lawn Mower (N)</t>
  </si>
  <si>
    <t>Phone System</t>
  </si>
  <si>
    <t>Panasonic Toughbook CF-52</t>
  </si>
  <si>
    <t>HP Pro 3000 PC</t>
  </si>
  <si>
    <t>HP Pro 3130 PC</t>
  </si>
  <si>
    <t>2011 Peterbuilt 320 w/Pckr ASL (N)</t>
  </si>
  <si>
    <t>1998 Alloy EX WF Trailer (U)</t>
  </si>
  <si>
    <t>Inframe</t>
  </si>
  <si>
    <t>2008 Travis Aluminum Live Floor 53' (N)</t>
  </si>
  <si>
    <t>2005 PTRB TRCTR (U)</t>
  </si>
  <si>
    <t xml:space="preserve">2011 Peterbilt w/28 yd Packer (N) </t>
  </si>
  <si>
    <t>Total Route Trucks</t>
  </si>
  <si>
    <t>Total TF Trucks</t>
  </si>
  <si>
    <t>Total Garbage Trucks</t>
  </si>
  <si>
    <t>Office Equipment:</t>
  </si>
  <si>
    <t>Preco Radar Backup-Pilot Program</t>
  </si>
  <si>
    <t>Drive-Cam</t>
  </si>
  <si>
    <t xml:space="preserve">                                                                                                    </t>
  </si>
  <si>
    <t>2 Yd Bear Proof RL Container (N)</t>
  </si>
  <si>
    <t>6 Yd RL Container w/lid (N)</t>
  </si>
  <si>
    <t>6 YD CONT W/LIDS (N)</t>
  </si>
  <si>
    <t>Transfer Station Upgrade</t>
  </si>
  <si>
    <t>Fife Facility Permitting</t>
  </si>
  <si>
    <t xml:space="preserve">2011 Isuzu w/6 yd Pckr Retriever (N) </t>
  </si>
  <si>
    <t>2 Yd RL Container (N)</t>
  </si>
  <si>
    <t xml:space="preserve">                          </t>
  </si>
  <si>
    <t>Cameras (Drivecam) (5)</t>
  </si>
  <si>
    <t>(6) Drive-Cam</t>
  </si>
  <si>
    <t>FAR #</t>
  </si>
  <si>
    <t>Sony Internet TV</t>
  </si>
  <si>
    <t>M1</t>
  </si>
  <si>
    <t xml:space="preserve">2011 Peterbilt w/McNeilus Pckr (N) </t>
  </si>
  <si>
    <t>C3</t>
  </si>
  <si>
    <t>1999 Chevy Flatbed Delivery</t>
  </si>
  <si>
    <t>1994 Volvo WX64 (N)</t>
  </si>
  <si>
    <t xml:space="preserve">1996 VOLVO W/PACkER </t>
  </si>
  <si>
    <t>2003 BRENTWOOD CHASSIS</t>
  </si>
  <si>
    <t>2003 STERLING SEMI TRACTOR</t>
  </si>
  <si>
    <t>2004 TYPE H T TRACTOR (U)</t>
  </si>
  <si>
    <t>FLUP - Trk #180</t>
  </si>
  <si>
    <t>2005 PETERBILT TRUCK (U)</t>
  </si>
  <si>
    <t>REPLACE ENGINE #182</t>
  </si>
  <si>
    <t>2006 Peterbilt 378 Tractor (U)</t>
  </si>
  <si>
    <t>2007 Autocar SL w/28 Yd Body (U)</t>
  </si>
  <si>
    <t>2013 Pete 320 (N)</t>
  </si>
  <si>
    <t>Depreciation Summary</t>
  </si>
  <si>
    <t>Murrey's Disposal Company, Inc.</t>
  </si>
  <si>
    <t>RTA Equipment</t>
  </si>
  <si>
    <t>Fife Sewer/Storm Water Improvement</t>
  </si>
  <si>
    <t>TOTAL OTHER CAPITAL</t>
  </si>
  <si>
    <t>2010 Ford F350 Med Waste Van (N)</t>
  </si>
  <si>
    <t>General Building Structures</t>
  </si>
  <si>
    <t>TOTAL GENERAL BUILDING STRUCTURES</t>
  </si>
  <si>
    <t>T-Station Building</t>
  </si>
  <si>
    <t>Additional T-Station Upgrades</t>
  </si>
  <si>
    <t>DR 7</t>
  </si>
  <si>
    <t>Removed</t>
  </si>
  <si>
    <t xml:space="preserve">Company </t>
  </si>
  <si>
    <t>Staff Adj cost to reflect invoice and shared assets</t>
  </si>
  <si>
    <t>New Construction -TF Station</t>
  </si>
  <si>
    <t>Paving</t>
  </si>
  <si>
    <t>Modified</t>
  </si>
  <si>
    <t>Murrey's</t>
  </si>
  <si>
    <t>Transfer Station</t>
  </si>
  <si>
    <t>Check</t>
  </si>
  <si>
    <t>Shared Asset w/DM - See TF Ton Allocation tab.</t>
  </si>
  <si>
    <t>Notes per audit during TG-130501/130502</t>
  </si>
  <si>
    <t>2 Yd Containers</t>
  </si>
  <si>
    <t>1 Yd Containers</t>
  </si>
  <si>
    <t>T-Station Building Structures/Equipment</t>
  </si>
  <si>
    <t>TOTAL T-STATION BUILDING STRUCTURES/EQUIPMENT</t>
  </si>
  <si>
    <t>2006 15,500 Lb Hyster Forklift (U) T-Stn</t>
  </si>
  <si>
    <t>1.5 Yd Containers</t>
  </si>
  <si>
    <t>6 Yd Containers</t>
  </si>
  <si>
    <t>4 Yd Containers</t>
  </si>
  <si>
    <t>Transmission Repair #154</t>
  </si>
  <si>
    <t>HP Probook 6470b (Admin)</t>
  </si>
  <si>
    <t>REPLACE ENGINE #149</t>
  </si>
  <si>
    <t>Cart Tipper (N)</t>
  </si>
  <si>
    <t>LEX-19</t>
  </si>
  <si>
    <t>LEX-20</t>
  </si>
  <si>
    <t>LEX-21</t>
  </si>
  <si>
    <t>2013 53 ft. Quad Axle Cont Chassis (N)</t>
  </si>
  <si>
    <t>2001 Frieghtliner Tractor (U)</t>
  </si>
  <si>
    <t>WF Trl</t>
  </si>
  <si>
    <t>Sony Internet  TV (SN = S018095316I)</t>
  </si>
  <si>
    <t>HP Compaq 6200 Pro (SN =MXL2270KNB)</t>
  </si>
  <si>
    <t>Millermatic 252 Welder</t>
  </si>
  <si>
    <t>22 Ton Jack</t>
  </si>
  <si>
    <t>2003 Roadrunner Trailer (N)</t>
  </si>
  <si>
    <t>107018/107017</t>
  </si>
  <si>
    <t>107015/107014</t>
  </si>
  <si>
    <t>107012/107011/107010</t>
  </si>
  <si>
    <t>107171/107170</t>
  </si>
  <si>
    <t>1999 Doge Pick-Up Shop (U)</t>
  </si>
  <si>
    <t>107182/107183/107184</t>
  </si>
  <si>
    <t>2006 Sullair Air Compressor</t>
  </si>
  <si>
    <t xml:space="preserve">96 GAL CARTS (N) </t>
  </si>
  <si>
    <t>Fife Office Building</t>
  </si>
  <si>
    <t>Floor Scrubber (Model #5680)</t>
  </si>
  <si>
    <t>108440/108441</t>
  </si>
  <si>
    <t>DEL</t>
  </si>
  <si>
    <t>2006 Peterbilt Hooklift Truck (U)</t>
  </si>
  <si>
    <t>TF - Recy</t>
  </si>
  <si>
    <t>Shop</t>
  </si>
  <si>
    <t>2011 318D John Deere Skid Steer (U)</t>
  </si>
  <si>
    <t>2007 John Deer 444j Wheel Loader (U)</t>
  </si>
  <si>
    <t>Land - 6803 N Levy Rd. E (4/30/2003)</t>
  </si>
  <si>
    <t>WYSE Winterms</t>
  </si>
  <si>
    <t>96 GAL TOTERS (N)</t>
  </si>
  <si>
    <t>Sky Orb Fall Safety System</t>
  </si>
  <si>
    <t>2014 Ford F450 Service Trk (N)</t>
  </si>
  <si>
    <t>2014 Peterbilt ASL (N)</t>
  </si>
  <si>
    <t xml:space="preserve">HP Probook 6570b </t>
  </si>
  <si>
    <t>113724/113725</t>
  </si>
  <si>
    <t>Waste Works Software/Servers</t>
  </si>
  <si>
    <t>Transmission Repair #606</t>
  </si>
  <si>
    <t>1994 CHINOOK TRAILER (N)</t>
  </si>
  <si>
    <t>2015 Peterbilt ASL (N)</t>
  </si>
  <si>
    <t>4 Post - 18,500 Lb Truck Lift</t>
  </si>
  <si>
    <t>Spill Trailer</t>
  </si>
  <si>
    <t>Grainger Man Lift</t>
  </si>
  <si>
    <t>Drop Box Winches</t>
  </si>
  <si>
    <t>2012 R/O Truck (N)</t>
  </si>
  <si>
    <t>120338/120295</t>
  </si>
  <si>
    <t>Winterms</t>
  </si>
  <si>
    <t>HP Prodesk 600 G1</t>
  </si>
  <si>
    <t>HP Probook 650 G1</t>
  </si>
  <si>
    <t>30 Yd Drop Box</t>
  </si>
  <si>
    <t>2 Yd REL Containers</t>
  </si>
  <si>
    <t>1 Yd REL Containers</t>
  </si>
  <si>
    <t>Transmission Repair #806</t>
  </si>
  <si>
    <t>2016 Peterbit ASL (N)</t>
  </si>
  <si>
    <t>Tipper Installation #143</t>
  </si>
  <si>
    <t>Laptop &amp; Desktop Memory Upgrade</t>
  </si>
  <si>
    <t>HP Probook 640 G1</t>
  </si>
  <si>
    <t>Pressure Washer</t>
  </si>
  <si>
    <t>Tarp System #422</t>
  </si>
  <si>
    <t>2013 Toyota Pruis (N)</t>
  </si>
  <si>
    <t>GRAND TOTAL TRUCKS</t>
  </si>
  <si>
    <t>Total Drop Boxes</t>
  </si>
  <si>
    <t>Grand Total Containers</t>
  </si>
  <si>
    <t>Description</t>
  </si>
  <si>
    <t>Notes</t>
  </si>
  <si>
    <t>Land to be filed in current rate case - after lot line adjustments and new building:</t>
  </si>
  <si>
    <t>Land as approved in the last general rate fiilng (TG-130501/130502):</t>
  </si>
  <si>
    <t>Land - New Building Location</t>
  </si>
  <si>
    <t>These lots have not changed and are the existing Murrey's lots - See Map #1 Below.  Indicated by (1)'s.</t>
  </si>
  <si>
    <t>Original land value of all "original" Murrey's lots.  See Map #1 Below.  Indicated by (1)'s.</t>
  </si>
  <si>
    <t>Land Summary</t>
  </si>
  <si>
    <t>This lot was previously owned by DM, and was never included in past rate filings.  It was transferred to Murrey's with the new building, and therefore will be included in this filing.  See Map #3 Below.  Also indicated by (3) on Map #1.</t>
  </si>
  <si>
    <t>Original "Lot C" - see Map #2 below.  Also indicated by (2) on Map #1. This parcel is removed from the 2015 rate filing.</t>
  </si>
  <si>
    <r>
      <rPr>
        <b/>
        <u/>
        <sz val="9"/>
        <rFont val="Arial"/>
        <family val="2"/>
      </rPr>
      <t>Background:</t>
    </r>
    <r>
      <rPr>
        <sz val="9"/>
        <rFont val="Arial"/>
        <family val="2"/>
      </rPr>
      <t xml:space="preserve">  In August 2012, in conjuction with building a new operating facility, Murrey's Disposal filed for a lot line adjustment to change the lot lines of 4 lots (2 existing Murrey's lots, and 2 existing DM lots).  This lot line adjustment was approved by the City of Fife, and results in the new lots and ownership as shown on Map #1 below.  Murrey's Disposal now owns ALL lots on which operations are performed.  DM owns other smaller portions of land where operations are not performed.  The new building is now located on a large piece of land that was previously owned by DM and was never included in rates.  The information below supports the removal of a portion of DM land that was included in the prior rate case, and the addition of the large piece of land where the new building now sits and that is now owned by Murrey's.</t>
    </r>
  </si>
  <si>
    <t>LEX-22</t>
  </si>
  <si>
    <t>WF-23</t>
  </si>
  <si>
    <t>WF-24</t>
  </si>
  <si>
    <t>WF-25</t>
  </si>
  <si>
    <t>WF-26</t>
  </si>
  <si>
    <t>LEX-14</t>
  </si>
  <si>
    <t>LEX-15</t>
  </si>
  <si>
    <t>WF-14</t>
  </si>
  <si>
    <t>WF-15</t>
  </si>
  <si>
    <t>DMR per Truck Log</t>
  </si>
  <si>
    <t>Repair WF Trailer #WF-26</t>
  </si>
  <si>
    <t>Repair WF Trailer #WF-23</t>
  </si>
  <si>
    <t>2005 Peterbilt #330 (N)</t>
  </si>
  <si>
    <t xml:space="preserve">2001 FORD F-150 PU (N)  </t>
  </si>
  <si>
    <t>LEX-18</t>
  </si>
  <si>
    <t>2000 Freightliner FLD 120 Tractor (U)</t>
  </si>
  <si>
    <t>2013 Peterbilt 320 (N)</t>
  </si>
  <si>
    <t>WF-13</t>
  </si>
  <si>
    <t>2008 Travis Live Floor 53'</t>
  </si>
  <si>
    <t>Land - New Office</t>
  </si>
  <si>
    <t>Office</t>
  </si>
  <si>
    <t>Building Square Footage</t>
  </si>
  <si>
    <t>Land - Office</t>
  </si>
  <si>
    <t>Land - Shop</t>
  </si>
  <si>
    <t>Land - Ops. Parking</t>
  </si>
  <si>
    <t>Land - Transfer Station</t>
  </si>
  <si>
    <t>Land Usage Square Footage</t>
  </si>
  <si>
    <t>Office Parking</t>
  </si>
  <si>
    <t>Operations Parking</t>
  </si>
  <si>
    <t>Cust Count</t>
  </si>
  <si>
    <t>Allocator</t>
  </si>
  <si>
    <t>Step 1: Allocate Office and Land into functional "buckets" based on Square Footage</t>
  </si>
  <si>
    <t>Shop Hours</t>
  </si>
  <si>
    <t>Tonnage</t>
  </si>
  <si>
    <t xml:space="preserve">Building - Office </t>
  </si>
  <si>
    <t>Building - Shop</t>
  </si>
  <si>
    <t>Vashon</t>
  </si>
  <si>
    <t>Yard Waste</t>
  </si>
  <si>
    <t>Model T20 Scrubber-Zamboni</t>
  </si>
  <si>
    <t>Engine Cap Repair</t>
  </si>
  <si>
    <t>2016 Peterbilt ASL (N)</t>
  </si>
  <si>
    <t>2016 Peterbilt REL (N)</t>
  </si>
  <si>
    <t>(400) 1500 Lb Drop Box Winches</t>
  </si>
  <si>
    <t>(48) 2500 Lb Drop Box Winches</t>
  </si>
  <si>
    <t>Truck #182 Repair</t>
  </si>
  <si>
    <t>Acer Computer Monitors &amp; Stands</t>
  </si>
  <si>
    <t>Wireless Winterms Maintenance Department</t>
  </si>
  <si>
    <t>HP SB ProBook 640</t>
  </si>
  <si>
    <t>RO Inframe Capital Repair</t>
  </si>
  <si>
    <t>Soft Cab - Zamboni Cover</t>
  </si>
  <si>
    <t>HP ProBook 650 G2 - 15.6" Laptop</t>
  </si>
  <si>
    <t>2003 Used Yard Goat</t>
  </si>
  <si>
    <t>2002 Used Yard Goat</t>
  </si>
  <si>
    <t>Body Rebuild</t>
  </si>
  <si>
    <t>1986 Yard Mule</t>
  </si>
  <si>
    <t>Acer V226HQL - LED Monitors - 21.5"</t>
  </si>
  <si>
    <t>Improvement Sterling Truck 175 Install Wet Kit</t>
  </si>
  <si>
    <t>169996/170261</t>
  </si>
  <si>
    <t>2012 Container Delivery Truck &amp; Drive Cam</t>
  </si>
  <si>
    <t>Air &amp; Hose Reel Shop Improvement</t>
  </si>
  <si>
    <t>A</t>
  </si>
  <si>
    <t>Transfer</t>
  </si>
  <si>
    <t>C-6</t>
  </si>
  <si>
    <t>YG-4</t>
  </si>
  <si>
    <t>YG-2</t>
  </si>
  <si>
    <t>YG-3</t>
  </si>
  <si>
    <t>Engine In Frame Repair</t>
  </si>
  <si>
    <t>Air &amp; Hose Real Shop Improvement</t>
  </si>
  <si>
    <t>Laptop Toughbook</t>
  </si>
  <si>
    <t>131295 132354</t>
  </si>
  <si>
    <t>(22) Truck Tablets</t>
  </si>
  <si>
    <t>(5) Truck Tablets</t>
  </si>
  <si>
    <t>(2) Truck Tablets</t>
  </si>
  <si>
    <t>(8) Truck Tablets</t>
  </si>
  <si>
    <t>(1) Truck Tablets</t>
  </si>
  <si>
    <t>2014 Transfer Tractor</t>
  </si>
  <si>
    <t xml:space="preserve">1998 PBLT (10800),(5141)(N) </t>
  </si>
  <si>
    <t xml:space="preserve">1998 PBLT (10801),(5166) 51(N) </t>
  </si>
  <si>
    <t>2002 IHC REARLOAD  (N)</t>
  </si>
  <si>
    <t>TRANSMISSION REBUILD</t>
  </si>
  <si>
    <t xml:space="preserve">CAMERA FOR TRK </t>
  </si>
  <si>
    <t>ENGINE TRK</t>
  </si>
  <si>
    <t>2003 INT'L TRK R-LD  (N)</t>
  </si>
  <si>
    <t>2 Fuel Pumps</t>
  </si>
  <si>
    <t>2006 Autocar TRK R-LD-20-YD PCK  (N)</t>
  </si>
  <si>
    <t>2008 Autocar TRK VIN#206132 (N)</t>
  </si>
  <si>
    <t>Camaras (14)</t>
  </si>
  <si>
    <t xml:space="preserve">2008 Autocar TRK w/PCK  (N)              </t>
  </si>
  <si>
    <t>2008 Int'l w/20 yd pckr (N)</t>
  </si>
  <si>
    <t>2013 Peterbilt T-320 (N)</t>
  </si>
  <si>
    <t>2014 Pete/Labrie FEL Truck (N)</t>
  </si>
  <si>
    <t>Engine Repair #609</t>
  </si>
  <si>
    <t>Engine Repair #612</t>
  </si>
  <si>
    <t>Tipper for #153</t>
  </si>
  <si>
    <t>Inframe Repair - Truck 318</t>
  </si>
  <si>
    <t>2005 Peterbilt M-330 RO  TF from 2111 1-1-05</t>
  </si>
  <si>
    <t>2004 Cascon Powerlift RO Hoist Syst TF 2111</t>
  </si>
  <si>
    <t>Camaras (1)</t>
  </si>
  <si>
    <t>2016 Peterbilt RO Truck</t>
  </si>
  <si>
    <t>2004 Peterbilt M-320 Automated W/Pck (N)</t>
  </si>
  <si>
    <t>28 Yd Automated body on Chassis (N)</t>
  </si>
  <si>
    <t>2005 AUTOCAR SIDELOAD (N) w/greasing sys</t>
  </si>
  <si>
    <t>Camaras (2)</t>
  </si>
  <si>
    <t>2011 Isuzu w/6 yd pckr (N) Mini Retriever</t>
  </si>
  <si>
    <t>Drive Cam #139</t>
  </si>
  <si>
    <t>2016 Peterbilt/Wayne ASL (N)</t>
  </si>
  <si>
    <t>1 RADIO (N)</t>
  </si>
  <si>
    <t>2007 Autocar w/McNeilus (U)</t>
  </si>
  <si>
    <t>2010 Peterbilt/Wayne ASL (N)</t>
  </si>
  <si>
    <t>2016 ASL Truck (N)</t>
  </si>
  <si>
    <t>Engine Repair</t>
  </si>
  <si>
    <t>1 Yd Container w/lids  (N)</t>
  </si>
  <si>
    <t>1 Yd FL Container w/lids  (N)</t>
  </si>
  <si>
    <t>1.5 Yd FL Container w/lids (N)</t>
  </si>
  <si>
    <t>2 Yd FL Container w/lids (N)</t>
  </si>
  <si>
    <t>4 Yd FL Container w/lids (N)</t>
  </si>
  <si>
    <t>6 Yd FL Container w/lids  (N)</t>
  </si>
  <si>
    <t>1 Yd RL Container w/lids (N)</t>
  </si>
  <si>
    <t>2 Yd RL Container w/lids (N)</t>
  </si>
  <si>
    <t>2 Yd RL Container w/lids  (N)</t>
  </si>
  <si>
    <t>4 Yd FL Container w/lids  (N)</t>
  </si>
  <si>
    <t>4 YD FEL Containers</t>
  </si>
  <si>
    <t>1 yd REL Containers</t>
  </si>
  <si>
    <t>25 YRD DROP BOX (N)</t>
  </si>
  <si>
    <t>50 Yd Drop Box (N)</t>
  </si>
  <si>
    <t>95 GAL YW CARTS (N)</t>
  </si>
  <si>
    <t>65 GAL YW CARTS (N)</t>
  </si>
  <si>
    <t xml:space="preserve">2005 FORD F-150 PU (U) </t>
  </si>
  <si>
    <t>2012 Ford F-150 PU (U)</t>
  </si>
  <si>
    <t>Scrapt</t>
  </si>
  <si>
    <t>ALLIS  CHALMERS FORKLFT (N)</t>
  </si>
  <si>
    <t>2009 Ford F-350 Super Duty Tire Trk (N)</t>
  </si>
  <si>
    <t>P-9</t>
  </si>
  <si>
    <t>Ford F-150 (U)</t>
  </si>
  <si>
    <t>Route Manager Licenses</t>
  </si>
  <si>
    <t>173231/ 173236</t>
  </si>
  <si>
    <t>173257/ 173287/ 173259/ 173258</t>
  </si>
  <si>
    <t>173221/ 173223/ 173222/ 173225</t>
  </si>
  <si>
    <t>173173/ 173174/ 173204/ 173202</t>
  </si>
  <si>
    <t>173323/ 173325/ 173324/ 173326</t>
  </si>
  <si>
    <t>173250/ 173249</t>
  </si>
  <si>
    <t>173275/ 173274</t>
  </si>
  <si>
    <t>173176/ 173177</t>
  </si>
  <si>
    <t>173229/ 173230</t>
  </si>
  <si>
    <t>173254/ 173253</t>
  </si>
  <si>
    <t>173235/ 173233</t>
  </si>
  <si>
    <t>173263/ 173268/ 173265</t>
  </si>
  <si>
    <t>173252 (part 1)</t>
  </si>
  <si>
    <t>173252 (part 2)</t>
  </si>
  <si>
    <t>173252 (part 3)</t>
  </si>
  <si>
    <t>173280/ 173279</t>
  </si>
  <si>
    <t>2017 ASL Truck</t>
  </si>
  <si>
    <t>186095/ 102350</t>
  </si>
  <si>
    <t>Wet Kit for Truck 61</t>
  </si>
  <si>
    <t>185768/ 102169</t>
  </si>
  <si>
    <t>Install Wet Kit for Truck 182</t>
  </si>
  <si>
    <t>183742/ 173166</t>
  </si>
  <si>
    <t>Engine Rebuild</t>
  </si>
  <si>
    <t>Truck 409 Inframe Overhaul</t>
  </si>
  <si>
    <t>179408/ 173291</t>
  </si>
  <si>
    <t>Peterbilt 320/McNeilus ZR ASL</t>
  </si>
  <si>
    <t>Peterbilt 220/Wayne Royal GT Retriever</t>
  </si>
  <si>
    <t>96 Gallon Recycle Carts</t>
  </si>
  <si>
    <t>64 Gallon Garbage Carts</t>
  </si>
  <si>
    <t>95 Gallon Recycle Carts</t>
  </si>
  <si>
    <t>96 Gal Garbage Carts</t>
  </si>
  <si>
    <t>64 Gal Garbage Carts</t>
  </si>
  <si>
    <t>65 Gallon Garbage Carts</t>
  </si>
  <si>
    <t>95 Gallon recycle carts</t>
  </si>
  <si>
    <t>95 Gallon Garbage Carts</t>
  </si>
  <si>
    <t>20 Gal Garbage Carts</t>
  </si>
  <si>
    <t>95 Gal Garbage Carts</t>
  </si>
  <si>
    <t>65 Gal Garbage Carts</t>
  </si>
  <si>
    <t>35 Gal Garbage Carts</t>
  </si>
  <si>
    <t>21 Gallon Garbage Carts</t>
  </si>
  <si>
    <t>185179/ 188830</t>
  </si>
  <si>
    <t>185178/ 188829</t>
  </si>
  <si>
    <t>185177/ 188828</t>
  </si>
  <si>
    <t>185180/ 188827</t>
  </si>
  <si>
    <t>96 Gal Blue YW Carts</t>
  </si>
  <si>
    <t>95 Gallon Yard Waste Carts</t>
  </si>
  <si>
    <t>6 Yard FL OCC Container</t>
  </si>
  <si>
    <t>6 Yard FL Garb Containers</t>
  </si>
  <si>
    <t>2 Yard REL Garb Container</t>
  </si>
  <si>
    <t>6 yd FEL Containers</t>
  </si>
  <si>
    <t>4 yd FEL Conatiners</t>
  </si>
  <si>
    <t>2 yd REL Containers (Green)</t>
  </si>
  <si>
    <t>2 yd REL Containers (Blue)</t>
  </si>
  <si>
    <t>6 yd FEL Recyc Container</t>
  </si>
  <si>
    <t>199165/ 199570</t>
  </si>
  <si>
    <t>6 yd Front Load</t>
  </si>
  <si>
    <t>4 yd Front Load</t>
  </si>
  <si>
    <t>2 yd Rear Load</t>
  </si>
  <si>
    <t>2 yd Waste Cont w/ Cage Expanded Metal Front</t>
  </si>
  <si>
    <t>96 Gall Recycle Totes</t>
  </si>
  <si>
    <t>Recycle 96 Gal Gray Totes</t>
  </si>
  <si>
    <t>MSW 96 Gal Green Totes</t>
  </si>
  <si>
    <t>96 Gal Green Garb Totes</t>
  </si>
  <si>
    <t>96 Gal Blue Recycle Totes</t>
  </si>
  <si>
    <t>64 Gal Green Garb Totes</t>
  </si>
  <si>
    <t>96 Gal Gray Recycle Totes</t>
  </si>
  <si>
    <t>YW 96 Gal Blue Totes</t>
  </si>
  <si>
    <t>183279/ 189538</t>
  </si>
  <si>
    <t>183278/ 189535</t>
  </si>
  <si>
    <t>177519/ 171235</t>
  </si>
  <si>
    <t>Wet Kit</t>
  </si>
  <si>
    <t>173317/ 102127</t>
  </si>
  <si>
    <t>173247/173248</t>
  </si>
  <si>
    <t>Drive Cams</t>
  </si>
  <si>
    <t>173286/173285 (part 1)</t>
  </si>
  <si>
    <t>173286/173285 (part 2)</t>
  </si>
  <si>
    <t>TF Trailer</t>
  </si>
  <si>
    <t>PT-12</t>
  </si>
  <si>
    <t>2012 Helm Double Axle 28' Transfer Trailer w/ Dolly</t>
  </si>
  <si>
    <t>PT-15</t>
  </si>
  <si>
    <t>Roll - Off Trucks</t>
  </si>
  <si>
    <t>Peterbilt 320/ Wayne Curbtender ASL</t>
  </si>
  <si>
    <t>Cart Tipper</t>
  </si>
  <si>
    <t>172841/ 102158</t>
  </si>
  <si>
    <t>180338/ 189536</t>
  </si>
  <si>
    <t>199192/ 9537</t>
  </si>
  <si>
    <t>HP ProBook 640 G2- 14' Laptop</t>
  </si>
  <si>
    <t>Software for new Toughbook</t>
  </si>
  <si>
    <t>Registration for Laptop</t>
  </si>
  <si>
    <t>Tablet Mounts for UTC Automation</t>
  </si>
  <si>
    <t>PT-16</t>
  </si>
  <si>
    <t>1991 Type HT Drop Trailer</t>
  </si>
  <si>
    <t>PT-13a</t>
  </si>
  <si>
    <t>1973 Type HT Dolly Trailer</t>
  </si>
  <si>
    <t>PT-16a</t>
  </si>
  <si>
    <t>1991 Type HT Dolly Trailer</t>
  </si>
  <si>
    <t>2007 IHC Hooklift</t>
  </si>
  <si>
    <t>Delivery Trucks</t>
  </si>
  <si>
    <t>C-8</t>
  </si>
  <si>
    <t>Isuzu 12' Box Truck</t>
  </si>
  <si>
    <t>Total Delivery Trucks</t>
  </si>
  <si>
    <t>Non-Depreciable Assets</t>
  </si>
  <si>
    <t>Land American Disposal</t>
  </si>
  <si>
    <t>Total Non-Depreciable Assets</t>
  </si>
  <si>
    <t>6 Yd FEL Containers Peak Style</t>
  </si>
  <si>
    <t>173244/ 173243</t>
  </si>
  <si>
    <t>173209/173208</t>
  </si>
  <si>
    <t>1 &amp; 1.5 Yd REL Cont (dept of Rev)</t>
  </si>
  <si>
    <t>95 GA Carts</t>
  </si>
  <si>
    <t>Maintenance Shop Heating System Installation</t>
  </si>
  <si>
    <t>Website Development</t>
  </si>
  <si>
    <t>New Load Scales</t>
  </si>
  <si>
    <t>Date in Service</t>
  </si>
  <si>
    <t>Annual</t>
  </si>
  <si>
    <t>Year/Mo</t>
  </si>
  <si>
    <t>Fully Depr</t>
  </si>
  <si>
    <t>Life</t>
  </si>
  <si>
    <t>Adds</t>
  </si>
  <si>
    <t>183277/ 189537</t>
  </si>
  <si>
    <t>Truck #143 Amort of Salvage</t>
  </si>
  <si>
    <t>Truck #152 Amort of Salvage</t>
  </si>
  <si>
    <t>American Disposal Co., Inc.</t>
  </si>
  <si>
    <t>Total  Garbage Trucks</t>
  </si>
  <si>
    <t>MF RECYCLING</t>
  </si>
  <si>
    <t>TOTAL MF RECYCLING</t>
  </si>
  <si>
    <t>167642/167643/167644/167645</t>
  </si>
  <si>
    <t>TOTAL YARD WASTE</t>
  </si>
  <si>
    <t>TOTAL TRUCKS</t>
  </si>
  <si>
    <t>SERVICE CARS &amp; EQUIPMENT (123.0)</t>
  </si>
  <si>
    <t>Total Service Equipment</t>
  </si>
  <si>
    <t>SHOP EQUIPMENT (124.0)</t>
  </si>
  <si>
    <t>Total Shop Equipment</t>
  </si>
  <si>
    <t>FURNITURE &amp; OFFICE EQUIPMENT (125.00)</t>
  </si>
  <si>
    <t>Total Furniture &amp; Office Equipment</t>
  </si>
  <si>
    <t>Truck #153 Amort of Salvage</t>
  </si>
  <si>
    <t>Truck #605 Amort of Salvage</t>
  </si>
  <si>
    <t>Truck #606 Amort of Salvage</t>
  </si>
  <si>
    <t>Truck #609 Amort of Salvage</t>
  </si>
  <si>
    <t>Truck #613 Amort of Salvage</t>
  </si>
  <si>
    <t>Truck #612 Amort of Salvage</t>
  </si>
  <si>
    <t>Truck #905 Amort of Salvage</t>
  </si>
  <si>
    <t>Truck #616 Amort of Salvage</t>
  </si>
  <si>
    <t>Truck #614 Amort of Salvage</t>
  </si>
  <si>
    <t>Cameras (17) Amort of Salvage</t>
  </si>
  <si>
    <t>Truck #907 Amort of Salvage</t>
  </si>
  <si>
    <t>Cameras (14) Amort of Salvage</t>
  </si>
  <si>
    <t>Truck #906 Amort of Salvage</t>
  </si>
  <si>
    <t>Preco Radar Backup-Pilot Program Amort of Salvage</t>
  </si>
  <si>
    <t>Drive-Cam Amort of Salvage</t>
  </si>
  <si>
    <t>Truck #C3 Amort of Salvage</t>
  </si>
  <si>
    <t>Truck #151 Amort of Salvage</t>
  </si>
  <si>
    <t>Truck #908 Amort of Salvage</t>
  </si>
  <si>
    <t>(6) Drive-Cam Amort of Salvage</t>
  </si>
  <si>
    <t>Truck #628 Amort of Salvage</t>
  </si>
  <si>
    <t>Truck #629 Amort of Salvage</t>
  </si>
  <si>
    <t>Truck #909 Amort of Salvage</t>
  </si>
  <si>
    <t>Truck #C-2Amort of Salvage</t>
  </si>
  <si>
    <t>Truck #409 Amort of Salvage</t>
  </si>
  <si>
    <t>Cameras (1) Amort of Salvage</t>
  </si>
  <si>
    <t>Truck #624 Amort of Salvage</t>
  </si>
  <si>
    <t>Truck #800 Amort of Salvage</t>
  </si>
  <si>
    <t>Truck #802 Amort of Salvage</t>
  </si>
  <si>
    <t>Truck #C1 Amort of Salvage</t>
  </si>
  <si>
    <t>Cameras (2) Amort of Salvage</t>
  </si>
  <si>
    <t>Truck #132 Amort of Salvage</t>
  </si>
  <si>
    <t>Truck #139 Amort of Salvage</t>
  </si>
  <si>
    <t>Truck #825 Amort of Salvage</t>
  </si>
  <si>
    <t>Truck #822 Amort of Salvage</t>
  </si>
  <si>
    <t>Truck #826 Amort of Salvage</t>
  </si>
  <si>
    <t>Truck #829 Amort of Salvage</t>
  </si>
  <si>
    <t>Cameras (3) Amort of Salvage</t>
  </si>
  <si>
    <t>Truck #814 Amort of Salvage</t>
  </si>
  <si>
    <t>Truck #816 Amort of Salvage</t>
  </si>
  <si>
    <t>Cameras (Drivecam) (5) Amort of Salvage</t>
  </si>
  <si>
    <t>Truck #823 Amort of Salvage</t>
  </si>
  <si>
    <t>Truck #831 Amort of Salvage</t>
  </si>
  <si>
    <t>Truck #832 Amort of Salvage</t>
  </si>
  <si>
    <t>Truck #M1 Amort of Salvage</t>
  </si>
  <si>
    <t>Truck #6 Amort of Salvage</t>
  </si>
  <si>
    <t>Truck #13 Amort of Salvage</t>
  </si>
  <si>
    <t>Truck #12 Amort of Salvage</t>
  </si>
  <si>
    <t>Truck #2 Amort of Salvage</t>
  </si>
  <si>
    <t>Truck #14 Amort of Salvage</t>
  </si>
  <si>
    <t>Truck #5 Amort of Salvage</t>
  </si>
  <si>
    <t>Truck #126 Amort of Salvage</t>
  </si>
  <si>
    <t>Truck #48 Amort of Salvage</t>
  </si>
  <si>
    <t>Truck #127 Amort of Salvage</t>
  </si>
  <si>
    <t>Spill Trailer Amort of Salvage</t>
  </si>
  <si>
    <t>D</t>
  </si>
  <si>
    <t>2Yd REL Containers</t>
  </si>
  <si>
    <t>1 Yard REL Containers</t>
  </si>
  <si>
    <t>4 Yd FEL Containers</t>
  </si>
  <si>
    <t>2 Yd REL Containers w/ Plastic Lids &amp; Casters</t>
  </si>
  <si>
    <t>4 Yd FL Murrey Containers</t>
  </si>
  <si>
    <t>1 Yd FEL Containers-Murrey</t>
  </si>
  <si>
    <t>1 Yd FL  Containers-Murrey</t>
  </si>
  <si>
    <t>1YD REL</t>
  </si>
  <si>
    <t>2YD REL</t>
  </si>
  <si>
    <t>4 YD FEL</t>
  </si>
  <si>
    <t>6 YD FEL</t>
  </si>
  <si>
    <t>2 YD REL</t>
  </si>
  <si>
    <t>2YD FEL</t>
  </si>
  <si>
    <t>6 YD FEL Containers</t>
  </si>
  <si>
    <t>1YD REL Containers</t>
  </si>
  <si>
    <t>30 YD Containers</t>
  </si>
  <si>
    <t>4 YD FEL Container</t>
  </si>
  <si>
    <t>6 YD Containers</t>
  </si>
  <si>
    <t>1.5 Yard Containers</t>
  </si>
  <si>
    <t>1 Yard Containers</t>
  </si>
  <si>
    <t>2 Yard Container</t>
  </si>
  <si>
    <t>2 Yard Containers</t>
  </si>
  <si>
    <t>6YD FEL</t>
  </si>
  <si>
    <t>2 Yard REL Containers</t>
  </si>
  <si>
    <t>6 Yard FEL  Cage Containers</t>
  </si>
  <si>
    <t>6 Yard FEL Cage Containers</t>
  </si>
  <si>
    <t>6 Yard FEL Caged Containers</t>
  </si>
  <si>
    <t>1 Yard REL Containers (60 in Total CER)</t>
  </si>
  <si>
    <t>4 Yard FEL Garbage Containers -- Green</t>
  </si>
  <si>
    <t>2 Yard REL Garbage Containers -- Green</t>
  </si>
  <si>
    <t>2 Yard FEL Containers - Tan</t>
  </si>
  <si>
    <t>1 Yard REL Containers - Green</t>
  </si>
  <si>
    <t>1.5 Yd REL Containers</t>
  </si>
  <si>
    <t>2YD Refuse Containers</t>
  </si>
  <si>
    <t>1 YD REL Containers</t>
  </si>
  <si>
    <t>1.5 Yard Commercial Containers</t>
  </si>
  <si>
    <t>4 YD Containers</t>
  </si>
  <si>
    <t>6YD FEL Cardboard Recycle Bins</t>
  </si>
  <si>
    <t>6 YD FEL OCC Recycle Bins</t>
  </si>
  <si>
    <t>6 Yard FEL Containers</t>
  </si>
  <si>
    <t>6 Yard FEL Container</t>
  </si>
  <si>
    <t>4 Yard FEL Containers</t>
  </si>
  <si>
    <t>6 Yard FEL containers</t>
  </si>
  <si>
    <t>2 Yard FEL Containers</t>
  </si>
  <si>
    <t>2 Yard FELl Containers</t>
  </si>
  <si>
    <t>4  Yard FEL Containers</t>
  </si>
  <si>
    <t>2 Yd FEL Recy Containers</t>
  </si>
  <si>
    <t>2 Yard FEL Recy Containers</t>
  </si>
  <si>
    <t>2 YD RL Cont with cage</t>
  </si>
  <si>
    <t>6-YD FEL RECY Containers</t>
  </si>
  <si>
    <t>6-YD F/L RECY Containers</t>
  </si>
  <si>
    <t>2yd RL containers</t>
  </si>
  <si>
    <t>6 YD FEL Container</t>
  </si>
  <si>
    <t>2 YD FEL Containers</t>
  </si>
  <si>
    <t>2 YD FEL Container</t>
  </si>
  <si>
    <t>2 YD RL Container</t>
  </si>
  <si>
    <t>2 YD REL Containers</t>
  </si>
  <si>
    <t>2 YD Containers</t>
  </si>
  <si>
    <t>6 YD FEL Plastic Containers</t>
  </si>
  <si>
    <t>2 Yard REL Container</t>
  </si>
  <si>
    <t>2 YD Waste Container</t>
  </si>
  <si>
    <t>2 YD REL Recycle Container</t>
  </si>
  <si>
    <t>6YD FEL Recycle Container</t>
  </si>
  <si>
    <t>6 YD Recycle Containers</t>
  </si>
  <si>
    <t>4 Yard Frontload Containers</t>
  </si>
  <si>
    <t>2 Yard Rearload Waste Containers</t>
  </si>
  <si>
    <t>1 Yard Rearload Waste Containers</t>
  </si>
  <si>
    <t>6 Yard Frontload Waste Containers</t>
  </si>
  <si>
    <t>6 YD FEL containers</t>
  </si>
  <si>
    <t>2YD Containers</t>
  </si>
  <si>
    <t>2.5 yd self dumping hopper</t>
  </si>
  <si>
    <t>1Yd REL Containers</t>
  </si>
  <si>
    <t>1.5Yd REL Containers</t>
  </si>
  <si>
    <t>22 YD Hooklift Boxes</t>
  </si>
  <si>
    <t>12</t>
  </si>
  <si>
    <t>0</t>
  </si>
  <si>
    <t>70</t>
  </si>
  <si>
    <t>N/A</t>
  </si>
  <si>
    <t>30 Yd Drop Box w/ Screen Lid</t>
  </si>
  <si>
    <t>25 YD ROL Drop Boxes-Endless Chain Style-Green</t>
  </si>
  <si>
    <t>30 YD Roll Off</t>
  </si>
  <si>
    <t>30YD Roll Off</t>
  </si>
  <si>
    <t>Solid metal lids for drop boxes - Upgrades</t>
  </si>
  <si>
    <t>25 Yd Containers</t>
  </si>
  <si>
    <t>25 Yd Container</t>
  </si>
  <si>
    <t>50 Yd Containers</t>
  </si>
  <si>
    <t>40 Yd Containers</t>
  </si>
  <si>
    <t>30 Yd Containers</t>
  </si>
  <si>
    <t>30 Yd Roll Off Boxes</t>
  </si>
  <si>
    <t>30 Yard RO Boxes</t>
  </si>
  <si>
    <t>25 YD RO Boxes</t>
  </si>
  <si>
    <t>30 Yd Drop Boxes w/ Screen Lids</t>
  </si>
  <si>
    <t>30 yd Drop Box w/ Screen Lid</t>
  </si>
  <si>
    <t>50 yd Drop Boxes</t>
  </si>
  <si>
    <t>40 YD Drop Boxes</t>
  </si>
  <si>
    <t>50 YD Dropbox, 2-Way Dome Screen Lid, Single</t>
  </si>
  <si>
    <t>50 YD Dropbox, 2-Way Dome Screen Lid Boxes</t>
  </si>
  <si>
    <t>50 Yard ROL Boxes, 2-Way Dome Screen Lid</t>
  </si>
  <si>
    <t>50 YD Dropbox/Roll Off Containers</t>
  </si>
  <si>
    <t>20yd  Roll Off OTHER</t>
  </si>
  <si>
    <t>25yd</t>
  </si>
  <si>
    <t>40yd</t>
  </si>
  <si>
    <t>30yd</t>
  </si>
  <si>
    <t>30YD Containers</t>
  </si>
  <si>
    <t>30YD Containters</t>
  </si>
  <si>
    <t>50 YD Drop Boxes</t>
  </si>
  <si>
    <t>30 YD Drop Boxes</t>
  </si>
  <si>
    <t>50 YD Drop Box</t>
  </si>
  <si>
    <t>20 YD Containers</t>
  </si>
  <si>
    <t>40 YD RO - Conversion, Painting &amp; Welding</t>
  </si>
  <si>
    <t>40 YD RO - Conversion from APS 22' Container</t>
  </si>
  <si>
    <t>30 Yard Recycle Containers</t>
  </si>
  <si>
    <t>40 Yd Drop Boxes</t>
  </si>
  <si>
    <t>30 YD Recycle Container</t>
  </si>
  <si>
    <t>40 YD Recycle Container</t>
  </si>
  <si>
    <t>APS 22 YD Container Conversion to 40 YD RO</t>
  </si>
  <si>
    <t>APS Box conversion to RO Box</t>
  </si>
  <si>
    <t>30 Yard Roll Off Boxes With Solid Lids</t>
  </si>
  <si>
    <t>40 Yard Roll Off Boxes With Solid Lids</t>
  </si>
  <si>
    <t>50 Yard Roll Off Box With Solid Lid</t>
  </si>
  <si>
    <t>6 Yard Frontload Recy On Casters</t>
  </si>
  <si>
    <t>30 Yard Roll Off With Solid Lid</t>
  </si>
  <si>
    <t>40 Yard Roll Off With Solid Lid</t>
  </si>
  <si>
    <t>25 Yard Roll Off With Solid Lid</t>
  </si>
  <si>
    <t>30Yd Roll-Off Boxes</t>
  </si>
  <si>
    <t>40Yd Roll-Off Boxes</t>
  </si>
  <si>
    <t>20 yd Roll Off Boxes w/ Dome Lids</t>
  </si>
  <si>
    <t>25 yd RO Boxes</t>
  </si>
  <si>
    <t>48 YD RO Box</t>
  </si>
  <si>
    <t>40 yd RO Boxes</t>
  </si>
  <si>
    <t>20 yd RO Box w/ Dome Lid</t>
  </si>
  <si>
    <t>40 yd RO Box</t>
  </si>
  <si>
    <t>20 yd RO Boxes w/ Dome Lids</t>
  </si>
  <si>
    <t>20 ydRO Boxes w/ Dome Lids</t>
  </si>
  <si>
    <t>30 yd RO Box</t>
  </si>
  <si>
    <t>20 yd RO box</t>
  </si>
  <si>
    <t>48 yd RO Box</t>
  </si>
  <si>
    <t>40 YD ROLL OFF</t>
  </si>
  <si>
    <t>25 YD ROLL OFF</t>
  </si>
  <si>
    <t>30 YD ROLL OFF</t>
  </si>
  <si>
    <t>48 YD ROLL OFF</t>
  </si>
  <si>
    <t>20Yd ROL Box Dome Lid</t>
  </si>
  <si>
    <t>25Yd ROL Box</t>
  </si>
  <si>
    <t>30Yd ROL Container</t>
  </si>
  <si>
    <t>20Yd ROL Container</t>
  </si>
  <si>
    <t>25Yd ROL Container</t>
  </si>
  <si>
    <t>20 YD ROLL OFF BOXES</t>
  </si>
  <si>
    <t>25YD ROLL OFF BOX</t>
  </si>
  <si>
    <t>20YD ROCK BOX</t>
  </si>
  <si>
    <t>30YD ROLL OFF BOX</t>
  </si>
  <si>
    <t>40 YD ROLL BOX</t>
  </si>
  <si>
    <t>48 YD ROLL BOX</t>
  </si>
  <si>
    <t>20 YD ROLL OFF</t>
  </si>
  <si>
    <t>30 YD RO Boxes</t>
  </si>
  <si>
    <t>2.5 YARD SELF DUMPING HOPPER</t>
  </si>
  <si>
    <t>40YD RO ASBESTOS BOXES</t>
  </si>
  <si>
    <t>20YD ROLL OFF CRANE BOX</t>
  </si>
  <si>
    <t>30YD ROLL OFF WITH SOLID LID</t>
  </si>
  <si>
    <t>25YD ROLL OFF WITH SOLID LID</t>
  </si>
  <si>
    <t>20YD ROLL OFF WITH SOLID LID</t>
  </si>
  <si>
    <t>40 Yard R/O Containers</t>
  </si>
  <si>
    <t>Amer/Murrey/DM</t>
  </si>
  <si>
    <t>95 Gallon Carts -  Dark Blue YW Carts</t>
  </si>
  <si>
    <t>24 Gallon Garbage Carts</t>
  </si>
  <si>
    <t>35 Gallon Garbage Carts</t>
  </si>
  <si>
    <t>96 Gallon Garbage Carts</t>
  </si>
  <si>
    <t>35 Gallon Garbage Carts (840)</t>
  </si>
  <si>
    <t>Assembly &amp; Distribution for 1463 carts</t>
  </si>
  <si>
    <t>24 Gallon Garbage Carts (210)</t>
  </si>
  <si>
    <t>35 Gallon Garbage Carts (630)</t>
  </si>
  <si>
    <t>96 Gallon Recycle Carts (100)</t>
  </si>
  <si>
    <t>64 Gallon Garbage Carts (680)</t>
  </si>
  <si>
    <t>95 Gallon Yard Waste Carts - Aqua Blue</t>
  </si>
  <si>
    <t>95 Gallon Yard Univ Carts-Ass- Aqua Blue</t>
  </si>
  <si>
    <t>95 Gallon Yardwaste Carts-Dk Aqua Blue</t>
  </si>
  <si>
    <t>95 Gal Blue Yardwaste Carts Load #1</t>
  </si>
  <si>
    <t>95 Gal Blue Yardwaste Carts Load #2</t>
  </si>
  <si>
    <t>96 Gallon Blue Yard Waste Carts</t>
  </si>
  <si>
    <t>95 Gallon Yard Waste Carts (Blue)</t>
  </si>
  <si>
    <t>96 Gallon Yard Waste Carts</t>
  </si>
  <si>
    <t>95 Gallon Carts for Yard Waste</t>
  </si>
  <si>
    <t>7</t>
  </si>
  <si>
    <t>Truck #LEX-22 Amort of Salvage</t>
  </si>
  <si>
    <t>Truck #169 Amort of Salvage</t>
  </si>
  <si>
    <t>Truck #60 Amort of Salvage</t>
  </si>
  <si>
    <t>Truck #168 Amort of Salvage</t>
  </si>
  <si>
    <t>Truck #WF-23 Amort of Salvage</t>
  </si>
  <si>
    <t>Truck #WF-24 Amort of Salvage</t>
  </si>
  <si>
    <t>Truck #WF-25 Amort of Salvage</t>
  </si>
  <si>
    <t>Truck #61 Amort of Salvage</t>
  </si>
  <si>
    <t>Truck #LEX-18 Amort of Salvage</t>
  </si>
  <si>
    <t>Truck #407 Amort of Salvage</t>
  </si>
  <si>
    <t>Truck #406 Amort of Salvage</t>
  </si>
  <si>
    <t>Truck #408 Amort of Salvage</t>
  </si>
  <si>
    <t>Truck #LEX-14 Amort of Salvage</t>
  </si>
  <si>
    <t>Truck #LEX-15 Amort of Salvage</t>
  </si>
  <si>
    <t>Truck #WF-13 Amort of Salvage</t>
  </si>
  <si>
    <t>Cameras Amort of Salvage</t>
  </si>
  <si>
    <t>Truck #WF-14 Amort of Salvage</t>
  </si>
  <si>
    <t>Truck #181 Amort of Salvage</t>
  </si>
  <si>
    <t>Truck #407 Auto Tarper Amort of Salvage</t>
  </si>
  <si>
    <t>Truck #406 Auto Tarper Amort of Salvage</t>
  </si>
  <si>
    <t>Truck #408 Auto Tarper Amort of Salvage</t>
  </si>
  <si>
    <t>Truck #154 Auto TarperAmort of Salvage</t>
  </si>
  <si>
    <t>Truck #WF-15 Amort of Salvage</t>
  </si>
  <si>
    <t>Truck #182 Amort of Salvage</t>
  </si>
  <si>
    <t>Truck #183 Amort of Salvage</t>
  </si>
  <si>
    <t>Truck #185 Amort of Salvage</t>
  </si>
  <si>
    <t>Truck #LEX-19 Amort of Salvage</t>
  </si>
  <si>
    <t>Truck #LEX-20 Amort of Salvage</t>
  </si>
  <si>
    <t>Truck #LEX-21 Amort of Salvage</t>
  </si>
  <si>
    <t>Truck #422 Amort of Salvage</t>
  </si>
  <si>
    <t>Grizzly Amort of Salvage</t>
  </si>
  <si>
    <t>TOTAL DEPRECIABLE OTHER CAPITAL</t>
  </si>
  <si>
    <t>First Year</t>
  </si>
  <si>
    <t>Route Hours</t>
  </si>
  <si>
    <t>Customer Count</t>
  </si>
  <si>
    <t>T-stn tons</t>
  </si>
  <si>
    <t>T Stn Tons</t>
  </si>
  <si>
    <t>Total Equipment &amp; building</t>
  </si>
  <si>
    <t>Truck #910 Amort of Salvage</t>
  </si>
  <si>
    <t>2016 DEL BOX TRUCK</t>
  </si>
  <si>
    <t>53 TRI AXLE WALKING FLOOR</t>
  </si>
  <si>
    <t>6 Yd Retriever Truck</t>
  </si>
  <si>
    <t>2019 FEL Truck</t>
  </si>
  <si>
    <t>96 GAL YW TOTES</t>
  </si>
  <si>
    <t>96 GAL RECYCLE TOTES</t>
  </si>
  <si>
    <t>21 GAL MSW TOTES</t>
  </si>
  <si>
    <t>64 GAL MSW TOTES</t>
  </si>
  <si>
    <t>96 GAL MSW TOTES</t>
  </si>
  <si>
    <t>96 GAL RECY TOTES</t>
  </si>
  <si>
    <t>Test Year Depre</t>
  </si>
  <si>
    <t>New laptop for AC</t>
  </si>
  <si>
    <t>New Website for Murrey's Disposal</t>
  </si>
  <si>
    <t>Allocators</t>
  </si>
  <si>
    <t>40YD ROLL OFF BOX NO LID</t>
  </si>
  <si>
    <t>40YD ROLL OFF BOX WITH 4 SOLID LIDS</t>
  </si>
  <si>
    <t>30YD ROLL OFF BOX WITH 1 SOLID LID</t>
  </si>
  <si>
    <t>25Yd Roll Off Box With Solid Lid</t>
  </si>
  <si>
    <t>30Yd Roll Off Box With Solid Lid</t>
  </si>
  <si>
    <t>20 YARD ROLL OFF BOX WITH SOLID LID</t>
  </si>
  <si>
    <t>25 YARD ROLL OFF BOX WITH SOLID LID</t>
  </si>
  <si>
    <t>40 YARD ROLL OFF BOX WITH SOLID LID</t>
  </si>
  <si>
    <t>7960, 7961</t>
  </si>
  <si>
    <t>Steel Building (75x50) - TS</t>
  </si>
  <si>
    <t>Electrical - Transfer Station</t>
  </si>
  <si>
    <t>Transfer Station Improvements</t>
  </si>
  <si>
    <t>Canopy - TS</t>
  </si>
  <si>
    <t>Actual</t>
  </si>
  <si>
    <t>C-5</t>
  </si>
  <si>
    <t>C-4</t>
  </si>
  <si>
    <t>2012 Isuzu Delivery Truck (U)</t>
  </si>
  <si>
    <t>Functional Allocators - Used/Audited in TG-160232</t>
  </si>
  <si>
    <t>See Below</t>
  </si>
  <si>
    <t>FOUR-FACTOR ALLOCATION METHOD</t>
  </si>
  <si>
    <t>E</t>
  </si>
  <si>
    <t>Shared Facilities and Related Expenses 4-Factor Allocator</t>
  </si>
  <si>
    <t>Percentage of Tonnage</t>
  </si>
  <si>
    <t>Total Number of Customers</t>
  </si>
  <si>
    <t>Percentage of Customers</t>
  </si>
  <si>
    <t>Driver's Hours</t>
  </si>
  <si>
    <t>Percentage of Driver's Hours</t>
  </si>
  <si>
    <t>Total Company Percentages</t>
  </si>
  <si>
    <t>Total Company Percent</t>
  </si>
  <si>
    <t>Total Murrey's and American</t>
  </si>
  <si>
    <t>Methodology Used in TG-160232</t>
  </si>
  <si>
    <t>Vulcan Scale System</t>
  </si>
  <si>
    <t>Codes/ parent</t>
  </si>
  <si>
    <t>9537  - TF Tractor</t>
  </si>
  <si>
    <t>Deposit for Trailer</t>
  </si>
  <si>
    <t>P</t>
  </si>
  <si>
    <t>2012 Ford F150</t>
  </si>
  <si>
    <t>5 YARD FL OCC</t>
  </si>
  <si>
    <t>2 YARD FL GRBG</t>
  </si>
  <si>
    <t>2015 Tractor</t>
  </si>
  <si>
    <t>2019 RAJA CHASSIS</t>
  </si>
  <si>
    <t>LEX-26</t>
  </si>
  <si>
    <t>C-7</t>
  </si>
  <si>
    <t>Peterbilt 337/Peterson Lightning Loader</t>
  </si>
  <si>
    <t>Drive Cam</t>
  </si>
  <si>
    <t>New AC Machine (Cool-Tech 34988)</t>
  </si>
  <si>
    <t>New Welder and Plasma Cutter</t>
  </si>
  <si>
    <t>Order Picker with Maint Platform</t>
  </si>
  <si>
    <t>1997 PETERBILT TRACTOR 5610 (N)</t>
  </si>
  <si>
    <t>1997 PETERBILT TRACTOR 5614 (N)</t>
  </si>
  <si>
    <t>1997 PETERBILT 379 TRANSFER TRACTOR (U)</t>
  </si>
  <si>
    <t>ENGINE INFRAME TRACTOR</t>
  </si>
  <si>
    <t>2000 PETERBILT 378 TRACTOR (U)</t>
  </si>
  <si>
    <t>2007 FREIGHTLINER TRACTOR (N)</t>
  </si>
  <si>
    <t>Licensing For Truck #150 &amp; #Lex-27</t>
  </si>
  <si>
    <t>2005 TYPE H T TRACTOR (U)</t>
  </si>
  <si>
    <t>NEW ENGINE</t>
  </si>
  <si>
    <t>ENGINE REBUILD #177</t>
  </si>
  <si>
    <t>2007 Peterbilt 379 Transfer Tractor (U)</t>
  </si>
  <si>
    <t>2011 Peterbilt Tractor (N)</t>
  </si>
  <si>
    <t>Engine Rebuild #148</t>
  </si>
  <si>
    <t>2013 Travis 53' Trailer (N)</t>
  </si>
  <si>
    <t>2016 Helm Container Chassis</t>
  </si>
  <si>
    <t>96427, 96707</t>
  </si>
  <si>
    <t>96428, 96710</t>
  </si>
  <si>
    <t>LEX-17</t>
  </si>
  <si>
    <t>WF-17</t>
  </si>
  <si>
    <t>WF-19</t>
  </si>
  <si>
    <t>LEX-25</t>
  </si>
  <si>
    <t>LEX-24</t>
  </si>
  <si>
    <t>Number of Trucks</t>
  </si>
  <si>
    <t>Trucks:</t>
  </si>
  <si>
    <t>Packer</t>
  </si>
  <si>
    <t>Recycling</t>
  </si>
  <si>
    <t>Drop Box</t>
  </si>
  <si>
    <t>MF Cont, Carts</t>
  </si>
  <si>
    <t>Other:</t>
  </si>
  <si>
    <t>Service</t>
  </si>
  <si>
    <t>Bldgs-Office</t>
  </si>
  <si>
    <t>Bldgs-Shop</t>
  </si>
  <si>
    <t>Bldgs-T-Station</t>
  </si>
  <si>
    <t>Total LOS Depreciation</t>
  </si>
  <si>
    <t>Avg. Investment</t>
  </si>
  <si>
    <t>Average Investment</t>
  </si>
  <si>
    <t>Line of Service</t>
  </si>
  <si>
    <t>Total Other</t>
  </si>
  <si>
    <t>Med Waste</t>
  </si>
  <si>
    <t>Garbage Containers</t>
  </si>
  <si>
    <t>Transfer Tons</t>
  </si>
  <si>
    <t>Murrey's Packer</t>
  </si>
  <si>
    <t>Murrey's RO</t>
  </si>
  <si>
    <t>Murrey's Recycling</t>
  </si>
  <si>
    <t>Total Tons Transferred</t>
  </si>
  <si>
    <t>MSW</t>
  </si>
  <si>
    <t>Recycle</t>
  </si>
  <si>
    <t>Roll Off</t>
  </si>
  <si>
    <t>Route Hours:</t>
  </si>
  <si>
    <t>C-9</t>
  </si>
  <si>
    <t>WF-27</t>
  </si>
  <si>
    <t>Total Murrey's Recycle Carts</t>
  </si>
  <si>
    <t>Total Shared Recycle Carts</t>
  </si>
  <si>
    <t>Automation Carts</t>
  </si>
  <si>
    <t>Recycling (shared)</t>
  </si>
  <si>
    <t>Recycling (Murrey's Only</t>
  </si>
  <si>
    <t>Murrey's Only</t>
  </si>
  <si>
    <t>Recycling (Shared)</t>
  </si>
  <si>
    <t>Recycling (Murrey's)</t>
  </si>
  <si>
    <t>Murrey's Recycle Carts - from Prior Rate Filings</t>
  </si>
  <si>
    <t>MURREY'S GARBAGE CARTS PURCHASED FOR AUTOMATION</t>
  </si>
  <si>
    <t>SHARED RECYCLE CARTS - PURCHASED AFTER LAST RATE FILING</t>
  </si>
  <si>
    <t>Garbage Carts</t>
  </si>
  <si>
    <t>SHARED GARBAGE CARTS - PURCHASED AFTER AUTOMATION</t>
  </si>
  <si>
    <t xml:space="preserve">RO </t>
  </si>
  <si>
    <t>Recycle Bunder/Transfer Station Upgrades</t>
  </si>
  <si>
    <t>Facility Upgrades &amp; Frontage Road Improvements</t>
  </si>
  <si>
    <t>d</t>
  </si>
  <si>
    <t>Delivery</t>
  </si>
  <si>
    <t>Delivery Alloc:</t>
  </si>
  <si>
    <t>Total Packer</t>
  </si>
  <si>
    <t>MULTI-FAMILY RECYCLING</t>
  </si>
  <si>
    <t>Total RO</t>
  </si>
  <si>
    <t>Total YW</t>
  </si>
  <si>
    <t>Total Recycling</t>
  </si>
  <si>
    <t>Recycling Bunker</t>
  </si>
  <si>
    <t>T-Stn Tons</t>
  </si>
  <si>
    <t>Office Equip</t>
  </si>
  <si>
    <t>Depreciation - LOS</t>
  </si>
  <si>
    <t>Average Investment - LOS</t>
  </si>
  <si>
    <t>Shop Hours Alloc</t>
  </si>
  <si>
    <t>Cust Count Allocation</t>
  </si>
  <si>
    <t>Recycle Tons</t>
  </si>
  <si>
    <t>Transmission Replacement #407</t>
  </si>
  <si>
    <t>Bucket Loader</t>
  </si>
  <si>
    <t>In Frame Overhaul #183</t>
  </si>
  <si>
    <t>211105/212164</t>
  </si>
  <si>
    <t>Excavator</t>
  </si>
  <si>
    <t>96 Gal Recycle Totes</t>
  </si>
  <si>
    <t>Wet Kit #183</t>
  </si>
  <si>
    <t>Wet Kit #158</t>
  </si>
  <si>
    <t>Wet Kit #60</t>
  </si>
  <si>
    <t>2019 Peterbilt Tractor</t>
  </si>
  <si>
    <t>Laptop &amp; Docking Station</t>
  </si>
  <si>
    <t>6YD FEL MSW Metal Container</t>
  </si>
  <si>
    <t>4YD FEL MSW Metal Container</t>
  </si>
  <si>
    <t>2YD FEL MSW Metal Container</t>
  </si>
  <si>
    <t>1.5YD FEL MSW Metal Container</t>
  </si>
  <si>
    <t>1YD FEL MSW Metal Container</t>
  </si>
  <si>
    <t>2YD REL MSW Metal Container</t>
  </si>
  <si>
    <t>1.5YD REL MSW Metal Container</t>
  </si>
  <si>
    <t>1YD REL MSW Metal Container</t>
  </si>
  <si>
    <t>2020 Peterbilt RO Truck</t>
  </si>
  <si>
    <t>2020 Peterbilt FEL Truck</t>
  </si>
  <si>
    <t>Facility Upgrades - Street Improvements</t>
  </si>
  <si>
    <t>211496/211495</t>
  </si>
  <si>
    <t>Grange Closing Costs</t>
  </si>
  <si>
    <t>Facility Upgrades - Street Improve- Grange</t>
  </si>
  <si>
    <t>Retired 2019</t>
  </si>
  <si>
    <t>Recycling &amp; Yard Waste</t>
  </si>
  <si>
    <t>Total Recycling and Yard Waste</t>
  </si>
  <si>
    <t>2020 Peterbilt ASL Truck</t>
  </si>
  <si>
    <t>207291/ 207290/ 207289/ 207288/ 207288</t>
  </si>
  <si>
    <t>Fife Facility Design &amp; Construction - Building</t>
  </si>
  <si>
    <t>65 GAL MSW TOTES</t>
  </si>
  <si>
    <t>95 GAL MSW TOTES</t>
  </si>
  <si>
    <t>233283/233284</t>
  </si>
  <si>
    <t>235803/236976</t>
  </si>
  <si>
    <t>Toughbook</t>
  </si>
  <si>
    <t>Transmission Repair Truck 800</t>
  </si>
  <si>
    <t>Fuel Island</t>
  </si>
  <si>
    <t>232978/234890</t>
  </si>
  <si>
    <t>HP Prodesk 600 G5</t>
  </si>
  <si>
    <t>Public Recycling Depot</t>
  </si>
  <si>
    <t>Retainage Pond for Truck Parking Lot</t>
  </si>
  <si>
    <t>Public Recycling Drop Site</t>
  </si>
  <si>
    <t>2006 Heil ASL Truck</t>
  </si>
  <si>
    <t>1994 International REL Truck</t>
  </si>
  <si>
    <t>2YD FEL Metal Container - Orange</t>
  </si>
  <si>
    <t>232978/239769</t>
  </si>
  <si>
    <t>232978/239770</t>
  </si>
  <si>
    <t>FIFE Fueling Island</t>
  </si>
  <si>
    <t>Fife TS Desktop: HP ProDesk 600-MXL017125F</t>
  </si>
  <si>
    <t>6yd FEL Cathedral Container</t>
  </si>
  <si>
    <t>6yd frontload recycle on skids</t>
  </si>
  <si>
    <t>2yd FEL frontload recycle containers</t>
  </si>
  <si>
    <t>2yd rearload container with cage</t>
  </si>
  <si>
    <t>65 Gal MSW Carts</t>
  </si>
  <si>
    <t>96 Gal MSW Carts</t>
  </si>
  <si>
    <t>20 Gal MSW Carts</t>
  </si>
  <si>
    <t>35 Gal MSW Carts</t>
  </si>
  <si>
    <t>65GL MSW Carts</t>
  </si>
  <si>
    <t>65 Gal Recy Carts</t>
  </si>
  <si>
    <t>65 Gal YW Carts</t>
  </si>
  <si>
    <t>GeoTab Roll Out - (185 units)</t>
  </si>
  <si>
    <t>235097/240650</t>
  </si>
  <si>
    <t>License for New ASL Peterbilt/Labrie 31 Yd</t>
  </si>
  <si>
    <t>240719/240720</t>
  </si>
  <si>
    <t>Docking Station: Serial #2TK015Z7YG</t>
  </si>
  <si>
    <t>New laptop for Operations Mgr - Serial 5CG0397F5S</t>
  </si>
  <si>
    <t>240721/240722</t>
  </si>
  <si>
    <t>Office Mgr Laptop: Serial #5CG039D8NQ</t>
  </si>
  <si>
    <t>Docking Station: Serial #2TK017Z31M</t>
  </si>
  <si>
    <t>25363/240769</t>
  </si>
  <si>
    <t>Rebuild the transmission - 05 RO Truck</t>
  </si>
  <si>
    <t>95GL Recycle Carts</t>
  </si>
  <si>
    <t>95GL Yardwaste Carts</t>
  </si>
  <si>
    <t>170 New DriveCams</t>
  </si>
  <si>
    <t>2021 Peterbilt ASL Truck</t>
  </si>
  <si>
    <t>232978/243220</t>
  </si>
  <si>
    <t>Engineering Services</t>
  </si>
  <si>
    <t>232978/243221</t>
  </si>
  <si>
    <t>Structural plans and prepare permit application</t>
  </si>
  <si>
    <t>Drivecam</t>
  </si>
  <si>
    <t>Panasonic Toughbook - SN 0KTTA91183</t>
  </si>
  <si>
    <t>(184) Truck Radio Systems</t>
  </si>
  <si>
    <t>2006 Peterbilt Automated Sideload</t>
  </si>
  <si>
    <t>Came with Ruston, no truck #</t>
  </si>
  <si>
    <t>Chassis only, body got pushed to 2021, no truck number yet</t>
  </si>
  <si>
    <t>Total Shared Garbage Carts</t>
  </si>
  <si>
    <t>6599/244571</t>
  </si>
  <si>
    <t>PT-9 Tarp System</t>
  </si>
  <si>
    <t>6488/244570</t>
  </si>
  <si>
    <t>102177/245508</t>
  </si>
  <si>
    <t>Captial Repair - Engine Truck #181</t>
  </si>
  <si>
    <t>102177/244569</t>
  </si>
  <si>
    <t>65GAL MSW CARTS</t>
  </si>
  <si>
    <t>65 GAL MSW CARTS</t>
  </si>
  <si>
    <t>95 GAL RECYCLE CARTS</t>
  </si>
  <si>
    <t>95 GAL MSW CARTS</t>
  </si>
  <si>
    <t>NEXIQ adapter for laptop #3 for new shop</t>
  </si>
  <si>
    <t>246431/236403</t>
  </si>
  <si>
    <t>246557/246366</t>
  </si>
  <si>
    <t>SOFTWARE FOR LAPTOP #3 IN NEW SHOP</t>
  </si>
  <si>
    <t>247629/88717</t>
  </si>
  <si>
    <t>Transmission Truck #151</t>
  </si>
  <si>
    <t>247838/241232</t>
  </si>
  <si>
    <t>2 YARD REAR LOAD CONTAINERS</t>
  </si>
  <si>
    <t>6 YARD FRONT LOAD CONTAINERS</t>
  </si>
  <si>
    <t>4 YARD FRONT LOAD CONTAINERS</t>
  </si>
  <si>
    <t>2 YARD FRONT LOAD CONTAINERS</t>
  </si>
  <si>
    <t>2 YARD REAR LOAD RECYCLE CONTAINERS</t>
  </si>
  <si>
    <t>95 GAL YARD WASTE CARTS</t>
  </si>
  <si>
    <t>SERIAL FXPZM83 WINTERM FOR CSR - DELL WYSE 3040</t>
  </si>
  <si>
    <t>SERIAL FWXXM83 WINTERM FOR CSR - DELL WYSE 3040</t>
  </si>
  <si>
    <t>SERIAL FTQYM83 WINTERM FOR CSR - DELL WYSE 3040</t>
  </si>
  <si>
    <t>SERIAL FTPZM83 WINTERM FOR CSR - DELL WYSE 3040</t>
  </si>
  <si>
    <t>SERIAL FTMXM83 WINTERM FOR CSR - DELL WYSE 3040</t>
  </si>
  <si>
    <t>SERIAL FRSYM83 WINTERM FOR CSR - DELL WYSE 3040</t>
  </si>
  <si>
    <t>SERIAL FY00N83 WINTERM FOR CSR - DELL WYSE 3040</t>
  </si>
  <si>
    <t>SERIAL FX3WM83 WINTERM FOR CSR - DELL WYSE 3040</t>
  </si>
  <si>
    <t>SERIAL FXYWM83 WINTERM FOR CSR - DELL WYSE 3040</t>
  </si>
  <si>
    <t>SERIAL FXQZM83 WINTERM FOR CSR - DELL WYSE 3040</t>
  </si>
  <si>
    <t>251861/241232</t>
  </si>
  <si>
    <t>252178/252176</t>
  </si>
  <si>
    <t>252177/252175</t>
  </si>
  <si>
    <t>2020 Peterbilt FEL Truck - Body</t>
  </si>
  <si>
    <t>2020 Peterbilt FEL Truck- Body</t>
  </si>
  <si>
    <t>2020 Peterbilt FEL Truck- Chassis</t>
  </si>
  <si>
    <t>Fuel Island Design &amp; Permitting</t>
  </si>
  <si>
    <t>20 GAL Plastic Carts</t>
  </si>
  <si>
    <t>65 GAL Plastic Carts</t>
  </si>
  <si>
    <t>254515/252489</t>
  </si>
  <si>
    <t>FUEL ISLAND DESIGN REVISED PLANS</t>
  </si>
  <si>
    <t>95GAL MSW CARTS</t>
  </si>
  <si>
    <t>95GAL RECYCLE CARTS</t>
  </si>
  <si>
    <t>95GAL YARD  WASTE CARTS</t>
  </si>
  <si>
    <t>95GAL YARD WASTE CARTS</t>
  </si>
  <si>
    <t>2022 Peterbilt ASL Truck</t>
  </si>
  <si>
    <t>255232/255229</t>
  </si>
  <si>
    <t>2019 Peterbilt Transfer Tractor</t>
  </si>
  <si>
    <t>255231/255229</t>
  </si>
  <si>
    <t>255230/255229</t>
  </si>
  <si>
    <t>LICENSING FOR TRUCK 193</t>
  </si>
  <si>
    <t>Vulcan holland 5th wheel scale system Truck 193</t>
  </si>
  <si>
    <t>WET KIT FOR LIVE FLOOR AND SIDE DUMP TRUCK 193</t>
  </si>
  <si>
    <t>NOREGON Shop Toughbook</t>
  </si>
  <si>
    <t>246432/245508</t>
  </si>
  <si>
    <t>Offset Asset#245508 (duplicate to #244569)</t>
  </si>
  <si>
    <t>2020/2021 Asset Disposals/Transfers</t>
  </si>
  <si>
    <t>255496/255494</t>
  </si>
  <si>
    <t>255495/255494</t>
  </si>
  <si>
    <t>5th Wheel Scale System-Installed</t>
  </si>
  <si>
    <t>50G hydraulic tank- Installed</t>
  </si>
  <si>
    <t>2013 PRATT 4 AXLE DEMO CHASSIS</t>
  </si>
  <si>
    <t>Used Peterbilt 3 Axle Tractor - Wet Kit</t>
  </si>
  <si>
    <t>Used Peterbilt 3 Axle Tractor - Scale</t>
  </si>
  <si>
    <t>Head for truck 186 Inframe repair</t>
  </si>
  <si>
    <t>Cap Repair - Engine</t>
  </si>
  <si>
    <t>Used 2010 Peterbilt 386 Tractor</t>
  </si>
  <si>
    <t>2010 PRATT 4-AXLE DEMO CHASSIS WITH SCALE</t>
  </si>
  <si>
    <t>CH-4901 2010 PRATT 4-AXLE CHASSIS</t>
  </si>
  <si>
    <t>CH-4905 2010 PRATT 4-AXLE CHASSIS</t>
  </si>
  <si>
    <t>CH-4907 2010 PRATT 4-AXLE CHASSIS</t>
  </si>
  <si>
    <t>CH-4902 2010 PRATT 4-AXLE CHASSIS</t>
  </si>
  <si>
    <t>CH-4914 2010 PRATT 4-AXLE CHASSIS</t>
  </si>
  <si>
    <t>2010 Pratt 5-Axle Chassis Trailer</t>
  </si>
  <si>
    <t>2010 PRATT 5-AXLE DEMO CHASSIS WITH SCALE</t>
  </si>
  <si>
    <t>Licensing new trailer LEX-35</t>
  </si>
  <si>
    <t>Licensing new trailer LEX-36</t>
  </si>
  <si>
    <t>Licensing new trailer LEX-37</t>
  </si>
  <si>
    <t>Licensing new trailer LEX-38</t>
  </si>
  <si>
    <t>2014 Pratt 5-Axle Chassis Trailer</t>
  </si>
  <si>
    <t>2014 PRATT 5-AXLE DEMO CHASSIS WITH SCALE</t>
  </si>
  <si>
    <t>Licensing new trailer LEX-39</t>
  </si>
  <si>
    <t>255493/255491</t>
  </si>
  <si>
    <t>255492/255491</t>
  </si>
  <si>
    <t>255490/255488</t>
  </si>
  <si>
    <t>255489/255488</t>
  </si>
  <si>
    <t>255487/255486</t>
  </si>
  <si>
    <t>255485/255484</t>
  </si>
  <si>
    <t>255483/255482</t>
  </si>
  <si>
    <t>255481/255480</t>
  </si>
  <si>
    <t>255479/255478</t>
  </si>
  <si>
    <t>255476/255477</t>
  </si>
  <si>
    <t>255475/255477</t>
  </si>
  <si>
    <t>255473/255474</t>
  </si>
  <si>
    <t>255472/255474</t>
  </si>
  <si>
    <t>255470/255471</t>
  </si>
  <si>
    <t>255469/255471</t>
  </si>
  <si>
    <t>255467/255468</t>
  </si>
  <si>
    <t>255466/255468</t>
  </si>
  <si>
    <t>250649/250647</t>
  </si>
  <si>
    <t>250648/250647</t>
  </si>
  <si>
    <t>Side Loader Rails Rebuild</t>
  </si>
  <si>
    <t>Licensing unit# 3637</t>
  </si>
  <si>
    <t>2009 Peterbilt ASL</t>
  </si>
  <si>
    <t>Glass Hauling</t>
  </si>
  <si>
    <t>Total Glass Hauling</t>
  </si>
  <si>
    <t>MURREY'S - LINE OF SERVICE ALLOCATION</t>
  </si>
  <si>
    <t>New 2011 Peterbilt 320 ASL</t>
  </si>
  <si>
    <t>Paint Job on ASL Trk#819</t>
  </si>
  <si>
    <t>Wayne ASL Body for Truck#819</t>
  </si>
  <si>
    <t>New 2012 Peterbilt 320 w/ Wayne Curbtender 27 Cubic  Body - ASL</t>
  </si>
  <si>
    <t>Sales tax</t>
  </si>
  <si>
    <t>Peterbilt 320/Waye Curbtender ASL</t>
  </si>
  <si>
    <t>Peterbilt 320/Wayne Curbtender ASL</t>
  </si>
  <si>
    <t>2005 Autocar WXLL Truck</t>
  </si>
  <si>
    <t>26 YD Street Force MSL Auto on 2005 Autocar Truck</t>
  </si>
  <si>
    <t>Pacific Power Group Trans Repair Truck 806</t>
  </si>
  <si>
    <t>Used Peterbilt 3 Axle Tractor</t>
  </si>
  <si>
    <t>EVENT RECORDER</t>
  </si>
  <si>
    <t>WET KIT FOR TRUCK #183</t>
  </si>
  <si>
    <t>WET KIT FOR TRUCK #158</t>
  </si>
  <si>
    <t>WET KIT FOR TRUCK #60</t>
  </si>
  <si>
    <t>TRUCK 183 IN FRAME OVERHAUL</t>
  </si>
  <si>
    <t>Drive Cam for Box Van</t>
  </si>
  <si>
    <t>TRUCK 60 INFRAME OVERHAUL</t>
  </si>
  <si>
    <t>2016 4wd Reg Cab Supervisor pick up</t>
  </si>
  <si>
    <t>License New Truck 913</t>
  </si>
  <si>
    <t>Peterbilt 386 Road Tractor</t>
  </si>
  <si>
    <t>Freightliner Classic Road Tractor - Seahawks Wrap</t>
  </si>
  <si>
    <t>Used 2006 Peterbilt Tractor</t>
  </si>
  <si>
    <t>226488/223823</t>
  </si>
  <si>
    <t>226487/223823</t>
  </si>
  <si>
    <t>217185/102187</t>
  </si>
  <si>
    <t>217184/60338</t>
  </si>
  <si>
    <t>217183/102347</t>
  </si>
  <si>
    <t>211102/102187</t>
  </si>
  <si>
    <t>208020/202939</t>
  </si>
  <si>
    <t>208019/102347</t>
  </si>
  <si>
    <t>204986/202139</t>
  </si>
  <si>
    <t>203939/9537</t>
  </si>
  <si>
    <t>203779/201533</t>
  </si>
  <si>
    <t>177519/171235</t>
  </si>
  <si>
    <t>Additional Adds</t>
  </si>
  <si>
    <t>20 GAL MB CARTS</t>
  </si>
  <si>
    <t>246034/232980</t>
  </si>
  <si>
    <t>Construction support services for public recycling services</t>
  </si>
  <si>
    <t>Recycling and Yard Waste</t>
  </si>
  <si>
    <t>2003 IHC 7400 Rear Loader</t>
  </si>
  <si>
    <t>Total Murrey's Automation Garbage Carts</t>
  </si>
  <si>
    <t>From 2140</t>
  </si>
  <si>
    <t>10 Gallon Refuse Carts</t>
  </si>
  <si>
    <t>20 Gallon Garbage Carts</t>
  </si>
  <si>
    <t>24 gal garbage carts - Sumner Rollout</t>
  </si>
  <si>
    <t>24 Gal Toter Carts - Orting Automation</t>
  </si>
  <si>
    <t>35 GAL Carts</t>
  </si>
  <si>
    <t>35 GAL CARTS + A&amp;D</t>
  </si>
  <si>
    <t>35 gal MSW carts Automation</t>
  </si>
  <si>
    <t>35 Gal MSW carts Automation</t>
  </si>
  <si>
    <t>35 Gal MSW carts for automation</t>
  </si>
  <si>
    <t>35 Gal Toter Carts - Orting Automation</t>
  </si>
  <si>
    <t>35 Gallon Refuse Carts</t>
  </si>
  <si>
    <t>35 Gallon Toter Carts - Orting Automation</t>
  </si>
  <si>
    <t>64 gal garbage carts - Sumner Rollout</t>
  </si>
  <si>
    <t>64 Gallon Garb Carts</t>
  </si>
  <si>
    <t>64 Gallon Toter Carts - Orting Automation</t>
  </si>
  <si>
    <t>64-Gallon Refuse Cart</t>
  </si>
  <si>
    <t>65 GAL CARTS + A&amp;D</t>
  </si>
  <si>
    <t>65 Gallon Refuse Carts Credit</t>
  </si>
  <si>
    <t>95 GAL Carts</t>
  </si>
  <si>
    <t>95 gal Recycle Carts</t>
  </si>
  <si>
    <t>96 GAL RECYCLE CARTS - TOTER</t>
  </si>
  <si>
    <t>96 gal garbage carts - Sumner Rollout</t>
  </si>
  <si>
    <t>96 Gal Toter Carts - Orting Automation</t>
  </si>
  <si>
    <t>Assembly and Distribution of Carts</t>
  </si>
  <si>
    <t>Murrey's Disposal Company, Inc. G-9</t>
  </si>
  <si>
    <t>2020 Peterbilt ASL Truck - Body</t>
  </si>
  <si>
    <t xml:space="preserve">2020 Peterbilt ASL Truck - Warranties </t>
  </si>
  <si>
    <t>NEW DRIVE CAM FOR TRUCK 864</t>
  </si>
  <si>
    <t>Transfer Trucks - Recycle Bunker</t>
  </si>
  <si>
    <t>Grizzly - Transfer Station</t>
  </si>
  <si>
    <t>Total Grizzly</t>
  </si>
  <si>
    <t>MF Recycling</t>
  </si>
  <si>
    <t>Total MF Recycling</t>
  </si>
  <si>
    <t>Murrey's UTC</t>
  </si>
  <si>
    <t>Murrey's Cities</t>
  </si>
  <si>
    <t>T Stn Tons Recycle Tons</t>
  </si>
  <si>
    <t>Recycle Bunker Long Haul</t>
  </si>
  <si>
    <t>RO Hours</t>
  </si>
  <si>
    <t>RH w/o RO</t>
  </si>
  <si>
    <t>Resi Cust</t>
  </si>
  <si>
    <t>RH Reycle/YW</t>
  </si>
  <si>
    <t>DMR</t>
  </si>
  <si>
    <t>DMR -2140</t>
  </si>
  <si>
    <t>Vashon-2132</t>
  </si>
  <si>
    <t>Tstn Tons</t>
  </si>
  <si>
    <t>Recyle Tons</t>
  </si>
  <si>
    <t>RH &amp; Cust</t>
  </si>
  <si>
    <t>MSW Customer Count</t>
  </si>
  <si>
    <t>Combination</t>
  </si>
  <si>
    <t>2005 Peterbilt 335 Truck</t>
  </si>
  <si>
    <t>Auto Tarper for Truck #411</t>
  </si>
  <si>
    <t>2006 Peterbilt 335 R/O Truck Chassis</t>
  </si>
  <si>
    <t>Peterbilt 320 Roll Off</t>
  </si>
  <si>
    <t>2018 RO Truck</t>
  </si>
  <si>
    <t>2020 R/O Truck</t>
  </si>
  <si>
    <t>2020 Peterbilt ROL Truck</t>
  </si>
  <si>
    <t>Fuel %</t>
  </si>
  <si>
    <t>2021 Disposal</t>
  </si>
  <si>
    <t>2021 Deletes/Transfers</t>
  </si>
  <si>
    <t>Potential DMR FAR #</t>
  </si>
  <si>
    <t>As of 5.23.22 these assets were still on the DMR FAR.  Confirm that these are the correct FAR numbers and if they actually do belong to Murrey's.</t>
  </si>
  <si>
    <t>Containers</t>
  </si>
  <si>
    <t>Location</t>
  </si>
  <si>
    <t>AssetID</t>
  </si>
  <si>
    <t>ParentChild</t>
  </si>
  <si>
    <t>SystemNo</t>
  </si>
  <si>
    <t>MFGSerialNum</t>
  </si>
  <si>
    <t>LicensePlate</t>
  </si>
  <si>
    <t>ModelYear</t>
  </si>
  <si>
    <t>VendorMfg</t>
  </si>
  <si>
    <t>BodyManuf</t>
  </si>
  <si>
    <t>InsuranceCategory</t>
  </si>
  <si>
    <t>InServiceDate</t>
  </si>
  <si>
    <t>AcquisitionDate</t>
  </si>
  <si>
    <t>PONumber</t>
  </si>
  <si>
    <t>EstimatedLife</t>
  </si>
  <si>
    <t>AssetGL</t>
  </si>
  <si>
    <t>AcqValue</t>
  </si>
  <si>
    <t>AccumulatedGL</t>
  </si>
  <si>
    <t>CurrentLifeToDate</t>
  </si>
  <si>
    <t>CurrentYearToDate</t>
  </si>
  <si>
    <t>ExpenseGL</t>
  </si>
  <si>
    <t>CurrentPeriodDepr</t>
  </si>
  <si>
    <t>AcqType</t>
  </si>
  <si>
    <t>FormerCompany</t>
  </si>
  <si>
    <t>InvoiceNum</t>
  </si>
  <si>
    <t>CompAsstNo</t>
  </si>
  <si>
    <t>Book</t>
  </si>
  <si>
    <t>ActivityCd</t>
  </si>
  <si>
    <t>DeprMethod</t>
  </si>
  <si>
    <t>BegLsDeprDate</t>
  </si>
  <si>
    <t>LongName</t>
  </si>
  <si>
    <t>Sequence</t>
  </si>
  <si>
    <t>BegLifeToDate</t>
  </si>
  <si>
    <t>Default Month :</t>
  </si>
  <si>
    <t>Default Year :</t>
  </si>
  <si>
    <t>reportdrill(Invoice!C2,,pairgroup(pair("C:C",Invoice!E8),pair("",Invoice!E7,"N")),"Drill To Invoices by FAS# (Exc CIP)")</t>
  </si>
  <si>
    <t>Fixed Asset Register</t>
  </si>
  <si>
    <t>Asset Count:</t>
  </si>
  <si>
    <t>Data Last Updated in this Pull:</t>
  </si>
  <si>
    <t>Period:</t>
  </si>
  <si>
    <t>Ctrl + Shift + J</t>
  </si>
  <si>
    <t>VIN:</t>
  </si>
  <si>
    <t>(Contains the string)</t>
  </si>
  <si>
    <t>Parent/Child:</t>
  </si>
  <si>
    <t>(Leave blank for all)</t>
  </si>
  <si>
    <t>Service Date To:</t>
  </si>
  <si>
    <t>District:</t>
  </si>
  <si>
    <t>2111</t>
  </si>
  <si>
    <t>(F9 Aware)</t>
  </si>
  <si>
    <t>Description:</t>
  </si>
  <si>
    <t>Asset Acct:</t>
  </si>
  <si>
    <t>Service Date From:</t>
  </si>
  <si>
    <t>PO Number:</t>
  </si>
  <si>
    <t>Exp Acct:</t>
  </si>
  <si>
    <t>Asset #:</t>
  </si>
  <si>
    <t>Ins Category:</t>
  </si>
  <si>
    <t>(Not setup yet)</t>
  </si>
  <si>
    <t>Depreciated %:</t>
  </si>
  <si>
    <t>District</t>
  </si>
  <si>
    <t>Asset #</t>
  </si>
  <si>
    <t>Parent/ Child</t>
  </si>
  <si>
    <t>Descr</t>
  </si>
  <si>
    <t>Container Count</t>
  </si>
  <si>
    <t>MFG Serial#</t>
  </si>
  <si>
    <t>License Plate</t>
  </si>
  <si>
    <t>Model Year</t>
  </si>
  <si>
    <t>Vendor/Mfg</t>
  </si>
  <si>
    <t>Body Mfg</t>
  </si>
  <si>
    <t>Ins Category</t>
  </si>
  <si>
    <t>In Service Date</t>
  </si>
  <si>
    <t>Acq Date</t>
  </si>
  <si>
    <t>CER #</t>
  </si>
  <si>
    <t>Useful Life</t>
  </si>
  <si>
    <t>Asset Account</t>
  </si>
  <si>
    <t>Accum Account</t>
  </si>
  <si>
    <t>Accum Life to Date</t>
  </si>
  <si>
    <t>NBV</t>
  </si>
  <si>
    <t>Accum YTD</t>
  </si>
  <si>
    <t>Expense Account</t>
  </si>
  <si>
    <t>Current Depr</t>
  </si>
  <si>
    <t>Acq Type</t>
  </si>
  <si>
    <t>Former Company</t>
  </si>
  <si>
    <t>Invoice #</t>
  </si>
  <si>
    <t>Company Asset #</t>
  </si>
  <si>
    <t>Activity Cd</t>
  </si>
  <si>
    <t>Depr Meth</t>
  </si>
  <si>
    <t>Beg Date</t>
  </si>
  <si>
    <t>Dbase</t>
  </si>
  <si>
    <t>Seq</t>
  </si>
  <si>
    <t>Beg Depr</t>
  </si>
  <si>
    <t>Truck #</t>
  </si>
  <si>
    <t>Equipment Type per Field</t>
  </si>
  <si>
    <t>Equipment Type for Lookup</t>
  </si>
  <si>
    <t>Month</t>
  </si>
  <si>
    <t>YearPIS</t>
  </si>
  <si>
    <t>Year Fully Dep</t>
  </si>
  <si>
    <t>Year/Mo Fully Dep</t>
  </si>
  <si>
    <t>Monthly Dep</t>
  </si>
  <si>
    <t>Annual Dep</t>
  </si>
  <si>
    <t>Test Year Dep</t>
  </si>
  <si>
    <t>BOY Accum</t>
  </si>
  <si>
    <t>EOY Accum</t>
  </si>
  <si>
    <t>EOY Average Investment</t>
  </si>
  <si>
    <t>3rd Eye Camera -Cables</t>
  </si>
  <si>
    <t>1010-21-0039</t>
  </si>
  <si>
    <t>Internal</t>
  </si>
  <si>
    <t>SL</t>
  </si>
  <si>
    <t>WCNX</t>
  </si>
  <si>
    <t>3rd Eye Camera</t>
  </si>
  <si>
    <t>3rd Eye Camera - Credit</t>
  </si>
  <si>
    <t>52 RouteTab Mounts for 2111</t>
  </si>
  <si>
    <t>PROCLIPUSA</t>
  </si>
  <si>
    <t>1010-20-0033-2</t>
  </si>
  <si>
    <t>SI-1171635</t>
  </si>
  <si>
    <t>Fuel Island Professional Fees</t>
  </si>
  <si>
    <t>SITTS &amp; HILL ENGINEERS IN</t>
  </si>
  <si>
    <t>2111-21-0035-1</t>
  </si>
  <si>
    <t>18764-16</t>
  </si>
  <si>
    <t>Truck shop LED lighting</t>
  </si>
  <si>
    <t>MB ELECTRIC LLC</t>
  </si>
  <si>
    <t>2111-21-0046-1</t>
  </si>
  <si>
    <t>REHRIG PACIFIC COMPANY IN</t>
  </si>
  <si>
    <t>Non-Container Audit</t>
  </si>
  <si>
    <t>2111-21-0048-1</t>
  </si>
  <si>
    <t>TRANSMISSION TRUCK #906</t>
  </si>
  <si>
    <t>PACIFIC POWER GROUP LLC</t>
  </si>
  <si>
    <t>Non-Rolling Stock</t>
  </si>
  <si>
    <t>2111-21-0050-1</t>
  </si>
  <si>
    <t>6540953-00</t>
  </si>
  <si>
    <t>Docking station (NO SN)</t>
  </si>
  <si>
    <t>AMZN MKTP US 1A6AV81J3</t>
  </si>
  <si>
    <t>2111-21-0052-1</t>
  </si>
  <si>
    <t>HP PROBOOK SN 5CD14172R2</t>
  </si>
  <si>
    <t>CDW DIR #PO  2111-21-0</t>
  </si>
  <si>
    <t>N946631</t>
  </si>
  <si>
    <t>DOCKING STATION (NO SN)</t>
  </si>
  <si>
    <t>AMZN MKTP US RP92O4OS3</t>
  </si>
  <si>
    <t>2111-21-0051-1</t>
  </si>
  <si>
    <t>HP PROBOOK SN 5CD142JVV4</t>
  </si>
  <si>
    <t>CDW DIR #2111</t>
  </si>
  <si>
    <t>N970773</t>
  </si>
  <si>
    <t>TRUCK LICENSING #871</t>
  </si>
  <si>
    <t>Peterbilt</t>
  </si>
  <si>
    <t>n/a</t>
  </si>
  <si>
    <t>2111-21-0040-1</t>
  </si>
  <si>
    <t>License truck 871</t>
  </si>
  <si>
    <t>TRUCK LICENSING #872</t>
  </si>
  <si>
    <t>2111-21-0039-1</t>
  </si>
  <si>
    <t>Truck licensing 872</t>
  </si>
  <si>
    <t>Drive Cam Units</t>
  </si>
  <si>
    <t>1010-21-0038</t>
  </si>
  <si>
    <t>Fuel Island Permitting</t>
  </si>
  <si>
    <t>18764-15</t>
  </si>
  <si>
    <t>3BPDLK0X7NF111154</t>
  </si>
  <si>
    <t>Automated Sideload</t>
  </si>
  <si>
    <t>2111-21-0040</t>
  </si>
  <si>
    <t>3BPDLK0X9NF111057</t>
  </si>
  <si>
    <t>2111-21-0039</t>
  </si>
  <si>
    <t>3BPDLK0X1NF111053</t>
  </si>
  <si>
    <t>2111-21-0002</t>
  </si>
  <si>
    <t>2111-21-0045-1</t>
  </si>
  <si>
    <t>docking station for new controller - No S/N Listed on Amazon Invoices</t>
  </si>
  <si>
    <t>AMZN MKTP US 2C2QX0R90 AM</t>
  </si>
  <si>
    <t>2111-21-0049-1</t>
  </si>
  <si>
    <t>HP Probook 450-Controller Serial # : 5CD137MBVD</t>
  </si>
  <si>
    <t>L605704</t>
  </si>
  <si>
    <t>20 GAL MSW CARTS</t>
  </si>
  <si>
    <t>6YD FEL SLOPE C/W SINGLE PLY PLASTIC LID</t>
  </si>
  <si>
    <t>ENVIRONMENTAL METAL WORKS</t>
  </si>
  <si>
    <t>2111-21-0044-1</t>
  </si>
  <si>
    <t>IN009907</t>
  </si>
  <si>
    <t>INSTALL NEW GRIZZLY</t>
  </si>
  <si>
    <t>S2158</t>
  </si>
  <si>
    <t>XXXX</t>
  </si>
  <si>
    <t>2111-21-0013-1</t>
  </si>
  <si>
    <t>HYDRAULIC PUMPS, DRIVE MOTORS, HYD DRIVE GEAR BOX</t>
  </si>
  <si>
    <t>ENGINE</t>
  </si>
  <si>
    <t>2020 Tipper Chassis</t>
  </si>
  <si>
    <t>2001 Volvo Truck w/ 40 Yd Front Loader</t>
  </si>
  <si>
    <t>4V2DC6UE41N326662</t>
  </si>
  <si>
    <t>VOLVO</t>
  </si>
  <si>
    <t>McNeilus</t>
  </si>
  <si>
    <t>FEL Truck</t>
  </si>
  <si>
    <t>02-2111-011</t>
  </si>
  <si>
    <t>SET OF CASTERS 2 SWIVEL, 2 FIXED</t>
  </si>
  <si>
    <t>IN009907-A</t>
  </si>
  <si>
    <t>6YD FEL SLOPE C/W PLASTIC LID</t>
  </si>
  <si>
    <t>4YD FEL SLOPE C/W PLASTIC LID</t>
  </si>
  <si>
    <t>2YD REAR LOAD C/W PLASTIC LIDS</t>
  </si>
  <si>
    <t>2 YD REL Container</t>
  </si>
  <si>
    <t>2YD FLAT TOP C/W PLASTIC LIDS</t>
  </si>
  <si>
    <t>1YD REAR LOAD C/W PLASTIC LIDS</t>
  </si>
  <si>
    <t>1 YD REL Container</t>
  </si>
  <si>
    <t>1.5YD REAR LOAD C/W PLASTIC LIDS</t>
  </si>
  <si>
    <t>1.5 YD REL Container</t>
  </si>
  <si>
    <t>6YD FRONT LOAD CONTAINERS</t>
  </si>
  <si>
    <t>RULE STEEL TANKS INC</t>
  </si>
  <si>
    <t>2111-21-0041-1</t>
  </si>
  <si>
    <t>0039237-IN</t>
  </si>
  <si>
    <t>6YD FRONT LOAD CARDBOARD CONTAINERS</t>
  </si>
  <si>
    <t>2YD REAR LOAD CONTAINERS</t>
  </si>
  <si>
    <t>1YD REAR LOAD CONTAINERS</t>
  </si>
  <si>
    <t>1.5YD REAR LOAD CONTAINERS</t>
  </si>
  <si>
    <t>2013 HYSTER FORKLIFT</t>
  </si>
  <si>
    <t>K006V01930L</t>
  </si>
  <si>
    <t>Forklift</t>
  </si>
  <si>
    <t>2111-21-0019-1</t>
  </si>
  <si>
    <t>HM 297138 S</t>
  </si>
  <si>
    <t>Fuel Island Structural Plans and Civil Design</t>
  </si>
  <si>
    <t>18764-14</t>
  </si>
  <si>
    <t>3BPDLK0X5NF111055</t>
  </si>
  <si>
    <t>2111-21-0006</t>
  </si>
  <si>
    <t>Licenses</t>
  </si>
  <si>
    <t>WA DOL LIC &amp; REG 31150</t>
  </si>
  <si>
    <t>2111-21-0008-1</t>
  </si>
  <si>
    <t>TRUCK C-10</t>
  </si>
  <si>
    <t>Delivery Truck</t>
  </si>
  <si>
    <t>18764-12</t>
  </si>
  <si>
    <t>2111-21-0043-1</t>
  </si>
  <si>
    <t>BODY REPAIR TRUCK 139</t>
  </si>
  <si>
    <t>SOLID WASTE SYSTEMS</t>
  </si>
  <si>
    <t>2111-21-0034-1</t>
  </si>
  <si>
    <t>0132412-IN</t>
  </si>
  <si>
    <t>2019 Isuzu Van with lift gate</t>
  </si>
  <si>
    <t>JALC4W168K7K00575</t>
  </si>
  <si>
    <t>RWC IDEALEASE LLC</t>
  </si>
  <si>
    <t>Van</t>
  </si>
  <si>
    <t>VA103000121</t>
  </si>
  <si>
    <t>TRANSMISSION TRUCK 814</t>
  </si>
  <si>
    <t>2111-21-0038-1</t>
  </si>
  <si>
    <t>6538014-00</t>
  </si>
  <si>
    <t>LOADMAN NW LLC</t>
  </si>
  <si>
    <t>2140-19-0005-1</t>
  </si>
  <si>
    <t>J&amp;D's Hydraulic &amp; Repair</t>
  </si>
  <si>
    <t>Transfer Trailer</t>
  </si>
  <si>
    <t>1XPCPP9X7KD606553</t>
  </si>
  <si>
    <t>Transfer Tractor</t>
  </si>
  <si>
    <t>2140-19-0005</t>
  </si>
  <si>
    <t>2111-19-0031-1</t>
  </si>
  <si>
    <t>Loadman NW LLC</t>
  </si>
  <si>
    <t>1XPCPP9X0KD606555</t>
  </si>
  <si>
    <t>Trailer</t>
  </si>
  <si>
    <t>2111-19-0031</t>
  </si>
  <si>
    <t>94-3283464</t>
  </si>
  <si>
    <t>Cam Grinders</t>
  </si>
  <si>
    <t>Non Rolling Stock</t>
  </si>
  <si>
    <t>2140-17-0016-1</t>
  </si>
  <si>
    <t>004-99398</t>
  </si>
  <si>
    <t>1XPHP49X2AD104049</t>
  </si>
  <si>
    <t>Peterbilt 386</t>
  </si>
  <si>
    <t>Road Tractor</t>
  </si>
  <si>
    <t>2111-11-0006-1</t>
  </si>
  <si>
    <t>915-2073</t>
  </si>
  <si>
    <t>x</t>
  </si>
  <si>
    <t>2140-19-0007-1</t>
  </si>
  <si>
    <t>1P9CP5643AB343249</t>
  </si>
  <si>
    <t>LEX-30</t>
  </si>
  <si>
    <t>2140-19-0007-3</t>
  </si>
  <si>
    <t>1P9CP5647AB343254</t>
  </si>
  <si>
    <t>LEX-31</t>
  </si>
  <si>
    <t>2140-19-0007-4</t>
  </si>
  <si>
    <t>1P9CP564AB343258</t>
  </si>
  <si>
    <t>LEX-32</t>
  </si>
  <si>
    <t>2140-19-0007-2</t>
  </si>
  <si>
    <t>1P9CP564XAB343250</t>
  </si>
  <si>
    <t>LEX-33</t>
  </si>
  <si>
    <t>2140-19-0007-5</t>
  </si>
  <si>
    <t>1P9CP5649AB343272</t>
  </si>
  <si>
    <t>LEX-34</t>
  </si>
  <si>
    <t>1P9CP5649AB343255</t>
  </si>
  <si>
    <t>Cate</t>
  </si>
  <si>
    <t>Tipper Trailer</t>
  </si>
  <si>
    <t>2140-19-0009-1</t>
  </si>
  <si>
    <t>LEX-35</t>
  </si>
  <si>
    <t>1P9CP5642AB343260</t>
  </si>
  <si>
    <t>2140-19-0009-2</t>
  </si>
  <si>
    <t>LEX-36</t>
  </si>
  <si>
    <t>1P9CP5640AB343273</t>
  </si>
  <si>
    <t>2140-19-0009-3</t>
  </si>
  <si>
    <t>LEX-37</t>
  </si>
  <si>
    <t>1P9CP5646AB343276</t>
  </si>
  <si>
    <t>2140-19-0009-4</t>
  </si>
  <si>
    <t>LEX-38</t>
  </si>
  <si>
    <t>1P9CP5440EB343413</t>
  </si>
  <si>
    <t>2140-19-0009-5</t>
  </si>
  <si>
    <t>LEX-39</t>
  </si>
  <si>
    <t>3BPDLK0XXNF111052</t>
  </si>
  <si>
    <t>2111-21-0003</t>
  </si>
  <si>
    <t>2140-21-0001-1</t>
  </si>
  <si>
    <t>TRUCK 193</t>
  </si>
  <si>
    <t>1XPXP49X2KD606542</t>
  </si>
  <si>
    <t>2140-21-0001</t>
  </si>
  <si>
    <t>1P9CP5343DB343812</t>
  </si>
  <si>
    <t>2140-19-0014-1</t>
  </si>
  <si>
    <t>19-0001A</t>
  </si>
  <si>
    <t>LEX-40</t>
  </si>
  <si>
    <t>2111-21-0042-1</t>
  </si>
  <si>
    <t>18764-09</t>
  </si>
  <si>
    <t>2111-21-0032-1</t>
  </si>
  <si>
    <t>2111-21-0036-1</t>
  </si>
  <si>
    <t>2111-21-0035</t>
  </si>
  <si>
    <t>3BPDLK0X4LF108676</t>
  </si>
  <si>
    <t>2111-21-0028</t>
  </si>
  <si>
    <t>3BPDLK0X2LF108675</t>
  </si>
  <si>
    <t>2111-21-0027</t>
  </si>
  <si>
    <t>2111-20-0026</t>
  </si>
  <si>
    <t>2111-20-0025</t>
  </si>
  <si>
    <t>2020 Peterbilt ASL Truck - Body - COVID 2111-20-0022</t>
  </si>
  <si>
    <t>3BPDLK0X9LF108415</t>
  </si>
  <si>
    <t>2111-21-0026-1</t>
  </si>
  <si>
    <t>2140-19-0017-1</t>
  </si>
  <si>
    <t>2180-14-0042-1</t>
  </si>
  <si>
    <t>10/16/2014licensing</t>
  </si>
  <si>
    <t>3BPZL00XX9F718813</t>
  </si>
  <si>
    <t xml:space="preserve"> Peterbilt</t>
  </si>
  <si>
    <t>2012-13-0022-1</t>
  </si>
  <si>
    <t>CDW</t>
  </si>
  <si>
    <t>2111-21-0037-1</t>
  </si>
  <si>
    <t>2 YD FEL/REL/SL Metal</t>
  </si>
  <si>
    <t>NO</t>
  </si>
  <si>
    <t>6 yd REL Containers w/Lids (N)</t>
  </si>
  <si>
    <t>6 YD FEL/REL/SL Metal</t>
  </si>
  <si>
    <t>4 YD RO Box</t>
  </si>
  <si>
    <t>4 YD FEL/REL/SL Metal</t>
  </si>
  <si>
    <t>1.5 YD FEL/REL/SL Metal</t>
  </si>
  <si>
    <t>30yd Drop Box w/Lids</t>
  </si>
  <si>
    <t>30 YD RO Box</t>
  </si>
  <si>
    <t>03-2131-006</t>
  </si>
  <si>
    <t>12 - 20yd &amp; 3 - 25yd Drop Boxes (U)</t>
  </si>
  <si>
    <t>20 YD RO Box</t>
  </si>
  <si>
    <t>2111-8-0029-2</t>
  </si>
  <si>
    <t>2111-21-0030-1</t>
  </si>
  <si>
    <t>0038704-IN</t>
  </si>
  <si>
    <t>2020 Peterbilt ASL Truck - Warranties - COVID 2111-20-0022</t>
  </si>
  <si>
    <t>WESTERN PETERBILT LLC</t>
  </si>
  <si>
    <t>PLF108415-M1W</t>
  </si>
  <si>
    <t>PAPE KENWORTH NORTHWEST</t>
  </si>
  <si>
    <t>2111-21-0033-1</t>
  </si>
  <si>
    <t>ROBERT MUSTAIN AUTH SN</t>
  </si>
  <si>
    <t>2111-20-0050-2</t>
  </si>
  <si>
    <t>PACCAR</t>
  </si>
  <si>
    <t>2111-20-0053-1</t>
  </si>
  <si>
    <t>NEW DRIVE CAM FOR TRUCK 449</t>
  </si>
  <si>
    <t>LYTX INC</t>
  </si>
  <si>
    <t>2111-20-0021-1</t>
  </si>
  <si>
    <t>NOREGON SYSTEMS INC</t>
  </si>
  <si>
    <t>INV00069199</t>
  </si>
  <si>
    <t>2111-21-0029-4</t>
  </si>
  <si>
    <t>2111-21-0029-3</t>
  </si>
  <si>
    <t>2111-21-0029-2</t>
  </si>
  <si>
    <t>2111-21-0029-1</t>
  </si>
  <si>
    <t>2111-20-0017</t>
  </si>
  <si>
    <t>Capital Repair - Engine Truck #181</t>
  </si>
  <si>
    <t>2201451R</t>
  </si>
  <si>
    <t>Lytx Inc.</t>
  </si>
  <si>
    <t>2111-20-0020-1</t>
  </si>
  <si>
    <t>2111-20-0050-1</t>
  </si>
  <si>
    <t>PAPE MACHINERY</t>
  </si>
  <si>
    <t>2111-20-0015-1</t>
  </si>
  <si>
    <t>18764-08</t>
  </si>
  <si>
    <t>18764-07</t>
  </si>
  <si>
    <t>3BPDLK0X8MF110108</t>
  </si>
  <si>
    <t>2111-20-0024</t>
  </si>
  <si>
    <t>170 New Drivecams</t>
  </si>
  <si>
    <t>2111-20-0052-1</t>
  </si>
  <si>
    <t>95GL YARDWASTE CARTS</t>
  </si>
  <si>
    <t>2111-20-0047-1</t>
  </si>
  <si>
    <t>95GL RECYCLE CARTS</t>
  </si>
  <si>
    <t>2111-20-0045-1</t>
  </si>
  <si>
    <t>65GL MSW CARTS</t>
  </si>
  <si>
    <t>2020 Peterbilt ASL Truck-Chassis</t>
  </si>
  <si>
    <t>2111-20-0022</t>
  </si>
  <si>
    <t>rebuild the transmission- 05 RO Truck</t>
  </si>
  <si>
    <t>2111-20-0044-1</t>
  </si>
  <si>
    <t>6528593-00</t>
  </si>
  <si>
    <t>2111-20-0049-1</t>
  </si>
  <si>
    <t>2111-20-0048-1</t>
  </si>
  <si>
    <t>LICENSE FOR NEW ASL PETERBILT/LABRIE 31 YD</t>
  </si>
  <si>
    <t>C11964V NEW ASL PETERBILT</t>
  </si>
  <si>
    <t>ASSURED TELEMATICS INC</t>
  </si>
  <si>
    <t>2111-20-0043-1</t>
  </si>
  <si>
    <t>CITY OF RUSTON</t>
  </si>
  <si>
    <t>2111-20-0051-1</t>
  </si>
  <si>
    <t>Bill of sale 2020</t>
  </si>
  <si>
    <t>2YD REARLOAD CONTAINER WITH CAGE</t>
  </si>
  <si>
    <t>CAPITAL INDUSTRIES INC</t>
  </si>
  <si>
    <t>2111-20-0035-6</t>
  </si>
  <si>
    <t>6YD FRONTLOAD RECYCLE ON SKIDS</t>
  </si>
  <si>
    <t>2111-20-0035-4</t>
  </si>
  <si>
    <t>6YD FEL CATHEDRAL CONTAINER</t>
  </si>
  <si>
    <t>2111-20-0035-3</t>
  </si>
  <si>
    <t>2YD FEL  FRONTLOAD RECYCLE CONTAINER</t>
  </si>
  <si>
    <t>2111-20-0035-5</t>
  </si>
  <si>
    <t>6YD FEL FRONTLOAD RECYCLE ON SKIDS</t>
  </si>
  <si>
    <t>FIFE FUELING ISLAND</t>
  </si>
  <si>
    <t>18764-05</t>
  </si>
  <si>
    <t>FUEL ISLAND</t>
  </si>
  <si>
    <t>18764-03</t>
  </si>
  <si>
    <t>2111-20-0046-1</t>
  </si>
  <si>
    <t>4 YARD FRONTLOAD CONTAINER</t>
  </si>
  <si>
    <t>2111-20-0035-2</t>
  </si>
  <si>
    <t>2YD FEL METAL CONTAINER - ORANGE</t>
  </si>
  <si>
    <t>2111-20-0035-1</t>
  </si>
  <si>
    <t>P-Tax</t>
  </si>
  <si>
    <t>1HTSDN2RH547095</t>
  </si>
  <si>
    <t>REL Truck</t>
  </si>
  <si>
    <t>2111-20-0042-1</t>
  </si>
  <si>
    <t>1994 International</t>
  </si>
  <si>
    <t>49HABVCY36RW02116</t>
  </si>
  <si>
    <t>2111-20-0041-1</t>
  </si>
  <si>
    <t>2006 STERLING</t>
  </si>
  <si>
    <t>HP PROBOOK 8GB RAM - SN: 5CG015D9H2</t>
  </si>
  <si>
    <t>2111-20-0037-1</t>
  </si>
  <si>
    <t>ZPT1214</t>
  </si>
  <si>
    <t>WASTEQUIP TOTER</t>
  </si>
  <si>
    <t>2111-20-0034-1</t>
  </si>
  <si>
    <t>2111-20-0038-1</t>
  </si>
  <si>
    <t>Frontline ASL Transmission Repair</t>
  </si>
  <si>
    <t>PACIFIC POWER PRODUCTS</t>
  </si>
  <si>
    <t>2111-20-0032-1</t>
  </si>
  <si>
    <t>6521871-00</t>
  </si>
  <si>
    <t>96 GAL RECYCLE CARTS</t>
  </si>
  <si>
    <t>3BPDLK0X0LF108416</t>
  </si>
  <si>
    <t>Labrie</t>
  </si>
  <si>
    <t>2111-20-0021</t>
  </si>
  <si>
    <t>PRELIMINARY BUILDING AND SITE LAYOUT</t>
  </si>
  <si>
    <t>2111-20-0017-1</t>
  </si>
  <si>
    <t>18738-01</t>
  </si>
  <si>
    <t>PRELIMINARY SITE PLAN AND CANOPY CONFIGURATION</t>
  </si>
  <si>
    <t>18738-02</t>
  </si>
  <si>
    <t>HP PROBOOK SN: 5CG015D9H2</t>
  </si>
  <si>
    <t>ZLV9092</t>
  </si>
  <si>
    <t>Panasonic Toughbook SN:0FTTA41204</t>
  </si>
  <si>
    <t>2111-20-0036-1</t>
  </si>
  <si>
    <t>ZLW5417</t>
  </si>
  <si>
    <t>3BPDLK0X8LF107952</t>
  </si>
  <si>
    <t>2111-20-0020</t>
  </si>
  <si>
    <t>RECYCLE CENTER</t>
  </si>
  <si>
    <t>RICKABAUGH PENTECOST DEVE</t>
  </si>
  <si>
    <t>22630-APP 8</t>
  </si>
  <si>
    <t>STRUCTURAL PLANS FOR FUELING ISLAND</t>
  </si>
  <si>
    <t>18764-04</t>
  </si>
  <si>
    <t>GEOTECHNICAL CONSTRUCTION MONITORING SERVICES</t>
  </si>
  <si>
    <t>MIGIZI GROUP INC</t>
  </si>
  <si>
    <t>NEW COMMUNITY RECYCLING CENTER</t>
  </si>
  <si>
    <t>18207-14</t>
  </si>
  <si>
    <t>HAND OFF INSPECTION WITH OWNER AND CONTRACTOR</t>
  </si>
  <si>
    <t>18207-13</t>
  </si>
  <si>
    <t>RETAINAGE FOR POND AND TRUCK PARKING LOT</t>
  </si>
  <si>
    <t>2111-20-0016-1</t>
  </si>
  <si>
    <t>APP 13-22630</t>
  </si>
  <si>
    <t>NEW POND &amp; PAVED YARD</t>
  </si>
  <si>
    <t>18206-15</t>
  </si>
  <si>
    <t>NEW POWER DROP</t>
  </si>
  <si>
    <t>TACOMA CITY TREASURER</t>
  </si>
  <si>
    <t>PUBLIC RECYCLING CENTER PROJECT</t>
  </si>
  <si>
    <t>22630-APP 11</t>
  </si>
  <si>
    <t>POND AND TRUCK PARKING LOT</t>
  </si>
  <si>
    <t>22630-APP 12</t>
  </si>
  <si>
    <t>PROJECT CLOSEOUT FOR POND AND PAVED YARD</t>
  </si>
  <si>
    <t>18206-14</t>
  </si>
  <si>
    <t>2111-20-0033-1</t>
  </si>
  <si>
    <t>95GL YW CARTS</t>
  </si>
  <si>
    <t>2111-20-0031-1</t>
  </si>
  <si>
    <t>96 GAL YW CARTS</t>
  </si>
  <si>
    <t>96 GAL MSW CARTS</t>
  </si>
  <si>
    <t>Public Recycling Center</t>
  </si>
  <si>
    <t>Infiltration Pond &amp; Truck Parking Lot</t>
  </si>
  <si>
    <t>2111-20-0016</t>
  </si>
  <si>
    <t>2111-20-0015</t>
  </si>
  <si>
    <t>(184) TRUCK RADIO SYSTEMS</t>
  </si>
  <si>
    <t>WHISLER COMMUNICATIONS</t>
  </si>
  <si>
    <t>2111-20-0028-1</t>
  </si>
  <si>
    <t>1NPZLD9X06D716719</t>
  </si>
  <si>
    <t>RSA Input</t>
  </si>
  <si>
    <t>incorrect entry this is t</t>
  </si>
  <si>
    <t>6yd Front Load Recycle Container</t>
  </si>
  <si>
    <t>2111-19-0046-1</t>
  </si>
  <si>
    <t>2yd Real Load Containers</t>
  </si>
  <si>
    <t>4yd Front Load Container</t>
  </si>
  <si>
    <t>2yd FL Container -Green</t>
  </si>
  <si>
    <t>CONSTRUCTION SUPPORT SERVICES</t>
  </si>
  <si>
    <t>2111-19-0027-1</t>
  </si>
  <si>
    <t>18206-10</t>
  </si>
  <si>
    <t>2006 Type H TSide ASL</t>
  </si>
  <si>
    <t>1NPZLD9X76D716720</t>
  </si>
  <si>
    <t>Curbtender</t>
  </si>
  <si>
    <t>LeMay Enterprises</t>
  </si>
  <si>
    <t>PARKING LOT CONSTRUCTION</t>
  </si>
  <si>
    <t>22630 APP 1</t>
  </si>
  <si>
    <t>LETTERING FOR NEW ROLLOFF PETERBILT 445</t>
  </si>
  <si>
    <t>ALICIA B JENNINGS</t>
  </si>
  <si>
    <t>2111-19-0015-1</t>
  </si>
  <si>
    <t>741 - RO 445</t>
  </si>
  <si>
    <t>LETTERING FOR FL PETERBILT 915</t>
  </si>
  <si>
    <t>2111-19-0014-1</t>
  </si>
  <si>
    <t>2111-20-0029-1</t>
  </si>
  <si>
    <t>1NPZLD9X66D716708</t>
  </si>
  <si>
    <t>TRUCK PARKING</t>
  </si>
  <si>
    <t>22630-Application-2</t>
  </si>
  <si>
    <t>RECYCLE DROP AREA</t>
  </si>
  <si>
    <t>FLUP - Tires, Brakes</t>
  </si>
  <si>
    <t>2125-14-0008-5</t>
  </si>
  <si>
    <t>86135L</t>
  </si>
  <si>
    <t>FLUP- Trailer 7948 Walking Floor Replacement</t>
  </si>
  <si>
    <t>Western Trailers</t>
  </si>
  <si>
    <t>2125-15-0002-23</t>
  </si>
  <si>
    <t>FLUP- Frame and Chassis Welding Repairs/Hydraulic Cylinders</t>
  </si>
  <si>
    <t>2125-15-0002-8</t>
  </si>
  <si>
    <t>Trailer Welding Supplies</t>
  </si>
  <si>
    <t>WF Transfer Trailer</t>
  </si>
  <si>
    <t>1W9154839XM077685</t>
  </si>
  <si>
    <t>Wilkens Load Runner</t>
  </si>
  <si>
    <t>Spokane</t>
  </si>
  <si>
    <t>WF-31</t>
  </si>
  <si>
    <t>FLUP -  Tires, Hub Caps</t>
  </si>
  <si>
    <t>2125-14-0008-4</t>
  </si>
  <si>
    <t>FLUP- Frame and Chassis Welding Repairs/Walking Floor Trailer</t>
  </si>
  <si>
    <t>2125-15-0002-7</t>
  </si>
  <si>
    <t>1W9154831XM077678</t>
  </si>
  <si>
    <t>WF-30</t>
  </si>
  <si>
    <t>FLUP - Brakes, Tires, License</t>
  </si>
  <si>
    <t>2125-14-0008-3</t>
  </si>
  <si>
    <t>2125-15-0002-6</t>
  </si>
  <si>
    <t>FLUP- Replace Walking Floor Trailer Boards and Bearings</t>
  </si>
  <si>
    <t>1W915483XXM077677</t>
  </si>
  <si>
    <t>WF-29</t>
  </si>
  <si>
    <t>FLUP - Tires</t>
  </si>
  <si>
    <t>2125-14-0009-1</t>
  </si>
  <si>
    <t>DA0024393439</t>
  </si>
  <si>
    <t>2125-15-0002-5</t>
  </si>
  <si>
    <t>2M533146536030058</t>
  </si>
  <si>
    <t>Manac 36348020</t>
  </si>
  <si>
    <t>WF-28</t>
  </si>
  <si>
    <t>Surface Tablet</t>
  </si>
  <si>
    <t>2111-20-0027-3</t>
  </si>
  <si>
    <t>WNF9576</t>
  </si>
  <si>
    <t>2111-20-0027-2</t>
  </si>
  <si>
    <t>2111-20-0027-1</t>
  </si>
  <si>
    <t>CORSAIR hard drive bracket-2111-19-0045</t>
  </si>
  <si>
    <t>2111-19-0045-1</t>
  </si>
  <si>
    <t>WKL6753</t>
  </si>
  <si>
    <t>HP Prodesk 600G5</t>
  </si>
  <si>
    <t>WGS4485</t>
  </si>
  <si>
    <t>65 GAL GARBAGE CARTS</t>
  </si>
  <si>
    <t>2111-19-0043-1</t>
  </si>
  <si>
    <t>95 GAL GARBAGE CARTS</t>
  </si>
  <si>
    <t>LICENSING FOR TRUCK 915</t>
  </si>
  <si>
    <t>TRUCK 915</t>
  </si>
  <si>
    <t>DEMOLITION FOR GRANGE BUILDING OFFICE AND SHED</t>
  </si>
  <si>
    <t>W M DICKSON CO</t>
  </si>
  <si>
    <t>18206-11</t>
  </si>
  <si>
    <t>18207-11</t>
  </si>
  <si>
    <t>Services from 11/19/19-12/31/19</t>
  </si>
  <si>
    <t xml:space="preserve">J&amp;D's Hydraulic &amp; Repair </t>
  </si>
  <si>
    <t>2111-19-0032-1</t>
  </si>
  <si>
    <t>Licensing &amp; Registration</t>
  </si>
  <si>
    <t>DOL</t>
  </si>
  <si>
    <t>2111-19-0012-1</t>
  </si>
  <si>
    <t>18207-06</t>
  </si>
  <si>
    <t>Murrey's Construction Fife Office &amp; Shop</t>
  </si>
  <si>
    <t>2111-19-0027</t>
  </si>
  <si>
    <t>2020 ASL Peterbilt 320/Labrie Automizer 29yd</t>
  </si>
  <si>
    <t>3BPDLK0X0LF107427</t>
  </si>
  <si>
    <t>2111-19-0008</t>
  </si>
  <si>
    <t>2NP3LJ0X0LM667979</t>
  </si>
  <si>
    <t>R/O Truck</t>
  </si>
  <si>
    <t>2111-19-0015</t>
  </si>
  <si>
    <t>3BPDLK0X5LF107424</t>
  </si>
  <si>
    <t>2111-19-0010</t>
  </si>
  <si>
    <t>3BPDLK0X9LF107961</t>
  </si>
  <si>
    <t>2111-19-0014</t>
  </si>
  <si>
    <t>1XPCPP9X2KD606556</t>
  </si>
  <si>
    <t>2111-19-0032</t>
  </si>
  <si>
    <t>2111-19-0044-1</t>
  </si>
  <si>
    <t>0036698-IN</t>
  </si>
  <si>
    <t>2111-19-0038-1</t>
  </si>
  <si>
    <t>1 YD FEL/REL/SL Metal</t>
  </si>
  <si>
    <t>50 YARD RO</t>
  </si>
  <si>
    <t>50 YD RO Box</t>
  </si>
  <si>
    <t>Container Audit Input</t>
  </si>
  <si>
    <t>20 YARD RO</t>
  </si>
  <si>
    <t>15 YARD RO</t>
  </si>
  <si>
    <t>15 YD RO Box</t>
  </si>
  <si>
    <t>10 YARD RO</t>
  </si>
  <si>
    <t>10 YD RO Box</t>
  </si>
  <si>
    <t>LAPTOP/DOCKING STATION FOR MM</t>
  </si>
  <si>
    <t>2111-19-0042-1</t>
  </si>
  <si>
    <t>VFX6251</t>
  </si>
  <si>
    <t>LETTERING MURREYS FRONT LOADER 914</t>
  </si>
  <si>
    <t>3BPDLK0X4LF107317</t>
  </si>
  <si>
    <t>2111-19-0009</t>
  </si>
  <si>
    <t>LYTX</t>
  </si>
  <si>
    <t>2111-19-0009-1</t>
  </si>
  <si>
    <t>2111-19-0008-1</t>
  </si>
  <si>
    <t>96 GAL YARD WASTE TOTES</t>
  </si>
  <si>
    <t>2111-19-0041-1</t>
  </si>
  <si>
    <t>MSW 64 GAL TOTES</t>
  </si>
  <si>
    <t>2019 FL Peterbilt FEL Truck</t>
  </si>
  <si>
    <t>3BPDL70X3KF104792</t>
  </si>
  <si>
    <t>2111-19-0012</t>
  </si>
  <si>
    <t>2111-19-0039-1</t>
  </si>
  <si>
    <t>J&amp;DS HYDRAULIC &amp; REPAIR C</t>
  </si>
  <si>
    <t>2111-19-0040-3</t>
  </si>
  <si>
    <t>2111-19-0040-2</t>
  </si>
  <si>
    <t>2111-19-0040-1</t>
  </si>
  <si>
    <t>2111-19-0037-1</t>
  </si>
  <si>
    <t>1993 Type HT Dolly Trailer</t>
  </si>
  <si>
    <t>1H2E00717NE045703</t>
  </si>
  <si>
    <t>Fruehauf</t>
  </si>
  <si>
    <t>R/O Trailer</t>
  </si>
  <si>
    <t>PT-14 A</t>
  </si>
  <si>
    <t>1PLC02824MTG06830</t>
  </si>
  <si>
    <t>Peerless</t>
  </si>
  <si>
    <t>PT-14</t>
  </si>
  <si>
    <t>2111-19-0033-1</t>
  </si>
  <si>
    <t>96 GALLON RECYCLE TOTES</t>
  </si>
  <si>
    <t>Final drives - Rear, right</t>
  </si>
  <si>
    <t>Caterpillar</t>
  </si>
  <si>
    <t>Non-rolling stock</t>
  </si>
  <si>
    <t>2111-19-0035-1</t>
  </si>
  <si>
    <t>15985-2</t>
  </si>
  <si>
    <t>Final drives - Rear, left</t>
  </si>
  <si>
    <t>Undercarriage (Non E&amp;P Region)</t>
  </si>
  <si>
    <t>Hydraulic pumps,drive motors, hydraulic drive gear boxes</t>
  </si>
  <si>
    <t>Standard transmission or hydrostatic transmission</t>
  </si>
  <si>
    <t>Engine</t>
  </si>
  <si>
    <t>Excavator chassis</t>
  </si>
  <si>
    <t>FM200281</t>
  </si>
  <si>
    <t>MH-1</t>
  </si>
  <si>
    <t>DEPOSIT FOR 2015 CATERPILLAR MH3022 MATERIAL HANDLER</t>
  </si>
  <si>
    <t>Closing costs associated with Murreys land swap with Grange</t>
  </si>
  <si>
    <t>FIRST AMERICAN TITLE INSU</t>
  </si>
  <si>
    <t>2111-19-0036-2</t>
  </si>
  <si>
    <t>4266-3142900-901</t>
  </si>
  <si>
    <t>2111-19-0036-1</t>
  </si>
  <si>
    <t>Murrey's Construction</t>
  </si>
  <si>
    <t>2111-18-0023-1</t>
  </si>
  <si>
    <t>18080-02</t>
  </si>
  <si>
    <t>NC MACHINERY CO</t>
  </si>
  <si>
    <t>2111-18-0049-1</t>
  </si>
  <si>
    <t>FI31111</t>
  </si>
  <si>
    <t>LOADER PLANETARIES - REAR, LEFT</t>
  </si>
  <si>
    <t>0H2400841</t>
  </si>
  <si>
    <t>NC Machinery</t>
  </si>
  <si>
    <t>2111-18-0050-1</t>
  </si>
  <si>
    <t>V0404201</t>
  </si>
  <si>
    <t>LOADER PLANETARIES - REAR, RIGHT</t>
  </si>
  <si>
    <t>LOADER PLANETARIES - FRONT, LEFT</t>
  </si>
  <si>
    <t>LOADER PLANETARIES - FRONT, RIGHT</t>
  </si>
  <si>
    <t>LOADER DIFFERENTIALS - REAR</t>
  </si>
  <si>
    <t>LOADER DIFFERENTIALS - FRONT</t>
  </si>
  <si>
    <t>LOADER HYDRAULIC PUMPS,DRIVE MOTORS,GEAR BOXES</t>
  </si>
  <si>
    <t>LOADER TRANSMISSION</t>
  </si>
  <si>
    <t>LOADER ENGINE</t>
  </si>
  <si>
    <t>BUCKET LOADER CHASSIS</t>
  </si>
  <si>
    <t>LD-2</t>
  </si>
  <si>
    <t>Ro Truck Transmission Replacement</t>
  </si>
  <si>
    <t>2111-18-0044-1</t>
  </si>
  <si>
    <t>6490639-00</t>
  </si>
  <si>
    <t>Lytx</t>
  </si>
  <si>
    <t>2111-18-0015-1</t>
  </si>
  <si>
    <t>DIRKS TRUCK REPAIR INC</t>
  </si>
  <si>
    <t>2111-18-0048-1</t>
  </si>
  <si>
    <t>2111-18-0045-1</t>
  </si>
  <si>
    <t>2111-17-0002-1</t>
  </si>
  <si>
    <t>2111-16-0017-1</t>
  </si>
  <si>
    <t>2111-15-0003-1</t>
  </si>
  <si>
    <t>2111-14-0002-1</t>
  </si>
  <si>
    <t>5 YARD RECYCLE FEL CONTAINERS</t>
  </si>
  <si>
    <t>5 YD FEL/REL/SL Metal</t>
  </si>
  <si>
    <t>2111-18-0043-1</t>
  </si>
  <si>
    <t>IN007281-A</t>
  </si>
  <si>
    <t>4 YARD GARBAGE FEL CONTAINERS</t>
  </si>
  <si>
    <t>6 YARD GARBAGE FEL CONTAINER</t>
  </si>
  <si>
    <t>IN007281</t>
  </si>
  <si>
    <t>TS LED Lighting upgrade</t>
  </si>
  <si>
    <t>MB Electric</t>
  </si>
  <si>
    <t>2111-18-0047-1</t>
  </si>
  <si>
    <t>3C6JR7ET0GG282580</t>
  </si>
  <si>
    <t>Pick Up Truck</t>
  </si>
  <si>
    <t>2111-18-0046-1</t>
  </si>
  <si>
    <t>2111-18-0025-1</t>
  </si>
  <si>
    <t>2111-18-0042-1</t>
  </si>
  <si>
    <t>1FTFW1EF3CFC25672</t>
  </si>
  <si>
    <t>Lakewood Ford</t>
  </si>
  <si>
    <t>2180-15-0011-1</t>
  </si>
  <si>
    <t>2111-18-0036-1</t>
  </si>
  <si>
    <t>IN007070</t>
  </si>
  <si>
    <t>2111-18-0040-1</t>
  </si>
  <si>
    <t>2019 ASL Truck</t>
  </si>
  <si>
    <t>3BPDL70X7KF104469</t>
  </si>
  <si>
    <t>2111-18-0002-1</t>
  </si>
  <si>
    <t>2111-18-0038-1</t>
  </si>
  <si>
    <t>2077-2</t>
  </si>
  <si>
    <t>2111-18-0039-1</t>
  </si>
  <si>
    <t>JALC4W169G7001185</t>
  </si>
  <si>
    <t>RWC INTERNATIONAL LTD</t>
  </si>
  <si>
    <t>Box Truck</t>
  </si>
  <si>
    <t>3BPDL70X3KF103979</t>
  </si>
  <si>
    <t>3BPDL70X0KF103311</t>
  </si>
  <si>
    <t>2111-18-0024-1</t>
  </si>
  <si>
    <t>2111-18-0035-1</t>
  </si>
  <si>
    <t>2TVWF5337KD000123</t>
  </si>
  <si>
    <t>91220-</t>
  </si>
  <si>
    <t>2111-18-0041-1</t>
  </si>
  <si>
    <t>1BVVWXD</t>
  </si>
  <si>
    <t>JALE5W166K7301670</t>
  </si>
  <si>
    <t>Retriever Truck</t>
  </si>
  <si>
    <t>2111-18-0009-1</t>
  </si>
  <si>
    <t>2111-17-0033-1</t>
  </si>
  <si>
    <t>2111-18-0034-1</t>
  </si>
  <si>
    <t>WEBSITE DEVELOPMENT</t>
  </si>
  <si>
    <t>ROBERT SHARP &amp; ASSOCIATES</t>
  </si>
  <si>
    <t>2111-18-0037-1</t>
  </si>
  <si>
    <t>Licensing for New ASL</t>
  </si>
  <si>
    <t xml:space="preserve">Washington Department of </t>
  </si>
  <si>
    <t>2111-18-0003-1</t>
  </si>
  <si>
    <t>L0039249729</t>
  </si>
  <si>
    <t>2111-18-0029-1</t>
  </si>
  <si>
    <t>2111-18-0033-1</t>
  </si>
  <si>
    <t>F129830</t>
  </si>
  <si>
    <t>3BPZL70X2HF174542</t>
  </si>
  <si>
    <t>3BPZL70X4HF174543</t>
  </si>
  <si>
    <t>2111-18-0001-1</t>
  </si>
  <si>
    <t>6YD FRONT LOAD</t>
  </si>
  <si>
    <t>2111-18-0030-1</t>
  </si>
  <si>
    <t>IN006811</t>
  </si>
  <si>
    <t>4YD FRONT LOAD</t>
  </si>
  <si>
    <t>2YD REAR LOAD</t>
  </si>
  <si>
    <t>IN006811-A</t>
  </si>
  <si>
    <t>3BPZL70XXGF107184</t>
  </si>
  <si>
    <t>2140-16-0001-1</t>
  </si>
  <si>
    <t>P107184</t>
  </si>
  <si>
    <t>(1) 2005 Long Haul Container Chassis - 53' 3-Axle</t>
  </si>
  <si>
    <t>1H9CC53455T347080</t>
  </si>
  <si>
    <t>Container Chassis</t>
  </si>
  <si>
    <t>LEX-27</t>
  </si>
  <si>
    <t>6 YARD FL OCC CONTAINER</t>
  </si>
  <si>
    <t>2111-18-0027-1</t>
  </si>
  <si>
    <t>IN006611-A</t>
  </si>
  <si>
    <t>6 YARD FL GARB CONTAINERS</t>
  </si>
  <si>
    <t>IN006611</t>
  </si>
  <si>
    <t>2 YARD REL GARB CONTAINERS</t>
  </si>
  <si>
    <t>96 GAL BLUE YW CARTS</t>
  </si>
  <si>
    <t>2111-18-0028-1</t>
  </si>
  <si>
    <t>RECY 96 GAL GRAY TOTES</t>
  </si>
  <si>
    <t>TOTER INC</t>
  </si>
  <si>
    <t>MSW 96 GAL GREEN TOTES</t>
  </si>
  <si>
    <t>YW 96 GAL BLUE TOTES</t>
  </si>
  <si>
    <t>New Load Scales - Holland FW35</t>
  </si>
  <si>
    <t>2111-18-0032-1</t>
  </si>
  <si>
    <t>Toter</t>
  </si>
  <si>
    <t>2111-18-0026-1</t>
  </si>
  <si>
    <t>2111-18-0031-1</t>
  </si>
  <si>
    <t>SCS ENGINEERS</t>
  </si>
  <si>
    <t>2111-17-0049-1</t>
  </si>
  <si>
    <t>2111-17-0048-1</t>
  </si>
  <si>
    <t>2111-17-0045-2</t>
  </si>
  <si>
    <t>IN006166-A</t>
  </si>
  <si>
    <t>4 yd FEL Containers</t>
  </si>
  <si>
    <t>2111-17-0045-1</t>
  </si>
  <si>
    <t>IN006166-B</t>
  </si>
  <si>
    <t>IN006166</t>
  </si>
  <si>
    <t>Lettering on ASL</t>
  </si>
  <si>
    <t>2111-17-0024-1</t>
  </si>
  <si>
    <t>2111-17-0023-1</t>
  </si>
  <si>
    <t>2111-17-0015-1</t>
  </si>
  <si>
    <t>2111-17-0026-1</t>
  </si>
  <si>
    <t>96 GAL GREEN GARB TOTES</t>
  </si>
  <si>
    <t>TOTER</t>
  </si>
  <si>
    <t>2111-17-0046-1</t>
  </si>
  <si>
    <t>96 GAL BLUE RECY TOTES</t>
  </si>
  <si>
    <t>64 GAL GREEN GARB TOTES</t>
  </si>
  <si>
    <t>2111-17-0044-1</t>
  </si>
  <si>
    <t>96 GAL GRAY RECY TOTES</t>
  </si>
  <si>
    <t>2111-17-0047-1</t>
  </si>
  <si>
    <t>95 gallon cart A&amp;D</t>
  </si>
  <si>
    <t>2111-17-0032-1</t>
  </si>
  <si>
    <t>ES42644</t>
  </si>
  <si>
    <t>65 gallon cart A&amp;D</t>
  </si>
  <si>
    <t>35 gallon cart A&amp;D</t>
  </si>
  <si>
    <t>20 gallon cart A&amp;D</t>
  </si>
  <si>
    <t>6Yd FEL Recy Container</t>
  </si>
  <si>
    <t>Capital Industries</t>
  </si>
  <si>
    <t>2111-17-0031-2</t>
  </si>
  <si>
    <t>2111-17-0038-1</t>
  </si>
  <si>
    <t>2111-17-0042-1</t>
  </si>
  <si>
    <t>Wet Kit for truck 61</t>
  </si>
  <si>
    <t>2111-17-0040-1</t>
  </si>
  <si>
    <t>0097683-IN</t>
  </si>
  <si>
    <t>2111-17-0043-1</t>
  </si>
  <si>
    <t>LA215124</t>
  </si>
  <si>
    <t>LA215123</t>
  </si>
  <si>
    <t>2111-17-0041-1</t>
  </si>
  <si>
    <t>LA214145</t>
  </si>
  <si>
    <t>LA214144</t>
  </si>
  <si>
    <t>2111-17-0027-1</t>
  </si>
  <si>
    <t>LA210215</t>
  </si>
  <si>
    <t>LA210214</t>
  </si>
  <si>
    <t>Install Wet Kit For Truck #182</t>
  </si>
  <si>
    <t>2111-17-0039-1</t>
  </si>
  <si>
    <t>0098334-IN</t>
  </si>
  <si>
    <t>20 Gal garbage carts</t>
  </si>
  <si>
    <t>LA18612MU008</t>
  </si>
  <si>
    <t>95 Gal garbage carts</t>
  </si>
  <si>
    <t>65 Gal garbage carts</t>
  </si>
  <si>
    <t>35 Gal garbage carts</t>
  </si>
  <si>
    <t>2111-17-0036-1</t>
  </si>
  <si>
    <t>2111-17-0030-1</t>
  </si>
  <si>
    <t>2 YD RL WASTE CONT W/CAGE EXPANDED METAL FRONT</t>
  </si>
  <si>
    <t>2111-17-0031-1</t>
  </si>
  <si>
    <t>Truck 609 Engine Rebuild</t>
  </si>
  <si>
    <t>RWC</t>
  </si>
  <si>
    <t>2111-17-0035-1</t>
  </si>
  <si>
    <t>3BPZL70X9HF174540</t>
  </si>
  <si>
    <t>P174540</t>
  </si>
  <si>
    <t>3BPZL70X0HF174541</t>
  </si>
  <si>
    <t>3BPZL70X2HF174539</t>
  </si>
  <si>
    <t>ProClip</t>
  </si>
  <si>
    <t>2111-17-0034-1</t>
  </si>
  <si>
    <t>SI - 1142120</t>
  </si>
  <si>
    <t>Snap-On</t>
  </si>
  <si>
    <t>2111-16-0053-1</t>
  </si>
  <si>
    <t>JALC4W167C7000417</t>
  </si>
  <si>
    <t>Isuzu</t>
  </si>
  <si>
    <t>Box truck</t>
  </si>
  <si>
    <t>2111-17-0010-1</t>
  </si>
  <si>
    <t>3BPZL70X0HF174538</t>
  </si>
  <si>
    <t>Western Peterbilt</t>
  </si>
  <si>
    <t>2111-17-0029-1</t>
  </si>
  <si>
    <t>ta30163</t>
  </si>
  <si>
    <t>2131-16-0014-1</t>
  </si>
  <si>
    <t>010-17141</t>
  </si>
  <si>
    <t>3BPZL70X1HF107544</t>
  </si>
  <si>
    <t>2111-16-0049-1</t>
  </si>
  <si>
    <t>3BPZL70X6GF100684</t>
  </si>
  <si>
    <t>2111-16-0047-1</t>
  </si>
  <si>
    <t>3BPZL70X4GF100683</t>
  </si>
  <si>
    <t>2111-16-0043-1</t>
  </si>
  <si>
    <t>3BPZL70X4HF173246</t>
  </si>
  <si>
    <t>2111-16-0044-1</t>
  </si>
  <si>
    <t>3BPZL70X2HF173245</t>
  </si>
  <si>
    <t>2111-16-0046-1</t>
  </si>
  <si>
    <t>3BPZL70X8GF100685</t>
  </si>
  <si>
    <t>2111-16-0048-1</t>
  </si>
  <si>
    <t>3BPZL70X8HF173251</t>
  </si>
  <si>
    <t>2111-16-0045-1</t>
  </si>
  <si>
    <t>3BPPHM7X6HF591515</t>
  </si>
  <si>
    <t>Wayne</t>
  </si>
  <si>
    <t>2111-16-0037-1</t>
  </si>
  <si>
    <t>P591515</t>
  </si>
  <si>
    <t>3BPZL70X6HF174219</t>
  </si>
  <si>
    <t>2111-16-0041-1</t>
  </si>
  <si>
    <t>P174219</t>
  </si>
  <si>
    <t>3BPZL70X6HF174222</t>
  </si>
  <si>
    <t>2111-16-0040-1</t>
  </si>
  <si>
    <t>P174222</t>
  </si>
  <si>
    <t>3BPZL70X4HF174221</t>
  </si>
  <si>
    <t>2111-16-0039-1</t>
  </si>
  <si>
    <t>P174221</t>
  </si>
  <si>
    <t>3BPZL70X2HF174220</t>
  </si>
  <si>
    <t>2111-16-0042-1</t>
  </si>
  <si>
    <t>P174220</t>
  </si>
  <si>
    <t>SOLID WASTE SYSTEMS, INC</t>
  </si>
  <si>
    <t>NA</t>
  </si>
  <si>
    <t>2111-16-0001-1</t>
  </si>
  <si>
    <t>0092467-IN</t>
  </si>
  <si>
    <t>HP ProBook 640 G2 - 14" Laptop</t>
  </si>
  <si>
    <t>2111-17-0028-1</t>
  </si>
  <si>
    <t>GNF0423</t>
  </si>
  <si>
    <t>2001 Type HT Drop Trailer</t>
  </si>
  <si>
    <t>1H9ST34371T347047</t>
  </si>
  <si>
    <t>Other</t>
  </si>
  <si>
    <t>6331A0</t>
  </si>
  <si>
    <t>1PLH01516MTG06890</t>
  </si>
  <si>
    <t>American Intangible</t>
  </si>
  <si>
    <t>American Disposal</t>
  </si>
  <si>
    <t>Addler 120PD Calculator</t>
  </si>
  <si>
    <t>Carpeting</t>
  </si>
  <si>
    <t>95 Gal Yard Waste Carts</t>
  </si>
  <si>
    <t>Rehrig Pacific Company</t>
  </si>
  <si>
    <t>2131-16-0012-1</t>
  </si>
  <si>
    <t>AT154651</t>
  </si>
  <si>
    <t>Rehrig</t>
  </si>
  <si>
    <t>2131-16-0013-1</t>
  </si>
  <si>
    <t>AT154421</t>
  </si>
  <si>
    <t>Paint Job on ASL Trk#817</t>
  </si>
  <si>
    <t>2131-10-0007-1</t>
  </si>
  <si>
    <t>43180A</t>
  </si>
  <si>
    <t>Balance of Use Tax for Trk#817</t>
  </si>
  <si>
    <t>Vin#107607</t>
  </si>
  <si>
    <t>New Wayne ASL Body for Trk#817 (s/n:17770)</t>
  </si>
  <si>
    <t>3BPZL00X3AF107607</t>
  </si>
  <si>
    <t>0045118-IN</t>
  </si>
  <si>
    <t>New 2010 Peterbilt 320 ASL</t>
  </si>
  <si>
    <t>P107607</t>
  </si>
  <si>
    <t>Peterbilt 567 Roll Off</t>
  </si>
  <si>
    <t>1NPCX4EX8HD420026</t>
  </si>
  <si>
    <t>2131-16-0007-1</t>
  </si>
  <si>
    <t>P420026</t>
  </si>
  <si>
    <t>Fleet Charge</t>
  </si>
  <si>
    <t>2131-16-0011-1</t>
  </si>
  <si>
    <t>65 Gal Yard Waste Carts</t>
  </si>
  <si>
    <t>REHRIG PACIFIC COMPANY</t>
  </si>
  <si>
    <t>2131-16-0003-1</t>
  </si>
  <si>
    <t>LA203049</t>
  </si>
  <si>
    <t>LA202961</t>
  </si>
  <si>
    <t>3BPZL70X2GF107180</t>
  </si>
  <si>
    <t>2131-16-0008-1</t>
  </si>
  <si>
    <t>P107180</t>
  </si>
  <si>
    <t>KENWORTH NORTHWEST INC</t>
  </si>
  <si>
    <t>2131-16-0009-1</t>
  </si>
  <si>
    <t>SS157638</t>
  </si>
  <si>
    <t>96 Gal Yard Waste Carts</t>
  </si>
  <si>
    <t>2131-16-0010-1</t>
  </si>
  <si>
    <t>CAPITAL INDUSTRIES, INC.</t>
  </si>
  <si>
    <t>2160-13-0007-1</t>
  </si>
  <si>
    <t>2131-15-0007-1</t>
  </si>
  <si>
    <t>LA200022</t>
  </si>
  <si>
    <t>New Cart Tipper on Truck 153</t>
  </si>
  <si>
    <t>SOLID WASTE SYSTEMS INC</t>
  </si>
  <si>
    <t>2131-15-0003-1</t>
  </si>
  <si>
    <t>0080885-IN</t>
  </si>
  <si>
    <t>1 Yard REL Container</t>
  </si>
  <si>
    <t>2160-15-0010-1</t>
  </si>
  <si>
    <t>96 Gallon Yard Waste Cart</t>
  </si>
  <si>
    <t>2131-15-0006-1</t>
  </si>
  <si>
    <t>la194223</t>
  </si>
  <si>
    <t>la194222</t>
  </si>
  <si>
    <t>3BPZL70X4GF100327</t>
  </si>
  <si>
    <t>2131-15-0002-1</t>
  </si>
  <si>
    <t>P100327</t>
  </si>
  <si>
    <t>3BPZL70X2FF265842</t>
  </si>
  <si>
    <t>2131-14-0001-1</t>
  </si>
  <si>
    <t>Cap Repair - Transmission - T#609</t>
  </si>
  <si>
    <t>U.S. Transmissions</t>
  </si>
  <si>
    <t>2131-14-0008-1</t>
  </si>
  <si>
    <t>Cap Repair - Engine - Truck 612</t>
  </si>
  <si>
    <t>Kenworth Northwest</t>
  </si>
  <si>
    <t>2131-14-0003-1</t>
  </si>
  <si>
    <t>LS3819</t>
  </si>
  <si>
    <t>20 yd containers preacquisition</t>
  </si>
  <si>
    <t>DM Disposal</t>
  </si>
  <si>
    <t>96 Gal Plastic Carts</t>
  </si>
  <si>
    <t>2131-14-0006-1</t>
  </si>
  <si>
    <t>LA186601</t>
  </si>
  <si>
    <t>95 Gal Carts</t>
  </si>
  <si>
    <t>2131-14-0007-1</t>
  </si>
  <si>
    <t>LA186021</t>
  </si>
  <si>
    <t>96 Gal Carts</t>
  </si>
  <si>
    <t>LA186020</t>
  </si>
  <si>
    <t>3BPZL70X0EF223331</t>
  </si>
  <si>
    <t>Solid Waste Systems</t>
  </si>
  <si>
    <t>2131-13-0001-1</t>
  </si>
  <si>
    <t>2131-13-0004-1</t>
  </si>
  <si>
    <t>LA180449</t>
  </si>
  <si>
    <t>New 2013 Peterbilt 320 W/ New Way Body - REL</t>
  </si>
  <si>
    <t>3BPZL70X1DF184327</t>
  </si>
  <si>
    <t>Peterbilt 320</t>
  </si>
  <si>
    <t>New Way</t>
  </si>
  <si>
    <t>2111-12-0002-1</t>
  </si>
  <si>
    <t>New 2009 Ford Super Duty F-350 Tire Truck# 48</t>
  </si>
  <si>
    <t>1FDWF34519EA33097</t>
  </si>
  <si>
    <t>Ford F350</t>
  </si>
  <si>
    <t>Service Truck</t>
  </si>
  <si>
    <t>2111-10-0018-1</t>
  </si>
  <si>
    <t>VIN#A33097</t>
  </si>
  <si>
    <t>Auto Tarper for Truck #409</t>
  </si>
  <si>
    <t>2131-8-0002</t>
  </si>
  <si>
    <t>Cascon Powerlift Roll Off-2005 Peterbilt 330 Truck</t>
  </si>
  <si>
    <t>CCPG-240-442</t>
  </si>
  <si>
    <t>2005 Peterbilt 330 Truck - Roll Off Chassis</t>
  </si>
  <si>
    <t>2NPNLZ0X65M849860</t>
  </si>
  <si>
    <t>Peterbilt 330</t>
  </si>
  <si>
    <t>Cascon</t>
  </si>
  <si>
    <t>New 2013 Peterbilt 320 w/ New Way Cobra Body</t>
  </si>
  <si>
    <t>3BPZL70X5DF184329</t>
  </si>
  <si>
    <t>2131-12-0002-1</t>
  </si>
  <si>
    <t>95 Gallon  Carts - Dark Navy Blue</t>
  </si>
  <si>
    <t>2131-12-0005-1</t>
  </si>
  <si>
    <t>LA173005</t>
  </si>
  <si>
    <t>Used 2010 Ford F150 White Pickup</t>
  </si>
  <si>
    <t>1FTEW1E83AFC11183</t>
  </si>
  <si>
    <t>FORD F-150</t>
  </si>
  <si>
    <t>Pickup</t>
  </si>
  <si>
    <t>2131-12-0008-1</t>
  </si>
  <si>
    <t>FEL Pre-Ordered DM Recycling</t>
  </si>
  <si>
    <t>5VCDC6JF78H206219</t>
  </si>
  <si>
    <t>2160-8-0004-1</t>
  </si>
  <si>
    <t>0033902-IN</t>
  </si>
  <si>
    <t>4 - 20 ft Drive Cam extension cables</t>
  </si>
  <si>
    <t>DriveCam</t>
  </si>
  <si>
    <t>2131-11-0009-1</t>
  </si>
  <si>
    <t>4 -  DriveCam video event recorders</t>
  </si>
  <si>
    <t>New 2012 Isuzu NRR Chassis</t>
  </si>
  <si>
    <t>JALE5W16XC7300409</t>
  </si>
  <si>
    <t>Isuzu NRR</t>
  </si>
  <si>
    <t>2131-11-0002-1</t>
  </si>
  <si>
    <t>0052976-IN</t>
  </si>
  <si>
    <t>96-Gal Comingle Carts</t>
  </si>
  <si>
    <t>TOTER INCORPORATED</t>
  </si>
  <si>
    <t>2131-11-0004-1</t>
  </si>
  <si>
    <t>96 Gallon YW Carts - Dark Gray</t>
  </si>
  <si>
    <t>TOTER, INC.</t>
  </si>
  <si>
    <t>RouteManager Licenses for 2131 Murreys</t>
  </si>
  <si>
    <t>DESERT MICRO</t>
  </si>
  <si>
    <t>2131-10-0009-1</t>
  </si>
  <si>
    <t>2131-10-0001-1</t>
  </si>
  <si>
    <t>LA160308</t>
  </si>
  <si>
    <t>LA160307</t>
  </si>
  <si>
    <t>1.5 Yard REL Containers</t>
  </si>
  <si>
    <t>2131-10-0004-1</t>
  </si>
  <si>
    <t>2131-10-0005-1</t>
  </si>
  <si>
    <t>95 Gallon Blue Yardwaste Carts</t>
  </si>
  <si>
    <t>LA157160</t>
  </si>
  <si>
    <t>6 Yard FEL Cathedral Containers</t>
  </si>
  <si>
    <t>2131-10-0002-1</t>
  </si>
  <si>
    <t>Labor to install Transmission in Trk#320</t>
  </si>
  <si>
    <t>2131-10-0008-1</t>
  </si>
  <si>
    <t>Transmission for Trk#320</t>
  </si>
  <si>
    <t>12843-Trk#320</t>
  </si>
  <si>
    <t>96 gallon Blue Yard Waste Carts</t>
  </si>
  <si>
    <t>2131-9-0005-1</t>
  </si>
  <si>
    <t>KB251800</t>
  </si>
  <si>
    <t>95 Gallon YW Carts - Aqua Blue</t>
  </si>
  <si>
    <t>2131-9-0006-1</t>
  </si>
  <si>
    <t>LA149444</t>
  </si>
  <si>
    <t>2009 REL Truck#623 Use Tax</t>
  </si>
  <si>
    <t>1HTWCAZR49J136487</t>
  </si>
  <si>
    <t>2131-9-0002-1</t>
  </si>
  <si>
    <t>Trk#623</t>
  </si>
  <si>
    <t>Paint Job on Trk#816</t>
  </si>
  <si>
    <t>2131-9-0001-1</t>
  </si>
  <si>
    <t>Paint Job on New REL Trk #623</t>
  </si>
  <si>
    <t>41960B</t>
  </si>
  <si>
    <t>New 2009 Packer REL #480</t>
  </si>
  <si>
    <t>International 7400</t>
  </si>
  <si>
    <t>Use Tax on Used ASL Trk#816</t>
  </si>
  <si>
    <t>5VCDC6MF97H203878</t>
  </si>
  <si>
    <t>Trk#816 Use Tax</t>
  </si>
  <si>
    <t>Used 2007 Auotcar S/L</t>
  </si>
  <si>
    <t>5VCDC6MF97H203879</t>
  </si>
  <si>
    <t>Autocar WXR64</t>
  </si>
  <si>
    <t>RENT5987</t>
  </si>
  <si>
    <t>Auto Tarper for Truck #408</t>
  </si>
  <si>
    <t>2131-8-0002-1</t>
  </si>
  <si>
    <t>2131-8-0016-3</t>
  </si>
  <si>
    <t>2008 Autocar Truck (#906 Paint)</t>
  </si>
  <si>
    <t>G323900</t>
  </si>
  <si>
    <t>Sales Tax On Extended Warranties for Chassis 206219</t>
  </si>
  <si>
    <t>2008 FEL Autocar</t>
  </si>
  <si>
    <t>Autocar WX64</t>
  </si>
  <si>
    <t>2131-8-0016-5</t>
  </si>
  <si>
    <t>2131-8-0016-4</t>
  </si>
  <si>
    <t>2131-8-0005-1</t>
  </si>
  <si>
    <t>LA142798</t>
  </si>
  <si>
    <t>95 Gal Blue Yardwaste Carts</t>
  </si>
  <si>
    <t>LA142797</t>
  </si>
  <si>
    <t>(17) Drive Cameras</t>
  </si>
  <si>
    <t>2111-8-0028-1</t>
  </si>
  <si>
    <t>4038599-IN</t>
  </si>
  <si>
    <t>ENTERPRISE SALES, INC.</t>
  </si>
  <si>
    <t>2131-8-0013-1</t>
  </si>
  <si>
    <t>2131-8-0013-2</t>
  </si>
  <si>
    <t>McNeilus body</t>
  </si>
  <si>
    <t>5VCH36HE88H206132</t>
  </si>
  <si>
    <t>07-2131-008</t>
  </si>
  <si>
    <t>2008 REL Truck VIN#206132</t>
  </si>
  <si>
    <t>AUTOCAR</t>
  </si>
  <si>
    <t>30 YD RO BOX</t>
  </si>
  <si>
    <t>07-2131-004</t>
  </si>
  <si>
    <t>07-2131-006</t>
  </si>
  <si>
    <t>LA133919</t>
  </si>
  <si>
    <t>07-2131-002</t>
  </si>
  <si>
    <t>LA133255</t>
  </si>
  <si>
    <t>LA133254</t>
  </si>
  <si>
    <t>07-2131-010</t>
  </si>
  <si>
    <t>LA132826</t>
  </si>
  <si>
    <t>4YD FEL</t>
  </si>
  <si>
    <t>07-2131-001</t>
  </si>
  <si>
    <t>06-2131-010</t>
  </si>
  <si>
    <t>06-2131-007</t>
  </si>
  <si>
    <t>Body for RL  VIN#203513</t>
  </si>
  <si>
    <t>5VCH36PE76H203513</t>
  </si>
  <si>
    <t>06-2131-001</t>
  </si>
  <si>
    <t>LIDS</t>
  </si>
  <si>
    <t>Non Audit Assets</t>
  </si>
  <si>
    <t>06-2131-009</t>
  </si>
  <si>
    <t>KB 184732</t>
  </si>
  <si>
    <t>96 GA Carts</t>
  </si>
  <si>
    <t>64 Gallon Carts</t>
  </si>
  <si>
    <t>KB 184337</t>
  </si>
  <si>
    <t>2006 REL Chassis</t>
  </si>
  <si>
    <t>Autocar</t>
  </si>
  <si>
    <t>95 GA Carts Dark Blue</t>
  </si>
  <si>
    <t>06-2131-002</t>
  </si>
  <si>
    <t>LA125259</t>
  </si>
  <si>
    <t>95 GA Carts Dark Aqua Blue</t>
  </si>
  <si>
    <t>LA125184</t>
  </si>
  <si>
    <t>6 YD FEL Containers-Peak Style</t>
  </si>
  <si>
    <t>06-2131-003</t>
  </si>
  <si>
    <t>4 YD FEL Containers w/ Lids &amp; Wheels-Green</t>
  </si>
  <si>
    <t>06-2131-008</t>
  </si>
  <si>
    <t>Sales Tax on 2004 Peterbilt Truck (#800)</t>
  </si>
  <si>
    <t>1NPZLT0X24D715513</t>
  </si>
  <si>
    <t>U042111018</t>
  </si>
  <si>
    <t>28.0 YD Automated Body on Chassis VIN#&amp;715513</t>
  </si>
  <si>
    <t>330PX2841-17218</t>
  </si>
  <si>
    <t>45"x48" WCI Decals Printed Green &amp; Blue on White</t>
  </si>
  <si>
    <t>Decals for 2004 Peterbilt Model 320</t>
  </si>
  <si>
    <t>2004 Peterbilt Model 320</t>
  </si>
  <si>
    <t>96 GAL Cart Assembly &amp; Delivery</t>
  </si>
  <si>
    <t>Toter Incorporated</t>
  </si>
  <si>
    <t>KB 159243</t>
  </si>
  <si>
    <t>KB 158711</t>
  </si>
  <si>
    <t>KB 160503</t>
  </si>
  <si>
    <t>KB 158483</t>
  </si>
  <si>
    <t>KB 160504</t>
  </si>
  <si>
    <t>KB 161592</t>
  </si>
  <si>
    <t>KB 161591</t>
  </si>
  <si>
    <t>Capital Industries, Inc.</t>
  </si>
  <si>
    <t>2 Yd FEL Containers-Murrey Green</t>
  </si>
  <si>
    <t>2001-2004 B&amp;O AUDIT-Mint PC Resources</t>
  </si>
  <si>
    <t>Department of Revenue</t>
  </si>
  <si>
    <t>U052111027</t>
  </si>
  <si>
    <t>JE# 78113</t>
  </si>
  <si>
    <t>1.5 YD REL Cont.</t>
  </si>
  <si>
    <t>1 YD REL Cont.</t>
  </si>
  <si>
    <t>Fuel Pump-Hi-Flow Dispenser; Diesel Nozzle; Hoses</t>
  </si>
  <si>
    <t>REO Technology, LLC</t>
  </si>
  <si>
    <t>1 Yd REL Containers w/ Plastic Lids &amp; Casters</t>
  </si>
  <si>
    <t>taxes</t>
  </si>
  <si>
    <t>Enterprise Sales, Inc</t>
  </si>
  <si>
    <t>Install EPO System on McNeilus S/L-Kit Adjustment</t>
  </si>
  <si>
    <t>5VCH36PE35H201577</t>
  </si>
  <si>
    <t>024/40000361</t>
  </si>
  <si>
    <t>Install EPO System on McNeilus S/L-Pump Assembly</t>
  </si>
  <si>
    <t>5VCH36PE55H201578</t>
  </si>
  <si>
    <t>024/40000363</t>
  </si>
  <si>
    <t>Install EPO System on McNeilus S/L -Pump Assembly</t>
  </si>
  <si>
    <t>024/40000311</t>
  </si>
  <si>
    <t>1 Yard FEL Containers w/ Lids &amp; Casters</t>
  </si>
  <si>
    <t>96 GAL EVR II UNIV/NE0201 - SEAHAWK GRANITE</t>
  </si>
  <si>
    <t>A9002881 THRU A9003600</t>
  </si>
  <si>
    <t>KB 157100</t>
  </si>
  <si>
    <t>A9006481 THRU A9007200</t>
  </si>
  <si>
    <t>KB 157361</t>
  </si>
  <si>
    <t>A9007201 THRU A9007920</t>
  </si>
  <si>
    <t>KB 157362</t>
  </si>
  <si>
    <t>A9012241 THRU A9012960</t>
  </si>
  <si>
    <t>KB 157727</t>
  </si>
  <si>
    <t>A9054941 THRU A9055000</t>
  </si>
  <si>
    <t>KB 161313</t>
  </si>
  <si>
    <t>A9054221 THRU A9054940</t>
  </si>
  <si>
    <t>KB 160854</t>
  </si>
  <si>
    <t>A9053501 THRU A9054220</t>
  </si>
  <si>
    <t>KB 160845</t>
  </si>
  <si>
    <t>A9012961 THRU A9013000</t>
  </si>
  <si>
    <t>KB 158936</t>
  </si>
  <si>
    <t>A9009361 THRU A9010080</t>
  </si>
  <si>
    <t>KB 157534</t>
  </si>
  <si>
    <t>A9011521 THRU A9012240</t>
  </si>
  <si>
    <t>KB 157639</t>
  </si>
  <si>
    <t>A9001441 THRU A9002160</t>
  </si>
  <si>
    <t>KB 156753</t>
  </si>
  <si>
    <t>A9000721 THRU A9001440</t>
  </si>
  <si>
    <t>KB 156752</t>
  </si>
  <si>
    <t>A9002161 THRU A9002880</t>
  </si>
  <si>
    <t>KB 156847</t>
  </si>
  <si>
    <t>A9000001 THRU A9000720</t>
  </si>
  <si>
    <t>KB 156686</t>
  </si>
  <si>
    <t>A9005041 THRU A9005760</t>
  </si>
  <si>
    <t>KB 157202</t>
  </si>
  <si>
    <t>A9004321 THRU A9005040</t>
  </si>
  <si>
    <t>KB 157203</t>
  </si>
  <si>
    <t>A9003601 THRU A9004320</t>
  </si>
  <si>
    <t>KB 157104</t>
  </si>
  <si>
    <t>A9008641 THRU A9009360</t>
  </si>
  <si>
    <t>KB 157428</t>
  </si>
  <si>
    <t>A9007921 THRU A9008640</t>
  </si>
  <si>
    <t>KB 157422</t>
  </si>
  <si>
    <t>A9010801 THRU A9011520</t>
  </si>
  <si>
    <t>KB 157627</t>
  </si>
  <si>
    <t>A9005761 THRU A9006480</t>
  </si>
  <si>
    <t>KB 157261</t>
  </si>
  <si>
    <t>A9010081 THRU A9010800</t>
  </si>
  <si>
    <t>KB 157535</t>
  </si>
  <si>
    <t>95 Gal Univ Cart-Assy 045u - Drk Aqua Blue</t>
  </si>
  <si>
    <t>268577 THRU 269008</t>
  </si>
  <si>
    <t>LA117263</t>
  </si>
  <si>
    <t>268145 THRU 268576</t>
  </si>
  <si>
    <t>LA117248</t>
  </si>
  <si>
    <t>26 YD Street Force MSL Auto on 2005 Autocar WXLL42</t>
  </si>
  <si>
    <t>95 Gallon Carts</t>
  </si>
  <si>
    <t>002233-003396</t>
  </si>
  <si>
    <t>GRAINGER</t>
  </si>
  <si>
    <t>ELOY 315</t>
  </si>
  <si>
    <t>Enterprise Sales</t>
  </si>
  <si>
    <t>03-2131-007</t>
  </si>
  <si>
    <t>03-2131-005</t>
  </si>
  <si>
    <t>p</t>
  </si>
  <si>
    <t>1HTWCAAN93J067537</t>
  </si>
  <si>
    <t>03-2131-002</t>
  </si>
  <si>
    <t>WC000697-WC001080</t>
  </si>
  <si>
    <t>Otto Waste Systems</t>
  </si>
  <si>
    <t>03-2131-003</t>
  </si>
  <si>
    <t>OWS 461</t>
  </si>
  <si>
    <t>Microsoft Software</t>
  </si>
  <si>
    <t>Quest</t>
  </si>
  <si>
    <t>U-02-2131-009</t>
  </si>
  <si>
    <t>Scanner</t>
  </si>
  <si>
    <t>SCNCB804603</t>
  </si>
  <si>
    <t>02-2131-009</t>
  </si>
  <si>
    <t>2 Yd FEL Containers w/ Wheels</t>
  </si>
  <si>
    <t>02-2131-005</t>
  </si>
  <si>
    <t>1 Yd FEL Containers w/ Wheels</t>
  </si>
  <si>
    <t>02-2131-002</t>
  </si>
  <si>
    <t>260369-260800</t>
  </si>
  <si>
    <t>Rehrig Pacific</t>
  </si>
  <si>
    <t>02-2131-007</t>
  </si>
  <si>
    <t>LA98053</t>
  </si>
  <si>
    <t>30 Yd Drop Boxes</t>
  </si>
  <si>
    <t>Compaq EVO Microtower</t>
  </si>
  <si>
    <t>7P26KKM3A0SP</t>
  </si>
  <si>
    <t>Transmission Rebuilds - 3 Units</t>
  </si>
  <si>
    <t>BCA24255</t>
  </si>
  <si>
    <t>Pacific Torque Inc</t>
  </si>
  <si>
    <t>U01-2131-011</t>
  </si>
  <si>
    <t>4 Yd Front Load Containers w/ Lids</t>
  </si>
  <si>
    <t>01-2131-005</t>
  </si>
  <si>
    <t>1.5 Yd Rear Load Containers w/ Lids</t>
  </si>
  <si>
    <t>01-2131-006</t>
  </si>
  <si>
    <t>1 Yd Rear Load Containers</t>
  </si>
  <si>
    <t>01-2131-004</t>
  </si>
  <si>
    <t>Fleet Upgrade</t>
  </si>
  <si>
    <t>FCB12545</t>
  </si>
  <si>
    <t>OTHER</t>
  </si>
  <si>
    <t>U012131010</t>
  </si>
  <si>
    <t>95 Gallon Toters</t>
  </si>
  <si>
    <t>256049-256480</t>
  </si>
  <si>
    <t>Rehrig Pacific Co.</t>
  </si>
  <si>
    <t>01-2131-007</t>
  </si>
  <si>
    <t>LA92613</t>
  </si>
  <si>
    <t>30 Yard Drop Boxes w/lids</t>
  </si>
  <si>
    <t>Capitol Industries</t>
  </si>
  <si>
    <t>01-2131-008</t>
  </si>
  <si>
    <t>91500385-91500768</t>
  </si>
  <si>
    <t>Otto Industries</t>
  </si>
  <si>
    <t>01-2131-009</t>
  </si>
  <si>
    <t>168332-168346</t>
  </si>
  <si>
    <t>DeWald Northwest</t>
  </si>
  <si>
    <t>00-2131-003</t>
  </si>
  <si>
    <t>Angel PC 485 (N)</t>
  </si>
  <si>
    <t>IBM Cartridge #5291</t>
  </si>
  <si>
    <t>4 Drawer Fireproof Files</t>
  </si>
  <si>
    <t>Adler 120PD Calculator</t>
  </si>
  <si>
    <t>Desk and Chair</t>
  </si>
  <si>
    <t>Oak Conference Table &amp; Chairs</t>
  </si>
  <si>
    <t>IBM 5256 Check Printer</t>
  </si>
  <si>
    <t>Pre - 1981 Equipment</t>
  </si>
  <si>
    <t>Office Improvements</t>
  </si>
  <si>
    <t>Building Improvements</t>
  </si>
  <si>
    <t>Concrete Slab</t>
  </si>
  <si>
    <t>Well</t>
  </si>
  <si>
    <t>Air Jacks (N)</t>
  </si>
  <si>
    <t>15hp Air Compressor</t>
  </si>
  <si>
    <t>60 Lids &amp; Freight Charges &amp; Tax</t>
  </si>
  <si>
    <t>Dewald Northwest</t>
  </si>
  <si>
    <t>99-2111-0860</t>
  </si>
  <si>
    <t>2 yd Rearload Containers</t>
  </si>
  <si>
    <t>4 yd Containers w/Lids (N)</t>
  </si>
  <si>
    <t>95 gal Toters</t>
  </si>
  <si>
    <t>1 yd Containers w/Lids (N)</t>
  </si>
  <si>
    <t>30 yd Drop Boxes w/Lids (N)</t>
  </si>
  <si>
    <t>1 yd Containers w/Lids</t>
  </si>
  <si>
    <t>20yd Drop Boxes w/Lids (N)</t>
  </si>
  <si>
    <t>30yd Drop Boxes w/Lids (N)</t>
  </si>
  <si>
    <t>2yd Containers w/Lids</t>
  </si>
  <si>
    <t>95 gal Toters (U) Resdul</t>
  </si>
  <si>
    <t>95gal Toters (N)</t>
  </si>
  <si>
    <t>95gal Toters</t>
  </si>
  <si>
    <t>6yd SC'D Cages</t>
  </si>
  <si>
    <t>20 yd Drop Boxes w/Lids</t>
  </si>
  <si>
    <t>1yd Containers w/Lids</t>
  </si>
  <si>
    <t>95 gal MF Toters</t>
  </si>
  <si>
    <t>95 gal Yard w/Toters</t>
  </si>
  <si>
    <t>4yd  Containers w/Lids</t>
  </si>
  <si>
    <t>4yd Containers w/Lids</t>
  </si>
  <si>
    <t>Truck Radios</t>
  </si>
  <si>
    <t>BCA24225</t>
  </si>
  <si>
    <t>1998 Peterbilt (10801) (5166)51 (N) #153</t>
  </si>
  <si>
    <t>1NPZH58X9WD710801</t>
  </si>
  <si>
    <t>Heil</t>
  </si>
  <si>
    <t>1998 Peterbilt (10800), (5141) (N) #152</t>
  </si>
  <si>
    <t>1NPZH58X7WD710800</t>
  </si>
  <si>
    <t>30yd w/Lids (N)</t>
  </si>
  <si>
    <t>CASCON</t>
  </si>
  <si>
    <t>2111-16-0051-1</t>
  </si>
  <si>
    <t>0092258-IN</t>
  </si>
  <si>
    <t>New Laptop - Panasonic Toughbook 53 Lite 14"</t>
  </si>
  <si>
    <t>GJG5629</t>
  </si>
  <si>
    <t>1XPHP49X6ED221557</t>
  </si>
  <si>
    <t>915-2456</t>
  </si>
  <si>
    <t>RWC Group</t>
  </si>
  <si>
    <t>2111-16-0052-1</t>
  </si>
  <si>
    <t>58571M</t>
  </si>
  <si>
    <t>Engine Overhaul Inhouse Labor</t>
  </si>
  <si>
    <t>Murreys</t>
  </si>
  <si>
    <t>Air and hose reel shop improvement</t>
  </si>
  <si>
    <t>CAMCAL Inc</t>
  </si>
  <si>
    <t>2111-16-0054-1</t>
  </si>
  <si>
    <t>2111-16-0038-1</t>
  </si>
  <si>
    <t>JALC4W164C7000519</t>
  </si>
  <si>
    <t>2111-16-0027-1</t>
  </si>
  <si>
    <t>0089838-IN</t>
  </si>
  <si>
    <t>(8) Acer V226HQL - LED Monitors - 21.5"</t>
  </si>
  <si>
    <t>2111-16-0022-1</t>
  </si>
  <si>
    <t>FLC1966</t>
  </si>
  <si>
    <t>2111-16-0030-1</t>
  </si>
  <si>
    <t>Budget Truck Wrecking</t>
  </si>
  <si>
    <t>Yard Mule</t>
  </si>
  <si>
    <t>2111-16-0003-1</t>
  </si>
  <si>
    <t>TAC11526</t>
  </si>
  <si>
    <t>OTTAWA</t>
  </si>
  <si>
    <t>2111-16-0033-1</t>
  </si>
  <si>
    <t>2111-16-0034-1</t>
  </si>
  <si>
    <t>2111-16-0032-1</t>
  </si>
  <si>
    <t>DPW7139</t>
  </si>
  <si>
    <t>Tennant Co</t>
  </si>
  <si>
    <t>2111-16-0024-1</t>
  </si>
  <si>
    <t>2111-16-0031-1</t>
  </si>
  <si>
    <t>FI32738</t>
  </si>
  <si>
    <t>2410-14-0001-1</t>
  </si>
  <si>
    <t>LM30276</t>
  </si>
  <si>
    <t>2111-16-0029-1</t>
  </si>
  <si>
    <t>DDK8796</t>
  </si>
  <si>
    <t>LED Monitors</t>
  </si>
  <si>
    <t>CXQ2589</t>
  </si>
  <si>
    <t>WESTERN PETERBILT</t>
  </si>
  <si>
    <t>2111-16-0023-1</t>
  </si>
  <si>
    <t>fi31022</t>
  </si>
  <si>
    <t>ProClip Tablet Mounts</t>
  </si>
  <si>
    <t>PROCLIP USA, INC</t>
  </si>
  <si>
    <t>2111-16-0018-1</t>
  </si>
  <si>
    <t>SI-1137273</t>
  </si>
  <si>
    <t>2500 Lb Drop Box Winches</t>
  </si>
  <si>
    <t>DUTTON-LAINSON COMPANY</t>
  </si>
  <si>
    <t>2111-16-0025-1</t>
  </si>
  <si>
    <t>1500 Lb Drop Box Winches</t>
  </si>
  <si>
    <t>Peterbilt 320/McNeilus REL</t>
  </si>
  <si>
    <t>3BPZL70X0GF107386</t>
  </si>
  <si>
    <t>2111-16-0014-1</t>
  </si>
  <si>
    <t>P107386</t>
  </si>
  <si>
    <t>3BPZL70X1GF107185</t>
  </si>
  <si>
    <t>2111-16-0019-1</t>
  </si>
  <si>
    <t>P107185</t>
  </si>
  <si>
    <t>RWC GROUP</t>
  </si>
  <si>
    <t>2111-16-0021-1</t>
  </si>
  <si>
    <t>(104) Galaxy Tablets</t>
  </si>
  <si>
    <t>VERIZON</t>
  </si>
  <si>
    <t>MB5000004649712</t>
  </si>
  <si>
    <t>96 GAL YARD WASTE CARTS</t>
  </si>
  <si>
    <t>2111-16-0009-1</t>
  </si>
  <si>
    <t>(2) Wireless Winterms Maintenance Department</t>
  </si>
  <si>
    <t>CDW Direct</t>
  </si>
  <si>
    <t>2111-15-0025-1</t>
  </si>
  <si>
    <t>BPP5275</t>
  </si>
  <si>
    <t>Tennant</t>
  </si>
  <si>
    <t>2111-16-0002-1</t>
  </si>
  <si>
    <t>1998 Type HT C-C Trailer</t>
  </si>
  <si>
    <t>1D9CS5347WT360034</t>
  </si>
  <si>
    <t>INPUT FORMS</t>
  </si>
  <si>
    <t>LEX-13</t>
  </si>
  <si>
    <t>1D9CS534XWT360030</t>
  </si>
  <si>
    <t>LEX-4</t>
  </si>
  <si>
    <t>1D9CS534XWT360027</t>
  </si>
  <si>
    <t>LEX-3</t>
  </si>
  <si>
    <t>1D9CS5346WT360025</t>
  </si>
  <si>
    <t>LEX-5</t>
  </si>
  <si>
    <t>1D9CS534XWT360024</t>
  </si>
  <si>
    <t>LEX-1</t>
  </si>
  <si>
    <t>WA98190619</t>
  </si>
  <si>
    <t>LEX-6</t>
  </si>
  <si>
    <t>2111-15-0026-1</t>
  </si>
  <si>
    <t>BLX6158</t>
  </si>
  <si>
    <t>4 YD Containers (Green)</t>
  </si>
  <si>
    <t>2160-14-0005-1</t>
  </si>
  <si>
    <t>BENS CLEANER SALES, INC</t>
  </si>
  <si>
    <t>2111-15-0024-1</t>
  </si>
  <si>
    <t>Laptop and Desktop Memory Upgrade</t>
  </si>
  <si>
    <t>2111-15-0023-1</t>
  </si>
  <si>
    <t>BFM5615</t>
  </si>
  <si>
    <t>95-Gallon Recycle Cart</t>
  </si>
  <si>
    <t>WASTEQUIP LLC</t>
  </si>
  <si>
    <t>2160-15-0001-1</t>
  </si>
  <si>
    <t>4YD FEL Recycle Container</t>
  </si>
  <si>
    <t>WASTEQUIP</t>
  </si>
  <si>
    <t>2111-15-0014-1</t>
  </si>
  <si>
    <t>6 YD FEL Slant Top Containers</t>
  </si>
  <si>
    <t>INPUT FORM</t>
  </si>
  <si>
    <t>96 Gallon Yard Waste</t>
  </si>
  <si>
    <t>2111-15-0015-1</t>
  </si>
  <si>
    <t>Wastequip</t>
  </si>
  <si>
    <t>2111-15-0011-1</t>
  </si>
  <si>
    <t>(3) HP Probook 650 G1</t>
  </si>
  <si>
    <t>2111-15-0022-1</t>
  </si>
  <si>
    <t>VL59972</t>
  </si>
  <si>
    <t>3BPZL70X2GF100326</t>
  </si>
  <si>
    <t>2111-15-0004-1</t>
  </si>
  <si>
    <t>P100326</t>
  </si>
  <si>
    <t>96 GAL Recycle Carts</t>
  </si>
  <si>
    <t>2111-15-0016-1</t>
  </si>
  <si>
    <t>96 gal YW Bins - TOTER</t>
  </si>
  <si>
    <t>2111-15-0019-1</t>
  </si>
  <si>
    <t>SG90623</t>
  </si>
  <si>
    <t>(26) Winterms - Dell Wyse D10D Thin Client</t>
  </si>
  <si>
    <t>2111-15-0020-1</t>
  </si>
  <si>
    <t>SR16744</t>
  </si>
  <si>
    <t>(8) Winterms</t>
  </si>
  <si>
    <t>2000-15-0007-1</t>
  </si>
  <si>
    <t>SG27899</t>
  </si>
  <si>
    <t>Licensing for New FEL Truck</t>
  </si>
  <si>
    <t>3BPZL70X3DF187407</t>
  </si>
  <si>
    <t>2180-12-0001-1</t>
  </si>
  <si>
    <t>New 2013 Peterbilt 320 w/ Wittke Starlight - FEL</t>
  </si>
  <si>
    <t>Starlight</t>
  </si>
  <si>
    <t>0059962-IN</t>
  </si>
  <si>
    <t>Genie GS-1530 Man Lift</t>
  </si>
  <si>
    <t>GS3015A-141361</t>
  </si>
  <si>
    <t>Grainger</t>
  </si>
  <si>
    <t>Genie</t>
  </si>
  <si>
    <t>2111-14-0031-1</t>
  </si>
  <si>
    <t>Lift-1</t>
  </si>
  <si>
    <t>Winch - DL2500 DBL SPRING</t>
  </si>
  <si>
    <t>2111-14-0028-1</t>
  </si>
  <si>
    <t>4 Post - 18,500 lbs Truck Lift</t>
  </si>
  <si>
    <t>Kenworth Northwest, Inc.</t>
  </si>
  <si>
    <t>2111-14-0029-1</t>
  </si>
  <si>
    <t>L26637</t>
  </si>
  <si>
    <t>Peterbilt 340 Roll Off</t>
  </si>
  <si>
    <t>2NP3LN0X1CM159592</t>
  </si>
  <si>
    <t>AA Welding</t>
  </si>
  <si>
    <t>2140-13-0003-1</t>
  </si>
  <si>
    <t>12' Enclosed Utility Trailer</t>
  </si>
  <si>
    <t>575200F15EU257390</t>
  </si>
  <si>
    <t>FREEWAY TRAILER INC.</t>
  </si>
  <si>
    <t>Wells</t>
  </si>
  <si>
    <t>2111-14-0030-1</t>
  </si>
  <si>
    <t>ST-1</t>
  </si>
  <si>
    <t>Fife Facility Construction-TAX UOP Elevator</t>
  </si>
  <si>
    <t>2111-13-0012-1</t>
  </si>
  <si>
    <t>Fife Facility Construction-TAX UOP Fire Protection</t>
  </si>
  <si>
    <t>Fife Facility Construction-TAX UOP Electrical</t>
  </si>
  <si>
    <t>Fife Facility Construction-TAX UOP Plumbing</t>
  </si>
  <si>
    <t>Fife Facility Construction-TAX UOP HVAC</t>
  </si>
  <si>
    <t>3BPZL70X0FF265841</t>
  </si>
  <si>
    <t>Wayne Engineering</t>
  </si>
  <si>
    <t>2111-14-0006-1</t>
  </si>
  <si>
    <t>96 Gallon Recycle Carts (Grey)</t>
  </si>
  <si>
    <t>2111-14-0025-1</t>
  </si>
  <si>
    <t>KB 65352850</t>
  </si>
  <si>
    <t>Container Chassis Trailer</t>
  </si>
  <si>
    <t>1G9CH5342R1109011</t>
  </si>
  <si>
    <t>Chinook</t>
  </si>
  <si>
    <t>30 Yard Drop Box Container (Green)</t>
  </si>
  <si>
    <t>2111-14-0026-1</t>
  </si>
  <si>
    <t>Cap Repair - Transsmission - Truck #606</t>
  </si>
  <si>
    <t>Pacific Power Group</t>
  </si>
  <si>
    <t>2111-14-0007-1</t>
  </si>
  <si>
    <t>6395523-00</t>
  </si>
  <si>
    <t>2111-14-0024-1</t>
  </si>
  <si>
    <t>LA188219</t>
  </si>
  <si>
    <t>Sky Orb Safety System</t>
  </si>
  <si>
    <t>Ritz Safety, LLC</t>
  </si>
  <si>
    <t>2111-14-0022-1</t>
  </si>
  <si>
    <t>96 Gal Plastic Carts (Blue)</t>
  </si>
  <si>
    <t>2111-14-0023-1</t>
  </si>
  <si>
    <t>LA187691</t>
  </si>
  <si>
    <t>(3) Digi portServers - WasteWorks</t>
  </si>
  <si>
    <t>CAROLINA SOFTWARE</t>
  </si>
  <si>
    <t>2170-11-0007-1</t>
  </si>
  <si>
    <t>Waste Works Software Package</t>
  </si>
  <si>
    <t>Wyse Winterms D10D</t>
  </si>
  <si>
    <t>2000-14-0006-1</t>
  </si>
  <si>
    <t>Multiple beginning with K</t>
  </si>
  <si>
    <t>Metal Carport</t>
  </si>
  <si>
    <t>The Metal Mill</t>
  </si>
  <si>
    <t>Credit - Gray Carport</t>
  </si>
  <si>
    <t>Sarco Supply</t>
  </si>
  <si>
    <t>HP Probook 6570b (SN = 5CB2480VVM)</t>
  </si>
  <si>
    <t>4110-13-0007-1</t>
  </si>
  <si>
    <t>X578013</t>
  </si>
  <si>
    <t>Emergency Contact Signs</t>
  </si>
  <si>
    <t>Fast Signs</t>
  </si>
  <si>
    <t>182-38745</t>
  </si>
  <si>
    <t>2111-14-0013-1</t>
  </si>
  <si>
    <t>LA184473</t>
  </si>
  <si>
    <t>2111-14-0012-1</t>
  </si>
  <si>
    <t>KB 336832</t>
  </si>
  <si>
    <t>Evacuation Route Signs</t>
  </si>
  <si>
    <t>Fastsigns</t>
  </si>
  <si>
    <t>182-15251</t>
  </si>
  <si>
    <t>2014 Ford F450</t>
  </si>
  <si>
    <t>1FD0W4GT6EEA87012</t>
  </si>
  <si>
    <t>Ford</t>
  </si>
  <si>
    <t>2111-13-0003-1</t>
  </si>
  <si>
    <t>3BPZL70X4EF236986</t>
  </si>
  <si>
    <t>2111-13-0001-1</t>
  </si>
  <si>
    <t>Labor - New Fife Facility Design &amp; Construction</t>
  </si>
  <si>
    <t>RUSH DESIGN INC</t>
  </si>
  <si>
    <t>New Fife Facility Design &amp; Construction</t>
  </si>
  <si>
    <t>Bagreen Ellingson</t>
  </si>
  <si>
    <t>RUSH COMMERCIAL CONSTRUCT</t>
  </si>
  <si>
    <t>1.5 YD REL Containers (Green/Garbage)</t>
  </si>
  <si>
    <t>2111-13-0021-1</t>
  </si>
  <si>
    <t>City of Fife Community De</t>
  </si>
  <si>
    <t>DRA12-0004</t>
  </si>
  <si>
    <t>Walk-Behind Floor Scrubber (Model #5680)</t>
  </si>
  <si>
    <t>2111-13-0019-1</t>
  </si>
  <si>
    <t>FleetPride Truck &amp; Traile</t>
  </si>
  <si>
    <t xml:space="preserve">Pacific Welding Supplies </t>
  </si>
  <si>
    <t>PES ENVIRONMENTAL INC</t>
  </si>
  <si>
    <t>Fife Facility Design &amp; Construction</t>
  </si>
  <si>
    <t>Used 2006 Peterbilt Hooklift Truck</t>
  </si>
  <si>
    <t>2NPLHD6X16M631099</t>
  </si>
  <si>
    <t>Peterbilt 335</t>
  </si>
  <si>
    <t>Container Delivery Truck</t>
  </si>
  <si>
    <t>2160-10-0004-1</t>
  </si>
  <si>
    <t>145-2048</t>
  </si>
  <si>
    <t>RouteManager Conversion Site Licenses  and 3 Users for Tacoma</t>
  </si>
  <si>
    <t>WESTERN MICROSYSTEMS</t>
  </si>
  <si>
    <t>2170-11-0012-1</t>
  </si>
  <si>
    <t>Use Tax on RM Licenses</t>
  </si>
  <si>
    <t>Desert Micro</t>
  </si>
  <si>
    <t>2111-13-0007-1</t>
  </si>
  <si>
    <t>KB 328519</t>
  </si>
  <si>
    <t xml:space="preserve"> Planetaries - Rear, Left</t>
  </si>
  <si>
    <t>John Deere</t>
  </si>
  <si>
    <t>2170-12-0009-1</t>
  </si>
  <si>
    <t>34-203897-01</t>
  </si>
  <si>
    <t xml:space="preserve"> Planetaries - Rear, Right</t>
  </si>
  <si>
    <t>Planetaries - Front, Left</t>
  </si>
  <si>
    <t>STAR RENTALS INC</t>
  </si>
  <si>
    <t>Planetaries - Front, Right</t>
  </si>
  <si>
    <t xml:space="preserve"> Differential - Rear</t>
  </si>
  <si>
    <t xml:space="preserve"> Differential - Front</t>
  </si>
  <si>
    <t>Hydrostatic Transmission Drive Pump</t>
  </si>
  <si>
    <t>John Deere JD44J Loader - Transmission</t>
  </si>
  <si>
    <t>John Deere JD44J Loader - Engine</t>
  </si>
  <si>
    <t>2170-12-0008-1</t>
  </si>
  <si>
    <t>M861710</t>
  </si>
  <si>
    <t>cdw</t>
  </si>
  <si>
    <t>1010-12-0018-1</t>
  </si>
  <si>
    <t>D119983</t>
  </si>
  <si>
    <t>2011 318D John Deere Skid Steer</t>
  </si>
  <si>
    <t>1T0318DJPBG202551</t>
  </si>
  <si>
    <t>Skid Steer</t>
  </si>
  <si>
    <t>2170-11-0004-1</t>
  </si>
  <si>
    <t>133758 S</t>
  </si>
  <si>
    <t>318D</t>
  </si>
  <si>
    <t>2006 Sullair 185DPQ-JD Air Compressor</t>
  </si>
  <si>
    <t>United Rentals</t>
  </si>
  <si>
    <t>2170-11-0011-1</t>
  </si>
  <si>
    <t>92389554-001</t>
  </si>
  <si>
    <t>Air Compressor Fittings/Hoses</t>
  </si>
  <si>
    <t>Fleet Pride</t>
  </si>
  <si>
    <t>Fastenal</t>
  </si>
  <si>
    <t>WATA124913</t>
  </si>
  <si>
    <t>(10) Two-Way Radios</t>
  </si>
  <si>
    <t>BearCom Group, Inc.</t>
  </si>
  <si>
    <t>2170-10-0012-1</t>
  </si>
  <si>
    <t>4739772 SO 00020</t>
  </si>
  <si>
    <t>2001-2004 B&amp;O AUDIT-1999 Dodge Pickup</t>
  </si>
  <si>
    <t>JE# 74032 / JE# 78112</t>
  </si>
  <si>
    <t>1999 Dodge Pickup</t>
  </si>
  <si>
    <t>3B7KC26Z0XM527304</t>
  </si>
  <si>
    <t>DODGE</t>
  </si>
  <si>
    <t>UNB-01-4015-015</t>
  </si>
  <si>
    <t>2008 Hyster H50FT ForkLift</t>
  </si>
  <si>
    <t>L177B23274F</t>
  </si>
  <si>
    <t>Pape / Hyster</t>
  </si>
  <si>
    <t>2170-10-0009-1</t>
  </si>
  <si>
    <t>171741 S</t>
  </si>
  <si>
    <t>FL11</t>
  </si>
  <si>
    <t>2009 Mazda H50FT Forklift</t>
  </si>
  <si>
    <t>L177B19997E</t>
  </si>
  <si>
    <t>PAPE</t>
  </si>
  <si>
    <t>2170-9-0009-1</t>
  </si>
  <si>
    <t>168957S</t>
  </si>
  <si>
    <t>FL10</t>
  </si>
  <si>
    <t>(1) Drive Camera</t>
  </si>
  <si>
    <t>7.5 HP VERTICAL AIR COMPRESSOR</t>
  </si>
  <si>
    <t>AMB TOOL &amp; EQUIPMENT</t>
  </si>
  <si>
    <t>06-2170-002</t>
  </si>
  <si>
    <t>1996 Drop Deck Trailer (N)</t>
  </si>
  <si>
    <t>13N24620-0-T1573035</t>
  </si>
  <si>
    <t>Flat Bed Trailer</t>
  </si>
  <si>
    <t>Tacoma</t>
  </si>
  <si>
    <t>T-25</t>
  </si>
  <si>
    <t>PC w/ Monitor &amp; Printer</t>
  </si>
  <si>
    <t>S2UB411034B</t>
  </si>
  <si>
    <t>U042170008</t>
  </si>
  <si>
    <t>Sharp SF-2020 Copier w/RADF Feeder, 10 Bin Sorter, Stand</t>
  </si>
  <si>
    <t>Copier Maintenance Tech</t>
  </si>
  <si>
    <t>U-03-2170-005</t>
  </si>
  <si>
    <t>SO 2145</t>
  </si>
  <si>
    <t>1995 Magnum Terminal Tractor</t>
  </si>
  <si>
    <t>T1E4L1C0SC1AA2537</t>
  </si>
  <si>
    <t>03-2170-001</t>
  </si>
  <si>
    <t>YG-1</t>
  </si>
  <si>
    <t>1 - HP Laserjet 1100XI Printer</t>
  </si>
  <si>
    <t>SUSGN121644</t>
  </si>
  <si>
    <t>Insight</t>
  </si>
  <si>
    <t>00-2170-214</t>
  </si>
  <si>
    <t>Parts-Trailer 1004 Floor Repair</t>
  </si>
  <si>
    <t>4020-9-0033-1</t>
  </si>
  <si>
    <t>Labor-Walking Floor Repair-Trailer 1004</t>
  </si>
  <si>
    <t>2003 Roadrunner Trailer</t>
  </si>
  <si>
    <t>1W91H50253M077962</t>
  </si>
  <si>
    <t>Wilkens</t>
  </si>
  <si>
    <t>GreenTeam of San Jose</t>
  </si>
  <si>
    <t>Walking Floor Repair-Trl 1003-parts</t>
  </si>
  <si>
    <t>4020-9-0015-1</t>
  </si>
  <si>
    <t>Walking Floor Repair-Trl 1003-Labor</t>
  </si>
  <si>
    <t>1W91H50253M077961</t>
  </si>
  <si>
    <t>Replace trailer #1001 walking floor (parts)</t>
  </si>
  <si>
    <t>Wilkens Industries, Inc</t>
  </si>
  <si>
    <t>4020-10-0039-1</t>
  </si>
  <si>
    <t>Replace trailer #1001 walking floor (Labor)</t>
  </si>
  <si>
    <t>3 J Repair</t>
  </si>
  <si>
    <t>Replace Sub-Floor for Transfer Trailer 1001</t>
  </si>
  <si>
    <t>4020-11-0012-1</t>
  </si>
  <si>
    <t>1W91H50223M077934</t>
  </si>
  <si>
    <t>1W91H50223M077948</t>
  </si>
  <si>
    <t>2013 53 ft. Quad Axle Container Chassis</t>
  </si>
  <si>
    <t>1H9CC53453T347153</t>
  </si>
  <si>
    <t>Helm</t>
  </si>
  <si>
    <t>2111-13-0017-1</t>
  </si>
  <si>
    <t>1H9CC53433T347152</t>
  </si>
  <si>
    <t>2111-13-0016-1</t>
  </si>
  <si>
    <t>53 ft. Quad Axle Container Chassis</t>
  </si>
  <si>
    <t>1H9CC53413T347151</t>
  </si>
  <si>
    <t>2111-13-0015-1</t>
  </si>
  <si>
    <t>LA180039</t>
  </si>
  <si>
    <t>HP Probook 6470b (SN = CNU3159239) and Docking Station (SN = CNU309Z6N5)</t>
  </si>
  <si>
    <t>2111-13-0014-1</t>
  </si>
  <si>
    <t>CP70172</t>
  </si>
  <si>
    <t>2111-13-0006-1</t>
  </si>
  <si>
    <t>LA178771</t>
  </si>
  <si>
    <t>Cap Repair Transmission ReplacementTruck #154</t>
  </si>
  <si>
    <t>2140-13-0005-1</t>
  </si>
  <si>
    <t>6360807-00</t>
  </si>
  <si>
    <t>4-YD FEL WASTE Containers</t>
  </si>
  <si>
    <t>2111-13-0008-1</t>
  </si>
  <si>
    <t>6YD containers</t>
  </si>
  <si>
    <t>6YD Containers</t>
  </si>
  <si>
    <t>6YD Containers Murray</t>
  </si>
  <si>
    <t>1.5 RL NO LIFTBAR MURRAY WC</t>
  </si>
  <si>
    <t>2 yd containers</t>
  </si>
  <si>
    <t>Used 15,500 LB Forklift</t>
  </si>
  <si>
    <t>G006V04249D</t>
  </si>
  <si>
    <t>HYSTER</t>
  </si>
  <si>
    <t>2111-13-0013-1</t>
  </si>
  <si>
    <t>2C</t>
  </si>
  <si>
    <t>2yd containers</t>
  </si>
  <si>
    <t>1yd containers</t>
  </si>
  <si>
    <t>Misc. Repairs/Additions to 2000 Freightliner Tract</t>
  </si>
  <si>
    <t>1FUPCXYB4YPB09094</t>
  </si>
  <si>
    <t>SW670001352</t>
  </si>
  <si>
    <t>SW670001362</t>
  </si>
  <si>
    <t>016-9696479</t>
  </si>
  <si>
    <t>Extended Warranty for Automated Truck</t>
  </si>
  <si>
    <t>02-2040-015</t>
  </si>
  <si>
    <t>0047641-IN</t>
  </si>
  <si>
    <t>Freightliner Classic Road Tractor</t>
  </si>
  <si>
    <t>Freightliner</t>
  </si>
  <si>
    <t>2001 FREIGHTLINER TRUCK (PART OF FAS# 102347)</t>
  </si>
  <si>
    <t>1FUJALAY01PH89388</t>
  </si>
  <si>
    <t>02-2040-016</t>
  </si>
  <si>
    <t>Engine for truck #60</t>
  </si>
  <si>
    <t>2040-8-0007-1</t>
  </si>
  <si>
    <t>60C</t>
  </si>
  <si>
    <t>Manual Side Loader Body</t>
  </si>
  <si>
    <t>5VCACSKE7AH211525</t>
  </si>
  <si>
    <t>2131-10-0006-1</t>
  </si>
  <si>
    <t>0046757-IN</t>
  </si>
  <si>
    <t>Autocar Expeditor Manual Sideload</t>
  </si>
  <si>
    <t>Autocar ACX</t>
  </si>
  <si>
    <t>S/L Truck</t>
  </si>
  <si>
    <t>1XPFDB9X16D643838</t>
  </si>
  <si>
    <t>Peterbilt 378</t>
  </si>
  <si>
    <t>2111-10-0014-1</t>
  </si>
  <si>
    <t>915-1491</t>
  </si>
  <si>
    <t>Use Tax on Used Transfer Tractor #181</t>
  </si>
  <si>
    <t>1XPFD49X07D690100</t>
  </si>
  <si>
    <t>2111-9-0019-1</t>
  </si>
  <si>
    <t>T-5224</t>
  </si>
  <si>
    <t>2007 Peterbilt Transfer Tractor - Used</t>
  </si>
  <si>
    <t>2111-8-0035-1</t>
  </si>
  <si>
    <t>915-1751</t>
  </si>
  <si>
    <t>Auto Tarper for Truck #154</t>
  </si>
  <si>
    <t>1NPZL50X1WD710799</t>
  </si>
  <si>
    <t>Murreys Disposal</t>
  </si>
  <si>
    <t>Engine Replacement #182 S/N79060575</t>
  </si>
  <si>
    <t>Wholesale Truck Parts</t>
  </si>
  <si>
    <t>2140-11-0011-1</t>
  </si>
  <si>
    <t>Peterbilt 378 Road Tractor</t>
  </si>
  <si>
    <t>1XPFD49X55D847651</t>
  </si>
  <si>
    <t>2140-9-0011-1</t>
  </si>
  <si>
    <t>915-1196</t>
  </si>
  <si>
    <t>FLUP-Truck 5583</t>
  </si>
  <si>
    <t>2182-8-0002-1</t>
  </si>
  <si>
    <t>RL Body for Vin# 203512</t>
  </si>
  <si>
    <t>5VCH36PE56H203512</t>
  </si>
  <si>
    <t>06-2111-002</t>
  </si>
  <si>
    <t>2006 Autocar Chassis REL</t>
  </si>
  <si>
    <t>New 2013 Peterbilt 320 W/ Wayne Curtender Body - ASL</t>
  </si>
  <si>
    <t>3BPZL70X8DF184325</t>
  </si>
  <si>
    <t>2111-12-0004-1</t>
  </si>
  <si>
    <t>City of Fife</t>
  </si>
  <si>
    <t>2111-12-0021-1</t>
  </si>
  <si>
    <t>95 Gallon Resi Refuse Carts</t>
  </si>
  <si>
    <t>M281132 - M281617</t>
  </si>
  <si>
    <t>2111-12-0018-1</t>
  </si>
  <si>
    <t>LA171498</t>
  </si>
  <si>
    <t>1010-12-0021-1</t>
  </si>
  <si>
    <t>J787178</t>
  </si>
  <si>
    <t>Fife Transfer station - electric</t>
  </si>
  <si>
    <t>Meridian Center Electric</t>
  </si>
  <si>
    <t>2111-12-0019-1</t>
  </si>
  <si>
    <t>230965CR</t>
  </si>
  <si>
    <t>electric work on transfer station upgrade</t>
  </si>
  <si>
    <t>2111-11-0025-1</t>
  </si>
  <si>
    <t>Fife T station upgrade - lamp towers</t>
  </si>
  <si>
    <t>Star Rentals</t>
  </si>
  <si>
    <t>31-088707-08</t>
  </si>
  <si>
    <t>T Station upgrade - generator</t>
  </si>
  <si>
    <t>31-088706-06</t>
  </si>
  <si>
    <t>fife T station upgrade - wobble lights</t>
  </si>
  <si>
    <t>31-090905-04</t>
  </si>
  <si>
    <t>TS Upgrades - Labor for Ramp Repairs</t>
  </si>
  <si>
    <t>Meridian Center Electric,</t>
  </si>
  <si>
    <t>Fife T station - prewash</t>
  </si>
  <si>
    <t>AABERGS TOOL AND EQUIPMEN</t>
  </si>
  <si>
    <t>01-150189-10</t>
  </si>
  <si>
    <t>fife T Station Breaker Box</t>
  </si>
  <si>
    <t>MERIDIAN CENTER ELECTRIC</t>
  </si>
  <si>
    <t>Murrey's Transfer Station - Upgrades</t>
  </si>
  <si>
    <t>TS Upgrades - Construction Completion</t>
  </si>
  <si>
    <t>TS Upgrades - Construction</t>
  </si>
  <si>
    <t>31-088707-07</t>
  </si>
  <si>
    <t>TS Upgrades Permits &amp; Surveying</t>
  </si>
  <si>
    <t>2111-11-0024-1</t>
  </si>
  <si>
    <t>11/116-1</t>
  </si>
  <si>
    <t>Fife T station upgrade - electric work</t>
  </si>
  <si>
    <t>Fife T station - materials</t>
  </si>
  <si>
    <t>Fife T Station - new fixtures</t>
  </si>
  <si>
    <t>Fife T station upgrade - circuits</t>
  </si>
  <si>
    <t>New 2012 Peterbilt FEL w/ Wittke Starlight Body</t>
  </si>
  <si>
    <t>3BPZL70X1CF154758</t>
  </si>
  <si>
    <t>Wittke</t>
  </si>
  <si>
    <t>2111-11-0001-1</t>
  </si>
  <si>
    <t>Sony Internet TV S/N# S018064204A</t>
  </si>
  <si>
    <t>1010-11-0048-1</t>
  </si>
  <si>
    <t>C562794</t>
  </si>
  <si>
    <t>(1) Sony Internet TV S/N# S018064205B</t>
  </si>
  <si>
    <t>C562790</t>
  </si>
  <si>
    <t>(6) DriveCam Units</t>
  </si>
  <si>
    <t>2111-11-0023-1</t>
  </si>
  <si>
    <t>JALE5W168C7300344</t>
  </si>
  <si>
    <t>Recycle Truck</t>
  </si>
  <si>
    <t>2111-11-0004-1</t>
  </si>
  <si>
    <t>6 Yard FEL Containers - Green</t>
  </si>
  <si>
    <t>2111-11-0011-1</t>
  </si>
  <si>
    <t>6 Yard FEL Containers - Tan</t>
  </si>
  <si>
    <t>2111-11-0026-1</t>
  </si>
  <si>
    <t>1.5 Yard REL Garbage Container -- Green</t>
  </si>
  <si>
    <t>2111-11-0013-1</t>
  </si>
  <si>
    <t>1.5 Yard REL Garbage Containers -- Green</t>
  </si>
  <si>
    <t>HP Pro 3130 PC (SN = SMXL11609TB)</t>
  </si>
  <si>
    <t>2111-11-0028-1</t>
  </si>
  <si>
    <t>ZSM6328</t>
  </si>
  <si>
    <t>95 Gallon Carts - Dark Aqua Blue</t>
  </si>
  <si>
    <t>2111-11-0010-1</t>
  </si>
  <si>
    <t>LA165209</t>
  </si>
  <si>
    <t>Truck 185 Wet Kit for Used Transfer Tractor</t>
  </si>
  <si>
    <t>1XPFDB9X75D874502</t>
  </si>
  <si>
    <t>2111-11-0005-1</t>
  </si>
  <si>
    <t>Used 2005 Peterbilt 378 Tractor</t>
  </si>
  <si>
    <t>915-1347</t>
  </si>
  <si>
    <t>95 Gallon YW Carts - Dark Blue</t>
  </si>
  <si>
    <t>2111-11-0009-1</t>
  </si>
  <si>
    <t>LA164422</t>
  </si>
  <si>
    <t>LA164282</t>
  </si>
  <si>
    <t>95 Gallon Recycling Carts - Grey</t>
  </si>
  <si>
    <t>LA164281</t>
  </si>
  <si>
    <t>2 Yard Bear Proof REL Containers</t>
  </si>
  <si>
    <t>ENTERPRISE SALES, INC</t>
  </si>
  <si>
    <t>2111-11-0021-1</t>
  </si>
  <si>
    <t>RouteManager Licenses 2 Users for Murreys</t>
  </si>
  <si>
    <t>(11) Drive Cam Units</t>
  </si>
  <si>
    <t>2111-10-0033-1</t>
  </si>
  <si>
    <t>1Yard REL Waste Containers - Additional Funds</t>
  </si>
  <si>
    <t>2111-10-0032-3</t>
  </si>
  <si>
    <t>1Yard REL Waste Containers</t>
  </si>
  <si>
    <t>2111-10-0032-1</t>
  </si>
  <si>
    <t>2Yard REL Containers</t>
  </si>
  <si>
    <t>2111-10-0032-2</t>
  </si>
  <si>
    <t>2111-10-0004-1</t>
  </si>
  <si>
    <t>LA160309</t>
  </si>
  <si>
    <t>Used Tire Machine</t>
  </si>
  <si>
    <t>GCR TACOMA TIRE CENTER</t>
  </si>
  <si>
    <t>2111-10-0031-1</t>
  </si>
  <si>
    <t>Inframe Repair Trk#169</t>
  </si>
  <si>
    <t>2111-10-0005-1</t>
  </si>
  <si>
    <t>2YD REL Containers</t>
  </si>
  <si>
    <t>2111-10-0027-3</t>
  </si>
  <si>
    <t>Rounding for (11) 2YD REL Containers</t>
  </si>
  <si>
    <t>2111-10-0027-1</t>
  </si>
  <si>
    <t>2111-10-0027-2</t>
  </si>
  <si>
    <t>2111-10-0026-3</t>
  </si>
  <si>
    <t>4Yard FEL Containers</t>
  </si>
  <si>
    <t>HP Pro 3000 PC (SN= SMXL0270ZCC)</t>
  </si>
  <si>
    <t>2111-10-0030-1</t>
  </si>
  <si>
    <t>TRG6829</t>
  </si>
  <si>
    <t>(6) Drive Cam August Installation</t>
  </si>
  <si>
    <t>DRIVECAM</t>
  </si>
  <si>
    <t>2111-10-0029-1</t>
  </si>
  <si>
    <t>(2) Drive Cam August Installation</t>
  </si>
  <si>
    <t>(2) Drive Cam  July Installation</t>
  </si>
  <si>
    <t>Preco Radar Back Up - Pilot Program</t>
  </si>
  <si>
    <t>Preco Electronics</t>
  </si>
  <si>
    <t>1010-10-0005-1</t>
  </si>
  <si>
    <t>Final Payment for new phone system at Murreys</t>
  </si>
  <si>
    <t>Gaynor Telesystems</t>
  </si>
  <si>
    <t>2111-10-0023-1</t>
  </si>
  <si>
    <t>INV000014686F</t>
  </si>
  <si>
    <t>Sales/Use Tax on 1999 Shred Truck</t>
  </si>
  <si>
    <t>1G8J6H1C18J04724</t>
  </si>
  <si>
    <t>11/0835</t>
  </si>
  <si>
    <t>Chevrolet Kodiak Container Delivery Truck</t>
  </si>
  <si>
    <t>1GBJ6H1C1XJ107724</t>
  </si>
  <si>
    <t>Fort Mac - Les Billett</t>
  </si>
  <si>
    <t>C-3</t>
  </si>
  <si>
    <t>2YD FEL Containers - painted safety orange</t>
  </si>
  <si>
    <t>2111-10-0026-2</t>
  </si>
  <si>
    <t>1Yard REL Containers</t>
  </si>
  <si>
    <t>2111-10-0026-1</t>
  </si>
  <si>
    <t>95 GAL Grey Comingle Toters</t>
  </si>
  <si>
    <t>2111-10-0002-1</t>
  </si>
  <si>
    <t>LA155911</t>
  </si>
  <si>
    <t>2Yard REL Container</t>
  </si>
  <si>
    <t>Used 2007 F150 Supervisor Truck</t>
  </si>
  <si>
    <t>1FTRW14W87KC33892</t>
  </si>
  <si>
    <t>Ford, F-150</t>
  </si>
  <si>
    <t>2111-10-0025-1</t>
  </si>
  <si>
    <t>VIN#C33892</t>
  </si>
  <si>
    <t>Panasonic Toughbook CF-52 SN %0BTSA10091</t>
  </si>
  <si>
    <t>2111-10-0028-1</t>
  </si>
  <si>
    <t>SNH2255</t>
  </si>
  <si>
    <t>Payment for Murreys new phone system</t>
  </si>
  <si>
    <t>INV000014686</t>
  </si>
  <si>
    <t>Commercial Yard Lawn Mower</t>
  </si>
  <si>
    <t>RON JONES POWER EQUIPMENT</t>
  </si>
  <si>
    <t>2111-10-0012-1</t>
  </si>
  <si>
    <t>Use tax 9.3% on RM License</t>
  </si>
  <si>
    <t>2111-10-0024-1</t>
  </si>
  <si>
    <t>Installment payment for Murreys 2111 Phone System</t>
  </si>
  <si>
    <t>INV000014583</t>
  </si>
  <si>
    <t>1 RouteManager User Licenses for 2111 Murreys</t>
  </si>
  <si>
    <t>New 2010 Ford E350 Med Waste Van</t>
  </si>
  <si>
    <t>1FDWE3FL3ADA13202</t>
  </si>
  <si>
    <t>Ford E320</t>
  </si>
  <si>
    <t>Panel Van</t>
  </si>
  <si>
    <t>2111-10-0019-1</t>
  </si>
  <si>
    <t>VIN#A13202</t>
  </si>
  <si>
    <t>M-1</t>
  </si>
  <si>
    <t>4 Yd Drop Boxes w/ Open Top</t>
  </si>
  <si>
    <t>02-2160-002</t>
  </si>
  <si>
    <t>20yd Boxes</t>
  </si>
  <si>
    <t>11232-11235</t>
  </si>
  <si>
    <t>99-2111-0861</t>
  </si>
  <si>
    <t>30 yd</t>
  </si>
  <si>
    <t>DM Disposal Port Angelas</t>
  </si>
  <si>
    <t>Down Payment for Phone System at 2111</t>
  </si>
  <si>
    <t>INV000014125</t>
  </si>
  <si>
    <t>New 2009 Container Delivery Trk#C2</t>
  </si>
  <si>
    <t>1GDK7F1B29F400560</t>
  </si>
  <si>
    <t>same as below(change P/C)</t>
  </si>
  <si>
    <t>2111-10-0016-1</t>
  </si>
  <si>
    <t>0043697-IN</t>
  </si>
  <si>
    <t xml:space="preserve"> C2</t>
  </si>
  <si>
    <t>New 2009 GMC T7500 Container Deliver Trk# C2</t>
  </si>
  <si>
    <t>GMC T7500</t>
  </si>
  <si>
    <t>FEL 6 Yard Containers</t>
  </si>
  <si>
    <t>2111-9-0013-1</t>
  </si>
  <si>
    <t>REL 2 Yard Containers</t>
  </si>
  <si>
    <t>2111-9-0016-1</t>
  </si>
  <si>
    <t>96 gallon Yard Waste Carts-Blue</t>
  </si>
  <si>
    <t>2111-9-0011-1</t>
  </si>
  <si>
    <t>KB256069</t>
  </si>
  <si>
    <t>96 Gallon Grey Comingle Carts</t>
  </si>
  <si>
    <t>2111-9-0012-1</t>
  </si>
  <si>
    <t>KB254019</t>
  </si>
  <si>
    <t>96 gallon Grey Comingle Carts</t>
  </si>
  <si>
    <t>KB251803</t>
  </si>
  <si>
    <t>Start Up Filters for Shop Compressor</t>
  </si>
  <si>
    <t>ATLAS COPCO COMPRESSORS L</t>
  </si>
  <si>
    <t>2111-9-0008-1</t>
  </si>
  <si>
    <t>25Hp Shop Air Compressor</t>
  </si>
  <si>
    <t>447440-01</t>
  </si>
  <si>
    <t>McNeilus Credit for Invoice #317172</t>
  </si>
  <si>
    <t>1HTWCAZR07J461473</t>
  </si>
  <si>
    <t>07-3031-429</t>
  </si>
  <si>
    <t>CM19993</t>
  </si>
  <si>
    <t>2009 IHC 7400 REL</t>
  </si>
  <si>
    <t>International</t>
  </si>
  <si>
    <t>Use Tax difference on Trk#907 to WA</t>
  </si>
  <si>
    <t>3BPZL00X78F71844</t>
  </si>
  <si>
    <t>2111-9-0020-1</t>
  </si>
  <si>
    <t>Trk#907</t>
  </si>
  <si>
    <t>96 Gallon YW Carts - Dark Aqua Blue</t>
  </si>
  <si>
    <t>LA149017R</t>
  </si>
  <si>
    <t>95 Gallon Dark Aqua Blue YW Carts</t>
  </si>
  <si>
    <t>LA148805</t>
  </si>
  <si>
    <t>Use Tax 2009 Murrey's REL Truck #620</t>
  </si>
  <si>
    <t>2111-9-0002-1</t>
  </si>
  <si>
    <t>Auto Tarper for Truck #406</t>
  </si>
  <si>
    <t>2111-8-0008</t>
  </si>
  <si>
    <t>2111-8-0008-1</t>
  </si>
  <si>
    <t>2008 Peterbilt FEL Truck #907</t>
  </si>
  <si>
    <t>3BPZL00X78F718444</t>
  </si>
  <si>
    <t>1010-8-0027-1</t>
  </si>
  <si>
    <t>Transmisson Overhaul</t>
  </si>
  <si>
    <t>2111-8-0019-1</t>
  </si>
  <si>
    <t>In-House Labor on Truck #158</t>
  </si>
  <si>
    <t>In-House Labor #158</t>
  </si>
  <si>
    <t>Service Truck Up-Lift Body #126</t>
  </si>
  <si>
    <t>1FDXF46R78ED24860</t>
  </si>
  <si>
    <t>2111-8-0017-1</t>
  </si>
  <si>
    <t>2008 53' Walking Floor Trailer #WF-15</t>
  </si>
  <si>
    <t>48XAR534691006690</t>
  </si>
  <si>
    <t>Travis S-102WF</t>
  </si>
  <si>
    <t>Travis</t>
  </si>
  <si>
    <t>2111-8-0003-1</t>
  </si>
  <si>
    <t>2111-8-0029-3</t>
  </si>
  <si>
    <t>2111-8-0029-1</t>
  </si>
  <si>
    <t>In House Labor for Grizzly Install</t>
  </si>
  <si>
    <t>2111 In House Labor</t>
  </si>
  <si>
    <t>HP 6710b Notebook SN SCNU8377S80 &amp; Docking Station SN SCNU833XF5Q</t>
  </si>
  <si>
    <t>2111-8-0034-1</t>
  </si>
  <si>
    <t>LXC9897</t>
  </si>
  <si>
    <t>96 Gallon Seahawk Granite Carts</t>
  </si>
  <si>
    <t>2111-8-0007-1</t>
  </si>
  <si>
    <t>KB 232819</t>
  </si>
  <si>
    <t>KB 232818</t>
  </si>
  <si>
    <t>Install Auto Greaser System</t>
  </si>
  <si>
    <t>2111-8-0005-1</t>
  </si>
  <si>
    <t>024/40006237</t>
  </si>
  <si>
    <t>Electrical System for Grizzly</t>
  </si>
  <si>
    <t>Compactor</t>
  </si>
  <si>
    <t>2111-8-0029-5</t>
  </si>
  <si>
    <t>4YD FEL Container</t>
  </si>
  <si>
    <t>2111-8-0029-4</t>
  </si>
  <si>
    <t>Walking Floor Trailer #WF14</t>
  </si>
  <si>
    <t>48XAR534991006537</t>
  </si>
  <si>
    <t xml:space="preserve"> Other</t>
  </si>
  <si>
    <t>2111-8-0002-1</t>
  </si>
  <si>
    <t>New Grizzly</t>
  </si>
  <si>
    <t>HP 6710b Notebook SN SCNU8310DX1 and Docking Station SN SCNU819XX76</t>
  </si>
  <si>
    <t>2111-8-0031-1</t>
  </si>
  <si>
    <t>LKQ1062</t>
  </si>
  <si>
    <t>215SW</t>
  </si>
  <si>
    <t>GL1</t>
  </si>
  <si>
    <t>2008 F450 S-DTY Shop Truck</t>
  </si>
  <si>
    <t>Ford F450</t>
  </si>
  <si>
    <t>VIN# D24860</t>
  </si>
  <si>
    <t>Peterbilt 320/McNeilus Autoreach ASL</t>
  </si>
  <si>
    <t>3BPZL00X28F718481</t>
  </si>
  <si>
    <t>2111-8-0015-1</t>
  </si>
  <si>
    <t>2111 Installation (12) Drive Cams</t>
  </si>
  <si>
    <t>2111-8-0030-1</t>
  </si>
  <si>
    <t>4042025-IN</t>
  </si>
  <si>
    <t>Plumb Signs--never constructed/void check</t>
  </si>
  <si>
    <t>07-2111-417</t>
  </si>
  <si>
    <t>DB00053103</t>
  </si>
  <si>
    <t>95 Gal Commingle Carts Load#2</t>
  </si>
  <si>
    <t>LA141299</t>
  </si>
  <si>
    <t>95 Gal Yardwaste Carts</t>
  </si>
  <si>
    <t>2111-8-0006-1</t>
  </si>
  <si>
    <t>LA141445</t>
  </si>
  <si>
    <t>LA141444</t>
  </si>
  <si>
    <t>(37) Drive Cameras</t>
  </si>
  <si>
    <t>Qty (1) Drive Cameras</t>
  </si>
  <si>
    <t>4041629-IN</t>
  </si>
  <si>
    <t>SCHAEFER SYSTEMS INTERNAT</t>
  </si>
  <si>
    <t>WARA123865</t>
  </si>
  <si>
    <t>95 Gal Commingle Carts</t>
  </si>
  <si>
    <t>LA140269</t>
  </si>
  <si>
    <t>Murrey's Transfer Station -Paving</t>
  </si>
  <si>
    <t>6YD Front Load Containers</t>
  </si>
  <si>
    <t>2111-8-0027-1</t>
  </si>
  <si>
    <t>95 GAL Cart w/ Snap Wheel</t>
  </si>
  <si>
    <t>07-2111-018</t>
  </si>
  <si>
    <t>WARA123831</t>
  </si>
  <si>
    <t>1.5YD REL</t>
  </si>
  <si>
    <t>07-2111-022</t>
  </si>
  <si>
    <t>2007 REL Truck VIN# 461473 (body)</t>
  </si>
  <si>
    <t>07-2111-026</t>
  </si>
  <si>
    <t>NEW TORCH DOWN ROOF</t>
  </si>
  <si>
    <t>ROGER BRATSCH</t>
  </si>
  <si>
    <t>07-2111-422</t>
  </si>
  <si>
    <t>JOB -101207</t>
  </si>
  <si>
    <t>07-2111-012</t>
  </si>
  <si>
    <t>LA136603</t>
  </si>
  <si>
    <t>53' Walking Floor Trailer</t>
  </si>
  <si>
    <t>48XAR534981005970</t>
  </si>
  <si>
    <t>07-2111-020</t>
  </si>
  <si>
    <t>07-2111-005</t>
  </si>
  <si>
    <t>LA136052</t>
  </si>
  <si>
    <t>LA136051</t>
  </si>
  <si>
    <t>Murrey's Retention Pond</t>
  </si>
  <si>
    <t>Murrey's Transfer Station</t>
  </si>
  <si>
    <t>Labor and Material - Garage Door and Wall</t>
  </si>
  <si>
    <t>Internal Conversion Costs</t>
  </si>
  <si>
    <t>02-1010-024</t>
  </si>
  <si>
    <t>02-1010-017</t>
  </si>
  <si>
    <t>WESTERN SYSTEMS &amp; FABRICA</t>
  </si>
  <si>
    <t>07-18979</t>
  </si>
  <si>
    <t>07-2111-010</t>
  </si>
  <si>
    <t>Roofing Materials</t>
  </si>
  <si>
    <t>9017511-00</t>
  </si>
  <si>
    <t>Shop &amp; Building Improvements</t>
  </si>
  <si>
    <t>HP LAPTOP &amp; DOCKING STATION</t>
  </si>
  <si>
    <t>07-2111-421</t>
  </si>
  <si>
    <t>FWC1249</t>
  </si>
  <si>
    <t>SIGNAGE FOR RECEPTION AREA</t>
  </si>
  <si>
    <t>PLUMB SIGNS INC</t>
  </si>
  <si>
    <t>1128B</t>
  </si>
  <si>
    <t>07-2111-001</t>
  </si>
  <si>
    <t>07-2111-003</t>
  </si>
  <si>
    <t>07-2111-002</t>
  </si>
  <si>
    <t>07-2111-017</t>
  </si>
  <si>
    <t>LA132784</t>
  </si>
  <si>
    <t>07-2111-007</t>
  </si>
  <si>
    <t>07-18316</t>
  </si>
  <si>
    <t>07-18294</t>
  </si>
  <si>
    <t>06-2111-015</t>
  </si>
  <si>
    <t>KB 191373</t>
  </si>
  <si>
    <t>( 0) Carts OTHER</t>
  </si>
  <si>
    <t>07-2111-011</t>
  </si>
  <si>
    <t>KB 197358</t>
  </si>
  <si>
    <t>KB 197340</t>
  </si>
  <si>
    <t>07-2111-008</t>
  </si>
  <si>
    <t>07-2111-004</t>
  </si>
  <si>
    <t>KB 195562</t>
  </si>
  <si>
    <t>2006 FORD F150 PICKUP  #5</t>
  </si>
  <si>
    <t>1FTRF12256NB00309</t>
  </si>
  <si>
    <t>Ford F150</t>
  </si>
  <si>
    <t>06-2132-003</t>
  </si>
  <si>
    <t>RECEPTION AREA FURNITURE</t>
  </si>
  <si>
    <t>06-2111-410</t>
  </si>
  <si>
    <t>ASPHALT PATCH OVER NEW SEPTIC</t>
  </si>
  <si>
    <t>KEITH KOVALENKO</t>
  </si>
  <si>
    <t>06-2111-411</t>
  </si>
  <si>
    <t>06-2111-018</t>
  </si>
  <si>
    <t>06-2111-014</t>
  </si>
  <si>
    <t>06-2111-012</t>
  </si>
  <si>
    <t>FURNITURE -  50% DOWN PAYMENT</t>
  </si>
  <si>
    <t>ACTION BUSINESS FURNITRUE</t>
  </si>
  <si>
    <t>QUOTE</t>
  </si>
  <si>
    <t>96 Gallon Carts</t>
  </si>
  <si>
    <t>06-2111-011</t>
  </si>
  <si>
    <t>KB 189835</t>
  </si>
  <si>
    <t>1700 GAL SEPTIC HOLDING TANK</t>
  </si>
  <si>
    <t>ACCLAIM PLUMBING &amp; DRAIN,</t>
  </si>
  <si>
    <t>20yd</t>
  </si>
  <si>
    <t>06-2111-009</t>
  </si>
  <si>
    <t>06-2111-007</t>
  </si>
  <si>
    <t>95 Gallon Schaffer Carts</t>
  </si>
  <si>
    <t>06-2111-020</t>
  </si>
  <si>
    <t>06-16845</t>
  </si>
  <si>
    <t>FINAL BILL FOR TENANT IMPROVEMENTS</t>
  </si>
  <si>
    <t>SUPERIOR BUILDERS INC</t>
  </si>
  <si>
    <t>06-2111-017</t>
  </si>
  <si>
    <t>06-2111-010</t>
  </si>
  <si>
    <t>06-16292</t>
  </si>
  <si>
    <t>TENANT IMPROVEMENTS</t>
  </si>
  <si>
    <t>9022A</t>
  </si>
  <si>
    <t>06-2111-408</t>
  </si>
  <si>
    <t>PAINT BOOTH REPAIRS</t>
  </si>
  <si>
    <t>MC CLOSKEY CONSTRUCTION</t>
  </si>
  <si>
    <t>06-2111-405</t>
  </si>
  <si>
    <t>DM 4</t>
  </si>
  <si>
    <t>06-2111-019</t>
  </si>
  <si>
    <t>KB 184348</t>
  </si>
  <si>
    <t>UNKNOWN</t>
  </si>
  <si>
    <t>96 GA Carts - Assembly &amp; Delivery</t>
  </si>
  <si>
    <t>06-2140-401</t>
  </si>
  <si>
    <t>KB 176846</t>
  </si>
  <si>
    <t>KB 176336</t>
  </si>
  <si>
    <t>96 GA EVR II Univ Carts-Seahawk Granite</t>
  </si>
  <si>
    <t>KB 175840</t>
  </si>
  <si>
    <t>96 GA EVR II Univ Carts w/ Lids-Seahawk Granite</t>
  </si>
  <si>
    <t>KB 176040</t>
  </si>
  <si>
    <t>KB 175980</t>
  </si>
  <si>
    <t>KB 175897</t>
  </si>
  <si>
    <t>KB 176167</t>
  </si>
  <si>
    <t>KB 175971</t>
  </si>
  <si>
    <t>KB 176335</t>
  </si>
  <si>
    <t>KB 176108</t>
  </si>
  <si>
    <t>Sales Tax 96 Gal Carts on Inv KB 176265, KB 176286, KB 176287</t>
  </si>
  <si>
    <t>KB 176849</t>
  </si>
  <si>
    <t>KB 175925</t>
  </si>
  <si>
    <t>06-2111-016</t>
  </si>
  <si>
    <t>30 YD Green</t>
  </si>
  <si>
    <t>06-2111-008</t>
  </si>
  <si>
    <t>30% DOWN ON PAINT ROOM REPAIR</t>
  </si>
  <si>
    <t>DM 3</t>
  </si>
  <si>
    <t>LIDS FOR 96G EVR II</t>
  </si>
  <si>
    <t>06-2111-404</t>
  </si>
  <si>
    <t>KB 176283</t>
  </si>
  <si>
    <t>96 GAL EVR II UNIV CART-SEAHAWK GRANITE</t>
  </si>
  <si>
    <t>KB 176265</t>
  </si>
  <si>
    <t>Schaefer USD-95B Blue Carts w/wheels</t>
  </si>
  <si>
    <t>06-2111-005</t>
  </si>
  <si>
    <t>06-15202</t>
  </si>
  <si>
    <t>2 YD REL Containers w/ Lids &amp; Wheels/Skid Plates</t>
  </si>
  <si>
    <t>06-2111-004</t>
  </si>
  <si>
    <t>KB 176288</t>
  </si>
  <si>
    <t>KB 176286</t>
  </si>
  <si>
    <t>KB 176287</t>
  </si>
  <si>
    <t>KB 177234</t>
  </si>
  <si>
    <t>KB 177235</t>
  </si>
  <si>
    <t>7FL-60 6YD Cathedral Container - Murrey</t>
  </si>
  <si>
    <t>Flatbed for 2005 Peterbilt 330 CD Truck</t>
  </si>
  <si>
    <t>CD 06751</t>
  </si>
  <si>
    <t>c-1</t>
  </si>
  <si>
    <t>95 Gal. NB Cart w/lids</t>
  </si>
  <si>
    <t>270737-271168</t>
  </si>
  <si>
    <t>U052111031</t>
  </si>
  <si>
    <t>LA121678</t>
  </si>
  <si>
    <t>1 Yd FEL Containers</t>
  </si>
  <si>
    <t>30 Yd Structual Dropbox w/ Door-18' Screen Lid</t>
  </si>
  <si>
    <t>30 Yd Structual Dropbox w/ Door-18' ScreenLid</t>
  </si>
  <si>
    <t>2001-2004 B&amp;O AUDIT-HP Laserjet Printer</t>
  </si>
  <si>
    <t>JE# 78112</t>
  </si>
  <si>
    <t>2001-2004 B&amp;O AUDIT-RM Conversion</t>
  </si>
  <si>
    <t>2001-2004 B&amp;O AUDIT-(13) Winterms</t>
  </si>
  <si>
    <t>2001-2004 B&amp;O AUDIT-Hardware for PA</t>
  </si>
  <si>
    <t>2001-2004 B&amp;O AUDIT-Phone for PARM Conv.</t>
  </si>
  <si>
    <t>JE# 78112b</t>
  </si>
  <si>
    <t>2001-2004 B&amp;O AUDIT-CFA Software</t>
  </si>
  <si>
    <t>2001-2004 B&amp;O AUDIT-Software RM Convrsn</t>
  </si>
  <si>
    <t>Western Systems &amp; Fabrica</t>
  </si>
  <si>
    <t>05-13813</t>
  </si>
  <si>
    <t>6 YD F/L Cathedral Containers w/ Plastic Lids</t>
  </si>
  <si>
    <t>25 YD RO Box</t>
  </si>
  <si>
    <t>ASSEMBLY AND DELIVERY OF 96 GAL CARTS</t>
  </si>
  <si>
    <t>KB 161590</t>
  </si>
  <si>
    <t>CREDIT FOR OVERPAYMENT OF SALES TAX</t>
  </si>
  <si>
    <t>KB 161878</t>
  </si>
  <si>
    <t>KB 162414</t>
  </si>
  <si>
    <t>KB 162412</t>
  </si>
  <si>
    <t>KB 160870</t>
  </si>
  <si>
    <t>KB 161593</t>
  </si>
  <si>
    <t>96 GAL EVR II UNIV/NE0201-SEAHAWK GRANITE</t>
  </si>
  <si>
    <t>KB 161879</t>
  </si>
  <si>
    <t>Fuel Pump-Dispensers; Diesel Nozzle; Hoses</t>
  </si>
  <si>
    <t>2 Yard REL Containers w/ Lids &amp; Casters</t>
  </si>
  <si>
    <t>A9049961 THRU A905000</t>
  </si>
  <si>
    <t>KB 156688</t>
  </si>
  <si>
    <t>(1) Route Manager License for Murrey's Disposal</t>
  </si>
  <si>
    <t>DesertMicro</t>
  </si>
  <si>
    <t>U052111022</t>
  </si>
  <si>
    <t>64 GAL EVR II UNIV/NE0201 - SEAHAWK GRANITE</t>
  </si>
  <si>
    <t>A6004001 THRU A6004960</t>
  </si>
  <si>
    <t>KB 157103</t>
  </si>
  <si>
    <t>A6004961 THRU A6005000</t>
  </si>
  <si>
    <t>KB 157625</t>
  </si>
  <si>
    <t>A9039001 THRU A9039100</t>
  </si>
  <si>
    <t>KB 158361</t>
  </si>
  <si>
    <t>A9037561 THRU A9038280</t>
  </si>
  <si>
    <t>KB 158233</t>
  </si>
  <si>
    <t>A9052881 THRU A9053500</t>
  </si>
  <si>
    <t>KB 161312</t>
  </si>
  <si>
    <t>A9052161 THRU A9052880</t>
  </si>
  <si>
    <t>KB 161219</t>
  </si>
  <si>
    <t>A9031081 THRU A9032520</t>
  </si>
  <si>
    <t>KB 157817</t>
  </si>
  <si>
    <t>A9031081 THRU A9031800</t>
  </si>
  <si>
    <t>KB 157738</t>
  </si>
  <si>
    <t>A9050001 THRU A9050720</t>
  </si>
  <si>
    <t>KB 160985</t>
  </si>
  <si>
    <t>A9050721 THRU A9051440</t>
  </si>
  <si>
    <t>KB 160986</t>
  </si>
  <si>
    <t>A9051441 THRU A9052160</t>
  </si>
  <si>
    <t>KB 161152</t>
  </si>
  <si>
    <t>A9036841 THRU A9037560</t>
  </si>
  <si>
    <t>KB 158229</t>
  </si>
  <si>
    <t>A9036121 THRU A9036840</t>
  </si>
  <si>
    <t>KB 158148</t>
  </si>
  <si>
    <t>A9033961 THRU A9034680</t>
  </si>
  <si>
    <t>KB 158056</t>
  </si>
  <si>
    <t>A9038281 THRU A9039000</t>
  </si>
  <si>
    <t>KB 158274</t>
  </si>
  <si>
    <t>A9035401 THRU A9036120</t>
  </si>
  <si>
    <t>KB 158147</t>
  </si>
  <si>
    <t>A9034681 THRU A9035400</t>
  </si>
  <si>
    <t>KB 158139</t>
  </si>
  <si>
    <t>A9032521 THRU A9033240</t>
  </si>
  <si>
    <t>KB 157968</t>
  </si>
  <si>
    <t>A9033241 THRU A9033960</t>
  </si>
  <si>
    <t>KB 157969</t>
  </si>
  <si>
    <t>A9048641 THRU A9049300</t>
  </si>
  <si>
    <t>KB 155784</t>
  </si>
  <si>
    <t>A9047981 THRU A9048640</t>
  </si>
  <si>
    <t>KB 155873</t>
  </si>
  <si>
    <t>A9049301 THRU A9049960</t>
  </si>
  <si>
    <t>KB 155876</t>
  </si>
  <si>
    <t>95 Gal Univ Cart - Assy 045u - Drk Aqua Blue</t>
  </si>
  <si>
    <t>267713 THRU 268144</t>
  </si>
  <si>
    <t>LA117186</t>
  </si>
  <si>
    <t>267281 THRU 267712</t>
  </si>
  <si>
    <t>LA117187</t>
  </si>
  <si>
    <t>1 YD Frontload Containers, Coffin Style-Green</t>
  </si>
  <si>
    <t>Sales Tax-Used 2003 Helm Trailer Chassis &amp; Cont.</t>
  </si>
  <si>
    <t>1H9CC534H3T347060</t>
  </si>
  <si>
    <t>052111011C</t>
  </si>
  <si>
    <t>1H9CCS3433T347059</t>
  </si>
  <si>
    <t>052111011B</t>
  </si>
  <si>
    <t>(1) HP LaserJet 4350DTN Printer for Fife</t>
  </si>
  <si>
    <t>USBXM18373</t>
  </si>
  <si>
    <t>U052111025</t>
  </si>
  <si>
    <t>A9026461 THRU A9027120</t>
  </si>
  <si>
    <t>KB 155183</t>
  </si>
  <si>
    <t>A9025801 THRU A9026460</t>
  </si>
  <si>
    <t>KB 155165</t>
  </si>
  <si>
    <t>A9027121 THRU A9027780</t>
  </si>
  <si>
    <t>KB 155262</t>
  </si>
  <si>
    <t>A9027781 THRU A9028440</t>
  </si>
  <si>
    <t>KB 155272</t>
  </si>
  <si>
    <t>A9029761 THRU A9030420</t>
  </si>
  <si>
    <t>KB 155463</t>
  </si>
  <si>
    <t>A9029101 THRU A9029760</t>
  </si>
  <si>
    <t>KB 155447</t>
  </si>
  <si>
    <t>A9028441 THRU A9029100</t>
  </si>
  <si>
    <t>KB 155337</t>
  </si>
  <si>
    <t>A9030421 THRU A9031080</t>
  </si>
  <si>
    <t>KB 155546</t>
  </si>
  <si>
    <t>A9020501 THRU A9021160</t>
  </si>
  <si>
    <t>KB 153795</t>
  </si>
  <si>
    <t>A9021161 THRU A9021820</t>
  </si>
  <si>
    <t>KB 153804</t>
  </si>
  <si>
    <t>A9025141 THRU A9025800</t>
  </si>
  <si>
    <t>KB 154120</t>
  </si>
  <si>
    <t>A9023821 THRU A9024480</t>
  </si>
  <si>
    <t>KB 154046</t>
  </si>
  <si>
    <t>A9023161 THRU A9023820</t>
  </si>
  <si>
    <t>KB 154045</t>
  </si>
  <si>
    <t>A9024481 THRU A9025140</t>
  </si>
  <si>
    <t>KB 154119</t>
  </si>
  <si>
    <t>A9022501 THRU A9023160</t>
  </si>
  <si>
    <t>KB 153973</t>
  </si>
  <si>
    <t>A9021821 THRU A9022480</t>
  </si>
  <si>
    <t>KB 153880</t>
  </si>
  <si>
    <t>A9022481 THRU A9022500</t>
  </si>
  <si>
    <t>KB 154662</t>
  </si>
  <si>
    <t>A9046001 THRU A9046660</t>
  </si>
  <si>
    <t>KB 155566</t>
  </si>
  <si>
    <t>A9046661 THRU A9047320</t>
  </si>
  <si>
    <t>KB 155657</t>
  </si>
  <si>
    <t>A9047321 THRU A9047980</t>
  </si>
  <si>
    <t>KB 155658</t>
  </si>
  <si>
    <t>(4) 256 MB 40 GB HP PCs for Lakewood</t>
  </si>
  <si>
    <t>MXD42207W9; MXD42207Z6; M</t>
  </si>
  <si>
    <t>U052111023</t>
  </si>
  <si>
    <t>2003 Used Helm 4 Axle Trailer Chassis &amp; Container</t>
  </si>
  <si>
    <t>1H9CC534X3T347060</t>
  </si>
  <si>
    <t>T &amp; S Investments</t>
  </si>
  <si>
    <t>HELM</t>
  </si>
  <si>
    <t>VIN# 347060</t>
  </si>
  <si>
    <t>1H9CC53433T347059</t>
  </si>
  <si>
    <t>VIN# 347059</t>
  </si>
  <si>
    <t>RV</t>
  </si>
  <si>
    <t>U042111016</t>
  </si>
  <si>
    <t>95 Gal Univ Yard Waste Cart w/ Metal Bar</t>
  </si>
  <si>
    <t>266849 THRU 267280</t>
  </si>
  <si>
    <t>U042111025</t>
  </si>
  <si>
    <t>AT104261</t>
  </si>
  <si>
    <t>6 YD FEL Containers Peak Style, Skid, Lock</t>
  </si>
  <si>
    <t>Enterprise Sales, Inc.</t>
  </si>
  <si>
    <t>2005 Peterbilt 330 - Flat Bed Cont. Delivery Truck</t>
  </si>
  <si>
    <t>2NPNHZ7X95M849858</t>
  </si>
  <si>
    <t>Flatbed Truck</t>
  </si>
  <si>
    <t>C-1</t>
  </si>
  <si>
    <t>2 YD REL Containers w/ Plastic Lids</t>
  </si>
  <si>
    <t>Capital Industries, inc.</t>
  </si>
  <si>
    <t>Software/Hardware for Conversion-Site Lic.-Lakesid</t>
  </si>
  <si>
    <t>Software/Hardware for Conversion-Site Lic.-Yakima</t>
  </si>
  <si>
    <t>Software/Hardware for Conversion-Site Lic.-Angeles</t>
  </si>
  <si>
    <t>4 YD F/L Containers w/ Plastic Lids &amp; Skids</t>
  </si>
  <si>
    <t>Capital In</t>
  </si>
  <si>
    <t>YD Waste Carts</t>
  </si>
  <si>
    <t>265553 - 265984</t>
  </si>
  <si>
    <t>AT101693</t>
  </si>
  <si>
    <t>Cascon Powerlift Roll-Off on 2004 Peterbilt</t>
  </si>
  <si>
    <t>2NPNLZ0X35M842218</t>
  </si>
  <si>
    <t>2NPNLZ0X55M842219</t>
  </si>
  <si>
    <t>2005 Peterbilt 330 Roll Off Chassis</t>
  </si>
  <si>
    <t>2NPNLZ0XX5M849859</t>
  </si>
  <si>
    <t>Cascon Powerlift Roll-Off Hoist System 2004 Peter</t>
  </si>
  <si>
    <t>CCPG240</t>
  </si>
  <si>
    <t>2005 Peterbilt 330 Truck</t>
  </si>
  <si>
    <t>(13) Winterms for RM Conversion</t>
  </si>
  <si>
    <t>Software/Hardware for RM Conversion</t>
  </si>
  <si>
    <t>Lighthouse Systems Inc.</t>
  </si>
  <si>
    <t>Repairs to Rental Property (4805 70th Ave.)</t>
  </si>
  <si>
    <t>J.V. Kitchen Construction</t>
  </si>
  <si>
    <t>U042111015</t>
  </si>
  <si>
    <t>02-188</t>
  </si>
  <si>
    <t>Shop &amp; Office Building Design</t>
  </si>
  <si>
    <t>AHR Civil Engineers &amp; Lan</t>
  </si>
  <si>
    <t>032111012a</t>
  </si>
  <si>
    <t>Retainer</t>
  </si>
  <si>
    <t>Building Architect</t>
  </si>
  <si>
    <t>AHR</t>
  </si>
  <si>
    <t>U042111014</t>
  </si>
  <si>
    <t>Manual Check</t>
  </si>
  <si>
    <t>1.5YD REL Containers</t>
  </si>
  <si>
    <t>03-2111-019</t>
  </si>
  <si>
    <t>03-2111-018</t>
  </si>
  <si>
    <t>4YD FEL Containers</t>
  </si>
  <si>
    <t>03-2111-016</t>
  </si>
  <si>
    <t>HARVARD F EBERS</t>
  </si>
  <si>
    <t>CER 03-2111-012A</t>
  </si>
  <si>
    <t>8/1-12/31 EXP</t>
  </si>
  <si>
    <t>Harv Ebers Recurring</t>
  </si>
  <si>
    <t>03-2111-012</t>
  </si>
  <si>
    <t>03-2111-012a</t>
  </si>
  <si>
    <t>30 Yd Roll Off Drop Boxes</t>
  </si>
  <si>
    <t>03-2111-011</t>
  </si>
  <si>
    <t>Building Project</t>
  </si>
  <si>
    <t>Harv Ebers</t>
  </si>
  <si>
    <t>Engineering Design Work</t>
  </si>
  <si>
    <t>Civil &amp; Structural Engineering Services</t>
  </si>
  <si>
    <t>Poe Engineering</t>
  </si>
  <si>
    <t>03-014.1</t>
  </si>
  <si>
    <t>95 Gallon Roll Carts</t>
  </si>
  <si>
    <t>264665-262528</t>
  </si>
  <si>
    <t>03-2111-010</t>
  </si>
  <si>
    <t>1HTWCAAN63J055474</t>
  </si>
  <si>
    <t>03-2111-004</t>
  </si>
  <si>
    <t>Consulting Services, Boundary Survey, Composition of Maps &amp; Prints</t>
  </si>
  <si>
    <t>Baseline Engineering</t>
  </si>
  <si>
    <t>Pre-Construction Phase of Upgrade - 2 Trips</t>
  </si>
  <si>
    <t>Martin Construction</t>
  </si>
  <si>
    <t>Retainer for Civil &amp; Structural Engineering Consulting Services</t>
  </si>
  <si>
    <t>Proposal</t>
  </si>
  <si>
    <t>WC001465-WC002232</t>
  </si>
  <si>
    <t>03-2111-007b</t>
  </si>
  <si>
    <t>OWS 477</t>
  </si>
  <si>
    <t>Parcel Purchase at 6803 N Levee Rd E</t>
  </si>
  <si>
    <t>Jeffrey S Dean, Attorney</t>
  </si>
  <si>
    <t>03-2111-009</t>
  </si>
  <si>
    <t>Retainer for Development Services</t>
  </si>
  <si>
    <t>03-2111-012A</t>
  </si>
  <si>
    <t>Murrey's Building</t>
  </si>
  <si>
    <t>MSD 95 Carts w/ Metal Bar &amp; Snap on Wheel</t>
  </si>
  <si>
    <t>WC0000385-WC0000696</t>
  </si>
  <si>
    <t>03-2111-007a</t>
  </si>
  <si>
    <t>OWS87</t>
  </si>
  <si>
    <t>Land/Yard Improvements</t>
  </si>
  <si>
    <t>U-02-2111-022</t>
  </si>
  <si>
    <t>2 Yd Rear Load Containers</t>
  </si>
  <si>
    <t>02-2111-008</t>
  </si>
  <si>
    <t>1.5 Yd Rear Load Containers</t>
  </si>
  <si>
    <t>HP Laserjet 8150N Printer</t>
  </si>
  <si>
    <t>JPBBB49556</t>
  </si>
  <si>
    <t>U-02-2111-019</t>
  </si>
  <si>
    <t>MSD95 w/ Metal Bar &amp; Snap On Wheels</t>
  </si>
  <si>
    <t>92650000001-92650000768</t>
  </si>
  <si>
    <t>02-2111-010</t>
  </si>
  <si>
    <t>OII51773</t>
  </si>
  <si>
    <t>110611 110624 110693</t>
  </si>
  <si>
    <t>02-2111-007</t>
  </si>
  <si>
    <t>Light in Maint. Shop &amp; Parking Lot</t>
  </si>
  <si>
    <t>D&amp;S Electric</t>
  </si>
  <si>
    <t>02-2111-013</t>
  </si>
  <si>
    <t>95 Gallon Universal Carts</t>
  </si>
  <si>
    <t>SEE NOTES</t>
  </si>
  <si>
    <t>02-2160-004</t>
  </si>
  <si>
    <t>LA96347</t>
  </si>
  <si>
    <t>02-2111-003, 007</t>
  </si>
  <si>
    <t>HP 1200N Printer</t>
  </si>
  <si>
    <t>SCNDL079577</t>
  </si>
  <si>
    <t>U-02-2111-016</t>
  </si>
  <si>
    <t>Ramteq Pressure Washer BV0750-81</t>
  </si>
  <si>
    <t>B&amp;M Enterprises, Inc.</t>
  </si>
  <si>
    <t>Roc - 95 Gallon Containers</t>
  </si>
  <si>
    <t>259505-259936</t>
  </si>
  <si>
    <t>02-2111-009</t>
  </si>
  <si>
    <t>LA96672</t>
  </si>
  <si>
    <t>WinTerm</t>
  </si>
  <si>
    <t>S1CF10400201</t>
  </si>
  <si>
    <t>02-2111-001</t>
  </si>
  <si>
    <t>17" Proview Monitor</t>
  </si>
  <si>
    <t>FUDU1B295656U</t>
  </si>
  <si>
    <t>01-2111-004</t>
  </si>
  <si>
    <t>IPDS-COAX/TWINAX MES</t>
  </si>
  <si>
    <t>07971/001</t>
  </si>
  <si>
    <t>Mint Computer Resources</t>
  </si>
  <si>
    <t>01-2111-014</t>
  </si>
  <si>
    <t>Compaq DL 580 SACDB3 File Server</t>
  </si>
  <si>
    <t>D139DYV3K000</t>
  </si>
  <si>
    <t>Transmission Rebuild (3) Units</t>
  </si>
  <si>
    <t>HT740RS</t>
  </si>
  <si>
    <t>PACIFIC TORQUE INC.</t>
  </si>
  <si>
    <t>U01-2111-024</t>
  </si>
  <si>
    <t>95 Gallon Universal Carts w/ Lids</t>
  </si>
  <si>
    <t>258209-258640</t>
  </si>
  <si>
    <t>U-01-2111-023</t>
  </si>
  <si>
    <t>LA94076</t>
  </si>
  <si>
    <t>Additional Tax on (10) 30 Yd Drop Boxes w/ Lids</t>
  </si>
  <si>
    <t>01-2111-010</t>
  </si>
  <si>
    <t>Additional Tax on (5) 4 Yd FL Containers</t>
  </si>
  <si>
    <t>01-2111-008</t>
  </si>
  <si>
    <t>Additional tax on (12) 2 Yd RL Containers</t>
  </si>
  <si>
    <t>01-2111-006</t>
  </si>
  <si>
    <t>Computer Upgrade</t>
  </si>
  <si>
    <t>9402-6607/9402-3172</t>
  </si>
  <si>
    <t>Zip Drive</t>
  </si>
  <si>
    <t>U-01-2111-020</t>
  </si>
  <si>
    <t>95 Gallon Totes</t>
  </si>
  <si>
    <t>253913-258208</t>
  </si>
  <si>
    <t>01-2111-009</t>
  </si>
  <si>
    <t>Installation of Dumpster Tipper on Truck #9</t>
  </si>
  <si>
    <t>North American Crane</t>
  </si>
  <si>
    <t>U-01-2111-022</t>
  </si>
  <si>
    <t>Operation Office Floor Covering</t>
  </si>
  <si>
    <t>Campbell-Cox Floor</t>
  </si>
  <si>
    <t>01-2111-015</t>
  </si>
  <si>
    <t>U012111020</t>
  </si>
  <si>
    <t>CFA Software Phase 2</t>
  </si>
  <si>
    <t>Computerized Fleet Analys</t>
  </si>
  <si>
    <t>1 Yd RL Containers</t>
  </si>
  <si>
    <t>171229-171238</t>
  </si>
  <si>
    <t>01-2111-005</t>
  </si>
  <si>
    <t>4 Yd FL Containers</t>
  </si>
  <si>
    <t>2 Yd RL Containers</t>
  </si>
  <si>
    <t>30 Yd Drop Boxes w/ Lids</t>
  </si>
  <si>
    <t>1.5 YD Rear Load Containers</t>
  </si>
  <si>
    <t>170260-170269</t>
  </si>
  <si>
    <t>DeWald Nortwest</t>
  </si>
  <si>
    <t>1 YD Rear Load Containers</t>
  </si>
  <si>
    <t>170270-170279</t>
  </si>
  <si>
    <t>Second Story Addition</t>
  </si>
  <si>
    <t>Mike Schwartz Const, Inc.</t>
  </si>
  <si>
    <t>01-2111-011</t>
  </si>
  <si>
    <t>1XP5DB9X8VD429892</t>
  </si>
  <si>
    <t>PETERBILT</t>
  </si>
  <si>
    <t>Amador Disposal</t>
  </si>
  <si>
    <t>1XP5DB9X6VD429891</t>
  </si>
  <si>
    <t>PETERBULT</t>
  </si>
  <si>
    <t>Shartsis, Friese Legal</t>
  </si>
  <si>
    <t>Orting Exchange - Legal Fees</t>
  </si>
  <si>
    <t>Orting Farm Land Swap</t>
  </si>
  <si>
    <t>255617-256048</t>
  </si>
  <si>
    <t>00-2111-006</t>
  </si>
  <si>
    <t>Transformer</t>
  </si>
  <si>
    <t>00-2111-005</t>
  </si>
  <si>
    <t>1 - Cannon CFX L4500IF Fax</t>
  </si>
  <si>
    <t>H12-0852-211</t>
  </si>
  <si>
    <t>Ikon</t>
  </si>
  <si>
    <t>99-2111-0735</t>
  </si>
  <si>
    <t>00-2111-003</t>
  </si>
  <si>
    <t>165980-165994</t>
  </si>
  <si>
    <t>DeWald Northwest Co.</t>
  </si>
  <si>
    <t>00-2112-004</t>
  </si>
  <si>
    <t>10- 30 Yard Drop Boxes</t>
  </si>
  <si>
    <t>11577-11586</t>
  </si>
  <si>
    <t>8 - 15" Monitors</t>
  </si>
  <si>
    <t>Exchange Client V.5 Software</t>
  </si>
  <si>
    <t>5 - Princeton Ultra 52 15" Monitor</t>
  </si>
  <si>
    <t>99-2111-0734</t>
  </si>
  <si>
    <t>APC Smart UPS</t>
  </si>
  <si>
    <t>99-2111-0708</t>
  </si>
  <si>
    <t>1 - Proliant 800 Compaq Server</t>
  </si>
  <si>
    <t>D917CDG10292</t>
  </si>
  <si>
    <t>Back-up Exec</t>
  </si>
  <si>
    <t>Server License &amp; Software</t>
  </si>
  <si>
    <t>Ethernet 24-Port Hub</t>
  </si>
  <si>
    <t>Compaq DDS DAT Drive &amp; 10k RPM HDD for Server</t>
  </si>
  <si>
    <t>GB00892724 LJ628316</t>
  </si>
  <si>
    <t>1- Cannon 9000S Fax3</t>
  </si>
  <si>
    <t>H12-1242-210</t>
  </si>
  <si>
    <t>1 - Aficio 200 Digital Copier, Feeder, Duplex Unit</t>
  </si>
  <si>
    <t>R200 90290305011</t>
  </si>
  <si>
    <t>1 - Cannon NP3412F Copier</t>
  </si>
  <si>
    <t>F13-6134-501</t>
  </si>
  <si>
    <t>1  - Cannon CFX L4500IF Fax</t>
  </si>
  <si>
    <t>H12-0852-210</t>
  </si>
  <si>
    <t>1 - Ricoh PS330 Paperdeck Tray- 8MB Memory - Cabinet</t>
  </si>
  <si>
    <t>ZRPPD8039013012</t>
  </si>
  <si>
    <t>25 - Headsets</t>
  </si>
  <si>
    <t>Business Telecom Products</t>
  </si>
  <si>
    <t>99-2111-0865</t>
  </si>
  <si>
    <t>Motorola Radio System &amp; Installation</t>
  </si>
  <si>
    <t>Puget Sound Instr</t>
  </si>
  <si>
    <t>Expansion Cabinet</t>
  </si>
  <si>
    <t>A/P Reclass</t>
  </si>
  <si>
    <t>253025-253456</t>
  </si>
  <si>
    <t>95fgal Toters</t>
  </si>
  <si>
    <t>00-2111-0216</t>
  </si>
  <si>
    <t>Freight on CER #0219</t>
  </si>
  <si>
    <t>Dewalt Northwest</t>
  </si>
  <si>
    <t>30yd Drop Boxes</t>
  </si>
  <si>
    <t>11480-11489</t>
  </si>
  <si>
    <t>1yd Conatiners</t>
  </si>
  <si>
    <t>164702-164713</t>
  </si>
  <si>
    <t>90gal Carts</t>
  </si>
  <si>
    <t>West Pak</t>
  </si>
  <si>
    <t>99-2111-0212</t>
  </si>
  <si>
    <t>95gal Carts</t>
  </si>
  <si>
    <t>99-2111-0204</t>
  </si>
  <si>
    <t>95gal Univeral Carts</t>
  </si>
  <si>
    <t>252161-252592</t>
  </si>
  <si>
    <t>95gal Universal Carts w/Lids</t>
  </si>
  <si>
    <t>251729-252160</t>
  </si>
  <si>
    <t>99-2111-0854</t>
  </si>
  <si>
    <t>251297-251728</t>
  </si>
  <si>
    <t>1 - Flex Master Axel</t>
  </si>
  <si>
    <t>1XP-5DB9X-6-VD429891</t>
  </si>
  <si>
    <t>Straight Truck</t>
  </si>
  <si>
    <t>2000-2111-0213</t>
  </si>
  <si>
    <t>1 - Flex Master Lift Axel</t>
  </si>
  <si>
    <t>1XP-5DB9X-8-VD429892</t>
  </si>
  <si>
    <t>Truck #64 Rebuild</t>
  </si>
  <si>
    <t>Cummins- H&amp;H Diesel</t>
  </si>
  <si>
    <t>99-2111-0203</t>
  </si>
  <si>
    <t>Murrey Intangible</t>
  </si>
  <si>
    <t>OC</t>
  </si>
  <si>
    <t>Murry Goodwill</t>
  </si>
  <si>
    <t>1993 Cannon T400 Fax (N)</t>
  </si>
  <si>
    <t>Filing Cabinet</t>
  </si>
  <si>
    <t>2 Chairs &amp; 2 Desks (U)</t>
  </si>
  <si>
    <t>Desk &amp; Chair</t>
  </si>
  <si>
    <t>Chairs</t>
  </si>
  <si>
    <t>SW Fire Files</t>
  </si>
  <si>
    <t>3 Crts- Computers</t>
  </si>
  <si>
    <t>File Cabinets</t>
  </si>
  <si>
    <t>Desk &amp; Credenza (#800)</t>
  </si>
  <si>
    <t>Furniture</t>
  </si>
  <si>
    <t>Pre- 1981 Equipment</t>
  </si>
  <si>
    <t>Fence</t>
  </si>
  <si>
    <t>Building - Connell</t>
  </si>
  <si>
    <t>Ground Improvements (E)</t>
  </si>
  <si>
    <t>Ground Improvements (W)</t>
  </si>
  <si>
    <t>Buildings</t>
  </si>
  <si>
    <t>Building - Hukee</t>
  </si>
  <si>
    <t>Building -  Wargo</t>
  </si>
  <si>
    <t>Timbers -  Transfer Station</t>
  </si>
  <si>
    <t>Shop Building</t>
  </si>
  <si>
    <t>Hydro-Tek Washer</t>
  </si>
  <si>
    <t>Adjustable Height Gantries</t>
  </si>
  <si>
    <t>Hot Water Washer</t>
  </si>
  <si>
    <t>Hydralic Pump</t>
  </si>
  <si>
    <t>Air Jacks</t>
  </si>
  <si>
    <t>Pressure System</t>
  </si>
  <si>
    <t>Fuel Pumps</t>
  </si>
  <si>
    <t>Oil Pump</t>
  </si>
  <si>
    <t>other</t>
  </si>
  <si>
    <t>Scale</t>
  </si>
  <si>
    <t>Scale Yard</t>
  </si>
  <si>
    <t>1yd Containers w/Lids (N)</t>
  </si>
  <si>
    <t>30yd Drop Boxes w/Lids</t>
  </si>
  <si>
    <t>4yd Containers w/Lids (N)</t>
  </si>
  <si>
    <t>6yd Front Load Cages (N)</t>
  </si>
  <si>
    <t>30yd Drop Boxes (N)</t>
  </si>
  <si>
    <t>95gal Toters (U) (Resdl)</t>
  </si>
  <si>
    <t>6yd Containers S'D n/Lids (N)</t>
  </si>
  <si>
    <t>20yd Drop Boxes w/Lids</t>
  </si>
  <si>
    <t>95gal MF Toters (N)</t>
  </si>
  <si>
    <t>95gal YW Toters (N)</t>
  </si>
  <si>
    <t>Truck Rebuild (Pacific Torque)</t>
  </si>
  <si>
    <t>Container Lease Payoff D4816 (U)</t>
  </si>
  <si>
    <t>30yd Containers w/Lids</t>
  </si>
  <si>
    <t>Container- DB Lease Payoff D4293</t>
  </si>
  <si>
    <t>Unitec Scale (N)</t>
  </si>
  <si>
    <t>Murreys Land</t>
  </si>
  <si>
    <t>Computer Components</t>
  </si>
  <si>
    <t>Row Labels</t>
  </si>
  <si>
    <t>Sum of Cost</t>
  </si>
  <si>
    <t>Sum of Test Year Dep</t>
  </si>
  <si>
    <t>Sum of BOY Accum</t>
  </si>
  <si>
    <t>Sum of EOY Accum</t>
  </si>
  <si>
    <t>Sum of EOY Average Investment</t>
  </si>
  <si>
    <t>Garbage Trucks</t>
  </si>
  <si>
    <t>Recycling and Yard Waste Trucks</t>
  </si>
  <si>
    <t>+</t>
  </si>
  <si>
    <t>New Assets Adds from FAR (7.1.2021 and Beyond)</t>
  </si>
  <si>
    <t>Proforma Adds</t>
  </si>
  <si>
    <t>Roll-off Trucks</t>
  </si>
  <si>
    <t>Medical Waste Trucks</t>
  </si>
  <si>
    <t>Glass Hauling Trucks</t>
  </si>
  <si>
    <t>Yard waste</t>
  </si>
  <si>
    <t>=</t>
  </si>
  <si>
    <t>Combined Summary - This Section to Proforma</t>
  </si>
  <si>
    <t>2022 Isuzu Retriever Truck</t>
  </si>
  <si>
    <t>JALE5W164N7304894</t>
  </si>
  <si>
    <t>2111-21-0011</t>
  </si>
  <si>
    <t>2008 Peterbilt Road Tractor</t>
  </si>
  <si>
    <t>1XPXDB9X08D748541</t>
  </si>
  <si>
    <t>2040-12-0020-1</t>
  </si>
  <si>
    <t>Freight charge for truck - Mike Kennedy travel expenses to drive truck back from</t>
  </si>
  <si>
    <t>1xpxdb9x08d748541</t>
  </si>
  <si>
    <t>Truck Market</t>
  </si>
  <si>
    <t>Shorten Truck Frame on 2009 Peterbuilt</t>
  </si>
  <si>
    <t>Extended Warranty - 24 mos / 100K miles</t>
  </si>
  <si>
    <t>SW670013913</t>
  </si>
  <si>
    <t>DriveCam Unit 2008 Peterbilt Road Tractor</t>
  </si>
  <si>
    <t>DriveCam, Inc</t>
  </si>
  <si>
    <t>2040-13-0017-1</t>
  </si>
  <si>
    <t>2017 Ford F150</t>
  </si>
  <si>
    <t>1FTEW1EF9HFC47579</t>
  </si>
  <si>
    <t>LAKEWOOD FORD</t>
  </si>
  <si>
    <t>Pick-Up Truck</t>
  </si>
  <si>
    <t>2111-22-0001-1</t>
  </si>
  <si>
    <t>2021 Kalmar Yard Goat (USED)</t>
  </si>
  <si>
    <t>11V1813A7MA001627</t>
  </si>
  <si>
    <t>2111-22-0004-1</t>
  </si>
  <si>
    <t>VA103000226</t>
  </si>
  <si>
    <t>20G MB ROC BLACK</t>
  </si>
  <si>
    <t>95G YARD WASTE CARTS</t>
  </si>
  <si>
    <t>2111-22-0025-1</t>
  </si>
  <si>
    <t>95G RECYCLE CARTS</t>
  </si>
  <si>
    <t>2111-22-0034-1</t>
  </si>
  <si>
    <t>2 YARD REAR LOAD C/W SINGLE PLY PLASTIC LIDS</t>
  </si>
  <si>
    <t>2111-22-0026-1</t>
  </si>
  <si>
    <t>IN010296-A</t>
  </si>
  <si>
    <t>CASTERS - 2 SWIVEL - 2 FIXED</t>
  </si>
  <si>
    <t>IN010296</t>
  </si>
  <si>
    <t>4 YARD FRONT LOAD SLOPE C/W SINGLE PLY PLASTIC LID</t>
  </si>
  <si>
    <t>6 YARD FRONT LOAD SLOPE C/W SINGLE PLY PLASTIC LID</t>
  </si>
  <si>
    <t>2014 John Deere SKIDSTEER CHASSIS</t>
  </si>
  <si>
    <t>1T0328EMLEE257709</t>
  </si>
  <si>
    <t>Pape Machinery</t>
  </si>
  <si>
    <t>2111-22-0014-1</t>
  </si>
  <si>
    <t>TRANSMISSION</t>
  </si>
  <si>
    <t>SKIDSTEER LEFT REAR FINAL DRIVE</t>
  </si>
  <si>
    <t>SKIDSTEER RIGHT REAR FINAL DRIVE</t>
  </si>
  <si>
    <t>WPLS-190 Truck Lifts</t>
  </si>
  <si>
    <t>GRAY MANUFACTURING CO INC</t>
  </si>
  <si>
    <t>2111-22-0017-1</t>
  </si>
  <si>
    <t>3BPZL00X0BF116900</t>
  </si>
  <si>
    <t>2140-10-0010-1</t>
  </si>
  <si>
    <t>P116900</t>
  </si>
  <si>
    <t>43108C</t>
  </si>
  <si>
    <t>0045376-IN</t>
  </si>
  <si>
    <t>3BPZL70X5CF157582</t>
  </si>
  <si>
    <t>2140-12-0002-1</t>
  </si>
  <si>
    <t>Washington Department of</t>
  </si>
  <si>
    <t>bmp/01</t>
  </si>
  <si>
    <t>2003 Autocar Sideloader, Model WX64</t>
  </si>
  <si>
    <t>5VCEC6UE63N194663</t>
  </si>
  <si>
    <t>06-2140-002</t>
  </si>
  <si>
    <t>SALES TAX &amp; LICENSING FEES</t>
  </si>
  <si>
    <t>TK 811</t>
  </si>
  <si>
    <t>Remanufactured Transmission (Truck 811)</t>
  </si>
  <si>
    <t>ATR Transmission</t>
  </si>
  <si>
    <t>2140-13-0015-1</t>
  </si>
  <si>
    <t>3BPZL70X2EF236985</t>
  </si>
  <si>
    <t>2140-13-0002-1</t>
  </si>
  <si>
    <t>3BPZL70X6FF265844</t>
  </si>
  <si>
    <t>2140-14-0002-1</t>
  </si>
  <si>
    <t>3BPZL70X4FF265843</t>
  </si>
  <si>
    <t>2140-14-0001-1</t>
  </si>
  <si>
    <t>1994 Type HT C-C Trailer</t>
  </si>
  <si>
    <t>1G9CH534XR1109015</t>
  </si>
  <si>
    <t>0742-KZ</t>
  </si>
  <si>
    <t>Wabash</t>
  </si>
  <si>
    <t>3BPZL70X5FF263258</t>
  </si>
  <si>
    <t>Wayne Curbtender</t>
  </si>
  <si>
    <t>2140-15-0015-1</t>
  </si>
  <si>
    <t>0077177-IN</t>
  </si>
  <si>
    <t>3BPZL70X3GF106281</t>
  </si>
  <si>
    <t>2140-15-0001-1</t>
  </si>
  <si>
    <t>P106281</t>
  </si>
  <si>
    <t>3BPZL70X4GF107178</t>
  </si>
  <si>
    <t>2140-15-0018-1</t>
  </si>
  <si>
    <t>3BPZL70X6GF107179</t>
  </si>
  <si>
    <t>2140-15-0017-1</t>
  </si>
  <si>
    <t>Brentwood chassis</t>
  </si>
  <si>
    <t>2B9RSXBL03B304540</t>
  </si>
  <si>
    <t>1427-RZ</t>
  </si>
  <si>
    <t>NWCS</t>
  </si>
  <si>
    <t>1HTWCAAN33J061300</t>
  </si>
  <si>
    <t>03-2111-005</t>
  </si>
  <si>
    <t>2111-16-0020-1</t>
  </si>
  <si>
    <t>1HTWCAAN53J061301</t>
  </si>
  <si>
    <t>03-2111-003</t>
  </si>
  <si>
    <t>1HTWCAAN03J067538</t>
  </si>
  <si>
    <t>03-2111-001</t>
  </si>
  <si>
    <t>HP ProDesk 600 G6 (SN=MXL152171Y)</t>
  </si>
  <si>
    <t>CDW DIR #2111 WIN 10 U</t>
  </si>
  <si>
    <t>2111-22-0036-1</t>
  </si>
  <si>
    <t>W150060</t>
  </si>
  <si>
    <t>HP ProBook 630 G8 (SN=5CD147CKQQ)</t>
  </si>
  <si>
    <t>2111-22-0036-2</t>
  </si>
  <si>
    <t>HP ProBook 630 G8 (SN=5CD147CKQ4)</t>
  </si>
  <si>
    <t>HP ProBook 630 G8 (SN=5CD147CKT3)</t>
  </si>
  <si>
    <t>1 Yard Commercial Containers</t>
  </si>
  <si>
    <t xml:space="preserve">2022 Cont.Audit- Partial </t>
  </si>
  <si>
    <t>30 YD Roll Off Containers</t>
  </si>
  <si>
    <t>a</t>
  </si>
  <si>
    <t>BFI - Wichita</t>
  </si>
  <si>
    <t>20 YD Roll Off Bins</t>
  </si>
  <si>
    <t>R360</t>
  </si>
  <si>
    <t>Roll Off Bins</t>
  </si>
  <si>
    <t>20 yd R/O Containers</t>
  </si>
  <si>
    <t>Groot</t>
  </si>
  <si>
    <t>20Yd R/O Container</t>
  </si>
  <si>
    <t>20 YD RO CONTAINER</t>
  </si>
  <si>
    <t>Bay Disposal</t>
  </si>
  <si>
    <t>20 YD Rolloff</t>
  </si>
  <si>
    <t>Mountain Waste</t>
  </si>
  <si>
    <t>1 yd Commercial Containers</t>
  </si>
  <si>
    <t>25 YD Roll Off Containers</t>
  </si>
  <si>
    <t>El Paso Disposal</t>
  </si>
  <si>
    <t>CWI</t>
  </si>
  <si>
    <t>10 YD FEL/REL/SL Metal</t>
  </si>
  <si>
    <t>2022 Container Audit Addi</t>
  </si>
  <si>
    <t>New 2010 Ford F-150 Shop Truck# 7</t>
  </si>
  <si>
    <t>1FTEX1E87AFA87626</t>
  </si>
  <si>
    <t>2140-10-0008-1</t>
  </si>
  <si>
    <t>VIN#A87626</t>
  </si>
  <si>
    <t>2006 Ford F250 Diesel Pick-up</t>
  </si>
  <si>
    <t>1FTSX20P26EC41387</t>
  </si>
  <si>
    <t>Ford F250</t>
  </si>
  <si>
    <t>2111-8-0004-1</t>
  </si>
  <si>
    <t>Vin # C41387</t>
  </si>
  <si>
    <t>JALC4W167C7000353</t>
  </si>
  <si>
    <t>Penske</t>
  </si>
  <si>
    <t>2140-15-0021-1</t>
  </si>
  <si>
    <t>JALC4W167C7000384</t>
  </si>
  <si>
    <t>2140-15-0022-1</t>
  </si>
  <si>
    <t>2001 Used Ford F150 Truck</t>
  </si>
  <si>
    <t>1FTZX17221NB28132</t>
  </si>
  <si>
    <t>STK#P4077 2001</t>
  </si>
  <si>
    <t>2001 Ford F150 Truck</t>
  </si>
  <si>
    <t>2FTRX17L81CA67691</t>
  </si>
  <si>
    <t>Dell Wyse 5070 Terminal SN 793FWM3</t>
  </si>
  <si>
    <t>W280282</t>
  </si>
  <si>
    <t>Docking Station for Win Ten Upgrade - No SN on Amazon Purchases</t>
  </si>
  <si>
    <t>AMZN MKTP US 1L7DL2JJ2</t>
  </si>
  <si>
    <t>AMZN MKTP US 1R9QU6AZ1</t>
  </si>
  <si>
    <t>2022 Deletes/Transfers</t>
  </si>
  <si>
    <t>2022 Disposal</t>
  </si>
  <si>
    <t>2021/2022 Asset Disposals/Transfers</t>
  </si>
  <si>
    <t xml:space="preserve">Shop Equipment </t>
  </si>
  <si>
    <t>2111-22-0028-1</t>
  </si>
  <si>
    <t>3BPDLK0X7NF111056</t>
  </si>
  <si>
    <t>2022 Peterbilt ASL Truck - Body - Rollover 2111-21-0004</t>
  </si>
  <si>
    <t>2111-21-0004-1</t>
  </si>
  <si>
    <t>2111-22-0043-1</t>
  </si>
  <si>
    <t>DRIVECAM UPGRADES</t>
  </si>
  <si>
    <t>2111-22-0042-1</t>
  </si>
  <si>
    <t>65 GAL MSW</t>
  </si>
  <si>
    <t>2111-21-0047-1</t>
  </si>
  <si>
    <t>Fuel Island Construction</t>
  </si>
  <si>
    <t>2111-22-0011-1</t>
  </si>
  <si>
    <t>3BPDLK0X2NF113152</t>
  </si>
  <si>
    <t>2022 Peterbilt FEL Truck</t>
  </si>
  <si>
    <t>IN010433-1B</t>
  </si>
  <si>
    <t>2111-22-0033-1</t>
  </si>
  <si>
    <t>Non-ContaIner Audit</t>
  </si>
  <si>
    <t>SET OF CASTERS 2 SWIVEL AND 2 FIXED</t>
  </si>
  <si>
    <t>2 YD REL MSW CONTAINERS</t>
  </si>
  <si>
    <t>2111-22-0038-1</t>
  </si>
  <si>
    <t>90 GAL MSW CARTS</t>
  </si>
  <si>
    <t>2111-22-0041-1</t>
  </si>
  <si>
    <t>AMZN MKTP US ZY0M958L3</t>
  </si>
  <si>
    <t>Docking Station for Laptop - No SN on Amazon Purchases</t>
  </si>
  <si>
    <t>Z856747</t>
  </si>
  <si>
    <t>CDW DIR #PO  2111-22-0</t>
  </si>
  <si>
    <t>New Computer for site SN: 5CD152BKF3</t>
  </si>
  <si>
    <t>AMZN MKTP US 060FU7MQ3 AM</t>
  </si>
  <si>
    <t>Docking Station for Computer - No SN on Amazon Purchases</t>
  </si>
  <si>
    <t>2111-22-0039-1</t>
  </si>
  <si>
    <t>3HAEJTAL4NL467067</t>
  </si>
  <si>
    <t>2022 International CD Truck-Body</t>
  </si>
  <si>
    <t>VA103000208</t>
  </si>
  <si>
    <t>2111-22-0031-1</t>
  </si>
  <si>
    <t>Hook Lift</t>
  </si>
  <si>
    <t>xxx</t>
  </si>
  <si>
    <t>1HTETAL5NH674771</t>
  </si>
  <si>
    <t>2022 Chassis for Isuzu Hooklift</t>
  </si>
  <si>
    <t>DE-01936</t>
  </si>
  <si>
    <t>2111-22-0003-1</t>
  </si>
  <si>
    <t>JALE5W16J7303702</t>
  </si>
  <si>
    <t>2018 Izusu Container Delivery Truck</t>
  </si>
  <si>
    <t>IN010433-1</t>
  </si>
  <si>
    <t>5 YD FEL Container</t>
  </si>
  <si>
    <t>5 YARD FLAT TOP C/W SINGLE PLY PLASTIC LID AND MANUAL LOCK BAR CA</t>
  </si>
  <si>
    <t>VA103000203</t>
  </si>
  <si>
    <t>2022 International HV607</t>
  </si>
  <si>
    <t>2022-08</t>
  </si>
  <si>
    <t>Sep  2 2022  8:58AM</t>
  </si>
  <si>
    <t>Assets Through 6.30.21</t>
  </si>
  <si>
    <t>2022 Retriever License- TRUCK 918</t>
  </si>
  <si>
    <t>95 gal MSW CARTS</t>
  </si>
  <si>
    <t>65 gal MSW CARTS</t>
  </si>
  <si>
    <t>Panasonic Toughbook with software</t>
  </si>
  <si>
    <t>2021 FORD F-350 TRUCK</t>
  </si>
  <si>
    <t>2022 International Hook Lift Truck - Body - Rollover 2111-22-0031</t>
  </si>
  <si>
    <t>1HTEJTAL9NH674771</t>
  </si>
  <si>
    <t>2111-22-0044-1</t>
  </si>
  <si>
    <t>2111-22-0040-1</t>
  </si>
  <si>
    <t>2111-22-0002-1</t>
  </si>
  <si>
    <t>AssetType</t>
  </si>
  <si>
    <t>Asset Type</t>
  </si>
  <si>
    <t>Leachate Collection Improvements</t>
  </si>
  <si>
    <t>Employee and Trailer Parking</t>
  </si>
  <si>
    <t>scrapped</t>
  </si>
  <si>
    <t>Test Period Beg. Month</t>
  </si>
  <si>
    <t>Test Period End Month</t>
  </si>
  <si>
    <t>Test Period End Mo/Yr</t>
  </si>
  <si>
    <t>Test Period Beg. Mo/Yr</t>
  </si>
  <si>
    <t xml:space="preserve">Non-Rolling Stock </t>
  </si>
  <si>
    <t>2111-22-0048-1</t>
  </si>
  <si>
    <t>1FOUF5GT6ME059158</t>
  </si>
  <si>
    <t>Software for Panasonic Toughbook</t>
  </si>
  <si>
    <t>Navastar engine diagnostics for laptop</t>
  </si>
  <si>
    <t>Fence Addition - East Corner Lot</t>
  </si>
  <si>
    <t>SECOMA FENCE INC</t>
  </si>
  <si>
    <t>2111-22-0047-1</t>
  </si>
  <si>
    <t>5yd FEL Containers</t>
  </si>
  <si>
    <t>2111-22-0024-1</t>
  </si>
  <si>
    <t>Custom Designed Tank</t>
  </si>
  <si>
    <t>NORTHWEST PUMP &amp; EQUIPMEN</t>
  </si>
  <si>
    <t>Fuel Island - Construction support services</t>
  </si>
  <si>
    <t>Fuel Island - drainage permit application</t>
  </si>
  <si>
    <t>CITY OF FIFE COMMUNITY DE</t>
  </si>
  <si>
    <t>Fuel Island - Returned Reference Invoice 3267866-00</t>
  </si>
  <si>
    <t>Fuel Island - Returned Reference invoice 3270762-01</t>
  </si>
  <si>
    <t>Fuel Island - Site Start Up</t>
  </si>
  <si>
    <t>Fuel Island - PI Decal Diesel</t>
  </si>
  <si>
    <t>Fuel Island - PI Decal No Smoking Stop Engine</t>
  </si>
  <si>
    <t>Fuel Island - Building Permit Submittal</t>
  </si>
  <si>
    <t>Fuel Island - Engineer Improvements for Stormwater Pond &amp; Equipment Parking</t>
  </si>
  <si>
    <t>Fuel Island - Engineering Services for Stormwater Pond and Equipment Parking Imp</t>
  </si>
  <si>
    <t>Fuel Island - Remove Concrete, Apply Asphalt Raised Edge</t>
  </si>
  <si>
    <t>ASPHALT PATCH SYSTEMS INC</t>
  </si>
  <si>
    <t>2004 International 7400 REL</t>
  </si>
  <si>
    <t>1HTWGADT14J025816</t>
  </si>
  <si>
    <t>LEACH</t>
  </si>
  <si>
    <t>Upgrades to 2004 INTL 7400</t>
  </si>
  <si>
    <t>Lettering on Truck #663 - Extra Set of Door Logos</t>
  </si>
  <si>
    <t>Upgrade to 2004 INTL 7400</t>
  </si>
  <si>
    <t>Licensing for Truck# 663</t>
  </si>
  <si>
    <t>Tire Maintenance Storage Building</t>
  </si>
  <si>
    <t>2111-22-0021-1</t>
  </si>
  <si>
    <t>2111-22-0045-1</t>
  </si>
  <si>
    <t>2YD FEL Containers</t>
  </si>
  <si>
    <t>2111-22-0045-2</t>
  </si>
  <si>
    <t>4yd FL Container</t>
  </si>
  <si>
    <t>6YD FEL Containers</t>
  </si>
  <si>
    <t>2YD REL Containers w/Cage w/Lids</t>
  </si>
  <si>
    <t>WasteWORKs Automated Scale</t>
  </si>
  <si>
    <t>2111-22-0023-1</t>
  </si>
  <si>
    <t>2023 Peterbilt ASL Truck</t>
  </si>
  <si>
    <t>3BPDLK0X2PF114126</t>
  </si>
  <si>
    <t>2111-22-0006-1</t>
  </si>
  <si>
    <t>2111-22-0049-1</t>
  </si>
  <si>
    <t>ASL Garbage Truck</t>
  </si>
  <si>
    <t>YW Cart</t>
  </si>
  <si>
    <t>Bulk Drive Cam</t>
  </si>
  <si>
    <t xml:space="preserve">Service Equipment </t>
  </si>
  <si>
    <t>TS Equip</t>
  </si>
  <si>
    <t>Recycle Carts</t>
  </si>
  <si>
    <t>Various</t>
  </si>
  <si>
    <t>Fuel Station</t>
  </si>
  <si>
    <t>Delivery Van</t>
  </si>
  <si>
    <t xml:space="preserve">                                                                                                                                                                                                                                                                                                                                                                                                         </t>
  </si>
  <si>
    <t>Units</t>
  </si>
  <si>
    <t>MajorCategory</t>
  </si>
  <si>
    <t>MinorCategory</t>
  </si>
  <si>
    <t>Container_Size</t>
  </si>
  <si>
    <t>Container_Type</t>
  </si>
  <si>
    <t>DepreciateFlag</t>
  </si>
  <si>
    <t>CreatedDate</t>
  </si>
  <si>
    <t>LastUpdateDate</t>
  </si>
  <si>
    <t>Default Month:</t>
  </si>
  <si>
    <t>Default Year:</t>
  </si>
  <si>
    <t>Last Pulled:</t>
  </si>
  <si>
    <t>Assets:</t>
  </si>
  <si>
    <t xml:space="preserve">Period: </t>
  </si>
  <si>
    <t xml:space="preserve">Asset Type: </t>
  </si>
  <si>
    <t>Capitalized</t>
  </si>
  <si>
    <t xml:space="preserve">VIN: </t>
  </si>
  <si>
    <t xml:space="preserve">Asset Acct: </t>
  </si>
  <si>
    <t xml:space="preserve">In Service Date From: </t>
  </si>
  <si>
    <t xml:space="preserve">District: </t>
  </si>
  <si>
    <t xml:space="preserve">Parent/Child: </t>
  </si>
  <si>
    <t>All</t>
  </si>
  <si>
    <t xml:space="preserve">Description: </t>
  </si>
  <si>
    <t xml:space="preserve">Exp Acct: </t>
  </si>
  <si>
    <t xml:space="preserve">In Service Date To: </t>
  </si>
  <si>
    <t xml:space="preserve">Asset #: </t>
  </si>
  <si>
    <t xml:space="preserve">Include P-Tax: </t>
  </si>
  <si>
    <t xml:space="preserve">PO Number: </t>
  </si>
  <si>
    <t>Dist.</t>
  </si>
  <si>
    <t>Parent
/ Child</t>
  </si>
  <si>
    <t>Bl 1</t>
  </si>
  <si>
    <t>Bl 2</t>
  </si>
  <si>
    <t>Mfg. Serial #</t>
  </si>
  <si>
    <t>Vendor / Mfg.</t>
  </si>
  <si>
    <t>Asset Category (Major)</t>
  </si>
  <si>
    <t>Asset Sub-Category (Minor)</t>
  </si>
  <si>
    <t>Ins. Category</t>
  </si>
  <si>
    <t>Cont. Size</t>
  </si>
  <si>
    <t>Cont. Type</t>
  </si>
  <si>
    <t>Acq. Date</t>
  </si>
  <si>
    <t>Asset Cost</t>
  </si>
  <si>
    <t>Accum. Account</t>
  </si>
  <si>
    <t>Accum. Life to Date</t>
  </si>
  <si>
    <t>Accum. YTD</t>
  </si>
  <si>
    <t>Current Depr.</t>
  </si>
  <si>
    <t>Acq. Type</t>
  </si>
  <si>
    <t>Depr. Meth</t>
  </si>
  <si>
    <t>Depre. Y/N</t>
  </si>
  <si>
    <t>Pre 8/1/21 Add?</t>
  </si>
  <si>
    <t>Onsite Install Vinyl</t>
  </si>
  <si>
    <t>LARSEN SIGN CO</t>
  </si>
  <si>
    <t>2111-23-0005-1</t>
  </si>
  <si>
    <t>Vancouver_Dorr Excise Tax Refund</t>
  </si>
  <si>
    <t>Department of Revenue audit assessment, district 2010, 2113, 2053</t>
  </si>
  <si>
    <t>2010-11-0035-1</t>
  </si>
  <si>
    <t>Signage for truck #613 PO 2009-9-0042</t>
  </si>
  <si>
    <t>2009-9-0042-1</t>
  </si>
  <si>
    <t>2010 New 340 Peterbilt</t>
  </si>
  <si>
    <t>2NPRHN8X5AM107590</t>
  </si>
  <si>
    <t>Peterbilt 340</t>
  </si>
  <si>
    <t>Install Vinyl</t>
  </si>
  <si>
    <t>2111-23-0017-1</t>
  </si>
  <si>
    <t>Vinyl Install</t>
  </si>
  <si>
    <t>2111-23-0008-1</t>
  </si>
  <si>
    <t>2024 Peterbilt ASL Truck - Body</t>
  </si>
  <si>
    <t>3BPDLK0X4RF116270</t>
  </si>
  <si>
    <t>PO BOX 13040</t>
  </si>
  <si>
    <t>2111-23-0022-1</t>
  </si>
  <si>
    <t>3BPDLK0X0RF116265</t>
  </si>
  <si>
    <t>2111-23-0011-1</t>
  </si>
  <si>
    <t>2024 Peterbilt FEL Truck-Body</t>
  </si>
  <si>
    <t>3BPDLK0X3RF116275</t>
  </si>
  <si>
    <t>2111-23-0027-1</t>
  </si>
  <si>
    <t>2024 Peterbilt ASL Truck-Body</t>
  </si>
  <si>
    <t>3BPDLK0X6RF116268</t>
  </si>
  <si>
    <t>2111-23-0023-1</t>
  </si>
  <si>
    <t>3BPDLK0X4RF116267</t>
  </si>
  <si>
    <t>2111-23-0021-1</t>
  </si>
  <si>
    <t>2024 Peterbilt ASL Truck</t>
  </si>
  <si>
    <t>20 Gal Carts</t>
  </si>
  <si>
    <t>FILE 2524</t>
  </si>
  <si>
    <t>2111-23-0044-1</t>
  </si>
  <si>
    <t>2024 Peterbilt FEL Truck</t>
  </si>
  <si>
    <t>2024 Peterbilt ROL Truck</t>
  </si>
  <si>
    <t>1NPCX4EX6RD641402</t>
  </si>
  <si>
    <t>2111-23-0004-1</t>
  </si>
  <si>
    <t>Leachate Collection Improvements-Stormwater Peak Flow Concerns by City of Tacoma</t>
  </si>
  <si>
    <t>2111-23-0002-1</t>
  </si>
  <si>
    <t>65 Gal Carts</t>
  </si>
  <si>
    <t>2111-23-0043-1</t>
  </si>
  <si>
    <t>Radio Kit for Truck 920 sn C3611635</t>
  </si>
  <si>
    <t>2875 R.W. JOHNSON BLVD</t>
  </si>
  <si>
    <t>Radio Kit for Truck 879 sn C3513241</t>
  </si>
  <si>
    <t>Radio Kit for Truck 878 sn C3610131</t>
  </si>
  <si>
    <t>Radio Kit for Truck 919</t>
  </si>
  <si>
    <t>Radio Kit for Truck 452 sn C3610134</t>
  </si>
  <si>
    <t>Radio Kit for Truck 453 sn C3513245</t>
  </si>
  <si>
    <t>Install new kick arms and kick bar</t>
  </si>
  <si>
    <t>Install Quick Release Power Dock</t>
  </si>
  <si>
    <t>PROCLIP USA LLC</t>
  </si>
  <si>
    <t>Roll Off-Install Quick release Power Dock</t>
  </si>
  <si>
    <t>4412 SW CORBETT</t>
  </si>
  <si>
    <t>95g YW Carts</t>
  </si>
  <si>
    <t>2111-23-0040-1</t>
  </si>
  <si>
    <t>95g Rec Carts</t>
  </si>
  <si>
    <t>2024 Peterbilt FEL Truck- Body</t>
  </si>
  <si>
    <t>3BPDLK0X7RF116277</t>
  </si>
  <si>
    <t>2023 Peterbilt ROL Truck- Body</t>
  </si>
  <si>
    <t>1NPCX4EX1PD867893</t>
  </si>
  <si>
    <t>ATTN: ACCOUNTS PAYABLE</t>
  </si>
  <si>
    <t>2023 Peterbilt ROL Truck</t>
  </si>
  <si>
    <t>2023 Peterbilt REL Truck -Custom cart tipper</t>
  </si>
  <si>
    <t>3BPDLK0XXPF115380</t>
  </si>
  <si>
    <t>2111-23-0018-1</t>
  </si>
  <si>
    <t>2023 Peterbilt REL Truck - Registration</t>
  </si>
  <si>
    <t>DEPARTMENT OF LICENSING</t>
  </si>
  <si>
    <t>2111-23-0042-1</t>
  </si>
  <si>
    <t>Leachate Collection Improvements/Employee and Trailer Parking - Engineering</t>
  </si>
  <si>
    <t>New REL Peterbilt - Truck Signage</t>
  </si>
  <si>
    <t>LARSEN SIGN</t>
  </si>
  <si>
    <t>2023 Peterbilt REL Truck - Body - Rollover 2111-22-0009</t>
  </si>
  <si>
    <t>95g MSW Carts - Plastic</t>
  </si>
  <si>
    <t>Truck 127 Engine Replacement</t>
  </si>
  <si>
    <t>2111-23-0041-1</t>
  </si>
  <si>
    <t>2023 Peterbilt REL Truck - Remaining Balance - Rollover 2111-22-0009</t>
  </si>
  <si>
    <t>2023 Peterbilt REL Truck-Chassis</t>
  </si>
  <si>
    <t>2111-22-0009-1</t>
  </si>
  <si>
    <t>DIESEL SERVICES NORTHWEST</t>
  </si>
  <si>
    <t>2 YD REL Bear</t>
  </si>
  <si>
    <t>PO BOX 80983</t>
  </si>
  <si>
    <t>2111-23-0030-2</t>
  </si>
  <si>
    <t>2111-23-0030-1</t>
  </si>
  <si>
    <t>6 Yard Commercial Containers</t>
  </si>
  <si>
    <t>25 YD Drop-Boxes</t>
  </si>
  <si>
    <t>6 YD FEL Containers Peak Style</t>
  </si>
  <si>
    <t>6 YD FEL Containers Peak style</t>
  </si>
  <si>
    <t>2023 Peterbilt REL Truck - Body - Rollover 2111-22-0010</t>
  </si>
  <si>
    <t>3BPDLK0X3PF115379</t>
  </si>
  <si>
    <t>2023 Peterbilt REL Truck-Remaining Balance</t>
  </si>
  <si>
    <t>2111-22-0010-1</t>
  </si>
  <si>
    <t>2180-10-0018-1</t>
  </si>
  <si>
    <t>Weld Shop Demo and Paving</t>
  </si>
  <si>
    <t>2111-22-0019-1</t>
  </si>
  <si>
    <t>Scales</t>
  </si>
  <si>
    <t>2111-22-0018-1</t>
  </si>
  <si>
    <t>20 Gallon MSW Cart Inserts</t>
  </si>
  <si>
    <t>PO BOX 514457</t>
  </si>
  <si>
    <t>2111-23-0038-1</t>
  </si>
  <si>
    <t>80L NB GARBAGE ROC FOREST Carts</t>
  </si>
  <si>
    <t>20 Gallon MB GARBAGE ROC BLACK Carts</t>
  </si>
  <si>
    <t>10 Gal MSW Cart inserts</t>
  </si>
  <si>
    <t>C/O WASTEQUIP LLC</t>
  </si>
  <si>
    <t>New Security System- Container Storage Yard</t>
  </si>
  <si>
    <t>2111-23-0032-2</t>
  </si>
  <si>
    <t>2111-23-0037-1</t>
  </si>
  <si>
    <t>New Security System- Tire Shop</t>
  </si>
  <si>
    <t>ADT COMMERCIAL</t>
  </si>
  <si>
    <t>2111-23-0032-1</t>
  </si>
  <si>
    <t>Peterbilt 378 Tractor Engine Replacement</t>
  </si>
  <si>
    <t>CUMMINS INC</t>
  </si>
  <si>
    <t>2111-23-0039-1</t>
  </si>
  <si>
    <t>2022 International REL Truck</t>
  </si>
  <si>
    <t>3HAEKTAR7NL467064</t>
  </si>
  <si>
    <t>2111-22-0029-1</t>
  </si>
  <si>
    <t>3HAEKTAR0NL467066</t>
  </si>
  <si>
    <t>2111-22-0030-1</t>
  </si>
  <si>
    <t>4 YD Front Load Containers w/ Lockbars</t>
  </si>
  <si>
    <t>4 Yd Front Load Containers</t>
  </si>
  <si>
    <t>1XPCPP9X8KD606562</t>
  </si>
  <si>
    <t>2112-21-0029</t>
  </si>
  <si>
    <t>HP USB-C G5 Essential Dock - SN: 5CG244VQ4H</t>
  </si>
  <si>
    <t>CDW DIR #14111</t>
  </si>
  <si>
    <t>2111-23-0036-1</t>
  </si>
  <si>
    <t>HP ProBook 450 G9 Notebook - SN: 5CD3072ZSJ</t>
  </si>
  <si>
    <t>New Security System - Tire Shop</t>
  </si>
  <si>
    <t>Install Lift Gate-2022 Van</t>
  </si>
  <si>
    <t>NATIONAL TRUCK AND PAINT</t>
  </si>
  <si>
    <t>2111-23-0034-1</t>
  </si>
  <si>
    <t>Fuel Island-Remaining balance</t>
  </si>
  <si>
    <t>CDW DIR #70302</t>
  </si>
  <si>
    <t>2111-23-0033-1</t>
  </si>
  <si>
    <t>New Security System - Labor and Materials</t>
  </si>
  <si>
    <t>ADT</t>
  </si>
  <si>
    <t>2111-22-0046-1</t>
  </si>
  <si>
    <t>New Security System - Labor install charge</t>
  </si>
  <si>
    <t>New Security System</t>
  </si>
  <si>
    <t>License &amp; Registration Truck 1HTEJTAL5NH670278</t>
  </si>
  <si>
    <t>2111-22-0005-1</t>
  </si>
  <si>
    <t>2111-22-0021</t>
  </si>
  <si>
    <t>2023 Peterbilt ASL Truck-Body</t>
  </si>
  <si>
    <t>3BPDLK0X0PF114125</t>
  </si>
  <si>
    <t>2111-22-0005</t>
  </si>
  <si>
    <t>2111-23-0031-1</t>
  </si>
  <si>
    <t>2023 Peterbilt ASL Truck-Chassis</t>
  </si>
  <si>
    <t>Event recorder- 2023 ASL</t>
  </si>
  <si>
    <t>2111-22-0007-1</t>
  </si>
  <si>
    <t>New ASL Peterbilt - Event Recorder</t>
  </si>
  <si>
    <t>95g MSW Carts</t>
  </si>
  <si>
    <t>2022 Chevrolet Express 3500 CD Box Van Truck</t>
  </si>
  <si>
    <t>1GB3GSC78N1234809</t>
  </si>
  <si>
    <t>Box Van</t>
  </si>
  <si>
    <t>2111-22-0050</t>
  </si>
  <si>
    <t>3BPDLK0X4PF114127</t>
  </si>
  <si>
    <t>2111-22-0007</t>
  </si>
  <si>
    <t>Fuel Island - Landscaping</t>
  </si>
  <si>
    <t>BUCKLEY NURSERY COMPANY</t>
  </si>
  <si>
    <t>Reefer EMCU528844 45-foot-high cube</t>
  </si>
  <si>
    <t>3rd Eye Installs</t>
  </si>
  <si>
    <t>VELOCITI INC</t>
  </si>
  <si>
    <t>1010-22-0041-1</t>
  </si>
  <si>
    <t>YG-5</t>
  </si>
  <si>
    <t>GL-2</t>
  </si>
  <si>
    <t>TBD</t>
  </si>
  <si>
    <t>C-10</t>
  </si>
  <si>
    <t>Sum of Asset Cost</t>
  </si>
  <si>
    <t>HARDWARE AND SOFTWARE</t>
  </si>
  <si>
    <t>TBA</t>
  </si>
  <si>
    <t>STL</t>
  </si>
  <si>
    <t>YES</t>
  </si>
  <si>
    <t>LAND</t>
  </si>
  <si>
    <t>TRUCKS AND TRAILERS</t>
  </si>
  <si>
    <t>CONTAINERS</t>
  </si>
  <si>
    <t>30 YD</t>
  </si>
  <si>
    <t>RO Box</t>
  </si>
  <si>
    <t>1 YD</t>
  </si>
  <si>
    <t>FEL/REL/SL Metal</t>
  </si>
  <si>
    <t>SHOP EQUIPMENT</t>
  </si>
  <si>
    <t>BUILDINGS</t>
  </si>
  <si>
    <t>OFFICE EQUIPMENT</t>
  </si>
  <si>
    <t>GOODWILL</t>
  </si>
  <si>
    <t>INDEFINITE LIVED INTANGIBLES</t>
  </si>
  <si>
    <t>5 - Princeton Ultra 52 15 Monitor</t>
  </si>
  <si>
    <t>8 - 15 Monitors</t>
  </si>
  <si>
    <t>HEAVY EQUIPMENT</t>
  </si>
  <si>
    <t>2 YD</t>
  </si>
  <si>
    <t>17 Proview Monitor</t>
  </si>
  <si>
    <t>1.5 YD</t>
  </si>
  <si>
    <t>LAND IMPROVEMENTS</t>
  </si>
  <si>
    <t>Rear Loader</t>
  </si>
  <si>
    <t>4 YD</t>
  </si>
  <si>
    <t>HV-966F Loader</t>
  </si>
  <si>
    <t>4YG00643</t>
  </si>
  <si>
    <t>LRI</t>
  </si>
  <si>
    <t>735-01</t>
  </si>
  <si>
    <t>Yard Bucket</t>
  </si>
  <si>
    <t>966 Loader &amp; Freighter</t>
  </si>
  <si>
    <t>Replace Engine &amp; Rebuild Transmission for Unit# 708-01</t>
  </si>
  <si>
    <t>2190-11-0041-1</t>
  </si>
  <si>
    <t>25 YD</t>
  </si>
  <si>
    <t>Carts/Toters</t>
  </si>
  <si>
    <t>1.5 Yard RL Waste Containers</t>
  </si>
  <si>
    <t>06-2112-005</t>
  </si>
  <si>
    <t>LEASEHOLD IMPROVEMENTS</t>
  </si>
  <si>
    <t>Pickup Truck</t>
  </si>
  <si>
    <t>6 YD</t>
  </si>
  <si>
    <t>2007 Type H TSide ASL</t>
  </si>
  <si>
    <t>3BPZLD9X87F717683</t>
  </si>
  <si>
    <t>Automated Side Loader</t>
  </si>
  <si>
    <t>2009 Type H TSide ASL</t>
  </si>
  <si>
    <t>3BPZL50X29F719192</t>
  </si>
  <si>
    <t>Autogreaser for Truck 3621</t>
  </si>
  <si>
    <t>2183-8-0002-1</t>
  </si>
  <si>
    <t>Front Loader</t>
  </si>
  <si>
    <t>25 Yard R/O Containers</t>
  </si>
  <si>
    <t>C2</t>
  </si>
  <si>
    <t>Retriever</t>
  </si>
  <si>
    <t>Side Loader</t>
  </si>
  <si>
    <t>Flatbed Trailer</t>
  </si>
  <si>
    <t>Differential - Front</t>
  </si>
  <si>
    <t>Differential - Rear</t>
  </si>
  <si>
    <t>2002 Used Ford F150 Supervisor Pick Up</t>
  </si>
  <si>
    <t>2FTRX18W22CA19954</t>
  </si>
  <si>
    <t>Other Trailer</t>
  </si>
  <si>
    <t>HP ProBook 650 G2 - 15.6 Laptop</t>
  </si>
  <si>
    <t>(8) Acer V226HQL - LED Monitors - 21.5</t>
  </si>
  <si>
    <t>New Laptop - Panasonic Toughbook 53 Lite 14</t>
  </si>
  <si>
    <t>20 YD</t>
  </si>
  <si>
    <t>45x48 WCI Decals Printed Green &amp; Blue on White</t>
  </si>
  <si>
    <t>OTHER INTANGIBLES</t>
  </si>
  <si>
    <t>1 Yard FEL Containers</t>
  </si>
  <si>
    <t>2148-10-0010-1</t>
  </si>
  <si>
    <t>HP ProBook 640 G2 - 14 Laptop</t>
  </si>
  <si>
    <t>50 YD Container</t>
  </si>
  <si>
    <t>50 YD</t>
  </si>
  <si>
    <t>5 YD</t>
  </si>
  <si>
    <t>Roll Off Trailer</t>
  </si>
  <si>
    <t>"PT-14 A"</t>
  </si>
  <si>
    <t>2008 Homemade Container Chassis</t>
  </si>
  <si>
    <t>1S9CC53428T505312</t>
  </si>
  <si>
    <t>Homemade</t>
  </si>
  <si>
    <t>X</t>
  </si>
  <si>
    <t>2112-21-0021-4</t>
  </si>
  <si>
    <t>OD4</t>
  </si>
  <si>
    <t>2006 Helm Container Chassis</t>
  </si>
  <si>
    <t>1H9CC53467T347110</t>
  </si>
  <si>
    <t>06-2113-028</t>
  </si>
  <si>
    <t>Hooklift</t>
  </si>
  <si>
    <t>HP ProBook 450 G9 Notebook -Wolf Pro Security - 15.6 - SN: 5CD3031V42</t>
  </si>
  <si>
    <t xml:space="preserve">Capital Improvement - Install Wet Kit </t>
  </si>
  <si>
    <t>TRANSFER TRACTOR</t>
  </si>
  <si>
    <t>Uninsured</t>
  </si>
  <si>
    <t>2111-23-0046-1</t>
  </si>
  <si>
    <t>2004 Genie Man Lift Z45/25</t>
  </si>
  <si>
    <t>Z452504-22889</t>
  </si>
  <si>
    <t>Manlift</t>
  </si>
  <si>
    <t>chassis</t>
  </si>
  <si>
    <t>1H9CC53487T347111</t>
  </si>
  <si>
    <t>06-2113-029</t>
  </si>
  <si>
    <t>LEX-46</t>
  </si>
  <si>
    <t>1H9CC53426T347104</t>
  </si>
  <si>
    <t>06-2113-024</t>
  </si>
  <si>
    <t>LEX-42</t>
  </si>
  <si>
    <t>Chassis</t>
  </si>
  <si>
    <t>1H9CC534X6T347108</t>
  </si>
  <si>
    <t>06-2113-026</t>
  </si>
  <si>
    <t>LEX-44</t>
  </si>
  <si>
    <t>1H9CC53416T347109</t>
  </si>
  <si>
    <t>06-2113-027</t>
  </si>
  <si>
    <t>LEX45</t>
  </si>
  <si>
    <t>Licensing Truck 879</t>
  </si>
  <si>
    <t>AUTOMATED SIDE LOADER</t>
  </si>
  <si>
    <t>Lettering for Sideload 879</t>
  </si>
  <si>
    <t>2024 Peterbilt ROL Truck - Body</t>
  </si>
  <si>
    <t>ROLL OFF</t>
  </si>
  <si>
    <t>Licensing Truck 920</t>
  </si>
  <si>
    <t>Graphics to Cab of Tractor #453</t>
  </si>
  <si>
    <t>Licensing Truck 453</t>
  </si>
  <si>
    <t>FRONT LOADER</t>
  </si>
  <si>
    <t>Installing Graphics #920</t>
  </si>
  <si>
    <t>Lettering Applied</t>
  </si>
  <si>
    <t>Truck Licensing</t>
  </si>
  <si>
    <t>DECALS 2024 ASL TRUCK</t>
  </si>
  <si>
    <t>Lettering Sideload 881</t>
  </si>
  <si>
    <t>3BPDLK0X2RF116266</t>
  </si>
  <si>
    <t>PO BOX 24065</t>
  </si>
  <si>
    <t>2111-23-0012-1</t>
  </si>
  <si>
    <t>Truck Lettering</t>
  </si>
  <si>
    <t xml:space="preserve">2024 Peterbilt ASL Truck-Chassis </t>
  </si>
  <si>
    <t>3BPDLK0X8RF116269</t>
  </si>
  <si>
    <t>2111-23-0024-1</t>
  </si>
  <si>
    <t>2111-24-0019-1</t>
  </si>
  <si>
    <t>3BPDLK0X9RF116264</t>
  </si>
  <si>
    <t>2111-23-0010-1</t>
  </si>
  <si>
    <t>TRUCK LICENSING 883</t>
  </si>
  <si>
    <t>2024 Peterbilt ASL Truck - Body - Rollover 2111-23-0010</t>
  </si>
  <si>
    <t>2111-24-0018-1</t>
  </si>
  <si>
    <t>Lettering Applied to Truck 883</t>
  </si>
  <si>
    <t>Leachate Collection Improvements - Sanitary Sewer Tie-In</t>
  </si>
  <si>
    <t>6921 12TH ST E.</t>
  </si>
  <si>
    <t>2024 Wilkens Walking Floor Trailer</t>
  </si>
  <si>
    <t>1W91S5346RM288187</t>
  </si>
  <si>
    <t>184 SOUTH COUNTY ROAD 22</t>
  </si>
  <si>
    <t>WALKING FLOOR TRAILER</t>
  </si>
  <si>
    <t>2111-23-0025-1</t>
  </si>
  <si>
    <t>New Walking Floor Trailer (UTC) - Licensing</t>
  </si>
  <si>
    <t>Walking Floor Trailer</t>
  </si>
  <si>
    <t>1W91S5348RM288188</t>
  </si>
  <si>
    <t>2111-23-0026-1</t>
  </si>
  <si>
    <t>2024 Peterbilt ASL Truck - Body - Rollover 2111-23-0012</t>
  </si>
  <si>
    <t>2111-24-0021-1</t>
  </si>
  <si>
    <t>CARTS PLASTIC</t>
  </si>
  <si>
    <t>95 Gal</t>
  </si>
  <si>
    <t>2111-24-0022-1</t>
  </si>
  <si>
    <t>3BPDXKEX3RF697497</t>
  </si>
  <si>
    <t>2111-24-0009-1</t>
  </si>
  <si>
    <t>Licensing Truck 921</t>
  </si>
  <si>
    <t>Install of Graphics</t>
  </si>
  <si>
    <t>Truck 921</t>
  </si>
  <si>
    <t>2023 Gas GMC Savana 3500 Highroof Van</t>
  </si>
  <si>
    <t>7GZ37TC79PN001313</t>
  </si>
  <si>
    <t>GMC</t>
  </si>
  <si>
    <t>SERVICE TRUCK</t>
  </si>
  <si>
    <t>2111-24-0011-1</t>
  </si>
  <si>
    <t>95 Gallon Yardwaste Carts</t>
  </si>
  <si>
    <t>2111-24-0025-1</t>
  </si>
  <si>
    <t>95 Gallon MSW Carts</t>
  </si>
  <si>
    <t>Truck Tire Changer</t>
  </si>
  <si>
    <t>MISC</t>
  </si>
  <si>
    <t>2111-24-0028-1</t>
  </si>
  <si>
    <t>20 Gallon Garbage Inserts</t>
  </si>
  <si>
    <t>21 Gal</t>
  </si>
  <si>
    <t>2111-24-0024-1</t>
  </si>
  <si>
    <t>65 Gallon MSW Carts</t>
  </si>
  <si>
    <t>65 Gal</t>
  </si>
  <si>
    <t>HP ProBook 450 G10 15.6 Notebook - SN: 5CD351K1LL</t>
  </si>
  <si>
    <t>COMPUTERS</t>
  </si>
  <si>
    <t>2111-24-0030-1</t>
  </si>
  <si>
    <t>HP USB-C G5 Essential Dock - SN: 2TK406ZK93</t>
  </si>
  <si>
    <t>HP ProBook 450 G10 15.6 Notebook - SN: 5CD4101NKC</t>
  </si>
  <si>
    <t>2111-24-0027-1</t>
  </si>
  <si>
    <t>HP USB-C G5 Essential Dock - SN; 2TK406ZGMH</t>
  </si>
  <si>
    <t>2111-24-0029-1</t>
  </si>
  <si>
    <t>2 YD REL CONTAINERS</t>
  </si>
  <si>
    <t>REL METAL</t>
  </si>
  <si>
    <t>2111-24-0026-1</t>
  </si>
  <si>
    <t>95 GAL YW CARTS</t>
  </si>
  <si>
    <t>2025 Peterbilt ASL Truck</t>
  </si>
  <si>
    <t>3BPDLK0X4SF693905</t>
  </si>
  <si>
    <t>2111-24-0006-1</t>
  </si>
  <si>
    <t>2022 Isuzu Box Van Truck - PKG</t>
  </si>
  <si>
    <t>JALC4W168N7K03030</t>
  </si>
  <si>
    <t>CONTAINER DELIVERY TRUCK</t>
  </si>
  <si>
    <t>2111-24-0017-1</t>
  </si>
  <si>
    <t>2111-24-0031-1</t>
  </si>
  <si>
    <t>6 YD FL CONTAINERS</t>
  </si>
  <si>
    <t>1.5 YD REL CONTAINERS</t>
  </si>
  <si>
    <t>FEL METAL</t>
  </si>
  <si>
    <t>2111-24-0026-2</t>
  </si>
  <si>
    <t>10 Gallon Inserts</t>
  </si>
  <si>
    <t>20 Gal</t>
  </si>
  <si>
    <t>2111-24-0033-1</t>
  </si>
  <si>
    <t>24 Gallon Carts</t>
  </si>
  <si>
    <t>Replacement Swing Engine-Truck 605</t>
  </si>
  <si>
    <t>OTHER TRUCK</t>
  </si>
  <si>
    <t>Other Truck</t>
  </si>
  <si>
    <t>2111-24-0035-1</t>
  </si>
  <si>
    <t>Transmission Truck #603</t>
  </si>
  <si>
    <t>Truck 603</t>
  </si>
  <si>
    <t>REAR LOADER</t>
  </si>
  <si>
    <t>2111-24-0034-1</t>
  </si>
  <si>
    <t>DRIVE CAM UNIT</t>
  </si>
  <si>
    <t>Transit Van-Additional Accessories</t>
  </si>
  <si>
    <t>2111-24-0032-1</t>
  </si>
  <si>
    <t>Other Assets</t>
  </si>
  <si>
    <t>C4</t>
  </si>
  <si>
    <t>C6</t>
  </si>
  <si>
    <t>C8</t>
  </si>
  <si>
    <t>883</t>
  </si>
  <si>
    <t>WF-32</t>
  </si>
  <si>
    <t>129</t>
  </si>
  <si>
    <t>921</t>
  </si>
  <si>
    <t>C-16</t>
  </si>
  <si>
    <t>Cont. Del</t>
  </si>
  <si>
    <t>Front Load</t>
  </si>
  <si>
    <t>Automated</t>
  </si>
  <si>
    <t>603</t>
  </si>
  <si>
    <t>Average Investment 03/31/2025</t>
  </si>
  <si>
    <t>GRC</t>
  </si>
  <si>
    <t>Months Expensed</t>
  </si>
  <si>
    <t>Acquired Date</t>
  </si>
  <si>
    <t>Depreciation Recovered in Rates</t>
  </si>
  <si>
    <t>Unrecovered</t>
  </si>
  <si>
    <t>Recover over 3 Years</t>
  </si>
  <si>
    <t>Average Filing</t>
  </si>
  <si>
    <t>New 2024 3rd Eye Camera Upgrade --&gt; 2111</t>
  </si>
  <si>
    <t>xxxx</t>
  </si>
  <si>
    <t>1010-24-0084-1</t>
  </si>
  <si>
    <t>3BPDLK0X8RF118118</t>
  </si>
  <si>
    <t>2111-24-0005-1</t>
  </si>
  <si>
    <t>INSTALL DIGITAL MOBILE TRUCKING RADIO</t>
  </si>
  <si>
    <t>2024 Peterbilt ASL Truck- Body</t>
  </si>
  <si>
    <t>Lettering Applied to Sideload</t>
  </si>
  <si>
    <t>Registration/Tax</t>
  </si>
  <si>
    <t>Licensing for Box Van C-16</t>
  </si>
  <si>
    <t>2 YD FL Containers</t>
  </si>
  <si>
    <t>95 Gal MSW Carts</t>
  </si>
  <si>
    <t>2111-24-0038-1</t>
  </si>
  <si>
    <t>INSTALL DIGITAL MOBILE TRUNKING RADIO</t>
  </si>
  <si>
    <t>UNIT 890</t>
  </si>
  <si>
    <t>2111-24-0040-1</t>
  </si>
  <si>
    <t>2023 Isuzu REL Truck - PKG</t>
  </si>
  <si>
    <t>JALE5W167P7307856</t>
  </si>
  <si>
    <t>2111-24-0007-1</t>
  </si>
  <si>
    <t>Installed Lettering</t>
  </si>
  <si>
    <t>2111-24-0037-1</t>
  </si>
  <si>
    <t>Murreys Security Cameras</t>
  </si>
  <si>
    <t>SECURITY CAMS</t>
  </si>
  <si>
    <t>2111-24-0036-1</t>
  </si>
  <si>
    <t>20 Gallon Inserts</t>
  </si>
  <si>
    <t>2111-24-0041-1</t>
  </si>
  <si>
    <t>2111-24-0044-1</t>
  </si>
  <si>
    <t>95 Gal RECYCLE Carts</t>
  </si>
  <si>
    <t>95 Gal YW Carts</t>
  </si>
  <si>
    <t>Column Definitions</t>
  </si>
  <si>
    <t>TruckRequest#</t>
  </si>
  <si>
    <t>PONum_Modified</t>
  </si>
  <si>
    <t>CurrentProjectNumber_FPS</t>
  </si>
  <si>
    <t>ProjectNumber_FPS</t>
  </si>
  <si>
    <t>DeleteFlag</t>
  </si>
  <si>
    <t>BusinessUnitCode</t>
  </si>
  <si>
    <t>PoNumber</t>
  </si>
  <si>
    <t>PoItemNumber</t>
  </si>
  <si>
    <t>ProjectName_FPS</t>
  </si>
  <si>
    <t>ItemDescription</t>
  </si>
  <si>
    <t>Explanation</t>
  </si>
  <si>
    <t>AssetSubType</t>
  </si>
  <si>
    <t>AddReplace</t>
  </si>
  <si>
    <t>Condition</t>
  </si>
  <si>
    <t>TruckCenterNum ValueList:RequestedTruckList</t>
  </si>
  <si>
    <t>Jan</t>
  </si>
  <si>
    <t>Feb</t>
  </si>
  <si>
    <t>Mar</t>
  </si>
  <si>
    <t>Apr</t>
  </si>
  <si>
    <t>May</t>
  </si>
  <si>
    <t>Jun</t>
  </si>
  <si>
    <t>Jul</t>
  </si>
  <si>
    <t>Aug</t>
  </si>
  <si>
    <t>Sep</t>
  </si>
  <si>
    <t>Oct</t>
  </si>
  <si>
    <t>Nov</t>
  </si>
  <si>
    <t>Dec</t>
  </si>
  <si>
    <t>FASNum</t>
  </si>
  <si>
    <t>ReplacementNotes</t>
  </si>
  <si>
    <t>EquipmentNum</t>
  </si>
  <si>
    <t>EquipmentModelYear</t>
  </si>
  <si>
    <t>FileLink hlink:FileLink</t>
  </si>
  <si>
    <t>MessageToUser</t>
  </si>
  <si>
    <t>Formatting Range</t>
  </si>
  <si>
    <t>Report Formulas</t>
  </si>
  <si>
    <t>Pull</t>
  </si>
  <si>
    <t>Clear Hash:</t>
  </si>
  <si>
    <t>CC Query Drill:</t>
  </si>
  <si>
    <t>Pull AssetTypeList:</t>
  </si>
  <si>
    <t>Pull - BudCap:</t>
  </si>
  <si>
    <t>FASDescription</t>
  </si>
  <si>
    <t>Pull - FAS:</t>
  </si>
  <si>
    <t>Save</t>
  </si>
  <si>
    <t>Save:</t>
  </si>
  <si>
    <t>Hidden Parameters &amp; Notes</t>
  </si>
  <si>
    <t>Repull?:</t>
  </si>
  <si>
    <t>FilterHash:</t>
  </si>
  <si>
    <t>84E5545EE08571B31846DA30FDA34E</t>
  </si>
  <si>
    <t>CC Query Summary Level:</t>
  </si>
  <si>
    <t>By Change</t>
  </si>
  <si>
    <t>Exclude Items:</t>
  </si>
  <si>
    <t>Pull Blank Rows:</t>
  </si>
  <si>
    <t>Yes</t>
  </si>
  <si>
    <t>For Drill</t>
  </si>
  <si>
    <t>Report Area Below</t>
  </si>
  <si>
    <t>Dist / Div / Reg:</t>
  </si>
  <si>
    <t>Budget Year:</t>
  </si>
  <si>
    <t>IMPORTANT:  Pull your district(s) BEFORE inputting.  This will auto create new lines for you and prepare the page for input.</t>
  </si>
  <si>
    <t>Recon Check Against Garage</t>
  </si>
  <si>
    <t>CAPITAL DETAIL</t>
  </si>
  <si>
    <t>Replacement Info</t>
  </si>
  <si>
    <t>Suggested Description</t>
  </si>
  <si>
    <t>New / Used</t>
  </si>
  <si>
    <t>Truck Type</t>
  </si>
  <si>
    <t>Truck Cost</t>
  </si>
  <si>
    <t>Delete on Save</t>
  </si>
  <si>
    <t>PO #</t>
  </si>
  <si>
    <t>Item #</t>
  </si>
  <si>
    <t>PO Description (Required)</t>
  </si>
  <si>
    <t>PO Item Description</t>
  </si>
  <si>
    <t>PO Explanation</t>
  </si>
  <si>
    <t>SubType</t>
  </si>
  <si>
    <t>LOB</t>
  </si>
  <si>
    <t>A / R</t>
  </si>
  <si>
    <t>N / U</t>
  </si>
  <si>
    <t>FAS #</t>
  </si>
  <si>
    <t>FAS Description</t>
  </si>
  <si>
    <t>Replacement Notes</t>
  </si>
  <si>
    <t>Site Eq #</t>
  </si>
  <si>
    <t>Folder/File Link</t>
  </si>
  <si>
    <t>Save Message</t>
  </si>
  <si>
    <t>PO Description</t>
  </si>
  <si>
    <t>Note</t>
  </si>
  <si>
    <t>Garage</t>
  </si>
  <si>
    <t>PO Center</t>
  </si>
  <si>
    <t>Garage $</t>
  </si>
  <si>
    <t>Prior PO</t>
  </si>
  <si>
    <t>Prior PO $</t>
  </si>
  <si>
    <t>Variance</t>
  </si>
  <si>
    <t>0001-1</t>
  </si>
  <si>
    <t>New Peterbilt/Labrie ASL Resi Dump Body</t>
  </si>
  <si>
    <t>Replacing ASL #811 (2003 Autocar - 264,000 Miles &amp; 27,000 Hours) - last remaining air arm. The outward swing of the air arm creates safety concerns, and there are very few people trained to safely operate.</t>
  </si>
  <si>
    <t>New Trucks</t>
  </si>
  <si>
    <t>Resi</t>
  </si>
  <si>
    <t>R</t>
  </si>
  <si>
    <t>N</t>
  </si>
  <si>
    <t>0002-1</t>
  </si>
  <si>
    <t>New Peterbilt/McNeilus Rearload 3 Axle (25-32 yd)</t>
  </si>
  <si>
    <t>Replacing Rearload #623 (2009 International - 203,000 Miles &amp; 24,000 Hours) This truck has a Maxxforce engine that has continuous problems creating a financial drag on the maintenance and ops department leading to decreased driver/frontline morale.</t>
  </si>
  <si>
    <t>Rear Load</t>
  </si>
  <si>
    <t>Comm</t>
  </si>
  <si>
    <t>0003-1</t>
  </si>
  <si>
    <t>New F150 Super Cab 4x2 Gasoline</t>
  </si>
  <si>
    <t>Replacing Sup Truck #105 (2001 Ford) - This truck was vandalized and the cost of needed repairs exceeds the value of the truck.</t>
  </si>
  <si>
    <t>Resi/Comm</t>
  </si>
  <si>
    <t>0004-1</t>
  </si>
  <si>
    <t>Replacing Rearload #600 (2009 International - 185,000 Miles &amp; 22,000 Hours) This truck has a Maxxforce engine that has continuous problems creating a financial drag on the maintenance and ops department leading to decreased driver/frontline morale.</t>
  </si>
  <si>
    <t>0005-1</t>
  </si>
  <si>
    <t>New Other/New Way Rearload 2 Axle (6-14 yd)</t>
  </si>
  <si>
    <t>Replacing Rearload #151 (2011 Isuzu - 315,000 Miles &amp; 21,000 Hours). This is our oldest mini which has been deteriorating at a faster rate leading to a significantly higher down time compared to other assets.</t>
  </si>
  <si>
    <t>0006-1</t>
  </si>
  <si>
    <t>Maintenance Shop Mezzanine</t>
  </si>
  <si>
    <t>Adding Mezzanine to the shop will increase storage capacity for light parts, this was planned as part of the original shop design but not completed. This will enable us to increase efficiency by having more parts on hand to make repairs.</t>
  </si>
  <si>
    <t>0007-1</t>
  </si>
  <si>
    <t>Cat 938M Loader</t>
  </si>
  <si>
    <t>Replacing Cat Loader 913 (2019 Caterpillar 914M Wheel Loader - 10,600 Hours) will be transferred to 2187 to replace their 2010 Caterpillar 904H (FAS # 78335) with more than 14k hours on it. This loader is not properly sized for the amount of material being processed at Murrey's.</t>
  </si>
  <si>
    <t>Heavy Equipment Non-E&amp;P</t>
  </si>
  <si>
    <t>Resi/Comm Recycling</t>
  </si>
  <si>
    <t>0008-1</t>
  </si>
  <si>
    <t>Industrial Pressure washer</t>
  </si>
  <si>
    <t>Industrial Pressure Washer</t>
  </si>
  <si>
    <t>Replacing current pressure washer - machine is outdated and has required more than $15K in repairs and more than $10K in rental expense.</t>
  </si>
  <si>
    <t>Resi Garbage &amp; Recycling</t>
  </si>
  <si>
    <t>0039-1</t>
  </si>
  <si>
    <t>24 Rollover - New Peterbilt/Labrie ASL Resi Dump Body</t>
  </si>
  <si>
    <t>Replacing ASL #3621 (2009 Peterbilt - 265,000 Miles &amp; 25,000 Hours) This truck requires an engine rebuild with history of bad oil samples.</t>
  </si>
  <si>
    <t>0040-1</t>
  </si>
  <si>
    <t>Replacing ASL #3615 (2007 Peterbilt - 325,000 Miles &amp; 27,000 Hours) This truck was an inherited unit, destined for scrap by Pacific, before Murrey's claimed it for use.</t>
  </si>
  <si>
    <t/>
  </si>
  <si>
    <t>End of List (save and re-pull for at least 5 more rows)</t>
  </si>
  <si>
    <t>TOTAL CAPITAL</t>
  </si>
  <si>
    <t>Budgeted Purchases</t>
  </si>
  <si>
    <t>Test Period Depreciation</t>
  </si>
  <si>
    <t>Net Book Value</t>
  </si>
  <si>
    <t>Truck 633 Transmission Rebuild</t>
  </si>
  <si>
    <t>2111-24-0048-1</t>
  </si>
  <si>
    <t>Truck 633 Transmission Rebuild - Freight, Seal and Tax</t>
  </si>
  <si>
    <t>Licensing Truck 886</t>
  </si>
  <si>
    <t>3BPDLK0X8SF693907</t>
  </si>
  <si>
    <t>2111-24-0003-1</t>
  </si>
  <si>
    <t>2024 Ford F-150 PICKUP TRUCK</t>
  </si>
  <si>
    <t>1FTEX1KP4RKE68333</t>
  </si>
  <si>
    <t>PICKUP TRUCK</t>
  </si>
  <si>
    <t>2111-24-0050-1</t>
  </si>
  <si>
    <t>Tablet Mount and Charger</t>
  </si>
  <si>
    <t>3BPDLK0X6SF693906</t>
  </si>
  <si>
    <t>AUTOMATED FRONT LOADER</t>
  </si>
  <si>
    <t>Automated Front Loader</t>
  </si>
  <si>
    <t>2111-24-0002-1</t>
  </si>
  <si>
    <t>Tablet Mount and Charger - Truck 884</t>
  </si>
  <si>
    <t>Tablet Mount and Charger - Truck 306</t>
  </si>
  <si>
    <t>Tablet Mount and Charger - Truck 887</t>
  </si>
  <si>
    <t>Tablet Mount and Charger - Truck 885</t>
  </si>
  <si>
    <t>95 Gal Recycle Carts</t>
  </si>
  <si>
    <t>2111-24-0043-1</t>
  </si>
  <si>
    <t>2111-24-0043-2</t>
  </si>
  <si>
    <t>6 YD FL Container</t>
  </si>
  <si>
    <t>New REL Isuzu - Registration &amp; Tax</t>
  </si>
  <si>
    <t>2025 Peterbilt ASL Truck- Body</t>
  </si>
  <si>
    <t>Murrey Security Camera</t>
  </si>
  <si>
    <t>2024-12</t>
  </si>
  <si>
    <t>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</si>
</sst>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quot;$&quot;#,##0\ ;\(&quot;$&quot;#,##0\)"/>
    <numFmt numFmtId="168" formatCode="_([$€-2]* #,##0.00_);_([$€-2]* \(#,##0.00\);_([$€-2]* &quot;-&quot;??_)"/>
    <numFmt numFmtId="169" formatCode="0.0%"/>
    <numFmt numFmtId="170" formatCode="[h]:mm"/>
    <numFmt numFmtId="171" formatCode="m/d/yy;@"/>
    <numFmt numFmtId="172" formatCode="mm/dd/yy;@"/>
    <numFmt numFmtId="173" formatCode="000#"/>
    <numFmt numFmtId="174" formatCode="0_);\(0\)"/>
    <numFmt numFmtId="175" formatCode="mmm"/>
    <numFmt numFmtId="176" formatCode="0000\-00\-0000\-0"/>
    <numFmt numFmtId="177" formatCode="_(* #,##0,_);_(* \(#,##0,\);_(* &quot;-&quot;_);_(@_)"/>
  </numFmts>
  <fonts count="149">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9"/>
      <name val="Arial"/>
      <family val="2"/>
    </font>
    <font>
      <sz val="8"/>
      <name val="Arial"/>
      <family val="2"/>
    </font>
    <font>
      <sz val="12"/>
      <name val="Helv"/>
    </font>
    <font>
      <sz val="8"/>
      <color indexed="81"/>
      <name val="Tahoma"/>
      <family val="2"/>
    </font>
    <font>
      <b/>
      <sz val="8"/>
      <color indexed="81"/>
      <name val="Tahoma"/>
      <family val="2"/>
    </font>
    <font>
      <sz val="9"/>
      <color indexed="81"/>
      <name val="Tahoma"/>
      <family val="2"/>
    </font>
    <font>
      <b/>
      <sz val="9"/>
      <color indexed="81"/>
      <name val="Tahoma"/>
      <family val="2"/>
    </font>
    <font>
      <sz val="7"/>
      <color indexed="81"/>
      <name val="Tahoma"/>
      <family val="2"/>
    </font>
    <font>
      <sz val="12"/>
      <name val="Arial"/>
      <family val="2"/>
    </font>
    <font>
      <b/>
      <u/>
      <sz val="9"/>
      <name val="Arial"/>
      <family val="2"/>
    </font>
    <font>
      <sz val="9"/>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color indexed="8"/>
      <name val="Calibri"/>
      <family val="2"/>
    </font>
    <font>
      <sz val="10"/>
      <color indexed="8"/>
      <name val="Arial"/>
      <family val="2"/>
    </font>
    <font>
      <sz val="12"/>
      <name val="Courier"/>
      <family val="3"/>
    </font>
    <font>
      <sz val="10"/>
      <name val="Times New Roman"/>
      <family val="1"/>
    </font>
    <font>
      <sz val="11"/>
      <color indexed="8"/>
      <name val="Arial"/>
      <family val="2"/>
    </font>
    <font>
      <b/>
      <sz val="10"/>
      <color indexed="12"/>
      <name val="Arial"/>
      <family val="2"/>
    </font>
    <font>
      <b/>
      <sz val="15"/>
      <color indexed="62"/>
      <name val="Calibri"/>
      <family val="2"/>
    </font>
    <font>
      <b/>
      <sz val="13"/>
      <color indexed="62"/>
      <name val="Calibri"/>
      <family val="2"/>
    </font>
    <font>
      <b/>
      <sz val="11"/>
      <color indexed="62"/>
      <name val="Calibri"/>
      <family val="2"/>
    </font>
    <font>
      <b/>
      <sz val="11"/>
      <color indexed="61"/>
      <name val="Calibri"/>
      <family val="2"/>
    </font>
    <font>
      <u/>
      <sz val="10"/>
      <color indexed="12"/>
      <name val="Arial"/>
      <family val="2"/>
    </font>
    <font>
      <u/>
      <sz val="11"/>
      <color indexed="12"/>
      <name val="Calibri"/>
      <family val="2"/>
    </font>
    <font>
      <sz val="11"/>
      <color indexed="61"/>
      <name val="Calibri"/>
      <family val="2"/>
    </font>
    <font>
      <sz val="10"/>
      <color indexed="12"/>
      <name val="Arial"/>
      <family val="2"/>
    </font>
    <font>
      <sz val="10"/>
      <name val="MS Sans Serif"/>
      <family val="2"/>
    </font>
    <font>
      <sz val="12"/>
      <color indexed="8"/>
      <name val="Calibri"/>
      <family val="2"/>
    </font>
    <font>
      <b/>
      <sz val="11"/>
      <color indexed="10"/>
      <name val="Calibri"/>
      <family val="2"/>
    </font>
    <font>
      <sz val="11"/>
      <color indexed="8"/>
      <name val="Calibri"/>
      <family val="2"/>
    </font>
    <font>
      <sz val="12"/>
      <color indexed="8"/>
      <name val="Calibri"/>
      <family val="2"/>
    </font>
    <font>
      <b/>
      <sz val="12"/>
      <color indexed="12"/>
      <name val="Times New Roman"/>
      <family val="1"/>
    </font>
    <font>
      <b/>
      <sz val="10"/>
      <color indexed="10"/>
      <name val="Arial"/>
      <family val="2"/>
    </font>
    <font>
      <b/>
      <sz val="11"/>
      <color indexed="51"/>
      <name val="Calibri"/>
      <family val="2"/>
    </font>
    <font>
      <b/>
      <sz val="11"/>
      <color indexed="18"/>
      <name val="Britannic Bold"/>
      <family val="2"/>
    </font>
    <font>
      <sz val="12"/>
      <name val="CG Omega"/>
    </font>
    <font>
      <sz val="11"/>
      <name val="Bookman Old Style"/>
      <family val="1"/>
    </font>
    <font>
      <b/>
      <sz val="15"/>
      <color indexed="61"/>
      <name val="Calibri"/>
      <family val="2"/>
    </font>
    <font>
      <b/>
      <sz val="13"/>
      <color indexed="61"/>
      <name val="Calibri"/>
      <family val="2"/>
    </font>
    <font>
      <u/>
      <sz val="10"/>
      <name val="Arial"/>
      <family val="2"/>
    </font>
    <font>
      <u/>
      <sz val="7.5"/>
      <color indexed="12"/>
      <name val="Arial"/>
      <family val="2"/>
    </font>
    <font>
      <sz val="11"/>
      <color indexed="51"/>
      <name val="Calibri"/>
      <family val="2"/>
    </font>
    <font>
      <sz val="11"/>
      <color indexed="59"/>
      <name val="Calibri"/>
      <family val="2"/>
    </font>
    <font>
      <sz val="11"/>
      <color indexed="19"/>
      <name val="Calibri"/>
      <family val="2"/>
    </font>
    <font>
      <u/>
      <sz val="11"/>
      <color indexed="12"/>
      <name val="Arial"/>
      <family val="2"/>
    </font>
    <font>
      <b/>
      <sz val="14"/>
      <name val="Helv"/>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8000000000000007"/>
      <color theme="10"/>
      <name val="Calibri"/>
      <family val="2"/>
    </font>
    <font>
      <u/>
      <sz val="9.35"/>
      <color theme="10"/>
      <name val="Calibri"/>
      <family val="2"/>
    </font>
    <font>
      <u/>
      <sz val="11"/>
      <color theme="10"/>
      <name val="Calibri"/>
      <family val="2"/>
    </font>
    <font>
      <u/>
      <sz val="11"/>
      <color theme="10"/>
      <name val="Calibri"/>
      <family val="2"/>
      <scheme val="minor"/>
    </font>
    <font>
      <u/>
      <sz val="11"/>
      <color theme="10"/>
      <name val="Century Gothic"/>
      <family val="2"/>
    </font>
    <font>
      <sz val="11"/>
      <color rgb="FF3F3F76"/>
      <name val="Calibri"/>
      <family val="2"/>
      <scheme val="minor"/>
    </font>
    <font>
      <sz val="11"/>
      <color rgb="FFFA7D00"/>
      <name val="Calibri"/>
      <family val="2"/>
      <scheme val="minor"/>
    </font>
    <font>
      <sz val="11"/>
      <color rgb="FF9C6500"/>
      <name val="Calibri"/>
      <family val="2"/>
      <scheme val="minor"/>
    </font>
    <font>
      <sz val="12"/>
      <color theme="1"/>
      <name val="Calibri"/>
      <family val="2"/>
      <scheme val="minor"/>
    </font>
    <font>
      <sz val="11"/>
      <color theme="1"/>
      <name val="Arial"/>
      <family val="2"/>
    </font>
    <font>
      <b/>
      <sz val="11"/>
      <name val="Calibri"/>
      <family val="2"/>
      <scheme val="minor"/>
    </font>
    <font>
      <sz val="11"/>
      <color indexed="12"/>
      <name val="Calibri"/>
      <family val="2"/>
      <scheme val="minor"/>
    </font>
    <font>
      <sz val="11"/>
      <name val="Calibri"/>
      <family val="2"/>
      <scheme val="minor"/>
    </font>
    <font>
      <b/>
      <u/>
      <sz val="11"/>
      <name val="Calibri"/>
      <family val="2"/>
      <scheme val="minor"/>
    </font>
    <font>
      <b/>
      <sz val="11"/>
      <color indexed="8"/>
      <name val="Calibri"/>
      <family val="2"/>
      <scheme val="minor"/>
    </font>
    <font>
      <b/>
      <sz val="11"/>
      <color rgb="FFFF0000"/>
      <name val="Calibri"/>
      <family val="2"/>
      <scheme val="minor"/>
    </font>
    <font>
      <sz val="11"/>
      <color indexed="10"/>
      <name val="Calibri"/>
      <family val="2"/>
      <scheme val="minor"/>
    </font>
    <font>
      <sz val="11"/>
      <color rgb="FFFF0000"/>
      <name val="Calibri"/>
      <family val="2"/>
      <scheme val="minor"/>
    </font>
    <font>
      <b/>
      <u/>
      <sz val="11"/>
      <color indexed="12"/>
      <name val="Calibri"/>
      <family val="2"/>
      <scheme val="minor"/>
    </font>
    <font>
      <b/>
      <i/>
      <sz val="11"/>
      <color indexed="8"/>
      <name val="Calibri"/>
      <family val="2"/>
      <scheme val="minor"/>
    </font>
    <font>
      <i/>
      <sz val="11"/>
      <color indexed="8"/>
      <name val="Calibri"/>
      <family val="2"/>
      <scheme val="minor"/>
    </font>
    <font>
      <sz val="11"/>
      <color indexed="8"/>
      <name val="Calibri"/>
      <family val="2"/>
      <scheme val="minor"/>
    </font>
    <font>
      <b/>
      <u/>
      <sz val="11"/>
      <color indexed="8"/>
      <name val="Calibri"/>
      <family val="2"/>
      <scheme val="minor"/>
    </font>
    <font>
      <sz val="12"/>
      <name val="Calibri"/>
      <family val="2"/>
      <scheme val="minor"/>
    </font>
    <font>
      <b/>
      <sz val="12"/>
      <name val="Calibri"/>
      <family val="2"/>
      <scheme val="minor"/>
    </font>
    <font>
      <sz val="9"/>
      <color indexed="8"/>
      <name val="Calibri"/>
      <family val="2"/>
    </font>
    <font>
      <sz val="10"/>
      <name val="Calibri"/>
      <family val="2"/>
      <scheme val="minor"/>
    </font>
    <font>
      <b/>
      <sz val="12"/>
      <name val="Helv"/>
    </font>
    <font>
      <i/>
      <sz val="12"/>
      <name val="Calibri"/>
      <family val="2"/>
      <scheme val="minor"/>
    </font>
    <font>
      <b/>
      <u/>
      <sz val="12"/>
      <name val="Calibri"/>
      <family val="2"/>
      <scheme val="minor"/>
    </font>
    <font>
      <sz val="11"/>
      <color rgb="FF0000FF"/>
      <name val="Calibri"/>
      <family val="2"/>
      <scheme val="minor"/>
    </font>
    <font>
      <b/>
      <sz val="11"/>
      <color theme="1"/>
      <name val="Calibri"/>
      <family val="2"/>
      <scheme val="minor"/>
    </font>
    <font>
      <b/>
      <sz val="14"/>
      <color theme="0"/>
      <name val="Calibri"/>
      <family val="2"/>
      <scheme val="minor"/>
    </font>
    <font>
      <sz val="10"/>
      <color theme="0"/>
      <name val="Calibri"/>
      <family val="2"/>
      <scheme val="minor"/>
    </font>
    <font>
      <b/>
      <sz val="28"/>
      <color theme="1"/>
      <name val="Calibri"/>
      <family val="2"/>
      <scheme val="minor"/>
    </font>
    <font>
      <sz val="9"/>
      <color theme="0"/>
      <name val="Calibri"/>
      <family val="2"/>
      <scheme val="minor"/>
    </font>
    <font>
      <b/>
      <sz val="12"/>
      <color theme="1"/>
      <name val="Helv"/>
    </font>
    <font>
      <b/>
      <sz val="16"/>
      <name val="Arial"/>
      <family val="2"/>
    </font>
    <font>
      <b/>
      <sz val="24"/>
      <name val="Arial"/>
      <family val="2"/>
    </font>
    <font>
      <b/>
      <i/>
      <sz val="12"/>
      <color rgb="FF0000CC"/>
      <name val="Helv"/>
    </font>
    <font>
      <b/>
      <sz val="11"/>
      <color rgb="FF0000CC"/>
      <name val="Calibri"/>
      <family val="2"/>
      <scheme val="minor"/>
    </font>
    <font>
      <sz val="11"/>
      <color rgb="FF0000CC"/>
      <name val="Calibri"/>
      <family val="2"/>
      <scheme val="minor"/>
    </font>
    <font>
      <b/>
      <sz val="11"/>
      <name val="Calibri"/>
      <family val="2"/>
    </font>
    <font>
      <b/>
      <sz val="12"/>
      <color theme="1"/>
      <name val="Calibri"/>
      <family val="2"/>
      <scheme val="minor"/>
    </font>
    <font>
      <sz val="9"/>
      <color rgb="FFC00000"/>
      <name val="Arial"/>
      <family val="2"/>
    </font>
    <font>
      <b/>
      <sz val="10"/>
      <color theme="4" tint="-0.499984740745262"/>
      <name val="Arial"/>
      <family val="2"/>
    </font>
    <font>
      <sz val="10"/>
      <color rgb="FF00B050"/>
      <name val="Calibri"/>
      <family val="2"/>
      <scheme val="minor"/>
    </font>
    <font>
      <sz val="10"/>
      <color theme="1"/>
      <name val="Arial"/>
      <family val="2"/>
    </font>
    <font>
      <b/>
      <u/>
      <sz val="11"/>
      <color theme="1"/>
      <name val="Calibri"/>
      <family val="2"/>
      <scheme val="minor"/>
    </font>
    <font>
      <b/>
      <sz val="12"/>
      <name val="Arial"/>
      <family val="2"/>
    </font>
    <font>
      <sz val="9"/>
      <color theme="1" tint="0.499984740745262"/>
      <name val="Arial"/>
      <family val="2"/>
    </font>
    <font>
      <b/>
      <sz val="9"/>
      <color rgb="FFFF0000"/>
      <name val="Arial"/>
      <family val="2"/>
    </font>
    <font>
      <b/>
      <sz val="10"/>
      <color rgb="FFFF0000"/>
      <name val="Arial"/>
      <family val="2"/>
    </font>
    <font>
      <i/>
      <sz val="11"/>
      <color theme="1"/>
      <name val="Calibri"/>
      <family val="2"/>
      <scheme val="minor"/>
    </font>
    <font>
      <b/>
      <sz val="12"/>
      <color indexed="62"/>
      <name val="Arial"/>
      <family val="2"/>
    </font>
    <font>
      <sz val="10"/>
      <color theme="4" tint="-0.499984740745262"/>
      <name val="Arial"/>
      <family val="2"/>
    </font>
    <font>
      <i/>
      <sz val="10"/>
      <color theme="4" tint="-0.499984740745262"/>
      <name val="Arial"/>
      <family val="2"/>
    </font>
    <font>
      <sz val="10"/>
      <color theme="4" tint="-0.499984740745262"/>
      <name val="Calibri"/>
      <family val="2"/>
      <scheme val="minor"/>
    </font>
    <font>
      <b/>
      <sz val="10"/>
      <color indexed="62"/>
      <name val="Arial"/>
      <family val="2"/>
    </font>
    <font>
      <i/>
      <sz val="10"/>
      <name val="Arial"/>
      <family val="2"/>
    </font>
    <font>
      <sz val="11"/>
      <color theme="4" tint="-0.499984740745262"/>
      <name val="Calibri"/>
      <family val="2"/>
      <scheme val="minor"/>
    </font>
    <font>
      <b/>
      <sz val="10"/>
      <name val="Arial"/>
      <family val="2"/>
    </font>
  </fonts>
  <fills count="97">
    <fill>
      <patternFill patternType="none"/>
    </fill>
    <fill>
      <patternFill patternType="gray125"/>
    </fill>
    <fill>
      <patternFill patternType="solid">
        <fgColor indexed="31"/>
      </patternFill>
    </fill>
    <fill>
      <patternFill patternType="solid">
        <fgColor indexed="22"/>
      </patternFill>
    </fill>
    <fill>
      <patternFill patternType="solid">
        <fgColor indexed="47"/>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48"/>
      </patternFill>
    </fill>
    <fill>
      <patternFill patternType="solid">
        <fgColor indexed="53"/>
      </patternFill>
    </fill>
    <fill>
      <patternFill patternType="solid">
        <fgColor indexed="36"/>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63"/>
      </patternFill>
    </fill>
    <fill>
      <patternFill patternType="solid">
        <fgColor indexed="42"/>
        <bgColor indexed="29"/>
      </patternFill>
    </fill>
    <fill>
      <patternFill patternType="solid">
        <fgColor indexed="45"/>
        <bgColor indexed="64"/>
      </patternFill>
    </fill>
    <fill>
      <patternFill patternType="solid">
        <fgColor indexed="9"/>
        <bgColor indexed="64"/>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solid">
        <fgColor indexed="1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theme="6" tint="0.59999389629810485"/>
        <bgColor indexed="64"/>
      </patternFill>
    </fill>
    <fill>
      <patternFill patternType="solid">
        <fgColor theme="0" tint="-0.14999847407452621"/>
        <bgColor indexed="64"/>
      </patternFill>
    </fill>
    <fill>
      <patternFill patternType="solid">
        <fgColor indexed="55"/>
        <bgColor indexed="64"/>
      </patternFill>
    </fill>
    <fill>
      <patternFill patternType="solid">
        <fgColor rgb="FF92D050"/>
        <bgColor indexed="64"/>
      </patternFill>
    </fill>
    <fill>
      <patternFill patternType="solid">
        <fgColor rgb="FFE7B9DE"/>
        <bgColor indexed="64"/>
      </patternFill>
    </fill>
    <fill>
      <patternFill patternType="solid">
        <fgColor rgb="FFFFFFCC"/>
        <bgColor indexed="64"/>
      </patternFill>
    </fill>
    <fill>
      <patternFill patternType="solid">
        <fgColor theme="9" tint="0.39997558519241921"/>
        <bgColor indexed="64"/>
      </patternFill>
    </fill>
    <fill>
      <patternFill patternType="solid">
        <fgColor rgb="FF00B050"/>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1"/>
        <bgColor indexed="64"/>
      </patternFill>
    </fill>
    <fill>
      <patternFill patternType="solid">
        <fgColor theme="8" tint="0.39997558519241921"/>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CCFFCC"/>
        <bgColor indexed="64"/>
      </patternFill>
    </fill>
    <fill>
      <patternFill patternType="solid">
        <fgColor theme="6" tint="0.39997558519241921"/>
        <bgColor indexed="64"/>
      </patternFill>
    </fill>
    <fill>
      <patternFill patternType="solid">
        <fgColor rgb="FF9FBBD9"/>
        <bgColor indexed="64"/>
      </patternFill>
    </fill>
    <fill>
      <patternFill patternType="solid">
        <fgColor rgb="FFDCE6F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D9D9D9"/>
        <bgColor indexed="64"/>
      </patternFill>
    </fill>
    <fill>
      <patternFill patternType="solid">
        <fgColor theme="0" tint="-0.249977111117893"/>
        <bgColor indexed="64"/>
      </patternFill>
    </fill>
    <fill>
      <patternFill patternType="solid">
        <fgColor indexed="43"/>
        <bgColor indexed="64"/>
      </patternFill>
    </fill>
    <fill>
      <patternFill patternType="solid">
        <fgColor theme="0" tint="-0.34998626667073579"/>
        <bgColor indexed="64"/>
      </patternFill>
    </fill>
  </fills>
  <borders count="66">
    <border>
      <left/>
      <right/>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49"/>
      </bottom>
      <diagonal/>
    </border>
    <border>
      <left/>
      <right/>
      <top/>
      <bottom style="thick">
        <color indexed="48"/>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49"/>
      </bottom>
      <diagonal/>
    </border>
    <border>
      <left/>
      <right/>
      <top/>
      <bottom style="medium">
        <color indexed="48"/>
      </bottom>
      <diagonal/>
    </border>
    <border>
      <left/>
      <right/>
      <top/>
      <bottom style="medium">
        <color indexed="27"/>
      </bottom>
      <diagonal/>
    </border>
    <border>
      <left/>
      <right/>
      <top/>
      <bottom style="double">
        <color indexed="52"/>
      </bottom>
      <diagonal/>
    </border>
    <border>
      <left/>
      <right/>
      <top/>
      <bottom style="double">
        <color indexed="51"/>
      </bottom>
      <diagonal/>
    </border>
    <border>
      <left/>
      <right/>
      <top/>
      <bottom style="double">
        <color indexed="1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auto="1"/>
      </top>
      <bottom style="double">
        <color auto="1"/>
      </bottom>
      <diagonal/>
    </border>
    <border>
      <left/>
      <right style="medium">
        <color indexed="64"/>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2199">
    <xf numFmtId="0" fontId="0" fillId="0" borderId="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4"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29" fillId="5" borderId="0" applyNumberFormat="0" applyBorder="0" applyAlignment="0" applyProtection="0"/>
    <xf numFmtId="0" fontId="77" fillId="36" borderId="0" applyNumberFormat="0" applyBorder="0" applyAlignment="0" applyProtection="0"/>
    <xf numFmtId="0" fontId="29" fillId="2" borderId="0" applyNumberFormat="0" applyBorder="0" applyAlignment="0" applyProtection="0"/>
    <xf numFmtId="0" fontId="29" fillId="7" borderId="0" applyNumberFormat="0" applyBorder="0" applyAlignment="0" applyProtection="0"/>
    <xf numFmtId="0" fontId="29" fillId="4" borderId="0" applyNumberFormat="0" applyBorder="0" applyAlignment="0" applyProtection="0"/>
    <xf numFmtId="0" fontId="29" fillId="7"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6" borderId="0" applyNumberFormat="0" applyBorder="0" applyAlignment="0" applyProtection="0"/>
    <xf numFmtId="0" fontId="77" fillId="37" borderId="0" applyNumberFormat="0" applyBorder="0" applyAlignment="0" applyProtection="0"/>
    <xf numFmtId="0" fontId="77" fillId="4" borderId="0" applyNumberFormat="0" applyBorder="0" applyAlignment="0" applyProtection="0"/>
    <xf numFmtId="0" fontId="77" fillId="37" borderId="0" applyNumberFormat="0" applyBorder="0" applyAlignment="0" applyProtection="0"/>
    <xf numFmtId="0" fontId="29" fillId="6" borderId="0" applyNumberFormat="0" applyBorder="0" applyAlignment="0" applyProtection="0"/>
    <xf numFmtId="0" fontId="29" fillId="9" borderId="0" applyNumberFormat="0" applyBorder="0" applyAlignment="0" applyProtection="0"/>
    <xf numFmtId="0" fontId="77" fillId="9"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8" borderId="0" applyNumberFormat="0" applyBorder="0" applyAlignment="0" applyProtection="0"/>
    <xf numFmtId="0" fontId="77" fillId="38" borderId="0" applyNumberFormat="0" applyBorder="0" applyAlignment="0" applyProtection="0"/>
    <xf numFmtId="0" fontId="77" fillId="9" borderId="0" applyNumberFormat="0" applyBorder="0" applyAlignment="0" applyProtection="0"/>
    <xf numFmtId="0" fontId="77" fillId="38" borderId="0" applyNumberFormat="0" applyBorder="0" applyAlignment="0" applyProtection="0"/>
    <xf numFmtId="0" fontId="29" fillId="8"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4"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29" fillId="4" borderId="0" applyNumberFormat="0" applyBorder="0" applyAlignment="0" applyProtection="0"/>
    <xf numFmtId="0" fontId="77" fillId="39" borderId="0" applyNumberFormat="0" applyBorder="0" applyAlignment="0" applyProtection="0"/>
    <xf numFmtId="0" fontId="29" fillId="10" borderId="0" applyNumberFormat="0" applyBorder="0" applyAlignment="0" applyProtection="0"/>
    <xf numFmtId="0" fontId="77" fillId="40" borderId="0" applyNumberFormat="0" applyBorder="0" applyAlignment="0" applyProtection="0"/>
    <xf numFmtId="0" fontId="29" fillId="11" borderId="0" applyNumberFormat="0" applyBorder="0" applyAlignment="0" applyProtection="0"/>
    <xf numFmtId="0" fontId="77" fillId="40" borderId="0" applyNumberFormat="0" applyBorder="0" applyAlignment="0" applyProtection="0"/>
    <xf numFmtId="0" fontId="29" fillId="11" borderId="0" applyNumberFormat="0" applyBorder="0" applyAlignment="0" applyProtection="0"/>
    <xf numFmtId="0" fontId="77" fillId="40" borderId="0" applyNumberFormat="0" applyBorder="0" applyAlignment="0" applyProtection="0"/>
    <xf numFmtId="0" fontId="29" fillId="11"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1" borderId="0" applyNumberFormat="0" applyBorder="0" applyAlignment="0" applyProtection="0"/>
    <xf numFmtId="0" fontId="29" fillId="9" borderId="0" applyNumberFormat="0" applyBorder="0" applyAlignment="0" applyProtection="0"/>
    <xf numFmtId="0" fontId="29" fillId="4" borderId="0" applyNumberFormat="0" applyBorder="0" applyAlignment="0" applyProtection="0"/>
    <xf numFmtId="0" fontId="29" fillId="9" borderId="0" applyNumberFormat="0" applyBorder="0" applyAlignment="0" applyProtection="0"/>
    <xf numFmtId="0" fontId="29" fillId="4" borderId="0" applyNumberFormat="0" applyBorder="0" applyAlignment="0" applyProtection="0"/>
    <xf numFmtId="0" fontId="29" fillId="9" borderId="0" applyNumberFormat="0" applyBorder="0" applyAlignment="0" applyProtection="0"/>
    <xf numFmtId="0" fontId="29" fillId="4"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11"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29" fillId="5" borderId="0" applyNumberFormat="0" applyBorder="0" applyAlignment="0" applyProtection="0"/>
    <xf numFmtId="0" fontId="77" fillId="43" borderId="0" applyNumberFormat="0" applyBorder="0" applyAlignment="0" applyProtection="0"/>
    <xf numFmtId="0" fontId="29" fillId="7" borderId="0" applyNumberFormat="0" applyBorder="0" applyAlignment="0" applyProtection="0"/>
    <xf numFmtId="0" fontId="77" fillId="43" borderId="0" applyNumberFormat="0" applyBorder="0" applyAlignment="0" applyProtection="0"/>
    <xf numFmtId="0" fontId="29" fillId="7" borderId="0" applyNumberFormat="0" applyBorder="0" applyAlignment="0" applyProtection="0"/>
    <xf numFmtId="0" fontId="77" fillId="43" borderId="0" applyNumberFormat="0" applyBorder="0" applyAlignment="0" applyProtection="0"/>
    <xf numFmtId="0" fontId="29" fillId="7"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29" fillId="13" borderId="0" applyNumberFormat="0" applyBorder="0" applyAlignment="0" applyProtection="0"/>
    <xf numFmtId="0" fontId="29" fillId="9"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2" borderId="0" applyNumberFormat="0" applyBorder="0" applyAlignment="0" applyProtection="0"/>
    <xf numFmtId="0" fontId="77" fillId="44" borderId="0" applyNumberFormat="0" applyBorder="0" applyAlignment="0" applyProtection="0"/>
    <xf numFmtId="0" fontId="77" fillId="9" borderId="0" applyNumberFormat="0" applyBorder="0" applyAlignment="0" applyProtection="0"/>
    <xf numFmtId="0" fontId="77" fillId="44" borderId="0" applyNumberFormat="0" applyBorder="0" applyAlignment="0" applyProtection="0"/>
    <xf numFmtId="0" fontId="29" fillId="12" borderId="0" applyNumberFormat="0" applyBorder="0" applyAlignment="0" applyProtection="0"/>
    <xf numFmtId="0" fontId="77" fillId="45"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29" fillId="10" borderId="0" applyNumberFormat="0" applyBorder="0" applyAlignment="0" applyProtection="0"/>
    <xf numFmtId="0" fontId="77" fillId="46"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5"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9"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29" fillId="14" borderId="0" applyNumberFormat="0" applyBorder="0" applyAlignment="0" applyProtection="0"/>
    <xf numFmtId="0" fontId="78" fillId="48"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1"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78" fillId="48" borderId="0" applyNumberFormat="0" applyBorder="0" applyAlignment="0" applyProtection="0"/>
    <xf numFmtId="0" fontId="78" fillId="49"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18" borderId="0" applyNumberFormat="0" applyBorder="0" applyAlignment="0" applyProtection="0"/>
    <xf numFmtId="0" fontId="30" fillId="7" borderId="0" applyNumberFormat="0" applyBorder="0" applyAlignment="0" applyProtection="0"/>
    <xf numFmtId="0" fontId="30" fillId="18" borderId="0" applyNumberFormat="0" applyBorder="0" applyAlignment="0" applyProtection="0"/>
    <xf numFmtId="0" fontId="78" fillId="49"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4"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30" fillId="14"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6"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6"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30" fillId="6" borderId="0" applyNumberFormat="0" applyBorder="0" applyAlignment="0" applyProtection="0"/>
    <xf numFmtId="0" fontId="78" fillId="52"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78" fillId="52" borderId="0" applyNumberFormat="0" applyBorder="0" applyAlignment="0" applyProtection="0"/>
    <xf numFmtId="0" fontId="30" fillId="7" borderId="0" applyNumberFormat="0" applyBorder="0" applyAlignment="0" applyProtection="0"/>
    <xf numFmtId="0" fontId="30" fillId="4" borderId="0" applyNumberFormat="0" applyBorder="0" applyAlignment="0" applyProtection="0"/>
    <xf numFmtId="0" fontId="30" fillId="7" borderId="0" applyNumberFormat="0" applyBorder="0" applyAlignment="0" applyProtection="0"/>
    <xf numFmtId="0" fontId="30" fillId="20" borderId="0" applyNumberFormat="0" applyBorder="0" applyAlignment="0" applyProtection="0"/>
    <xf numFmtId="0" fontId="30" fillId="7" borderId="0" applyNumberFormat="0" applyBorder="0" applyAlignment="0" applyProtection="0"/>
    <xf numFmtId="0" fontId="78" fillId="53" borderId="0" applyNumberFormat="0" applyBorder="0" applyAlignment="0" applyProtection="0"/>
    <xf numFmtId="0" fontId="78" fillId="5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2"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78" fillId="54" borderId="0" applyNumberFormat="0" applyBorder="0" applyAlignment="0" applyProtection="0"/>
    <xf numFmtId="0" fontId="78" fillId="55"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18" borderId="0" applyNumberFormat="0" applyBorder="0" applyAlignment="0" applyProtection="0"/>
    <xf numFmtId="0" fontId="30" fillId="23" borderId="0" applyNumberFormat="0" applyBorder="0" applyAlignment="0" applyProtection="0"/>
    <xf numFmtId="0" fontId="30" fillId="18" borderId="0" applyNumberFormat="0" applyBorder="0" applyAlignment="0" applyProtection="0"/>
    <xf numFmtId="0" fontId="78" fillId="55" borderId="0" applyNumberFormat="0" applyBorder="0" applyAlignment="0" applyProtection="0"/>
    <xf numFmtId="0" fontId="78" fillId="56"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2" borderId="0" applyNumberFormat="0" applyBorder="0" applyAlignment="0" applyProtection="0"/>
    <xf numFmtId="0" fontId="30" fillId="14" borderId="0" applyNumberFormat="0" applyBorder="0" applyAlignment="0" applyProtection="0"/>
    <xf numFmtId="0" fontId="30" fillId="24" borderId="0" applyNumberFormat="0" applyBorder="0" applyAlignment="0" applyProtection="0"/>
    <xf numFmtId="0" fontId="30" fillId="14"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19" borderId="0" applyNumberFormat="0" applyBorder="0" applyAlignment="0" applyProtection="0"/>
    <xf numFmtId="0" fontId="30" fillId="25"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30" fillId="17" borderId="0" applyNumberFormat="0" applyBorder="0" applyAlignment="0" applyProtection="0"/>
    <xf numFmtId="0" fontId="78" fillId="58" borderId="0" applyNumberFormat="0" applyBorder="0" applyAlignment="0" applyProtection="0"/>
    <xf numFmtId="0" fontId="30" fillId="17"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6" borderId="0" applyNumberFormat="0" applyBorder="0" applyAlignment="0" applyProtection="0"/>
    <xf numFmtId="0" fontId="78" fillId="58" borderId="0" applyNumberFormat="0" applyBorder="0" applyAlignment="0" applyProtection="0"/>
    <xf numFmtId="0" fontId="78" fillId="59"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0" borderId="0" applyNumberFormat="0" applyBorder="0" applyAlignment="0" applyProtection="0"/>
    <xf numFmtId="0" fontId="30" fillId="23" borderId="0" applyNumberFormat="0" applyBorder="0" applyAlignment="0" applyProtection="0"/>
    <xf numFmtId="0" fontId="30" fillId="18" borderId="0" applyNumberFormat="0" applyBorder="0" applyAlignment="0" applyProtection="0"/>
    <xf numFmtId="0" fontId="30" fillId="23" borderId="0" applyNumberFormat="0" applyBorder="0" applyAlignment="0" applyProtection="0"/>
    <xf numFmtId="0" fontId="78" fillId="59" borderId="0" applyNumberFormat="0" applyBorder="0" applyAlignment="0" applyProtection="0"/>
    <xf numFmtId="41" fontId="17" fillId="0" borderId="0"/>
    <xf numFmtId="41" fontId="17" fillId="0" borderId="0"/>
    <xf numFmtId="41" fontId="17" fillId="0" borderId="0"/>
    <xf numFmtId="41" fontId="17" fillId="0" borderId="0"/>
    <xf numFmtId="41" fontId="17" fillId="0" borderId="0"/>
    <xf numFmtId="41" fontId="17" fillId="0" borderId="0"/>
    <xf numFmtId="41" fontId="17" fillId="0" borderId="0"/>
    <xf numFmtId="49" fontId="63" fillId="0" borderId="0" applyFill="0" applyBorder="0" applyAlignment="0" applyProtection="0"/>
    <xf numFmtId="0" fontId="62" fillId="0" borderId="1" applyBorder="0">
      <alignment horizontal="center" vertical="center" wrapText="1"/>
    </xf>
    <xf numFmtId="0" fontId="62" fillId="0" borderId="1" applyBorder="0">
      <alignment horizontal="center" vertical="center" wrapText="1"/>
    </xf>
    <xf numFmtId="0" fontId="62" fillId="0" borderId="1" applyBorder="0">
      <alignment horizontal="center" vertical="center" wrapText="1"/>
    </xf>
    <xf numFmtId="0" fontId="62" fillId="0" borderId="1" applyBorder="0">
      <alignment horizontal="center" vertical="center" wrapText="1"/>
    </xf>
    <xf numFmtId="0" fontId="62" fillId="0" borderId="1" applyBorder="0">
      <alignment horizontal="center" vertical="center" wrapText="1"/>
    </xf>
    <xf numFmtId="0" fontId="79" fillId="60"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10" borderId="0" applyNumberFormat="0" applyBorder="0" applyAlignment="0" applyProtection="0"/>
    <xf numFmtId="0" fontId="31" fillId="6" borderId="0" applyNumberFormat="0" applyBorder="0" applyAlignment="0" applyProtection="0"/>
    <xf numFmtId="0" fontId="31" fillId="10" borderId="0" applyNumberFormat="0" applyBorder="0" applyAlignment="0" applyProtection="0"/>
    <xf numFmtId="0" fontId="79" fillId="60" borderId="0" applyNumberFormat="0" applyBorder="0" applyAlignment="0" applyProtection="0"/>
    <xf numFmtId="3" fontId="17" fillId="0" borderId="0"/>
    <xf numFmtId="3" fontId="17" fillId="0" borderId="0"/>
    <xf numFmtId="3" fontId="17" fillId="0" borderId="0"/>
    <xf numFmtId="3" fontId="17" fillId="0" borderId="0"/>
    <xf numFmtId="0" fontId="80" fillId="61" borderId="20"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64" fillId="26" borderId="2" applyNumberFormat="0" applyAlignment="0" applyProtection="0"/>
    <xf numFmtId="0" fontId="64" fillId="26" borderId="2" applyNumberFormat="0" applyAlignment="0" applyProtection="0"/>
    <xf numFmtId="0" fontId="64" fillId="26" borderId="2" applyNumberFormat="0" applyAlignment="0" applyProtection="0"/>
    <xf numFmtId="0" fontId="64" fillId="26" borderId="2" applyNumberFormat="0" applyAlignment="0" applyProtection="0"/>
    <xf numFmtId="0" fontId="64" fillId="26" borderId="2" applyNumberFormat="0" applyAlignment="0" applyProtection="0"/>
    <xf numFmtId="0" fontId="64" fillId="26" borderId="2" applyNumberFormat="0" applyAlignment="0" applyProtection="0"/>
    <xf numFmtId="0" fontId="64" fillId="26" borderId="2" applyNumberFormat="0" applyAlignment="0" applyProtection="0"/>
    <xf numFmtId="0" fontId="59" fillId="26" borderId="2" applyNumberFormat="0" applyAlignment="0" applyProtection="0"/>
    <xf numFmtId="0" fontId="59" fillId="26" borderId="2" applyNumberFormat="0" applyAlignment="0" applyProtection="0"/>
    <xf numFmtId="0" fontId="59" fillId="26" borderId="2" applyNumberFormat="0" applyAlignment="0" applyProtection="0"/>
    <xf numFmtId="0" fontId="59" fillId="26" borderId="2" applyNumberFormat="0" applyAlignment="0" applyProtection="0"/>
    <xf numFmtId="0" fontId="59" fillId="26" borderId="2" applyNumberFormat="0" applyAlignment="0" applyProtection="0"/>
    <xf numFmtId="0" fontId="59" fillId="26" borderId="2" applyNumberFormat="0" applyAlignment="0" applyProtection="0"/>
    <xf numFmtId="0" fontId="59"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59" fillId="26" borderId="2" applyNumberFormat="0" applyAlignment="0" applyProtection="0"/>
    <xf numFmtId="0" fontId="59" fillId="26" borderId="2" applyNumberFormat="0" applyAlignment="0" applyProtection="0"/>
    <xf numFmtId="0" fontId="59" fillId="26" borderId="2" applyNumberFormat="0" applyAlignment="0" applyProtection="0"/>
    <xf numFmtId="0" fontId="59" fillId="26" borderId="2" applyNumberFormat="0" applyAlignment="0" applyProtection="0"/>
    <xf numFmtId="0" fontId="59" fillId="26" borderId="2" applyNumberFormat="0" applyAlignment="0" applyProtection="0"/>
    <xf numFmtId="0" fontId="59" fillId="26" borderId="2" applyNumberFormat="0" applyAlignment="0" applyProtection="0"/>
    <xf numFmtId="0" fontId="59" fillId="26"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32" fillId="3" borderId="2" applyNumberFormat="0" applyAlignment="0" applyProtection="0"/>
    <xf numFmtId="0" fontId="59" fillId="26" borderId="2" applyNumberFormat="0" applyAlignment="0" applyProtection="0"/>
    <xf numFmtId="0" fontId="80" fillId="61" borderId="20" applyNumberFormat="0" applyAlignment="0" applyProtection="0"/>
    <xf numFmtId="0" fontId="59" fillId="26" borderId="2" applyNumberFormat="0" applyAlignment="0" applyProtection="0"/>
    <xf numFmtId="0" fontId="59" fillId="26" borderId="2" applyNumberFormat="0" applyAlignment="0" applyProtection="0"/>
    <xf numFmtId="0" fontId="59" fillId="26" borderId="2" applyNumberFormat="0" applyAlignment="0" applyProtection="0"/>
    <xf numFmtId="0" fontId="59" fillId="26" borderId="2" applyNumberFormat="0" applyAlignment="0" applyProtection="0"/>
    <xf numFmtId="0" fontId="59" fillId="26" borderId="2" applyNumberFormat="0" applyAlignment="0" applyProtection="0"/>
    <xf numFmtId="0" fontId="59" fillId="26" borderId="2" applyNumberFormat="0" applyAlignment="0" applyProtection="0"/>
    <xf numFmtId="0" fontId="81" fillId="62" borderId="21" applyNumberFormat="0" applyAlignment="0" applyProtection="0"/>
    <xf numFmtId="0" fontId="33" fillId="28" borderId="4" applyNumberFormat="0" applyAlignment="0" applyProtection="0"/>
    <xf numFmtId="0" fontId="33" fillId="28" borderId="4" applyNumberFormat="0" applyAlignment="0" applyProtection="0"/>
    <xf numFmtId="0" fontId="33" fillId="28" borderId="4" applyNumberFormat="0" applyAlignment="0" applyProtection="0"/>
    <xf numFmtId="0" fontId="33" fillId="27" borderId="3" applyNumberFormat="0" applyAlignment="0" applyProtection="0"/>
    <xf numFmtId="0" fontId="33" fillId="28" borderId="4" applyNumberFormat="0" applyAlignment="0" applyProtection="0"/>
    <xf numFmtId="0" fontId="33" fillId="27" borderId="3" applyNumberFormat="0" applyAlignment="0" applyProtection="0"/>
    <xf numFmtId="0" fontId="81" fillId="62" borderId="21" applyNumberFormat="0" applyAlignment="0" applyProtection="0"/>
    <xf numFmtId="0" fontId="65" fillId="29" borderId="0" applyNumberFormat="0" applyBorder="0" applyAlignment="0" applyProtection="0">
      <alignment horizontal="center"/>
      <protection hidden="1"/>
    </xf>
    <xf numFmtId="0" fontId="17" fillId="30" borderId="0">
      <alignment horizontal="center"/>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66"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6"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alignment vertical="top"/>
    </xf>
    <xf numFmtId="43" fontId="44" fillId="0" borderId="0" applyFont="0" applyFill="0" applyBorder="0" applyAlignment="0" applyProtection="0">
      <alignment vertical="top"/>
    </xf>
    <xf numFmtId="43" fontId="4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4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1" fontId="46" fillId="31" borderId="0">
      <alignment horizontal="left"/>
    </xf>
    <xf numFmtId="43" fontId="17"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6" fontId="20" fillId="0" borderId="0" applyFont="0" applyFill="0" applyBorder="0" applyAlignment="0" applyProtection="0"/>
    <xf numFmtId="43" fontId="4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43"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43"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6"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6"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 fontId="44" fillId="0" borderId="0"/>
    <xf numFmtId="3" fontId="57" fillId="0" borderId="0" applyFont="0" applyFill="0" applyBorder="0" applyAlignment="0" applyProtection="0"/>
    <xf numFmtId="0" fontId="45" fillId="0" borderId="0"/>
    <xf numFmtId="0" fontId="45" fillId="0" borderId="0"/>
    <xf numFmtId="0" fontId="28" fillId="32" borderId="5" applyAlignment="0">
      <alignment horizontal="right"/>
      <protection locked="0"/>
    </xf>
    <xf numFmtId="44" fontId="4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58" fillId="0" borderId="0" applyFont="0" applyFill="0" applyBorder="0" applyAlignment="0" applyProtection="0"/>
    <xf numFmtId="44" fontId="43"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60" fillId="0" borderId="0" applyFont="0" applyFill="0" applyBorder="0" applyAlignment="0" applyProtection="0"/>
    <xf numFmtId="44" fontId="20" fillId="0" borderId="0" applyFont="0" applyFill="0" applyBorder="0" applyAlignment="0" applyProtection="0"/>
    <xf numFmtId="44" fontId="44"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44" fillId="0" borderId="0" applyFont="0" applyFill="0" applyBorder="0" applyAlignment="0" applyProtection="0">
      <alignment vertical="top"/>
    </xf>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7"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9" fillId="0" borderId="0" applyFont="0" applyFill="0" applyBorder="0" applyAlignment="0" applyProtection="0"/>
    <xf numFmtId="44" fontId="46"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9" fillId="0" borderId="0" applyFont="0" applyFill="0" applyBorder="0" applyAlignment="0" applyProtection="0"/>
    <xf numFmtId="44" fontId="46"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47"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4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4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4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47" fillId="0" borderId="0" applyFont="0" applyFill="0" applyBorder="0" applyAlignment="0" applyProtection="0"/>
    <xf numFmtId="44" fontId="60" fillId="0" borderId="0" applyFont="0" applyFill="0" applyBorder="0" applyAlignment="0" applyProtection="0"/>
    <xf numFmtId="44" fontId="46"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4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4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alignment wrapText="1"/>
    </xf>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2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7" fontId="57" fillId="0" borderId="0" applyFont="0" applyFill="0" applyBorder="0" applyAlignment="0" applyProtection="0"/>
    <xf numFmtId="0" fontId="20" fillId="0" borderId="0"/>
    <xf numFmtId="0" fontId="20" fillId="0" borderId="0"/>
    <xf numFmtId="0" fontId="20" fillId="0" borderId="6"/>
    <xf numFmtId="0" fontId="20" fillId="0" borderId="6"/>
    <xf numFmtId="0" fontId="20" fillId="0" borderId="6"/>
    <xf numFmtId="0" fontId="20" fillId="0" borderId="6"/>
    <xf numFmtId="0" fontId="20" fillId="0" borderId="6"/>
    <xf numFmtId="0" fontId="48" fillId="33" borderId="0">
      <alignment horizontal="right"/>
      <protection locked="0"/>
    </xf>
    <xf numFmtId="14" fontId="17" fillId="0" borderId="0"/>
    <xf numFmtId="168" fontId="17" fillId="0" borderId="0" applyFont="0" applyFill="0" applyBorder="0" applyAlignment="0" applyProtection="0"/>
    <xf numFmtId="168" fontId="17" fillId="0" borderId="0" applyFont="0" applyFill="0" applyBorder="0" applyAlignment="0" applyProtection="0"/>
    <xf numFmtId="0" fontId="82"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82" fillId="0" borderId="0" applyNumberFormat="0" applyFill="0" applyBorder="0" applyAlignment="0" applyProtection="0"/>
    <xf numFmtId="0" fontId="17" fillId="0" borderId="0"/>
    <xf numFmtId="2" fontId="48" fillId="33" borderId="0">
      <alignment horizontal="right"/>
      <protection locked="0"/>
    </xf>
    <xf numFmtId="1" fontId="17" fillId="0" borderId="0">
      <alignment horizontal="center"/>
    </xf>
    <xf numFmtId="0" fontId="83" fillId="63"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83" fillId="63"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4" fillId="0" borderId="22"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8" fillId="0" borderId="9" applyNumberFormat="0" applyFill="0" applyAlignment="0" applyProtection="0"/>
    <xf numFmtId="0" fontId="49" fillId="0" borderId="10"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84" fillId="0" borderId="22" applyNumberFormat="0" applyFill="0" applyAlignment="0" applyProtection="0"/>
    <xf numFmtId="0" fontId="85" fillId="0" borderId="23" applyNumberFormat="0" applyFill="0" applyAlignment="0" applyProtection="0"/>
    <xf numFmtId="0" fontId="50" fillId="0" borderId="11" applyNumberFormat="0" applyFill="0" applyAlignment="0" applyProtection="0"/>
    <xf numFmtId="0" fontId="50" fillId="0" borderId="11" applyNumberFormat="0" applyFill="0" applyAlignment="0" applyProtection="0"/>
    <xf numFmtId="0" fontId="69" fillId="0" borderId="11" applyNumberFormat="0" applyFill="0" applyAlignment="0" applyProtection="0"/>
    <xf numFmtId="0" fontId="50" fillId="0" borderId="12" applyNumberFormat="0" applyFill="0" applyAlignment="0" applyProtection="0"/>
    <xf numFmtId="0" fontId="37" fillId="0" borderId="11" applyNumberFormat="0" applyFill="0" applyAlignment="0" applyProtection="0"/>
    <xf numFmtId="0" fontId="37" fillId="0" borderId="11" applyNumberFormat="0" applyFill="0" applyAlignment="0" applyProtection="0"/>
    <xf numFmtId="0" fontId="50" fillId="0" borderId="12" applyNumberFormat="0" applyFill="0" applyAlignment="0" applyProtection="0"/>
    <xf numFmtId="0" fontId="50" fillId="0" borderId="12" applyNumberFormat="0" applyFill="0" applyAlignment="0" applyProtection="0"/>
    <xf numFmtId="0" fontId="85" fillId="0" borderId="23" applyNumberFormat="0" applyFill="0" applyAlignment="0" applyProtection="0"/>
    <xf numFmtId="0" fontId="86" fillId="0" borderId="2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1" fillId="0" borderId="14" applyNumberFormat="0" applyFill="0" applyAlignment="0" applyProtection="0"/>
    <xf numFmtId="0" fontId="52" fillId="0" borderId="15" applyNumberFormat="0" applyFill="0" applyAlignment="0" applyProtection="0"/>
    <xf numFmtId="0" fontId="51" fillId="0" borderId="16"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0" fontId="86" fillId="0" borderId="24" applyNumberFormat="0" applyFill="0" applyAlignment="0" applyProtection="0"/>
    <xf numFmtId="0" fontId="86"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38" fillId="0" borderId="0" applyNumberFormat="0" applyFill="0" applyBorder="0" applyAlignment="0" applyProtection="0"/>
    <xf numFmtId="0" fontId="51"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90" fillId="0" borderId="0" applyNumberFormat="0" applyFill="0" applyBorder="0" applyAlignment="0" applyProtection="0"/>
    <xf numFmtId="0" fontId="75"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64" borderId="20" applyNumberFormat="0" applyAlignment="0" applyProtection="0"/>
    <xf numFmtId="0" fontId="55" fillId="13" borderId="2" applyNumberFormat="0" applyAlignment="0" applyProtection="0"/>
    <xf numFmtId="0" fontId="55" fillId="13" borderId="2" applyNumberFormat="0" applyAlignment="0" applyProtection="0"/>
    <xf numFmtId="0" fontId="39" fillId="13" borderId="2" applyNumberFormat="0" applyAlignment="0" applyProtection="0"/>
    <xf numFmtId="0" fontId="39" fillId="13" borderId="2" applyNumberFormat="0" applyAlignment="0" applyProtection="0"/>
    <xf numFmtId="0" fontId="39" fillId="13" borderId="2" applyNumberFormat="0" applyAlignment="0" applyProtection="0"/>
    <xf numFmtId="0" fontId="39" fillId="13" borderId="2" applyNumberFormat="0" applyAlignment="0" applyProtection="0"/>
    <xf numFmtId="0" fontId="39" fillId="13" borderId="2" applyNumberFormat="0" applyAlignment="0" applyProtection="0"/>
    <xf numFmtId="0" fontId="39" fillId="13" borderId="2" applyNumberFormat="0" applyAlignment="0" applyProtection="0"/>
    <xf numFmtId="0" fontId="39" fillId="13" borderId="2" applyNumberFormat="0" applyAlignment="0" applyProtection="0"/>
    <xf numFmtId="0" fontId="55" fillId="13" borderId="2" applyNumberFormat="0" applyAlignment="0" applyProtection="0"/>
    <xf numFmtId="0" fontId="55" fillId="13" borderId="2" applyNumberFormat="0" applyAlignment="0" applyProtection="0"/>
    <xf numFmtId="0" fontId="55" fillId="13" borderId="2" applyNumberFormat="0" applyAlignment="0" applyProtection="0"/>
    <xf numFmtId="0" fontId="55" fillId="13" borderId="2" applyNumberFormat="0" applyAlignment="0" applyProtection="0"/>
    <xf numFmtId="0" fontId="55" fillId="13" borderId="2" applyNumberFormat="0" applyAlignment="0" applyProtection="0"/>
    <xf numFmtId="0" fontId="55" fillId="13" borderId="2" applyNumberFormat="0" applyAlignment="0" applyProtection="0"/>
    <xf numFmtId="0" fontId="39" fillId="13" borderId="2" applyNumberFormat="0" applyAlignment="0" applyProtection="0"/>
    <xf numFmtId="0" fontId="39" fillId="13" borderId="2" applyNumberFormat="0" applyAlignment="0" applyProtection="0"/>
    <xf numFmtId="0" fontId="39" fillId="13" borderId="2" applyNumberFormat="0" applyAlignment="0" applyProtection="0"/>
    <xf numFmtId="0" fontId="39" fillId="13" borderId="2" applyNumberFormat="0" applyAlignment="0" applyProtection="0"/>
    <xf numFmtId="0" fontId="39" fillId="13" borderId="2" applyNumberFormat="0" applyAlignment="0" applyProtection="0"/>
    <xf numFmtId="0" fontId="39" fillId="13" borderId="2" applyNumberFormat="0" applyAlignment="0" applyProtection="0"/>
    <xf numFmtId="0" fontId="39" fillId="13" borderId="2" applyNumberFormat="0" applyAlignment="0" applyProtection="0"/>
    <xf numFmtId="0" fontId="55" fillId="13" borderId="2" applyNumberFormat="0" applyAlignment="0" applyProtection="0"/>
    <xf numFmtId="0" fontId="55" fillId="13" borderId="2" applyNumberFormat="0" applyAlignment="0" applyProtection="0"/>
    <xf numFmtId="0" fontId="55" fillId="13" borderId="2" applyNumberFormat="0" applyAlignment="0" applyProtection="0"/>
    <xf numFmtId="0" fontId="55" fillId="13" borderId="2" applyNumberFormat="0" applyAlignment="0" applyProtection="0"/>
    <xf numFmtId="0" fontId="55" fillId="13" borderId="2" applyNumberFormat="0" applyAlignment="0" applyProtection="0"/>
    <xf numFmtId="0" fontId="55" fillId="13" borderId="2" applyNumberFormat="0" applyAlignment="0" applyProtection="0"/>
    <xf numFmtId="0" fontId="39" fillId="4" borderId="2" applyNumberFormat="0" applyAlignment="0" applyProtection="0"/>
    <xf numFmtId="0" fontId="39" fillId="13" borderId="2" applyNumberFormat="0" applyAlignment="0" applyProtection="0"/>
    <xf numFmtId="0" fontId="39" fillId="13" borderId="2" applyNumberFormat="0" applyAlignment="0" applyProtection="0"/>
    <xf numFmtId="0" fontId="39" fillId="13" borderId="2" applyNumberFormat="0" applyAlignment="0" applyProtection="0"/>
    <xf numFmtId="0" fontId="39" fillId="13" borderId="2" applyNumberFormat="0" applyAlignment="0" applyProtection="0"/>
    <xf numFmtId="0" fontId="39" fillId="13" borderId="2" applyNumberFormat="0" applyAlignment="0" applyProtection="0"/>
    <xf numFmtId="0" fontId="39" fillId="13" borderId="2" applyNumberFormat="0" applyAlignment="0" applyProtection="0"/>
    <xf numFmtId="0" fontId="39" fillId="13" borderId="2" applyNumberFormat="0" applyAlignment="0" applyProtection="0"/>
    <xf numFmtId="0" fontId="39" fillId="4" borderId="2" applyNumberFormat="0" applyAlignment="0" applyProtection="0"/>
    <xf numFmtId="0" fontId="39" fillId="4" borderId="2" applyNumberFormat="0" applyAlignment="0" applyProtection="0"/>
    <xf numFmtId="0" fontId="39" fillId="4" borderId="2" applyNumberFormat="0" applyAlignment="0" applyProtection="0"/>
    <xf numFmtId="0" fontId="39" fillId="4" borderId="2" applyNumberFormat="0" applyAlignment="0" applyProtection="0"/>
    <xf numFmtId="0" fontId="39" fillId="4" borderId="2" applyNumberFormat="0" applyAlignment="0" applyProtection="0"/>
    <xf numFmtId="0" fontId="39" fillId="4" borderId="2" applyNumberFormat="0" applyAlignment="0" applyProtection="0"/>
    <xf numFmtId="0" fontId="39" fillId="4" borderId="2" applyNumberFormat="0" applyAlignment="0" applyProtection="0"/>
    <xf numFmtId="0" fontId="39" fillId="4" borderId="2" applyNumberFormat="0" applyAlignment="0" applyProtection="0"/>
    <xf numFmtId="0" fontId="39" fillId="4" borderId="2" applyNumberFormat="0" applyAlignment="0" applyProtection="0"/>
    <xf numFmtId="0" fontId="39" fillId="4" borderId="2" applyNumberFormat="0" applyAlignment="0" applyProtection="0"/>
    <xf numFmtId="0" fontId="92" fillId="64" borderId="20" applyNumberFormat="0" applyAlignment="0" applyProtection="0"/>
    <xf numFmtId="3" fontId="56" fillId="34" borderId="0">
      <protection locked="0"/>
    </xf>
    <xf numFmtId="4" fontId="56" fillId="34" borderId="0">
      <protection locked="0"/>
    </xf>
    <xf numFmtId="0" fontId="62" fillId="0" borderId="1" applyBorder="0">
      <alignment horizontal="center" vertical="center" wrapText="1"/>
    </xf>
    <xf numFmtId="0" fontId="76" fillId="35" borderId="6"/>
    <xf numFmtId="0" fontId="76" fillId="35" borderId="6"/>
    <xf numFmtId="0" fontId="76" fillId="35" borderId="6"/>
    <xf numFmtId="0" fontId="76" fillId="35" borderId="6"/>
    <xf numFmtId="0" fontId="76" fillId="35" borderId="6"/>
    <xf numFmtId="0" fontId="62" fillId="0" borderId="1" applyBorder="0">
      <alignment horizontal="center" vertical="center" wrapText="1"/>
    </xf>
    <xf numFmtId="0" fontId="62" fillId="0" borderId="1" applyBorder="0">
      <alignment horizontal="center" vertical="center" wrapText="1"/>
    </xf>
    <xf numFmtId="0" fontId="62" fillId="0" borderId="1" applyBorder="0">
      <alignment horizontal="center" vertical="center" wrapText="1"/>
    </xf>
    <xf numFmtId="0" fontId="62" fillId="0" borderId="1" applyBorder="0">
      <alignment horizontal="center" vertical="center" wrapText="1"/>
    </xf>
    <xf numFmtId="0" fontId="62" fillId="0" borderId="1" applyBorder="0">
      <alignment horizontal="center" vertical="center" wrapText="1"/>
    </xf>
    <xf numFmtId="0" fontId="62" fillId="0" borderId="1" applyBorder="0">
      <alignment horizontal="center" vertical="center" wrapText="1"/>
    </xf>
    <xf numFmtId="0" fontId="62" fillId="0" borderId="1" applyBorder="0">
      <alignment horizontal="center" vertical="center" wrapText="1"/>
    </xf>
    <xf numFmtId="0" fontId="93" fillId="0" borderId="25"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72" fillId="0" borderId="18" applyNumberFormat="0" applyFill="0" applyAlignment="0" applyProtection="0"/>
    <xf numFmtId="0" fontId="42" fillId="0" borderId="19" applyNumberFormat="0" applyFill="0" applyAlignment="0" applyProtection="0"/>
    <xf numFmtId="0" fontId="40" fillId="0" borderId="17" applyNumberFormat="0" applyFill="0" applyAlignment="0" applyProtection="0"/>
    <xf numFmtId="0" fontId="42" fillId="0" borderId="19" applyNumberFormat="0" applyFill="0" applyAlignment="0" applyProtection="0"/>
    <xf numFmtId="0" fontId="93" fillId="0" borderId="25" applyNumberFormat="0" applyFill="0" applyAlignment="0" applyProtection="0"/>
    <xf numFmtId="0" fontId="94" fillId="65"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73" fillId="13" borderId="0" applyNumberFormat="0" applyBorder="0" applyAlignment="0" applyProtection="0"/>
    <xf numFmtId="0" fontId="74" fillId="13" borderId="0" applyNumberFormat="0" applyBorder="0" applyAlignment="0" applyProtection="0"/>
    <xf numFmtId="0" fontId="41" fillId="13" borderId="0" applyNumberFormat="0" applyBorder="0" applyAlignment="0" applyProtection="0"/>
    <xf numFmtId="0" fontId="74" fillId="13" borderId="0" applyNumberFormat="0" applyBorder="0" applyAlignment="0" applyProtection="0"/>
    <xf numFmtId="0" fontId="94" fillId="65" borderId="0" applyNumberFormat="0" applyBorder="0" applyAlignment="0" applyProtection="0"/>
    <xf numFmtId="43" fontId="1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6" fillId="0" borderId="0"/>
    <xf numFmtId="0" fontId="77" fillId="0" borderId="0"/>
    <xf numFmtId="0" fontId="2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0" borderId="0"/>
    <xf numFmtId="0" fontId="77" fillId="0" borderId="0"/>
    <xf numFmtId="0" fontId="77" fillId="0" borderId="0"/>
    <xf numFmtId="0" fontId="77" fillId="0" borderId="0"/>
    <xf numFmtId="0" fontId="77" fillId="0" borderId="0"/>
    <xf numFmtId="0" fontId="29" fillId="0" borderId="0"/>
    <xf numFmtId="0" fontId="1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77" fillId="0" borderId="0"/>
    <xf numFmtId="0" fontId="77" fillId="0" borderId="0"/>
    <xf numFmtId="0" fontId="77" fillId="0" borderId="0"/>
    <xf numFmtId="0" fontId="77" fillId="0" borderId="0"/>
    <xf numFmtId="0" fontId="77" fillId="0" borderId="0"/>
    <xf numFmtId="0" fontId="17" fillId="0" borderId="0"/>
    <xf numFmtId="0" fontId="77" fillId="0" borderId="0"/>
    <xf numFmtId="0" fontId="77" fillId="0" borderId="0"/>
    <xf numFmtId="0" fontId="77" fillId="0" borderId="0"/>
    <xf numFmtId="0" fontId="77" fillId="0" borderId="0"/>
    <xf numFmtId="0" fontId="1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alignment wrapText="1"/>
    </xf>
    <xf numFmtId="0" fontId="77" fillId="0" borderId="0"/>
    <xf numFmtId="0" fontId="77" fillId="0" borderId="0"/>
    <xf numFmtId="0" fontId="17" fillId="0" borderId="0">
      <alignment wrapText="1"/>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77" fillId="0" borderId="0"/>
    <xf numFmtId="0" fontId="44" fillId="0" borderId="0">
      <alignment vertical="top"/>
    </xf>
    <xf numFmtId="0" fontId="77" fillId="0" borderId="0"/>
    <xf numFmtId="0" fontId="17" fillId="0" borderId="0"/>
    <xf numFmtId="0" fontId="17" fillId="0" borderId="0"/>
    <xf numFmtId="0" fontId="77" fillId="0" borderId="0"/>
    <xf numFmtId="0" fontId="17" fillId="0" borderId="0"/>
    <xf numFmtId="0" fontId="17" fillId="0" borderId="0"/>
    <xf numFmtId="0" fontId="77" fillId="0" borderId="0"/>
    <xf numFmtId="0" fontId="17" fillId="0" borderId="0"/>
    <xf numFmtId="0" fontId="77" fillId="0" borderId="0"/>
    <xf numFmtId="0" fontId="17" fillId="0" borderId="0"/>
    <xf numFmtId="0" fontId="77" fillId="0" borderId="0"/>
    <xf numFmtId="0" fontId="17" fillId="0" borderId="0"/>
    <xf numFmtId="0" fontId="77" fillId="0" borderId="0"/>
    <xf numFmtId="0" fontId="17" fillId="0" borderId="0"/>
    <xf numFmtId="0" fontId="77" fillId="0" borderId="0"/>
    <xf numFmtId="0" fontId="17" fillId="0" borderId="0"/>
    <xf numFmtId="0" fontId="17" fillId="0" borderId="0"/>
    <xf numFmtId="0" fontId="77" fillId="0" borderId="0"/>
    <xf numFmtId="0" fontId="17" fillId="0" borderId="0"/>
    <xf numFmtId="0" fontId="77" fillId="0" borderId="0"/>
    <xf numFmtId="0" fontId="17" fillId="0" borderId="0"/>
    <xf numFmtId="0" fontId="17" fillId="0" borderId="0"/>
    <xf numFmtId="0" fontId="95" fillId="0" borderId="0"/>
    <xf numFmtId="0" fontId="77" fillId="0" borderId="0"/>
    <xf numFmtId="0" fontId="95" fillId="0" borderId="0"/>
    <xf numFmtId="0" fontId="16" fillId="0" borderId="0"/>
    <xf numFmtId="0" fontId="77" fillId="0" borderId="0"/>
    <xf numFmtId="0" fontId="77" fillId="0" borderId="0"/>
    <xf numFmtId="0" fontId="17" fillId="0" borderId="0"/>
    <xf numFmtId="0" fontId="17" fillId="0" borderId="0"/>
    <xf numFmtId="0" fontId="29" fillId="0" borderId="0"/>
    <xf numFmtId="0" fontId="1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77" fillId="0" borderId="0"/>
    <xf numFmtId="0" fontId="77" fillId="0" borderId="0"/>
    <xf numFmtId="0" fontId="2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17" fillId="0" borderId="0"/>
    <xf numFmtId="0" fontId="77" fillId="0" borderId="0"/>
    <xf numFmtId="0" fontId="17" fillId="0" borderId="0"/>
    <xf numFmtId="0" fontId="77" fillId="0" borderId="0"/>
    <xf numFmtId="0" fontId="29" fillId="0" borderId="0"/>
    <xf numFmtId="0" fontId="17" fillId="0" borderId="0"/>
    <xf numFmtId="0" fontId="77" fillId="0" borderId="0"/>
    <xf numFmtId="0" fontId="29" fillId="0" borderId="0"/>
    <xf numFmtId="0" fontId="17" fillId="0" borderId="0"/>
    <xf numFmtId="0" fontId="17" fillId="0" borderId="0"/>
    <xf numFmtId="0" fontId="77" fillId="0" borderId="0"/>
    <xf numFmtId="0" fontId="17" fillId="0" borderId="0"/>
    <xf numFmtId="0" fontId="77" fillId="0" borderId="0"/>
    <xf numFmtId="0" fontId="77" fillId="0" borderId="0"/>
    <xf numFmtId="0" fontId="77" fillId="0" borderId="0"/>
    <xf numFmtId="0" fontId="17" fillId="0" borderId="0"/>
    <xf numFmtId="0" fontId="17" fillId="0" borderId="0"/>
    <xf numFmtId="0" fontId="17" fillId="0" borderId="0"/>
    <xf numFmtId="0" fontId="17" fillId="0" borderId="0"/>
    <xf numFmtId="0" fontId="17" fillId="0" borderId="0"/>
    <xf numFmtId="0" fontId="77" fillId="0" borderId="0"/>
    <xf numFmtId="0" fontId="77" fillId="0" borderId="0"/>
    <xf numFmtId="0" fontId="77" fillId="0" borderId="0"/>
    <xf numFmtId="0" fontId="29" fillId="0" borderId="0"/>
    <xf numFmtId="0" fontId="77" fillId="0" borderId="0"/>
    <xf numFmtId="0" fontId="1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0" borderId="0"/>
    <xf numFmtId="0" fontId="77" fillId="0" borderId="0"/>
    <xf numFmtId="0" fontId="2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6" fillId="0" borderId="0"/>
    <xf numFmtId="0" fontId="1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77" fillId="0" borderId="0"/>
    <xf numFmtId="0" fontId="77" fillId="0" borderId="0"/>
    <xf numFmtId="0" fontId="77" fillId="0" borderId="0"/>
    <xf numFmtId="0" fontId="77" fillId="0" borderId="0"/>
    <xf numFmtId="0" fontId="77" fillId="0" borderId="0"/>
    <xf numFmtId="0" fontId="96" fillId="0" borderId="0"/>
    <xf numFmtId="0" fontId="77" fillId="0" borderId="0"/>
    <xf numFmtId="0" fontId="77" fillId="0" borderId="0"/>
    <xf numFmtId="0" fontId="77" fillId="0" borderId="0"/>
    <xf numFmtId="0" fontId="44"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17" fillId="0" borderId="0"/>
    <xf numFmtId="0" fontId="77" fillId="0" borderId="0"/>
    <xf numFmtId="0" fontId="77" fillId="0" borderId="0"/>
    <xf numFmtId="0" fontId="77" fillId="0" borderId="0"/>
    <xf numFmtId="0" fontId="29" fillId="0" borderId="0"/>
    <xf numFmtId="0" fontId="77" fillId="0" borderId="0"/>
    <xf numFmtId="0" fontId="5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6" fillId="0" borderId="0"/>
    <xf numFmtId="0" fontId="1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77" fillId="0" borderId="0"/>
    <xf numFmtId="0" fontId="77" fillId="0" borderId="0"/>
    <xf numFmtId="0" fontId="77" fillId="0" borderId="0"/>
    <xf numFmtId="0" fontId="77" fillId="0" borderId="0"/>
    <xf numFmtId="0" fontId="77" fillId="0" borderId="0"/>
    <xf numFmtId="0" fontId="66" fillId="0" borderId="0"/>
    <xf numFmtId="0" fontId="77" fillId="0" borderId="0"/>
    <xf numFmtId="0" fontId="77" fillId="0" borderId="0"/>
    <xf numFmtId="0" fontId="77" fillId="0" borderId="0"/>
    <xf numFmtId="0" fontId="77" fillId="0" borderId="0"/>
    <xf numFmtId="0" fontId="77" fillId="0" borderId="0"/>
    <xf numFmtId="0" fontId="29" fillId="0" borderId="0"/>
    <xf numFmtId="0" fontId="77" fillId="0" borderId="0"/>
    <xf numFmtId="0" fontId="2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4" fillId="0" borderId="0"/>
    <xf numFmtId="43" fontId="14"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 borderId="0" applyNumberFormat="0" applyBorder="0" applyAlignment="0" applyProtection="0"/>
    <xf numFmtId="0" fontId="13" fillId="37" borderId="0" applyNumberFormat="0" applyBorder="0" applyAlignment="0" applyProtection="0"/>
    <xf numFmtId="0" fontId="13" fillId="9" borderId="0" applyNumberFormat="0" applyBorder="0" applyAlignment="0" applyProtection="0"/>
    <xf numFmtId="0" fontId="13" fillId="38" borderId="0" applyNumberFormat="0" applyBorder="0" applyAlignment="0" applyProtection="0"/>
    <xf numFmtId="0" fontId="13" fillId="9"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9"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41" fontId="16" fillId="0" borderId="0"/>
    <xf numFmtId="41" fontId="16" fillId="0" borderId="0"/>
    <xf numFmtId="41" fontId="16" fillId="0" borderId="0"/>
    <xf numFmtId="41" fontId="16" fillId="0" borderId="0"/>
    <xf numFmtId="41" fontId="16" fillId="0" borderId="0"/>
    <xf numFmtId="41" fontId="16" fillId="0" borderId="0"/>
    <xf numFmtId="3" fontId="16" fillId="0" borderId="0"/>
    <xf numFmtId="3" fontId="16" fillId="0" borderId="0"/>
    <xf numFmtId="3" fontId="16" fillId="0" borderId="0"/>
    <xf numFmtId="0" fontId="16" fillId="30" borderId="0">
      <alignment horizont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5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8"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alignment wrapText="1"/>
    </xf>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6"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4" fontId="16" fillId="0" borderId="0"/>
    <xf numFmtId="168" fontId="16" fillId="0" borderId="0" applyFont="0" applyFill="0" applyBorder="0" applyAlignment="0" applyProtection="0"/>
    <xf numFmtId="168" fontId="16" fillId="0" borderId="0" applyFont="0" applyFill="0" applyBorder="0" applyAlignment="0" applyProtection="0"/>
    <xf numFmtId="1" fontId="16" fillId="0" borderId="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alignment wrapText="1"/>
    </xf>
    <xf numFmtId="0" fontId="13" fillId="0" borderId="0"/>
    <xf numFmtId="0" fontId="13" fillId="0" borderId="0"/>
    <xf numFmtId="0" fontId="16"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6" fillId="0" borderId="0"/>
    <xf numFmtId="0" fontId="13" fillId="0" borderId="0"/>
    <xf numFmtId="0" fontId="16" fillId="0" borderId="0"/>
    <xf numFmtId="0" fontId="16" fillId="0" borderId="0"/>
    <xf numFmtId="0" fontId="13" fillId="0" borderId="0"/>
    <xf numFmtId="0" fontId="16" fillId="0" borderId="0"/>
    <xf numFmtId="0" fontId="13" fillId="0" borderId="0"/>
    <xf numFmtId="0" fontId="16" fillId="0" borderId="0"/>
    <xf numFmtId="0" fontId="13" fillId="0" borderId="0"/>
    <xf numFmtId="0" fontId="16" fillId="0" borderId="0"/>
    <xf numFmtId="0" fontId="13" fillId="0" borderId="0"/>
    <xf numFmtId="0" fontId="16" fillId="0" borderId="0"/>
    <xf numFmtId="0" fontId="13" fillId="0" borderId="0"/>
    <xf numFmtId="0" fontId="16" fillId="0" borderId="0"/>
    <xf numFmtId="0" fontId="16" fillId="0" borderId="0"/>
    <xf numFmtId="0" fontId="13" fillId="0" borderId="0"/>
    <xf numFmtId="0" fontId="16" fillId="0" borderId="0"/>
    <xf numFmtId="0" fontId="13"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6" fillId="0" borderId="0"/>
    <xf numFmtId="0" fontId="13" fillId="0" borderId="0"/>
    <xf numFmtId="0" fontId="16" fillId="0" borderId="0"/>
    <xf numFmtId="0" fontId="13" fillId="0" borderId="0"/>
    <xf numFmtId="0" fontId="16" fillId="0" borderId="0"/>
    <xf numFmtId="0" fontId="16" fillId="0" borderId="0"/>
    <xf numFmtId="0" fontId="13"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43" fontId="12" fillId="0" borderId="0" applyFont="0" applyFill="0" applyBorder="0" applyAlignment="0" applyProtection="0"/>
    <xf numFmtId="0" fontId="44" fillId="0" borderId="0">
      <alignment vertical="top"/>
    </xf>
    <xf numFmtId="0" fontId="44" fillId="0" borderId="0">
      <alignment vertical="top"/>
    </xf>
    <xf numFmtId="0" fontId="11" fillId="0" borderId="0"/>
    <xf numFmtId="43" fontId="11" fillId="0" borderId="0" applyFont="0" applyFill="0" applyBorder="0" applyAlignment="0" applyProtection="0"/>
    <xf numFmtId="0" fontId="20" fillId="0" borderId="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8" fillId="0" borderId="0"/>
    <xf numFmtId="43" fontId="8" fillId="0" borderId="0" applyFont="0" applyFill="0" applyBorder="0" applyAlignment="0" applyProtection="0"/>
    <xf numFmtId="0" fontId="8" fillId="0" borderId="0"/>
    <xf numFmtId="0" fontId="20" fillId="0" borderId="0"/>
    <xf numFmtId="0" fontId="20" fillId="0" borderId="0"/>
    <xf numFmtId="0" fontId="7" fillId="0" borderId="0"/>
    <xf numFmtId="44" fontId="7" fillId="0" borderId="0" applyFont="0" applyFill="0" applyBorder="0" applyAlignment="0" applyProtection="0"/>
    <xf numFmtId="0" fontId="29"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3" fillId="0" borderId="0"/>
    <xf numFmtId="0" fontId="16" fillId="0" borderId="0"/>
    <xf numFmtId="43" fontId="3" fillId="0" borderId="0" applyFont="0" applyFill="0" applyBorder="0" applyAlignment="0" applyProtection="0"/>
  </cellStyleXfs>
  <cellXfs count="559">
    <xf numFmtId="0" fontId="0" fillId="0" borderId="0" xfId="0"/>
    <xf numFmtId="0" fontId="97" fillId="0" borderId="0" xfId="0" applyFont="1"/>
    <xf numFmtId="0" fontId="98" fillId="0" borderId="0" xfId="0" applyFont="1"/>
    <xf numFmtId="0" fontId="99" fillId="0" borderId="0" xfId="0" applyFont="1"/>
    <xf numFmtId="3" fontId="99" fillId="0" borderId="0" xfId="0" applyNumberFormat="1" applyFont="1"/>
    <xf numFmtId="0" fontId="97" fillId="0" borderId="0" xfId="0" applyFont="1" applyAlignment="1">
      <alignment horizontal="center"/>
    </xf>
    <xf numFmtId="0" fontId="97" fillId="0" borderId="0" xfId="0" applyFont="1" applyAlignment="1">
      <alignment horizontal="center" vertical="center" wrapText="1"/>
    </xf>
    <xf numFmtId="14" fontId="97" fillId="0" borderId="0" xfId="0" quotePrefix="1" applyNumberFormat="1" applyFont="1" applyAlignment="1">
      <alignment horizontal="center"/>
    </xf>
    <xf numFmtId="14" fontId="97" fillId="0" borderId="0" xfId="0" applyNumberFormat="1" applyFont="1" applyAlignment="1">
      <alignment horizontal="center"/>
    </xf>
    <xf numFmtId="0" fontId="100" fillId="0" borderId="0" xfId="0" applyFont="1"/>
    <xf numFmtId="164" fontId="99" fillId="0" borderId="0" xfId="339" applyNumberFormat="1" applyFont="1" applyFill="1"/>
    <xf numFmtId="164" fontId="99" fillId="0" borderId="0" xfId="0" applyNumberFormat="1" applyFont="1"/>
    <xf numFmtId="0" fontId="99" fillId="0" borderId="0" xfId="0" applyFont="1" applyAlignment="1">
      <alignment horizontal="left"/>
    </xf>
    <xf numFmtId="164" fontId="97" fillId="0" borderId="0" xfId="0" applyNumberFormat="1" applyFont="1" applyAlignment="1">
      <alignment horizontal="left"/>
    </xf>
    <xf numFmtId="164" fontId="97" fillId="0" borderId="0" xfId="0" applyNumberFormat="1" applyFont="1"/>
    <xf numFmtId="9" fontId="99" fillId="0" borderId="0" xfId="8877" applyFont="1"/>
    <xf numFmtId="43" fontId="99" fillId="0" borderId="0" xfId="339" applyFont="1" applyFill="1"/>
    <xf numFmtId="164" fontId="97" fillId="0" borderId="0" xfId="0" applyNumberFormat="1" applyFont="1" applyAlignment="1">
      <alignment horizontal="center"/>
    </xf>
    <xf numFmtId="164" fontId="99" fillId="0" borderId="0" xfId="0" applyNumberFormat="1" applyFont="1" applyAlignment="1">
      <alignment horizontal="right"/>
    </xf>
    <xf numFmtId="169" fontId="99" fillId="0" borderId="0" xfId="8235" applyNumberFormat="1" applyFont="1"/>
    <xf numFmtId="0" fontId="99" fillId="0" borderId="0" xfId="0" applyFont="1" applyAlignment="1">
      <alignment horizontal="right"/>
    </xf>
    <xf numFmtId="43" fontId="99" fillId="0" borderId="0" xfId="0" applyNumberFormat="1" applyFont="1"/>
    <xf numFmtId="43" fontId="97" fillId="34" borderId="0" xfId="0" applyNumberFormat="1" applyFont="1" applyFill="1"/>
    <xf numFmtId="164" fontId="97" fillId="0" borderId="0" xfId="339" applyNumberFormat="1" applyFont="1" applyFill="1" applyBorder="1"/>
    <xf numFmtId="0" fontId="97" fillId="0" borderId="40" xfId="0" applyFont="1" applyBorder="1"/>
    <xf numFmtId="164" fontId="97" fillId="0" borderId="40" xfId="339" applyNumberFormat="1" applyFont="1" applyBorder="1"/>
    <xf numFmtId="164" fontId="97" fillId="0" borderId="40" xfId="339" applyNumberFormat="1" applyFont="1" applyFill="1" applyBorder="1"/>
    <xf numFmtId="164" fontId="99" fillId="0" borderId="0" xfId="339" applyNumberFormat="1" applyFont="1"/>
    <xf numFmtId="9" fontId="99" fillId="0" borderId="0" xfId="8877" applyFont="1" applyFill="1"/>
    <xf numFmtId="170" fontId="101" fillId="0" borderId="0" xfId="0" applyNumberFormat="1" applyFont="1"/>
    <xf numFmtId="164" fontId="102" fillId="0" borderId="0" xfId="0" applyNumberFormat="1" applyFont="1" applyAlignment="1">
      <alignment horizontal="left"/>
    </xf>
    <xf numFmtId="169" fontId="99" fillId="0" borderId="0" xfId="0" applyNumberFormat="1" applyFont="1"/>
    <xf numFmtId="164" fontId="99" fillId="0" borderId="0" xfId="0" applyNumberFormat="1" applyFont="1" applyAlignment="1">
      <alignment horizontal="left"/>
    </xf>
    <xf numFmtId="0" fontId="97" fillId="34" borderId="0" xfId="0" applyFont="1" applyFill="1"/>
    <xf numFmtId="164" fontId="103" fillId="0" borderId="0" xfId="339" applyNumberFormat="1" applyFont="1" applyFill="1"/>
    <xf numFmtId="43" fontId="99" fillId="0" borderId="0" xfId="339" applyFont="1"/>
    <xf numFmtId="164" fontId="99" fillId="68" borderId="0" xfId="339" applyNumberFormat="1" applyFont="1" applyFill="1"/>
    <xf numFmtId="164" fontId="97" fillId="0" borderId="0" xfId="339" applyNumberFormat="1" applyFont="1" applyFill="1"/>
    <xf numFmtId="0" fontId="99" fillId="0" borderId="0" xfId="8235" applyFont="1"/>
    <xf numFmtId="0" fontId="99" fillId="0" borderId="0" xfId="2847" applyFont="1"/>
    <xf numFmtId="0" fontId="97" fillId="0" borderId="0" xfId="2847" applyFont="1" applyAlignment="1">
      <alignment horizontal="center"/>
    </xf>
    <xf numFmtId="0" fontId="97" fillId="0" borderId="5" xfId="2847" applyFont="1" applyBorder="1" applyAlignment="1">
      <alignment horizontal="center"/>
    </xf>
    <xf numFmtId="164" fontId="99" fillId="0" borderId="0" xfId="2847" applyNumberFormat="1" applyFont="1"/>
    <xf numFmtId="3" fontId="99" fillId="0" borderId="0" xfId="2847" applyNumberFormat="1" applyFont="1"/>
    <xf numFmtId="164" fontId="99" fillId="0" borderId="5" xfId="2847" applyNumberFormat="1" applyFont="1" applyBorder="1"/>
    <xf numFmtId="0" fontId="99" fillId="0" borderId="5" xfId="2847" applyFont="1" applyBorder="1"/>
    <xf numFmtId="164" fontId="97" fillId="0" borderId="0" xfId="2847" applyNumberFormat="1" applyFont="1"/>
    <xf numFmtId="0" fontId="97" fillId="0" borderId="0" xfId="2847" applyFont="1"/>
    <xf numFmtId="0" fontId="97" fillId="0" borderId="40" xfId="2847" applyFont="1" applyBorder="1"/>
    <xf numFmtId="164" fontId="97" fillId="0" borderId="40" xfId="2847" applyNumberFormat="1" applyFont="1" applyBorder="1"/>
    <xf numFmtId="0" fontId="105" fillId="0" borderId="32" xfId="2847" applyFont="1" applyBorder="1"/>
    <xf numFmtId="0" fontId="100" fillId="0" borderId="33" xfId="2847" applyFont="1" applyBorder="1"/>
    <xf numFmtId="0" fontId="100" fillId="0" borderId="34" xfId="2847" applyFont="1" applyBorder="1"/>
    <xf numFmtId="0" fontId="99" fillId="0" borderId="32" xfId="2847" applyFont="1" applyBorder="1"/>
    <xf numFmtId="0" fontId="99" fillId="0" borderId="33" xfId="2847" applyFont="1" applyBorder="1"/>
    <xf numFmtId="0" fontId="99" fillId="0" borderId="34" xfId="2847" applyFont="1" applyBorder="1"/>
    <xf numFmtId="0" fontId="99" fillId="0" borderId="35" xfId="2847" applyFont="1" applyBorder="1"/>
    <xf numFmtId="0" fontId="99" fillId="0" borderId="36" xfId="2847" applyFont="1" applyBorder="1"/>
    <xf numFmtId="0" fontId="100" fillId="0" borderId="35" xfId="2847" applyFont="1" applyBorder="1"/>
    <xf numFmtId="0" fontId="100" fillId="0" borderId="0" xfId="2847" applyFont="1"/>
    <xf numFmtId="164" fontId="99" fillId="0" borderId="35" xfId="0" applyNumberFormat="1" applyFont="1" applyBorder="1"/>
    <xf numFmtId="164" fontId="97" fillId="0" borderId="5" xfId="0" applyNumberFormat="1" applyFont="1" applyBorder="1"/>
    <xf numFmtId="164" fontId="99" fillId="0" borderId="5" xfId="0" applyNumberFormat="1" applyFont="1" applyBorder="1"/>
    <xf numFmtId="164" fontId="99" fillId="0" borderId="42" xfId="0" applyNumberFormat="1" applyFont="1" applyBorder="1"/>
    <xf numFmtId="0" fontId="99" fillId="0" borderId="35" xfId="2847" applyFont="1" applyBorder="1" applyAlignment="1">
      <alignment horizontal="right"/>
    </xf>
    <xf numFmtId="164" fontId="99" fillId="0" borderId="0" xfId="339" applyNumberFormat="1" applyFont="1" applyBorder="1"/>
    <xf numFmtId="164" fontId="99" fillId="0" borderId="43" xfId="0" applyNumberFormat="1" applyFont="1" applyBorder="1"/>
    <xf numFmtId="9" fontId="99" fillId="0" borderId="44" xfId="8235" applyNumberFormat="1" applyFont="1" applyBorder="1"/>
    <xf numFmtId="164" fontId="99" fillId="0" borderId="37" xfId="0" applyNumberFormat="1" applyFont="1" applyBorder="1"/>
    <xf numFmtId="164" fontId="99" fillId="0" borderId="38" xfId="0" applyNumberFormat="1" applyFont="1" applyBorder="1"/>
    <xf numFmtId="164" fontId="99" fillId="0" borderId="39" xfId="0" applyNumberFormat="1" applyFont="1" applyBorder="1"/>
    <xf numFmtId="164" fontId="99" fillId="0" borderId="5" xfId="339" applyNumberFormat="1" applyFont="1" applyBorder="1"/>
    <xf numFmtId="0" fontId="97" fillId="0" borderId="45" xfId="2847" applyFont="1" applyBorder="1" applyAlignment="1">
      <alignment horizontal="right"/>
    </xf>
    <xf numFmtId="0" fontId="99" fillId="0" borderId="39" xfId="2847" applyFont="1" applyBorder="1"/>
    <xf numFmtId="164" fontId="99" fillId="0" borderId="34" xfId="0" applyNumberFormat="1" applyFont="1" applyBorder="1"/>
    <xf numFmtId="164" fontId="99" fillId="0" borderId="36" xfId="0" applyNumberFormat="1" applyFont="1" applyBorder="1"/>
    <xf numFmtId="0" fontId="99" fillId="0" borderId="36" xfId="0" applyFont="1" applyBorder="1"/>
    <xf numFmtId="0" fontId="107" fillId="0" borderId="46" xfId="8077" applyFont="1" applyBorder="1" applyAlignment="1">
      <alignment horizontal="center" wrapText="1"/>
    </xf>
    <xf numFmtId="0" fontId="107" fillId="0" borderId="5" xfId="8077" applyFont="1" applyBorder="1" applyAlignment="1">
      <alignment horizontal="center"/>
    </xf>
    <xf numFmtId="0" fontId="107" fillId="0" borderId="42" xfId="8077" applyFont="1" applyBorder="1" applyAlignment="1">
      <alignment horizontal="center"/>
    </xf>
    <xf numFmtId="0" fontId="107" fillId="0" borderId="47" xfId="8077" applyFont="1" applyBorder="1" applyAlignment="1">
      <alignment horizontal="center"/>
    </xf>
    <xf numFmtId="0" fontId="107" fillId="0" borderId="28" xfId="8077" applyFont="1" applyBorder="1" applyAlignment="1">
      <alignment horizontal="center"/>
    </xf>
    <xf numFmtId="0" fontId="107" fillId="0" borderId="48" xfId="8077" applyFont="1" applyBorder="1" applyAlignment="1">
      <alignment horizontal="center"/>
    </xf>
    <xf numFmtId="0" fontId="108" fillId="0" borderId="0" xfId="8077" applyFont="1" applyAlignment="1">
      <alignment horizontal="right" wrapText="1"/>
    </xf>
    <xf numFmtId="43" fontId="99" fillId="0" borderId="0" xfId="339" applyFont="1" applyAlignment="1">
      <alignment horizontal="left"/>
    </xf>
    <xf numFmtId="169" fontId="99" fillId="0" borderId="0" xfId="0" applyNumberFormat="1" applyFont="1" applyAlignment="1">
      <alignment horizontal="left"/>
    </xf>
    <xf numFmtId="0" fontId="108" fillId="0" borderId="0" xfId="8077" applyFont="1" applyAlignment="1">
      <alignment horizontal="right"/>
    </xf>
    <xf numFmtId="43" fontId="99" fillId="0" borderId="5" xfId="339" applyFont="1" applyFill="1" applyBorder="1" applyAlignment="1">
      <alignment horizontal="right"/>
    </xf>
    <xf numFmtId="43" fontId="99" fillId="0" borderId="42" xfId="339" applyFont="1" applyFill="1" applyBorder="1" applyAlignment="1">
      <alignment horizontal="right"/>
    </xf>
    <xf numFmtId="0" fontId="101" fillId="0" borderId="49" xfId="8077" applyFont="1" applyBorder="1"/>
    <xf numFmtId="169" fontId="101" fillId="0" borderId="49" xfId="8249" applyNumberFormat="1" applyFont="1" applyBorder="1"/>
    <xf numFmtId="169" fontId="101" fillId="0" borderId="50" xfId="8249" applyNumberFormat="1" applyFont="1" applyBorder="1"/>
    <xf numFmtId="0" fontId="101" fillId="0" borderId="0" xfId="8077" applyFont="1"/>
    <xf numFmtId="169" fontId="101" fillId="0" borderId="51" xfId="8077" applyNumberFormat="1" applyFont="1" applyBorder="1"/>
    <xf numFmtId="0" fontId="99" fillId="0" borderId="37" xfId="0" applyFont="1" applyBorder="1"/>
    <xf numFmtId="0" fontId="99" fillId="0" borderId="38" xfId="0" applyFont="1" applyBorder="1"/>
    <xf numFmtId="0" fontId="99" fillId="0" borderId="39" xfId="0" applyFont="1" applyBorder="1"/>
    <xf numFmtId="164" fontId="97" fillId="0" borderId="0" xfId="0" applyNumberFormat="1" applyFont="1" applyAlignment="1">
      <alignment horizontal="right"/>
    </xf>
    <xf numFmtId="0" fontId="109" fillId="0" borderId="32" xfId="0" applyFont="1" applyBorder="1"/>
    <xf numFmtId="3" fontId="101" fillId="0" borderId="33" xfId="0" applyNumberFormat="1" applyFont="1" applyBorder="1"/>
    <xf numFmtId="3" fontId="101" fillId="0" borderId="34" xfId="0" applyNumberFormat="1" applyFont="1" applyBorder="1"/>
    <xf numFmtId="0" fontId="108" fillId="0" borderId="35" xfId="0" applyFont="1" applyBorder="1"/>
    <xf numFmtId="10" fontId="108" fillId="0" borderId="36" xfId="0" applyNumberFormat="1" applyFont="1" applyBorder="1"/>
    <xf numFmtId="0" fontId="101" fillId="0" borderId="35" xfId="0" applyFont="1" applyBorder="1"/>
    <xf numFmtId="3" fontId="101" fillId="0" borderId="0" xfId="0" applyNumberFormat="1" applyFont="1"/>
    <xf numFmtId="10" fontId="101" fillId="0" borderId="36" xfId="0" applyNumberFormat="1" applyFont="1" applyBorder="1"/>
    <xf numFmtId="0" fontId="101" fillId="0" borderId="37" xfId="0" applyFont="1" applyBorder="1"/>
    <xf numFmtId="3" fontId="101" fillId="0" borderId="38" xfId="0" applyNumberFormat="1" applyFont="1" applyBorder="1"/>
    <xf numFmtId="0" fontId="108" fillId="0" borderId="39" xfId="0" applyFont="1" applyBorder="1"/>
    <xf numFmtId="0" fontId="102" fillId="0" borderId="0" xfId="0" applyFont="1" applyAlignment="1">
      <alignment horizontal="right"/>
    </xf>
    <xf numFmtId="0" fontId="97" fillId="67" borderId="41" xfId="0" applyFont="1" applyFill="1" applyBorder="1" applyAlignment="1">
      <alignment horizontal="center"/>
    </xf>
    <xf numFmtId="0" fontId="99" fillId="0" borderId="35" xfId="8077" applyFont="1" applyBorder="1" applyAlignment="1">
      <alignment horizontal="center"/>
    </xf>
    <xf numFmtId="0" fontId="106" fillId="0" borderId="28" xfId="8077" applyFont="1" applyBorder="1"/>
    <xf numFmtId="0" fontId="106" fillId="0" borderId="48" xfId="8077" applyFont="1" applyBorder="1"/>
    <xf numFmtId="0" fontId="106" fillId="0" borderId="0" xfId="8077" applyFont="1" applyAlignment="1">
      <alignment horizontal="left"/>
    </xf>
    <xf numFmtId="0" fontId="106" fillId="0" borderId="36" xfId="8077" applyFont="1" applyBorder="1" applyAlignment="1">
      <alignment horizontal="left"/>
    </xf>
    <xf numFmtId="164" fontId="99" fillId="0" borderId="0" xfId="593" applyNumberFormat="1" applyFont="1" applyBorder="1"/>
    <xf numFmtId="164" fontId="99" fillId="0" borderId="36" xfId="593" applyNumberFormat="1" applyFont="1" applyBorder="1"/>
    <xf numFmtId="0" fontId="99" fillId="0" borderId="0" xfId="8077" applyFont="1" applyAlignment="1">
      <alignment horizontal="right"/>
    </xf>
    <xf numFmtId="10" fontId="99" fillId="0" borderId="50" xfId="8235" applyNumberFormat="1" applyFont="1" applyBorder="1"/>
    <xf numFmtId="169" fontId="99" fillId="0" borderId="0" xfId="8249" applyNumberFormat="1" applyFont="1"/>
    <xf numFmtId="169" fontId="99" fillId="0" borderId="36" xfId="8249" applyNumberFormat="1" applyFont="1" applyBorder="1"/>
    <xf numFmtId="164" fontId="99" fillId="0" borderId="0" xfId="606" applyNumberFormat="1" applyFont="1" applyBorder="1"/>
    <xf numFmtId="164" fontId="99" fillId="0" borderId="36" xfId="606" applyNumberFormat="1" applyFont="1" applyBorder="1"/>
    <xf numFmtId="0" fontId="99" fillId="0" borderId="0" xfId="8077" applyFont="1"/>
    <xf numFmtId="0" fontId="99" fillId="0" borderId="36" xfId="8077" applyFont="1" applyBorder="1"/>
    <xf numFmtId="169" fontId="99" fillId="0" borderId="0" xfId="8077" applyNumberFormat="1" applyFont="1"/>
    <xf numFmtId="169" fontId="99" fillId="0" borderId="36" xfId="8077" applyNumberFormat="1" applyFont="1" applyBorder="1"/>
    <xf numFmtId="0" fontId="110" fillId="0" borderId="0" xfId="0" applyFont="1"/>
    <xf numFmtId="164" fontId="99" fillId="0" borderId="0" xfId="8878" applyNumberFormat="1" applyFont="1"/>
    <xf numFmtId="165" fontId="99" fillId="0" borderId="0" xfId="0" applyNumberFormat="1" applyFont="1"/>
    <xf numFmtId="0" fontId="99" fillId="0" borderId="0" xfId="0" applyFont="1" applyAlignment="1">
      <alignment horizontal="center"/>
    </xf>
    <xf numFmtId="0" fontId="97" fillId="0" borderId="0" xfId="0" applyFont="1" applyAlignment="1">
      <alignment horizontal="right"/>
    </xf>
    <xf numFmtId="165" fontId="97" fillId="0" borderId="0" xfId="0" applyNumberFormat="1" applyFont="1"/>
    <xf numFmtId="0" fontId="111" fillId="0" borderId="0" xfId="0" applyFont="1"/>
    <xf numFmtId="14" fontId="97" fillId="0" borderId="0" xfId="0" applyNumberFormat="1" applyFont="1"/>
    <xf numFmtId="165" fontId="111" fillId="0" borderId="0" xfId="0" applyNumberFormat="1" applyFont="1"/>
    <xf numFmtId="0" fontId="111" fillId="0" borderId="0" xfId="0" applyFont="1" applyAlignment="1">
      <alignment horizontal="center"/>
    </xf>
    <xf numFmtId="0" fontId="111" fillId="0" borderId="0" xfId="0" applyFont="1" applyAlignment="1">
      <alignment horizontal="right"/>
    </xf>
    <xf numFmtId="164" fontId="99" fillId="0" borderId="0" xfId="8878" applyNumberFormat="1" applyFont="1" applyFill="1"/>
    <xf numFmtId="164" fontId="97" fillId="0" borderId="0" xfId="8878" applyNumberFormat="1" applyFont="1" applyFill="1"/>
    <xf numFmtId="0" fontId="99" fillId="69" borderId="0" xfId="0" applyFont="1" applyFill="1"/>
    <xf numFmtId="164" fontId="99" fillId="69" borderId="0" xfId="8878" applyNumberFormat="1" applyFont="1" applyFill="1"/>
    <xf numFmtId="0" fontId="97" fillId="0" borderId="40" xfId="0" applyFont="1" applyBorder="1" applyAlignment="1">
      <alignment horizontal="left"/>
    </xf>
    <xf numFmtId="164" fontId="97" fillId="0" borderId="40" xfId="0" applyNumberFormat="1" applyFont="1" applyBorder="1"/>
    <xf numFmtId="0" fontId="99" fillId="0" borderId="40" xfId="0" applyFont="1" applyBorder="1" applyAlignment="1">
      <alignment horizontal="left"/>
    </xf>
    <xf numFmtId="164" fontId="99" fillId="0" borderId="40" xfId="339" applyNumberFormat="1" applyFont="1" applyFill="1" applyBorder="1"/>
    <xf numFmtId="9" fontId="99" fillId="0" borderId="36" xfId="8877" applyFont="1" applyBorder="1"/>
    <xf numFmtId="164" fontId="99" fillId="0" borderId="0" xfId="8878" applyNumberFormat="1" applyFont="1" applyBorder="1"/>
    <xf numFmtId="0" fontId="99" fillId="0" borderId="5" xfId="0" applyFont="1" applyBorder="1"/>
    <xf numFmtId="0" fontId="99" fillId="0" borderId="0" xfId="0" applyFont="1" applyAlignment="1">
      <alignment horizontal="center" vertical="center"/>
    </xf>
    <xf numFmtId="0" fontId="97" fillId="0" borderId="0" xfId="0" applyFont="1" applyAlignment="1">
      <alignment horizontal="center" vertical="center"/>
    </xf>
    <xf numFmtId="165" fontId="97" fillId="0" borderId="0" xfId="0" applyNumberFormat="1" applyFont="1" applyAlignment="1">
      <alignment horizontal="center"/>
    </xf>
    <xf numFmtId="165" fontId="97" fillId="0" borderId="0" xfId="0" applyNumberFormat="1" applyFont="1" applyAlignment="1">
      <alignment horizontal="center" vertical="center"/>
    </xf>
    <xf numFmtId="14" fontId="97" fillId="0" borderId="0" xfId="0" applyNumberFormat="1" applyFont="1" applyAlignment="1">
      <alignment horizontal="center" vertical="center"/>
    </xf>
    <xf numFmtId="0" fontId="97" fillId="0" borderId="0" xfId="0" applyFont="1" applyAlignment="1">
      <alignment horizontal="left"/>
    </xf>
    <xf numFmtId="0" fontId="113" fillId="0" borderId="0" xfId="0" applyFont="1"/>
    <xf numFmtId="164" fontId="113" fillId="0" borderId="0" xfId="8878" applyNumberFormat="1" applyFont="1"/>
    <xf numFmtId="14" fontId="113" fillId="0" borderId="0" xfId="8878" applyNumberFormat="1" applyFont="1"/>
    <xf numFmtId="14" fontId="113" fillId="0" borderId="0" xfId="0" applyNumberFormat="1" applyFont="1"/>
    <xf numFmtId="169" fontId="99" fillId="0" borderId="0" xfId="8877" applyNumberFormat="1" applyFont="1"/>
    <xf numFmtId="43" fontId="97" fillId="0" borderId="0" xfId="0" applyNumberFormat="1" applyFont="1"/>
    <xf numFmtId="0" fontId="97" fillId="0" borderId="28" xfId="0" applyFont="1" applyBorder="1"/>
    <xf numFmtId="164" fontId="97" fillId="0" borderId="28" xfId="8878" applyNumberFormat="1" applyFont="1" applyFill="1" applyBorder="1"/>
    <xf numFmtId="165" fontId="99" fillId="0" borderId="0" xfId="0" applyNumberFormat="1" applyFont="1" applyAlignment="1">
      <alignment horizontal="center"/>
    </xf>
    <xf numFmtId="2" fontId="97" fillId="0" borderId="0" xfId="0" applyNumberFormat="1" applyFont="1"/>
    <xf numFmtId="43" fontId="99" fillId="0" borderId="0" xfId="8880" applyFont="1" applyFill="1"/>
    <xf numFmtId="43" fontId="97" fillId="70" borderId="0" xfId="0" applyNumberFormat="1" applyFont="1" applyFill="1" applyAlignment="1">
      <alignment horizontal="center" vertical="center"/>
    </xf>
    <xf numFmtId="165" fontId="99" fillId="0" borderId="0" xfId="8878" applyNumberFormat="1" applyFont="1" applyFill="1"/>
    <xf numFmtId="164" fontId="97" fillId="0" borderId="28" xfId="0" applyNumberFormat="1" applyFont="1" applyBorder="1"/>
    <xf numFmtId="43" fontId="97" fillId="0" borderId="0" xfId="8878" applyFont="1"/>
    <xf numFmtId="164" fontId="104" fillId="0" borderId="0" xfId="0" applyNumberFormat="1" applyFont="1"/>
    <xf numFmtId="164" fontId="99" fillId="69" borderId="0" xfId="0" applyNumberFormat="1" applyFont="1" applyFill="1"/>
    <xf numFmtId="0" fontId="97" fillId="0" borderId="28" xfId="0" applyFont="1" applyBorder="1" applyAlignment="1">
      <alignment horizontal="right"/>
    </xf>
    <xf numFmtId="0" fontId="97" fillId="0" borderId="28" xfId="0" applyFont="1" applyBorder="1" applyAlignment="1">
      <alignment horizontal="center"/>
    </xf>
    <xf numFmtId="165" fontId="97" fillId="0" borderId="28" xfId="0" applyNumberFormat="1" applyFont="1" applyBorder="1"/>
    <xf numFmtId="165" fontId="97" fillId="0" borderId="28" xfId="8878" applyNumberFormat="1" applyFont="1" applyFill="1" applyBorder="1"/>
    <xf numFmtId="165" fontId="97" fillId="0" borderId="0" xfId="8878" applyNumberFormat="1" applyFont="1" applyFill="1" applyBorder="1"/>
    <xf numFmtId="164" fontId="97" fillId="0" borderId="0" xfId="8878" applyNumberFormat="1" applyFont="1" applyFill="1" applyBorder="1"/>
    <xf numFmtId="2" fontId="97" fillId="0" borderId="28" xfId="0" applyNumberFormat="1" applyFont="1" applyBorder="1"/>
    <xf numFmtId="0" fontId="104" fillId="0" borderId="0" xfId="0" applyFont="1"/>
    <xf numFmtId="165" fontId="104" fillId="0" borderId="0" xfId="8878" applyNumberFormat="1" applyFont="1" applyFill="1"/>
    <xf numFmtId="164" fontId="104" fillId="0" borderId="0" xfId="8878" applyNumberFormat="1" applyFont="1" applyFill="1"/>
    <xf numFmtId="0" fontId="99" fillId="0" borderId="0" xfId="8878" applyNumberFormat="1" applyFont="1" applyFill="1"/>
    <xf numFmtId="0" fontId="102" fillId="0" borderId="0" xfId="0" applyFont="1"/>
    <xf numFmtId="164" fontId="99" fillId="0" borderId="0" xfId="8878" applyNumberFormat="1" applyFont="1" applyFill="1" applyBorder="1"/>
    <xf numFmtId="43" fontId="99" fillId="0" borderId="0" xfId="8878" applyFont="1" applyFill="1"/>
    <xf numFmtId="164" fontId="99" fillId="0" borderId="40" xfId="0" applyNumberFormat="1" applyFont="1" applyBorder="1"/>
    <xf numFmtId="3" fontId="112" fillId="71" borderId="0" xfId="0" applyNumberFormat="1" applyFont="1" applyFill="1"/>
    <xf numFmtId="0" fontId="102" fillId="71" borderId="0" xfId="0" applyFont="1" applyFill="1" applyAlignment="1">
      <alignment horizontal="right"/>
    </xf>
    <xf numFmtId="9" fontId="104" fillId="71" borderId="0" xfId="8877" applyFont="1" applyFill="1"/>
    <xf numFmtId="0" fontId="104" fillId="71" borderId="0" xfId="0" applyFont="1" applyFill="1"/>
    <xf numFmtId="0" fontId="99" fillId="71" borderId="0" xfId="0" applyFont="1" applyFill="1"/>
    <xf numFmtId="10" fontId="104" fillId="71" borderId="0" xfId="8877" applyNumberFormat="1" applyFont="1" applyFill="1"/>
    <xf numFmtId="10" fontId="104" fillId="71" borderId="0" xfId="0" applyNumberFormat="1" applyFont="1" applyFill="1"/>
    <xf numFmtId="165" fontId="99" fillId="69" borderId="0" xfId="8878" applyNumberFormat="1" applyFont="1" applyFill="1"/>
    <xf numFmtId="165" fontId="97" fillId="0" borderId="0" xfId="8878" applyNumberFormat="1" applyFont="1" applyAlignment="1">
      <alignment horizontal="center"/>
    </xf>
    <xf numFmtId="165" fontId="99" fillId="0" borderId="0" xfId="8878" applyNumberFormat="1" applyFont="1" applyFill="1" applyBorder="1"/>
    <xf numFmtId="165" fontId="99" fillId="0" borderId="0" xfId="8878" applyNumberFormat="1" applyFont="1"/>
    <xf numFmtId="0" fontId="99" fillId="72" borderId="0" xfId="0" applyFont="1" applyFill="1"/>
    <xf numFmtId="164" fontId="0" fillId="69" borderId="0" xfId="0" applyNumberFormat="1" applyFill="1"/>
    <xf numFmtId="0" fontId="99" fillId="73" borderId="0" xfId="0" applyFont="1" applyFill="1"/>
    <xf numFmtId="0" fontId="97" fillId="73" borderId="0" xfId="0" applyFont="1" applyFill="1" applyAlignment="1">
      <alignment horizontal="center"/>
    </xf>
    <xf numFmtId="165" fontId="99" fillId="73" borderId="0" xfId="8878" applyNumberFormat="1" applyFont="1" applyFill="1"/>
    <xf numFmtId="164" fontId="99" fillId="73" borderId="0" xfId="8878" applyNumberFormat="1" applyFont="1" applyFill="1"/>
    <xf numFmtId="164" fontId="99" fillId="73" borderId="0" xfId="0" applyNumberFormat="1" applyFont="1" applyFill="1"/>
    <xf numFmtId="0" fontId="114" fillId="69" borderId="0" xfId="0" applyFont="1" applyFill="1" applyAlignment="1">
      <alignment horizontal="right"/>
    </xf>
    <xf numFmtId="0" fontId="114" fillId="73" borderId="0" xfId="0" applyFont="1" applyFill="1" applyAlignment="1">
      <alignment horizontal="right"/>
    </xf>
    <xf numFmtId="164" fontId="0" fillId="73" borderId="0" xfId="0" applyNumberFormat="1" applyFill="1"/>
    <xf numFmtId="164" fontId="97" fillId="0" borderId="28" xfId="8878" applyNumberFormat="1" applyFont="1" applyFill="1" applyBorder="1" applyAlignment="1">
      <alignment horizontal="right"/>
    </xf>
    <xf numFmtId="0" fontId="97" fillId="74" borderId="0" xfId="0" applyFont="1" applyFill="1" applyAlignment="1">
      <alignment horizontal="right"/>
    </xf>
    <xf numFmtId="165" fontId="115" fillId="0" borderId="0" xfId="0" applyNumberFormat="1" applyFont="1"/>
    <xf numFmtId="0" fontId="105" fillId="0" borderId="35" xfId="8077" applyFont="1" applyBorder="1" applyAlignment="1">
      <alignment horizontal="center" wrapText="1"/>
    </xf>
    <xf numFmtId="0" fontId="105" fillId="0" borderId="0" xfId="8077" applyFont="1" applyAlignment="1">
      <alignment horizontal="center" wrapText="1"/>
    </xf>
    <xf numFmtId="0" fontId="101" fillId="0" borderId="32" xfId="8077" applyFont="1" applyBorder="1" applyAlignment="1">
      <alignment horizontal="center" wrapText="1"/>
    </xf>
    <xf numFmtId="0" fontId="101" fillId="0" borderId="33" xfId="8077" applyFont="1" applyBorder="1" applyAlignment="1">
      <alignment horizontal="center" wrapText="1"/>
    </xf>
    <xf numFmtId="0" fontId="101" fillId="0" borderId="35" xfId="8077" applyFont="1" applyBorder="1" applyAlignment="1">
      <alignment horizontal="center" wrapText="1"/>
    </xf>
    <xf numFmtId="0" fontId="101" fillId="0" borderId="0" xfId="8077" applyFont="1" applyAlignment="1">
      <alignment horizontal="center" wrapText="1"/>
    </xf>
    <xf numFmtId="0" fontId="106" fillId="0" borderId="0" xfId="8077" applyFont="1" applyAlignment="1">
      <alignment horizontal="center"/>
    </xf>
    <xf numFmtId="0" fontId="116" fillId="0" borderId="0" xfId="0" applyFont="1"/>
    <xf numFmtId="14" fontId="97" fillId="0" borderId="0" xfId="0" applyNumberFormat="1" applyFont="1" applyAlignment="1">
      <alignment horizontal="left"/>
    </xf>
    <xf numFmtId="169" fontId="99" fillId="66" borderId="0" xfId="8877" applyNumberFormat="1" applyFont="1" applyFill="1"/>
    <xf numFmtId="169" fontId="99" fillId="0" borderId="0" xfId="8877" applyNumberFormat="1" applyFont="1" applyFill="1"/>
    <xf numFmtId="164" fontId="99" fillId="66" borderId="0" xfId="0" applyNumberFormat="1" applyFont="1" applyFill="1"/>
    <xf numFmtId="9" fontId="99" fillId="66" borderId="0" xfId="8877" applyFont="1" applyFill="1"/>
    <xf numFmtId="0" fontId="97" fillId="0" borderId="0" xfId="0" applyFont="1" applyAlignment="1">
      <alignment horizontal="center" wrapText="1"/>
    </xf>
    <xf numFmtId="164" fontId="97" fillId="0" borderId="0" xfId="339" applyNumberFormat="1" applyFont="1" applyBorder="1"/>
    <xf numFmtId="43" fontId="99" fillId="0" borderId="0" xfId="339" applyFont="1" applyFill="1" applyAlignment="1">
      <alignment horizontal="left"/>
    </xf>
    <xf numFmtId="164" fontId="99" fillId="0" borderId="0" xfId="339" applyNumberFormat="1" applyFont="1" applyFill="1" applyAlignment="1">
      <alignment horizontal="center"/>
    </xf>
    <xf numFmtId="164" fontId="97" fillId="0" borderId="0" xfId="339" applyNumberFormat="1" applyFont="1" applyFill="1" applyBorder="1" applyAlignment="1">
      <alignment horizontal="center"/>
    </xf>
    <xf numFmtId="164" fontId="103" fillId="0" borderId="0" xfId="339" applyNumberFormat="1" applyFont="1" applyFill="1" applyAlignment="1">
      <alignment horizontal="center"/>
    </xf>
    <xf numFmtId="164" fontId="99" fillId="0" borderId="0" xfId="0" applyNumberFormat="1" applyFont="1" applyAlignment="1">
      <alignment horizontal="center"/>
    </xf>
    <xf numFmtId="0" fontId="99" fillId="0" borderId="0" xfId="2847" applyFont="1" applyAlignment="1">
      <alignment horizontal="center"/>
    </xf>
    <xf numFmtId="164" fontId="99" fillId="0" borderId="0" xfId="2847" applyNumberFormat="1" applyFont="1" applyAlignment="1">
      <alignment horizontal="center"/>
    </xf>
    <xf numFmtId="164" fontId="97" fillId="0" borderId="0" xfId="2847" applyNumberFormat="1" applyFont="1" applyAlignment="1">
      <alignment horizontal="center"/>
    </xf>
    <xf numFmtId="43" fontId="99" fillId="0" borderId="0" xfId="339" applyFont="1" applyFill="1" applyAlignment="1">
      <alignment horizontal="center"/>
    </xf>
    <xf numFmtId="169" fontId="99" fillId="0" borderId="0" xfId="0" applyNumberFormat="1" applyFont="1" applyAlignment="1">
      <alignment horizontal="center"/>
    </xf>
    <xf numFmtId="164" fontId="99" fillId="0" borderId="0" xfId="8878" applyNumberFormat="1" applyFont="1" applyFill="1" applyAlignment="1">
      <alignment horizontal="center"/>
    </xf>
    <xf numFmtId="9" fontId="99" fillId="66" borderId="0" xfId="8877" applyFont="1" applyFill="1" applyAlignment="1">
      <alignment horizontal="center"/>
    </xf>
    <xf numFmtId="164" fontId="97" fillId="66" borderId="0" xfId="339" applyNumberFormat="1" applyFont="1" applyFill="1"/>
    <xf numFmtId="0" fontId="106" fillId="0" borderId="35" xfId="8077" applyFont="1" applyBorder="1" applyAlignment="1">
      <alignment horizontal="left"/>
    </xf>
    <xf numFmtId="10" fontId="99" fillId="66" borderId="49" xfId="8235" applyNumberFormat="1" applyFont="1" applyFill="1" applyBorder="1"/>
    <xf numFmtId="169" fontId="99" fillId="66" borderId="49" xfId="8249" applyNumberFormat="1" applyFont="1" applyFill="1" applyBorder="1"/>
    <xf numFmtId="164" fontId="99" fillId="66" borderId="0" xfId="0" applyNumberFormat="1" applyFont="1" applyFill="1" applyAlignment="1">
      <alignment horizontal="right"/>
    </xf>
    <xf numFmtId="9" fontId="99" fillId="66" borderId="36" xfId="8235" applyNumberFormat="1" applyFont="1" applyFill="1" applyBorder="1"/>
    <xf numFmtId="164" fontId="99" fillId="67" borderId="0" xfId="339" applyNumberFormat="1" applyFont="1" applyFill="1"/>
    <xf numFmtId="43" fontId="99" fillId="67" borderId="0" xfId="339" applyFont="1" applyFill="1"/>
    <xf numFmtId="164" fontId="117" fillId="0" borderId="0" xfId="339" applyNumberFormat="1" applyFont="1" applyFill="1"/>
    <xf numFmtId="43" fontId="99" fillId="68" borderId="0" xfId="339" applyFont="1" applyFill="1"/>
    <xf numFmtId="0" fontId="99" fillId="75" borderId="0" xfId="0" applyFont="1" applyFill="1"/>
    <xf numFmtId="14" fontId="111" fillId="0" borderId="0" xfId="0" applyNumberFormat="1" applyFont="1" applyAlignment="1">
      <alignment horizontal="left"/>
    </xf>
    <xf numFmtId="0" fontId="99" fillId="76" borderId="0" xfId="0" applyFont="1" applyFill="1"/>
    <xf numFmtId="165" fontId="99" fillId="76" borderId="0" xfId="8878" applyNumberFormat="1" applyFont="1" applyFill="1"/>
    <xf numFmtId="164" fontId="99" fillId="76" borderId="0" xfId="8878" applyNumberFormat="1" applyFont="1" applyFill="1"/>
    <xf numFmtId="164" fontId="99" fillId="76" borderId="0" xfId="0" applyNumberFormat="1" applyFont="1" applyFill="1"/>
    <xf numFmtId="0" fontId="104" fillId="77" borderId="0" xfId="0" applyFont="1" applyFill="1"/>
    <xf numFmtId="165" fontId="104" fillId="77" borderId="0" xfId="8878" applyNumberFormat="1" applyFont="1" applyFill="1"/>
    <xf numFmtId="164" fontId="104" fillId="77" borderId="0" xfId="8878" applyNumberFormat="1" applyFont="1" applyFill="1"/>
    <xf numFmtId="164" fontId="99" fillId="77" borderId="0" xfId="8878" applyNumberFormat="1" applyFont="1" applyFill="1"/>
    <xf numFmtId="164" fontId="99" fillId="77" borderId="0" xfId="0" applyNumberFormat="1" applyFont="1" applyFill="1"/>
    <xf numFmtId="0" fontId="104" fillId="69" borderId="0" xfId="0" applyFont="1" applyFill="1"/>
    <xf numFmtId="164" fontId="104" fillId="69" borderId="0" xfId="8878" applyNumberFormat="1" applyFont="1" applyFill="1"/>
    <xf numFmtId="164" fontId="104" fillId="69" borderId="0" xfId="12173" applyNumberFormat="1" applyFont="1" applyFill="1"/>
    <xf numFmtId="164" fontId="104" fillId="69" borderId="0" xfId="0" applyNumberFormat="1" applyFont="1" applyFill="1"/>
    <xf numFmtId="165" fontId="104" fillId="69" borderId="0" xfId="8878" applyNumberFormat="1" applyFont="1" applyFill="1"/>
    <xf numFmtId="43" fontId="104" fillId="69" borderId="0" xfId="8878" applyFont="1" applyFill="1"/>
    <xf numFmtId="0" fontId="104" fillId="76" borderId="0" xfId="0" applyFont="1" applyFill="1"/>
    <xf numFmtId="1" fontId="99" fillId="0" borderId="0" xfId="0" applyNumberFormat="1" applyFont="1"/>
    <xf numFmtId="0" fontId="99" fillId="77" borderId="0" xfId="0" applyFont="1" applyFill="1"/>
    <xf numFmtId="0" fontId="0" fillId="0" borderId="0" xfId="0" pivotButton="1"/>
    <xf numFmtId="0" fontId="0" fillId="0" borderId="0" xfId="0" applyAlignment="1">
      <alignment horizontal="left"/>
    </xf>
    <xf numFmtId="0" fontId="123" fillId="83" borderId="55" xfId="0" applyFont="1" applyFill="1" applyBorder="1"/>
    <xf numFmtId="0" fontId="123" fillId="83" borderId="56" xfId="0" applyFont="1" applyFill="1" applyBorder="1" applyAlignment="1">
      <alignment horizontal="left"/>
    </xf>
    <xf numFmtId="0" fontId="99" fillId="0" borderId="35" xfId="0" applyFont="1" applyBorder="1"/>
    <xf numFmtId="0" fontId="97" fillId="0" borderId="35" xfId="0" applyFont="1" applyBorder="1" applyAlignment="1">
      <alignment horizontal="center"/>
    </xf>
    <xf numFmtId="0" fontId="97" fillId="0" borderId="35" xfId="0" applyFont="1" applyBorder="1"/>
    <xf numFmtId="164" fontId="99" fillId="0" borderId="0" xfId="339" applyNumberFormat="1" applyFont="1" applyFill="1" applyBorder="1"/>
    <xf numFmtId="164" fontId="99" fillId="0" borderId="36" xfId="339" applyNumberFormat="1" applyFont="1" applyFill="1" applyBorder="1"/>
    <xf numFmtId="0" fontId="97" fillId="0" borderId="45" xfId="0" applyFont="1" applyBorder="1"/>
    <xf numFmtId="164" fontId="97" fillId="0" borderId="57" xfId="339" applyNumberFormat="1" applyFont="1" applyBorder="1"/>
    <xf numFmtId="164" fontId="97" fillId="0" borderId="57" xfId="339" applyNumberFormat="1" applyFont="1" applyFill="1" applyBorder="1"/>
    <xf numFmtId="164" fontId="103" fillId="0" borderId="0" xfId="339" applyNumberFormat="1" applyFont="1" applyBorder="1"/>
    <xf numFmtId="164" fontId="103" fillId="0" borderId="36" xfId="339" applyNumberFormat="1" applyFont="1" applyFill="1" applyBorder="1"/>
    <xf numFmtId="0" fontId="99" fillId="0" borderId="35" xfId="0" applyFont="1" applyBorder="1" applyAlignment="1">
      <alignment horizontal="right"/>
    </xf>
    <xf numFmtId="43" fontId="0" fillId="0" borderId="0" xfId="8878" applyFont="1"/>
    <xf numFmtId="164" fontId="104" fillId="77" borderId="0" xfId="0" applyNumberFormat="1" applyFont="1" applyFill="1"/>
    <xf numFmtId="164" fontId="99" fillId="84" borderId="0" xfId="8878" applyNumberFormat="1" applyFont="1" applyFill="1"/>
    <xf numFmtId="0" fontId="10" fillId="0" borderId="0" xfId="12179"/>
    <xf numFmtId="1" fontId="10" fillId="0" borderId="0" xfId="12179" applyNumberFormat="1"/>
    <xf numFmtId="0" fontId="99" fillId="0" borderId="0" xfId="12179" applyFont="1"/>
    <xf numFmtId="0" fontId="99" fillId="0" borderId="0" xfId="12179" applyFont="1" applyAlignment="1">
      <alignment horizontal="center"/>
    </xf>
    <xf numFmtId="43" fontId="99" fillId="0" borderId="0" xfId="12180" applyFont="1"/>
    <xf numFmtId="1" fontId="99" fillId="0" borderId="0" xfId="12180" applyNumberFormat="1" applyFont="1"/>
    <xf numFmtId="171" fontId="99" fillId="0" borderId="0" xfId="12179" applyNumberFormat="1" applyFont="1"/>
    <xf numFmtId="0" fontId="97" fillId="0" borderId="0" xfId="12179" applyFont="1" applyAlignment="1">
      <alignment horizontal="left"/>
    </xf>
    <xf numFmtId="14" fontId="99" fillId="0" borderId="0" xfId="12179" applyNumberFormat="1" applyFont="1"/>
    <xf numFmtId="17" fontId="99" fillId="0" borderId="0" xfId="12179" applyNumberFormat="1" applyFont="1"/>
    <xf numFmtId="0" fontId="78" fillId="79" borderId="0" xfId="12179" applyFont="1" applyFill="1"/>
    <xf numFmtId="0" fontId="81" fillId="79" borderId="38" xfId="12179" applyFont="1" applyFill="1" applyBorder="1" applyAlignment="1">
      <alignment horizontal="center" wrapText="1"/>
    </xf>
    <xf numFmtId="1" fontId="81" fillId="79" borderId="38" xfId="12179" applyNumberFormat="1" applyFont="1" applyFill="1" applyBorder="1" applyAlignment="1">
      <alignment horizontal="center" wrapText="1"/>
    </xf>
    <xf numFmtId="1" fontId="78" fillId="79" borderId="0" xfId="12179" applyNumberFormat="1" applyFont="1" applyFill="1"/>
    <xf numFmtId="0" fontId="78" fillId="81" borderId="0" xfId="12179" applyFont="1" applyFill="1"/>
    <xf numFmtId="0" fontId="78" fillId="79" borderId="0" xfId="12179" applyFont="1" applyFill="1" applyAlignment="1">
      <alignment horizontal="right"/>
    </xf>
    <xf numFmtId="0" fontId="99" fillId="67" borderId="52" xfId="12179" applyFont="1" applyFill="1" applyBorder="1" applyAlignment="1">
      <alignment horizontal="left"/>
    </xf>
    <xf numFmtId="0" fontId="122" fillId="79" borderId="0" xfId="12179" applyFont="1" applyFill="1"/>
    <xf numFmtId="14" fontId="99" fillId="67" borderId="52" xfId="12179" applyNumberFormat="1" applyFont="1" applyFill="1" applyBorder="1"/>
    <xf numFmtId="0" fontId="120" fillId="79" borderId="0" xfId="12179" applyFont="1" applyFill="1"/>
    <xf numFmtId="49" fontId="99" fillId="67" borderId="52" xfId="12179" applyNumberFormat="1" applyFont="1" applyFill="1" applyBorder="1" applyAlignment="1">
      <alignment horizontal="left"/>
    </xf>
    <xf numFmtId="0" fontId="99" fillId="67" borderId="52" xfId="12179" applyFont="1" applyFill="1" applyBorder="1"/>
    <xf numFmtId="0" fontId="10" fillId="80" borderId="0" xfId="12179" applyFill="1" applyAlignment="1">
      <alignment horizontal="left"/>
    </xf>
    <xf numFmtId="0" fontId="78" fillId="79" borderId="0" xfId="12179" applyFont="1" applyFill="1" applyAlignment="1">
      <alignment horizontal="left"/>
    </xf>
    <xf numFmtId="0" fontId="78" fillId="79" borderId="0" xfId="12179" applyFont="1" applyFill="1" applyAlignment="1">
      <alignment horizontal="center"/>
    </xf>
    <xf numFmtId="0" fontId="119" fillId="79" borderId="0" xfId="12179" applyFont="1" applyFill="1"/>
    <xf numFmtId="1" fontId="99" fillId="0" borderId="0" xfId="12179" applyNumberFormat="1" applyFont="1"/>
    <xf numFmtId="0" fontId="118" fillId="78" borderId="0" xfId="12179" applyFont="1" applyFill="1" applyAlignment="1">
      <alignment horizontal="left"/>
    </xf>
    <xf numFmtId="0" fontId="118" fillId="78" borderId="0" xfId="12179" applyFont="1" applyFill="1" applyAlignment="1">
      <alignment horizontal="right"/>
    </xf>
    <xf numFmtId="0" fontId="10" fillId="85" borderId="0" xfId="12179" applyFill="1"/>
    <xf numFmtId="0" fontId="99" fillId="85" borderId="0" xfId="12179" applyFont="1" applyFill="1" applyAlignment="1">
      <alignment horizontal="center"/>
    </xf>
    <xf numFmtId="0" fontId="97" fillId="85" borderId="0" xfId="12179" applyFont="1" applyFill="1" applyAlignment="1">
      <alignment horizontal="left"/>
    </xf>
    <xf numFmtId="0" fontId="99" fillId="85" borderId="0" xfId="12179" applyFont="1" applyFill="1"/>
    <xf numFmtId="171" fontId="99" fillId="85" borderId="0" xfId="12179" applyNumberFormat="1" applyFont="1" applyFill="1"/>
    <xf numFmtId="43" fontId="99" fillId="85" borderId="0" xfId="12180" applyFont="1" applyFill="1"/>
    <xf numFmtId="1" fontId="99" fillId="85" borderId="0" xfId="12180" applyNumberFormat="1" applyFont="1" applyFill="1"/>
    <xf numFmtId="164" fontId="0" fillId="0" borderId="0" xfId="0" applyNumberFormat="1"/>
    <xf numFmtId="0" fontId="126" fillId="0" borderId="0" xfId="0" applyFont="1"/>
    <xf numFmtId="164" fontId="123" fillId="83" borderId="56" xfId="0" applyNumberFormat="1" applyFont="1" applyFill="1" applyBorder="1"/>
    <xf numFmtId="0" fontId="99" fillId="87" borderId="0" xfId="0" applyFont="1" applyFill="1"/>
    <xf numFmtId="0" fontId="97" fillId="87" borderId="0" xfId="0" applyFont="1" applyFill="1" applyAlignment="1">
      <alignment horizontal="center"/>
    </xf>
    <xf numFmtId="0" fontId="127" fillId="0" borderId="0" xfId="0" applyFont="1" applyAlignment="1">
      <alignment horizontal="center"/>
    </xf>
    <xf numFmtId="0" fontId="128" fillId="0" borderId="0" xfId="0" applyFont="1"/>
    <xf numFmtId="0" fontId="99" fillId="0" borderId="0" xfId="8884" applyFont="1"/>
    <xf numFmtId="0" fontId="128" fillId="0" borderId="0" xfId="0" applyFont="1" applyAlignment="1">
      <alignment horizontal="center"/>
    </xf>
    <xf numFmtId="0" fontId="99" fillId="84" borderId="0" xfId="0" applyFont="1" applyFill="1"/>
    <xf numFmtId="164" fontId="99" fillId="84" borderId="0" xfId="0" applyNumberFormat="1" applyFont="1" applyFill="1"/>
    <xf numFmtId="0" fontId="99" fillId="86" borderId="0" xfId="0" applyFont="1" applyFill="1"/>
    <xf numFmtId="3" fontId="129" fillId="86" borderId="0" xfId="12187" applyNumberFormat="1" applyFont="1" applyFill="1" applyAlignment="1">
      <alignment horizontal="right"/>
    </xf>
    <xf numFmtId="0" fontId="129" fillId="86" borderId="0" xfId="12187" applyFont="1" applyFill="1" applyAlignment="1">
      <alignment horizontal="right"/>
    </xf>
    <xf numFmtId="165" fontId="129" fillId="86" borderId="0" xfId="12187" applyNumberFormat="1" applyFont="1" applyFill="1" applyAlignment="1">
      <alignment horizontal="right"/>
    </xf>
    <xf numFmtId="2" fontId="129" fillId="86" borderId="0" xfId="12187" applyNumberFormat="1" applyFont="1" applyFill="1" applyAlignment="1">
      <alignment horizontal="right"/>
    </xf>
    <xf numFmtId="4" fontId="18" fillId="0" borderId="0" xfId="12188" applyNumberFormat="1" applyFont="1" applyAlignment="1">
      <alignment horizontal="left"/>
    </xf>
    <xf numFmtId="0" fontId="18" fillId="0" borderId="0" xfId="12188" applyFont="1"/>
    <xf numFmtId="164" fontId="108" fillId="0" borderId="0" xfId="8949" applyNumberFormat="1" applyFont="1" applyFill="1"/>
    <xf numFmtId="164" fontId="18" fillId="86" borderId="0" xfId="554" applyNumberFormat="1" applyFont="1" applyFill="1" applyBorder="1" applyAlignment="1">
      <alignment horizontal="right"/>
    </xf>
    <xf numFmtId="0" fontId="7" fillId="0" borderId="0" xfId="12189"/>
    <xf numFmtId="1" fontId="7" fillId="0" borderId="0" xfId="12189" applyNumberFormat="1"/>
    <xf numFmtId="0" fontId="7" fillId="0" borderId="0" xfId="12189" applyAlignment="1">
      <alignment horizontal="center"/>
    </xf>
    <xf numFmtId="0" fontId="118" fillId="0" borderId="0" xfId="12189" applyFont="1" applyAlignment="1">
      <alignment horizontal="left"/>
    </xf>
    <xf numFmtId="0" fontId="7" fillId="0" borderId="0" xfId="12189" applyAlignment="1">
      <alignment horizontal="left"/>
    </xf>
    <xf numFmtId="172" fontId="7" fillId="0" borderId="0" xfId="12189" applyNumberFormat="1" applyAlignment="1">
      <alignment horizontal="center"/>
    </xf>
    <xf numFmtId="44" fontId="0" fillId="0" borderId="0" xfId="12190" applyFont="1"/>
    <xf numFmtId="0" fontId="7" fillId="78" borderId="0" xfId="12189" applyFill="1" applyAlignment="1">
      <alignment horizontal="right"/>
    </xf>
    <xf numFmtId="0" fontId="7" fillId="78" borderId="0" xfId="12189" applyFill="1" applyAlignment="1">
      <alignment horizontal="left"/>
    </xf>
    <xf numFmtId="0" fontId="99" fillId="0" borderId="0" xfId="12189" applyFont="1"/>
    <xf numFmtId="0" fontId="118" fillId="78" borderId="0" xfId="12189" applyFont="1" applyFill="1" applyAlignment="1">
      <alignment horizontal="left"/>
    </xf>
    <xf numFmtId="1" fontId="99" fillId="0" borderId="0" xfId="12189" applyNumberFormat="1" applyFont="1"/>
    <xf numFmtId="0" fontId="118" fillId="78" borderId="0" xfId="12189" applyFont="1" applyFill="1" applyAlignment="1">
      <alignment horizontal="right"/>
    </xf>
    <xf numFmtId="0" fontId="119" fillId="79" borderId="32" xfId="12189" applyFont="1" applyFill="1" applyBorder="1" applyAlignment="1">
      <alignment horizontal="left" indent="1"/>
    </xf>
    <xf numFmtId="0" fontId="78" fillId="79" borderId="33" xfId="12189" applyFont="1" applyFill="1" applyBorder="1"/>
    <xf numFmtId="0" fontId="78" fillId="79" borderId="33" xfId="12189" applyFont="1" applyFill="1" applyBorder="1" applyAlignment="1">
      <alignment horizontal="left" vertical="center"/>
    </xf>
    <xf numFmtId="0" fontId="78" fillId="79" borderId="33" xfId="12189" applyFont="1" applyFill="1" applyBorder="1" applyAlignment="1">
      <alignment vertical="center"/>
    </xf>
    <xf numFmtId="1" fontId="78" fillId="79" borderId="33" xfId="12189" applyNumberFormat="1" applyFont="1" applyFill="1" applyBorder="1"/>
    <xf numFmtId="0" fontId="78" fillId="79" borderId="0" xfId="12191" applyFont="1" applyFill="1"/>
    <xf numFmtId="0" fontId="119" fillId="79" borderId="35" xfId="12189" applyFont="1" applyFill="1" applyBorder="1" applyAlignment="1">
      <alignment horizontal="left" indent="1"/>
    </xf>
    <xf numFmtId="0" fontId="78" fillId="79" borderId="0" xfId="12189" applyFont="1" applyFill="1"/>
    <xf numFmtId="0" fontId="7" fillId="79" borderId="0" xfId="12189" applyFill="1"/>
    <xf numFmtId="1" fontId="78" fillId="79" borderId="0" xfId="12189" applyNumberFormat="1" applyFont="1" applyFill="1"/>
    <xf numFmtId="0" fontId="78" fillId="79" borderId="35" xfId="12189" applyFont="1" applyFill="1" applyBorder="1" applyAlignment="1">
      <alignment horizontal="left" indent="1"/>
    </xf>
    <xf numFmtId="14" fontId="78" fillId="79" borderId="0" xfId="12189" applyNumberFormat="1" applyFont="1" applyFill="1" applyAlignment="1">
      <alignment horizontal="left"/>
    </xf>
    <xf numFmtId="0" fontId="78" fillId="79" borderId="0" xfId="12189" applyFont="1" applyFill="1" applyAlignment="1">
      <alignment horizontal="left"/>
    </xf>
    <xf numFmtId="0" fontId="81" fillId="79" borderId="35" xfId="12189" applyFont="1" applyFill="1" applyBorder="1" applyAlignment="1">
      <alignment horizontal="right"/>
    </xf>
    <xf numFmtId="0" fontId="99" fillId="71" borderId="52" xfId="12189" applyFont="1" applyFill="1" applyBorder="1" applyAlignment="1">
      <alignment horizontal="left"/>
    </xf>
    <xf numFmtId="0" fontId="81" fillId="79" borderId="0" xfId="12189" applyFont="1" applyFill="1" applyAlignment="1">
      <alignment horizontal="right"/>
    </xf>
    <xf numFmtId="0" fontId="122" fillId="79" borderId="0" xfId="12189" applyFont="1" applyFill="1"/>
    <xf numFmtId="172" fontId="99" fillId="71" borderId="52" xfId="12189" applyNumberFormat="1" applyFont="1" applyFill="1" applyBorder="1"/>
    <xf numFmtId="0" fontId="81" fillId="79" borderId="0" xfId="12189" applyFont="1" applyFill="1" applyAlignment="1">
      <alignment horizontal="right" vertical="center"/>
    </xf>
    <xf numFmtId="0" fontId="78" fillId="79" borderId="36" xfId="12189" applyFont="1" applyFill="1" applyBorder="1"/>
    <xf numFmtId="0" fontId="81" fillId="79" borderId="37" xfId="12189" applyFont="1" applyFill="1" applyBorder="1" applyAlignment="1">
      <alignment horizontal="center" wrapText="1"/>
    </xf>
    <xf numFmtId="0" fontId="81" fillId="79" borderId="38" xfId="12189" applyFont="1" applyFill="1" applyBorder="1" applyAlignment="1">
      <alignment horizontal="center" wrapText="1"/>
    </xf>
    <xf numFmtId="0" fontId="81" fillId="79" borderId="38" xfId="12189" applyFont="1" applyFill="1" applyBorder="1" applyAlignment="1">
      <alignment wrapText="1"/>
    </xf>
    <xf numFmtId="0" fontId="81" fillId="82" borderId="38" xfId="12189" applyFont="1" applyFill="1" applyBorder="1" applyAlignment="1">
      <alignment horizontal="center" wrapText="1"/>
    </xf>
    <xf numFmtId="0" fontId="81" fillId="82" borderId="38" xfId="12189" applyFont="1" applyFill="1" applyBorder="1" applyAlignment="1">
      <alignment horizontal="right" wrapText="1"/>
    </xf>
    <xf numFmtId="0" fontId="7" fillId="88" borderId="0" xfId="12189" applyFill="1" applyAlignment="1">
      <alignment horizontal="center"/>
    </xf>
    <xf numFmtId="0" fontId="118" fillId="88" borderId="0" xfId="12189" applyFont="1" applyFill="1" applyAlignment="1">
      <alignment horizontal="left"/>
    </xf>
    <xf numFmtId="0" fontId="7" fillId="88" borderId="0" xfId="12189" applyFill="1" applyAlignment="1">
      <alignment horizontal="left"/>
    </xf>
    <xf numFmtId="172" fontId="7" fillId="88" borderId="0" xfId="12189" applyNumberFormat="1" applyFill="1" applyAlignment="1">
      <alignment horizontal="center"/>
    </xf>
    <xf numFmtId="44" fontId="0" fillId="88" borderId="0" xfId="12190" applyFont="1" applyFill="1"/>
    <xf numFmtId="0" fontId="7" fillId="88" borderId="0" xfId="12192" applyFill="1" applyAlignment="1">
      <alignment horizontal="left"/>
    </xf>
    <xf numFmtId="14" fontId="7" fillId="0" borderId="0" xfId="12189" applyNumberFormat="1" applyAlignment="1">
      <alignment horizontal="left"/>
    </xf>
    <xf numFmtId="11" fontId="7" fillId="0" borderId="0" xfId="12189" applyNumberFormat="1" applyAlignment="1">
      <alignment horizontal="left"/>
    </xf>
    <xf numFmtId="14" fontId="7" fillId="88" borderId="0" xfId="12189" applyNumberFormat="1" applyFill="1" applyAlignment="1">
      <alignment horizontal="left"/>
    </xf>
    <xf numFmtId="43" fontId="7" fillId="0" borderId="0" xfId="8878" applyFont="1"/>
    <xf numFmtId="43" fontId="7" fillId="0" borderId="0" xfId="12189" applyNumberFormat="1"/>
    <xf numFmtId="0" fontId="7" fillId="88" borderId="0" xfId="12189" applyFill="1"/>
    <xf numFmtId="0" fontId="7" fillId="88" borderId="0" xfId="12192" applyFill="1" applyAlignment="1">
      <alignment horizontal="center"/>
    </xf>
    <xf numFmtId="1" fontId="7" fillId="88" borderId="0" xfId="12192" applyNumberFormat="1" applyFill="1" applyAlignment="1">
      <alignment horizontal="center"/>
    </xf>
    <xf numFmtId="165" fontId="7" fillId="88" borderId="0" xfId="12192" applyNumberFormat="1" applyFill="1" applyAlignment="1">
      <alignment horizontal="center"/>
    </xf>
    <xf numFmtId="164" fontId="0" fillId="88" borderId="0" xfId="12193" applyNumberFormat="1" applyFont="1" applyFill="1" applyAlignment="1">
      <alignment horizontal="center"/>
    </xf>
    <xf numFmtId="164" fontId="0" fillId="88" borderId="0" xfId="12193" applyNumberFormat="1" applyFont="1" applyFill="1"/>
    <xf numFmtId="164" fontId="7" fillId="88" borderId="0" xfId="12192" applyNumberFormat="1" applyFill="1"/>
    <xf numFmtId="0" fontId="118" fillId="0" borderId="0" xfId="12189" applyFont="1"/>
    <xf numFmtId="0" fontId="99" fillId="80" borderId="58" xfId="0" applyFont="1" applyFill="1" applyBorder="1"/>
    <xf numFmtId="0" fontId="99" fillId="80" borderId="59" xfId="0" applyFont="1" applyFill="1" applyBorder="1"/>
    <xf numFmtId="0" fontId="7" fillId="80" borderId="59" xfId="12189" applyFill="1" applyBorder="1"/>
    <xf numFmtId="0" fontId="99" fillId="80" borderId="60" xfId="0" applyFont="1" applyFill="1" applyBorder="1"/>
    <xf numFmtId="14" fontId="5" fillId="88" borderId="0" xfId="12189" applyNumberFormat="1" applyFont="1" applyFill="1" applyAlignment="1">
      <alignment horizontal="left"/>
    </xf>
    <xf numFmtId="0" fontId="4" fillId="0" borderId="0" xfId="12189" applyFont="1"/>
    <xf numFmtId="14" fontId="7" fillId="0" borderId="0" xfId="12189" applyNumberFormat="1"/>
    <xf numFmtId="14" fontId="95" fillId="0" borderId="0" xfId="12189" applyNumberFormat="1" applyFont="1"/>
    <xf numFmtId="43" fontId="95" fillId="0" borderId="0" xfId="12189" applyNumberFormat="1" applyFont="1"/>
    <xf numFmtId="2" fontId="7" fillId="0" borderId="0" xfId="12189" applyNumberFormat="1"/>
    <xf numFmtId="164" fontId="0" fillId="77" borderId="0" xfId="12193" applyNumberFormat="1" applyFont="1" applyFill="1"/>
    <xf numFmtId="0" fontId="130" fillId="0" borderId="5" xfId="12189" applyFont="1" applyBorder="1"/>
    <xf numFmtId="0" fontId="118" fillId="0" borderId="5" xfId="12189" applyFont="1" applyBorder="1"/>
    <xf numFmtId="14" fontId="99" fillId="0" borderId="0" xfId="0" applyNumberFormat="1" applyFont="1"/>
    <xf numFmtId="0" fontId="99" fillId="88" borderId="0" xfId="0" applyFont="1" applyFill="1"/>
    <xf numFmtId="0" fontId="118" fillId="89" borderId="0" xfId="12196" applyFont="1" applyFill="1"/>
    <xf numFmtId="0" fontId="3" fillId="0" borderId="0" xfId="12196"/>
    <xf numFmtId="0" fontId="3" fillId="90" borderId="0" xfId="12196" applyFill="1"/>
    <xf numFmtId="0" fontId="78" fillId="90" borderId="0" xfId="12196" applyFont="1" applyFill="1"/>
    <xf numFmtId="0" fontId="3" fillId="90" borderId="0" xfId="12196" applyFill="1" applyAlignment="1">
      <alignment horizontal="right"/>
    </xf>
    <xf numFmtId="49" fontId="3" fillId="0" borderId="0" xfId="12196" applyNumberFormat="1"/>
    <xf numFmtId="0" fontId="78" fillId="0" borderId="0" xfId="12196" applyFont="1" applyAlignment="1">
      <alignment vertical="top"/>
    </xf>
    <xf numFmtId="173" fontId="131" fillId="91" borderId="61" xfId="12197" quotePrefix="1" applyNumberFormat="1" applyFont="1" applyFill="1" applyBorder="1" applyAlignment="1">
      <alignment horizontal="left" vertical="top"/>
    </xf>
    <xf numFmtId="173" fontId="16" fillId="92" borderId="61" xfId="12197" quotePrefix="1" applyNumberFormat="1" applyFill="1" applyBorder="1" applyAlignment="1">
      <alignment horizontal="left" vertical="top"/>
    </xf>
    <xf numFmtId="0" fontId="16" fillId="92" borderId="61" xfId="12197" applyFill="1" applyBorder="1" applyAlignment="1">
      <alignment horizontal="center" vertical="top"/>
    </xf>
    <xf numFmtId="49" fontId="16" fillId="92" borderId="61" xfId="12197" applyNumberFormat="1" applyFill="1" applyBorder="1" applyAlignment="1">
      <alignment horizontal="left" vertical="top" wrapText="1"/>
    </xf>
    <xf numFmtId="174" fontId="16" fillId="0" borderId="61" xfId="12197" applyNumberFormat="1" applyBorder="1" applyAlignment="1">
      <alignment horizontal="center" vertical="top"/>
    </xf>
    <xf numFmtId="49" fontId="16" fillId="92" borderId="61" xfId="12197" applyNumberFormat="1" applyFill="1" applyBorder="1" applyAlignment="1">
      <alignment horizontal="left" vertical="top"/>
    </xf>
    <xf numFmtId="174" fontId="16" fillId="92" borderId="61" xfId="12197" applyNumberFormat="1" applyFill="1" applyBorder="1" applyAlignment="1">
      <alignment horizontal="center" vertical="top"/>
    </xf>
    <xf numFmtId="49" fontId="16" fillId="92" borderId="61" xfId="12197" applyNumberFormat="1" applyFill="1" applyBorder="1" applyAlignment="1">
      <alignment horizontal="center" vertical="top"/>
    </xf>
    <xf numFmtId="0" fontId="16" fillId="90" borderId="61" xfId="12197" applyFill="1" applyBorder="1" applyAlignment="1">
      <alignment horizontal="center" vertical="top"/>
    </xf>
    <xf numFmtId="164" fontId="16" fillId="90" borderId="62" xfId="12198" applyNumberFormat="1" applyFont="1" applyFill="1" applyBorder="1" applyAlignment="1">
      <alignment vertical="top"/>
    </xf>
    <xf numFmtId="164" fontId="16" fillId="92" borderId="61" xfId="12198" applyNumberFormat="1" applyFont="1" applyFill="1" applyBorder="1" applyAlignment="1">
      <alignment vertical="top"/>
    </xf>
    <xf numFmtId="164" fontId="16" fillId="92" borderId="63" xfId="12198" applyNumberFormat="1" applyFont="1" applyFill="1" applyBorder="1" applyAlignment="1">
      <alignment vertical="top"/>
    </xf>
    <xf numFmtId="37" fontId="16" fillId="0" borderId="0" xfId="12197" applyNumberFormat="1" applyAlignment="1">
      <alignment horizontal="center"/>
    </xf>
    <xf numFmtId="164" fontId="132" fillId="93" borderId="61" xfId="12198" applyNumberFormat="1" applyFont="1" applyFill="1" applyBorder="1" applyAlignment="1">
      <alignment horizontal="right" vertical="top"/>
    </xf>
    <xf numFmtId="174" fontId="16" fillId="93" borderId="61" xfId="12197" applyNumberFormat="1" applyFill="1" applyBorder="1" applyAlignment="1">
      <alignment vertical="top"/>
    </xf>
    <xf numFmtId="49" fontId="16" fillId="92" borderId="61" xfId="12197" applyNumberFormat="1" applyFill="1" applyBorder="1" applyAlignment="1">
      <alignment vertical="top" wrapText="1"/>
    </xf>
    <xf numFmtId="164" fontId="16" fillId="0" borderId="0" xfId="12198" applyNumberFormat="1" applyFont="1" applyAlignment="1">
      <alignment vertical="top"/>
    </xf>
    <xf numFmtId="0" fontId="16" fillId="92" borderId="61" xfId="12197" applyFill="1" applyBorder="1" applyAlignment="1">
      <alignment horizontal="left" vertical="top"/>
    </xf>
    <xf numFmtId="164" fontId="16" fillId="0" borderId="0" xfId="12198" quotePrefix="1" applyNumberFormat="1" applyFont="1" applyAlignment="1">
      <alignment vertical="top"/>
    </xf>
    <xf numFmtId="164" fontId="16" fillId="93" borderId="0" xfId="12198" applyNumberFormat="1" applyFont="1" applyFill="1" applyAlignment="1">
      <alignment vertical="top"/>
    </xf>
    <xf numFmtId="0" fontId="16" fillId="0" borderId="61" xfId="12198" applyNumberFormat="1" applyFont="1" applyBorder="1" applyAlignment="1">
      <alignment horizontal="center" vertical="center"/>
    </xf>
    <xf numFmtId="0" fontId="16" fillId="0" borderId="61" xfId="12198" applyNumberFormat="1" applyFont="1" applyBorder="1" applyAlignment="1">
      <alignment horizontal="left" vertical="center"/>
    </xf>
    <xf numFmtId="0" fontId="133" fillId="0" borderId="61" xfId="12196" applyFont="1" applyBorder="1" applyAlignment="1">
      <alignment horizontal="center" vertical="center"/>
    </xf>
    <xf numFmtId="0" fontId="3" fillId="0" borderId="0" xfId="12196" applyAlignment="1">
      <alignment vertical="center"/>
    </xf>
    <xf numFmtId="43" fontId="134" fillId="0" borderId="61" xfId="12198" applyFont="1" applyBorder="1" applyAlignment="1">
      <alignment horizontal="center" vertical="center"/>
    </xf>
    <xf numFmtId="0" fontId="134" fillId="0" borderId="61" xfId="12196" applyFont="1" applyBorder="1" applyAlignment="1">
      <alignment horizontal="left" vertical="center"/>
    </xf>
    <xf numFmtId="43" fontId="134" fillId="0" borderId="61" xfId="12198" applyFont="1" applyBorder="1" applyAlignment="1">
      <alignment horizontal="right" vertical="center"/>
    </xf>
    <xf numFmtId="164" fontId="134" fillId="0" borderId="61" xfId="12198" applyNumberFormat="1" applyFont="1" applyBorder="1" applyAlignment="1">
      <alignment horizontal="center" vertical="center"/>
    </xf>
    <xf numFmtId="0" fontId="3" fillId="92" borderId="0" xfId="12196" applyFill="1"/>
    <xf numFmtId="0" fontId="135" fillId="92" borderId="0" xfId="12196" applyFont="1" applyFill="1"/>
    <xf numFmtId="0" fontId="118" fillId="92" borderId="0" xfId="12196" applyFont="1" applyFill="1" applyAlignment="1">
      <alignment horizontal="right"/>
    </xf>
    <xf numFmtId="0" fontId="118" fillId="90" borderId="0" xfId="12196" applyFont="1" applyFill="1" applyAlignment="1">
      <alignment horizontal="right"/>
    </xf>
    <xf numFmtId="0" fontId="3" fillId="92" borderId="0" xfId="12196" quotePrefix="1" applyFill="1"/>
    <xf numFmtId="0" fontId="3" fillId="92" borderId="0" xfId="12196" applyFill="1" applyAlignment="1">
      <alignment horizontal="right"/>
    </xf>
    <xf numFmtId="0" fontId="118" fillId="89" borderId="0" xfId="12196" applyFont="1" applyFill="1" applyAlignment="1">
      <alignment horizontal="centerContinuous"/>
    </xf>
    <xf numFmtId="0" fontId="97" fillId="90" borderId="0" xfId="12196" applyFont="1" applyFill="1" applyAlignment="1">
      <alignment horizontal="right"/>
    </xf>
    <xf numFmtId="0" fontId="3" fillId="94" borderId="0" xfId="12196" applyFill="1" applyAlignment="1">
      <alignment horizontal="right"/>
    </xf>
    <xf numFmtId="11" fontId="3" fillId="94" borderId="0" xfId="12196" applyNumberFormat="1" applyFill="1"/>
    <xf numFmtId="0" fontId="3" fillId="94" borderId="0" xfId="12196" applyFill="1"/>
    <xf numFmtId="37" fontId="16" fillId="0" borderId="0" xfId="12197" applyNumberFormat="1"/>
    <xf numFmtId="0" fontId="136" fillId="0" borderId="0" xfId="12196" applyFont="1" applyAlignment="1">
      <alignment horizontal="left"/>
    </xf>
    <xf numFmtId="0" fontId="136" fillId="0" borderId="0" xfId="12196" applyFont="1"/>
    <xf numFmtId="0" fontId="136" fillId="0" borderId="0" xfId="12196" applyFont="1" applyAlignment="1">
      <alignment horizontal="right"/>
    </xf>
    <xf numFmtId="49" fontId="132" fillId="90" borderId="0" xfId="12197" applyNumberFormat="1" applyFont="1" applyFill="1" applyAlignment="1">
      <alignment horizontal="left"/>
    </xf>
    <xf numFmtId="37" fontId="137" fillId="0" borderId="0" xfId="12197" applyNumberFormat="1" applyFont="1"/>
    <xf numFmtId="37" fontId="138" fillId="0" borderId="0" xfId="12197" applyNumberFormat="1" applyFont="1" applyAlignment="1">
      <alignment wrapText="1"/>
    </xf>
    <xf numFmtId="37" fontId="138" fillId="0" borderId="0" xfId="12197" applyNumberFormat="1" applyFont="1"/>
    <xf numFmtId="0" fontId="110" fillId="0" borderId="0" xfId="12196" applyFont="1" applyAlignment="1">
      <alignment horizontal="right"/>
    </xf>
    <xf numFmtId="49" fontId="136" fillId="0" borderId="0" xfId="12196" applyNumberFormat="1" applyFont="1" applyAlignment="1">
      <alignment horizontal="left"/>
    </xf>
    <xf numFmtId="49" fontId="136" fillId="0" borderId="0" xfId="12196" applyNumberFormat="1" applyFont="1"/>
    <xf numFmtId="49" fontId="136" fillId="0" borderId="0" xfId="12196" applyNumberFormat="1" applyFont="1" applyAlignment="1">
      <alignment horizontal="right"/>
    </xf>
    <xf numFmtId="0" fontId="132" fillId="92" borderId="0" xfId="12197" applyFont="1" applyFill="1" applyAlignment="1">
      <alignment horizontal="left"/>
    </xf>
    <xf numFmtId="49" fontId="132" fillId="0" borderId="0" xfId="12197" applyNumberFormat="1" applyFont="1" applyAlignment="1">
      <alignment horizontal="left"/>
    </xf>
    <xf numFmtId="49" fontId="139" fillId="0" borderId="0" xfId="12197" applyNumberFormat="1" applyFont="1" applyAlignment="1">
      <alignment horizontal="center"/>
    </xf>
    <xf numFmtId="37" fontId="16" fillId="0" borderId="0" xfId="12197" applyNumberFormat="1" applyAlignment="1">
      <alignment horizontal="left"/>
    </xf>
    <xf numFmtId="0" fontId="140" fillId="0" borderId="0" xfId="12196" applyFont="1"/>
    <xf numFmtId="37" fontId="136" fillId="95" borderId="5" xfId="12197" applyNumberFormat="1" applyFont="1" applyFill="1" applyBorder="1" applyAlignment="1">
      <alignment horizontal="left"/>
    </xf>
    <xf numFmtId="37" fontId="136" fillId="95" borderId="5" xfId="12197" applyNumberFormat="1" applyFont="1" applyFill="1" applyBorder="1" applyAlignment="1">
      <alignment horizontal="center"/>
    </xf>
    <xf numFmtId="37" fontId="141" fillId="95" borderId="5" xfId="12197" applyNumberFormat="1" applyFont="1" applyFill="1" applyBorder="1" applyAlignment="1">
      <alignment horizontal="center"/>
    </xf>
    <xf numFmtId="37" fontId="136" fillId="0" borderId="0" xfId="12197" applyNumberFormat="1" applyFont="1" applyAlignment="1">
      <alignment horizontal="center"/>
    </xf>
    <xf numFmtId="0" fontId="81" fillId="96" borderId="0" xfId="227" applyFont="1" applyFill="1" applyAlignment="1">
      <alignment horizontal="centerContinuous"/>
    </xf>
    <xf numFmtId="37" fontId="142" fillId="0" borderId="0" xfId="12197" applyNumberFormat="1" applyFont="1"/>
    <xf numFmtId="37" fontId="142" fillId="0" borderId="0" xfId="12197" applyNumberFormat="1" applyFont="1" applyAlignment="1">
      <alignment horizontal="center"/>
    </xf>
    <xf numFmtId="37" fontId="143" fillId="0" borderId="0" xfId="12197" applyNumberFormat="1" applyFont="1" applyAlignment="1">
      <alignment horizontal="centerContinuous"/>
    </xf>
    <xf numFmtId="37" fontId="142" fillId="0" borderId="0" xfId="12197" applyNumberFormat="1" applyFont="1" applyAlignment="1">
      <alignment horizontal="centerContinuous"/>
    </xf>
    <xf numFmtId="0" fontId="3" fillId="0" borderId="0" xfId="12196" applyAlignment="1">
      <alignment horizontal="centerContinuous"/>
    </xf>
    <xf numFmtId="0" fontId="81" fillId="79" borderId="0" xfId="195" applyFont="1" applyFill="1" applyAlignment="1">
      <alignment horizontal="centerContinuous"/>
    </xf>
    <xf numFmtId="0" fontId="78" fillId="79" borderId="0" xfId="195" applyFill="1" applyAlignment="1">
      <alignment horizontal="centerContinuous"/>
    </xf>
    <xf numFmtId="37" fontId="132" fillId="0" borderId="38" xfId="12197" applyNumberFormat="1" applyFont="1" applyBorder="1" applyAlignment="1">
      <alignment horizontal="center" wrapText="1"/>
    </xf>
    <xf numFmtId="37" fontId="132" fillId="0" borderId="38" xfId="12197" applyNumberFormat="1" applyFont="1" applyBorder="1" applyAlignment="1">
      <alignment horizontal="left" wrapText="1"/>
    </xf>
    <xf numFmtId="175" fontId="132" fillId="0" borderId="64" xfId="12197" applyNumberFormat="1" applyFont="1" applyBorder="1" applyAlignment="1">
      <alignment horizontal="center"/>
    </xf>
    <xf numFmtId="175" fontId="132" fillId="0" borderId="40" xfId="12197" applyNumberFormat="1" applyFont="1" applyBorder="1" applyAlignment="1">
      <alignment horizontal="center"/>
    </xf>
    <xf numFmtId="175" fontId="132" fillId="0" borderId="65" xfId="12197" applyNumberFormat="1" applyFont="1" applyBorder="1" applyAlignment="1">
      <alignment horizontal="center"/>
    </xf>
    <xf numFmtId="174" fontId="132" fillId="67" borderId="38" xfId="12197" applyNumberFormat="1" applyFont="1" applyFill="1" applyBorder="1" applyAlignment="1">
      <alignment horizontal="center"/>
    </xf>
    <xf numFmtId="0" fontId="144" fillId="0" borderId="0" xfId="12196" applyFont="1"/>
    <xf numFmtId="1" fontId="145" fillId="0" borderId="0" xfId="12197" applyNumberFormat="1" applyFont="1" applyAlignment="1">
      <alignment horizontal="center"/>
    </xf>
    <xf numFmtId="0" fontId="78" fillId="79" borderId="0" xfId="195" applyFill="1" applyAlignment="1">
      <alignment horizontal="center"/>
    </xf>
    <xf numFmtId="37" fontId="146" fillId="0" borderId="0" xfId="12197" applyNumberFormat="1" applyFont="1" applyAlignment="1">
      <alignment horizontal="center"/>
    </xf>
    <xf numFmtId="37" fontId="132" fillId="0" borderId="0" xfId="12197" applyNumberFormat="1" applyFont="1" applyAlignment="1">
      <alignment horizontal="center"/>
    </xf>
    <xf numFmtId="0" fontId="134" fillId="0" borderId="0" xfId="12196" applyFont="1"/>
    <xf numFmtId="176" fontId="146" fillId="0" borderId="0" xfId="12197" applyNumberFormat="1" applyFont="1"/>
    <xf numFmtId="176" fontId="16" fillId="0" borderId="0" xfId="12197" applyNumberFormat="1"/>
    <xf numFmtId="0" fontId="16" fillId="0" borderId="0" xfId="12197" applyAlignment="1">
      <alignment horizontal="center"/>
    </xf>
    <xf numFmtId="177" fontId="16" fillId="0" borderId="0" xfId="12197" applyNumberFormat="1"/>
    <xf numFmtId="177" fontId="132" fillId="0" borderId="0" xfId="12197" applyNumberFormat="1" applyFont="1"/>
    <xf numFmtId="0" fontId="147" fillId="0" borderId="0" xfId="12196" applyFont="1"/>
    <xf numFmtId="37" fontId="132" fillId="0" borderId="0" xfId="12197" applyNumberFormat="1" applyFont="1" applyAlignment="1">
      <alignment horizontal="right"/>
    </xf>
    <xf numFmtId="164" fontId="132" fillId="67" borderId="49" xfId="12198" applyNumberFormat="1" applyFont="1" applyFill="1" applyBorder="1" applyAlignment="1">
      <alignment horizontal="right" vertical="top"/>
    </xf>
    <xf numFmtId="43" fontId="148" fillId="0" borderId="0" xfId="12198" applyFont="1"/>
    <xf numFmtId="164" fontId="3" fillId="0" borderId="0" xfId="12196" applyNumberFormat="1"/>
    <xf numFmtId="0" fontId="118" fillId="0" borderId="0" xfId="12196" applyFont="1"/>
    <xf numFmtId="43" fontId="99" fillId="0" borderId="0" xfId="8878" applyFont="1"/>
    <xf numFmtId="14" fontId="1" fillId="88" borderId="0" xfId="12189" applyNumberFormat="1" applyFont="1" applyFill="1" applyAlignment="1">
      <alignment horizontal="left"/>
    </xf>
    <xf numFmtId="37" fontId="132" fillId="92" borderId="38" xfId="12197" applyNumberFormat="1" applyFont="1" applyFill="1" applyBorder="1" applyAlignment="1">
      <alignment horizontal="center" wrapText="1"/>
    </xf>
    <xf numFmtId="164" fontId="16" fillId="92" borderId="62" xfId="12198" applyNumberFormat="1" applyFont="1" applyFill="1" applyBorder="1" applyAlignment="1">
      <alignment vertical="top"/>
    </xf>
    <xf numFmtId="164" fontId="3" fillId="0" borderId="49" xfId="12196" applyNumberFormat="1" applyBorder="1"/>
    <xf numFmtId="0" fontId="3" fillId="0" borderId="49" xfId="12196" applyBorder="1"/>
    <xf numFmtId="0" fontId="3" fillId="0" borderId="32" xfId="12196" applyBorder="1"/>
    <xf numFmtId="0" fontId="3" fillId="0" borderId="33" xfId="12196" applyBorder="1"/>
    <xf numFmtId="0" fontId="3" fillId="0" borderId="34" xfId="12196" applyBorder="1"/>
    <xf numFmtId="0" fontId="3" fillId="0" borderId="35" xfId="12196" applyBorder="1"/>
    <xf numFmtId="0" fontId="3" fillId="0" borderId="36" xfId="12196" applyBorder="1"/>
    <xf numFmtId="164" fontId="3" fillId="0" borderId="35" xfId="12196" applyNumberFormat="1" applyBorder="1"/>
    <xf numFmtId="164" fontId="3" fillId="0" borderId="0" xfId="8878" applyNumberFormat="1" applyFont="1" applyBorder="1"/>
    <xf numFmtId="0" fontId="2" fillId="0" borderId="0" xfId="12196" applyFont="1"/>
    <xf numFmtId="0" fontId="3" fillId="0" borderId="37" xfId="12196" applyBorder="1"/>
    <xf numFmtId="0" fontId="3" fillId="0" borderId="38" xfId="12196" applyBorder="1"/>
    <xf numFmtId="0" fontId="3" fillId="0" borderId="39" xfId="12196" applyBorder="1"/>
    <xf numFmtId="0" fontId="3" fillId="0" borderId="5" xfId="12196" applyBorder="1"/>
    <xf numFmtId="0" fontId="1" fillId="0" borderId="5" xfId="12196" applyFont="1" applyBorder="1"/>
    <xf numFmtId="0" fontId="97" fillId="0" borderId="0" xfId="0" applyFont="1" applyAlignment="1">
      <alignment horizontal="center" wrapText="1"/>
    </xf>
    <xf numFmtId="0" fontId="97" fillId="34" borderId="26" xfId="0" applyFont="1" applyFill="1" applyBorder="1" applyAlignment="1">
      <alignment horizontal="center"/>
    </xf>
    <xf numFmtId="0" fontId="97" fillId="34" borderId="27" xfId="0" applyFont="1" applyFill="1" applyBorder="1" applyAlignment="1">
      <alignment horizontal="center"/>
    </xf>
    <xf numFmtId="0" fontId="97" fillId="34" borderId="29" xfId="0" applyFont="1" applyFill="1" applyBorder="1" applyAlignment="1">
      <alignment horizontal="center" vertical="center" wrapText="1"/>
    </xf>
    <xf numFmtId="0" fontId="97" fillId="34" borderId="30" xfId="0" applyFont="1" applyFill="1" applyBorder="1" applyAlignment="1">
      <alignment horizontal="center" vertical="center" wrapText="1"/>
    </xf>
    <xf numFmtId="0" fontId="97" fillId="34" borderId="31" xfId="0" applyFont="1" applyFill="1" applyBorder="1" applyAlignment="1">
      <alignment horizontal="center" vertical="center" wrapText="1"/>
    </xf>
    <xf numFmtId="0" fontId="97" fillId="34" borderId="28" xfId="0" applyFont="1" applyFill="1" applyBorder="1" applyAlignment="1">
      <alignment horizontal="center"/>
    </xf>
    <xf numFmtId="0" fontId="124" fillId="67" borderId="32" xfId="12178" applyFont="1" applyFill="1" applyBorder="1" applyAlignment="1">
      <alignment horizontal="center" vertical="center"/>
    </xf>
    <xf numFmtId="0" fontId="124" fillId="67" borderId="33" xfId="12178" applyFont="1" applyFill="1" applyBorder="1" applyAlignment="1">
      <alignment horizontal="center" vertical="center"/>
    </xf>
    <xf numFmtId="0" fontId="124" fillId="67" borderId="34" xfId="12178" applyFont="1" applyFill="1" applyBorder="1" applyAlignment="1">
      <alignment horizontal="center" vertical="center"/>
    </xf>
    <xf numFmtId="0" fontId="124" fillId="67" borderId="35" xfId="12178" applyFont="1" applyFill="1" applyBorder="1" applyAlignment="1">
      <alignment horizontal="center" vertical="center"/>
    </xf>
    <xf numFmtId="0" fontId="124" fillId="67" borderId="0" xfId="12178" applyFont="1" applyFill="1" applyAlignment="1">
      <alignment horizontal="center" vertical="center"/>
    </xf>
    <xf numFmtId="0" fontId="124" fillId="67" borderId="36" xfId="12178" applyFont="1" applyFill="1" applyBorder="1" applyAlignment="1">
      <alignment horizontal="center" vertical="center"/>
    </xf>
    <xf numFmtId="0" fontId="97" fillId="0" borderId="36" xfId="0" applyFont="1" applyBorder="1" applyAlignment="1">
      <alignment horizontal="center" wrapText="1"/>
    </xf>
    <xf numFmtId="3" fontId="125" fillId="0" borderId="35" xfId="12178" quotePrefix="1" applyNumberFormat="1" applyFont="1" applyBorder="1" applyAlignment="1">
      <alignment horizontal="center" vertical="center"/>
    </xf>
    <xf numFmtId="3" fontId="125" fillId="0" borderId="35" xfId="12178" applyNumberFormat="1" applyFont="1" applyBorder="1" applyAlignment="1">
      <alignment horizontal="center" vertical="center"/>
    </xf>
    <xf numFmtId="3" fontId="125" fillId="0" borderId="36" xfId="12178" quotePrefix="1" applyNumberFormat="1" applyFont="1" applyBorder="1" applyAlignment="1">
      <alignment horizontal="center" vertical="center"/>
    </xf>
    <xf numFmtId="3" fontId="125" fillId="0" borderId="36" xfId="12178" applyNumberFormat="1" applyFont="1" applyBorder="1" applyAlignment="1">
      <alignment horizontal="center" vertical="center"/>
    </xf>
    <xf numFmtId="0" fontId="99" fillId="67" borderId="52" xfId="12179" applyFont="1" applyFill="1" applyBorder="1" applyAlignment="1">
      <alignment horizontal="left"/>
    </xf>
    <xf numFmtId="49" fontId="99" fillId="67" borderId="53" xfId="12179" applyNumberFormat="1" applyFont="1" applyFill="1" applyBorder="1" applyAlignment="1">
      <alignment horizontal="left"/>
    </xf>
    <xf numFmtId="49" fontId="99" fillId="67" borderId="54" xfId="12179" applyNumberFormat="1" applyFont="1" applyFill="1" applyBorder="1" applyAlignment="1">
      <alignment horizontal="left"/>
    </xf>
    <xf numFmtId="0" fontId="121" fillId="79" borderId="0" xfId="12179" applyFont="1" applyFill="1" applyAlignment="1">
      <alignment horizontal="center"/>
    </xf>
    <xf numFmtId="0" fontId="99" fillId="71" borderId="52" xfId="12189" applyFont="1" applyFill="1" applyBorder="1" applyAlignment="1">
      <alignment horizontal="left"/>
    </xf>
    <xf numFmtId="0" fontId="97" fillId="0" borderId="0" xfId="0" applyFont="1"/>
    <xf numFmtId="0" fontId="97" fillId="0" borderId="0" xfId="0" applyFont="1" applyAlignment="1">
      <alignment horizontal="center" vertical="center"/>
    </xf>
    <xf numFmtId="14" fontId="111" fillId="0" borderId="0" xfId="0" applyNumberFormat="1" applyFont="1" applyAlignment="1">
      <alignment horizontal="left"/>
    </xf>
    <xf numFmtId="0" fontId="97" fillId="0" borderId="0" xfId="0" applyFont="1" applyAlignment="1">
      <alignment horizontal="center"/>
    </xf>
  </cellXfs>
  <cellStyles count="12199">
    <cellStyle name="20% - Accent1 2" xfId="1" xr:uid="{00000000-0005-0000-0000-000000000000}"/>
    <cellStyle name="20% - Accent1 2 2" xfId="2" xr:uid="{00000000-0005-0000-0000-000001000000}"/>
    <cellStyle name="20% - Accent1 2 2 2" xfId="3" xr:uid="{00000000-0005-0000-0000-000002000000}"/>
    <cellStyle name="20% - Accent1 2 3" xfId="4" xr:uid="{00000000-0005-0000-0000-000003000000}"/>
    <cellStyle name="20% - Accent1 2 4" xfId="5" xr:uid="{00000000-0005-0000-0000-000004000000}"/>
    <cellStyle name="20% - Accent1 2 5" xfId="6" xr:uid="{00000000-0005-0000-0000-000005000000}"/>
    <cellStyle name="20% - Accent1 3" xfId="7" xr:uid="{00000000-0005-0000-0000-000006000000}"/>
    <cellStyle name="20% - Accent1 3 2" xfId="8" xr:uid="{00000000-0005-0000-0000-000007000000}"/>
    <cellStyle name="20% - Accent1 3 2 2" xfId="9" xr:uid="{00000000-0005-0000-0000-000008000000}"/>
    <cellStyle name="20% - Accent1 3 3" xfId="10" xr:uid="{00000000-0005-0000-0000-000009000000}"/>
    <cellStyle name="20% - Accent1 4" xfId="11" xr:uid="{00000000-0005-0000-0000-00000A000000}"/>
    <cellStyle name="20% - Accent1 4 2" xfId="12" xr:uid="{00000000-0005-0000-0000-00000B000000}"/>
    <cellStyle name="20% - Accent1 4 2 2" xfId="8887" xr:uid="{00000000-0005-0000-0000-00000C000000}"/>
    <cellStyle name="20% - Accent1 4 3" xfId="13" xr:uid="{00000000-0005-0000-0000-00000D000000}"/>
    <cellStyle name="20% - Accent1 4 4" xfId="8886" xr:uid="{00000000-0005-0000-0000-00000E000000}"/>
    <cellStyle name="20% - Accent1 5" xfId="14" xr:uid="{00000000-0005-0000-0000-00000F000000}"/>
    <cellStyle name="20% - Accent1 5 2" xfId="8888" xr:uid="{00000000-0005-0000-0000-000010000000}"/>
    <cellStyle name="20% - Accent1 6" xfId="15" xr:uid="{00000000-0005-0000-0000-000011000000}"/>
    <cellStyle name="20% - Accent2 2" xfId="16" xr:uid="{00000000-0005-0000-0000-000012000000}"/>
    <cellStyle name="20% - Accent2 2 2" xfId="17" xr:uid="{00000000-0005-0000-0000-000013000000}"/>
    <cellStyle name="20% - Accent2 2 3" xfId="18" xr:uid="{00000000-0005-0000-0000-000014000000}"/>
    <cellStyle name="20% - Accent2 3" xfId="19" xr:uid="{00000000-0005-0000-0000-000015000000}"/>
    <cellStyle name="20% - Accent2 3 2" xfId="20" xr:uid="{00000000-0005-0000-0000-000016000000}"/>
    <cellStyle name="20% - Accent2 3 3" xfId="21" xr:uid="{00000000-0005-0000-0000-000017000000}"/>
    <cellStyle name="20% - Accent2 4" xfId="22" xr:uid="{00000000-0005-0000-0000-000018000000}"/>
    <cellStyle name="20% - Accent2 4 2" xfId="23" xr:uid="{00000000-0005-0000-0000-000019000000}"/>
    <cellStyle name="20% - Accent2 4 2 2" xfId="8890" xr:uid="{00000000-0005-0000-0000-00001A000000}"/>
    <cellStyle name="20% - Accent2 4 3" xfId="8889" xr:uid="{00000000-0005-0000-0000-00001B000000}"/>
    <cellStyle name="20% - Accent2 5" xfId="24" xr:uid="{00000000-0005-0000-0000-00001C000000}"/>
    <cellStyle name="20% - Accent2 5 2" xfId="8891" xr:uid="{00000000-0005-0000-0000-00001D000000}"/>
    <cellStyle name="20% - Accent2 6" xfId="25" xr:uid="{00000000-0005-0000-0000-00001E000000}"/>
    <cellStyle name="20% - Accent3 2" xfId="26" xr:uid="{00000000-0005-0000-0000-00001F000000}"/>
    <cellStyle name="20% - Accent3 2 2" xfId="27" xr:uid="{00000000-0005-0000-0000-000020000000}"/>
    <cellStyle name="20% - Accent3 2 2 2" xfId="8892" xr:uid="{00000000-0005-0000-0000-000021000000}"/>
    <cellStyle name="20% - Accent3 3" xfId="28" xr:uid="{00000000-0005-0000-0000-000022000000}"/>
    <cellStyle name="20% - Accent3 3 2" xfId="29" xr:uid="{00000000-0005-0000-0000-000023000000}"/>
    <cellStyle name="20% - Accent3 3 3" xfId="30" xr:uid="{00000000-0005-0000-0000-000024000000}"/>
    <cellStyle name="20% - Accent3 4" xfId="31" xr:uid="{00000000-0005-0000-0000-000025000000}"/>
    <cellStyle name="20% - Accent3 4 2" xfId="32" xr:uid="{00000000-0005-0000-0000-000026000000}"/>
    <cellStyle name="20% - Accent3 4 2 2" xfId="8894" xr:uid="{00000000-0005-0000-0000-000027000000}"/>
    <cellStyle name="20% - Accent3 4 3" xfId="8893" xr:uid="{00000000-0005-0000-0000-000028000000}"/>
    <cellStyle name="20% - Accent3 5" xfId="33" xr:uid="{00000000-0005-0000-0000-000029000000}"/>
    <cellStyle name="20% - Accent3 5 2" xfId="8895" xr:uid="{00000000-0005-0000-0000-00002A000000}"/>
    <cellStyle name="20% - Accent3 6" xfId="34" xr:uid="{00000000-0005-0000-0000-00002B000000}"/>
    <cellStyle name="20% - Accent4 2" xfId="35" xr:uid="{00000000-0005-0000-0000-00002C000000}"/>
    <cellStyle name="20% - Accent4 2 2" xfId="36" xr:uid="{00000000-0005-0000-0000-00002D000000}"/>
    <cellStyle name="20% - Accent4 2 2 2" xfId="37" xr:uid="{00000000-0005-0000-0000-00002E000000}"/>
    <cellStyle name="20% - Accent4 2 3" xfId="38" xr:uid="{00000000-0005-0000-0000-00002F000000}"/>
    <cellStyle name="20% - Accent4 3" xfId="39" xr:uid="{00000000-0005-0000-0000-000030000000}"/>
    <cellStyle name="20% - Accent4 3 2" xfId="40" xr:uid="{00000000-0005-0000-0000-000031000000}"/>
    <cellStyle name="20% - Accent4 3 2 2" xfId="41" xr:uid="{00000000-0005-0000-0000-000032000000}"/>
    <cellStyle name="20% - Accent4 3 3" xfId="42" xr:uid="{00000000-0005-0000-0000-000033000000}"/>
    <cellStyle name="20% - Accent4 4" xfId="43" xr:uid="{00000000-0005-0000-0000-000034000000}"/>
    <cellStyle name="20% - Accent4 4 2" xfId="44" xr:uid="{00000000-0005-0000-0000-000035000000}"/>
    <cellStyle name="20% - Accent4 4 2 2" xfId="8897" xr:uid="{00000000-0005-0000-0000-000036000000}"/>
    <cellStyle name="20% - Accent4 4 3" xfId="45" xr:uid="{00000000-0005-0000-0000-000037000000}"/>
    <cellStyle name="20% - Accent4 4 4" xfId="8896" xr:uid="{00000000-0005-0000-0000-000038000000}"/>
    <cellStyle name="20% - Accent4 5" xfId="46" xr:uid="{00000000-0005-0000-0000-000039000000}"/>
    <cellStyle name="20% - Accent4 5 2" xfId="8898" xr:uid="{00000000-0005-0000-0000-00003A000000}"/>
    <cellStyle name="20% - Accent4 6" xfId="47" xr:uid="{00000000-0005-0000-0000-00003B000000}"/>
    <cellStyle name="20% - Accent5" xfId="48" builtinId="46" customBuiltin="1"/>
    <cellStyle name="20% - Accent5 2" xfId="49" xr:uid="{00000000-0005-0000-0000-00003D000000}"/>
    <cellStyle name="20% - Accent5 2 2" xfId="50" xr:uid="{00000000-0005-0000-0000-00003E000000}"/>
    <cellStyle name="20% - Accent5 2 2 2" xfId="8900" xr:uid="{00000000-0005-0000-0000-00003F000000}"/>
    <cellStyle name="20% - Accent5 3" xfId="51" xr:uid="{00000000-0005-0000-0000-000040000000}"/>
    <cellStyle name="20% - Accent5 3 2" xfId="52" xr:uid="{00000000-0005-0000-0000-000041000000}"/>
    <cellStyle name="20% - Accent5 3 2 2" xfId="8901" xr:uid="{00000000-0005-0000-0000-000042000000}"/>
    <cellStyle name="20% - Accent5 3 3" xfId="53" xr:uid="{00000000-0005-0000-0000-000043000000}"/>
    <cellStyle name="20% - Accent5 4" xfId="54" xr:uid="{00000000-0005-0000-0000-000044000000}"/>
    <cellStyle name="20% - Accent5 4 2" xfId="55" xr:uid="{00000000-0005-0000-0000-000045000000}"/>
    <cellStyle name="20% - Accent5 4 2 2" xfId="8903" xr:uid="{00000000-0005-0000-0000-000046000000}"/>
    <cellStyle name="20% - Accent5 4 3" xfId="8902" xr:uid="{00000000-0005-0000-0000-000047000000}"/>
    <cellStyle name="20% - Accent5 5" xfId="56" xr:uid="{00000000-0005-0000-0000-000048000000}"/>
    <cellStyle name="20% - Accent5 5 2" xfId="8904" xr:uid="{00000000-0005-0000-0000-000049000000}"/>
    <cellStyle name="20% - Accent5 6" xfId="8899" xr:uid="{00000000-0005-0000-0000-00004A000000}"/>
    <cellStyle name="20% - Accent6" xfId="57" builtinId="50" customBuiltin="1"/>
    <cellStyle name="20% - Accent6 2" xfId="58" xr:uid="{00000000-0005-0000-0000-00004C000000}"/>
    <cellStyle name="20% - Accent6 2 2" xfId="59" xr:uid="{00000000-0005-0000-0000-00004D000000}"/>
    <cellStyle name="20% - Accent6 2 3" xfId="60" xr:uid="{00000000-0005-0000-0000-00004E000000}"/>
    <cellStyle name="20% - Accent6 3" xfId="61" xr:uid="{00000000-0005-0000-0000-00004F000000}"/>
    <cellStyle name="20% - Accent6 3 2" xfId="62" xr:uid="{00000000-0005-0000-0000-000050000000}"/>
    <cellStyle name="20% - Accent6 3 3" xfId="63" xr:uid="{00000000-0005-0000-0000-000051000000}"/>
    <cellStyle name="20% - Accent6 4" xfId="64" xr:uid="{00000000-0005-0000-0000-000052000000}"/>
    <cellStyle name="20% - Accent6 4 2" xfId="65" xr:uid="{00000000-0005-0000-0000-000053000000}"/>
    <cellStyle name="20% - Accent6 4 2 2" xfId="8907" xr:uid="{00000000-0005-0000-0000-000054000000}"/>
    <cellStyle name="20% - Accent6 4 3" xfId="8906" xr:uid="{00000000-0005-0000-0000-000055000000}"/>
    <cellStyle name="20% - Accent6 5" xfId="66" xr:uid="{00000000-0005-0000-0000-000056000000}"/>
    <cellStyle name="20% - Accent6 5 2" xfId="8908" xr:uid="{00000000-0005-0000-0000-000057000000}"/>
    <cellStyle name="20% - Accent6 6" xfId="8905" xr:uid="{00000000-0005-0000-0000-000058000000}"/>
    <cellStyle name="40% - Accent1" xfId="67" builtinId="31" customBuiltin="1"/>
    <cellStyle name="40% - Accent1 2" xfId="68" xr:uid="{00000000-0005-0000-0000-00005A000000}"/>
    <cellStyle name="40% - Accent1 2 2" xfId="69" xr:uid="{00000000-0005-0000-0000-00005B000000}"/>
    <cellStyle name="40% - Accent1 2 3" xfId="70" xr:uid="{00000000-0005-0000-0000-00005C000000}"/>
    <cellStyle name="40% - Accent1 3" xfId="71" xr:uid="{00000000-0005-0000-0000-00005D000000}"/>
    <cellStyle name="40% - Accent1 3 2" xfId="72" xr:uid="{00000000-0005-0000-0000-00005E000000}"/>
    <cellStyle name="40% - Accent1 3 2 2" xfId="73" xr:uid="{00000000-0005-0000-0000-00005F000000}"/>
    <cellStyle name="40% - Accent1 3 3" xfId="74" xr:uid="{00000000-0005-0000-0000-000060000000}"/>
    <cellStyle name="40% - Accent1 4" xfId="75" xr:uid="{00000000-0005-0000-0000-000061000000}"/>
    <cellStyle name="40% - Accent1 4 2" xfId="76" xr:uid="{00000000-0005-0000-0000-000062000000}"/>
    <cellStyle name="40% - Accent1 4 2 2" xfId="8910" xr:uid="{00000000-0005-0000-0000-000063000000}"/>
    <cellStyle name="40% - Accent1 5" xfId="77" xr:uid="{00000000-0005-0000-0000-000064000000}"/>
    <cellStyle name="40% - Accent1 5 2" xfId="8911" xr:uid="{00000000-0005-0000-0000-000065000000}"/>
    <cellStyle name="40% - Accent1 6" xfId="78" xr:uid="{00000000-0005-0000-0000-000066000000}"/>
    <cellStyle name="40% - Accent1 7" xfId="8909" xr:uid="{00000000-0005-0000-0000-000067000000}"/>
    <cellStyle name="40% - Accent2" xfId="79" builtinId="35" customBuiltin="1"/>
    <cellStyle name="40% - Accent2 2" xfId="80" xr:uid="{00000000-0005-0000-0000-000069000000}"/>
    <cellStyle name="40% - Accent2 2 2" xfId="81" xr:uid="{00000000-0005-0000-0000-00006A000000}"/>
    <cellStyle name="40% - Accent2 2 2 2" xfId="8913" xr:uid="{00000000-0005-0000-0000-00006B000000}"/>
    <cellStyle name="40% - Accent2 3" xfId="82" xr:uid="{00000000-0005-0000-0000-00006C000000}"/>
    <cellStyle name="40% - Accent2 3 2" xfId="83" xr:uid="{00000000-0005-0000-0000-00006D000000}"/>
    <cellStyle name="40% - Accent2 3 2 2" xfId="8914" xr:uid="{00000000-0005-0000-0000-00006E000000}"/>
    <cellStyle name="40% - Accent2 3 3" xfId="84" xr:uid="{00000000-0005-0000-0000-00006F000000}"/>
    <cellStyle name="40% - Accent2 4" xfId="85" xr:uid="{00000000-0005-0000-0000-000070000000}"/>
    <cellStyle name="40% - Accent2 4 2" xfId="86" xr:uid="{00000000-0005-0000-0000-000071000000}"/>
    <cellStyle name="40% - Accent2 4 2 2" xfId="8916" xr:uid="{00000000-0005-0000-0000-000072000000}"/>
    <cellStyle name="40% - Accent2 4 3" xfId="8915" xr:uid="{00000000-0005-0000-0000-000073000000}"/>
    <cellStyle name="40% - Accent2 5" xfId="87" xr:uid="{00000000-0005-0000-0000-000074000000}"/>
    <cellStyle name="40% - Accent2 5 2" xfId="8917" xr:uid="{00000000-0005-0000-0000-000075000000}"/>
    <cellStyle name="40% - Accent2 6" xfId="8912" xr:uid="{00000000-0005-0000-0000-000076000000}"/>
    <cellStyle name="40% - Accent3 2" xfId="88" xr:uid="{00000000-0005-0000-0000-000077000000}"/>
    <cellStyle name="40% - Accent3 2 2" xfId="89" xr:uid="{00000000-0005-0000-0000-000078000000}"/>
    <cellStyle name="40% - Accent3 2 3" xfId="90" xr:uid="{00000000-0005-0000-0000-000079000000}"/>
    <cellStyle name="40% - Accent3 3" xfId="91" xr:uid="{00000000-0005-0000-0000-00007A000000}"/>
    <cellStyle name="40% - Accent3 3 2" xfId="92" xr:uid="{00000000-0005-0000-0000-00007B000000}"/>
    <cellStyle name="40% - Accent3 3 3" xfId="93" xr:uid="{00000000-0005-0000-0000-00007C000000}"/>
    <cellStyle name="40% - Accent3 4" xfId="94" xr:uid="{00000000-0005-0000-0000-00007D000000}"/>
    <cellStyle name="40% - Accent3 4 2" xfId="95" xr:uid="{00000000-0005-0000-0000-00007E000000}"/>
    <cellStyle name="40% - Accent3 4 2 2" xfId="8919" xr:uid="{00000000-0005-0000-0000-00007F000000}"/>
    <cellStyle name="40% - Accent3 4 3" xfId="8918" xr:uid="{00000000-0005-0000-0000-000080000000}"/>
    <cellStyle name="40% - Accent3 5" xfId="96" xr:uid="{00000000-0005-0000-0000-000081000000}"/>
    <cellStyle name="40% - Accent3 5 2" xfId="8920" xr:uid="{00000000-0005-0000-0000-000082000000}"/>
    <cellStyle name="40% - Accent3 6" xfId="97" xr:uid="{00000000-0005-0000-0000-000083000000}"/>
    <cellStyle name="40% - Accent4" xfId="98" builtinId="43" customBuiltin="1"/>
    <cellStyle name="40% - Accent4 2" xfId="99" xr:uid="{00000000-0005-0000-0000-000085000000}"/>
    <cellStyle name="40% - Accent4 2 2" xfId="100" xr:uid="{00000000-0005-0000-0000-000086000000}"/>
    <cellStyle name="40% - Accent4 2 3" xfId="101" xr:uid="{00000000-0005-0000-0000-000087000000}"/>
    <cellStyle name="40% - Accent4 3" xfId="102" xr:uid="{00000000-0005-0000-0000-000088000000}"/>
    <cellStyle name="40% - Accent4 3 2" xfId="103" xr:uid="{00000000-0005-0000-0000-000089000000}"/>
    <cellStyle name="40% - Accent4 3 2 2" xfId="104" xr:uid="{00000000-0005-0000-0000-00008A000000}"/>
    <cellStyle name="40% - Accent4 3 3" xfId="105" xr:uid="{00000000-0005-0000-0000-00008B000000}"/>
    <cellStyle name="40% - Accent4 4" xfId="106" xr:uid="{00000000-0005-0000-0000-00008C000000}"/>
    <cellStyle name="40% - Accent4 4 2" xfId="107" xr:uid="{00000000-0005-0000-0000-00008D000000}"/>
    <cellStyle name="40% - Accent4 4 2 2" xfId="8922" xr:uid="{00000000-0005-0000-0000-00008E000000}"/>
    <cellStyle name="40% - Accent4 5" xfId="108" xr:uid="{00000000-0005-0000-0000-00008F000000}"/>
    <cellStyle name="40% - Accent4 5 2" xfId="8923" xr:uid="{00000000-0005-0000-0000-000090000000}"/>
    <cellStyle name="40% - Accent4 6" xfId="109" xr:uid="{00000000-0005-0000-0000-000091000000}"/>
    <cellStyle name="40% - Accent4 7" xfId="8921" xr:uid="{00000000-0005-0000-0000-000092000000}"/>
    <cellStyle name="40% - Accent5" xfId="110" builtinId="47" customBuiltin="1"/>
    <cellStyle name="40% - Accent5 2" xfId="111" xr:uid="{00000000-0005-0000-0000-000094000000}"/>
    <cellStyle name="40% - Accent5 2 2" xfId="112" xr:uid="{00000000-0005-0000-0000-000095000000}"/>
    <cellStyle name="40% - Accent5 2 3" xfId="113" xr:uid="{00000000-0005-0000-0000-000096000000}"/>
    <cellStyle name="40% - Accent5 3" xfId="114" xr:uid="{00000000-0005-0000-0000-000097000000}"/>
    <cellStyle name="40% - Accent5 3 2" xfId="115" xr:uid="{00000000-0005-0000-0000-000098000000}"/>
    <cellStyle name="40% - Accent5 3 3" xfId="116" xr:uid="{00000000-0005-0000-0000-000099000000}"/>
    <cellStyle name="40% - Accent5 4" xfId="117" xr:uid="{00000000-0005-0000-0000-00009A000000}"/>
    <cellStyle name="40% - Accent5 4 2" xfId="118" xr:uid="{00000000-0005-0000-0000-00009B000000}"/>
    <cellStyle name="40% - Accent5 4 2 2" xfId="8926" xr:uid="{00000000-0005-0000-0000-00009C000000}"/>
    <cellStyle name="40% - Accent5 4 3" xfId="8925" xr:uid="{00000000-0005-0000-0000-00009D000000}"/>
    <cellStyle name="40% - Accent5 5" xfId="119" xr:uid="{00000000-0005-0000-0000-00009E000000}"/>
    <cellStyle name="40% - Accent5 5 2" xfId="8927" xr:uid="{00000000-0005-0000-0000-00009F000000}"/>
    <cellStyle name="40% - Accent5 6" xfId="8924" xr:uid="{00000000-0005-0000-0000-0000A0000000}"/>
    <cellStyle name="40% - Accent6" xfId="120" builtinId="51" customBuiltin="1"/>
    <cellStyle name="40% - Accent6 2" xfId="121" xr:uid="{00000000-0005-0000-0000-0000A2000000}"/>
    <cellStyle name="40% - Accent6 2 2" xfId="122" xr:uid="{00000000-0005-0000-0000-0000A3000000}"/>
    <cellStyle name="40% - Accent6 2 2 2" xfId="123" xr:uid="{00000000-0005-0000-0000-0000A4000000}"/>
    <cellStyle name="40% - Accent6 2 3" xfId="124" xr:uid="{00000000-0005-0000-0000-0000A5000000}"/>
    <cellStyle name="40% - Accent6 3" xfId="125" xr:uid="{00000000-0005-0000-0000-0000A6000000}"/>
    <cellStyle name="40% - Accent6 3 2" xfId="126" xr:uid="{00000000-0005-0000-0000-0000A7000000}"/>
    <cellStyle name="40% - Accent6 3 2 2" xfId="127" xr:uid="{00000000-0005-0000-0000-0000A8000000}"/>
    <cellStyle name="40% - Accent6 3 3" xfId="128" xr:uid="{00000000-0005-0000-0000-0000A9000000}"/>
    <cellStyle name="40% - Accent6 4" xfId="129" xr:uid="{00000000-0005-0000-0000-0000AA000000}"/>
    <cellStyle name="40% - Accent6 4 2" xfId="130" xr:uid="{00000000-0005-0000-0000-0000AB000000}"/>
    <cellStyle name="40% - Accent6 4 2 2" xfId="8929" xr:uid="{00000000-0005-0000-0000-0000AC000000}"/>
    <cellStyle name="40% - Accent6 5" xfId="131" xr:uid="{00000000-0005-0000-0000-0000AD000000}"/>
    <cellStyle name="40% - Accent6 5 2" xfId="8930" xr:uid="{00000000-0005-0000-0000-0000AE000000}"/>
    <cellStyle name="40% - Accent6 6" xfId="132" xr:uid="{00000000-0005-0000-0000-0000AF000000}"/>
    <cellStyle name="40% - Accent6 7" xfId="8928" xr:uid="{00000000-0005-0000-0000-0000B0000000}"/>
    <cellStyle name="60% - Accent1" xfId="133" builtinId="32" customBuiltin="1"/>
    <cellStyle name="60% - Accent1 2" xfId="134" xr:uid="{00000000-0005-0000-0000-0000B2000000}"/>
    <cellStyle name="60% - Accent1 2 2" xfId="135" xr:uid="{00000000-0005-0000-0000-0000B3000000}"/>
    <cellStyle name="60% - Accent1 2 2 2" xfId="136" xr:uid="{00000000-0005-0000-0000-0000B4000000}"/>
    <cellStyle name="60% - Accent1 2 3" xfId="137" xr:uid="{00000000-0005-0000-0000-0000B5000000}"/>
    <cellStyle name="60% - Accent1 2 4" xfId="138" xr:uid="{00000000-0005-0000-0000-0000B6000000}"/>
    <cellStyle name="60% - Accent1 3" xfId="139" xr:uid="{00000000-0005-0000-0000-0000B7000000}"/>
    <cellStyle name="60% - Accent1 3 2" xfId="140" xr:uid="{00000000-0005-0000-0000-0000B8000000}"/>
    <cellStyle name="60% - Accent1 3 3" xfId="141" xr:uid="{00000000-0005-0000-0000-0000B9000000}"/>
    <cellStyle name="60% - Accent1 4" xfId="142" xr:uid="{00000000-0005-0000-0000-0000BA000000}"/>
    <cellStyle name="60% - Accent1 4 2" xfId="143" xr:uid="{00000000-0005-0000-0000-0000BB000000}"/>
    <cellStyle name="60% - Accent2" xfId="144" builtinId="36" customBuiltin="1"/>
    <cellStyle name="60% - Accent2 2" xfId="145" xr:uid="{00000000-0005-0000-0000-0000BD000000}"/>
    <cellStyle name="60% - Accent2 2 2" xfId="146" xr:uid="{00000000-0005-0000-0000-0000BE000000}"/>
    <cellStyle name="60% - Accent2 2 3" xfId="147" xr:uid="{00000000-0005-0000-0000-0000BF000000}"/>
    <cellStyle name="60% - Accent2 3" xfId="148" xr:uid="{00000000-0005-0000-0000-0000C0000000}"/>
    <cellStyle name="60% - Accent2 3 2" xfId="149" xr:uid="{00000000-0005-0000-0000-0000C1000000}"/>
    <cellStyle name="60% - Accent2 4" xfId="150" xr:uid="{00000000-0005-0000-0000-0000C2000000}"/>
    <cellStyle name="60% - Accent3 2" xfId="151" xr:uid="{00000000-0005-0000-0000-0000C3000000}"/>
    <cellStyle name="60% - Accent3 2 2" xfId="152" xr:uid="{00000000-0005-0000-0000-0000C4000000}"/>
    <cellStyle name="60% - Accent3 2 3" xfId="153" xr:uid="{00000000-0005-0000-0000-0000C5000000}"/>
    <cellStyle name="60% - Accent3 3" xfId="154" xr:uid="{00000000-0005-0000-0000-0000C6000000}"/>
    <cellStyle name="60% - Accent3 3 2" xfId="155" xr:uid="{00000000-0005-0000-0000-0000C7000000}"/>
    <cellStyle name="60% - Accent3 3 3" xfId="156" xr:uid="{00000000-0005-0000-0000-0000C8000000}"/>
    <cellStyle name="60% - Accent3 4" xfId="157" xr:uid="{00000000-0005-0000-0000-0000C9000000}"/>
    <cellStyle name="60% - Accent3 4 2" xfId="158" xr:uid="{00000000-0005-0000-0000-0000CA000000}"/>
    <cellStyle name="60% - Accent3 4 3" xfId="159" xr:uid="{00000000-0005-0000-0000-0000CB000000}"/>
    <cellStyle name="60% - Accent4 2" xfId="160" xr:uid="{00000000-0005-0000-0000-0000CC000000}"/>
    <cellStyle name="60% - Accent4 2 2" xfId="161" xr:uid="{00000000-0005-0000-0000-0000CD000000}"/>
    <cellStyle name="60% - Accent4 2 3" xfId="162" xr:uid="{00000000-0005-0000-0000-0000CE000000}"/>
    <cellStyle name="60% - Accent4 3" xfId="163" xr:uid="{00000000-0005-0000-0000-0000CF000000}"/>
    <cellStyle name="60% - Accent4 3 2" xfId="164" xr:uid="{00000000-0005-0000-0000-0000D0000000}"/>
    <cellStyle name="60% - Accent4 3 3" xfId="165" xr:uid="{00000000-0005-0000-0000-0000D1000000}"/>
    <cellStyle name="60% - Accent4 4" xfId="166" xr:uid="{00000000-0005-0000-0000-0000D2000000}"/>
    <cellStyle name="60% - Accent4 4 2" xfId="167" xr:uid="{00000000-0005-0000-0000-0000D3000000}"/>
    <cellStyle name="60% - Accent4 4 3" xfId="168" xr:uid="{00000000-0005-0000-0000-0000D4000000}"/>
    <cellStyle name="60% - Accent5" xfId="169" builtinId="48" customBuiltin="1"/>
    <cellStyle name="60% - Accent5 2" xfId="170" xr:uid="{00000000-0005-0000-0000-0000D6000000}"/>
    <cellStyle name="60% - Accent5 2 2" xfId="171" xr:uid="{00000000-0005-0000-0000-0000D7000000}"/>
    <cellStyle name="60% - Accent5 2 2 2" xfId="172" xr:uid="{00000000-0005-0000-0000-0000D8000000}"/>
    <cellStyle name="60% - Accent5 2 3" xfId="173" xr:uid="{00000000-0005-0000-0000-0000D9000000}"/>
    <cellStyle name="60% - Accent5 2 4" xfId="174" xr:uid="{00000000-0005-0000-0000-0000DA000000}"/>
    <cellStyle name="60% - Accent5 3" xfId="175" xr:uid="{00000000-0005-0000-0000-0000DB000000}"/>
    <cellStyle name="60% - Accent5 3 2" xfId="176" xr:uid="{00000000-0005-0000-0000-0000DC000000}"/>
    <cellStyle name="60% - Accent5 4" xfId="177" xr:uid="{00000000-0005-0000-0000-0000DD000000}"/>
    <cellStyle name="60% - Accent6 2" xfId="178" xr:uid="{00000000-0005-0000-0000-0000DE000000}"/>
    <cellStyle name="60% - Accent6 2 2" xfId="179" xr:uid="{00000000-0005-0000-0000-0000DF000000}"/>
    <cellStyle name="60% - Accent6 2 3" xfId="180" xr:uid="{00000000-0005-0000-0000-0000E0000000}"/>
    <cellStyle name="60% - Accent6 3" xfId="181" xr:uid="{00000000-0005-0000-0000-0000E1000000}"/>
    <cellStyle name="60% - Accent6 3 2" xfId="182" xr:uid="{00000000-0005-0000-0000-0000E2000000}"/>
    <cellStyle name="60% - Accent6 4" xfId="183" xr:uid="{00000000-0005-0000-0000-0000E3000000}"/>
    <cellStyle name="Accent1" xfId="184" builtinId="29" customBuiltin="1"/>
    <cellStyle name="Accent1 2" xfId="185" xr:uid="{00000000-0005-0000-0000-0000E5000000}"/>
    <cellStyle name="Accent1 2 2" xfId="186" xr:uid="{00000000-0005-0000-0000-0000E6000000}"/>
    <cellStyle name="Accent1 2 2 2" xfId="187" xr:uid="{00000000-0005-0000-0000-0000E7000000}"/>
    <cellStyle name="Accent1 2 3" xfId="188" xr:uid="{00000000-0005-0000-0000-0000E8000000}"/>
    <cellStyle name="Accent1 2 4" xfId="189" xr:uid="{00000000-0005-0000-0000-0000E9000000}"/>
    <cellStyle name="Accent1 3" xfId="190" xr:uid="{00000000-0005-0000-0000-0000EA000000}"/>
    <cellStyle name="Accent1 3 2" xfId="191" xr:uid="{00000000-0005-0000-0000-0000EB000000}"/>
    <cellStyle name="Accent1 3 3" xfId="192" xr:uid="{00000000-0005-0000-0000-0000EC000000}"/>
    <cellStyle name="Accent1 4" xfId="193" xr:uid="{00000000-0005-0000-0000-0000ED000000}"/>
    <cellStyle name="Accent1 4 2" xfId="194" xr:uid="{00000000-0005-0000-0000-0000EE000000}"/>
    <cellStyle name="Accent2" xfId="195" builtinId="33" customBuiltin="1"/>
    <cellStyle name="Accent2 2" xfId="196" xr:uid="{00000000-0005-0000-0000-0000F0000000}"/>
    <cellStyle name="Accent2 2 2" xfId="197" xr:uid="{00000000-0005-0000-0000-0000F1000000}"/>
    <cellStyle name="Accent2 2 3" xfId="198" xr:uid="{00000000-0005-0000-0000-0000F2000000}"/>
    <cellStyle name="Accent2 3" xfId="199" xr:uid="{00000000-0005-0000-0000-0000F3000000}"/>
    <cellStyle name="Accent2 3 2" xfId="200" xr:uid="{00000000-0005-0000-0000-0000F4000000}"/>
    <cellStyle name="Accent2 4" xfId="201" xr:uid="{00000000-0005-0000-0000-0000F5000000}"/>
    <cellStyle name="Accent3" xfId="202" builtinId="37" customBuiltin="1"/>
    <cellStyle name="Accent3 2" xfId="203" xr:uid="{00000000-0005-0000-0000-0000F7000000}"/>
    <cellStyle name="Accent3 2 2" xfId="204" xr:uid="{00000000-0005-0000-0000-0000F8000000}"/>
    <cellStyle name="Accent3 2 3" xfId="205" xr:uid="{00000000-0005-0000-0000-0000F9000000}"/>
    <cellStyle name="Accent3 2 4" xfId="206" xr:uid="{00000000-0005-0000-0000-0000FA000000}"/>
    <cellStyle name="Accent3 3" xfId="207" xr:uid="{00000000-0005-0000-0000-0000FB000000}"/>
    <cellStyle name="Accent3 3 2" xfId="208" xr:uid="{00000000-0005-0000-0000-0000FC000000}"/>
    <cellStyle name="Accent3 4" xfId="209" xr:uid="{00000000-0005-0000-0000-0000FD000000}"/>
    <cellStyle name="Accent4" xfId="210" builtinId="41" customBuiltin="1"/>
    <cellStyle name="Accent4 2" xfId="211" xr:uid="{00000000-0005-0000-0000-0000FF000000}"/>
    <cellStyle name="Accent4 2 2" xfId="212" xr:uid="{00000000-0005-0000-0000-000000010000}"/>
    <cellStyle name="Accent4 2 2 2" xfId="213" xr:uid="{00000000-0005-0000-0000-000001010000}"/>
    <cellStyle name="Accent4 2 3" xfId="214" xr:uid="{00000000-0005-0000-0000-000002010000}"/>
    <cellStyle name="Accent4 3" xfId="215" xr:uid="{00000000-0005-0000-0000-000003010000}"/>
    <cellStyle name="Accent4 3 2" xfId="216" xr:uid="{00000000-0005-0000-0000-000004010000}"/>
    <cellStyle name="Accent4 4" xfId="217" xr:uid="{00000000-0005-0000-0000-000005010000}"/>
    <cellStyle name="Accent5" xfId="218" builtinId="45" customBuiltin="1"/>
    <cellStyle name="Accent5 2" xfId="219" xr:uid="{00000000-0005-0000-0000-000007010000}"/>
    <cellStyle name="Accent5 2 2" xfId="220" xr:uid="{00000000-0005-0000-0000-000008010000}"/>
    <cellStyle name="Accent5 2 2 2" xfId="221" xr:uid="{00000000-0005-0000-0000-000009010000}"/>
    <cellStyle name="Accent5 2 3" xfId="222" xr:uid="{00000000-0005-0000-0000-00000A010000}"/>
    <cellStyle name="Accent5 2 3 2" xfId="223" xr:uid="{00000000-0005-0000-0000-00000B010000}"/>
    <cellStyle name="Accent5 2 4" xfId="224" xr:uid="{00000000-0005-0000-0000-00000C010000}"/>
    <cellStyle name="Accent5 3" xfId="225" xr:uid="{00000000-0005-0000-0000-00000D010000}"/>
    <cellStyle name="Accent5 4" xfId="226" xr:uid="{00000000-0005-0000-0000-00000E010000}"/>
    <cellStyle name="Accent6" xfId="227" builtinId="49" customBuiltin="1"/>
    <cellStyle name="Accent6 2" xfId="228" xr:uid="{00000000-0005-0000-0000-000010010000}"/>
    <cellStyle name="Accent6 2 2" xfId="229" xr:uid="{00000000-0005-0000-0000-000011010000}"/>
    <cellStyle name="Accent6 2 3" xfId="230" xr:uid="{00000000-0005-0000-0000-000012010000}"/>
    <cellStyle name="Accent6 2 4" xfId="231" xr:uid="{00000000-0005-0000-0000-000013010000}"/>
    <cellStyle name="Accent6 3" xfId="232" xr:uid="{00000000-0005-0000-0000-000014010000}"/>
    <cellStyle name="Accent6 3 2" xfId="233" xr:uid="{00000000-0005-0000-0000-000015010000}"/>
    <cellStyle name="Accent6 4" xfId="234" xr:uid="{00000000-0005-0000-0000-000016010000}"/>
    <cellStyle name="Accounting" xfId="235" xr:uid="{00000000-0005-0000-0000-000017010000}"/>
    <cellStyle name="Accounting 2" xfId="236" xr:uid="{00000000-0005-0000-0000-000018010000}"/>
    <cellStyle name="Accounting 2 2" xfId="237" xr:uid="{00000000-0005-0000-0000-000019010000}"/>
    <cellStyle name="Accounting 2 2 2" xfId="8933" xr:uid="{00000000-0005-0000-0000-00001A010000}"/>
    <cellStyle name="Accounting 2 3" xfId="8932" xr:uid="{00000000-0005-0000-0000-00001B010000}"/>
    <cellStyle name="Accounting 3" xfId="238" xr:uid="{00000000-0005-0000-0000-00001C010000}"/>
    <cellStyle name="Accounting 3 2" xfId="239" xr:uid="{00000000-0005-0000-0000-00001D010000}"/>
    <cellStyle name="Accounting 3 2 2" xfId="8935" xr:uid="{00000000-0005-0000-0000-00001E010000}"/>
    <cellStyle name="Accounting 3 3" xfId="8934" xr:uid="{00000000-0005-0000-0000-00001F010000}"/>
    <cellStyle name="Accounting 4" xfId="240" xr:uid="{00000000-0005-0000-0000-000020010000}"/>
    <cellStyle name="Accounting 4 2" xfId="8936" xr:uid="{00000000-0005-0000-0000-000021010000}"/>
    <cellStyle name="Accounting 5" xfId="8931" xr:uid="{00000000-0005-0000-0000-000022010000}"/>
    <cellStyle name="Accounting_2011-11" xfId="241" xr:uid="{00000000-0005-0000-0000-000023010000}"/>
    <cellStyle name="APS" xfId="242" xr:uid="{00000000-0005-0000-0000-000024010000}"/>
    <cellStyle name="APSLabels" xfId="243" xr:uid="{00000000-0005-0000-0000-000025010000}"/>
    <cellStyle name="APSLabels 2" xfId="244" xr:uid="{00000000-0005-0000-0000-000026010000}"/>
    <cellStyle name="APSLabels 2 2" xfId="245" xr:uid="{00000000-0005-0000-0000-000027010000}"/>
    <cellStyle name="APSLabels 3" xfId="246" xr:uid="{00000000-0005-0000-0000-000028010000}"/>
    <cellStyle name="APSLabels 4" xfId="247" xr:uid="{00000000-0005-0000-0000-000029010000}"/>
    <cellStyle name="Bad" xfId="248" builtinId="27" customBuiltin="1"/>
    <cellStyle name="Bad 2" xfId="249" xr:uid="{00000000-0005-0000-0000-00002B010000}"/>
    <cellStyle name="Bad 2 2" xfId="250" xr:uid="{00000000-0005-0000-0000-00002C010000}"/>
    <cellStyle name="Bad 2 3" xfId="251" xr:uid="{00000000-0005-0000-0000-00002D010000}"/>
    <cellStyle name="Bad 3" xfId="252" xr:uid="{00000000-0005-0000-0000-00002E010000}"/>
    <cellStyle name="Bad 3 2" xfId="253" xr:uid="{00000000-0005-0000-0000-00002F010000}"/>
    <cellStyle name="Bad 4" xfId="254" xr:uid="{00000000-0005-0000-0000-000030010000}"/>
    <cellStyle name="Budget" xfId="255" xr:uid="{00000000-0005-0000-0000-000031010000}"/>
    <cellStyle name="Budget 2" xfId="256" xr:uid="{00000000-0005-0000-0000-000032010000}"/>
    <cellStyle name="Budget 2 2" xfId="8938" xr:uid="{00000000-0005-0000-0000-000033010000}"/>
    <cellStyle name="Budget 3" xfId="257" xr:uid="{00000000-0005-0000-0000-000034010000}"/>
    <cellStyle name="Budget 3 2" xfId="8939" xr:uid="{00000000-0005-0000-0000-000035010000}"/>
    <cellStyle name="Budget 4" xfId="8937" xr:uid="{00000000-0005-0000-0000-000036010000}"/>
    <cellStyle name="Budget_2011-11" xfId="258" xr:uid="{00000000-0005-0000-0000-000037010000}"/>
    <cellStyle name="Calculation" xfId="259" builtinId="22" customBuiltin="1"/>
    <cellStyle name="Calculation 2" xfId="260" xr:uid="{00000000-0005-0000-0000-000039010000}"/>
    <cellStyle name="Calculation 2 2" xfId="261" xr:uid="{00000000-0005-0000-0000-00003A010000}"/>
    <cellStyle name="Calculation 2 2 2" xfId="262" xr:uid="{00000000-0005-0000-0000-00003B010000}"/>
    <cellStyle name="Calculation 2 2 2 2" xfId="263" xr:uid="{00000000-0005-0000-0000-00003C010000}"/>
    <cellStyle name="Calculation 2 2 2 3" xfId="264" xr:uid="{00000000-0005-0000-0000-00003D010000}"/>
    <cellStyle name="Calculation 2 2 2 4" xfId="265" xr:uid="{00000000-0005-0000-0000-00003E010000}"/>
    <cellStyle name="Calculation 2 2 2 5" xfId="266" xr:uid="{00000000-0005-0000-0000-00003F010000}"/>
    <cellStyle name="Calculation 2 2 3" xfId="267" xr:uid="{00000000-0005-0000-0000-000040010000}"/>
    <cellStyle name="Calculation 2 2 3 2" xfId="268" xr:uid="{00000000-0005-0000-0000-000041010000}"/>
    <cellStyle name="Calculation 2 2 3 3" xfId="269" xr:uid="{00000000-0005-0000-0000-000042010000}"/>
    <cellStyle name="Calculation 2 2 3 4" xfId="270" xr:uid="{00000000-0005-0000-0000-000043010000}"/>
    <cellStyle name="Calculation 2 2 3 5" xfId="271" xr:uid="{00000000-0005-0000-0000-000044010000}"/>
    <cellStyle name="Calculation 2 3" xfId="272" xr:uid="{00000000-0005-0000-0000-000045010000}"/>
    <cellStyle name="Calculation 2 3 2" xfId="273" xr:uid="{00000000-0005-0000-0000-000046010000}"/>
    <cellStyle name="Calculation 2 3 2 2" xfId="274" xr:uid="{00000000-0005-0000-0000-000047010000}"/>
    <cellStyle name="Calculation 2 3 2 3" xfId="275" xr:uid="{00000000-0005-0000-0000-000048010000}"/>
    <cellStyle name="Calculation 2 3 2 4" xfId="276" xr:uid="{00000000-0005-0000-0000-000049010000}"/>
    <cellStyle name="Calculation 2 3 2 5" xfId="277" xr:uid="{00000000-0005-0000-0000-00004A010000}"/>
    <cellStyle name="Calculation 2 3 3" xfId="278" xr:uid="{00000000-0005-0000-0000-00004B010000}"/>
    <cellStyle name="Calculation 2 4" xfId="279" xr:uid="{00000000-0005-0000-0000-00004C010000}"/>
    <cellStyle name="Calculation 2 4 2" xfId="280" xr:uid="{00000000-0005-0000-0000-00004D010000}"/>
    <cellStyle name="Calculation 2 4 2 2" xfId="281" xr:uid="{00000000-0005-0000-0000-00004E010000}"/>
    <cellStyle name="Calculation 2 4 2 3" xfId="282" xr:uid="{00000000-0005-0000-0000-00004F010000}"/>
    <cellStyle name="Calculation 2 4 2 4" xfId="283" xr:uid="{00000000-0005-0000-0000-000050010000}"/>
    <cellStyle name="Calculation 2 4 2 5" xfId="284" xr:uid="{00000000-0005-0000-0000-000051010000}"/>
    <cellStyle name="Calculation 2 4 3" xfId="285" xr:uid="{00000000-0005-0000-0000-000052010000}"/>
    <cellStyle name="Calculation 2 5" xfId="286" xr:uid="{00000000-0005-0000-0000-000053010000}"/>
    <cellStyle name="Calculation 2 5 2" xfId="287" xr:uid="{00000000-0005-0000-0000-000054010000}"/>
    <cellStyle name="Calculation 2 5 3" xfId="288" xr:uid="{00000000-0005-0000-0000-000055010000}"/>
    <cellStyle name="Calculation 2 5 4" xfId="289" xr:uid="{00000000-0005-0000-0000-000056010000}"/>
    <cellStyle name="Calculation 2 5 5" xfId="290" xr:uid="{00000000-0005-0000-0000-000057010000}"/>
    <cellStyle name="Calculation 2 6" xfId="291" xr:uid="{00000000-0005-0000-0000-000058010000}"/>
    <cellStyle name="Calculation 3" xfId="292" xr:uid="{00000000-0005-0000-0000-000059010000}"/>
    <cellStyle name="Calculation 3 2" xfId="293" xr:uid="{00000000-0005-0000-0000-00005A010000}"/>
    <cellStyle name="Calculation 3 2 2" xfId="294" xr:uid="{00000000-0005-0000-0000-00005B010000}"/>
    <cellStyle name="Calculation 3 2 2 2" xfId="295" xr:uid="{00000000-0005-0000-0000-00005C010000}"/>
    <cellStyle name="Calculation 3 2 2 3" xfId="296" xr:uid="{00000000-0005-0000-0000-00005D010000}"/>
    <cellStyle name="Calculation 3 2 2 4" xfId="297" xr:uid="{00000000-0005-0000-0000-00005E010000}"/>
    <cellStyle name="Calculation 3 2 2 5" xfId="298" xr:uid="{00000000-0005-0000-0000-00005F010000}"/>
    <cellStyle name="Calculation 3 2 3" xfId="299" xr:uid="{00000000-0005-0000-0000-000060010000}"/>
    <cellStyle name="Calculation 3 2 3 2" xfId="300" xr:uid="{00000000-0005-0000-0000-000061010000}"/>
    <cellStyle name="Calculation 3 2 3 3" xfId="301" xr:uid="{00000000-0005-0000-0000-000062010000}"/>
    <cellStyle name="Calculation 3 2 3 4" xfId="302" xr:uid="{00000000-0005-0000-0000-000063010000}"/>
    <cellStyle name="Calculation 3 2 3 5" xfId="303" xr:uid="{00000000-0005-0000-0000-000064010000}"/>
    <cellStyle name="Calculation 3 3" xfId="304" xr:uid="{00000000-0005-0000-0000-000065010000}"/>
    <cellStyle name="Calculation 3 3 2" xfId="305" xr:uid="{00000000-0005-0000-0000-000066010000}"/>
    <cellStyle name="Calculation 3 3 2 2" xfId="306" xr:uid="{00000000-0005-0000-0000-000067010000}"/>
    <cellStyle name="Calculation 3 3 2 3" xfId="307" xr:uid="{00000000-0005-0000-0000-000068010000}"/>
    <cellStyle name="Calculation 3 3 2 4" xfId="308" xr:uid="{00000000-0005-0000-0000-000069010000}"/>
    <cellStyle name="Calculation 3 3 2 5" xfId="309" xr:uid="{00000000-0005-0000-0000-00006A010000}"/>
    <cellStyle name="Calculation 3 3 3" xfId="310" xr:uid="{00000000-0005-0000-0000-00006B010000}"/>
    <cellStyle name="Calculation 3 4" xfId="311" xr:uid="{00000000-0005-0000-0000-00006C010000}"/>
    <cellStyle name="Calculation 3 4 2" xfId="312" xr:uid="{00000000-0005-0000-0000-00006D010000}"/>
    <cellStyle name="Calculation 3 4 3" xfId="313" xr:uid="{00000000-0005-0000-0000-00006E010000}"/>
    <cellStyle name="Calculation 3 4 4" xfId="314" xr:uid="{00000000-0005-0000-0000-00006F010000}"/>
    <cellStyle name="Calculation 3 4 5" xfId="315" xr:uid="{00000000-0005-0000-0000-000070010000}"/>
    <cellStyle name="Calculation 3 5" xfId="316" xr:uid="{00000000-0005-0000-0000-000071010000}"/>
    <cellStyle name="Calculation 3 5 2" xfId="317" xr:uid="{00000000-0005-0000-0000-000072010000}"/>
    <cellStyle name="Calculation 3 5 3" xfId="318" xr:uid="{00000000-0005-0000-0000-000073010000}"/>
    <cellStyle name="Calculation 3 5 4" xfId="319" xr:uid="{00000000-0005-0000-0000-000074010000}"/>
    <cellStyle name="Calculation 3 5 5" xfId="320" xr:uid="{00000000-0005-0000-0000-000075010000}"/>
    <cellStyle name="Calculation 4" xfId="321" xr:uid="{00000000-0005-0000-0000-000076010000}"/>
    <cellStyle name="Calculation 4 2" xfId="322" xr:uid="{00000000-0005-0000-0000-000077010000}"/>
    <cellStyle name="Calculation 4 3" xfId="323" xr:uid="{00000000-0005-0000-0000-000078010000}"/>
    <cellStyle name="Calculation 4 3 2" xfId="324" xr:uid="{00000000-0005-0000-0000-000079010000}"/>
    <cellStyle name="Calculation 4 3 3" xfId="325" xr:uid="{00000000-0005-0000-0000-00007A010000}"/>
    <cellStyle name="Calculation 4 3 4" xfId="326" xr:uid="{00000000-0005-0000-0000-00007B010000}"/>
    <cellStyle name="Calculation 4 3 5" xfId="327" xr:uid="{00000000-0005-0000-0000-00007C010000}"/>
    <cellStyle name="Calculation 4 4" xfId="328" xr:uid="{00000000-0005-0000-0000-00007D010000}"/>
    <cellStyle name="Check Cell" xfId="329" builtinId="23" customBuiltin="1"/>
    <cellStyle name="Check Cell 2" xfId="330" xr:uid="{00000000-0005-0000-0000-00007F010000}"/>
    <cellStyle name="Check Cell 2 2" xfId="331" xr:uid="{00000000-0005-0000-0000-000080010000}"/>
    <cellStyle name="Check Cell 2 2 2" xfId="332" xr:uid="{00000000-0005-0000-0000-000081010000}"/>
    <cellStyle name="Check Cell 2 3" xfId="333" xr:uid="{00000000-0005-0000-0000-000082010000}"/>
    <cellStyle name="Check Cell 2 4" xfId="334" xr:uid="{00000000-0005-0000-0000-000083010000}"/>
    <cellStyle name="Check Cell 3" xfId="335" xr:uid="{00000000-0005-0000-0000-000084010000}"/>
    <cellStyle name="Check Cell 4" xfId="336" xr:uid="{00000000-0005-0000-0000-000085010000}"/>
    <cellStyle name="Color" xfId="337" xr:uid="{00000000-0005-0000-0000-000086010000}"/>
    <cellStyle name="combo" xfId="338" xr:uid="{00000000-0005-0000-0000-000087010000}"/>
    <cellStyle name="combo 2" xfId="8940" xr:uid="{00000000-0005-0000-0000-000088010000}"/>
    <cellStyle name="Comma" xfId="8878" builtinId="3"/>
    <cellStyle name="Comma 10" xfId="339" xr:uid="{00000000-0005-0000-0000-00008A010000}"/>
    <cellStyle name="Comma 10 2" xfId="340" xr:uid="{00000000-0005-0000-0000-00008B010000}"/>
    <cellStyle name="Comma 10 2 2" xfId="8942" xr:uid="{00000000-0005-0000-0000-00008C010000}"/>
    <cellStyle name="Comma 10 3" xfId="8941" xr:uid="{00000000-0005-0000-0000-00008D010000}"/>
    <cellStyle name="Comma 11" xfId="341" xr:uid="{00000000-0005-0000-0000-00008E010000}"/>
    <cellStyle name="Comma 11 2" xfId="342" xr:uid="{00000000-0005-0000-0000-00008F010000}"/>
    <cellStyle name="Comma 11 2 2" xfId="343" xr:uid="{00000000-0005-0000-0000-000090010000}"/>
    <cellStyle name="Comma 11 2 2 2" xfId="344" xr:uid="{00000000-0005-0000-0000-000091010000}"/>
    <cellStyle name="Comma 11 2 2 2 2" xfId="345" xr:uid="{00000000-0005-0000-0000-000092010000}"/>
    <cellStyle name="Comma 11 2 2 2 2 2" xfId="346" xr:uid="{00000000-0005-0000-0000-000093010000}"/>
    <cellStyle name="Comma 11 2 2 2 2 2 2" xfId="347" xr:uid="{00000000-0005-0000-0000-000094010000}"/>
    <cellStyle name="Comma 11 2 2 2 2 2 2 2" xfId="8949" xr:uid="{00000000-0005-0000-0000-000095010000}"/>
    <cellStyle name="Comma 11 2 2 2 2 2 3" xfId="8948" xr:uid="{00000000-0005-0000-0000-000096010000}"/>
    <cellStyle name="Comma 11 2 2 2 2 3" xfId="348" xr:uid="{00000000-0005-0000-0000-000097010000}"/>
    <cellStyle name="Comma 11 2 2 2 2 3 2" xfId="349" xr:uid="{00000000-0005-0000-0000-000098010000}"/>
    <cellStyle name="Comma 11 2 2 2 2 3 2 2" xfId="8951" xr:uid="{00000000-0005-0000-0000-000099010000}"/>
    <cellStyle name="Comma 11 2 2 2 2 3 3" xfId="8950" xr:uid="{00000000-0005-0000-0000-00009A010000}"/>
    <cellStyle name="Comma 11 2 2 2 2 4" xfId="350" xr:uid="{00000000-0005-0000-0000-00009B010000}"/>
    <cellStyle name="Comma 11 2 2 2 2 4 2" xfId="8952" xr:uid="{00000000-0005-0000-0000-00009C010000}"/>
    <cellStyle name="Comma 11 2 2 2 2 5" xfId="8947" xr:uid="{00000000-0005-0000-0000-00009D010000}"/>
    <cellStyle name="Comma 11 2 2 2 3" xfId="351" xr:uid="{00000000-0005-0000-0000-00009E010000}"/>
    <cellStyle name="Comma 11 2 2 2 3 2" xfId="352" xr:uid="{00000000-0005-0000-0000-00009F010000}"/>
    <cellStyle name="Comma 11 2 2 2 3 2 2" xfId="8954" xr:uid="{00000000-0005-0000-0000-0000A0010000}"/>
    <cellStyle name="Comma 11 2 2 2 3 3" xfId="8953" xr:uid="{00000000-0005-0000-0000-0000A1010000}"/>
    <cellStyle name="Comma 11 2 2 2 4" xfId="353" xr:uid="{00000000-0005-0000-0000-0000A2010000}"/>
    <cellStyle name="Comma 11 2 2 2 4 2" xfId="354" xr:uid="{00000000-0005-0000-0000-0000A3010000}"/>
    <cellStyle name="Comma 11 2 2 2 4 2 2" xfId="8956" xr:uid="{00000000-0005-0000-0000-0000A4010000}"/>
    <cellStyle name="Comma 11 2 2 2 4 3" xfId="8955" xr:uid="{00000000-0005-0000-0000-0000A5010000}"/>
    <cellStyle name="Comma 11 2 2 2 5" xfId="355" xr:uid="{00000000-0005-0000-0000-0000A6010000}"/>
    <cellStyle name="Comma 11 2 2 2 5 2" xfId="8957" xr:uid="{00000000-0005-0000-0000-0000A7010000}"/>
    <cellStyle name="Comma 11 2 2 2 6" xfId="8946" xr:uid="{00000000-0005-0000-0000-0000A8010000}"/>
    <cellStyle name="Comma 11 2 2 3" xfId="356" xr:uid="{00000000-0005-0000-0000-0000A9010000}"/>
    <cellStyle name="Comma 11 2 2 3 2" xfId="357" xr:uid="{00000000-0005-0000-0000-0000AA010000}"/>
    <cellStyle name="Comma 11 2 2 3 2 2" xfId="358" xr:uid="{00000000-0005-0000-0000-0000AB010000}"/>
    <cellStyle name="Comma 11 2 2 3 2 2 2" xfId="8960" xr:uid="{00000000-0005-0000-0000-0000AC010000}"/>
    <cellStyle name="Comma 11 2 2 3 2 3" xfId="8959" xr:uid="{00000000-0005-0000-0000-0000AD010000}"/>
    <cellStyle name="Comma 11 2 2 3 3" xfId="359" xr:uid="{00000000-0005-0000-0000-0000AE010000}"/>
    <cellStyle name="Comma 11 2 2 3 3 2" xfId="360" xr:uid="{00000000-0005-0000-0000-0000AF010000}"/>
    <cellStyle name="Comma 11 2 2 3 3 2 2" xfId="8962" xr:uid="{00000000-0005-0000-0000-0000B0010000}"/>
    <cellStyle name="Comma 11 2 2 3 3 3" xfId="8961" xr:uid="{00000000-0005-0000-0000-0000B1010000}"/>
    <cellStyle name="Comma 11 2 2 3 4" xfId="361" xr:uid="{00000000-0005-0000-0000-0000B2010000}"/>
    <cellStyle name="Comma 11 2 2 3 4 2" xfId="8963" xr:uid="{00000000-0005-0000-0000-0000B3010000}"/>
    <cellStyle name="Comma 11 2 2 3 5" xfId="8958" xr:uid="{00000000-0005-0000-0000-0000B4010000}"/>
    <cellStyle name="Comma 11 2 2 4" xfId="362" xr:uid="{00000000-0005-0000-0000-0000B5010000}"/>
    <cellStyle name="Comma 11 2 2 4 2" xfId="363" xr:uid="{00000000-0005-0000-0000-0000B6010000}"/>
    <cellStyle name="Comma 11 2 2 4 2 2" xfId="8965" xr:uid="{00000000-0005-0000-0000-0000B7010000}"/>
    <cellStyle name="Comma 11 2 2 4 3" xfId="8964" xr:uid="{00000000-0005-0000-0000-0000B8010000}"/>
    <cellStyle name="Comma 11 2 2 5" xfId="364" xr:uid="{00000000-0005-0000-0000-0000B9010000}"/>
    <cellStyle name="Comma 11 2 2 5 2" xfId="365" xr:uid="{00000000-0005-0000-0000-0000BA010000}"/>
    <cellStyle name="Comma 11 2 2 5 2 2" xfId="8967" xr:uid="{00000000-0005-0000-0000-0000BB010000}"/>
    <cellStyle name="Comma 11 2 2 5 3" xfId="8966" xr:uid="{00000000-0005-0000-0000-0000BC010000}"/>
    <cellStyle name="Comma 11 2 2 6" xfId="366" xr:uid="{00000000-0005-0000-0000-0000BD010000}"/>
    <cellStyle name="Comma 11 2 2 6 2" xfId="8968" xr:uid="{00000000-0005-0000-0000-0000BE010000}"/>
    <cellStyle name="Comma 11 2 2 7" xfId="8945" xr:uid="{00000000-0005-0000-0000-0000BF010000}"/>
    <cellStyle name="Comma 11 2 3" xfId="367" xr:uid="{00000000-0005-0000-0000-0000C0010000}"/>
    <cellStyle name="Comma 11 2 3 2" xfId="368" xr:uid="{00000000-0005-0000-0000-0000C1010000}"/>
    <cellStyle name="Comma 11 2 3 2 2" xfId="369" xr:uid="{00000000-0005-0000-0000-0000C2010000}"/>
    <cellStyle name="Comma 11 2 3 2 2 2" xfId="370" xr:uid="{00000000-0005-0000-0000-0000C3010000}"/>
    <cellStyle name="Comma 11 2 3 2 2 2 2" xfId="8972" xr:uid="{00000000-0005-0000-0000-0000C4010000}"/>
    <cellStyle name="Comma 11 2 3 2 2 3" xfId="8971" xr:uid="{00000000-0005-0000-0000-0000C5010000}"/>
    <cellStyle name="Comma 11 2 3 2 3" xfId="371" xr:uid="{00000000-0005-0000-0000-0000C6010000}"/>
    <cellStyle name="Comma 11 2 3 2 3 2" xfId="372" xr:uid="{00000000-0005-0000-0000-0000C7010000}"/>
    <cellStyle name="Comma 11 2 3 2 3 2 2" xfId="8974" xr:uid="{00000000-0005-0000-0000-0000C8010000}"/>
    <cellStyle name="Comma 11 2 3 2 3 3" xfId="8973" xr:uid="{00000000-0005-0000-0000-0000C9010000}"/>
    <cellStyle name="Comma 11 2 3 2 4" xfId="373" xr:uid="{00000000-0005-0000-0000-0000CA010000}"/>
    <cellStyle name="Comma 11 2 3 2 4 2" xfId="8975" xr:uid="{00000000-0005-0000-0000-0000CB010000}"/>
    <cellStyle name="Comma 11 2 3 2 5" xfId="8970" xr:uid="{00000000-0005-0000-0000-0000CC010000}"/>
    <cellStyle name="Comma 11 2 3 3" xfId="374" xr:uid="{00000000-0005-0000-0000-0000CD010000}"/>
    <cellStyle name="Comma 11 2 3 3 2" xfId="375" xr:uid="{00000000-0005-0000-0000-0000CE010000}"/>
    <cellStyle name="Comma 11 2 3 3 2 2" xfId="8977" xr:uid="{00000000-0005-0000-0000-0000CF010000}"/>
    <cellStyle name="Comma 11 2 3 3 3" xfId="8976" xr:uid="{00000000-0005-0000-0000-0000D0010000}"/>
    <cellStyle name="Comma 11 2 3 4" xfId="376" xr:uid="{00000000-0005-0000-0000-0000D1010000}"/>
    <cellStyle name="Comma 11 2 3 4 2" xfId="377" xr:uid="{00000000-0005-0000-0000-0000D2010000}"/>
    <cellStyle name="Comma 11 2 3 4 2 2" xfId="8979" xr:uid="{00000000-0005-0000-0000-0000D3010000}"/>
    <cellStyle name="Comma 11 2 3 4 3" xfId="8978" xr:uid="{00000000-0005-0000-0000-0000D4010000}"/>
    <cellStyle name="Comma 11 2 3 5" xfId="378" xr:uid="{00000000-0005-0000-0000-0000D5010000}"/>
    <cellStyle name="Comma 11 2 3 5 2" xfId="8980" xr:uid="{00000000-0005-0000-0000-0000D6010000}"/>
    <cellStyle name="Comma 11 2 3 6" xfId="8969" xr:uid="{00000000-0005-0000-0000-0000D7010000}"/>
    <cellStyle name="Comma 11 2 4" xfId="379" xr:uid="{00000000-0005-0000-0000-0000D8010000}"/>
    <cellStyle name="Comma 11 2 4 2" xfId="380" xr:uid="{00000000-0005-0000-0000-0000D9010000}"/>
    <cellStyle name="Comma 11 2 4 2 2" xfId="381" xr:uid="{00000000-0005-0000-0000-0000DA010000}"/>
    <cellStyle name="Comma 11 2 4 2 2 2" xfId="8983" xr:uid="{00000000-0005-0000-0000-0000DB010000}"/>
    <cellStyle name="Comma 11 2 4 2 3" xfId="8982" xr:uid="{00000000-0005-0000-0000-0000DC010000}"/>
    <cellStyle name="Comma 11 2 4 3" xfId="382" xr:uid="{00000000-0005-0000-0000-0000DD010000}"/>
    <cellStyle name="Comma 11 2 4 3 2" xfId="383" xr:uid="{00000000-0005-0000-0000-0000DE010000}"/>
    <cellStyle name="Comma 11 2 4 3 2 2" xfId="8985" xr:uid="{00000000-0005-0000-0000-0000DF010000}"/>
    <cellStyle name="Comma 11 2 4 3 3" xfId="8984" xr:uid="{00000000-0005-0000-0000-0000E0010000}"/>
    <cellStyle name="Comma 11 2 4 4" xfId="384" xr:uid="{00000000-0005-0000-0000-0000E1010000}"/>
    <cellStyle name="Comma 11 2 4 4 2" xfId="8986" xr:uid="{00000000-0005-0000-0000-0000E2010000}"/>
    <cellStyle name="Comma 11 2 4 5" xfId="8981" xr:uid="{00000000-0005-0000-0000-0000E3010000}"/>
    <cellStyle name="Comma 11 2 5" xfId="385" xr:uid="{00000000-0005-0000-0000-0000E4010000}"/>
    <cellStyle name="Comma 11 2 5 2" xfId="386" xr:uid="{00000000-0005-0000-0000-0000E5010000}"/>
    <cellStyle name="Comma 11 2 5 2 2" xfId="8988" xr:uid="{00000000-0005-0000-0000-0000E6010000}"/>
    <cellStyle name="Comma 11 2 5 3" xfId="8987" xr:uid="{00000000-0005-0000-0000-0000E7010000}"/>
    <cellStyle name="Comma 11 2 6" xfId="387" xr:uid="{00000000-0005-0000-0000-0000E8010000}"/>
    <cellStyle name="Comma 11 2 6 2" xfId="388" xr:uid="{00000000-0005-0000-0000-0000E9010000}"/>
    <cellStyle name="Comma 11 2 6 2 2" xfId="8990" xr:uid="{00000000-0005-0000-0000-0000EA010000}"/>
    <cellStyle name="Comma 11 2 6 3" xfId="8989" xr:uid="{00000000-0005-0000-0000-0000EB010000}"/>
    <cellStyle name="Comma 11 2 7" xfId="389" xr:uid="{00000000-0005-0000-0000-0000EC010000}"/>
    <cellStyle name="Comma 11 2 7 2" xfId="8991" xr:uid="{00000000-0005-0000-0000-0000ED010000}"/>
    <cellStyle name="Comma 11 2 8" xfId="8944" xr:uid="{00000000-0005-0000-0000-0000EE010000}"/>
    <cellStyle name="Comma 11 3" xfId="390" xr:uid="{00000000-0005-0000-0000-0000EF010000}"/>
    <cellStyle name="Comma 11 3 2" xfId="391" xr:uid="{00000000-0005-0000-0000-0000F0010000}"/>
    <cellStyle name="Comma 11 3 2 2" xfId="392" xr:uid="{00000000-0005-0000-0000-0000F1010000}"/>
    <cellStyle name="Comma 11 3 2 2 2" xfId="393" xr:uid="{00000000-0005-0000-0000-0000F2010000}"/>
    <cellStyle name="Comma 11 3 2 2 2 2" xfId="394" xr:uid="{00000000-0005-0000-0000-0000F3010000}"/>
    <cellStyle name="Comma 11 3 2 2 2 2 2" xfId="8996" xr:uid="{00000000-0005-0000-0000-0000F4010000}"/>
    <cellStyle name="Comma 11 3 2 2 2 3" xfId="8995" xr:uid="{00000000-0005-0000-0000-0000F5010000}"/>
    <cellStyle name="Comma 11 3 2 2 3" xfId="395" xr:uid="{00000000-0005-0000-0000-0000F6010000}"/>
    <cellStyle name="Comma 11 3 2 2 3 2" xfId="396" xr:uid="{00000000-0005-0000-0000-0000F7010000}"/>
    <cellStyle name="Comma 11 3 2 2 3 2 2" xfId="8998" xr:uid="{00000000-0005-0000-0000-0000F8010000}"/>
    <cellStyle name="Comma 11 3 2 2 3 3" xfId="8997" xr:uid="{00000000-0005-0000-0000-0000F9010000}"/>
    <cellStyle name="Comma 11 3 2 2 4" xfId="397" xr:uid="{00000000-0005-0000-0000-0000FA010000}"/>
    <cellStyle name="Comma 11 3 2 2 4 2" xfId="8999" xr:uid="{00000000-0005-0000-0000-0000FB010000}"/>
    <cellStyle name="Comma 11 3 2 2 5" xfId="8994" xr:uid="{00000000-0005-0000-0000-0000FC010000}"/>
    <cellStyle name="Comma 11 3 2 3" xfId="398" xr:uid="{00000000-0005-0000-0000-0000FD010000}"/>
    <cellStyle name="Comma 11 3 2 3 2" xfId="399" xr:uid="{00000000-0005-0000-0000-0000FE010000}"/>
    <cellStyle name="Comma 11 3 2 3 2 2" xfId="9001" xr:uid="{00000000-0005-0000-0000-0000FF010000}"/>
    <cellStyle name="Comma 11 3 2 3 3" xfId="9000" xr:uid="{00000000-0005-0000-0000-000000020000}"/>
    <cellStyle name="Comma 11 3 2 4" xfId="400" xr:uid="{00000000-0005-0000-0000-000001020000}"/>
    <cellStyle name="Comma 11 3 2 4 2" xfId="401" xr:uid="{00000000-0005-0000-0000-000002020000}"/>
    <cellStyle name="Comma 11 3 2 4 2 2" xfId="9003" xr:uid="{00000000-0005-0000-0000-000003020000}"/>
    <cellStyle name="Comma 11 3 2 4 3" xfId="9002" xr:uid="{00000000-0005-0000-0000-000004020000}"/>
    <cellStyle name="Comma 11 3 2 5" xfId="402" xr:uid="{00000000-0005-0000-0000-000005020000}"/>
    <cellStyle name="Comma 11 3 2 5 2" xfId="9004" xr:uid="{00000000-0005-0000-0000-000006020000}"/>
    <cellStyle name="Comma 11 3 2 6" xfId="8993" xr:uid="{00000000-0005-0000-0000-000007020000}"/>
    <cellStyle name="Comma 11 3 3" xfId="403" xr:uid="{00000000-0005-0000-0000-000008020000}"/>
    <cellStyle name="Comma 11 3 3 2" xfId="404" xr:uid="{00000000-0005-0000-0000-000009020000}"/>
    <cellStyle name="Comma 11 3 3 2 2" xfId="405" xr:uid="{00000000-0005-0000-0000-00000A020000}"/>
    <cellStyle name="Comma 11 3 3 2 2 2" xfId="9007" xr:uid="{00000000-0005-0000-0000-00000B020000}"/>
    <cellStyle name="Comma 11 3 3 2 3" xfId="9006" xr:uid="{00000000-0005-0000-0000-00000C020000}"/>
    <cellStyle name="Comma 11 3 3 3" xfId="406" xr:uid="{00000000-0005-0000-0000-00000D020000}"/>
    <cellStyle name="Comma 11 3 3 3 2" xfId="407" xr:uid="{00000000-0005-0000-0000-00000E020000}"/>
    <cellStyle name="Comma 11 3 3 3 2 2" xfId="9009" xr:uid="{00000000-0005-0000-0000-00000F020000}"/>
    <cellStyle name="Comma 11 3 3 3 3" xfId="9008" xr:uid="{00000000-0005-0000-0000-000010020000}"/>
    <cellStyle name="Comma 11 3 3 4" xfId="408" xr:uid="{00000000-0005-0000-0000-000011020000}"/>
    <cellStyle name="Comma 11 3 3 4 2" xfId="9010" xr:uid="{00000000-0005-0000-0000-000012020000}"/>
    <cellStyle name="Comma 11 3 3 5" xfId="9005" xr:uid="{00000000-0005-0000-0000-000013020000}"/>
    <cellStyle name="Comma 11 3 4" xfId="409" xr:uid="{00000000-0005-0000-0000-000014020000}"/>
    <cellStyle name="Comma 11 3 4 2" xfId="410" xr:uid="{00000000-0005-0000-0000-000015020000}"/>
    <cellStyle name="Comma 11 3 4 2 2" xfId="9012" xr:uid="{00000000-0005-0000-0000-000016020000}"/>
    <cellStyle name="Comma 11 3 4 3" xfId="9011" xr:uid="{00000000-0005-0000-0000-000017020000}"/>
    <cellStyle name="Comma 11 3 5" xfId="411" xr:uid="{00000000-0005-0000-0000-000018020000}"/>
    <cellStyle name="Comma 11 3 5 2" xfId="412" xr:uid="{00000000-0005-0000-0000-000019020000}"/>
    <cellStyle name="Comma 11 3 5 2 2" xfId="9014" xr:uid="{00000000-0005-0000-0000-00001A020000}"/>
    <cellStyle name="Comma 11 3 5 3" xfId="9013" xr:uid="{00000000-0005-0000-0000-00001B020000}"/>
    <cellStyle name="Comma 11 3 6" xfId="413" xr:uid="{00000000-0005-0000-0000-00001C020000}"/>
    <cellStyle name="Comma 11 3 6 2" xfId="9015" xr:uid="{00000000-0005-0000-0000-00001D020000}"/>
    <cellStyle name="Comma 11 3 7" xfId="8992" xr:uid="{00000000-0005-0000-0000-00001E020000}"/>
    <cellStyle name="Comma 11 4" xfId="414" xr:uid="{00000000-0005-0000-0000-00001F020000}"/>
    <cellStyle name="Comma 11 4 2" xfId="415" xr:uid="{00000000-0005-0000-0000-000020020000}"/>
    <cellStyle name="Comma 11 4 2 2" xfId="416" xr:uid="{00000000-0005-0000-0000-000021020000}"/>
    <cellStyle name="Comma 11 4 2 2 2" xfId="417" xr:uid="{00000000-0005-0000-0000-000022020000}"/>
    <cellStyle name="Comma 11 4 2 2 2 2" xfId="9019" xr:uid="{00000000-0005-0000-0000-000023020000}"/>
    <cellStyle name="Comma 11 4 2 2 3" xfId="9018" xr:uid="{00000000-0005-0000-0000-000024020000}"/>
    <cellStyle name="Comma 11 4 2 3" xfId="418" xr:uid="{00000000-0005-0000-0000-000025020000}"/>
    <cellStyle name="Comma 11 4 2 3 2" xfId="419" xr:uid="{00000000-0005-0000-0000-000026020000}"/>
    <cellStyle name="Comma 11 4 2 3 2 2" xfId="9021" xr:uid="{00000000-0005-0000-0000-000027020000}"/>
    <cellStyle name="Comma 11 4 2 3 3" xfId="9020" xr:uid="{00000000-0005-0000-0000-000028020000}"/>
    <cellStyle name="Comma 11 4 2 4" xfId="420" xr:uid="{00000000-0005-0000-0000-000029020000}"/>
    <cellStyle name="Comma 11 4 2 4 2" xfId="9022" xr:uid="{00000000-0005-0000-0000-00002A020000}"/>
    <cellStyle name="Comma 11 4 2 5" xfId="9017" xr:uid="{00000000-0005-0000-0000-00002B020000}"/>
    <cellStyle name="Comma 11 4 3" xfId="421" xr:uid="{00000000-0005-0000-0000-00002C020000}"/>
    <cellStyle name="Comma 11 4 3 2" xfId="422" xr:uid="{00000000-0005-0000-0000-00002D020000}"/>
    <cellStyle name="Comma 11 4 3 2 2" xfId="9024" xr:uid="{00000000-0005-0000-0000-00002E020000}"/>
    <cellStyle name="Comma 11 4 3 3" xfId="9023" xr:uid="{00000000-0005-0000-0000-00002F020000}"/>
    <cellStyle name="Comma 11 4 4" xfId="423" xr:uid="{00000000-0005-0000-0000-000030020000}"/>
    <cellStyle name="Comma 11 4 4 2" xfId="424" xr:uid="{00000000-0005-0000-0000-000031020000}"/>
    <cellStyle name="Comma 11 4 4 2 2" xfId="9026" xr:uid="{00000000-0005-0000-0000-000032020000}"/>
    <cellStyle name="Comma 11 4 4 3" xfId="9025" xr:uid="{00000000-0005-0000-0000-000033020000}"/>
    <cellStyle name="Comma 11 4 5" xfId="425" xr:uid="{00000000-0005-0000-0000-000034020000}"/>
    <cellStyle name="Comma 11 4 5 2" xfId="9027" xr:uid="{00000000-0005-0000-0000-000035020000}"/>
    <cellStyle name="Comma 11 4 6" xfId="9016" xr:uid="{00000000-0005-0000-0000-000036020000}"/>
    <cellStyle name="Comma 11 5" xfId="426" xr:uid="{00000000-0005-0000-0000-000037020000}"/>
    <cellStyle name="Comma 11 5 2" xfId="427" xr:uid="{00000000-0005-0000-0000-000038020000}"/>
    <cellStyle name="Comma 11 5 2 2" xfId="428" xr:uid="{00000000-0005-0000-0000-000039020000}"/>
    <cellStyle name="Comma 11 5 2 2 2" xfId="9030" xr:uid="{00000000-0005-0000-0000-00003A020000}"/>
    <cellStyle name="Comma 11 5 2 3" xfId="9029" xr:uid="{00000000-0005-0000-0000-00003B020000}"/>
    <cellStyle name="Comma 11 5 3" xfId="429" xr:uid="{00000000-0005-0000-0000-00003C020000}"/>
    <cellStyle name="Comma 11 5 3 2" xfId="430" xr:uid="{00000000-0005-0000-0000-00003D020000}"/>
    <cellStyle name="Comma 11 5 3 2 2" xfId="9032" xr:uid="{00000000-0005-0000-0000-00003E020000}"/>
    <cellStyle name="Comma 11 5 3 3" xfId="9031" xr:uid="{00000000-0005-0000-0000-00003F020000}"/>
    <cellStyle name="Comma 11 5 4" xfId="431" xr:uid="{00000000-0005-0000-0000-000040020000}"/>
    <cellStyle name="Comma 11 5 4 2" xfId="9033" xr:uid="{00000000-0005-0000-0000-000041020000}"/>
    <cellStyle name="Comma 11 5 5" xfId="9028" xr:uid="{00000000-0005-0000-0000-000042020000}"/>
    <cellStyle name="Comma 11 6" xfId="432" xr:uid="{00000000-0005-0000-0000-000043020000}"/>
    <cellStyle name="Comma 11 6 2" xfId="433" xr:uid="{00000000-0005-0000-0000-000044020000}"/>
    <cellStyle name="Comma 11 6 2 2" xfId="9035" xr:uid="{00000000-0005-0000-0000-000045020000}"/>
    <cellStyle name="Comma 11 6 3" xfId="9034" xr:uid="{00000000-0005-0000-0000-000046020000}"/>
    <cellStyle name="Comma 11 7" xfId="434" xr:uid="{00000000-0005-0000-0000-000047020000}"/>
    <cellStyle name="Comma 11 7 2" xfId="435" xr:uid="{00000000-0005-0000-0000-000048020000}"/>
    <cellStyle name="Comma 11 7 2 2" xfId="9037" xr:uid="{00000000-0005-0000-0000-000049020000}"/>
    <cellStyle name="Comma 11 7 3" xfId="9036" xr:uid="{00000000-0005-0000-0000-00004A020000}"/>
    <cellStyle name="Comma 11 8" xfId="436" xr:uid="{00000000-0005-0000-0000-00004B020000}"/>
    <cellStyle name="Comma 11 8 2" xfId="9038" xr:uid="{00000000-0005-0000-0000-00004C020000}"/>
    <cellStyle name="Comma 11 9" xfId="8943" xr:uid="{00000000-0005-0000-0000-00004D020000}"/>
    <cellStyle name="Comma 12" xfId="437" xr:uid="{00000000-0005-0000-0000-00004E020000}"/>
    <cellStyle name="Comma 12 2" xfId="438" xr:uid="{00000000-0005-0000-0000-00004F020000}"/>
    <cellStyle name="Comma 12 2 2" xfId="439" xr:uid="{00000000-0005-0000-0000-000050020000}"/>
    <cellStyle name="Comma 12 2 2 2" xfId="440" xr:uid="{00000000-0005-0000-0000-000051020000}"/>
    <cellStyle name="Comma 12 2 2 2 2" xfId="441" xr:uid="{00000000-0005-0000-0000-000052020000}"/>
    <cellStyle name="Comma 12 2 2 2 2 2" xfId="442" xr:uid="{00000000-0005-0000-0000-000053020000}"/>
    <cellStyle name="Comma 12 2 2 2 2 2 2" xfId="9043" xr:uid="{00000000-0005-0000-0000-000054020000}"/>
    <cellStyle name="Comma 12 2 2 2 2 3" xfId="9042" xr:uid="{00000000-0005-0000-0000-000055020000}"/>
    <cellStyle name="Comma 12 2 2 2 3" xfId="443" xr:uid="{00000000-0005-0000-0000-000056020000}"/>
    <cellStyle name="Comma 12 2 2 2 3 2" xfId="444" xr:uid="{00000000-0005-0000-0000-000057020000}"/>
    <cellStyle name="Comma 12 2 2 2 3 2 2" xfId="9045" xr:uid="{00000000-0005-0000-0000-000058020000}"/>
    <cellStyle name="Comma 12 2 2 2 3 3" xfId="9044" xr:uid="{00000000-0005-0000-0000-000059020000}"/>
    <cellStyle name="Comma 12 2 2 2 4" xfId="445" xr:uid="{00000000-0005-0000-0000-00005A020000}"/>
    <cellStyle name="Comma 12 2 2 2 4 2" xfId="9046" xr:uid="{00000000-0005-0000-0000-00005B020000}"/>
    <cellStyle name="Comma 12 2 2 2 5" xfId="9041" xr:uid="{00000000-0005-0000-0000-00005C020000}"/>
    <cellStyle name="Comma 12 2 2 3" xfId="446" xr:uid="{00000000-0005-0000-0000-00005D020000}"/>
    <cellStyle name="Comma 12 2 2 3 2" xfId="447" xr:uid="{00000000-0005-0000-0000-00005E020000}"/>
    <cellStyle name="Comma 12 2 2 3 2 2" xfId="9048" xr:uid="{00000000-0005-0000-0000-00005F020000}"/>
    <cellStyle name="Comma 12 2 2 3 3" xfId="9047" xr:uid="{00000000-0005-0000-0000-000060020000}"/>
    <cellStyle name="Comma 12 2 2 4" xfId="448" xr:uid="{00000000-0005-0000-0000-000061020000}"/>
    <cellStyle name="Comma 12 2 2 4 2" xfId="449" xr:uid="{00000000-0005-0000-0000-000062020000}"/>
    <cellStyle name="Comma 12 2 2 4 2 2" xfId="9050" xr:uid="{00000000-0005-0000-0000-000063020000}"/>
    <cellStyle name="Comma 12 2 2 4 3" xfId="9049" xr:uid="{00000000-0005-0000-0000-000064020000}"/>
    <cellStyle name="Comma 12 2 2 5" xfId="450" xr:uid="{00000000-0005-0000-0000-000065020000}"/>
    <cellStyle name="Comma 12 2 2 5 2" xfId="9051" xr:uid="{00000000-0005-0000-0000-000066020000}"/>
    <cellStyle name="Comma 12 2 2 6" xfId="9040" xr:uid="{00000000-0005-0000-0000-000067020000}"/>
    <cellStyle name="Comma 12 2 3" xfId="451" xr:uid="{00000000-0005-0000-0000-000068020000}"/>
    <cellStyle name="Comma 12 2 3 2" xfId="452" xr:uid="{00000000-0005-0000-0000-000069020000}"/>
    <cellStyle name="Comma 12 2 3 2 2" xfId="453" xr:uid="{00000000-0005-0000-0000-00006A020000}"/>
    <cellStyle name="Comma 12 2 3 2 2 2" xfId="9053" xr:uid="{00000000-0005-0000-0000-00006B020000}"/>
    <cellStyle name="Comma 12 2 3 2 3" xfId="9052" xr:uid="{00000000-0005-0000-0000-00006C020000}"/>
    <cellStyle name="Comma 12 2 3 3" xfId="454" xr:uid="{00000000-0005-0000-0000-00006D020000}"/>
    <cellStyle name="Comma 12 2 3 3 2" xfId="455" xr:uid="{00000000-0005-0000-0000-00006E020000}"/>
    <cellStyle name="Comma 12 2 3 3 2 2" xfId="9055" xr:uid="{00000000-0005-0000-0000-00006F020000}"/>
    <cellStyle name="Comma 12 2 3 3 3" xfId="9054" xr:uid="{00000000-0005-0000-0000-000070020000}"/>
    <cellStyle name="Comma 12 2 3 4" xfId="456" xr:uid="{00000000-0005-0000-0000-000071020000}"/>
    <cellStyle name="Comma 12 2 3 4 2" xfId="9056" xr:uid="{00000000-0005-0000-0000-000072020000}"/>
    <cellStyle name="Comma 12 2 4" xfId="457" xr:uid="{00000000-0005-0000-0000-000073020000}"/>
    <cellStyle name="Comma 12 2 4 2" xfId="458" xr:uid="{00000000-0005-0000-0000-000074020000}"/>
    <cellStyle name="Comma 12 2 4 2 2" xfId="9058" xr:uid="{00000000-0005-0000-0000-000075020000}"/>
    <cellStyle name="Comma 12 2 4 3" xfId="9057" xr:uid="{00000000-0005-0000-0000-000076020000}"/>
    <cellStyle name="Comma 12 2 5" xfId="459" xr:uid="{00000000-0005-0000-0000-000077020000}"/>
    <cellStyle name="Comma 12 2 5 2" xfId="460" xr:uid="{00000000-0005-0000-0000-000078020000}"/>
    <cellStyle name="Comma 12 2 5 2 2" xfId="9060" xr:uid="{00000000-0005-0000-0000-000079020000}"/>
    <cellStyle name="Comma 12 2 5 3" xfId="9059" xr:uid="{00000000-0005-0000-0000-00007A020000}"/>
    <cellStyle name="Comma 12 2 6" xfId="461" xr:uid="{00000000-0005-0000-0000-00007B020000}"/>
    <cellStyle name="Comma 12 2 6 2" xfId="9061" xr:uid="{00000000-0005-0000-0000-00007C020000}"/>
    <cellStyle name="Comma 12 2 7" xfId="9039" xr:uid="{00000000-0005-0000-0000-00007D020000}"/>
    <cellStyle name="Comma 12 3" xfId="462" xr:uid="{00000000-0005-0000-0000-00007E020000}"/>
    <cellStyle name="Comma 12 4" xfId="463" xr:uid="{00000000-0005-0000-0000-00007F020000}"/>
    <cellStyle name="Comma 12 5" xfId="464" xr:uid="{00000000-0005-0000-0000-000080020000}"/>
    <cellStyle name="Comma 12 5 2" xfId="9062" xr:uid="{00000000-0005-0000-0000-000081020000}"/>
    <cellStyle name="Comma 12 6" xfId="465" xr:uid="{00000000-0005-0000-0000-000082020000}"/>
    <cellStyle name="Comma 13" xfId="466" xr:uid="{00000000-0005-0000-0000-000083020000}"/>
    <cellStyle name="Comma 13 2" xfId="467" xr:uid="{00000000-0005-0000-0000-000084020000}"/>
    <cellStyle name="Comma 13 2 2" xfId="468" xr:uid="{00000000-0005-0000-0000-000085020000}"/>
    <cellStyle name="Comma 13 2 2 2" xfId="469" xr:uid="{00000000-0005-0000-0000-000086020000}"/>
    <cellStyle name="Comma 13 2 2 2 2" xfId="470" xr:uid="{00000000-0005-0000-0000-000087020000}"/>
    <cellStyle name="Comma 13 2 2 2 2 2" xfId="471" xr:uid="{00000000-0005-0000-0000-000088020000}"/>
    <cellStyle name="Comma 13 2 2 2 2 2 2" xfId="9065" xr:uid="{00000000-0005-0000-0000-000089020000}"/>
    <cellStyle name="Comma 13 2 2 2 2 3" xfId="9064" xr:uid="{00000000-0005-0000-0000-00008A020000}"/>
    <cellStyle name="Comma 13 2 2 2 3" xfId="472" xr:uid="{00000000-0005-0000-0000-00008B020000}"/>
    <cellStyle name="Comma 13 2 2 2 3 2" xfId="473" xr:uid="{00000000-0005-0000-0000-00008C020000}"/>
    <cellStyle name="Comma 13 2 2 2 3 2 2" xfId="9067" xr:uid="{00000000-0005-0000-0000-00008D020000}"/>
    <cellStyle name="Comma 13 2 2 2 3 3" xfId="9066" xr:uid="{00000000-0005-0000-0000-00008E020000}"/>
    <cellStyle name="Comma 13 2 2 2 4" xfId="474" xr:uid="{00000000-0005-0000-0000-00008F020000}"/>
    <cellStyle name="Comma 13 2 2 2 4 2" xfId="9068" xr:uid="{00000000-0005-0000-0000-000090020000}"/>
    <cellStyle name="Comma 13 2 2 2 5" xfId="9063" xr:uid="{00000000-0005-0000-0000-000091020000}"/>
    <cellStyle name="Comma 13 2 2 3" xfId="475" xr:uid="{00000000-0005-0000-0000-000092020000}"/>
    <cellStyle name="Comma 13 2 2 3 2" xfId="476" xr:uid="{00000000-0005-0000-0000-000093020000}"/>
    <cellStyle name="Comma 13 2 2 3 2 2" xfId="9070" xr:uid="{00000000-0005-0000-0000-000094020000}"/>
    <cellStyle name="Comma 13 2 2 3 3" xfId="9069" xr:uid="{00000000-0005-0000-0000-000095020000}"/>
    <cellStyle name="Comma 13 2 2 4" xfId="477" xr:uid="{00000000-0005-0000-0000-000096020000}"/>
    <cellStyle name="Comma 13 2 2 4 2" xfId="478" xr:uid="{00000000-0005-0000-0000-000097020000}"/>
    <cellStyle name="Comma 13 2 2 4 2 2" xfId="9072" xr:uid="{00000000-0005-0000-0000-000098020000}"/>
    <cellStyle name="Comma 13 2 2 4 3" xfId="9071" xr:uid="{00000000-0005-0000-0000-000099020000}"/>
    <cellStyle name="Comma 13 2 2 5" xfId="479" xr:uid="{00000000-0005-0000-0000-00009A020000}"/>
    <cellStyle name="Comma 13 2 2 5 2" xfId="9073" xr:uid="{00000000-0005-0000-0000-00009B020000}"/>
    <cellStyle name="Comma 13 2 3" xfId="480" xr:uid="{00000000-0005-0000-0000-00009C020000}"/>
    <cellStyle name="Comma 13 2 3 2" xfId="481" xr:uid="{00000000-0005-0000-0000-00009D020000}"/>
    <cellStyle name="Comma 13 2 3 2 2" xfId="482" xr:uid="{00000000-0005-0000-0000-00009E020000}"/>
    <cellStyle name="Comma 13 2 3 2 2 2" xfId="9076" xr:uid="{00000000-0005-0000-0000-00009F020000}"/>
    <cellStyle name="Comma 13 2 3 2 3" xfId="9075" xr:uid="{00000000-0005-0000-0000-0000A0020000}"/>
    <cellStyle name="Comma 13 2 3 3" xfId="483" xr:uid="{00000000-0005-0000-0000-0000A1020000}"/>
    <cellStyle name="Comma 13 2 3 3 2" xfId="484" xr:uid="{00000000-0005-0000-0000-0000A2020000}"/>
    <cellStyle name="Comma 13 2 3 3 2 2" xfId="9078" xr:uid="{00000000-0005-0000-0000-0000A3020000}"/>
    <cellStyle name="Comma 13 2 3 3 3" xfId="9077" xr:uid="{00000000-0005-0000-0000-0000A4020000}"/>
    <cellStyle name="Comma 13 2 3 4" xfId="485" xr:uid="{00000000-0005-0000-0000-0000A5020000}"/>
    <cellStyle name="Comma 13 2 3 4 2" xfId="9079" xr:uid="{00000000-0005-0000-0000-0000A6020000}"/>
    <cellStyle name="Comma 13 2 3 5" xfId="9074" xr:uid="{00000000-0005-0000-0000-0000A7020000}"/>
    <cellStyle name="Comma 13 2 4" xfId="486" xr:uid="{00000000-0005-0000-0000-0000A8020000}"/>
    <cellStyle name="Comma 13 2 4 2" xfId="487" xr:uid="{00000000-0005-0000-0000-0000A9020000}"/>
    <cellStyle name="Comma 13 2 4 2 2" xfId="9081" xr:uid="{00000000-0005-0000-0000-0000AA020000}"/>
    <cellStyle name="Comma 13 2 4 3" xfId="9080" xr:uid="{00000000-0005-0000-0000-0000AB020000}"/>
    <cellStyle name="Comma 13 2 5" xfId="488" xr:uid="{00000000-0005-0000-0000-0000AC020000}"/>
    <cellStyle name="Comma 13 2 5 2" xfId="489" xr:uid="{00000000-0005-0000-0000-0000AD020000}"/>
    <cellStyle name="Comma 13 2 5 2 2" xfId="9083" xr:uid="{00000000-0005-0000-0000-0000AE020000}"/>
    <cellStyle name="Comma 13 2 5 3" xfId="9082" xr:uid="{00000000-0005-0000-0000-0000AF020000}"/>
    <cellStyle name="Comma 13 2 6" xfId="490" xr:uid="{00000000-0005-0000-0000-0000B0020000}"/>
    <cellStyle name="Comma 13 2 6 2" xfId="9084" xr:uid="{00000000-0005-0000-0000-0000B1020000}"/>
    <cellStyle name="Comma 13 3" xfId="491" xr:uid="{00000000-0005-0000-0000-0000B2020000}"/>
    <cellStyle name="Comma 13 3 2" xfId="492" xr:uid="{00000000-0005-0000-0000-0000B3020000}"/>
    <cellStyle name="Comma 13 3 2 2" xfId="493" xr:uid="{00000000-0005-0000-0000-0000B4020000}"/>
    <cellStyle name="Comma 13 3 2 2 2" xfId="494" xr:uid="{00000000-0005-0000-0000-0000B5020000}"/>
    <cellStyle name="Comma 13 3 2 2 2 2" xfId="9087" xr:uid="{00000000-0005-0000-0000-0000B6020000}"/>
    <cellStyle name="Comma 13 3 2 2 3" xfId="9086" xr:uid="{00000000-0005-0000-0000-0000B7020000}"/>
    <cellStyle name="Comma 13 3 2 3" xfId="495" xr:uid="{00000000-0005-0000-0000-0000B8020000}"/>
    <cellStyle name="Comma 13 3 2 3 2" xfId="496" xr:uid="{00000000-0005-0000-0000-0000B9020000}"/>
    <cellStyle name="Comma 13 3 2 3 2 2" xfId="9089" xr:uid="{00000000-0005-0000-0000-0000BA020000}"/>
    <cellStyle name="Comma 13 3 2 3 3" xfId="9088" xr:uid="{00000000-0005-0000-0000-0000BB020000}"/>
    <cellStyle name="Comma 13 3 2 4" xfId="497" xr:uid="{00000000-0005-0000-0000-0000BC020000}"/>
    <cellStyle name="Comma 13 3 2 4 2" xfId="9090" xr:uid="{00000000-0005-0000-0000-0000BD020000}"/>
    <cellStyle name="Comma 13 3 2 5" xfId="9085" xr:uid="{00000000-0005-0000-0000-0000BE020000}"/>
    <cellStyle name="Comma 13 3 3" xfId="498" xr:uid="{00000000-0005-0000-0000-0000BF020000}"/>
    <cellStyle name="Comma 13 3 3 2" xfId="499" xr:uid="{00000000-0005-0000-0000-0000C0020000}"/>
    <cellStyle name="Comma 13 3 3 2 2" xfId="9092" xr:uid="{00000000-0005-0000-0000-0000C1020000}"/>
    <cellStyle name="Comma 13 3 3 3" xfId="9091" xr:uid="{00000000-0005-0000-0000-0000C2020000}"/>
    <cellStyle name="Comma 13 3 4" xfId="500" xr:uid="{00000000-0005-0000-0000-0000C3020000}"/>
    <cellStyle name="Comma 13 3 4 2" xfId="501" xr:uid="{00000000-0005-0000-0000-0000C4020000}"/>
    <cellStyle name="Comma 13 3 4 2 2" xfId="9094" xr:uid="{00000000-0005-0000-0000-0000C5020000}"/>
    <cellStyle name="Comma 13 3 4 3" xfId="9093" xr:uid="{00000000-0005-0000-0000-0000C6020000}"/>
    <cellStyle name="Comma 13 3 5" xfId="502" xr:uid="{00000000-0005-0000-0000-0000C7020000}"/>
    <cellStyle name="Comma 13 3 5 2" xfId="9095" xr:uid="{00000000-0005-0000-0000-0000C8020000}"/>
    <cellStyle name="Comma 13 4" xfId="503" xr:uid="{00000000-0005-0000-0000-0000C9020000}"/>
    <cellStyle name="Comma 13 4 2" xfId="504" xr:uid="{00000000-0005-0000-0000-0000CA020000}"/>
    <cellStyle name="Comma 13 4 2 2" xfId="505" xr:uid="{00000000-0005-0000-0000-0000CB020000}"/>
    <cellStyle name="Comma 13 4 2 2 2" xfId="9097" xr:uid="{00000000-0005-0000-0000-0000CC020000}"/>
    <cellStyle name="Comma 13 4 2 3" xfId="9096" xr:uid="{00000000-0005-0000-0000-0000CD020000}"/>
    <cellStyle name="Comma 13 4 3" xfId="506" xr:uid="{00000000-0005-0000-0000-0000CE020000}"/>
    <cellStyle name="Comma 13 4 3 2" xfId="507" xr:uid="{00000000-0005-0000-0000-0000CF020000}"/>
    <cellStyle name="Comma 13 4 3 2 2" xfId="9099" xr:uid="{00000000-0005-0000-0000-0000D0020000}"/>
    <cellStyle name="Comma 13 4 3 3" xfId="9098" xr:uid="{00000000-0005-0000-0000-0000D1020000}"/>
    <cellStyle name="Comma 13 4 4" xfId="508" xr:uid="{00000000-0005-0000-0000-0000D2020000}"/>
    <cellStyle name="Comma 13 4 4 2" xfId="9100" xr:uid="{00000000-0005-0000-0000-0000D3020000}"/>
    <cellStyle name="Comma 13 5" xfId="509" xr:uid="{00000000-0005-0000-0000-0000D4020000}"/>
    <cellStyle name="Comma 13 5 2" xfId="510" xr:uid="{00000000-0005-0000-0000-0000D5020000}"/>
    <cellStyle name="Comma 13 5 2 2" xfId="9102" xr:uid="{00000000-0005-0000-0000-0000D6020000}"/>
    <cellStyle name="Comma 13 5 3" xfId="9101" xr:uid="{00000000-0005-0000-0000-0000D7020000}"/>
    <cellStyle name="Comma 13 6" xfId="511" xr:uid="{00000000-0005-0000-0000-0000D8020000}"/>
    <cellStyle name="Comma 13 6 2" xfId="512" xr:uid="{00000000-0005-0000-0000-0000D9020000}"/>
    <cellStyle name="Comma 13 6 2 2" xfId="9104" xr:uid="{00000000-0005-0000-0000-0000DA020000}"/>
    <cellStyle name="Comma 13 6 3" xfId="9103" xr:uid="{00000000-0005-0000-0000-0000DB020000}"/>
    <cellStyle name="Comma 13 7" xfId="513" xr:uid="{00000000-0005-0000-0000-0000DC020000}"/>
    <cellStyle name="Comma 13 7 2" xfId="9105" xr:uid="{00000000-0005-0000-0000-0000DD020000}"/>
    <cellStyle name="Comma 14" xfId="514" xr:uid="{00000000-0005-0000-0000-0000DE020000}"/>
    <cellStyle name="Comma 14 2" xfId="515" xr:uid="{00000000-0005-0000-0000-0000DF020000}"/>
    <cellStyle name="Comma 15" xfId="516" xr:uid="{00000000-0005-0000-0000-0000E0020000}"/>
    <cellStyle name="Comma 15 2" xfId="517" xr:uid="{00000000-0005-0000-0000-0000E1020000}"/>
    <cellStyle name="Comma 15 2 2" xfId="518" xr:uid="{00000000-0005-0000-0000-0000E2020000}"/>
    <cellStyle name="Comma 15 3" xfId="519" xr:uid="{00000000-0005-0000-0000-0000E3020000}"/>
    <cellStyle name="Comma 15 4" xfId="520" xr:uid="{00000000-0005-0000-0000-0000E4020000}"/>
    <cellStyle name="Comma 16" xfId="521" xr:uid="{00000000-0005-0000-0000-0000E5020000}"/>
    <cellStyle name="Comma 16 2" xfId="522" xr:uid="{00000000-0005-0000-0000-0000E6020000}"/>
    <cellStyle name="Comma 16 2 2" xfId="523" xr:uid="{00000000-0005-0000-0000-0000E7020000}"/>
    <cellStyle name="Comma 16 2 2 2" xfId="524" xr:uid="{00000000-0005-0000-0000-0000E8020000}"/>
    <cellStyle name="Comma 16 2 2 2 2" xfId="9107" xr:uid="{00000000-0005-0000-0000-0000E9020000}"/>
    <cellStyle name="Comma 16 2 2 3" xfId="9106" xr:uid="{00000000-0005-0000-0000-0000EA020000}"/>
    <cellStyle name="Comma 16 2 3" xfId="525" xr:uid="{00000000-0005-0000-0000-0000EB020000}"/>
    <cellStyle name="Comma 16 2 3 2" xfId="526" xr:uid="{00000000-0005-0000-0000-0000EC020000}"/>
    <cellStyle name="Comma 16 2 3 2 2" xfId="9109" xr:uid="{00000000-0005-0000-0000-0000ED020000}"/>
    <cellStyle name="Comma 16 2 3 3" xfId="9108" xr:uid="{00000000-0005-0000-0000-0000EE020000}"/>
    <cellStyle name="Comma 16 2 4" xfId="527" xr:uid="{00000000-0005-0000-0000-0000EF020000}"/>
    <cellStyle name="Comma 16 2 4 2" xfId="9110" xr:uid="{00000000-0005-0000-0000-0000F0020000}"/>
    <cellStyle name="Comma 16 3" xfId="528" xr:uid="{00000000-0005-0000-0000-0000F1020000}"/>
    <cellStyle name="Comma 16 3 2" xfId="529" xr:uid="{00000000-0005-0000-0000-0000F2020000}"/>
    <cellStyle name="Comma 16 3 2 2" xfId="9111" xr:uid="{00000000-0005-0000-0000-0000F3020000}"/>
    <cellStyle name="Comma 16 4" xfId="530" xr:uid="{00000000-0005-0000-0000-0000F4020000}"/>
    <cellStyle name="Comma 16 4 2" xfId="531" xr:uid="{00000000-0005-0000-0000-0000F5020000}"/>
    <cellStyle name="Comma 16 4 2 2" xfId="9113" xr:uid="{00000000-0005-0000-0000-0000F6020000}"/>
    <cellStyle name="Comma 16 4 3" xfId="9112" xr:uid="{00000000-0005-0000-0000-0000F7020000}"/>
    <cellStyle name="Comma 16 5" xfId="532" xr:uid="{00000000-0005-0000-0000-0000F8020000}"/>
    <cellStyle name="Comma 16 5 2" xfId="9114" xr:uid="{00000000-0005-0000-0000-0000F9020000}"/>
    <cellStyle name="Comma 17" xfId="533" xr:uid="{00000000-0005-0000-0000-0000FA020000}"/>
    <cellStyle name="Comma 17 2" xfId="534" xr:uid="{00000000-0005-0000-0000-0000FB020000}"/>
    <cellStyle name="Comma 17 2 2" xfId="535" xr:uid="{00000000-0005-0000-0000-0000FC020000}"/>
    <cellStyle name="Comma 17 2 3" xfId="9115" xr:uid="{00000000-0005-0000-0000-0000FD020000}"/>
    <cellStyle name="Comma 17 3" xfId="536" xr:uid="{00000000-0005-0000-0000-0000FE020000}"/>
    <cellStyle name="Comma 17 4" xfId="537" xr:uid="{00000000-0005-0000-0000-0000FF020000}"/>
    <cellStyle name="Comma 17 4 2" xfId="9116" xr:uid="{00000000-0005-0000-0000-000000030000}"/>
    <cellStyle name="Comma 17 5" xfId="538" xr:uid="{00000000-0005-0000-0000-000001030000}"/>
    <cellStyle name="Comma 17 5 2" xfId="9117" xr:uid="{00000000-0005-0000-0000-000002030000}"/>
    <cellStyle name="Comma 18" xfId="539" xr:uid="{00000000-0005-0000-0000-000003030000}"/>
    <cellStyle name="Comma 18 2" xfId="540" xr:uid="{00000000-0005-0000-0000-000004030000}"/>
    <cellStyle name="Comma 18 2 2" xfId="541" xr:uid="{00000000-0005-0000-0000-000005030000}"/>
    <cellStyle name="Comma 18 3" xfId="542" xr:uid="{00000000-0005-0000-0000-000006030000}"/>
    <cellStyle name="Comma 18 4" xfId="543" xr:uid="{00000000-0005-0000-0000-000007030000}"/>
    <cellStyle name="Comma 18 5" xfId="544" xr:uid="{00000000-0005-0000-0000-000008030000}"/>
    <cellStyle name="Comma 19" xfId="545" xr:uid="{00000000-0005-0000-0000-000009030000}"/>
    <cellStyle name="Comma 19 2" xfId="546" xr:uid="{00000000-0005-0000-0000-00000A030000}"/>
    <cellStyle name="Comma 19 3" xfId="547" xr:uid="{00000000-0005-0000-0000-00000B030000}"/>
    <cellStyle name="Comma 19 4" xfId="548" xr:uid="{00000000-0005-0000-0000-00000C030000}"/>
    <cellStyle name="Comma 19 4 2" xfId="9118" xr:uid="{00000000-0005-0000-0000-00000D030000}"/>
    <cellStyle name="Comma 19 5" xfId="549" xr:uid="{00000000-0005-0000-0000-00000E030000}"/>
    <cellStyle name="Comma 19 5 2" xfId="9119" xr:uid="{00000000-0005-0000-0000-00000F030000}"/>
    <cellStyle name="Comma 2" xfId="550" xr:uid="{00000000-0005-0000-0000-000010030000}"/>
    <cellStyle name="Comma 2 2" xfId="551" xr:uid="{00000000-0005-0000-0000-000011030000}"/>
    <cellStyle name="Comma 2 2 2" xfId="552" xr:uid="{00000000-0005-0000-0000-000012030000}"/>
    <cellStyle name="Comma 2 2 2 2" xfId="553" xr:uid="{00000000-0005-0000-0000-000013030000}"/>
    <cellStyle name="Comma 2 2 2 2 2" xfId="554" xr:uid="{00000000-0005-0000-0000-000014030000}"/>
    <cellStyle name="Comma 2 2 2 2 3" xfId="555" xr:uid="{00000000-0005-0000-0000-000015030000}"/>
    <cellStyle name="Comma 2 2 2 2 3 2" xfId="9122" xr:uid="{00000000-0005-0000-0000-000016030000}"/>
    <cellStyle name="Comma 2 2 2 3" xfId="9121" xr:uid="{00000000-0005-0000-0000-000017030000}"/>
    <cellStyle name="Comma 2 2 3" xfId="556" xr:uid="{00000000-0005-0000-0000-000018030000}"/>
    <cellStyle name="Comma 2 2 3 2" xfId="557" xr:uid="{00000000-0005-0000-0000-000019030000}"/>
    <cellStyle name="Comma 2 2 3 2 2" xfId="9123" xr:uid="{00000000-0005-0000-0000-00001A030000}"/>
    <cellStyle name="Comma 2 2 3 3" xfId="558" xr:uid="{00000000-0005-0000-0000-00001B030000}"/>
    <cellStyle name="Comma 2 2 3 3 2" xfId="9124" xr:uid="{00000000-0005-0000-0000-00001C030000}"/>
    <cellStyle name="Comma 2 2 4" xfId="9120" xr:uid="{00000000-0005-0000-0000-00001D030000}"/>
    <cellStyle name="Comma 2 3" xfId="559" xr:uid="{00000000-0005-0000-0000-00001E030000}"/>
    <cellStyle name="Comma 2 3 2" xfId="560" xr:uid="{00000000-0005-0000-0000-00001F030000}"/>
    <cellStyle name="Comma 2 4" xfId="561" xr:uid="{00000000-0005-0000-0000-000020030000}"/>
    <cellStyle name="Comma 2 4 2" xfId="562" xr:uid="{00000000-0005-0000-0000-000021030000}"/>
    <cellStyle name="Comma 2 4 2 2" xfId="563" xr:uid="{00000000-0005-0000-0000-000022030000}"/>
    <cellStyle name="Comma 2 4 2 3" xfId="9125" xr:uid="{00000000-0005-0000-0000-000023030000}"/>
    <cellStyle name="Comma 2 4 3" xfId="564" xr:uid="{00000000-0005-0000-0000-000024030000}"/>
    <cellStyle name="Comma 2 4 4" xfId="565" xr:uid="{00000000-0005-0000-0000-000025030000}"/>
    <cellStyle name="Comma 2 4 5" xfId="566" xr:uid="{00000000-0005-0000-0000-000026030000}"/>
    <cellStyle name="Comma 2 5" xfId="567" xr:uid="{00000000-0005-0000-0000-000027030000}"/>
    <cellStyle name="Comma 2 5 2" xfId="568" xr:uid="{00000000-0005-0000-0000-000028030000}"/>
    <cellStyle name="Comma 2 5 2 2" xfId="9127" xr:uid="{00000000-0005-0000-0000-000029030000}"/>
    <cellStyle name="Comma 2 5 3" xfId="569" xr:uid="{00000000-0005-0000-0000-00002A030000}"/>
    <cellStyle name="Comma 2 5 3 2" xfId="9128" xr:uid="{00000000-0005-0000-0000-00002B030000}"/>
    <cellStyle name="Comma 2 5 4" xfId="9126" xr:uid="{00000000-0005-0000-0000-00002C030000}"/>
    <cellStyle name="Comma 2 6" xfId="570" xr:uid="{00000000-0005-0000-0000-00002D030000}"/>
    <cellStyle name="Comma 2 6 2" xfId="571" xr:uid="{00000000-0005-0000-0000-00002E030000}"/>
    <cellStyle name="Comma 2 6 2 2" xfId="572" xr:uid="{00000000-0005-0000-0000-00002F030000}"/>
    <cellStyle name="Comma 2 6 2 3" xfId="9130" xr:uid="{00000000-0005-0000-0000-000030030000}"/>
    <cellStyle name="Comma 2 6 3" xfId="573" xr:uid="{00000000-0005-0000-0000-000031030000}"/>
    <cellStyle name="Comma 2 6 3 2" xfId="574" xr:uid="{00000000-0005-0000-0000-000032030000}"/>
    <cellStyle name="Comma 2 6 4" xfId="575" xr:uid="{00000000-0005-0000-0000-000033030000}"/>
    <cellStyle name="Comma 2 6 4 2" xfId="9131" xr:uid="{00000000-0005-0000-0000-000034030000}"/>
    <cellStyle name="Comma 2 6 5" xfId="9129" xr:uid="{00000000-0005-0000-0000-000035030000}"/>
    <cellStyle name="Comma 2 7" xfId="576" xr:uid="{00000000-0005-0000-0000-000036030000}"/>
    <cellStyle name="Comma 2 7 2" xfId="577" xr:uid="{00000000-0005-0000-0000-000037030000}"/>
    <cellStyle name="Comma 2 7 3" xfId="578" xr:uid="{00000000-0005-0000-0000-000038030000}"/>
    <cellStyle name="Comma 2 7 4" xfId="579" xr:uid="{00000000-0005-0000-0000-000039030000}"/>
    <cellStyle name="Comma 2 7 4 2" xfId="9132" xr:uid="{00000000-0005-0000-0000-00003A030000}"/>
    <cellStyle name="Comma 2 8" xfId="580" xr:uid="{00000000-0005-0000-0000-00003B030000}"/>
    <cellStyle name="Comma 2 9" xfId="581" xr:uid="{00000000-0005-0000-0000-00003C030000}"/>
    <cellStyle name="Comma 2 9 2" xfId="9133" xr:uid="{00000000-0005-0000-0000-00003D030000}"/>
    <cellStyle name="Comma 20" xfId="582" xr:uid="{00000000-0005-0000-0000-00003E030000}"/>
    <cellStyle name="Comma 20 2" xfId="583" xr:uid="{00000000-0005-0000-0000-00003F030000}"/>
    <cellStyle name="Comma 20 2 2" xfId="9134" xr:uid="{00000000-0005-0000-0000-000040030000}"/>
    <cellStyle name="Comma 20 3" xfId="584" xr:uid="{00000000-0005-0000-0000-000041030000}"/>
    <cellStyle name="Comma 20 3 2" xfId="9135" xr:uid="{00000000-0005-0000-0000-000042030000}"/>
    <cellStyle name="Comma 21" xfId="585" xr:uid="{00000000-0005-0000-0000-000043030000}"/>
    <cellStyle name="Comma 21 2" xfId="586" xr:uid="{00000000-0005-0000-0000-000044030000}"/>
    <cellStyle name="Comma 21 3" xfId="587" xr:uid="{00000000-0005-0000-0000-000045030000}"/>
    <cellStyle name="Comma 21 3 2" xfId="9136" xr:uid="{00000000-0005-0000-0000-000046030000}"/>
    <cellStyle name="Comma 22" xfId="588" xr:uid="{00000000-0005-0000-0000-000047030000}"/>
    <cellStyle name="Comma 22 2" xfId="589" xr:uid="{00000000-0005-0000-0000-000048030000}"/>
    <cellStyle name="Comma 22 2 2" xfId="9138" xr:uid="{00000000-0005-0000-0000-000049030000}"/>
    <cellStyle name="Comma 22 3" xfId="9137" xr:uid="{00000000-0005-0000-0000-00004A030000}"/>
    <cellStyle name="Comma 23" xfId="590" xr:uid="{00000000-0005-0000-0000-00004B030000}"/>
    <cellStyle name="Comma 23 2" xfId="9139" xr:uid="{00000000-0005-0000-0000-00004C030000}"/>
    <cellStyle name="Comma 24" xfId="591" xr:uid="{00000000-0005-0000-0000-00004D030000}"/>
    <cellStyle name="Comma 24 2" xfId="9140" xr:uid="{00000000-0005-0000-0000-00004E030000}"/>
    <cellStyle name="Comma 25" xfId="592" xr:uid="{00000000-0005-0000-0000-00004F030000}"/>
    <cellStyle name="Comma 25 2" xfId="593" xr:uid="{00000000-0005-0000-0000-000050030000}"/>
    <cellStyle name="Comma 25 2 2" xfId="594" xr:uid="{00000000-0005-0000-0000-000051030000}"/>
    <cellStyle name="Comma 25 2 2 2" xfId="9142" xr:uid="{00000000-0005-0000-0000-000052030000}"/>
    <cellStyle name="Comma 25 2 3" xfId="9141" xr:uid="{00000000-0005-0000-0000-000053030000}"/>
    <cellStyle name="Comma 26" xfId="595" xr:uid="{00000000-0005-0000-0000-000054030000}"/>
    <cellStyle name="Comma 27" xfId="596" xr:uid="{00000000-0005-0000-0000-000055030000}"/>
    <cellStyle name="Comma 28" xfId="597" xr:uid="{00000000-0005-0000-0000-000056030000}"/>
    <cellStyle name="Comma 28 2" xfId="9143" xr:uid="{00000000-0005-0000-0000-000057030000}"/>
    <cellStyle name="Comma 29" xfId="598" xr:uid="{00000000-0005-0000-0000-000058030000}"/>
    <cellStyle name="Comma 29 2" xfId="599" xr:uid="{00000000-0005-0000-0000-000059030000}"/>
    <cellStyle name="Comma 29 2 2" xfId="9145" xr:uid="{00000000-0005-0000-0000-00005A030000}"/>
    <cellStyle name="Comma 29 3" xfId="9144" xr:uid="{00000000-0005-0000-0000-00005B030000}"/>
    <cellStyle name="Comma 3" xfId="600" xr:uid="{00000000-0005-0000-0000-00005C030000}"/>
    <cellStyle name="Comma 3 2" xfId="601" xr:uid="{00000000-0005-0000-0000-00005D030000}"/>
    <cellStyle name="Comma 3 2 2" xfId="602" xr:uid="{00000000-0005-0000-0000-00005E030000}"/>
    <cellStyle name="Comma 3 2 2 2" xfId="9148" xr:uid="{00000000-0005-0000-0000-00005F030000}"/>
    <cellStyle name="Comma 3 2 3" xfId="9147" xr:uid="{00000000-0005-0000-0000-000060030000}"/>
    <cellStyle name="Comma 3 3" xfId="603" xr:uid="{00000000-0005-0000-0000-000061030000}"/>
    <cellStyle name="Comma 3 3 2" xfId="9149" xr:uid="{00000000-0005-0000-0000-000062030000}"/>
    <cellStyle name="Comma 3 4" xfId="604" xr:uid="{00000000-0005-0000-0000-000063030000}"/>
    <cellStyle name="Comma 3 5" xfId="9146" xr:uid="{00000000-0005-0000-0000-000064030000}"/>
    <cellStyle name="Comma 30" xfId="605" xr:uid="{00000000-0005-0000-0000-000065030000}"/>
    <cellStyle name="Comma 31" xfId="8880" xr:uid="{00000000-0005-0000-0000-000066030000}"/>
    <cellStyle name="Comma 32" xfId="8885" xr:uid="{00000000-0005-0000-0000-000067030000}"/>
    <cellStyle name="Comma 32 2" xfId="12193" xr:uid="{2784F33D-07AC-4D7B-8D5A-D04B11719D38}"/>
    <cellStyle name="Comma 33" xfId="12173" xr:uid="{00000000-0005-0000-0000-000068030000}"/>
    <cellStyle name="Comma 34" xfId="12177" xr:uid="{00000000-0005-0000-0000-000069030000}"/>
    <cellStyle name="Comma 35" xfId="12180" xr:uid="{00000000-0005-0000-0000-00006A030000}"/>
    <cellStyle name="Comma 36" xfId="12182" xr:uid="{00000000-0005-0000-0000-00006B030000}"/>
    <cellStyle name="Comma 37" xfId="12185" xr:uid="{00000000-0005-0000-0000-00006C030000}"/>
    <cellStyle name="Comma 38" xfId="12195" xr:uid="{B1BA17F8-1A08-49F2-871A-782564763DEB}"/>
    <cellStyle name="Comma 39" xfId="12198" xr:uid="{D787FC88-3DCF-45F4-A42C-9F1EB87CB638}"/>
    <cellStyle name="Comma 4" xfId="606" xr:uid="{00000000-0005-0000-0000-00006D030000}"/>
    <cellStyle name="Comma 4 10" xfId="607" xr:uid="{00000000-0005-0000-0000-00006E030000}"/>
    <cellStyle name="Comma 4 11" xfId="608" xr:uid="{00000000-0005-0000-0000-00006F030000}"/>
    <cellStyle name="Comma 4 12" xfId="609" xr:uid="{00000000-0005-0000-0000-000070030000}"/>
    <cellStyle name="Comma 4 12 2" xfId="9150" xr:uid="{00000000-0005-0000-0000-000071030000}"/>
    <cellStyle name="Comma 4 2" xfId="610" xr:uid="{00000000-0005-0000-0000-000072030000}"/>
    <cellStyle name="Comma 4 2 2" xfId="611" xr:uid="{00000000-0005-0000-0000-000073030000}"/>
    <cellStyle name="Comma 4 2 2 2" xfId="612" xr:uid="{00000000-0005-0000-0000-000074030000}"/>
    <cellStyle name="Comma 4 2 2 2 2" xfId="613" xr:uid="{00000000-0005-0000-0000-000075030000}"/>
    <cellStyle name="Comma 4 2 2 2 2 2" xfId="614" xr:uid="{00000000-0005-0000-0000-000076030000}"/>
    <cellStyle name="Comma 4 2 2 2 2 2 2" xfId="615" xr:uid="{00000000-0005-0000-0000-000077030000}"/>
    <cellStyle name="Comma 4 2 2 2 2 2 2 2" xfId="616" xr:uid="{00000000-0005-0000-0000-000078030000}"/>
    <cellStyle name="Comma 4 2 2 2 2 2 2 2 2" xfId="9153" xr:uid="{00000000-0005-0000-0000-000079030000}"/>
    <cellStyle name="Comma 4 2 2 2 2 2 2 3" xfId="9152" xr:uid="{00000000-0005-0000-0000-00007A030000}"/>
    <cellStyle name="Comma 4 2 2 2 2 2 3" xfId="617" xr:uid="{00000000-0005-0000-0000-00007B030000}"/>
    <cellStyle name="Comma 4 2 2 2 2 2 3 2" xfId="618" xr:uid="{00000000-0005-0000-0000-00007C030000}"/>
    <cellStyle name="Comma 4 2 2 2 2 2 3 2 2" xfId="9155" xr:uid="{00000000-0005-0000-0000-00007D030000}"/>
    <cellStyle name="Comma 4 2 2 2 2 2 3 3" xfId="9154" xr:uid="{00000000-0005-0000-0000-00007E030000}"/>
    <cellStyle name="Comma 4 2 2 2 2 2 4" xfId="619" xr:uid="{00000000-0005-0000-0000-00007F030000}"/>
    <cellStyle name="Comma 4 2 2 2 2 2 4 2" xfId="9156" xr:uid="{00000000-0005-0000-0000-000080030000}"/>
    <cellStyle name="Comma 4 2 2 2 2 2 5" xfId="9151" xr:uid="{00000000-0005-0000-0000-000081030000}"/>
    <cellStyle name="Comma 4 2 2 2 2 3" xfId="620" xr:uid="{00000000-0005-0000-0000-000082030000}"/>
    <cellStyle name="Comma 4 2 2 2 2 3 2" xfId="621" xr:uid="{00000000-0005-0000-0000-000083030000}"/>
    <cellStyle name="Comma 4 2 2 2 2 3 2 2" xfId="9158" xr:uid="{00000000-0005-0000-0000-000084030000}"/>
    <cellStyle name="Comma 4 2 2 2 2 3 3" xfId="9157" xr:uid="{00000000-0005-0000-0000-000085030000}"/>
    <cellStyle name="Comma 4 2 2 2 2 4" xfId="622" xr:uid="{00000000-0005-0000-0000-000086030000}"/>
    <cellStyle name="Comma 4 2 2 2 2 4 2" xfId="623" xr:uid="{00000000-0005-0000-0000-000087030000}"/>
    <cellStyle name="Comma 4 2 2 2 2 4 2 2" xfId="9160" xr:uid="{00000000-0005-0000-0000-000088030000}"/>
    <cellStyle name="Comma 4 2 2 2 2 4 3" xfId="9159" xr:uid="{00000000-0005-0000-0000-000089030000}"/>
    <cellStyle name="Comma 4 2 2 2 2 5" xfId="624" xr:uid="{00000000-0005-0000-0000-00008A030000}"/>
    <cellStyle name="Comma 4 2 2 2 2 5 2" xfId="9161" xr:uid="{00000000-0005-0000-0000-00008B030000}"/>
    <cellStyle name="Comma 4 2 2 2 3" xfId="625" xr:uid="{00000000-0005-0000-0000-00008C030000}"/>
    <cellStyle name="Comma 4 2 2 2 3 2" xfId="626" xr:uid="{00000000-0005-0000-0000-00008D030000}"/>
    <cellStyle name="Comma 4 2 2 2 3 2 2" xfId="627" xr:uid="{00000000-0005-0000-0000-00008E030000}"/>
    <cellStyle name="Comma 4 2 2 2 3 2 2 2" xfId="9164" xr:uid="{00000000-0005-0000-0000-00008F030000}"/>
    <cellStyle name="Comma 4 2 2 2 3 2 3" xfId="9163" xr:uid="{00000000-0005-0000-0000-000090030000}"/>
    <cellStyle name="Comma 4 2 2 2 3 3" xfId="628" xr:uid="{00000000-0005-0000-0000-000091030000}"/>
    <cellStyle name="Comma 4 2 2 2 3 3 2" xfId="629" xr:uid="{00000000-0005-0000-0000-000092030000}"/>
    <cellStyle name="Comma 4 2 2 2 3 3 2 2" xfId="9166" xr:uid="{00000000-0005-0000-0000-000093030000}"/>
    <cellStyle name="Comma 4 2 2 2 3 3 3" xfId="9165" xr:uid="{00000000-0005-0000-0000-000094030000}"/>
    <cellStyle name="Comma 4 2 2 2 3 4" xfId="630" xr:uid="{00000000-0005-0000-0000-000095030000}"/>
    <cellStyle name="Comma 4 2 2 2 3 4 2" xfId="9167" xr:uid="{00000000-0005-0000-0000-000096030000}"/>
    <cellStyle name="Comma 4 2 2 2 3 5" xfId="9162" xr:uid="{00000000-0005-0000-0000-000097030000}"/>
    <cellStyle name="Comma 4 2 2 2 4" xfId="631" xr:uid="{00000000-0005-0000-0000-000098030000}"/>
    <cellStyle name="Comma 4 2 2 2 4 2" xfId="632" xr:uid="{00000000-0005-0000-0000-000099030000}"/>
    <cellStyle name="Comma 4 2 2 2 4 2 2" xfId="9169" xr:uid="{00000000-0005-0000-0000-00009A030000}"/>
    <cellStyle name="Comma 4 2 2 2 4 3" xfId="9168" xr:uid="{00000000-0005-0000-0000-00009B030000}"/>
    <cellStyle name="Comma 4 2 2 2 5" xfId="633" xr:uid="{00000000-0005-0000-0000-00009C030000}"/>
    <cellStyle name="Comma 4 2 2 2 5 2" xfId="634" xr:uid="{00000000-0005-0000-0000-00009D030000}"/>
    <cellStyle name="Comma 4 2 2 2 5 2 2" xfId="9171" xr:uid="{00000000-0005-0000-0000-00009E030000}"/>
    <cellStyle name="Comma 4 2 2 2 5 3" xfId="9170" xr:uid="{00000000-0005-0000-0000-00009F030000}"/>
    <cellStyle name="Comma 4 2 2 2 6" xfId="635" xr:uid="{00000000-0005-0000-0000-0000A0030000}"/>
    <cellStyle name="Comma 4 2 2 2 6 2" xfId="9172" xr:uid="{00000000-0005-0000-0000-0000A1030000}"/>
    <cellStyle name="Comma 4 2 2 3" xfId="636" xr:uid="{00000000-0005-0000-0000-0000A2030000}"/>
    <cellStyle name="Comma 4 2 2 3 2" xfId="637" xr:uid="{00000000-0005-0000-0000-0000A3030000}"/>
    <cellStyle name="Comma 4 2 2 3 2 2" xfId="638" xr:uid="{00000000-0005-0000-0000-0000A4030000}"/>
    <cellStyle name="Comma 4 2 2 3 2 2 2" xfId="639" xr:uid="{00000000-0005-0000-0000-0000A5030000}"/>
    <cellStyle name="Comma 4 2 2 3 2 2 2 2" xfId="640" xr:uid="{00000000-0005-0000-0000-0000A6030000}"/>
    <cellStyle name="Comma 4 2 2 3 2 2 2 2 2" xfId="9177" xr:uid="{00000000-0005-0000-0000-0000A7030000}"/>
    <cellStyle name="Comma 4 2 2 3 2 2 2 3" xfId="9176" xr:uid="{00000000-0005-0000-0000-0000A8030000}"/>
    <cellStyle name="Comma 4 2 2 3 2 2 3" xfId="641" xr:uid="{00000000-0005-0000-0000-0000A9030000}"/>
    <cellStyle name="Comma 4 2 2 3 2 2 3 2" xfId="642" xr:uid="{00000000-0005-0000-0000-0000AA030000}"/>
    <cellStyle name="Comma 4 2 2 3 2 2 3 2 2" xfId="9179" xr:uid="{00000000-0005-0000-0000-0000AB030000}"/>
    <cellStyle name="Comma 4 2 2 3 2 2 3 3" xfId="9178" xr:uid="{00000000-0005-0000-0000-0000AC030000}"/>
    <cellStyle name="Comma 4 2 2 3 2 2 4" xfId="643" xr:uid="{00000000-0005-0000-0000-0000AD030000}"/>
    <cellStyle name="Comma 4 2 2 3 2 2 4 2" xfId="9180" xr:uid="{00000000-0005-0000-0000-0000AE030000}"/>
    <cellStyle name="Comma 4 2 2 3 2 2 5" xfId="9175" xr:uid="{00000000-0005-0000-0000-0000AF030000}"/>
    <cellStyle name="Comma 4 2 2 3 2 3" xfId="644" xr:uid="{00000000-0005-0000-0000-0000B0030000}"/>
    <cellStyle name="Comma 4 2 2 3 2 3 2" xfId="645" xr:uid="{00000000-0005-0000-0000-0000B1030000}"/>
    <cellStyle name="Comma 4 2 2 3 2 3 2 2" xfId="9182" xr:uid="{00000000-0005-0000-0000-0000B2030000}"/>
    <cellStyle name="Comma 4 2 2 3 2 3 3" xfId="9181" xr:uid="{00000000-0005-0000-0000-0000B3030000}"/>
    <cellStyle name="Comma 4 2 2 3 2 4" xfId="646" xr:uid="{00000000-0005-0000-0000-0000B4030000}"/>
    <cellStyle name="Comma 4 2 2 3 2 4 2" xfId="647" xr:uid="{00000000-0005-0000-0000-0000B5030000}"/>
    <cellStyle name="Comma 4 2 2 3 2 4 2 2" xfId="9184" xr:uid="{00000000-0005-0000-0000-0000B6030000}"/>
    <cellStyle name="Comma 4 2 2 3 2 4 3" xfId="9183" xr:uid="{00000000-0005-0000-0000-0000B7030000}"/>
    <cellStyle name="Comma 4 2 2 3 2 5" xfId="648" xr:uid="{00000000-0005-0000-0000-0000B8030000}"/>
    <cellStyle name="Comma 4 2 2 3 2 5 2" xfId="9185" xr:uid="{00000000-0005-0000-0000-0000B9030000}"/>
    <cellStyle name="Comma 4 2 2 3 2 6" xfId="9174" xr:uid="{00000000-0005-0000-0000-0000BA030000}"/>
    <cellStyle name="Comma 4 2 2 3 3" xfId="649" xr:uid="{00000000-0005-0000-0000-0000BB030000}"/>
    <cellStyle name="Comma 4 2 2 3 3 2" xfId="650" xr:uid="{00000000-0005-0000-0000-0000BC030000}"/>
    <cellStyle name="Comma 4 2 2 3 3 2 2" xfId="651" xr:uid="{00000000-0005-0000-0000-0000BD030000}"/>
    <cellStyle name="Comma 4 2 2 3 3 2 2 2" xfId="9188" xr:uid="{00000000-0005-0000-0000-0000BE030000}"/>
    <cellStyle name="Comma 4 2 2 3 3 2 3" xfId="9187" xr:uid="{00000000-0005-0000-0000-0000BF030000}"/>
    <cellStyle name="Comma 4 2 2 3 3 3" xfId="652" xr:uid="{00000000-0005-0000-0000-0000C0030000}"/>
    <cellStyle name="Comma 4 2 2 3 3 3 2" xfId="653" xr:uid="{00000000-0005-0000-0000-0000C1030000}"/>
    <cellStyle name="Comma 4 2 2 3 3 3 2 2" xfId="9190" xr:uid="{00000000-0005-0000-0000-0000C2030000}"/>
    <cellStyle name="Comma 4 2 2 3 3 3 3" xfId="9189" xr:uid="{00000000-0005-0000-0000-0000C3030000}"/>
    <cellStyle name="Comma 4 2 2 3 3 4" xfId="654" xr:uid="{00000000-0005-0000-0000-0000C4030000}"/>
    <cellStyle name="Comma 4 2 2 3 3 4 2" xfId="9191" xr:uid="{00000000-0005-0000-0000-0000C5030000}"/>
    <cellStyle name="Comma 4 2 2 3 3 5" xfId="9186" xr:uid="{00000000-0005-0000-0000-0000C6030000}"/>
    <cellStyle name="Comma 4 2 2 3 4" xfId="655" xr:uid="{00000000-0005-0000-0000-0000C7030000}"/>
    <cellStyle name="Comma 4 2 2 3 4 2" xfId="656" xr:uid="{00000000-0005-0000-0000-0000C8030000}"/>
    <cellStyle name="Comma 4 2 2 3 4 2 2" xfId="9193" xr:uid="{00000000-0005-0000-0000-0000C9030000}"/>
    <cellStyle name="Comma 4 2 2 3 4 3" xfId="9192" xr:uid="{00000000-0005-0000-0000-0000CA030000}"/>
    <cellStyle name="Comma 4 2 2 3 5" xfId="657" xr:uid="{00000000-0005-0000-0000-0000CB030000}"/>
    <cellStyle name="Comma 4 2 2 3 5 2" xfId="658" xr:uid="{00000000-0005-0000-0000-0000CC030000}"/>
    <cellStyle name="Comma 4 2 2 3 5 2 2" xfId="9195" xr:uid="{00000000-0005-0000-0000-0000CD030000}"/>
    <cellStyle name="Comma 4 2 2 3 5 3" xfId="9194" xr:uid="{00000000-0005-0000-0000-0000CE030000}"/>
    <cellStyle name="Comma 4 2 2 3 6" xfId="659" xr:uid="{00000000-0005-0000-0000-0000CF030000}"/>
    <cellStyle name="Comma 4 2 2 3 6 2" xfId="9196" xr:uid="{00000000-0005-0000-0000-0000D0030000}"/>
    <cellStyle name="Comma 4 2 2 3 7" xfId="9173" xr:uid="{00000000-0005-0000-0000-0000D1030000}"/>
    <cellStyle name="Comma 4 2 2 4" xfId="660" xr:uid="{00000000-0005-0000-0000-0000D2030000}"/>
    <cellStyle name="Comma 4 2 2 4 2" xfId="661" xr:uid="{00000000-0005-0000-0000-0000D3030000}"/>
    <cellStyle name="Comma 4 2 2 4 2 2" xfId="662" xr:uid="{00000000-0005-0000-0000-0000D4030000}"/>
    <cellStyle name="Comma 4 2 2 4 2 2 2" xfId="663" xr:uid="{00000000-0005-0000-0000-0000D5030000}"/>
    <cellStyle name="Comma 4 2 2 4 2 2 2 2" xfId="9200" xr:uid="{00000000-0005-0000-0000-0000D6030000}"/>
    <cellStyle name="Comma 4 2 2 4 2 2 3" xfId="9199" xr:uid="{00000000-0005-0000-0000-0000D7030000}"/>
    <cellStyle name="Comma 4 2 2 4 2 3" xfId="664" xr:uid="{00000000-0005-0000-0000-0000D8030000}"/>
    <cellStyle name="Comma 4 2 2 4 2 3 2" xfId="665" xr:uid="{00000000-0005-0000-0000-0000D9030000}"/>
    <cellStyle name="Comma 4 2 2 4 2 3 2 2" xfId="9202" xr:uid="{00000000-0005-0000-0000-0000DA030000}"/>
    <cellStyle name="Comma 4 2 2 4 2 3 3" xfId="9201" xr:uid="{00000000-0005-0000-0000-0000DB030000}"/>
    <cellStyle name="Comma 4 2 2 4 2 4" xfId="666" xr:uid="{00000000-0005-0000-0000-0000DC030000}"/>
    <cellStyle name="Comma 4 2 2 4 2 4 2" xfId="9203" xr:uid="{00000000-0005-0000-0000-0000DD030000}"/>
    <cellStyle name="Comma 4 2 2 4 2 5" xfId="9198" xr:uid="{00000000-0005-0000-0000-0000DE030000}"/>
    <cellStyle name="Comma 4 2 2 4 3" xfId="667" xr:uid="{00000000-0005-0000-0000-0000DF030000}"/>
    <cellStyle name="Comma 4 2 2 4 3 2" xfId="668" xr:uid="{00000000-0005-0000-0000-0000E0030000}"/>
    <cellStyle name="Comma 4 2 2 4 3 2 2" xfId="9205" xr:uid="{00000000-0005-0000-0000-0000E1030000}"/>
    <cellStyle name="Comma 4 2 2 4 3 3" xfId="9204" xr:uid="{00000000-0005-0000-0000-0000E2030000}"/>
    <cellStyle name="Comma 4 2 2 4 4" xfId="669" xr:uid="{00000000-0005-0000-0000-0000E3030000}"/>
    <cellStyle name="Comma 4 2 2 4 4 2" xfId="670" xr:uid="{00000000-0005-0000-0000-0000E4030000}"/>
    <cellStyle name="Comma 4 2 2 4 4 2 2" xfId="9207" xr:uid="{00000000-0005-0000-0000-0000E5030000}"/>
    <cellStyle name="Comma 4 2 2 4 4 3" xfId="9206" xr:uid="{00000000-0005-0000-0000-0000E6030000}"/>
    <cellStyle name="Comma 4 2 2 4 5" xfId="671" xr:uid="{00000000-0005-0000-0000-0000E7030000}"/>
    <cellStyle name="Comma 4 2 2 4 5 2" xfId="9208" xr:uid="{00000000-0005-0000-0000-0000E8030000}"/>
    <cellStyle name="Comma 4 2 2 4 6" xfId="9197" xr:uid="{00000000-0005-0000-0000-0000E9030000}"/>
    <cellStyle name="Comma 4 2 2 5" xfId="672" xr:uid="{00000000-0005-0000-0000-0000EA030000}"/>
    <cellStyle name="Comma 4 2 2 5 2" xfId="673" xr:uid="{00000000-0005-0000-0000-0000EB030000}"/>
    <cellStyle name="Comma 4 2 2 5 2 2" xfId="674" xr:uid="{00000000-0005-0000-0000-0000EC030000}"/>
    <cellStyle name="Comma 4 2 2 5 2 2 2" xfId="9211" xr:uid="{00000000-0005-0000-0000-0000ED030000}"/>
    <cellStyle name="Comma 4 2 2 5 2 3" xfId="9210" xr:uid="{00000000-0005-0000-0000-0000EE030000}"/>
    <cellStyle name="Comma 4 2 2 5 3" xfId="675" xr:uid="{00000000-0005-0000-0000-0000EF030000}"/>
    <cellStyle name="Comma 4 2 2 5 3 2" xfId="676" xr:uid="{00000000-0005-0000-0000-0000F0030000}"/>
    <cellStyle name="Comma 4 2 2 5 3 2 2" xfId="9213" xr:uid="{00000000-0005-0000-0000-0000F1030000}"/>
    <cellStyle name="Comma 4 2 2 5 3 3" xfId="9212" xr:uid="{00000000-0005-0000-0000-0000F2030000}"/>
    <cellStyle name="Comma 4 2 2 5 4" xfId="677" xr:uid="{00000000-0005-0000-0000-0000F3030000}"/>
    <cellStyle name="Comma 4 2 2 5 4 2" xfId="9214" xr:uid="{00000000-0005-0000-0000-0000F4030000}"/>
    <cellStyle name="Comma 4 2 2 5 5" xfId="9209" xr:uid="{00000000-0005-0000-0000-0000F5030000}"/>
    <cellStyle name="Comma 4 2 2 6" xfId="678" xr:uid="{00000000-0005-0000-0000-0000F6030000}"/>
    <cellStyle name="Comma 4 2 2 6 2" xfId="679" xr:uid="{00000000-0005-0000-0000-0000F7030000}"/>
    <cellStyle name="Comma 4 2 2 6 2 2" xfId="9216" xr:uid="{00000000-0005-0000-0000-0000F8030000}"/>
    <cellStyle name="Comma 4 2 2 6 3" xfId="9215" xr:uid="{00000000-0005-0000-0000-0000F9030000}"/>
    <cellStyle name="Comma 4 2 2 7" xfId="680" xr:uid="{00000000-0005-0000-0000-0000FA030000}"/>
    <cellStyle name="Comma 4 2 2 7 2" xfId="681" xr:uid="{00000000-0005-0000-0000-0000FB030000}"/>
    <cellStyle name="Comma 4 2 2 7 2 2" xfId="9218" xr:uid="{00000000-0005-0000-0000-0000FC030000}"/>
    <cellStyle name="Comma 4 2 2 7 3" xfId="9217" xr:uid="{00000000-0005-0000-0000-0000FD030000}"/>
    <cellStyle name="Comma 4 2 2 8" xfId="682" xr:uid="{00000000-0005-0000-0000-0000FE030000}"/>
    <cellStyle name="Comma 4 2 2 8 2" xfId="9219" xr:uid="{00000000-0005-0000-0000-0000FF030000}"/>
    <cellStyle name="Comma 4 2 2 9" xfId="683" xr:uid="{00000000-0005-0000-0000-000000040000}"/>
    <cellStyle name="Comma 4 2 2 9 2" xfId="9220" xr:uid="{00000000-0005-0000-0000-000001040000}"/>
    <cellStyle name="Comma 4 2 3" xfId="684" xr:uid="{00000000-0005-0000-0000-000002040000}"/>
    <cellStyle name="Comma 4 2 3 2" xfId="685" xr:uid="{00000000-0005-0000-0000-000003040000}"/>
    <cellStyle name="Comma 4 2 3 2 2" xfId="686" xr:uid="{00000000-0005-0000-0000-000004040000}"/>
    <cellStyle name="Comma 4 2 3 2 2 2" xfId="687" xr:uid="{00000000-0005-0000-0000-000005040000}"/>
    <cellStyle name="Comma 4 2 3 2 2 2 2" xfId="688" xr:uid="{00000000-0005-0000-0000-000006040000}"/>
    <cellStyle name="Comma 4 2 3 2 2 2 2 2" xfId="9225" xr:uid="{00000000-0005-0000-0000-000007040000}"/>
    <cellStyle name="Comma 4 2 3 2 2 2 3" xfId="9224" xr:uid="{00000000-0005-0000-0000-000008040000}"/>
    <cellStyle name="Comma 4 2 3 2 2 3" xfId="689" xr:uid="{00000000-0005-0000-0000-000009040000}"/>
    <cellStyle name="Comma 4 2 3 2 2 3 2" xfId="690" xr:uid="{00000000-0005-0000-0000-00000A040000}"/>
    <cellStyle name="Comma 4 2 3 2 2 3 2 2" xfId="9227" xr:uid="{00000000-0005-0000-0000-00000B040000}"/>
    <cellStyle name="Comma 4 2 3 2 2 3 3" xfId="9226" xr:uid="{00000000-0005-0000-0000-00000C040000}"/>
    <cellStyle name="Comma 4 2 3 2 2 4" xfId="691" xr:uid="{00000000-0005-0000-0000-00000D040000}"/>
    <cellStyle name="Comma 4 2 3 2 2 4 2" xfId="9228" xr:uid="{00000000-0005-0000-0000-00000E040000}"/>
    <cellStyle name="Comma 4 2 3 2 2 5" xfId="9223" xr:uid="{00000000-0005-0000-0000-00000F040000}"/>
    <cellStyle name="Comma 4 2 3 2 3" xfId="692" xr:uid="{00000000-0005-0000-0000-000010040000}"/>
    <cellStyle name="Comma 4 2 3 2 3 2" xfId="693" xr:uid="{00000000-0005-0000-0000-000011040000}"/>
    <cellStyle name="Comma 4 2 3 2 3 2 2" xfId="9230" xr:uid="{00000000-0005-0000-0000-000012040000}"/>
    <cellStyle name="Comma 4 2 3 2 3 3" xfId="9229" xr:uid="{00000000-0005-0000-0000-000013040000}"/>
    <cellStyle name="Comma 4 2 3 2 4" xfId="694" xr:uid="{00000000-0005-0000-0000-000014040000}"/>
    <cellStyle name="Comma 4 2 3 2 4 2" xfId="695" xr:uid="{00000000-0005-0000-0000-000015040000}"/>
    <cellStyle name="Comma 4 2 3 2 4 2 2" xfId="9232" xr:uid="{00000000-0005-0000-0000-000016040000}"/>
    <cellStyle name="Comma 4 2 3 2 4 3" xfId="9231" xr:uid="{00000000-0005-0000-0000-000017040000}"/>
    <cellStyle name="Comma 4 2 3 2 5" xfId="696" xr:uid="{00000000-0005-0000-0000-000018040000}"/>
    <cellStyle name="Comma 4 2 3 2 5 2" xfId="9233" xr:uid="{00000000-0005-0000-0000-000019040000}"/>
    <cellStyle name="Comma 4 2 3 2 6" xfId="9222" xr:uid="{00000000-0005-0000-0000-00001A040000}"/>
    <cellStyle name="Comma 4 2 3 3" xfId="697" xr:uid="{00000000-0005-0000-0000-00001B040000}"/>
    <cellStyle name="Comma 4 2 3 3 2" xfId="698" xr:uid="{00000000-0005-0000-0000-00001C040000}"/>
    <cellStyle name="Comma 4 2 3 3 2 2" xfId="699" xr:uid="{00000000-0005-0000-0000-00001D040000}"/>
    <cellStyle name="Comma 4 2 3 3 2 2 2" xfId="9236" xr:uid="{00000000-0005-0000-0000-00001E040000}"/>
    <cellStyle name="Comma 4 2 3 3 2 3" xfId="9235" xr:uid="{00000000-0005-0000-0000-00001F040000}"/>
    <cellStyle name="Comma 4 2 3 3 3" xfId="700" xr:uid="{00000000-0005-0000-0000-000020040000}"/>
    <cellStyle name="Comma 4 2 3 3 3 2" xfId="701" xr:uid="{00000000-0005-0000-0000-000021040000}"/>
    <cellStyle name="Comma 4 2 3 3 3 2 2" xfId="9238" xr:uid="{00000000-0005-0000-0000-000022040000}"/>
    <cellStyle name="Comma 4 2 3 3 3 3" xfId="9237" xr:uid="{00000000-0005-0000-0000-000023040000}"/>
    <cellStyle name="Comma 4 2 3 3 4" xfId="702" xr:uid="{00000000-0005-0000-0000-000024040000}"/>
    <cellStyle name="Comma 4 2 3 3 4 2" xfId="9239" xr:uid="{00000000-0005-0000-0000-000025040000}"/>
    <cellStyle name="Comma 4 2 3 3 5" xfId="9234" xr:uid="{00000000-0005-0000-0000-000026040000}"/>
    <cellStyle name="Comma 4 2 3 4" xfId="703" xr:uid="{00000000-0005-0000-0000-000027040000}"/>
    <cellStyle name="Comma 4 2 3 4 2" xfId="704" xr:uid="{00000000-0005-0000-0000-000028040000}"/>
    <cellStyle name="Comma 4 2 3 4 2 2" xfId="9241" xr:uid="{00000000-0005-0000-0000-000029040000}"/>
    <cellStyle name="Comma 4 2 3 4 3" xfId="9240" xr:uid="{00000000-0005-0000-0000-00002A040000}"/>
    <cellStyle name="Comma 4 2 3 5" xfId="705" xr:uid="{00000000-0005-0000-0000-00002B040000}"/>
    <cellStyle name="Comma 4 2 3 5 2" xfId="706" xr:uid="{00000000-0005-0000-0000-00002C040000}"/>
    <cellStyle name="Comma 4 2 3 5 2 2" xfId="9243" xr:uid="{00000000-0005-0000-0000-00002D040000}"/>
    <cellStyle name="Comma 4 2 3 5 3" xfId="9242" xr:uid="{00000000-0005-0000-0000-00002E040000}"/>
    <cellStyle name="Comma 4 2 3 6" xfId="707" xr:uid="{00000000-0005-0000-0000-00002F040000}"/>
    <cellStyle name="Comma 4 2 3 6 2" xfId="9244" xr:uid="{00000000-0005-0000-0000-000030040000}"/>
    <cellStyle name="Comma 4 2 3 7" xfId="9221" xr:uid="{00000000-0005-0000-0000-000031040000}"/>
    <cellStyle name="Comma 4 2 4" xfId="708" xr:uid="{00000000-0005-0000-0000-000032040000}"/>
    <cellStyle name="Comma 4 2 4 2" xfId="709" xr:uid="{00000000-0005-0000-0000-000033040000}"/>
    <cellStyle name="Comma 4 2 4 2 2" xfId="710" xr:uid="{00000000-0005-0000-0000-000034040000}"/>
    <cellStyle name="Comma 4 2 4 2 2 2" xfId="711" xr:uid="{00000000-0005-0000-0000-000035040000}"/>
    <cellStyle name="Comma 4 2 4 2 2 2 2" xfId="712" xr:uid="{00000000-0005-0000-0000-000036040000}"/>
    <cellStyle name="Comma 4 2 4 2 2 2 2 2" xfId="9247" xr:uid="{00000000-0005-0000-0000-000037040000}"/>
    <cellStyle name="Comma 4 2 4 2 2 2 3" xfId="9246" xr:uid="{00000000-0005-0000-0000-000038040000}"/>
    <cellStyle name="Comma 4 2 4 2 2 3" xfId="713" xr:uid="{00000000-0005-0000-0000-000039040000}"/>
    <cellStyle name="Comma 4 2 4 2 2 3 2" xfId="714" xr:uid="{00000000-0005-0000-0000-00003A040000}"/>
    <cellStyle name="Comma 4 2 4 2 2 3 2 2" xfId="9249" xr:uid="{00000000-0005-0000-0000-00003B040000}"/>
    <cellStyle name="Comma 4 2 4 2 2 3 3" xfId="9248" xr:uid="{00000000-0005-0000-0000-00003C040000}"/>
    <cellStyle name="Comma 4 2 4 2 2 4" xfId="715" xr:uid="{00000000-0005-0000-0000-00003D040000}"/>
    <cellStyle name="Comma 4 2 4 2 2 4 2" xfId="9250" xr:uid="{00000000-0005-0000-0000-00003E040000}"/>
    <cellStyle name="Comma 4 2 4 2 2 5" xfId="9245" xr:uid="{00000000-0005-0000-0000-00003F040000}"/>
    <cellStyle name="Comma 4 2 4 2 3" xfId="716" xr:uid="{00000000-0005-0000-0000-000040040000}"/>
    <cellStyle name="Comma 4 2 4 2 3 2" xfId="717" xr:uid="{00000000-0005-0000-0000-000041040000}"/>
    <cellStyle name="Comma 4 2 4 2 3 2 2" xfId="9252" xr:uid="{00000000-0005-0000-0000-000042040000}"/>
    <cellStyle name="Comma 4 2 4 2 3 3" xfId="9251" xr:uid="{00000000-0005-0000-0000-000043040000}"/>
    <cellStyle name="Comma 4 2 4 2 4" xfId="718" xr:uid="{00000000-0005-0000-0000-000044040000}"/>
    <cellStyle name="Comma 4 2 4 2 4 2" xfId="719" xr:uid="{00000000-0005-0000-0000-000045040000}"/>
    <cellStyle name="Comma 4 2 4 2 4 2 2" xfId="9254" xr:uid="{00000000-0005-0000-0000-000046040000}"/>
    <cellStyle name="Comma 4 2 4 2 4 3" xfId="9253" xr:uid="{00000000-0005-0000-0000-000047040000}"/>
    <cellStyle name="Comma 4 2 4 2 5" xfId="720" xr:uid="{00000000-0005-0000-0000-000048040000}"/>
    <cellStyle name="Comma 4 2 4 2 5 2" xfId="9255" xr:uid="{00000000-0005-0000-0000-000049040000}"/>
    <cellStyle name="Comma 4 2 4 3" xfId="721" xr:uid="{00000000-0005-0000-0000-00004A040000}"/>
    <cellStyle name="Comma 4 2 4 3 2" xfId="722" xr:uid="{00000000-0005-0000-0000-00004B040000}"/>
    <cellStyle name="Comma 4 2 4 3 2 2" xfId="723" xr:uid="{00000000-0005-0000-0000-00004C040000}"/>
    <cellStyle name="Comma 4 2 4 3 2 2 2" xfId="9258" xr:uid="{00000000-0005-0000-0000-00004D040000}"/>
    <cellStyle name="Comma 4 2 4 3 2 3" xfId="9257" xr:uid="{00000000-0005-0000-0000-00004E040000}"/>
    <cellStyle name="Comma 4 2 4 3 3" xfId="724" xr:uid="{00000000-0005-0000-0000-00004F040000}"/>
    <cellStyle name="Comma 4 2 4 3 3 2" xfId="725" xr:uid="{00000000-0005-0000-0000-000050040000}"/>
    <cellStyle name="Comma 4 2 4 3 3 2 2" xfId="9260" xr:uid="{00000000-0005-0000-0000-000051040000}"/>
    <cellStyle name="Comma 4 2 4 3 3 3" xfId="9259" xr:uid="{00000000-0005-0000-0000-000052040000}"/>
    <cellStyle name="Comma 4 2 4 3 4" xfId="726" xr:uid="{00000000-0005-0000-0000-000053040000}"/>
    <cellStyle name="Comma 4 2 4 3 4 2" xfId="9261" xr:uid="{00000000-0005-0000-0000-000054040000}"/>
    <cellStyle name="Comma 4 2 4 3 5" xfId="9256" xr:uid="{00000000-0005-0000-0000-000055040000}"/>
    <cellStyle name="Comma 4 2 4 4" xfId="727" xr:uid="{00000000-0005-0000-0000-000056040000}"/>
    <cellStyle name="Comma 4 2 4 4 2" xfId="728" xr:uid="{00000000-0005-0000-0000-000057040000}"/>
    <cellStyle name="Comma 4 2 4 4 2 2" xfId="9263" xr:uid="{00000000-0005-0000-0000-000058040000}"/>
    <cellStyle name="Comma 4 2 4 4 3" xfId="9262" xr:uid="{00000000-0005-0000-0000-000059040000}"/>
    <cellStyle name="Comma 4 2 4 5" xfId="729" xr:uid="{00000000-0005-0000-0000-00005A040000}"/>
    <cellStyle name="Comma 4 2 4 5 2" xfId="730" xr:uid="{00000000-0005-0000-0000-00005B040000}"/>
    <cellStyle name="Comma 4 2 4 5 2 2" xfId="9265" xr:uid="{00000000-0005-0000-0000-00005C040000}"/>
    <cellStyle name="Comma 4 2 4 5 3" xfId="9264" xr:uid="{00000000-0005-0000-0000-00005D040000}"/>
    <cellStyle name="Comma 4 2 4 6" xfId="731" xr:uid="{00000000-0005-0000-0000-00005E040000}"/>
    <cellStyle name="Comma 4 2 4 6 2" xfId="9266" xr:uid="{00000000-0005-0000-0000-00005F040000}"/>
    <cellStyle name="Comma 4 2 5" xfId="732" xr:uid="{00000000-0005-0000-0000-000060040000}"/>
    <cellStyle name="Comma 4 2 5 2" xfId="733" xr:uid="{00000000-0005-0000-0000-000061040000}"/>
    <cellStyle name="Comma 4 2 5 2 2" xfId="734" xr:uid="{00000000-0005-0000-0000-000062040000}"/>
    <cellStyle name="Comma 4 2 5 2 2 2" xfId="735" xr:uid="{00000000-0005-0000-0000-000063040000}"/>
    <cellStyle name="Comma 4 2 5 2 2 2 2" xfId="9270" xr:uid="{00000000-0005-0000-0000-000064040000}"/>
    <cellStyle name="Comma 4 2 5 2 2 3" xfId="9269" xr:uid="{00000000-0005-0000-0000-000065040000}"/>
    <cellStyle name="Comma 4 2 5 2 3" xfId="736" xr:uid="{00000000-0005-0000-0000-000066040000}"/>
    <cellStyle name="Comma 4 2 5 2 3 2" xfId="737" xr:uid="{00000000-0005-0000-0000-000067040000}"/>
    <cellStyle name="Comma 4 2 5 2 3 2 2" xfId="9272" xr:uid="{00000000-0005-0000-0000-000068040000}"/>
    <cellStyle name="Comma 4 2 5 2 3 3" xfId="9271" xr:uid="{00000000-0005-0000-0000-000069040000}"/>
    <cellStyle name="Comma 4 2 5 2 4" xfId="738" xr:uid="{00000000-0005-0000-0000-00006A040000}"/>
    <cellStyle name="Comma 4 2 5 2 4 2" xfId="9273" xr:uid="{00000000-0005-0000-0000-00006B040000}"/>
    <cellStyle name="Comma 4 2 5 2 5" xfId="9268" xr:uid="{00000000-0005-0000-0000-00006C040000}"/>
    <cellStyle name="Comma 4 2 5 3" xfId="739" xr:uid="{00000000-0005-0000-0000-00006D040000}"/>
    <cellStyle name="Comma 4 2 5 3 2" xfId="740" xr:uid="{00000000-0005-0000-0000-00006E040000}"/>
    <cellStyle name="Comma 4 2 5 3 2 2" xfId="9275" xr:uid="{00000000-0005-0000-0000-00006F040000}"/>
    <cellStyle name="Comma 4 2 5 3 3" xfId="9274" xr:uid="{00000000-0005-0000-0000-000070040000}"/>
    <cellStyle name="Comma 4 2 5 4" xfId="741" xr:uid="{00000000-0005-0000-0000-000071040000}"/>
    <cellStyle name="Comma 4 2 5 4 2" xfId="742" xr:uid="{00000000-0005-0000-0000-000072040000}"/>
    <cellStyle name="Comma 4 2 5 4 2 2" xfId="9277" xr:uid="{00000000-0005-0000-0000-000073040000}"/>
    <cellStyle name="Comma 4 2 5 4 3" xfId="9276" xr:uid="{00000000-0005-0000-0000-000074040000}"/>
    <cellStyle name="Comma 4 2 5 5" xfId="743" xr:uid="{00000000-0005-0000-0000-000075040000}"/>
    <cellStyle name="Comma 4 2 5 5 2" xfId="9278" xr:uid="{00000000-0005-0000-0000-000076040000}"/>
    <cellStyle name="Comma 4 2 5 6" xfId="9267" xr:uid="{00000000-0005-0000-0000-000077040000}"/>
    <cellStyle name="Comma 4 2 6" xfId="744" xr:uid="{00000000-0005-0000-0000-000078040000}"/>
    <cellStyle name="Comma 4 2 6 2" xfId="745" xr:uid="{00000000-0005-0000-0000-000079040000}"/>
    <cellStyle name="Comma 4 2 6 2 2" xfId="746" xr:uid="{00000000-0005-0000-0000-00007A040000}"/>
    <cellStyle name="Comma 4 2 6 2 2 2" xfId="9281" xr:uid="{00000000-0005-0000-0000-00007B040000}"/>
    <cellStyle name="Comma 4 2 6 2 3" xfId="9280" xr:uid="{00000000-0005-0000-0000-00007C040000}"/>
    <cellStyle name="Comma 4 2 6 3" xfId="747" xr:uid="{00000000-0005-0000-0000-00007D040000}"/>
    <cellStyle name="Comma 4 2 6 3 2" xfId="748" xr:uid="{00000000-0005-0000-0000-00007E040000}"/>
    <cellStyle name="Comma 4 2 6 3 2 2" xfId="9283" xr:uid="{00000000-0005-0000-0000-00007F040000}"/>
    <cellStyle name="Comma 4 2 6 3 3" xfId="9282" xr:uid="{00000000-0005-0000-0000-000080040000}"/>
    <cellStyle name="Comma 4 2 6 4" xfId="749" xr:uid="{00000000-0005-0000-0000-000081040000}"/>
    <cellStyle name="Comma 4 2 6 4 2" xfId="9284" xr:uid="{00000000-0005-0000-0000-000082040000}"/>
    <cellStyle name="Comma 4 2 6 5" xfId="9279" xr:uid="{00000000-0005-0000-0000-000083040000}"/>
    <cellStyle name="Comma 4 2 7" xfId="750" xr:uid="{00000000-0005-0000-0000-000084040000}"/>
    <cellStyle name="Comma 4 2 7 2" xfId="751" xr:uid="{00000000-0005-0000-0000-000085040000}"/>
    <cellStyle name="Comma 4 2 7 2 2" xfId="9286" xr:uid="{00000000-0005-0000-0000-000086040000}"/>
    <cellStyle name="Comma 4 2 7 3" xfId="9285" xr:uid="{00000000-0005-0000-0000-000087040000}"/>
    <cellStyle name="Comma 4 2 8" xfId="752" xr:uid="{00000000-0005-0000-0000-000088040000}"/>
    <cellStyle name="Comma 4 2 8 2" xfId="753" xr:uid="{00000000-0005-0000-0000-000089040000}"/>
    <cellStyle name="Comma 4 2 8 2 2" xfId="9288" xr:uid="{00000000-0005-0000-0000-00008A040000}"/>
    <cellStyle name="Comma 4 2 8 3" xfId="9287" xr:uid="{00000000-0005-0000-0000-00008B040000}"/>
    <cellStyle name="Comma 4 2 9" xfId="754" xr:uid="{00000000-0005-0000-0000-00008C040000}"/>
    <cellStyle name="Comma 4 2 9 2" xfId="9289" xr:uid="{00000000-0005-0000-0000-00008D040000}"/>
    <cellStyle name="Comma 4 3" xfId="755" xr:uid="{00000000-0005-0000-0000-00008E040000}"/>
    <cellStyle name="Comma 4 3 10" xfId="756" xr:uid="{00000000-0005-0000-0000-00008F040000}"/>
    <cellStyle name="Comma 4 3 10 2" xfId="9290" xr:uid="{00000000-0005-0000-0000-000090040000}"/>
    <cellStyle name="Comma 4 3 2" xfId="757" xr:uid="{00000000-0005-0000-0000-000091040000}"/>
    <cellStyle name="Comma 4 3 2 2" xfId="758" xr:uid="{00000000-0005-0000-0000-000092040000}"/>
    <cellStyle name="Comma 4 3 2 2 2" xfId="759" xr:uid="{00000000-0005-0000-0000-000093040000}"/>
    <cellStyle name="Comma 4 3 2 2 2 2" xfId="760" xr:uid="{00000000-0005-0000-0000-000094040000}"/>
    <cellStyle name="Comma 4 3 2 2 2 2 2" xfId="761" xr:uid="{00000000-0005-0000-0000-000095040000}"/>
    <cellStyle name="Comma 4 3 2 2 2 2 2 2" xfId="9292" xr:uid="{00000000-0005-0000-0000-000096040000}"/>
    <cellStyle name="Comma 4 3 2 2 2 2 3" xfId="9291" xr:uid="{00000000-0005-0000-0000-000097040000}"/>
    <cellStyle name="Comma 4 3 2 2 2 3" xfId="762" xr:uid="{00000000-0005-0000-0000-000098040000}"/>
    <cellStyle name="Comma 4 3 2 2 2 3 2" xfId="763" xr:uid="{00000000-0005-0000-0000-000099040000}"/>
    <cellStyle name="Comma 4 3 2 2 2 3 2 2" xfId="9294" xr:uid="{00000000-0005-0000-0000-00009A040000}"/>
    <cellStyle name="Comma 4 3 2 2 2 3 3" xfId="9293" xr:uid="{00000000-0005-0000-0000-00009B040000}"/>
    <cellStyle name="Comma 4 3 2 2 2 4" xfId="764" xr:uid="{00000000-0005-0000-0000-00009C040000}"/>
    <cellStyle name="Comma 4 3 2 2 2 4 2" xfId="9295" xr:uid="{00000000-0005-0000-0000-00009D040000}"/>
    <cellStyle name="Comma 4 3 2 2 3" xfId="765" xr:uid="{00000000-0005-0000-0000-00009E040000}"/>
    <cellStyle name="Comma 4 3 2 2 3 2" xfId="766" xr:uid="{00000000-0005-0000-0000-00009F040000}"/>
    <cellStyle name="Comma 4 3 2 2 3 2 2" xfId="9296" xr:uid="{00000000-0005-0000-0000-0000A0040000}"/>
    <cellStyle name="Comma 4 3 2 2 4" xfId="767" xr:uid="{00000000-0005-0000-0000-0000A1040000}"/>
    <cellStyle name="Comma 4 3 2 2 4 2" xfId="768" xr:uid="{00000000-0005-0000-0000-0000A2040000}"/>
    <cellStyle name="Comma 4 3 2 2 4 2 2" xfId="9298" xr:uid="{00000000-0005-0000-0000-0000A3040000}"/>
    <cellStyle name="Comma 4 3 2 2 4 3" xfId="9297" xr:uid="{00000000-0005-0000-0000-0000A4040000}"/>
    <cellStyle name="Comma 4 3 2 2 5" xfId="769" xr:uid="{00000000-0005-0000-0000-0000A5040000}"/>
    <cellStyle name="Comma 4 3 2 2 5 2" xfId="9299" xr:uid="{00000000-0005-0000-0000-0000A6040000}"/>
    <cellStyle name="Comma 4 3 2 3" xfId="770" xr:uid="{00000000-0005-0000-0000-0000A7040000}"/>
    <cellStyle name="Comma 4 3 2 3 2" xfId="771" xr:uid="{00000000-0005-0000-0000-0000A8040000}"/>
    <cellStyle name="Comma 4 3 2 3 2 2" xfId="772" xr:uid="{00000000-0005-0000-0000-0000A9040000}"/>
    <cellStyle name="Comma 4 3 2 3 2 2 2" xfId="9300" xr:uid="{00000000-0005-0000-0000-0000AA040000}"/>
    <cellStyle name="Comma 4 3 2 3 3" xfId="773" xr:uid="{00000000-0005-0000-0000-0000AB040000}"/>
    <cellStyle name="Comma 4 3 2 3 3 2" xfId="774" xr:uid="{00000000-0005-0000-0000-0000AC040000}"/>
    <cellStyle name="Comma 4 3 2 3 3 2 2" xfId="9301" xr:uid="{00000000-0005-0000-0000-0000AD040000}"/>
    <cellStyle name="Comma 4 3 2 3 4" xfId="775" xr:uid="{00000000-0005-0000-0000-0000AE040000}"/>
    <cellStyle name="Comma 4 3 2 3 4 2" xfId="9302" xr:uid="{00000000-0005-0000-0000-0000AF040000}"/>
    <cellStyle name="Comma 4 3 2 4" xfId="776" xr:uid="{00000000-0005-0000-0000-0000B0040000}"/>
    <cellStyle name="Comma 4 3 2 4 2" xfId="777" xr:uid="{00000000-0005-0000-0000-0000B1040000}"/>
    <cellStyle name="Comma 4 3 2 4 2 2" xfId="9303" xr:uid="{00000000-0005-0000-0000-0000B2040000}"/>
    <cellStyle name="Comma 4 3 2 5" xfId="778" xr:uid="{00000000-0005-0000-0000-0000B3040000}"/>
    <cellStyle name="Comma 4 3 2 5 2" xfId="779" xr:uid="{00000000-0005-0000-0000-0000B4040000}"/>
    <cellStyle name="Comma 4 3 2 5 2 2" xfId="9304" xr:uid="{00000000-0005-0000-0000-0000B5040000}"/>
    <cellStyle name="Comma 4 3 2 6" xfId="780" xr:uid="{00000000-0005-0000-0000-0000B6040000}"/>
    <cellStyle name="Comma 4 3 2 6 2" xfId="9305" xr:uid="{00000000-0005-0000-0000-0000B7040000}"/>
    <cellStyle name="Comma 4 3 2 7" xfId="781" xr:uid="{00000000-0005-0000-0000-0000B8040000}"/>
    <cellStyle name="Comma 4 3 2 7 2" xfId="9306" xr:uid="{00000000-0005-0000-0000-0000B9040000}"/>
    <cellStyle name="Comma 4 3 3" xfId="782" xr:uid="{00000000-0005-0000-0000-0000BA040000}"/>
    <cellStyle name="Comma 4 3 3 2" xfId="783" xr:uid="{00000000-0005-0000-0000-0000BB040000}"/>
    <cellStyle name="Comma 4 3 3 2 2" xfId="784" xr:uid="{00000000-0005-0000-0000-0000BC040000}"/>
    <cellStyle name="Comma 4 3 3 2 2 2" xfId="785" xr:uid="{00000000-0005-0000-0000-0000BD040000}"/>
    <cellStyle name="Comma 4 3 3 2 2 2 2" xfId="786" xr:uid="{00000000-0005-0000-0000-0000BE040000}"/>
    <cellStyle name="Comma 4 3 3 2 2 2 2 2" xfId="9310" xr:uid="{00000000-0005-0000-0000-0000BF040000}"/>
    <cellStyle name="Comma 4 3 3 2 2 2 3" xfId="9309" xr:uid="{00000000-0005-0000-0000-0000C0040000}"/>
    <cellStyle name="Comma 4 3 3 2 2 3" xfId="787" xr:uid="{00000000-0005-0000-0000-0000C1040000}"/>
    <cellStyle name="Comma 4 3 3 2 2 3 2" xfId="788" xr:uid="{00000000-0005-0000-0000-0000C2040000}"/>
    <cellStyle name="Comma 4 3 3 2 2 3 2 2" xfId="9312" xr:uid="{00000000-0005-0000-0000-0000C3040000}"/>
    <cellStyle name="Comma 4 3 3 2 2 3 3" xfId="9311" xr:uid="{00000000-0005-0000-0000-0000C4040000}"/>
    <cellStyle name="Comma 4 3 3 2 2 4" xfId="789" xr:uid="{00000000-0005-0000-0000-0000C5040000}"/>
    <cellStyle name="Comma 4 3 3 2 2 4 2" xfId="9313" xr:uid="{00000000-0005-0000-0000-0000C6040000}"/>
    <cellStyle name="Comma 4 3 3 2 2 5" xfId="9308" xr:uid="{00000000-0005-0000-0000-0000C7040000}"/>
    <cellStyle name="Comma 4 3 3 2 3" xfId="790" xr:uid="{00000000-0005-0000-0000-0000C8040000}"/>
    <cellStyle name="Comma 4 3 3 2 3 2" xfId="791" xr:uid="{00000000-0005-0000-0000-0000C9040000}"/>
    <cellStyle name="Comma 4 3 3 2 3 2 2" xfId="9315" xr:uid="{00000000-0005-0000-0000-0000CA040000}"/>
    <cellStyle name="Comma 4 3 3 2 3 3" xfId="9314" xr:uid="{00000000-0005-0000-0000-0000CB040000}"/>
    <cellStyle name="Comma 4 3 3 2 4" xfId="792" xr:uid="{00000000-0005-0000-0000-0000CC040000}"/>
    <cellStyle name="Comma 4 3 3 2 4 2" xfId="793" xr:uid="{00000000-0005-0000-0000-0000CD040000}"/>
    <cellStyle name="Comma 4 3 3 2 4 2 2" xfId="9317" xr:uid="{00000000-0005-0000-0000-0000CE040000}"/>
    <cellStyle name="Comma 4 3 3 2 4 3" xfId="9316" xr:uid="{00000000-0005-0000-0000-0000CF040000}"/>
    <cellStyle name="Comma 4 3 3 2 5" xfId="794" xr:uid="{00000000-0005-0000-0000-0000D0040000}"/>
    <cellStyle name="Comma 4 3 3 2 5 2" xfId="9318" xr:uid="{00000000-0005-0000-0000-0000D1040000}"/>
    <cellStyle name="Comma 4 3 3 2 6" xfId="9307" xr:uid="{00000000-0005-0000-0000-0000D2040000}"/>
    <cellStyle name="Comma 4 3 3 3" xfId="795" xr:uid="{00000000-0005-0000-0000-0000D3040000}"/>
    <cellStyle name="Comma 4 3 3 3 2" xfId="796" xr:uid="{00000000-0005-0000-0000-0000D4040000}"/>
    <cellStyle name="Comma 4 3 3 3 2 2" xfId="797" xr:uid="{00000000-0005-0000-0000-0000D5040000}"/>
    <cellStyle name="Comma 4 3 3 3 2 2 2" xfId="9320" xr:uid="{00000000-0005-0000-0000-0000D6040000}"/>
    <cellStyle name="Comma 4 3 3 3 2 3" xfId="9319" xr:uid="{00000000-0005-0000-0000-0000D7040000}"/>
    <cellStyle name="Comma 4 3 3 3 3" xfId="798" xr:uid="{00000000-0005-0000-0000-0000D8040000}"/>
    <cellStyle name="Comma 4 3 3 3 3 2" xfId="799" xr:uid="{00000000-0005-0000-0000-0000D9040000}"/>
    <cellStyle name="Comma 4 3 3 3 3 2 2" xfId="9322" xr:uid="{00000000-0005-0000-0000-0000DA040000}"/>
    <cellStyle name="Comma 4 3 3 3 3 3" xfId="9321" xr:uid="{00000000-0005-0000-0000-0000DB040000}"/>
    <cellStyle name="Comma 4 3 3 3 4" xfId="800" xr:uid="{00000000-0005-0000-0000-0000DC040000}"/>
    <cellStyle name="Comma 4 3 3 3 4 2" xfId="9323" xr:uid="{00000000-0005-0000-0000-0000DD040000}"/>
    <cellStyle name="Comma 4 3 3 4" xfId="801" xr:uid="{00000000-0005-0000-0000-0000DE040000}"/>
    <cellStyle name="Comma 4 3 3 4 2" xfId="802" xr:uid="{00000000-0005-0000-0000-0000DF040000}"/>
    <cellStyle name="Comma 4 3 3 4 2 2" xfId="9325" xr:uid="{00000000-0005-0000-0000-0000E0040000}"/>
    <cellStyle name="Comma 4 3 3 4 3" xfId="9324" xr:uid="{00000000-0005-0000-0000-0000E1040000}"/>
    <cellStyle name="Comma 4 3 3 5" xfId="803" xr:uid="{00000000-0005-0000-0000-0000E2040000}"/>
    <cellStyle name="Comma 4 3 3 5 2" xfId="804" xr:uid="{00000000-0005-0000-0000-0000E3040000}"/>
    <cellStyle name="Comma 4 3 3 5 2 2" xfId="9327" xr:uid="{00000000-0005-0000-0000-0000E4040000}"/>
    <cellStyle name="Comma 4 3 3 5 3" xfId="9326" xr:uid="{00000000-0005-0000-0000-0000E5040000}"/>
    <cellStyle name="Comma 4 3 3 6" xfId="805" xr:uid="{00000000-0005-0000-0000-0000E6040000}"/>
    <cellStyle name="Comma 4 3 3 6 2" xfId="9328" xr:uid="{00000000-0005-0000-0000-0000E7040000}"/>
    <cellStyle name="Comma 4 3 4" xfId="806" xr:uid="{00000000-0005-0000-0000-0000E8040000}"/>
    <cellStyle name="Comma 4 3 4 2" xfId="807" xr:uid="{00000000-0005-0000-0000-0000E9040000}"/>
    <cellStyle name="Comma 4 3 4 2 2" xfId="808" xr:uid="{00000000-0005-0000-0000-0000EA040000}"/>
    <cellStyle name="Comma 4 3 4 2 2 2" xfId="809" xr:uid="{00000000-0005-0000-0000-0000EB040000}"/>
    <cellStyle name="Comma 4 3 4 2 2 2 2" xfId="9331" xr:uid="{00000000-0005-0000-0000-0000EC040000}"/>
    <cellStyle name="Comma 4 3 4 2 2 3" xfId="9330" xr:uid="{00000000-0005-0000-0000-0000ED040000}"/>
    <cellStyle name="Comma 4 3 4 2 3" xfId="810" xr:uid="{00000000-0005-0000-0000-0000EE040000}"/>
    <cellStyle name="Comma 4 3 4 2 3 2" xfId="811" xr:uid="{00000000-0005-0000-0000-0000EF040000}"/>
    <cellStyle name="Comma 4 3 4 2 3 2 2" xfId="9333" xr:uid="{00000000-0005-0000-0000-0000F0040000}"/>
    <cellStyle name="Comma 4 3 4 2 3 3" xfId="9332" xr:uid="{00000000-0005-0000-0000-0000F1040000}"/>
    <cellStyle name="Comma 4 3 4 2 4" xfId="812" xr:uid="{00000000-0005-0000-0000-0000F2040000}"/>
    <cellStyle name="Comma 4 3 4 2 4 2" xfId="9334" xr:uid="{00000000-0005-0000-0000-0000F3040000}"/>
    <cellStyle name="Comma 4 3 4 2 5" xfId="9329" xr:uid="{00000000-0005-0000-0000-0000F4040000}"/>
    <cellStyle name="Comma 4 3 4 3" xfId="813" xr:uid="{00000000-0005-0000-0000-0000F5040000}"/>
    <cellStyle name="Comma 4 3 4 3 2" xfId="814" xr:uid="{00000000-0005-0000-0000-0000F6040000}"/>
    <cellStyle name="Comma 4 3 4 3 2 2" xfId="9335" xr:uid="{00000000-0005-0000-0000-0000F7040000}"/>
    <cellStyle name="Comma 4 3 4 4" xfId="815" xr:uid="{00000000-0005-0000-0000-0000F8040000}"/>
    <cellStyle name="Comma 4 3 4 4 2" xfId="816" xr:uid="{00000000-0005-0000-0000-0000F9040000}"/>
    <cellStyle name="Comma 4 3 4 4 2 2" xfId="9337" xr:uid="{00000000-0005-0000-0000-0000FA040000}"/>
    <cellStyle name="Comma 4 3 4 4 3" xfId="9336" xr:uid="{00000000-0005-0000-0000-0000FB040000}"/>
    <cellStyle name="Comma 4 3 4 5" xfId="817" xr:uid="{00000000-0005-0000-0000-0000FC040000}"/>
    <cellStyle name="Comma 4 3 4 5 2" xfId="9338" xr:uid="{00000000-0005-0000-0000-0000FD040000}"/>
    <cellStyle name="Comma 4 3 5" xfId="818" xr:uid="{00000000-0005-0000-0000-0000FE040000}"/>
    <cellStyle name="Comma 4 3 5 2" xfId="819" xr:uid="{00000000-0005-0000-0000-0000FF040000}"/>
    <cellStyle name="Comma 4 3 5 2 2" xfId="820" xr:uid="{00000000-0005-0000-0000-000000050000}"/>
    <cellStyle name="Comma 4 3 5 2 2 2" xfId="9339" xr:uid="{00000000-0005-0000-0000-000001050000}"/>
    <cellStyle name="Comma 4 3 5 3" xfId="821" xr:uid="{00000000-0005-0000-0000-000002050000}"/>
    <cellStyle name="Comma 4 3 5 3 2" xfId="822" xr:uid="{00000000-0005-0000-0000-000003050000}"/>
    <cellStyle name="Comma 4 3 5 3 2 2" xfId="9340" xr:uid="{00000000-0005-0000-0000-000004050000}"/>
    <cellStyle name="Comma 4 3 5 4" xfId="823" xr:uid="{00000000-0005-0000-0000-000005050000}"/>
    <cellStyle name="Comma 4 3 5 4 2" xfId="9341" xr:uid="{00000000-0005-0000-0000-000006050000}"/>
    <cellStyle name="Comma 4 3 6" xfId="824" xr:uid="{00000000-0005-0000-0000-000007050000}"/>
    <cellStyle name="Comma 4 3 6 2" xfId="825" xr:uid="{00000000-0005-0000-0000-000008050000}"/>
    <cellStyle name="Comma 4 3 6 2 2" xfId="9342" xr:uid="{00000000-0005-0000-0000-000009050000}"/>
    <cellStyle name="Comma 4 3 7" xfId="826" xr:uid="{00000000-0005-0000-0000-00000A050000}"/>
    <cellStyle name="Comma 4 3 7 2" xfId="827" xr:uid="{00000000-0005-0000-0000-00000B050000}"/>
    <cellStyle name="Comma 4 3 7 2 2" xfId="9343" xr:uid="{00000000-0005-0000-0000-00000C050000}"/>
    <cellStyle name="Comma 4 3 8" xfId="828" xr:uid="{00000000-0005-0000-0000-00000D050000}"/>
    <cellStyle name="Comma 4 3 9" xfId="829" xr:uid="{00000000-0005-0000-0000-00000E050000}"/>
    <cellStyle name="Comma 4 4" xfId="830" xr:uid="{00000000-0005-0000-0000-00000F050000}"/>
    <cellStyle name="Comma 4 4 10" xfId="831" xr:uid="{00000000-0005-0000-0000-000010050000}"/>
    <cellStyle name="Comma 4 4 10 2" xfId="9344" xr:uid="{00000000-0005-0000-0000-000011050000}"/>
    <cellStyle name="Comma 4 4 2" xfId="832" xr:uid="{00000000-0005-0000-0000-000012050000}"/>
    <cellStyle name="Comma 4 4 2 2" xfId="833" xr:uid="{00000000-0005-0000-0000-000013050000}"/>
    <cellStyle name="Comma 4 4 2 2 2" xfId="834" xr:uid="{00000000-0005-0000-0000-000014050000}"/>
    <cellStyle name="Comma 4 4 2 2 2 2" xfId="835" xr:uid="{00000000-0005-0000-0000-000015050000}"/>
    <cellStyle name="Comma 4 4 2 2 2 2 2" xfId="836" xr:uid="{00000000-0005-0000-0000-000016050000}"/>
    <cellStyle name="Comma 4 4 2 2 2 2 2 2" xfId="9346" xr:uid="{00000000-0005-0000-0000-000017050000}"/>
    <cellStyle name="Comma 4 4 2 2 2 2 3" xfId="9345" xr:uid="{00000000-0005-0000-0000-000018050000}"/>
    <cellStyle name="Comma 4 4 2 2 2 3" xfId="837" xr:uid="{00000000-0005-0000-0000-000019050000}"/>
    <cellStyle name="Comma 4 4 2 2 2 3 2" xfId="838" xr:uid="{00000000-0005-0000-0000-00001A050000}"/>
    <cellStyle name="Comma 4 4 2 2 2 3 2 2" xfId="9348" xr:uid="{00000000-0005-0000-0000-00001B050000}"/>
    <cellStyle name="Comma 4 4 2 2 2 3 3" xfId="9347" xr:uid="{00000000-0005-0000-0000-00001C050000}"/>
    <cellStyle name="Comma 4 4 2 2 2 4" xfId="839" xr:uid="{00000000-0005-0000-0000-00001D050000}"/>
    <cellStyle name="Comma 4 4 2 2 2 4 2" xfId="9349" xr:uid="{00000000-0005-0000-0000-00001E050000}"/>
    <cellStyle name="Comma 4 4 2 2 3" xfId="840" xr:uid="{00000000-0005-0000-0000-00001F050000}"/>
    <cellStyle name="Comma 4 4 2 2 3 2" xfId="841" xr:uid="{00000000-0005-0000-0000-000020050000}"/>
    <cellStyle name="Comma 4 4 2 2 3 2 2" xfId="9350" xr:uid="{00000000-0005-0000-0000-000021050000}"/>
    <cellStyle name="Comma 4 4 2 2 4" xfId="842" xr:uid="{00000000-0005-0000-0000-000022050000}"/>
    <cellStyle name="Comma 4 4 2 2 4 2" xfId="843" xr:uid="{00000000-0005-0000-0000-000023050000}"/>
    <cellStyle name="Comma 4 4 2 2 4 2 2" xfId="9352" xr:uid="{00000000-0005-0000-0000-000024050000}"/>
    <cellStyle name="Comma 4 4 2 2 4 3" xfId="9351" xr:uid="{00000000-0005-0000-0000-000025050000}"/>
    <cellStyle name="Comma 4 4 2 2 5" xfId="844" xr:uid="{00000000-0005-0000-0000-000026050000}"/>
    <cellStyle name="Comma 4 4 2 2 5 2" xfId="9353" xr:uid="{00000000-0005-0000-0000-000027050000}"/>
    <cellStyle name="Comma 4 4 2 3" xfId="845" xr:uid="{00000000-0005-0000-0000-000028050000}"/>
    <cellStyle name="Comma 4 4 2 3 2" xfId="846" xr:uid="{00000000-0005-0000-0000-000029050000}"/>
    <cellStyle name="Comma 4 4 2 3 2 2" xfId="847" xr:uid="{00000000-0005-0000-0000-00002A050000}"/>
    <cellStyle name="Comma 4 4 2 3 2 2 2" xfId="9354" xr:uid="{00000000-0005-0000-0000-00002B050000}"/>
    <cellStyle name="Comma 4 4 2 3 3" xfId="848" xr:uid="{00000000-0005-0000-0000-00002C050000}"/>
    <cellStyle name="Comma 4 4 2 3 3 2" xfId="849" xr:uid="{00000000-0005-0000-0000-00002D050000}"/>
    <cellStyle name="Comma 4 4 2 3 3 2 2" xfId="9355" xr:uid="{00000000-0005-0000-0000-00002E050000}"/>
    <cellStyle name="Comma 4 4 2 3 4" xfId="850" xr:uid="{00000000-0005-0000-0000-00002F050000}"/>
    <cellStyle name="Comma 4 4 2 3 4 2" xfId="9356" xr:uid="{00000000-0005-0000-0000-000030050000}"/>
    <cellStyle name="Comma 4 4 2 4" xfId="851" xr:uid="{00000000-0005-0000-0000-000031050000}"/>
    <cellStyle name="Comma 4 4 2 4 2" xfId="852" xr:uid="{00000000-0005-0000-0000-000032050000}"/>
    <cellStyle name="Comma 4 4 2 4 2 2" xfId="9357" xr:uid="{00000000-0005-0000-0000-000033050000}"/>
    <cellStyle name="Comma 4 4 2 5" xfId="853" xr:uid="{00000000-0005-0000-0000-000034050000}"/>
    <cellStyle name="Comma 4 4 2 5 2" xfId="854" xr:uid="{00000000-0005-0000-0000-000035050000}"/>
    <cellStyle name="Comma 4 4 2 5 2 2" xfId="9358" xr:uid="{00000000-0005-0000-0000-000036050000}"/>
    <cellStyle name="Comma 4 4 2 6" xfId="855" xr:uid="{00000000-0005-0000-0000-000037050000}"/>
    <cellStyle name="Comma 4 4 2 6 2" xfId="9359" xr:uid="{00000000-0005-0000-0000-000038050000}"/>
    <cellStyle name="Comma 4 4 3" xfId="856" xr:uid="{00000000-0005-0000-0000-000039050000}"/>
    <cellStyle name="Comma 4 4 3 2" xfId="857" xr:uid="{00000000-0005-0000-0000-00003A050000}"/>
    <cellStyle name="Comma 4 4 3 2 2" xfId="858" xr:uid="{00000000-0005-0000-0000-00003B050000}"/>
    <cellStyle name="Comma 4 4 3 2 2 2" xfId="859" xr:uid="{00000000-0005-0000-0000-00003C050000}"/>
    <cellStyle name="Comma 4 4 3 2 2 2 2" xfId="9362" xr:uid="{00000000-0005-0000-0000-00003D050000}"/>
    <cellStyle name="Comma 4 4 3 2 2 3" xfId="9361" xr:uid="{00000000-0005-0000-0000-00003E050000}"/>
    <cellStyle name="Comma 4 4 3 2 3" xfId="860" xr:uid="{00000000-0005-0000-0000-00003F050000}"/>
    <cellStyle name="Comma 4 4 3 2 3 2" xfId="861" xr:uid="{00000000-0005-0000-0000-000040050000}"/>
    <cellStyle name="Comma 4 4 3 2 3 2 2" xfId="9364" xr:uid="{00000000-0005-0000-0000-000041050000}"/>
    <cellStyle name="Comma 4 4 3 2 3 3" xfId="9363" xr:uid="{00000000-0005-0000-0000-000042050000}"/>
    <cellStyle name="Comma 4 4 3 2 4" xfId="862" xr:uid="{00000000-0005-0000-0000-000043050000}"/>
    <cellStyle name="Comma 4 4 3 2 4 2" xfId="9365" xr:uid="{00000000-0005-0000-0000-000044050000}"/>
    <cellStyle name="Comma 4 4 3 2 5" xfId="9360" xr:uid="{00000000-0005-0000-0000-000045050000}"/>
    <cellStyle name="Comma 4 4 3 3" xfId="863" xr:uid="{00000000-0005-0000-0000-000046050000}"/>
    <cellStyle name="Comma 4 4 3 3 2" xfId="864" xr:uid="{00000000-0005-0000-0000-000047050000}"/>
    <cellStyle name="Comma 4 4 3 3 2 2" xfId="9366" xr:uid="{00000000-0005-0000-0000-000048050000}"/>
    <cellStyle name="Comma 4 4 3 4" xfId="865" xr:uid="{00000000-0005-0000-0000-000049050000}"/>
    <cellStyle name="Comma 4 4 3 4 2" xfId="866" xr:uid="{00000000-0005-0000-0000-00004A050000}"/>
    <cellStyle name="Comma 4 4 3 4 2 2" xfId="9368" xr:uid="{00000000-0005-0000-0000-00004B050000}"/>
    <cellStyle name="Comma 4 4 3 4 3" xfId="9367" xr:uid="{00000000-0005-0000-0000-00004C050000}"/>
    <cellStyle name="Comma 4 4 3 5" xfId="867" xr:uid="{00000000-0005-0000-0000-00004D050000}"/>
    <cellStyle name="Comma 4 4 3 5 2" xfId="9369" xr:uid="{00000000-0005-0000-0000-00004E050000}"/>
    <cellStyle name="Comma 4 4 4" xfId="868" xr:uid="{00000000-0005-0000-0000-00004F050000}"/>
    <cellStyle name="Comma 4 4 4 2" xfId="869" xr:uid="{00000000-0005-0000-0000-000050050000}"/>
    <cellStyle name="Comma 4 4 4 2 2" xfId="870" xr:uid="{00000000-0005-0000-0000-000051050000}"/>
    <cellStyle name="Comma 4 4 4 2 2 2" xfId="9371" xr:uid="{00000000-0005-0000-0000-000052050000}"/>
    <cellStyle name="Comma 4 4 4 2 3" xfId="9370" xr:uid="{00000000-0005-0000-0000-000053050000}"/>
    <cellStyle name="Comma 4 4 4 3" xfId="871" xr:uid="{00000000-0005-0000-0000-000054050000}"/>
    <cellStyle name="Comma 4 4 4 3 2" xfId="872" xr:uid="{00000000-0005-0000-0000-000055050000}"/>
    <cellStyle name="Comma 4 4 4 3 2 2" xfId="9372" xr:uid="{00000000-0005-0000-0000-000056050000}"/>
    <cellStyle name="Comma 4 4 4 4" xfId="873" xr:uid="{00000000-0005-0000-0000-000057050000}"/>
    <cellStyle name="Comma 4 4 4 4 2" xfId="9373" xr:uid="{00000000-0005-0000-0000-000058050000}"/>
    <cellStyle name="Comma 4 4 5" xfId="874" xr:uid="{00000000-0005-0000-0000-000059050000}"/>
    <cellStyle name="Comma 4 4 5 2" xfId="875" xr:uid="{00000000-0005-0000-0000-00005A050000}"/>
    <cellStyle name="Comma 4 4 5 3" xfId="876" xr:uid="{00000000-0005-0000-0000-00005B050000}"/>
    <cellStyle name="Comma 4 4 6" xfId="877" xr:uid="{00000000-0005-0000-0000-00005C050000}"/>
    <cellStyle name="Comma 4 4 6 2" xfId="878" xr:uid="{00000000-0005-0000-0000-00005D050000}"/>
    <cellStyle name="Comma 4 4 6 2 2" xfId="9374" xr:uid="{00000000-0005-0000-0000-00005E050000}"/>
    <cellStyle name="Comma 4 4 7" xfId="879" xr:uid="{00000000-0005-0000-0000-00005F050000}"/>
    <cellStyle name="Comma 4 4 8" xfId="880" xr:uid="{00000000-0005-0000-0000-000060050000}"/>
    <cellStyle name="Comma 4 4 9" xfId="881" xr:uid="{00000000-0005-0000-0000-000061050000}"/>
    <cellStyle name="Comma 4 5" xfId="882" xr:uid="{00000000-0005-0000-0000-000062050000}"/>
    <cellStyle name="Comma 4 5 2" xfId="883" xr:uid="{00000000-0005-0000-0000-000063050000}"/>
    <cellStyle name="Comma 4 5 2 2" xfId="884" xr:uid="{00000000-0005-0000-0000-000064050000}"/>
    <cellStyle name="Comma 4 5 2 2 2" xfId="885" xr:uid="{00000000-0005-0000-0000-000065050000}"/>
    <cellStyle name="Comma 4 5 2 2 2 2" xfId="886" xr:uid="{00000000-0005-0000-0000-000066050000}"/>
    <cellStyle name="Comma 4 5 2 2 2 2 2" xfId="9379" xr:uid="{00000000-0005-0000-0000-000067050000}"/>
    <cellStyle name="Comma 4 5 2 2 2 3" xfId="9378" xr:uid="{00000000-0005-0000-0000-000068050000}"/>
    <cellStyle name="Comma 4 5 2 2 3" xfId="887" xr:uid="{00000000-0005-0000-0000-000069050000}"/>
    <cellStyle name="Comma 4 5 2 2 3 2" xfId="888" xr:uid="{00000000-0005-0000-0000-00006A050000}"/>
    <cellStyle name="Comma 4 5 2 2 3 2 2" xfId="9381" xr:uid="{00000000-0005-0000-0000-00006B050000}"/>
    <cellStyle name="Comma 4 5 2 2 3 3" xfId="9380" xr:uid="{00000000-0005-0000-0000-00006C050000}"/>
    <cellStyle name="Comma 4 5 2 2 4" xfId="889" xr:uid="{00000000-0005-0000-0000-00006D050000}"/>
    <cellStyle name="Comma 4 5 2 2 4 2" xfId="9382" xr:uid="{00000000-0005-0000-0000-00006E050000}"/>
    <cellStyle name="Comma 4 5 2 2 5" xfId="9377" xr:uid="{00000000-0005-0000-0000-00006F050000}"/>
    <cellStyle name="Comma 4 5 2 3" xfId="890" xr:uid="{00000000-0005-0000-0000-000070050000}"/>
    <cellStyle name="Comma 4 5 2 3 2" xfId="891" xr:uid="{00000000-0005-0000-0000-000071050000}"/>
    <cellStyle name="Comma 4 5 2 3 2 2" xfId="9384" xr:uid="{00000000-0005-0000-0000-000072050000}"/>
    <cellStyle name="Comma 4 5 2 3 3" xfId="9383" xr:uid="{00000000-0005-0000-0000-000073050000}"/>
    <cellStyle name="Comma 4 5 2 4" xfId="892" xr:uid="{00000000-0005-0000-0000-000074050000}"/>
    <cellStyle name="Comma 4 5 2 4 2" xfId="893" xr:uid="{00000000-0005-0000-0000-000075050000}"/>
    <cellStyle name="Comma 4 5 2 4 2 2" xfId="9386" xr:uid="{00000000-0005-0000-0000-000076050000}"/>
    <cellStyle name="Comma 4 5 2 4 3" xfId="9385" xr:uid="{00000000-0005-0000-0000-000077050000}"/>
    <cellStyle name="Comma 4 5 2 5" xfId="894" xr:uid="{00000000-0005-0000-0000-000078050000}"/>
    <cellStyle name="Comma 4 5 2 5 2" xfId="9387" xr:uid="{00000000-0005-0000-0000-000079050000}"/>
    <cellStyle name="Comma 4 5 2 6" xfId="9376" xr:uid="{00000000-0005-0000-0000-00007A050000}"/>
    <cellStyle name="Comma 4 5 3" xfId="895" xr:uid="{00000000-0005-0000-0000-00007B050000}"/>
    <cellStyle name="Comma 4 5 3 2" xfId="896" xr:uid="{00000000-0005-0000-0000-00007C050000}"/>
    <cellStyle name="Comma 4 5 3 2 2" xfId="897" xr:uid="{00000000-0005-0000-0000-00007D050000}"/>
    <cellStyle name="Comma 4 5 3 2 2 2" xfId="9389" xr:uid="{00000000-0005-0000-0000-00007E050000}"/>
    <cellStyle name="Comma 4 5 3 2 3" xfId="9388" xr:uid="{00000000-0005-0000-0000-00007F050000}"/>
    <cellStyle name="Comma 4 5 3 3" xfId="898" xr:uid="{00000000-0005-0000-0000-000080050000}"/>
    <cellStyle name="Comma 4 5 3 3 2" xfId="899" xr:uid="{00000000-0005-0000-0000-000081050000}"/>
    <cellStyle name="Comma 4 5 3 3 2 2" xfId="9391" xr:uid="{00000000-0005-0000-0000-000082050000}"/>
    <cellStyle name="Comma 4 5 3 3 3" xfId="9390" xr:uid="{00000000-0005-0000-0000-000083050000}"/>
    <cellStyle name="Comma 4 5 3 4" xfId="900" xr:uid="{00000000-0005-0000-0000-000084050000}"/>
    <cellStyle name="Comma 4 5 3 4 2" xfId="9392" xr:uid="{00000000-0005-0000-0000-000085050000}"/>
    <cellStyle name="Comma 4 5 4" xfId="901" xr:uid="{00000000-0005-0000-0000-000086050000}"/>
    <cellStyle name="Comma 4 5 4 2" xfId="902" xr:uid="{00000000-0005-0000-0000-000087050000}"/>
    <cellStyle name="Comma 4 5 4 2 2" xfId="9394" xr:uid="{00000000-0005-0000-0000-000088050000}"/>
    <cellStyle name="Comma 4 5 4 3" xfId="9393" xr:uid="{00000000-0005-0000-0000-000089050000}"/>
    <cellStyle name="Comma 4 5 5" xfId="903" xr:uid="{00000000-0005-0000-0000-00008A050000}"/>
    <cellStyle name="Comma 4 5 5 2" xfId="904" xr:uid="{00000000-0005-0000-0000-00008B050000}"/>
    <cellStyle name="Comma 4 5 5 2 2" xfId="9396" xr:uid="{00000000-0005-0000-0000-00008C050000}"/>
    <cellStyle name="Comma 4 5 5 3" xfId="9395" xr:uid="{00000000-0005-0000-0000-00008D050000}"/>
    <cellStyle name="Comma 4 5 6" xfId="905" xr:uid="{00000000-0005-0000-0000-00008E050000}"/>
    <cellStyle name="Comma 4 5 6 2" xfId="9397" xr:uid="{00000000-0005-0000-0000-00008F050000}"/>
    <cellStyle name="Comma 4 5 7" xfId="9375" xr:uid="{00000000-0005-0000-0000-000090050000}"/>
    <cellStyle name="Comma 4 6" xfId="906" xr:uid="{00000000-0005-0000-0000-000091050000}"/>
    <cellStyle name="Comma 4 6 2" xfId="907" xr:uid="{00000000-0005-0000-0000-000092050000}"/>
    <cellStyle name="Comma 4 6 2 2" xfId="908" xr:uid="{00000000-0005-0000-0000-000093050000}"/>
    <cellStyle name="Comma 4 6 2 2 2" xfId="909" xr:uid="{00000000-0005-0000-0000-000094050000}"/>
    <cellStyle name="Comma 4 6 2 2 2 2" xfId="9400" xr:uid="{00000000-0005-0000-0000-000095050000}"/>
    <cellStyle name="Comma 4 6 2 2 3" xfId="9399" xr:uid="{00000000-0005-0000-0000-000096050000}"/>
    <cellStyle name="Comma 4 6 2 3" xfId="910" xr:uid="{00000000-0005-0000-0000-000097050000}"/>
    <cellStyle name="Comma 4 6 2 3 2" xfId="911" xr:uid="{00000000-0005-0000-0000-000098050000}"/>
    <cellStyle name="Comma 4 6 2 3 2 2" xfId="9402" xr:uid="{00000000-0005-0000-0000-000099050000}"/>
    <cellStyle name="Comma 4 6 2 3 3" xfId="9401" xr:uid="{00000000-0005-0000-0000-00009A050000}"/>
    <cellStyle name="Comma 4 6 2 4" xfId="912" xr:uid="{00000000-0005-0000-0000-00009B050000}"/>
    <cellStyle name="Comma 4 6 2 4 2" xfId="9403" xr:uid="{00000000-0005-0000-0000-00009C050000}"/>
    <cellStyle name="Comma 4 6 2 5" xfId="9398" xr:uid="{00000000-0005-0000-0000-00009D050000}"/>
    <cellStyle name="Comma 4 6 3" xfId="913" xr:uid="{00000000-0005-0000-0000-00009E050000}"/>
    <cellStyle name="Comma 4 6 3 2" xfId="914" xr:uid="{00000000-0005-0000-0000-00009F050000}"/>
    <cellStyle name="Comma 4 6 3 2 2" xfId="9404" xr:uid="{00000000-0005-0000-0000-0000A0050000}"/>
    <cellStyle name="Comma 4 6 4" xfId="915" xr:uid="{00000000-0005-0000-0000-0000A1050000}"/>
    <cellStyle name="Comma 4 6 4 2" xfId="916" xr:uid="{00000000-0005-0000-0000-0000A2050000}"/>
    <cellStyle name="Comma 4 6 4 2 2" xfId="9405" xr:uid="{00000000-0005-0000-0000-0000A3050000}"/>
    <cellStyle name="Comma 4 6 5" xfId="917" xr:uid="{00000000-0005-0000-0000-0000A4050000}"/>
    <cellStyle name="Comma 4 6 5 2" xfId="9406" xr:uid="{00000000-0005-0000-0000-0000A5050000}"/>
    <cellStyle name="Comma 4 6 6" xfId="918" xr:uid="{00000000-0005-0000-0000-0000A6050000}"/>
    <cellStyle name="Comma 4 6 6 2" xfId="9407" xr:uid="{00000000-0005-0000-0000-0000A7050000}"/>
    <cellStyle name="Comma 4 7" xfId="919" xr:uid="{00000000-0005-0000-0000-0000A8050000}"/>
    <cellStyle name="Comma 4 7 2" xfId="920" xr:uid="{00000000-0005-0000-0000-0000A9050000}"/>
    <cellStyle name="Comma 4 7 2 2" xfId="921" xr:uid="{00000000-0005-0000-0000-0000AA050000}"/>
    <cellStyle name="Comma 4 7 2 2 2" xfId="9410" xr:uid="{00000000-0005-0000-0000-0000AB050000}"/>
    <cellStyle name="Comma 4 7 2 3" xfId="9409" xr:uid="{00000000-0005-0000-0000-0000AC050000}"/>
    <cellStyle name="Comma 4 7 3" xfId="922" xr:uid="{00000000-0005-0000-0000-0000AD050000}"/>
    <cellStyle name="Comma 4 7 3 2" xfId="923" xr:uid="{00000000-0005-0000-0000-0000AE050000}"/>
    <cellStyle name="Comma 4 7 3 2 2" xfId="9412" xr:uid="{00000000-0005-0000-0000-0000AF050000}"/>
    <cellStyle name="Comma 4 7 3 3" xfId="9411" xr:uid="{00000000-0005-0000-0000-0000B0050000}"/>
    <cellStyle name="Comma 4 7 4" xfId="924" xr:uid="{00000000-0005-0000-0000-0000B1050000}"/>
    <cellStyle name="Comma 4 7 4 2" xfId="9413" xr:uid="{00000000-0005-0000-0000-0000B2050000}"/>
    <cellStyle name="Comma 4 7 5" xfId="9408" xr:uid="{00000000-0005-0000-0000-0000B3050000}"/>
    <cellStyle name="Comma 4 8" xfId="925" xr:uid="{00000000-0005-0000-0000-0000B4050000}"/>
    <cellStyle name="Comma 4 8 2" xfId="926" xr:uid="{00000000-0005-0000-0000-0000B5050000}"/>
    <cellStyle name="Comma 4 8 2 2" xfId="9414" xr:uid="{00000000-0005-0000-0000-0000B6050000}"/>
    <cellStyle name="Comma 4 9" xfId="927" xr:uid="{00000000-0005-0000-0000-0000B7050000}"/>
    <cellStyle name="Comma 4 9 2" xfId="928" xr:uid="{00000000-0005-0000-0000-0000B8050000}"/>
    <cellStyle name="Comma 4 9 2 2" xfId="9415" xr:uid="{00000000-0005-0000-0000-0000B9050000}"/>
    <cellStyle name="Comma 5" xfId="929" xr:uid="{00000000-0005-0000-0000-0000BA050000}"/>
    <cellStyle name="Comma 5 10" xfId="930" xr:uid="{00000000-0005-0000-0000-0000BB050000}"/>
    <cellStyle name="Comma 5 10 2" xfId="9416" xr:uid="{00000000-0005-0000-0000-0000BC050000}"/>
    <cellStyle name="Comma 5 2" xfId="931" xr:uid="{00000000-0005-0000-0000-0000BD050000}"/>
    <cellStyle name="Comma 5 2 10" xfId="9417" xr:uid="{00000000-0005-0000-0000-0000BE050000}"/>
    <cellStyle name="Comma 5 2 2" xfId="932" xr:uid="{00000000-0005-0000-0000-0000BF050000}"/>
    <cellStyle name="Comma 5 2 2 2" xfId="933" xr:uid="{00000000-0005-0000-0000-0000C0050000}"/>
    <cellStyle name="Comma 5 2 2 2 2" xfId="934" xr:uid="{00000000-0005-0000-0000-0000C1050000}"/>
    <cellStyle name="Comma 5 2 2 2 2 2" xfId="935" xr:uid="{00000000-0005-0000-0000-0000C2050000}"/>
    <cellStyle name="Comma 5 2 2 2 2 2 2" xfId="936" xr:uid="{00000000-0005-0000-0000-0000C3050000}"/>
    <cellStyle name="Comma 5 2 2 2 2 2 2 2" xfId="937" xr:uid="{00000000-0005-0000-0000-0000C4050000}"/>
    <cellStyle name="Comma 5 2 2 2 2 2 2 2 2" xfId="9423" xr:uid="{00000000-0005-0000-0000-0000C5050000}"/>
    <cellStyle name="Comma 5 2 2 2 2 2 2 3" xfId="9422" xr:uid="{00000000-0005-0000-0000-0000C6050000}"/>
    <cellStyle name="Comma 5 2 2 2 2 2 3" xfId="938" xr:uid="{00000000-0005-0000-0000-0000C7050000}"/>
    <cellStyle name="Comma 5 2 2 2 2 2 3 2" xfId="939" xr:uid="{00000000-0005-0000-0000-0000C8050000}"/>
    <cellStyle name="Comma 5 2 2 2 2 2 3 2 2" xfId="9425" xr:uid="{00000000-0005-0000-0000-0000C9050000}"/>
    <cellStyle name="Comma 5 2 2 2 2 2 3 3" xfId="9424" xr:uid="{00000000-0005-0000-0000-0000CA050000}"/>
    <cellStyle name="Comma 5 2 2 2 2 2 4" xfId="940" xr:uid="{00000000-0005-0000-0000-0000CB050000}"/>
    <cellStyle name="Comma 5 2 2 2 2 2 4 2" xfId="9426" xr:uid="{00000000-0005-0000-0000-0000CC050000}"/>
    <cellStyle name="Comma 5 2 2 2 2 2 5" xfId="9421" xr:uid="{00000000-0005-0000-0000-0000CD050000}"/>
    <cellStyle name="Comma 5 2 2 2 2 3" xfId="941" xr:uid="{00000000-0005-0000-0000-0000CE050000}"/>
    <cellStyle name="Comma 5 2 2 2 2 3 2" xfId="942" xr:uid="{00000000-0005-0000-0000-0000CF050000}"/>
    <cellStyle name="Comma 5 2 2 2 2 3 2 2" xfId="9428" xr:uid="{00000000-0005-0000-0000-0000D0050000}"/>
    <cellStyle name="Comma 5 2 2 2 2 3 3" xfId="9427" xr:uid="{00000000-0005-0000-0000-0000D1050000}"/>
    <cellStyle name="Comma 5 2 2 2 2 4" xfId="943" xr:uid="{00000000-0005-0000-0000-0000D2050000}"/>
    <cellStyle name="Comma 5 2 2 2 2 4 2" xfId="944" xr:uid="{00000000-0005-0000-0000-0000D3050000}"/>
    <cellStyle name="Comma 5 2 2 2 2 4 2 2" xfId="9430" xr:uid="{00000000-0005-0000-0000-0000D4050000}"/>
    <cellStyle name="Comma 5 2 2 2 2 4 3" xfId="9429" xr:uid="{00000000-0005-0000-0000-0000D5050000}"/>
    <cellStyle name="Comma 5 2 2 2 2 5" xfId="945" xr:uid="{00000000-0005-0000-0000-0000D6050000}"/>
    <cellStyle name="Comma 5 2 2 2 2 5 2" xfId="9431" xr:uid="{00000000-0005-0000-0000-0000D7050000}"/>
    <cellStyle name="Comma 5 2 2 2 2 6" xfId="9420" xr:uid="{00000000-0005-0000-0000-0000D8050000}"/>
    <cellStyle name="Comma 5 2 2 2 3" xfId="946" xr:uid="{00000000-0005-0000-0000-0000D9050000}"/>
    <cellStyle name="Comma 5 2 2 2 3 2" xfId="947" xr:uid="{00000000-0005-0000-0000-0000DA050000}"/>
    <cellStyle name="Comma 5 2 2 2 3 2 2" xfId="948" xr:uid="{00000000-0005-0000-0000-0000DB050000}"/>
    <cellStyle name="Comma 5 2 2 2 3 2 2 2" xfId="9434" xr:uid="{00000000-0005-0000-0000-0000DC050000}"/>
    <cellStyle name="Comma 5 2 2 2 3 2 3" xfId="9433" xr:uid="{00000000-0005-0000-0000-0000DD050000}"/>
    <cellStyle name="Comma 5 2 2 2 3 3" xfId="949" xr:uid="{00000000-0005-0000-0000-0000DE050000}"/>
    <cellStyle name="Comma 5 2 2 2 3 3 2" xfId="950" xr:uid="{00000000-0005-0000-0000-0000DF050000}"/>
    <cellStyle name="Comma 5 2 2 2 3 3 2 2" xfId="9436" xr:uid="{00000000-0005-0000-0000-0000E0050000}"/>
    <cellStyle name="Comma 5 2 2 2 3 3 3" xfId="9435" xr:uid="{00000000-0005-0000-0000-0000E1050000}"/>
    <cellStyle name="Comma 5 2 2 2 3 4" xfId="951" xr:uid="{00000000-0005-0000-0000-0000E2050000}"/>
    <cellStyle name="Comma 5 2 2 2 3 4 2" xfId="9437" xr:uid="{00000000-0005-0000-0000-0000E3050000}"/>
    <cellStyle name="Comma 5 2 2 2 3 5" xfId="9432" xr:uid="{00000000-0005-0000-0000-0000E4050000}"/>
    <cellStyle name="Comma 5 2 2 2 4" xfId="952" xr:uid="{00000000-0005-0000-0000-0000E5050000}"/>
    <cellStyle name="Comma 5 2 2 2 4 2" xfId="953" xr:uid="{00000000-0005-0000-0000-0000E6050000}"/>
    <cellStyle name="Comma 5 2 2 2 4 2 2" xfId="9439" xr:uid="{00000000-0005-0000-0000-0000E7050000}"/>
    <cellStyle name="Comma 5 2 2 2 4 3" xfId="9438" xr:uid="{00000000-0005-0000-0000-0000E8050000}"/>
    <cellStyle name="Comma 5 2 2 2 5" xfId="954" xr:uid="{00000000-0005-0000-0000-0000E9050000}"/>
    <cellStyle name="Comma 5 2 2 2 5 2" xfId="955" xr:uid="{00000000-0005-0000-0000-0000EA050000}"/>
    <cellStyle name="Comma 5 2 2 2 5 2 2" xfId="9441" xr:uid="{00000000-0005-0000-0000-0000EB050000}"/>
    <cellStyle name="Comma 5 2 2 2 5 3" xfId="9440" xr:uid="{00000000-0005-0000-0000-0000EC050000}"/>
    <cellStyle name="Comma 5 2 2 2 6" xfId="956" xr:uid="{00000000-0005-0000-0000-0000ED050000}"/>
    <cellStyle name="Comma 5 2 2 2 6 2" xfId="9442" xr:uid="{00000000-0005-0000-0000-0000EE050000}"/>
    <cellStyle name="Comma 5 2 2 2 7" xfId="9419" xr:uid="{00000000-0005-0000-0000-0000EF050000}"/>
    <cellStyle name="Comma 5 2 2 3" xfId="957" xr:uid="{00000000-0005-0000-0000-0000F0050000}"/>
    <cellStyle name="Comma 5 2 2 3 2" xfId="958" xr:uid="{00000000-0005-0000-0000-0000F1050000}"/>
    <cellStyle name="Comma 5 2 2 3 2 2" xfId="959" xr:uid="{00000000-0005-0000-0000-0000F2050000}"/>
    <cellStyle name="Comma 5 2 2 3 2 2 2" xfId="960" xr:uid="{00000000-0005-0000-0000-0000F3050000}"/>
    <cellStyle name="Comma 5 2 2 3 2 2 2 2" xfId="9446" xr:uid="{00000000-0005-0000-0000-0000F4050000}"/>
    <cellStyle name="Comma 5 2 2 3 2 2 3" xfId="9445" xr:uid="{00000000-0005-0000-0000-0000F5050000}"/>
    <cellStyle name="Comma 5 2 2 3 2 3" xfId="961" xr:uid="{00000000-0005-0000-0000-0000F6050000}"/>
    <cellStyle name="Comma 5 2 2 3 2 3 2" xfId="962" xr:uid="{00000000-0005-0000-0000-0000F7050000}"/>
    <cellStyle name="Comma 5 2 2 3 2 3 2 2" xfId="9448" xr:uid="{00000000-0005-0000-0000-0000F8050000}"/>
    <cellStyle name="Comma 5 2 2 3 2 3 3" xfId="9447" xr:uid="{00000000-0005-0000-0000-0000F9050000}"/>
    <cellStyle name="Comma 5 2 2 3 2 4" xfId="963" xr:uid="{00000000-0005-0000-0000-0000FA050000}"/>
    <cellStyle name="Comma 5 2 2 3 2 4 2" xfId="9449" xr:uid="{00000000-0005-0000-0000-0000FB050000}"/>
    <cellStyle name="Comma 5 2 2 3 2 5" xfId="9444" xr:uid="{00000000-0005-0000-0000-0000FC050000}"/>
    <cellStyle name="Comma 5 2 2 3 3" xfId="964" xr:uid="{00000000-0005-0000-0000-0000FD050000}"/>
    <cellStyle name="Comma 5 2 2 3 3 2" xfId="965" xr:uid="{00000000-0005-0000-0000-0000FE050000}"/>
    <cellStyle name="Comma 5 2 2 3 3 2 2" xfId="9451" xr:uid="{00000000-0005-0000-0000-0000FF050000}"/>
    <cellStyle name="Comma 5 2 2 3 3 3" xfId="9450" xr:uid="{00000000-0005-0000-0000-000000060000}"/>
    <cellStyle name="Comma 5 2 2 3 4" xfId="966" xr:uid="{00000000-0005-0000-0000-000001060000}"/>
    <cellStyle name="Comma 5 2 2 3 4 2" xfId="967" xr:uid="{00000000-0005-0000-0000-000002060000}"/>
    <cellStyle name="Comma 5 2 2 3 4 2 2" xfId="9453" xr:uid="{00000000-0005-0000-0000-000003060000}"/>
    <cellStyle name="Comma 5 2 2 3 4 3" xfId="9452" xr:uid="{00000000-0005-0000-0000-000004060000}"/>
    <cellStyle name="Comma 5 2 2 3 5" xfId="968" xr:uid="{00000000-0005-0000-0000-000005060000}"/>
    <cellStyle name="Comma 5 2 2 3 5 2" xfId="9454" xr:uid="{00000000-0005-0000-0000-000006060000}"/>
    <cellStyle name="Comma 5 2 2 3 6" xfId="9443" xr:uid="{00000000-0005-0000-0000-000007060000}"/>
    <cellStyle name="Comma 5 2 2 4" xfId="969" xr:uid="{00000000-0005-0000-0000-000008060000}"/>
    <cellStyle name="Comma 5 2 2 4 2" xfId="970" xr:uid="{00000000-0005-0000-0000-000009060000}"/>
    <cellStyle name="Comma 5 2 2 4 2 2" xfId="971" xr:uid="{00000000-0005-0000-0000-00000A060000}"/>
    <cellStyle name="Comma 5 2 2 4 2 2 2" xfId="9457" xr:uid="{00000000-0005-0000-0000-00000B060000}"/>
    <cellStyle name="Comma 5 2 2 4 2 3" xfId="9456" xr:uid="{00000000-0005-0000-0000-00000C060000}"/>
    <cellStyle name="Comma 5 2 2 4 3" xfId="972" xr:uid="{00000000-0005-0000-0000-00000D060000}"/>
    <cellStyle name="Comma 5 2 2 4 3 2" xfId="973" xr:uid="{00000000-0005-0000-0000-00000E060000}"/>
    <cellStyle name="Comma 5 2 2 4 3 2 2" xfId="9459" xr:uid="{00000000-0005-0000-0000-00000F060000}"/>
    <cellStyle name="Comma 5 2 2 4 3 3" xfId="9458" xr:uid="{00000000-0005-0000-0000-000010060000}"/>
    <cellStyle name="Comma 5 2 2 4 4" xfId="974" xr:uid="{00000000-0005-0000-0000-000011060000}"/>
    <cellStyle name="Comma 5 2 2 4 4 2" xfId="9460" xr:uid="{00000000-0005-0000-0000-000012060000}"/>
    <cellStyle name="Comma 5 2 2 4 5" xfId="9455" xr:uid="{00000000-0005-0000-0000-000013060000}"/>
    <cellStyle name="Comma 5 2 2 5" xfId="975" xr:uid="{00000000-0005-0000-0000-000014060000}"/>
    <cellStyle name="Comma 5 2 2 5 2" xfId="976" xr:uid="{00000000-0005-0000-0000-000015060000}"/>
    <cellStyle name="Comma 5 2 2 5 2 2" xfId="9462" xr:uid="{00000000-0005-0000-0000-000016060000}"/>
    <cellStyle name="Comma 5 2 2 5 3" xfId="9461" xr:uid="{00000000-0005-0000-0000-000017060000}"/>
    <cellStyle name="Comma 5 2 2 6" xfId="977" xr:uid="{00000000-0005-0000-0000-000018060000}"/>
    <cellStyle name="Comma 5 2 2 6 2" xfId="978" xr:uid="{00000000-0005-0000-0000-000019060000}"/>
    <cellStyle name="Comma 5 2 2 6 2 2" xfId="9464" xr:uid="{00000000-0005-0000-0000-00001A060000}"/>
    <cellStyle name="Comma 5 2 2 6 3" xfId="9463" xr:uid="{00000000-0005-0000-0000-00001B060000}"/>
    <cellStyle name="Comma 5 2 2 7" xfId="979" xr:uid="{00000000-0005-0000-0000-00001C060000}"/>
    <cellStyle name="Comma 5 2 2 7 2" xfId="9465" xr:uid="{00000000-0005-0000-0000-00001D060000}"/>
    <cellStyle name="Comma 5 2 2 8" xfId="9418" xr:uid="{00000000-0005-0000-0000-00001E060000}"/>
    <cellStyle name="Comma 5 2 3" xfId="980" xr:uid="{00000000-0005-0000-0000-00001F060000}"/>
    <cellStyle name="Comma 5 2 3 2" xfId="981" xr:uid="{00000000-0005-0000-0000-000020060000}"/>
    <cellStyle name="Comma 5 2 3 2 2" xfId="982" xr:uid="{00000000-0005-0000-0000-000021060000}"/>
    <cellStyle name="Comma 5 2 3 2 2 2" xfId="983" xr:uid="{00000000-0005-0000-0000-000022060000}"/>
    <cellStyle name="Comma 5 2 3 2 2 2 2" xfId="984" xr:uid="{00000000-0005-0000-0000-000023060000}"/>
    <cellStyle name="Comma 5 2 3 2 2 2 2 2" xfId="9470" xr:uid="{00000000-0005-0000-0000-000024060000}"/>
    <cellStyle name="Comma 5 2 3 2 2 2 3" xfId="9469" xr:uid="{00000000-0005-0000-0000-000025060000}"/>
    <cellStyle name="Comma 5 2 3 2 2 3" xfId="985" xr:uid="{00000000-0005-0000-0000-000026060000}"/>
    <cellStyle name="Comma 5 2 3 2 2 3 2" xfId="986" xr:uid="{00000000-0005-0000-0000-000027060000}"/>
    <cellStyle name="Comma 5 2 3 2 2 3 2 2" xfId="9472" xr:uid="{00000000-0005-0000-0000-000028060000}"/>
    <cellStyle name="Comma 5 2 3 2 2 3 3" xfId="9471" xr:uid="{00000000-0005-0000-0000-000029060000}"/>
    <cellStyle name="Comma 5 2 3 2 2 4" xfId="987" xr:uid="{00000000-0005-0000-0000-00002A060000}"/>
    <cellStyle name="Comma 5 2 3 2 2 4 2" xfId="9473" xr:uid="{00000000-0005-0000-0000-00002B060000}"/>
    <cellStyle name="Comma 5 2 3 2 2 5" xfId="9468" xr:uid="{00000000-0005-0000-0000-00002C060000}"/>
    <cellStyle name="Comma 5 2 3 2 3" xfId="988" xr:uid="{00000000-0005-0000-0000-00002D060000}"/>
    <cellStyle name="Comma 5 2 3 2 3 2" xfId="989" xr:uid="{00000000-0005-0000-0000-00002E060000}"/>
    <cellStyle name="Comma 5 2 3 2 3 2 2" xfId="9475" xr:uid="{00000000-0005-0000-0000-00002F060000}"/>
    <cellStyle name="Comma 5 2 3 2 3 3" xfId="9474" xr:uid="{00000000-0005-0000-0000-000030060000}"/>
    <cellStyle name="Comma 5 2 3 2 4" xfId="990" xr:uid="{00000000-0005-0000-0000-000031060000}"/>
    <cellStyle name="Comma 5 2 3 2 4 2" xfId="991" xr:uid="{00000000-0005-0000-0000-000032060000}"/>
    <cellStyle name="Comma 5 2 3 2 4 2 2" xfId="9477" xr:uid="{00000000-0005-0000-0000-000033060000}"/>
    <cellStyle name="Comma 5 2 3 2 4 3" xfId="9476" xr:uid="{00000000-0005-0000-0000-000034060000}"/>
    <cellStyle name="Comma 5 2 3 2 5" xfId="992" xr:uid="{00000000-0005-0000-0000-000035060000}"/>
    <cellStyle name="Comma 5 2 3 2 5 2" xfId="9478" xr:uid="{00000000-0005-0000-0000-000036060000}"/>
    <cellStyle name="Comma 5 2 3 2 6" xfId="9467" xr:uid="{00000000-0005-0000-0000-000037060000}"/>
    <cellStyle name="Comma 5 2 3 3" xfId="993" xr:uid="{00000000-0005-0000-0000-000038060000}"/>
    <cellStyle name="Comma 5 2 3 3 2" xfId="994" xr:uid="{00000000-0005-0000-0000-000039060000}"/>
    <cellStyle name="Comma 5 2 3 3 2 2" xfId="995" xr:uid="{00000000-0005-0000-0000-00003A060000}"/>
    <cellStyle name="Comma 5 2 3 3 2 2 2" xfId="9481" xr:uid="{00000000-0005-0000-0000-00003B060000}"/>
    <cellStyle name="Comma 5 2 3 3 2 3" xfId="9480" xr:uid="{00000000-0005-0000-0000-00003C060000}"/>
    <cellStyle name="Comma 5 2 3 3 3" xfId="996" xr:uid="{00000000-0005-0000-0000-00003D060000}"/>
    <cellStyle name="Comma 5 2 3 3 3 2" xfId="997" xr:uid="{00000000-0005-0000-0000-00003E060000}"/>
    <cellStyle name="Comma 5 2 3 3 3 2 2" xfId="9483" xr:uid="{00000000-0005-0000-0000-00003F060000}"/>
    <cellStyle name="Comma 5 2 3 3 3 3" xfId="9482" xr:uid="{00000000-0005-0000-0000-000040060000}"/>
    <cellStyle name="Comma 5 2 3 3 4" xfId="998" xr:uid="{00000000-0005-0000-0000-000041060000}"/>
    <cellStyle name="Comma 5 2 3 3 4 2" xfId="9484" xr:uid="{00000000-0005-0000-0000-000042060000}"/>
    <cellStyle name="Comma 5 2 3 3 5" xfId="9479" xr:uid="{00000000-0005-0000-0000-000043060000}"/>
    <cellStyle name="Comma 5 2 3 4" xfId="999" xr:uid="{00000000-0005-0000-0000-000044060000}"/>
    <cellStyle name="Comma 5 2 3 4 2" xfId="1000" xr:uid="{00000000-0005-0000-0000-000045060000}"/>
    <cellStyle name="Comma 5 2 3 4 2 2" xfId="9486" xr:uid="{00000000-0005-0000-0000-000046060000}"/>
    <cellStyle name="Comma 5 2 3 4 3" xfId="9485" xr:uid="{00000000-0005-0000-0000-000047060000}"/>
    <cellStyle name="Comma 5 2 3 5" xfId="1001" xr:uid="{00000000-0005-0000-0000-000048060000}"/>
    <cellStyle name="Comma 5 2 3 5 2" xfId="1002" xr:uid="{00000000-0005-0000-0000-000049060000}"/>
    <cellStyle name="Comma 5 2 3 5 2 2" xfId="9488" xr:uid="{00000000-0005-0000-0000-00004A060000}"/>
    <cellStyle name="Comma 5 2 3 5 3" xfId="9487" xr:uid="{00000000-0005-0000-0000-00004B060000}"/>
    <cellStyle name="Comma 5 2 3 6" xfId="1003" xr:uid="{00000000-0005-0000-0000-00004C060000}"/>
    <cellStyle name="Comma 5 2 3 6 2" xfId="9489" xr:uid="{00000000-0005-0000-0000-00004D060000}"/>
    <cellStyle name="Comma 5 2 3 7" xfId="9466" xr:uid="{00000000-0005-0000-0000-00004E060000}"/>
    <cellStyle name="Comma 5 2 4" xfId="1004" xr:uid="{00000000-0005-0000-0000-00004F060000}"/>
    <cellStyle name="Comma 5 2 4 2" xfId="1005" xr:uid="{00000000-0005-0000-0000-000050060000}"/>
    <cellStyle name="Comma 5 2 4 2 2" xfId="1006" xr:uid="{00000000-0005-0000-0000-000051060000}"/>
    <cellStyle name="Comma 5 2 4 2 2 2" xfId="1007" xr:uid="{00000000-0005-0000-0000-000052060000}"/>
    <cellStyle name="Comma 5 2 4 2 2 2 2" xfId="9493" xr:uid="{00000000-0005-0000-0000-000053060000}"/>
    <cellStyle name="Comma 5 2 4 2 2 3" xfId="9492" xr:uid="{00000000-0005-0000-0000-000054060000}"/>
    <cellStyle name="Comma 5 2 4 2 3" xfId="1008" xr:uid="{00000000-0005-0000-0000-000055060000}"/>
    <cellStyle name="Comma 5 2 4 2 3 2" xfId="1009" xr:uid="{00000000-0005-0000-0000-000056060000}"/>
    <cellStyle name="Comma 5 2 4 2 3 2 2" xfId="9495" xr:uid="{00000000-0005-0000-0000-000057060000}"/>
    <cellStyle name="Comma 5 2 4 2 3 3" xfId="9494" xr:uid="{00000000-0005-0000-0000-000058060000}"/>
    <cellStyle name="Comma 5 2 4 2 4" xfId="1010" xr:uid="{00000000-0005-0000-0000-000059060000}"/>
    <cellStyle name="Comma 5 2 4 2 4 2" xfId="9496" xr:uid="{00000000-0005-0000-0000-00005A060000}"/>
    <cellStyle name="Comma 5 2 4 2 5" xfId="9491" xr:uid="{00000000-0005-0000-0000-00005B060000}"/>
    <cellStyle name="Comma 5 2 4 3" xfId="1011" xr:uid="{00000000-0005-0000-0000-00005C060000}"/>
    <cellStyle name="Comma 5 2 4 3 2" xfId="1012" xr:uid="{00000000-0005-0000-0000-00005D060000}"/>
    <cellStyle name="Comma 5 2 4 3 2 2" xfId="9498" xr:uid="{00000000-0005-0000-0000-00005E060000}"/>
    <cellStyle name="Comma 5 2 4 3 3" xfId="9497" xr:uid="{00000000-0005-0000-0000-00005F060000}"/>
    <cellStyle name="Comma 5 2 4 4" xfId="1013" xr:uid="{00000000-0005-0000-0000-000060060000}"/>
    <cellStyle name="Comma 5 2 4 4 2" xfId="1014" xr:uid="{00000000-0005-0000-0000-000061060000}"/>
    <cellStyle name="Comma 5 2 4 4 2 2" xfId="9500" xr:uid="{00000000-0005-0000-0000-000062060000}"/>
    <cellStyle name="Comma 5 2 4 4 3" xfId="9499" xr:uid="{00000000-0005-0000-0000-000063060000}"/>
    <cellStyle name="Comma 5 2 4 5" xfId="1015" xr:uid="{00000000-0005-0000-0000-000064060000}"/>
    <cellStyle name="Comma 5 2 4 5 2" xfId="9501" xr:uid="{00000000-0005-0000-0000-000065060000}"/>
    <cellStyle name="Comma 5 2 4 6" xfId="9490" xr:uid="{00000000-0005-0000-0000-000066060000}"/>
    <cellStyle name="Comma 5 2 5" xfId="1016" xr:uid="{00000000-0005-0000-0000-000067060000}"/>
    <cellStyle name="Comma 5 2 5 2" xfId="1017" xr:uid="{00000000-0005-0000-0000-000068060000}"/>
    <cellStyle name="Comma 5 2 5 2 2" xfId="1018" xr:uid="{00000000-0005-0000-0000-000069060000}"/>
    <cellStyle name="Comma 5 2 5 2 2 2" xfId="9504" xr:uid="{00000000-0005-0000-0000-00006A060000}"/>
    <cellStyle name="Comma 5 2 5 2 3" xfId="9503" xr:uid="{00000000-0005-0000-0000-00006B060000}"/>
    <cellStyle name="Comma 5 2 5 3" xfId="1019" xr:uid="{00000000-0005-0000-0000-00006C060000}"/>
    <cellStyle name="Comma 5 2 5 3 2" xfId="1020" xr:uid="{00000000-0005-0000-0000-00006D060000}"/>
    <cellStyle name="Comma 5 2 5 3 2 2" xfId="9506" xr:uid="{00000000-0005-0000-0000-00006E060000}"/>
    <cellStyle name="Comma 5 2 5 3 3" xfId="9505" xr:uid="{00000000-0005-0000-0000-00006F060000}"/>
    <cellStyle name="Comma 5 2 5 4" xfId="1021" xr:uid="{00000000-0005-0000-0000-000070060000}"/>
    <cellStyle name="Comma 5 2 5 4 2" xfId="9507" xr:uid="{00000000-0005-0000-0000-000071060000}"/>
    <cellStyle name="Comma 5 2 5 5" xfId="9502" xr:uid="{00000000-0005-0000-0000-000072060000}"/>
    <cellStyle name="Comma 5 2 6" xfId="1022" xr:uid="{00000000-0005-0000-0000-000073060000}"/>
    <cellStyle name="Comma 5 2 6 2" xfId="1023" xr:uid="{00000000-0005-0000-0000-000074060000}"/>
    <cellStyle name="Comma 5 2 6 2 2" xfId="9509" xr:uid="{00000000-0005-0000-0000-000075060000}"/>
    <cellStyle name="Comma 5 2 6 3" xfId="9508" xr:uid="{00000000-0005-0000-0000-000076060000}"/>
    <cellStyle name="Comma 5 2 7" xfId="1024" xr:uid="{00000000-0005-0000-0000-000077060000}"/>
    <cellStyle name="Comma 5 2 7 2" xfId="1025" xr:uid="{00000000-0005-0000-0000-000078060000}"/>
    <cellStyle name="Comma 5 2 7 2 2" xfId="9511" xr:uid="{00000000-0005-0000-0000-000079060000}"/>
    <cellStyle name="Comma 5 2 7 3" xfId="9510" xr:uid="{00000000-0005-0000-0000-00007A060000}"/>
    <cellStyle name="Comma 5 2 8" xfId="1026" xr:uid="{00000000-0005-0000-0000-00007B060000}"/>
    <cellStyle name="Comma 5 2 8 2" xfId="9512" xr:uid="{00000000-0005-0000-0000-00007C060000}"/>
    <cellStyle name="Comma 5 2 9" xfId="1027" xr:uid="{00000000-0005-0000-0000-00007D060000}"/>
    <cellStyle name="Comma 5 2 9 2" xfId="9513" xr:uid="{00000000-0005-0000-0000-00007E060000}"/>
    <cellStyle name="Comma 5 3" xfId="1028" xr:uid="{00000000-0005-0000-0000-00007F060000}"/>
    <cellStyle name="Comma 5 3 2" xfId="1029" xr:uid="{00000000-0005-0000-0000-000080060000}"/>
    <cellStyle name="Comma 5 3 2 2" xfId="1030" xr:uid="{00000000-0005-0000-0000-000081060000}"/>
    <cellStyle name="Comma 5 3 2 2 2" xfId="1031" xr:uid="{00000000-0005-0000-0000-000082060000}"/>
    <cellStyle name="Comma 5 3 2 2 2 2" xfId="1032" xr:uid="{00000000-0005-0000-0000-000083060000}"/>
    <cellStyle name="Comma 5 3 2 2 2 2 2" xfId="1033" xr:uid="{00000000-0005-0000-0000-000084060000}"/>
    <cellStyle name="Comma 5 3 2 2 2 2 2 2" xfId="9519" xr:uid="{00000000-0005-0000-0000-000085060000}"/>
    <cellStyle name="Comma 5 3 2 2 2 2 3" xfId="9518" xr:uid="{00000000-0005-0000-0000-000086060000}"/>
    <cellStyle name="Comma 5 3 2 2 2 3" xfId="1034" xr:uid="{00000000-0005-0000-0000-000087060000}"/>
    <cellStyle name="Comma 5 3 2 2 2 3 2" xfId="1035" xr:uid="{00000000-0005-0000-0000-000088060000}"/>
    <cellStyle name="Comma 5 3 2 2 2 3 2 2" xfId="9521" xr:uid="{00000000-0005-0000-0000-000089060000}"/>
    <cellStyle name="Comma 5 3 2 2 2 3 3" xfId="9520" xr:uid="{00000000-0005-0000-0000-00008A060000}"/>
    <cellStyle name="Comma 5 3 2 2 2 4" xfId="1036" xr:uid="{00000000-0005-0000-0000-00008B060000}"/>
    <cellStyle name="Comma 5 3 2 2 2 4 2" xfId="9522" xr:uid="{00000000-0005-0000-0000-00008C060000}"/>
    <cellStyle name="Comma 5 3 2 2 2 5" xfId="9517" xr:uid="{00000000-0005-0000-0000-00008D060000}"/>
    <cellStyle name="Comma 5 3 2 2 3" xfId="1037" xr:uid="{00000000-0005-0000-0000-00008E060000}"/>
    <cellStyle name="Comma 5 3 2 2 3 2" xfId="1038" xr:uid="{00000000-0005-0000-0000-00008F060000}"/>
    <cellStyle name="Comma 5 3 2 2 3 2 2" xfId="9524" xr:uid="{00000000-0005-0000-0000-000090060000}"/>
    <cellStyle name="Comma 5 3 2 2 3 3" xfId="9523" xr:uid="{00000000-0005-0000-0000-000091060000}"/>
    <cellStyle name="Comma 5 3 2 2 4" xfId="1039" xr:uid="{00000000-0005-0000-0000-000092060000}"/>
    <cellStyle name="Comma 5 3 2 2 4 2" xfId="1040" xr:uid="{00000000-0005-0000-0000-000093060000}"/>
    <cellStyle name="Comma 5 3 2 2 4 2 2" xfId="9526" xr:uid="{00000000-0005-0000-0000-000094060000}"/>
    <cellStyle name="Comma 5 3 2 2 4 3" xfId="9525" xr:uid="{00000000-0005-0000-0000-000095060000}"/>
    <cellStyle name="Comma 5 3 2 2 5" xfId="1041" xr:uid="{00000000-0005-0000-0000-000096060000}"/>
    <cellStyle name="Comma 5 3 2 2 5 2" xfId="9527" xr:uid="{00000000-0005-0000-0000-000097060000}"/>
    <cellStyle name="Comma 5 3 2 2 6" xfId="9516" xr:uid="{00000000-0005-0000-0000-000098060000}"/>
    <cellStyle name="Comma 5 3 2 3" xfId="1042" xr:uid="{00000000-0005-0000-0000-000099060000}"/>
    <cellStyle name="Comma 5 3 2 3 2" xfId="1043" xr:uid="{00000000-0005-0000-0000-00009A060000}"/>
    <cellStyle name="Comma 5 3 2 3 2 2" xfId="1044" xr:uid="{00000000-0005-0000-0000-00009B060000}"/>
    <cellStyle name="Comma 5 3 2 3 2 2 2" xfId="9530" xr:uid="{00000000-0005-0000-0000-00009C060000}"/>
    <cellStyle name="Comma 5 3 2 3 2 3" xfId="9529" xr:uid="{00000000-0005-0000-0000-00009D060000}"/>
    <cellStyle name="Comma 5 3 2 3 3" xfId="1045" xr:uid="{00000000-0005-0000-0000-00009E060000}"/>
    <cellStyle name="Comma 5 3 2 3 3 2" xfId="1046" xr:uid="{00000000-0005-0000-0000-00009F060000}"/>
    <cellStyle name="Comma 5 3 2 3 3 2 2" xfId="9532" xr:uid="{00000000-0005-0000-0000-0000A0060000}"/>
    <cellStyle name="Comma 5 3 2 3 3 3" xfId="9531" xr:uid="{00000000-0005-0000-0000-0000A1060000}"/>
    <cellStyle name="Comma 5 3 2 3 4" xfId="1047" xr:uid="{00000000-0005-0000-0000-0000A2060000}"/>
    <cellStyle name="Comma 5 3 2 3 4 2" xfId="9533" xr:uid="{00000000-0005-0000-0000-0000A3060000}"/>
    <cellStyle name="Comma 5 3 2 3 5" xfId="9528" xr:uid="{00000000-0005-0000-0000-0000A4060000}"/>
    <cellStyle name="Comma 5 3 2 4" xfId="1048" xr:uid="{00000000-0005-0000-0000-0000A5060000}"/>
    <cellStyle name="Comma 5 3 2 4 2" xfId="1049" xr:uid="{00000000-0005-0000-0000-0000A6060000}"/>
    <cellStyle name="Comma 5 3 2 4 2 2" xfId="9535" xr:uid="{00000000-0005-0000-0000-0000A7060000}"/>
    <cellStyle name="Comma 5 3 2 4 3" xfId="9534" xr:uid="{00000000-0005-0000-0000-0000A8060000}"/>
    <cellStyle name="Comma 5 3 2 5" xfId="1050" xr:uid="{00000000-0005-0000-0000-0000A9060000}"/>
    <cellStyle name="Comma 5 3 2 5 2" xfId="1051" xr:uid="{00000000-0005-0000-0000-0000AA060000}"/>
    <cellStyle name="Comma 5 3 2 5 2 2" xfId="9537" xr:uid="{00000000-0005-0000-0000-0000AB060000}"/>
    <cellStyle name="Comma 5 3 2 5 3" xfId="9536" xr:uid="{00000000-0005-0000-0000-0000AC060000}"/>
    <cellStyle name="Comma 5 3 2 6" xfId="1052" xr:uid="{00000000-0005-0000-0000-0000AD060000}"/>
    <cellStyle name="Comma 5 3 2 6 2" xfId="9538" xr:uid="{00000000-0005-0000-0000-0000AE060000}"/>
    <cellStyle name="Comma 5 3 2 7" xfId="9515" xr:uid="{00000000-0005-0000-0000-0000AF060000}"/>
    <cellStyle name="Comma 5 3 3" xfId="1053" xr:uid="{00000000-0005-0000-0000-0000B0060000}"/>
    <cellStyle name="Comma 5 3 3 2" xfId="1054" xr:uid="{00000000-0005-0000-0000-0000B1060000}"/>
    <cellStyle name="Comma 5 3 3 2 2" xfId="1055" xr:uid="{00000000-0005-0000-0000-0000B2060000}"/>
    <cellStyle name="Comma 5 3 3 2 2 2" xfId="1056" xr:uid="{00000000-0005-0000-0000-0000B3060000}"/>
    <cellStyle name="Comma 5 3 3 2 2 2 2" xfId="9542" xr:uid="{00000000-0005-0000-0000-0000B4060000}"/>
    <cellStyle name="Comma 5 3 3 2 2 3" xfId="9541" xr:uid="{00000000-0005-0000-0000-0000B5060000}"/>
    <cellStyle name="Comma 5 3 3 2 3" xfId="1057" xr:uid="{00000000-0005-0000-0000-0000B6060000}"/>
    <cellStyle name="Comma 5 3 3 2 3 2" xfId="1058" xr:uid="{00000000-0005-0000-0000-0000B7060000}"/>
    <cellStyle name="Comma 5 3 3 2 3 2 2" xfId="9544" xr:uid="{00000000-0005-0000-0000-0000B8060000}"/>
    <cellStyle name="Comma 5 3 3 2 3 3" xfId="9543" xr:uid="{00000000-0005-0000-0000-0000B9060000}"/>
    <cellStyle name="Comma 5 3 3 2 4" xfId="1059" xr:uid="{00000000-0005-0000-0000-0000BA060000}"/>
    <cellStyle name="Comma 5 3 3 2 4 2" xfId="9545" xr:uid="{00000000-0005-0000-0000-0000BB060000}"/>
    <cellStyle name="Comma 5 3 3 2 5" xfId="9540" xr:uid="{00000000-0005-0000-0000-0000BC060000}"/>
    <cellStyle name="Comma 5 3 3 3" xfId="1060" xr:uid="{00000000-0005-0000-0000-0000BD060000}"/>
    <cellStyle name="Comma 5 3 3 3 2" xfId="1061" xr:uid="{00000000-0005-0000-0000-0000BE060000}"/>
    <cellStyle name="Comma 5 3 3 3 2 2" xfId="9547" xr:uid="{00000000-0005-0000-0000-0000BF060000}"/>
    <cellStyle name="Comma 5 3 3 3 3" xfId="9546" xr:uid="{00000000-0005-0000-0000-0000C0060000}"/>
    <cellStyle name="Comma 5 3 3 4" xfId="1062" xr:uid="{00000000-0005-0000-0000-0000C1060000}"/>
    <cellStyle name="Comma 5 3 3 4 2" xfId="1063" xr:uid="{00000000-0005-0000-0000-0000C2060000}"/>
    <cellStyle name="Comma 5 3 3 4 2 2" xfId="9549" xr:uid="{00000000-0005-0000-0000-0000C3060000}"/>
    <cellStyle name="Comma 5 3 3 4 3" xfId="9548" xr:uid="{00000000-0005-0000-0000-0000C4060000}"/>
    <cellStyle name="Comma 5 3 3 5" xfId="1064" xr:uid="{00000000-0005-0000-0000-0000C5060000}"/>
    <cellStyle name="Comma 5 3 3 5 2" xfId="9550" xr:uid="{00000000-0005-0000-0000-0000C6060000}"/>
    <cellStyle name="Comma 5 3 3 6" xfId="9539" xr:uid="{00000000-0005-0000-0000-0000C7060000}"/>
    <cellStyle name="Comma 5 3 4" xfId="1065" xr:uid="{00000000-0005-0000-0000-0000C8060000}"/>
    <cellStyle name="Comma 5 3 4 2" xfId="1066" xr:uid="{00000000-0005-0000-0000-0000C9060000}"/>
    <cellStyle name="Comma 5 3 4 2 2" xfId="1067" xr:uid="{00000000-0005-0000-0000-0000CA060000}"/>
    <cellStyle name="Comma 5 3 4 2 2 2" xfId="9553" xr:uid="{00000000-0005-0000-0000-0000CB060000}"/>
    <cellStyle name="Comma 5 3 4 2 3" xfId="9552" xr:uid="{00000000-0005-0000-0000-0000CC060000}"/>
    <cellStyle name="Comma 5 3 4 3" xfId="1068" xr:uid="{00000000-0005-0000-0000-0000CD060000}"/>
    <cellStyle name="Comma 5 3 4 3 2" xfId="1069" xr:uid="{00000000-0005-0000-0000-0000CE060000}"/>
    <cellStyle name="Comma 5 3 4 3 2 2" xfId="9555" xr:uid="{00000000-0005-0000-0000-0000CF060000}"/>
    <cellStyle name="Comma 5 3 4 3 3" xfId="9554" xr:uid="{00000000-0005-0000-0000-0000D0060000}"/>
    <cellStyle name="Comma 5 3 4 4" xfId="1070" xr:uid="{00000000-0005-0000-0000-0000D1060000}"/>
    <cellStyle name="Comma 5 3 4 4 2" xfId="9556" xr:uid="{00000000-0005-0000-0000-0000D2060000}"/>
    <cellStyle name="Comma 5 3 4 5" xfId="9551" xr:uid="{00000000-0005-0000-0000-0000D3060000}"/>
    <cellStyle name="Comma 5 3 5" xfId="1071" xr:uid="{00000000-0005-0000-0000-0000D4060000}"/>
    <cellStyle name="Comma 5 3 5 2" xfId="1072" xr:uid="{00000000-0005-0000-0000-0000D5060000}"/>
    <cellStyle name="Comma 5 3 5 2 2" xfId="9558" xr:uid="{00000000-0005-0000-0000-0000D6060000}"/>
    <cellStyle name="Comma 5 3 5 3" xfId="9557" xr:uid="{00000000-0005-0000-0000-0000D7060000}"/>
    <cellStyle name="Comma 5 3 6" xfId="1073" xr:uid="{00000000-0005-0000-0000-0000D8060000}"/>
    <cellStyle name="Comma 5 3 6 2" xfId="1074" xr:uid="{00000000-0005-0000-0000-0000D9060000}"/>
    <cellStyle name="Comma 5 3 6 2 2" xfId="9560" xr:uid="{00000000-0005-0000-0000-0000DA060000}"/>
    <cellStyle name="Comma 5 3 6 3" xfId="9559" xr:uid="{00000000-0005-0000-0000-0000DB060000}"/>
    <cellStyle name="Comma 5 3 7" xfId="1075" xr:uid="{00000000-0005-0000-0000-0000DC060000}"/>
    <cellStyle name="Comma 5 3 7 2" xfId="9561" xr:uid="{00000000-0005-0000-0000-0000DD060000}"/>
    <cellStyle name="Comma 5 3 8" xfId="9514" xr:uid="{00000000-0005-0000-0000-0000DE060000}"/>
    <cellStyle name="Comma 5 4" xfId="1076" xr:uid="{00000000-0005-0000-0000-0000DF060000}"/>
    <cellStyle name="Comma 5 4 2" xfId="1077" xr:uid="{00000000-0005-0000-0000-0000E0060000}"/>
    <cellStyle name="Comma 5 4 2 2" xfId="1078" xr:uid="{00000000-0005-0000-0000-0000E1060000}"/>
    <cellStyle name="Comma 5 4 2 2 2" xfId="1079" xr:uid="{00000000-0005-0000-0000-0000E2060000}"/>
    <cellStyle name="Comma 5 4 2 2 2 2" xfId="1080" xr:uid="{00000000-0005-0000-0000-0000E3060000}"/>
    <cellStyle name="Comma 5 4 2 2 2 2 2" xfId="1081" xr:uid="{00000000-0005-0000-0000-0000E4060000}"/>
    <cellStyle name="Comma 5 4 2 2 2 2 2 2" xfId="9567" xr:uid="{00000000-0005-0000-0000-0000E5060000}"/>
    <cellStyle name="Comma 5 4 2 2 2 2 3" xfId="9566" xr:uid="{00000000-0005-0000-0000-0000E6060000}"/>
    <cellStyle name="Comma 5 4 2 2 2 3" xfId="1082" xr:uid="{00000000-0005-0000-0000-0000E7060000}"/>
    <cellStyle name="Comma 5 4 2 2 2 3 2" xfId="1083" xr:uid="{00000000-0005-0000-0000-0000E8060000}"/>
    <cellStyle name="Comma 5 4 2 2 2 3 2 2" xfId="9569" xr:uid="{00000000-0005-0000-0000-0000E9060000}"/>
    <cellStyle name="Comma 5 4 2 2 2 3 3" xfId="9568" xr:uid="{00000000-0005-0000-0000-0000EA060000}"/>
    <cellStyle name="Comma 5 4 2 2 2 4" xfId="1084" xr:uid="{00000000-0005-0000-0000-0000EB060000}"/>
    <cellStyle name="Comma 5 4 2 2 2 4 2" xfId="9570" xr:uid="{00000000-0005-0000-0000-0000EC060000}"/>
    <cellStyle name="Comma 5 4 2 2 2 5" xfId="9565" xr:uid="{00000000-0005-0000-0000-0000ED060000}"/>
    <cellStyle name="Comma 5 4 2 2 3" xfId="1085" xr:uid="{00000000-0005-0000-0000-0000EE060000}"/>
    <cellStyle name="Comma 5 4 2 2 3 2" xfId="1086" xr:uid="{00000000-0005-0000-0000-0000EF060000}"/>
    <cellStyle name="Comma 5 4 2 2 3 2 2" xfId="9572" xr:uid="{00000000-0005-0000-0000-0000F0060000}"/>
    <cellStyle name="Comma 5 4 2 2 3 3" xfId="9571" xr:uid="{00000000-0005-0000-0000-0000F1060000}"/>
    <cellStyle name="Comma 5 4 2 2 4" xfId="1087" xr:uid="{00000000-0005-0000-0000-0000F2060000}"/>
    <cellStyle name="Comma 5 4 2 2 4 2" xfId="1088" xr:uid="{00000000-0005-0000-0000-0000F3060000}"/>
    <cellStyle name="Comma 5 4 2 2 4 2 2" xfId="9574" xr:uid="{00000000-0005-0000-0000-0000F4060000}"/>
    <cellStyle name="Comma 5 4 2 2 4 3" xfId="9573" xr:uid="{00000000-0005-0000-0000-0000F5060000}"/>
    <cellStyle name="Comma 5 4 2 2 5" xfId="1089" xr:uid="{00000000-0005-0000-0000-0000F6060000}"/>
    <cellStyle name="Comma 5 4 2 2 5 2" xfId="9575" xr:uid="{00000000-0005-0000-0000-0000F7060000}"/>
    <cellStyle name="Comma 5 4 2 2 6" xfId="9564" xr:uid="{00000000-0005-0000-0000-0000F8060000}"/>
    <cellStyle name="Comma 5 4 2 3" xfId="1090" xr:uid="{00000000-0005-0000-0000-0000F9060000}"/>
    <cellStyle name="Comma 5 4 2 3 2" xfId="1091" xr:uid="{00000000-0005-0000-0000-0000FA060000}"/>
    <cellStyle name="Comma 5 4 2 3 2 2" xfId="1092" xr:uid="{00000000-0005-0000-0000-0000FB060000}"/>
    <cellStyle name="Comma 5 4 2 3 2 2 2" xfId="9578" xr:uid="{00000000-0005-0000-0000-0000FC060000}"/>
    <cellStyle name="Comma 5 4 2 3 2 3" xfId="9577" xr:uid="{00000000-0005-0000-0000-0000FD060000}"/>
    <cellStyle name="Comma 5 4 2 3 3" xfId="1093" xr:uid="{00000000-0005-0000-0000-0000FE060000}"/>
    <cellStyle name="Comma 5 4 2 3 3 2" xfId="1094" xr:uid="{00000000-0005-0000-0000-0000FF060000}"/>
    <cellStyle name="Comma 5 4 2 3 3 2 2" xfId="9580" xr:uid="{00000000-0005-0000-0000-000000070000}"/>
    <cellStyle name="Comma 5 4 2 3 3 3" xfId="9579" xr:uid="{00000000-0005-0000-0000-000001070000}"/>
    <cellStyle name="Comma 5 4 2 3 4" xfId="1095" xr:uid="{00000000-0005-0000-0000-000002070000}"/>
    <cellStyle name="Comma 5 4 2 3 4 2" xfId="9581" xr:uid="{00000000-0005-0000-0000-000003070000}"/>
    <cellStyle name="Comma 5 4 2 3 5" xfId="9576" xr:uid="{00000000-0005-0000-0000-000004070000}"/>
    <cellStyle name="Comma 5 4 2 4" xfId="1096" xr:uid="{00000000-0005-0000-0000-000005070000}"/>
    <cellStyle name="Comma 5 4 2 4 2" xfId="1097" xr:uid="{00000000-0005-0000-0000-000006070000}"/>
    <cellStyle name="Comma 5 4 2 4 2 2" xfId="9583" xr:uid="{00000000-0005-0000-0000-000007070000}"/>
    <cellStyle name="Comma 5 4 2 4 3" xfId="9582" xr:uid="{00000000-0005-0000-0000-000008070000}"/>
    <cellStyle name="Comma 5 4 2 5" xfId="1098" xr:uid="{00000000-0005-0000-0000-000009070000}"/>
    <cellStyle name="Comma 5 4 2 5 2" xfId="1099" xr:uid="{00000000-0005-0000-0000-00000A070000}"/>
    <cellStyle name="Comma 5 4 2 5 2 2" xfId="9585" xr:uid="{00000000-0005-0000-0000-00000B070000}"/>
    <cellStyle name="Comma 5 4 2 5 3" xfId="9584" xr:uid="{00000000-0005-0000-0000-00000C070000}"/>
    <cellStyle name="Comma 5 4 2 6" xfId="1100" xr:uid="{00000000-0005-0000-0000-00000D070000}"/>
    <cellStyle name="Comma 5 4 2 6 2" xfId="9586" xr:uid="{00000000-0005-0000-0000-00000E070000}"/>
    <cellStyle name="Comma 5 4 2 7" xfId="9563" xr:uid="{00000000-0005-0000-0000-00000F070000}"/>
    <cellStyle name="Comma 5 4 3" xfId="1101" xr:uid="{00000000-0005-0000-0000-000010070000}"/>
    <cellStyle name="Comma 5 4 3 2" xfId="1102" xr:uid="{00000000-0005-0000-0000-000011070000}"/>
    <cellStyle name="Comma 5 4 3 2 2" xfId="1103" xr:uid="{00000000-0005-0000-0000-000012070000}"/>
    <cellStyle name="Comma 5 4 3 2 2 2" xfId="1104" xr:uid="{00000000-0005-0000-0000-000013070000}"/>
    <cellStyle name="Comma 5 4 3 2 2 2 2" xfId="9590" xr:uid="{00000000-0005-0000-0000-000014070000}"/>
    <cellStyle name="Comma 5 4 3 2 2 3" xfId="9589" xr:uid="{00000000-0005-0000-0000-000015070000}"/>
    <cellStyle name="Comma 5 4 3 2 3" xfId="1105" xr:uid="{00000000-0005-0000-0000-000016070000}"/>
    <cellStyle name="Comma 5 4 3 2 3 2" xfId="1106" xr:uid="{00000000-0005-0000-0000-000017070000}"/>
    <cellStyle name="Comma 5 4 3 2 3 2 2" xfId="9592" xr:uid="{00000000-0005-0000-0000-000018070000}"/>
    <cellStyle name="Comma 5 4 3 2 3 3" xfId="9591" xr:uid="{00000000-0005-0000-0000-000019070000}"/>
    <cellStyle name="Comma 5 4 3 2 4" xfId="1107" xr:uid="{00000000-0005-0000-0000-00001A070000}"/>
    <cellStyle name="Comma 5 4 3 2 4 2" xfId="9593" xr:uid="{00000000-0005-0000-0000-00001B070000}"/>
    <cellStyle name="Comma 5 4 3 2 5" xfId="9588" xr:uid="{00000000-0005-0000-0000-00001C070000}"/>
    <cellStyle name="Comma 5 4 3 3" xfId="1108" xr:uid="{00000000-0005-0000-0000-00001D070000}"/>
    <cellStyle name="Comma 5 4 3 3 2" xfId="1109" xr:uid="{00000000-0005-0000-0000-00001E070000}"/>
    <cellStyle name="Comma 5 4 3 3 2 2" xfId="9595" xr:uid="{00000000-0005-0000-0000-00001F070000}"/>
    <cellStyle name="Comma 5 4 3 3 3" xfId="9594" xr:uid="{00000000-0005-0000-0000-000020070000}"/>
    <cellStyle name="Comma 5 4 3 4" xfId="1110" xr:uid="{00000000-0005-0000-0000-000021070000}"/>
    <cellStyle name="Comma 5 4 3 4 2" xfId="1111" xr:uid="{00000000-0005-0000-0000-000022070000}"/>
    <cellStyle name="Comma 5 4 3 4 2 2" xfId="9597" xr:uid="{00000000-0005-0000-0000-000023070000}"/>
    <cellStyle name="Comma 5 4 3 4 3" xfId="9596" xr:uid="{00000000-0005-0000-0000-000024070000}"/>
    <cellStyle name="Comma 5 4 3 5" xfId="1112" xr:uid="{00000000-0005-0000-0000-000025070000}"/>
    <cellStyle name="Comma 5 4 3 5 2" xfId="9598" xr:uid="{00000000-0005-0000-0000-000026070000}"/>
    <cellStyle name="Comma 5 4 3 6" xfId="9587" xr:uid="{00000000-0005-0000-0000-000027070000}"/>
    <cellStyle name="Comma 5 4 4" xfId="1113" xr:uid="{00000000-0005-0000-0000-000028070000}"/>
    <cellStyle name="Comma 5 4 4 2" xfId="1114" xr:uid="{00000000-0005-0000-0000-000029070000}"/>
    <cellStyle name="Comma 5 4 4 2 2" xfId="1115" xr:uid="{00000000-0005-0000-0000-00002A070000}"/>
    <cellStyle name="Comma 5 4 4 2 2 2" xfId="9601" xr:uid="{00000000-0005-0000-0000-00002B070000}"/>
    <cellStyle name="Comma 5 4 4 2 3" xfId="9600" xr:uid="{00000000-0005-0000-0000-00002C070000}"/>
    <cellStyle name="Comma 5 4 4 3" xfId="1116" xr:uid="{00000000-0005-0000-0000-00002D070000}"/>
    <cellStyle name="Comma 5 4 4 3 2" xfId="1117" xr:uid="{00000000-0005-0000-0000-00002E070000}"/>
    <cellStyle name="Comma 5 4 4 3 2 2" xfId="9603" xr:uid="{00000000-0005-0000-0000-00002F070000}"/>
    <cellStyle name="Comma 5 4 4 3 3" xfId="9602" xr:uid="{00000000-0005-0000-0000-000030070000}"/>
    <cellStyle name="Comma 5 4 4 4" xfId="1118" xr:uid="{00000000-0005-0000-0000-000031070000}"/>
    <cellStyle name="Comma 5 4 4 4 2" xfId="9604" xr:uid="{00000000-0005-0000-0000-000032070000}"/>
    <cellStyle name="Comma 5 4 4 5" xfId="9599" xr:uid="{00000000-0005-0000-0000-000033070000}"/>
    <cellStyle name="Comma 5 4 5" xfId="1119" xr:uid="{00000000-0005-0000-0000-000034070000}"/>
    <cellStyle name="Comma 5 4 5 2" xfId="1120" xr:uid="{00000000-0005-0000-0000-000035070000}"/>
    <cellStyle name="Comma 5 4 5 2 2" xfId="9606" xr:uid="{00000000-0005-0000-0000-000036070000}"/>
    <cellStyle name="Comma 5 4 5 3" xfId="9605" xr:uid="{00000000-0005-0000-0000-000037070000}"/>
    <cellStyle name="Comma 5 4 6" xfId="1121" xr:uid="{00000000-0005-0000-0000-000038070000}"/>
    <cellStyle name="Comma 5 4 6 2" xfId="1122" xr:uid="{00000000-0005-0000-0000-000039070000}"/>
    <cellStyle name="Comma 5 4 6 2 2" xfId="9608" xr:uid="{00000000-0005-0000-0000-00003A070000}"/>
    <cellStyle name="Comma 5 4 6 3" xfId="9607" xr:uid="{00000000-0005-0000-0000-00003B070000}"/>
    <cellStyle name="Comma 5 4 7" xfId="1123" xr:uid="{00000000-0005-0000-0000-00003C070000}"/>
    <cellStyle name="Comma 5 4 7 2" xfId="9609" xr:uid="{00000000-0005-0000-0000-00003D070000}"/>
    <cellStyle name="Comma 5 4 8" xfId="9562" xr:uid="{00000000-0005-0000-0000-00003E070000}"/>
    <cellStyle name="Comma 5 5" xfId="1124" xr:uid="{00000000-0005-0000-0000-00003F070000}"/>
    <cellStyle name="Comma 5 5 2" xfId="1125" xr:uid="{00000000-0005-0000-0000-000040070000}"/>
    <cellStyle name="Comma 5 5 2 2" xfId="1126" xr:uid="{00000000-0005-0000-0000-000041070000}"/>
    <cellStyle name="Comma 5 5 2 2 2" xfId="1127" xr:uid="{00000000-0005-0000-0000-000042070000}"/>
    <cellStyle name="Comma 5 5 2 2 2 2" xfId="1128" xr:uid="{00000000-0005-0000-0000-000043070000}"/>
    <cellStyle name="Comma 5 5 2 2 2 2 2" xfId="9613" xr:uid="{00000000-0005-0000-0000-000044070000}"/>
    <cellStyle name="Comma 5 5 2 2 2 3" xfId="9612" xr:uid="{00000000-0005-0000-0000-000045070000}"/>
    <cellStyle name="Comma 5 5 2 2 3" xfId="1129" xr:uid="{00000000-0005-0000-0000-000046070000}"/>
    <cellStyle name="Comma 5 5 2 2 3 2" xfId="1130" xr:uid="{00000000-0005-0000-0000-000047070000}"/>
    <cellStyle name="Comma 5 5 2 2 3 2 2" xfId="9615" xr:uid="{00000000-0005-0000-0000-000048070000}"/>
    <cellStyle name="Comma 5 5 2 2 3 3" xfId="9614" xr:uid="{00000000-0005-0000-0000-000049070000}"/>
    <cellStyle name="Comma 5 5 2 2 4" xfId="1131" xr:uid="{00000000-0005-0000-0000-00004A070000}"/>
    <cellStyle name="Comma 5 5 2 2 4 2" xfId="9616" xr:uid="{00000000-0005-0000-0000-00004B070000}"/>
    <cellStyle name="Comma 5 5 2 2 5" xfId="9611" xr:uid="{00000000-0005-0000-0000-00004C070000}"/>
    <cellStyle name="Comma 5 5 2 3" xfId="1132" xr:uid="{00000000-0005-0000-0000-00004D070000}"/>
    <cellStyle name="Comma 5 5 2 3 2" xfId="1133" xr:uid="{00000000-0005-0000-0000-00004E070000}"/>
    <cellStyle name="Comma 5 5 2 3 2 2" xfId="9618" xr:uid="{00000000-0005-0000-0000-00004F070000}"/>
    <cellStyle name="Comma 5 5 2 3 3" xfId="9617" xr:uid="{00000000-0005-0000-0000-000050070000}"/>
    <cellStyle name="Comma 5 5 2 4" xfId="1134" xr:uid="{00000000-0005-0000-0000-000051070000}"/>
    <cellStyle name="Comma 5 5 2 4 2" xfId="1135" xr:uid="{00000000-0005-0000-0000-000052070000}"/>
    <cellStyle name="Comma 5 5 2 4 2 2" xfId="9620" xr:uid="{00000000-0005-0000-0000-000053070000}"/>
    <cellStyle name="Comma 5 5 2 4 3" xfId="9619" xr:uid="{00000000-0005-0000-0000-000054070000}"/>
    <cellStyle name="Comma 5 5 2 5" xfId="1136" xr:uid="{00000000-0005-0000-0000-000055070000}"/>
    <cellStyle name="Comma 5 5 2 5 2" xfId="9621" xr:uid="{00000000-0005-0000-0000-000056070000}"/>
    <cellStyle name="Comma 5 5 2 6" xfId="9610" xr:uid="{00000000-0005-0000-0000-000057070000}"/>
    <cellStyle name="Comma 5 5 3" xfId="1137" xr:uid="{00000000-0005-0000-0000-000058070000}"/>
    <cellStyle name="Comma 5 5 3 2" xfId="1138" xr:uid="{00000000-0005-0000-0000-000059070000}"/>
    <cellStyle name="Comma 5 5 3 2 2" xfId="1139" xr:uid="{00000000-0005-0000-0000-00005A070000}"/>
    <cellStyle name="Comma 5 5 3 2 2 2" xfId="9624" xr:uid="{00000000-0005-0000-0000-00005B070000}"/>
    <cellStyle name="Comma 5 5 3 2 3" xfId="9623" xr:uid="{00000000-0005-0000-0000-00005C070000}"/>
    <cellStyle name="Comma 5 5 3 3" xfId="1140" xr:uid="{00000000-0005-0000-0000-00005D070000}"/>
    <cellStyle name="Comma 5 5 3 3 2" xfId="1141" xr:uid="{00000000-0005-0000-0000-00005E070000}"/>
    <cellStyle name="Comma 5 5 3 3 2 2" xfId="9626" xr:uid="{00000000-0005-0000-0000-00005F070000}"/>
    <cellStyle name="Comma 5 5 3 3 3" xfId="9625" xr:uid="{00000000-0005-0000-0000-000060070000}"/>
    <cellStyle name="Comma 5 5 3 4" xfId="1142" xr:uid="{00000000-0005-0000-0000-000061070000}"/>
    <cellStyle name="Comma 5 5 3 4 2" xfId="9627" xr:uid="{00000000-0005-0000-0000-000062070000}"/>
    <cellStyle name="Comma 5 5 3 5" xfId="9622" xr:uid="{00000000-0005-0000-0000-000063070000}"/>
    <cellStyle name="Comma 5 5 4" xfId="1143" xr:uid="{00000000-0005-0000-0000-000064070000}"/>
    <cellStyle name="Comma 5 5 4 2" xfId="1144" xr:uid="{00000000-0005-0000-0000-000065070000}"/>
    <cellStyle name="Comma 5 5 4 2 2" xfId="9629" xr:uid="{00000000-0005-0000-0000-000066070000}"/>
    <cellStyle name="Comma 5 5 4 3" xfId="9628" xr:uid="{00000000-0005-0000-0000-000067070000}"/>
    <cellStyle name="Comma 5 5 5" xfId="1145" xr:uid="{00000000-0005-0000-0000-000068070000}"/>
    <cellStyle name="Comma 5 5 5 2" xfId="1146" xr:uid="{00000000-0005-0000-0000-000069070000}"/>
    <cellStyle name="Comma 5 5 5 2 2" xfId="9631" xr:uid="{00000000-0005-0000-0000-00006A070000}"/>
    <cellStyle name="Comma 5 5 5 3" xfId="9630" xr:uid="{00000000-0005-0000-0000-00006B070000}"/>
    <cellStyle name="Comma 5 5 6" xfId="1147" xr:uid="{00000000-0005-0000-0000-00006C070000}"/>
    <cellStyle name="Comma 5 5 6 2" xfId="9632" xr:uid="{00000000-0005-0000-0000-00006D070000}"/>
    <cellStyle name="Comma 5 6" xfId="1148" xr:uid="{00000000-0005-0000-0000-00006E070000}"/>
    <cellStyle name="Comma 5 6 2" xfId="1149" xr:uid="{00000000-0005-0000-0000-00006F070000}"/>
    <cellStyle name="Comma 5 6 2 2" xfId="1150" xr:uid="{00000000-0005-0000-0000-000070070000}"/>
    <cellStyle name="Comma 5 6 2 2 2" xfId="1151" xr:uid="{00000000-0005-0000-0000-000071070000}"/>
    <cellStyle name="Comma 5 6 2 2 2 2" xfId="9636" xr:uid="{00000000-0005-0000-0000-000072070000}"/>
    <cellStyle name="Comma 5 6 2 2 3" xfId="9635" xr:uid="{00000000-0005-0000-0000-000073070000}"/>
    <cellStyle name="Comma 5 6 2 3" xfId="1152" xr:uid="{00000000-0005-0000-0000-000074070000}"/>
    <cellStyle name="Comma 5 6 2 3 2" xfId="1153" xr:uid="{00000000-0005-0000-0000-000075070000}"/>
    <cellStyle name="Comma 5 6 2 3 2 2" xfId="9638" xr:uid="{00000000-0005-0000-0000-000076070000}"/>
    <cellStyle name="Comma 5 6 2 3 3" xfId="9637" xr:uid="{00000000-0005-0000-0000-000077070000}"/>
    <cellStyle name="Comma 5 6 2 4" xfId="1154" xr:uid="{00000000-0005-0000-0000-000078070000}"/>
    <cellStyle name="Comma 5 6 2 4 2" xfId="9639" xr:uid="{00000000-0005-0000-0000-000079070000}"/>
    <cellStyle name="Comma 5 6 2 5" xfId="9634" xr:uid="{00000000-0005-0000-0000-00007A070000}"/>
    <cellStyle name="Comma 5 6 3" xfId="1155" xr:uid="{00000000-0005-0000-0000-00007B070000}"/>
    <cellStyle name="Comma 5 6 3 2" xfId="1156" xr:uid="{00000000-0005-0000-0000-00007C070000}"/>
    <cellStyle name="Comma 5 6 3 2 2" xfId="9641" xr:uid="{00000000-0005-0000-0000-00007D070000}"/>
    <cellStyle name="Comma 5 6 3 3" xfId="9640" xr:uid="{00000000-0005-0000-0000-00007E070000}"/>
    <cellStyle name="Comma 5 6 4" xfId="1157" xr:uid="{00000000-0005-0000-0000-00007F070000}"/>
    <cellStyle name="Comma 5 6 4 2" xfId="1158" xr:uid="{00000000-0005-0000-0000-000080070000}"/>
    <cellStyle name="Comma 5 6 4 2 2" xfId="9643" xr:uid="{00000000-0005-0000-0000-000081070000}"/>
    <cellStyle name="Comma 5 6 4 3" xfId="9642" xr:uid="{00000000-0005-0000-0000-000082070000}"/>
    <cellStyle name="Comma 5 6 5" xfId="1159" xr:uid="{00000000-0005-0000-0000-000083070000}"/>
    <cellStyle name="Comma 5 6 5 2" xfId="9644" xr:uid="{00000000-0005-0000-0000-000084070000}"/>
    <cellStyle name="Comma 5 6 6" xfId="9633" xr:uid="{00000000-0005-0000-0000-000085070000}"/>
    <cellStyle name="Comma 5 7" xfId="1160" xr:uid="{00000000-0005-0000-0000-000086070000}"/>
    <cellStyle name="Comma 5 7 2" xfId="1161" xr:uid="{00000000-0005-0000-0000-000087070000}"/>
    <cellStyle name="Comma 5 7 2 2" xfId="1162" xr:uid="{00000000-0005-0000-0000-000088070000}"/>
    <cellStyle name="Comma 5 7 2 2 2" xfId="9647" xr:uid="{00000000-0005-0000-0000-000089070000}"/>
    <cellStyle name="Comma 5 7 2 3" xfId="9646" xr:uid="{00000000-0005-0000-0000-00008A070000}"/>
    <cellStyle name="Comma 5 7 3" xfId="1163" xr:uid="{00000000-0005-0000-0000-00008B070000}"/>
    <cellStyle name="Comma 5 7 3 2" xfId="1164" xr:uid="{00000000-0005-0000-0000-00008C070000}"/>
    <cellStyle name="Comma 5 7 3 2 2" xfId="9649" xr:uid="{00000000-0005-0000-0000-00008D070000}"/>
    <cellStyle name="Comma 5 7 3 3" xfId="9648" xr:uid="{00000000-0005-0000-0000-00008E070000}"/>
    <cellStyle name="Comma 5 7 4" xfId="1165" xr:uid="{00000000-0005-0000-0000-00008F070000}"/>
    <cellStyle name="Comma 5 7 4 2" xfId="9650" xr:uid="{00000000-0005-0000-0000-000090070000}"/>
    <cellStyle name="Comma 5 7 5" xfId="9645" xr:uid="{00000000-0005-0000-0000-000091070000}"/>
    <cellStyle name="Comma 5 8" xfId="1166" xr:uid="{00000000-0005-0000-0000-000092070000}"/>
    <cellStyle name="Comma 5 8 2" xfId="1167" xr:uid="{00000000-0005-0000-0000-000093070000}"/>
    <cellStyle name="Comma 5 8 2 2" xfId="9652" xr:uid="{00000000-0005-0000-0000-000094070000}"/>
    <cellStyle name="Comma 5 8 3" xfId="9651" xr:uid="{00000000-0005-0000-0000-000095070000}"/>
    <cellStyle name="Comma 5 9" xfId="1168" xr:uid="{00000000-0005-0000-0000-000096070000}"/>
    <cellStyle name="Comma 5 9 2" xfId="1169" xr:uid="{00000000-0005-0000-0000-000097070000}"/>
    <cellStyle name="Comma 5 9 2 2" xfId="9654" xr:uid="{00000000-0005-0000-0000-000098070000}"/>
    <cellStyle name="Comma 5 9 3" xfId="9653" xr:uid="{00000000-0005-0000-0000-000099070000}"/>
    <cellStyle name="Comma 6" xfId="1170" xr:uid="{00000000-0005-0000-0000-00009A070000}"/>
    <cellStyle name="Comma 6 10" xfId="1171" xr:uid="{00000000-0005-0000-0000-00009B070000}"/>
    <cellStyle name="Comma 6 10 2" xfId="9655" xr:uid="{00000000-0005-0000-0000-00009C070000}"/>
    <cellStyle name="Comma 6 2" xfId="1172" xr:uid="{00000000-0005-0000-0000-00009D070000}"/>
    <cellStyle name="Comma 6 2 2" xfId="1173" xr:uid="{00000000-0005-0000-0000-00009E070000}"/>
    <cellStyle name="Comma 6 2 2 2" xfId="1174" xr:uid="{00000000-0005-0000-0000-00009F070000}"/>
    <cellStyle name="Comma 6 2 2 2 2" xfId="1175" xr:uid="{00000000-0005-0000-0000-0000A0070000}"/>
    <cellStyle name="Comma 6 2 2 2 2 2" xfId="1176" xr:uid="{00000000-0005-0000-0000-0000A1070000}"/>
    <cellStyle name="Comma 6 2 2 2 2 2 2" xfId="1177" xr:uid="{00000000-0005-0000-0000-0000A2070000}"/>
    <cellStyle name="Comma 6 2 2 2 2 2 2 2" xfId="1178" xr:uid="{00000000-0005-0000-0000-0000A3070000}"/>
    <cellStyle name="Comma 6 2 2 2 2 2 2 2 2" xfId="9658" xr:uid="{00000000-0005-0000-0000-0000A4070000}"/>
    <cellStyle name="Comma 6 2 2 2 2 2 2 3" xfId="9657" xr:uid="{00000000-0005-0000-0000-0000A5070000}"/>
    <cellStyle name="Comma 6 2 2 2 2 2 3" xfId="1179" xr:uid="{00000000-0005-0000-0000-0000A6070000}"/>
    <cellStyle name="Comma 6 2 2 2 2 2 3 2" xfId="1180" xr:uid="{00000000-0005-0000-0000-0000A7070000}"/>
    <cellStyle name="Comma 6 2 2 2 2 2 3 2 2" xfId="9660" xr:uid="{00000000-0005-0000-0000-0000A8070000}"/>
    <cellStyle name="Comma 6 2 2 2 2 2 3 3" xfId="9659" xr:uid="{00000000-0005-0000-0000-0000A9070000}"/>
    <cellStyle name="Comma 6 2 2 2 2 2 4" xfId="1181" xr:uid="{00000000-0005-0000-0000-0000AA070000}"/>
    <cellStyle name="Comma 6 2 2 2 2 2 4 2" xfId="9661" xr:uid="{00000000-0005-0000-0000-0000AB070000}"/>
    <cellStyle name="Comma 6 2 2 2 2 2 5" xfId="9656" xr:uid="{00000000-0005-0000-0000-0000AC070000}"/>
    <cellStyle name="Comma 6 2 2 2 2 3" xfId="1182" xr:uid="{00000000-0005-0000-0000-0000AD070000}"/>
    <cellStyle name="Comma 6 2 2 2 2 3 2" xfId="1183" xr:uid="{00000000-0005-0000-0000-0000AE070000}"/>
    <cellStyle name="Comma 6 2 2 2 2 3 2 2" xfId="9663" xr:uid="{00000000-0005-0000-0000-0000AF070000}"/>
    <cellStyle name="Comma 6 2 2 2 2 3 3" xfId="9662" xr:uid="{00000000-0005-0000-0000-0000B0070000}"/>
    <cellStyle name="Comma 6 2 2 2 2 4" xfId="1184" xr:uid="{00000000-0005-0000-0000-0000B1070000}"/>
    <cellStyle name="Comma 6 2 2 2 2 4 2" xfId="1185" xr:uid="{00000000-0005-0000-0000-0000B2070000}"/>
    <cellStyle name="Comma 6 2 2 2 2 4 2 2" xfId="9665" xr:uid="{00000000-0005-0000-0000-0000B3070000}"/>
    <cellStyle name="Comma 6 2 2 2 2 4 3" xfId="9664" xr:uid="{00000000-0005-0000-0000-0000B4070000}"/>
    <cellStyle name="Comma 6 2 2 2 2 5" xfId="1186" xr:uid="{00000000-0005-0000-0000-0000B5070000}"/>
    <cellStyle name="Comma 6 2 2 2 2 5 2" xfId="9666" xr:uid="{00000000-0005-0000-0000-0000B6070000}"/>
    <cellStyle name="Comma 6 2 2 2 3" xfId="1187" xr:uid="{00000000-0005-0000-0000-0000B7070000}"/>
    <cellStyle name="Comma 6 2 2 2 3 2" xfId="1188" xr:uid="{00000000-0005-0000-0000-0000B8070000}"/>
    <cellStyle name="Comma 6 2 2 2 3 2 2" xfId="1189" xr:uid="{00000000-0005-0000-0000-0000B9070000}"/>
    <cellStyle name="Comma 6 2 2 2 3 2 2 2" xfId="9669" xr:uid="{00000000-0005-0000-0000-0000BA070000}"/>
    <cellStyle name="Comma 6 2 2 2 3 2 3" xfId="9668" xr:uid="{00000000-0005-0000-0000-0000BB070000}"/>
    <cellStyle name="Comma 6 2 2 2 3 3" xfId="1190" xr:uid="{00000000-0005-0000-0000-0000BC070000}"/>
    <cellStyle name="Comma 6 2 2 2 3 3 2" xfId="1191" xr:uid="{00000000-0005-0000-0000-0000BD070000}"/>
    <cellStyle name="Comma 6 2 2 2 3 3 2 2" xfId="9671" xr:uid="{00000000-0005-0000-0000-0000BE070000}"/>
    <cellStyle name="Comma 6 2 2 2 3 3 3" xfId="9670" xr:uid="{00000000-0005-0000-0000-0000BF070000}"/>
    <cellStyle name="Comma 6 2 2 2 3 4" xfId="1192" xr:uid="{00000000-0005-0000-0000-0000C0070000}"/>
    <cellStyle name="Comma 6 2 2 2 3 4 2" xfId="9672" xr:uid="{00000000-0005-0000-0000-0000C1070000}"/>
    <cellStyle name="Comma 6 2 2 2 3 5" xfId="9667" xr:uid="{00000000-0005-0000-0000-0000C2070000}"/>
    <cellStyle name="Comma 6 2 2 2 4" xfId="1193" xr:uid="{00000000-0005-0000-0000-0000C3070000}"/>
    <cellStyle name="Comma 6 2 2 2 4 2" xfId="1194" xr:uid="{00000000-0005-0000-0000-0000C4070000}"/>
    <cellStyle name="Comma 6 2 2 2 4 2 2" xfId="9674" xr:uid="{00000000-0005-0000-0000-0000C5070000}"/>
    <cellStyle name="Comma 6 2 2 2 4 3" xfId="9673" xr:uid="{00000000-0005-0000-0000-0000C6070000}"/>
    <cellStyle name="Comma 6 2 2 2 5" xfId="1195" xr:uid="{00000000-0005-0000-0000-0000C7070000}"/>
    <cellStyle name="Comma 6 2 2 2 5 2" xfId="1196" xr:uid="{00000000-0005-0000-0000-0000C8070000}"/>
    <cellStyle name="Comma 6 2 2 2 5 2 2" xfId="9676" xr:uid="{00000000-0005-0000-0000-0000C9070000}"/>
    <cellStyle name="Comma 6 2 2 2 5 3" xfId="9675" xr:uid="{00000000-0005-0000-0000-0000CA070000}"/>
    <cellStyle name="Comma 6 2 2 2 6" xfId="1197" xr:uid="{00000000-0005-0000-0000-0000CB070000}"/>
    <cellStyle name="Comma 6 2 2 2 6 2" xfId="9677" xr:uid="{00000000-0005-0000-0000-0000CC070000}"/>
    <cellStyle name="Comma 6 2 2 3" xfId="1198" xr:uid="{00000000-0005-0000-0000-0000CD070000}"/>
    <cellStyle name="Comma 6 2 2 3 2" xfId="1199" xr:uid="{00000000-0005-0000-0000-0000CE070000}"/>
    <cellStyle name="Comma 6 2 2 3 2 2" xfId="1200" xr:uid="{00000000-0005-0000-0000-0000CF070000}"/>
    <cellStyle name="Comma 6 2 2 3 2 2 2" xfId="1201" xr:uid="{00000000-0005-0000-0000-0000D0070000}"/>
    <cellStyle name="Comma 6 2 2 3 2 2 2 2" xfId="9681" xr:uid="{00000000-0005-0000-0000-0000D1070000}"/>
    <cellStyle name="Comma 6 2 2 3 2 2 3" xfId="9680" xr:uid="{00000000-0005-0000-0000-0000D2070000}"/>
    <cellStyle name="Comma 6 2 2 3 2 3" xfId="1202" xr:uid="{00000000-0005-0000-0000-0000D3070000}"/>
    <cellStyle name="Comma 6 2 2 3 2 3 2" xfId="1203" xr:uid="{00000000-0005-0000-0000-0000D4070000}"/>
    <cellStyle name="Comma 6 2 2 3 2 3 2 2" xfId="9683" xr:uid="{00000000-0005-0000-0000-0000D5070000}"/>
    <cellStyle name="Comma 6 2 2 3 2 3 3" xfId="9682" xr:uid="{00000000-0005-0000-0000-0000D6070000}"/>
    <cellStyle name="Comma 6 2 2 3 2 4" xfId="1204" xr:uid="{00000000-0005-0000-0000-0000D7070000}"/>
    <cellStyle name="Comma 6 2 2 3 2 4 2" xfId="9684" xr:uid="{00000000-0005-0000-0000-0000D8070000}"/>
    <cellStyle name="Comma 6 2 2 3 2 5" xfId="9679" xr:uid="{00000000-0005-0000-0000-0000D9070000}"/>
    <cellStyle name="Comma 6 2 2 3 3" xfId="1205" xr:uid="{00000000-0005-0000-0000-0000DA070000}"/>
    <cellStyle name="Comma 6 2 2 3 3 2" xfId="1206" xr:uid="{00000000-0005-0000-0000-0000DB070000}"/>
    <cellStyle name="Comma 6 2 2 3 3 2 2" xfId="9686" xr:uid="{00000000-0005-0000-0000-0000DC070000}"/>
    <cellStyle name="Comma 6 2 2 3 3 3" xfId="9685" xr:uid="{00000000-0005-0000-0000-0000DD070000}"/>
    <cellStyle name="Comma 6 2 2 3 4" xfId="1207" xr:uid="{00000000-0005-0000-0000-0000DE070000}"/>
    <cellStyle name="Comma 6 2 2 3 4 2" xfId="1208" xr:uid="{00000000-0005-0000-0000-0000DF070000}"/>
    <cellStyle name="Comma 6 2 2 3 4 2 2" xfId="9688" xr:uid="{00000000-0005-0000-0000-0000E0070000}"/>
    <cellStyle name="Comma 6 2 2 3 4 3" xfId="9687" xr:uid="{00000000-0005-0000-0000-0000E1070000}"/>
    <cellStyle name="Comma 6 2 2 3 5" xfId="1209" xr:uid="{00000000-0005-0000-0000-0000E2070000}"/>
    <cellStyle name="Comma 6 2 2 3 5 2" xfId="9689" xr:uid="{00000000-0005-0000-0000-0000E3070000}"/>
    <cellStyle name="Comma 6 2 2 3 6" xfId="9678" xr:uid="{00000000-0005-0000-0000-0000E4070000}"/>
    <cellStyle name="Comma 6 2 2 4" xfId="1210" xr:uid="{00000000-0005-0000-0000-0000E5070000}"/>
    <cellStyle name="Comma 6 2 2 4 2" xfId="1211" xr:uid="{00000000-0005-0000-0000-0000E6070000}"/>
    <cellStyle name="Comma 6 2 2 4 2 2" xfId="1212" xr:uid="{00000000-0005-0000-0000-0000E7070000}"/>
    <cellStyle name="Comma 6 2 2 4 2 2 2" xfId="9692" xr:uid="{00000000-0005-0000-0000-0000E8070000}"/>
    <cellStyle name="Comma 6 2 2 4 2 3" xfId="9691" xr:uid="{00000000-0005-0000-0000-0000E9070000}"/>
    <cellStyle name="Comma 6 2 2 4 3" xfId="1213" xr:uid="{00000000-0005-0000-0000-0000EA070000}"/>
    <cellStyle name="Comma 6 2 2 4 3 2" xfId="1214" xr:uid="{00000000-0005-0000-0000-0000EB070000}"/>
    <cellStyle name="Comma 6 2 2 4 3 2 2" xfId="9694" xr:uid="{00000000-0005-0000-0000-0000EC070000}"/>
    <cellStyle name="Comma 6 2 2 4 3 3" xfId="9693" xr:uid="{00000000-0005-0000-0000-0000ED070000}"/>
    <cellStyle name="Comma 6 2 2 4 4" xfId="1215" xr:uid="{00000000-0005-0000-0000-0000EE070000}"/>
    <cellStyle name="Comma 6 2 2 4 4 2" xfId="9695" xr:uid="{00000000-0005-0000-0000-0000EF070000}"/>
    <cellStyle name="Comma 6 2 2 4 5" xfId="9690" xr:uid="{00000000-0005-0000-0000-0000F0070000}"/>
    <cellStyle name="Comma 6 2 2 5" xfId="1216" xr:uid="{00000000-0005-0000-0000-0000F1070000}"/>
    <cellStyle name="Comma 6 2 2 5 2" xfId="1217" xr:uid="{00000000-0005-0000-0000-0000F2070000}"/>
    <cellStyle name="Comma 6 2 2 5 2 2" xfId="9697" xr:uid="{00000000-0005-0000-0000-0000F3070000}"/>
    <cellStyle name="Comma 6 2 2 5 3" xfId="9696" xr:uid="{00000000-0005-0000-0000-0000F4070000}"/>
    <cellStyle name="Comma 6 2 2 6" xfId="1218" xr:uid="{00000000-0005-0000-0000-0000F5070000}"/>
    <cellStyle name="Comma 6 2 2 6 2" xfId="1219" xr:uid="{00000000-0005-0000-0000-0000F6070000}"/>
    <cellStyle name="Comma 6 2 2 6 2 2" xfId="9699" xr:uid="{00000000-0005-0000-0000-0000F7070000}"/>
    <cellStyle name="Comma 6 2 2 6 3" xfId="9698" xr:uid="{00000000-0005-0000-0000-0000F8070000}"/>
    <cellStyle name="Comma 6 2 2 7" xfId="1220" xr:uid="{00000000-0005-0000-0000-0000F9070000}"/>
    <cellStyle name="Comma 6 2 2 7 2" xfId="9700" xr:uid="{00000000-0005-0000-0000-0000FA070000}"/>
    <cellStyle name="Comma 6 2 3" xfId="1221" xr:uid="{00000000-0005-0000-0000-0000FB070000}"/>
    <cellStyle name="Comma 6 2 3 2" xfId="1222" xr:uid="{00000000-0005-0000-0000-0000FC070000}"/>
    <cellStyle name="Comma 6 2 3 2 2" xfId="1223" xr:uid="{00000000-0005-0000-0000-0000FD070000}"/>
    <cellStyle name="Comma 6 2 3 2 2 2" xfId="1224" xr:uid="{00000000-0005-0000-0000-0000FE070000}"/>
    <cellStyle name="Comma 6 2 3 2 2 2 2" xfId="1225" xr:uid="{00000000-0005-0000-0000-0000FF070000}"/>
    <cellStyle name="Comma 6 2 3 2 2 2 2 2" xfId="9705" xr:uid="{00000000-0005-0000-0000-000000080000}"/>
    <cellStyle name="Comma 6 2 3 2 2 2 3" xfId="9704" xr:uid="{00000000-0005-0000-0000-000001080000}"/>
    <cellStyle name="Comma 6 2 3 2 2 3" xfId="1226" xr:uid="{00000000-0005-0000-0000-000002080000}"/>
    <cellStyle name="Comma 6 2 3 2 2 3 2" xfId="1227" xr:uid="{00000000-0005-0000-0000-000003080000}"/>
    <cellStyle name="Comma 6 2 3 2 2 3 2 2" xfId="9707" xr:uid="{00000000-0005-0000-0000-000004080000}"/>
    <cellStyle name="Comma 6 2 3 2 2 3 3" xfId="9706" xr:uid="{00000000-0005-0000-0000-000005080000}"/>
    <cellStyle name="Comma 6 2 3 2 2 4" xfId="1228" xr:uid="{00000000-0005-0000-0000-000006080000}"/>
    <cellStyle name="Comma 6 2 3 2 2 4 2" xfId="9708" xr:uid="{00000000-0005-0000-0000-000007080000}"/>
    <cellStyle name="Comma 6 2 3 2 2 5" xfId="9703" xr:uid="{00000000-0005-0000-0000-000008080000}"/>
    <cellStyle name="Comma 6 2 3 2 3" xfId="1229" xr:uid="{00000000-0005-0000-0000-000009080000}"/>
    <cellStyle name="Comma 6 2 3 2 3 2" xfId="1230" xr:uid="{00000000-0005-0000-0000-00000A080000}"/>
    <cellStyle name="Comma 6 2 3 2 3 2 2" xfId="9710" xr:uid="{00000000-0005-0000-0000-00000B080000}"/>
    <cellStyle name="Comma 6 2 3 2 3 3" xfId="9709" xr:uid="{00000000-0005-0000-0000-00000C080000}"/>
    <cellStyle name="Comma 6 2 3 2 4" xfId="1231" xr:uid="{00000000-0005-0000-0000-00000D080000}"/>
    <cellStyle name="Comma 6 2 3 2 4 2" xfId="1232" xr:uid="{00000000-0005-0000-0000-00000E080000}"/>
    <cellStyle name="Comma 6 2 3 2 4 2 2" xfId="9712" xr:uid="{00000000-0005-0000-0000-00000F080000}"/>
    <cellStyle name="Comma 6 2 3 2 4 3" xfId="9711" xr:uid="{00000000-0005-0000-0000-000010080000}"/>
    <cellStyle name="Comma 6 2 3 2 5" xfId="1233" xr:uid="{00000000-0005-0000-0000-000011080000}"/>
    <cellStyle name="Comma 6 2 3 2 5 2" xfId="9713" xr:uid="{00000000-0005-0000-0000-000012080000}"/>
    <cellStyle name="Comma 6 2 3 2 6" xfId="9702" xr:uid="{00000000-0005-0000-0000-000013080000}"/>
    <cellStyle name="Comma 6 2 3 3" xfId="1234" xr:uid="{00000000-0005-0000-0000-000014080000}"/>
    <cellStyle name="Comma 6 2 3 3 2" xfId="1235" xr:uid="{00000000-0005-0000-0000-000015080000}"/>
    <cellStyle name="Comma 6 2 3 3 2 2" xfId="1236" xr:uid="{00000000-0005-0000-0000-000016080000}"/>
    <cellStyle name="Comma 6 2 3 3 2 2 2" xfId="9716" xr:uid="{00000000-0005-0000-0000-000017080000}"/>
    <cellStyle name="Comma 6 2 3 3 2 3" xfId="9715" xr:uid="{00000000-0005-0000-0000-000018080000}"/>
    <cellStyle name="Comma 6 2 3 3 3" xfId="1237" xr:uid="{00000000-0005-0000-0000-000019080000}"/>
    <cellStyle name="Comma 6 2 3 3 3 2" xfId="1238" xr:uid="{00000000-0005-0000-0000-00001A080000}"/>
    <cellStyle name="Comma 6 2 3 3 3 2 2" xfId="9718" xr:uid="{00000000-0005-0000-0000-00001B080000}"/>
    <cellStyle name="Comma 6 2 3 3 3 3" xfId="9717" xr:uid="{00000000-0005-0000-0000-00001C080000}"/>
    <cellStyle name="Comma 6 2 3 3 4" xfId="1239" xr:uid="{00000000-0005-0000-0000-00001D080000}"/>
    <cellStyle name="Comma 6 2 3 3 4 2" xfId="9719" xr:uid="{00000000-0005-0000-0000-00001E080000}"/>
    <cellStyle name="Comma 6 2 3 3 5" xfId="9714" xr:uid="{00000000-0005-0000-0000-00001F080000}"/>
    <cellStyle name="Comma 6 2 3 4" xfId="1240" xr:uid="{00000000-0005-0000-0000-000020080000}"/>
    <cellStyle name="Comma 6 2 3 4 2" xfId="1241" xr:uid="{00000000-0005-0000-0000-000021080000}"/>
    <cellStyle name="Comma 6 2 3 4 2 2" xfId="9721" xr:uid="{00000000-0005-0000-0000-000022080000}"/>
    <cellStyle name="Comma 6 2 3 4 3" xfId="9720" xr:uid="{00000000-0005-0000-0000-000023080000}"/>
    <cellStyle name="Comma 6 2 3 5" xfId="1242" xr:uid="{00000000-0005-0000-0000-000024080000}"/>
    <cellStyle name="Comma 6 2 3 5 2" xfId="1243" xr:uid="{00000000-0005-0000-0000-000025080000}"/>
    <cellStyle name="Comma 6 2 3 5 2 2" xfId="9723" xr:uid="{00000000-0005-0000-0000-000026080000}"/>
    <cellStyle name="Comma 6 2 3 5 3" xfId="9722" xr:uid="{00000000-0005-0000-0000-000027080000}"/>
    <cellStyle name="Comma 6 2 3 6" xfId="1244" xr:uid="{00000000-0005-0000-0000-000028080000}"/>
    <cellStyle name="Comma 6 2 3 6 2" xfId="9724" xr:uid="{00000000-0005-0000-0000-000029080000}"/>
    <cellStyle name="Comma 6 2 3 7" xfId="9701" xr:uid="{00000000-0005-0000-0000-00002A080000}"/>
    <cellStyle name="Comma 6 2 4" xfId="1245" xr:uid="{00000000-0005-0000-0000-00002B080000}"/>
    <cellStyle name="Comma 6 2 4 2" xfId="1246" xr:uid="{00000000-0005-0000-0000-00002C080000}"/>
    <cellStyle name="Comma 6 2 4 2 2" xfId="1247" xr:uid="{00000000-0005-0000-0000-00002D080000}"/>
    <cellStyle name="Comma 6 2 4 2 2 2" xfId="1248" xr:uid="{00000000-0005-0000-0000-00002E080000}"/>
    <cellStyle name="Comma 6 2 4 2 2 2 2" xfId="9728" xr:uid="{00000000-0005-0000-0000-00002F080000}"/>
    <cellStyle name="Comma 6 2 4 2 2 3" xfId="9727" xr:uid="{00000000-0005-0000-0000-000030080000}"/>
    <cellStyle name="Comma 6 2 4 2 3" xfId="1249" xr:uid="{00000000-0005-0000-0000-000031080000}"/>
    <cellStyle name="Comma 6 2 4 2 3 2" xfId="1250" xr:uid="{00000000-0005-0000-0000-000032080000}"/>
    <cellStyle name="Comma 6 2 4 2 3 2 2" xfId="9730" xr:uid="{00000000-0005-0000-0000-000033080000}"/>
    <cellStyle name="Comma 6 2 4 2 3 3" xfId="9729" xr:uid="{00000000-0005-0000-0000-000034080000}"/>
    <cellStyle name="Comma 6 2 4 2 4" xfId="1251" xr:uid="{00000000-0005-0000-0000-000035080000}"/>
    <cellStyle name="Comma 6 2 4 2 4 2" xfId="9731" xr:uid="{00000000-0005-0000-0000-000036080000}"/>
    <cellStyle name="Comma 6 2 4 2 5" xfId="9726" xr:uid="{00000000-0005-0000-0000-000037080000}"/>
    <cellStyle name="Comma 6 2 4 3" xfId="1252" xr:uid="{00000000-0005-0000-0000-000038080000}"/>
    <cellStyle name="Comma 6 2 4 3 2" xfId="1253" xr:uid="{00000000-0005-0000-0000-000039080000}"/>
    <cellStyle name="Comma 6 2 4 3 2 2" xfId="9733" xr:uid="{00000000-0005-0000-0000-00003A080000}"/>
    <cellStyle name="Comma 6 2 4 3 3" xfId="9732" xr:uid="{00000000-0005-0000-0000-00003B080000}"/>
    <cellStyle name="Comma 6 2 4 4" xfId="1254" xr:uid="{00000000-0005-0000-0000-00003C080000}"/>
    <cellStyle name="Comma 6 2 4 4 2" xfId="1255" xr:uid="{00000000-0005-0000-0000-00003D080000}"/>
    <cellStyle name="Comma 6 2 4 4 2 2" xfId="9735" xr:uid="{00000000-0005-0000-0000-00003E080000}"/>
    <cellStyle name="Comma 6 2 4 4 3" xfId="9734" xr:uid="{00000000-0005-0000-0000-00003F080000}"/>
    <cellStyle name="Comma 6 2 4 5" xfId="1256" xr:uid="{00000000-0005-0000-0000-000040080000}"/>
    <cellStyle name="Comma 6 2 4 5 2" xfId="9736" xr:uid="{00000000-0005-0000-0000-000041080000}"/>
    <cellStyle name="Comma 6 2 4 6" xfId="9725" xr:uid="{00000000-0005-0000-0000-000042080000}"/>
    <cellStyle name="Comma 6 2 5" xfId="1257" xr:uid="{00000000-0005-0000-0000-000043080000}"/>
    <cellStyle name="Comma 6 2 5 2" xfId="1258" xr:uid="{00000000-0005-0000-0000-000044080000}"/>
    <cellStyle name="Comma 6 2 5 2 2" xfId="1259" xr:uid="{00000000-0005-0000-0000-000045080000}"/>
    <cellStyle name="Comma 6 2 5 2 2 2" xfId="9739" xr:uid="{00000000-0005-0000-0000-000046080000}"/>
    <cellStyle name="Comma 6 2 5 2 3" xfId="9738" xr:uid="{00000000-0005-0000-0000-000047080000}"/>
    <cellStyle name="Comma 6 2 5 3" xfId="1260" xr:uid="{00000000-0005-0000-0000-000048080000}"/>
    <cellStyle name="Comma 6 2 5 3 2" xfId="1261" xr:uid="{00000000-0005-0000-0000-000049080000}"/>
    <cellStyle name="Comma 6 2 5 3 2 2" xfId="9741" xr:uid="{00000000-0005-0000-0000-00004A080000}"/>
    <cellStyle name="Comma 6 2 5 3 3" xfId="9740" xr:uid="{00000000-0005-0000-0000-00004B080000}"/>
    <cellStyle name="Comma 6 2 5 4" xfId="1262" xr:uid="{00000000-0005-0000-0000-00004C080000}"/>
    <cellStyle name="Comma 6 2 5 4 2" xfId="9742" xr:uid="{00000000-0005-0000-0000-00004D080000}"/>
    <cellStyle name="Comma 6 2 5 5" xfId="9737" xr:uid="{00000000-0005-0000-0000-00004E080000}"/>
    <cellStyle name="Comma 6 2 6" xfId="1263" xr:uid="{00000000-0005-0000-0000-00004F080000}"/>
    <cellStyle name="Comma 6 2 6 2" xfId="1264" xr:uid="{00000000-0005-0000-0000-000050080000}"/>
    <cellStyle name="Comma 6 2 6 2 2" xfId="9744" xr:uid="{00000000-0005-0000-0000-000051080000}"/>
    <cellStyle name="Comma 6 2 6 3" xfId="9743" xr:uid="{00000000-0005-0000-0000-000052080000}"/>
    <cellStyle name="Comma 6 2 7" xfId="1265" xr:uid="{00000000-0005-0000-0000-000053080000}"/>
    <cellStyle name="Comma 6 2 7 2" xfId="1266" xr:uid="{00000000-0005-0000-0000-000054080000}"/>
    <cellStyle name="Comma 6 2 7 2 2" xfId="9746" xr:uid="{00000000-0005-0000-0000-000055080000}"/>
    <cellStyle name="Comma 6 2 7 3" xfId="9745" xr:uid="{00000000-0005-0000-0000-000056080000}"/>
    <cellStyle name="Comma 6 2 8" xfId="1267" xr:uid="{00000000-0005-0000-0000-000057080000}"/>
    <cellStyle name="Comma 6 2 8 2" xfId="9747" xr:uid="{00000000-0005-0000-0000-000058080000}"/>
    <cellStyle name="Comma 6 3" xfId="1268" xr:uid="{00000000-0005-0000-0000-000059080000}"/>
    <cellStyle name="Comma 6 3 2" xfId="1269" xr:uid="{00000000-0005-0000-0000-00005A080000}"/>
    <cellStyle name="Comma 6 3 2 2" xfId="1270" xr:uid="{00000000-0005-0000-0000-00005B080000}"/>
    <cellStyle name="Comma 6 3 2 2 2" xfId="1271" xr:uid="{00000000-0005-0000-0000-00005C080000}"/>
    <cellStyle name="Comma 6 3 2 2 2 2" xfId="1272" xr:uid="{00000000-0005-0000-0000-00005D080000}"/>
    <cellStyle name="Comma 6 3 2 2 2 2 2" xfId="1273" xr:uid="{00000000-0005-0000-0000-00005E080000}"/>
    <cellStyle name="Comma 6 3 2 2 2 2 2 2" xfId="9752" xr:uid="{00000000-0005-0000-0000-00005F080000}"/>
    <cellStyle name="Comma 6 3 2 2 2 2 3" xfId="9751" xr:uid="{00000000-0005-0000-0000-000060080000}"/>
    <cellStyle name="Comma 6 3 2 2 2 3" xfId="1274" xr:uid="{00000000-0005-0000-0000-000061080000}"/>
    <cellStyle name="Comma 6 3 2 2 2 3 2" xfId="1275" xr:uid="{00000000-0005-0000-0000-000062080000}"/>
    <cellStyle name="Comma 6 3 2 2 2 3 2 2" xfId="9754" xr:uid="{00000000-0005-0000-0000-000063080000}"/>
    <cellStyle name="Comma 6 3 2 2 2 3 3" xfId="9753" xr:uid="{00000000-0005-0000-0000-000064080000}"/>
    <cellStyle name="Comma 6 3 2 2 2 4" xfId="1276" xr:uid="{00000000-0005-0000-0000-000065080000}"/>
    <cellStyle name="Comma 6 3 2 2 2 4 2" xfId="9755" xr:uid="{00000000-0005-0000-0000-000066080000}"/>
    <cellStyle name="Comma 6 3 2 2 2 5" xfId="9750" xr:uid="{00000000-0005-0000-0000-000067080000}"/>
    <cellStyle name="Comma 6 3 2 2 3" xfId="1277" xr:uid="{00000000-0005-0000-0000-000068080000}"/>
    <cellStyle name="Comma 6 3 2 2 3 2" xfId="1278" xr:uid="{00000000-0005-0000-0000-000069080000}"/>
    <cellStyle name="Comma 6 3 2 2 3 2 2" xfId="9757" xr:uid="{00000000-0005-0000-0000-00006A080000}"/>
    <cellStyle name="Comma 6 3 2 2 3 3" xfId="9756" xr:uid="{00000000-0005-0000-0000-00006B080000}"/>
    <cellStyle name="Comma 6 3 2 2 4" xfId="1279" xr:uid="{00000000-0005-0000-0000-00006C080000}"/>
    <cellStyle name="Comma 6 3 2 2 4 2" xfId="1280" xr:uid="{00000000-0005-0000-0000-00006D080000}"/>
    <cellStyle name="Comma 6 3 2 2 4 2 2" xfId="9759" xr:uid="{00000000-0005-0000-0000-00006E080000}"/>
    <cellStyle name="Comma 6 3 2 2 4 3" xfId="9758" xr:uid="{00000000-0005-0000-0000-00006F080000}"/>
    <cellStyle name="Comma 6 3 2 2 5" xfId="1281" xr:uid="{00000000-0005-0000-0000-000070080000}"/>
    <cellStyle name="Comma 6 3 2 2 5 2" xfId="9760" xr:uid="{00000000-0005-0000-0000-000071080000}"/>
    <cellStyle name="Comma 6 3 2 2 6" xfId="9749" xr:uid="{00000000-0005-0000-0000-000072080000}"/>
    <cellStyle name="Comma 6 3 2 3" xfId="1282" xr:uid="{00000000-0005-0000-0000-000073080000}"/>
    <cellStyle name="Comma 6 3 2 3 2" xfId="1283" xr:uid="{00000000-0005-0000-0000-000074080000}"/>
    <cellStyle name="Comma 6 3 2 3 2 2" xfId="1284" xr:uid="{00000000-0005-0000-0000-000075080000}"/>
    <cellStyle name="Comma 6 3 2 3 2 2 2" xfId="9763" xr:uid="{00000000-0005-0000-0000-000076080000}"/>
    <cellStyle name="Comma 6 3 2 3 2 3" xfId="9762" xr:uid="{00000000-0005-0000-0000-000077080000}"/>
    <cellStyle name="Comma 6 3 2 3 3" xfId="1285" xr:uid="{00000000-0005-0000-0000-000078080000}"/>
    <cellStyle name="Comma 6 3 2 3 3 2" xfId="1286" xr:uid="{00000000-0005-0000-0000-000079080000}"/>
    <cellStyle name="Comma 6 3 2 3 3 2 2" xfId="9765" xr:uid="{00000000-0005-0000-0000-00007A080000}"/>
    <cellStyle name="Comma 6 3 2 3 3 3" xfId="9764" xr:uid="{00000000-0005-0000-0000-00007B080000}"/>
    <cellStyle name="Comma 6 3 2 3 4" xfId="1287" xr:uid="{00000000-0005-0000-0000-00007C080000}"/>
    <cellStyle name="Comma 6 3 2 3 4 2" xfId="9766" xr:uid="{00000000-0005-0000-0000-00007D080000}"/>
    <cellStyle name="Comma 6 3 2 3 5" xfId="9761" xr:uid="{00000000-0005-0000-0000-00007E080000}"/>
    <cellStyle name="Comma 6 3 2 4" xfId="1288" xr:uid="{00000000-0005-0000-0000-00007F080000}"/>
    <cellStyle name="Comma 6 3 2 4 2" xfId="1289" xr:uid="{00000000-0005-0000-0000-000080080000}"/>
    <cellStyle name="Comma 6 3 2 4 2 2" xfId="9768" xr:uid="{00000000-0005-0000-0000-000081080000}"/>
    <cellStyle name="Comma 6 3 2 4 3" xfId="9767" xr:uid="{00000000-0005-0000-0000-000082080000}"/>
    <cellStyle name="Comma 6 3 2 5" xfId="1290" xr:uid="{00000000-0005-0000-0000-000083080000}"/>
    <cellStyle name="Comma 6 3 2 5 2" xfId="1291" xr:uid="{00000000-0005-0000-0000-000084080000}"/>
    <cellStyle name="Comma 6 3 2 5 2 2" xfId="9770" xr:uid="{00000000-0005-0000-0000-000085080000}"/>
    <cellStyle name="Comma 6 3 2 5 3" xfId="9769" xr:uid="{00000000-0005-0000-0000-000086080000}"/>
    <cellStyle name="Comma 6 3 2 6" xfId="1292" xr:uid="{00000000-0005-0000-0000-000087080000}"/>
    <cellStyle name="Comma 6 3 2 6 2" xfId="9771" xr:uid="{00000000-0005-0000-0000-000088080000}"/>
    <cellStyle name="Comma 6 3 3" xfId="1293" xr:uid="{00000000-0005-0000-0000-000089080000}"/>
    <cellStyle name="Comma 6 3 3 2" xfId="1294" xr:uid="{00000000-0005-0000-0000-00008A080000}"/>
    <cellStyle name="Comma 6 3 3 2 2" xfId="1295" xr:uid="{00000000-0005-0000-0000-00008B080000}"/>
    <cellStyle name="Comma 6 3 3 2 2 2" xfId="1296" xr:uid="{00000000-0005-0000-0000-00008C080000}"/>
    <cellStyle name="Comma 6 3 3 2 2 2 2" xfId="9775" xr:uid="{00000000-0005-0000-0000-00008D080000}"/>
    <cellStyle name="Comma 6 3 3 2 2 3" xfId="9774" xr:uid="{00000000-0005-0000-0000-00008E080000}"/>
    <cellStyle name="Comma 6 3 3 2 3" xfId="1297" xr:uid="{00000000-0005-0000-0000-00008F080000}"/>
    <cellStyle name="Comma 6 3 3 2 3 2" xfId="1298" xr:uid="{00000000-0005-0000-0000-000090080000}"/>
    <cellStyle name="Comma 6 3 3 2 3 2 2" xfId="9777" xr:uid="{00000000-0005-0000-0000-000091080000}"/>
    <cellStyle name="Comma 6 3 3 2 3 3" xfId="9776" xr:uid="{00000000-0005-0000-0000-000092080000}"/>
    <cellStyle name="Comma 6 3 3 2 4" xfId="1299" xr:uid="{00000000-0005-0000-0000-000093080000}"/>
    <cellStyle name="Comma 6 3 3 2 4 2" xfId="9778" xr:uid="{00000000-0005-0000-0000-000094080000}"/>
    <cellStyle name="Comma 6 3 3 2 5" xfId="9773" xr:uid="{00000000-0005-0000-0000-000095080000}"/>
    <cellStyle name="Comma 6 3 3 3" xfId="1300" xr:uid="{00000000-0005-0000-0000-000096080000}"/>
    <cellStyle name="Comma 6 3 3 3 2" xfId="1301" xr:uid="{00000000-0005-0000-0000-000097080000}"/>
    <cellStyle name="Comma 6 3 3 3 2 2" xfId="9780" xr:uid="{00000000-0005-0000-0000-000098080000}"/>
    <cellStyle name="Comma 6 3 3 3 3" xfId="9779" xr:uid="{00000000-0005-0000-0000-000099080000}"/>
    <cellStyle name="Comma 6 3 3 4" xfId="1302" xr:uid="{00000000-0005-0000-0000-00009A080000}"/>
    <cellStyle name="Comma 6 3 3 4 2" xfId="1303" xr:uid="{00000000-0005-0000-0000-00009B080000}"/>
    <cellStyle name="Comma 6 3 3 4 2 2" xfId="9782" xr:uid="{00000000-0005-0000-0000-00009C080000}"/>
    <cellStyle name="Comma 6 3 3 4 3" xfId="9781" xr:uid="{00000000-0005-0000-0000-00009D080000}"/>
    <cellStyle name="Comma 6 3 3 5" xfId="1304" xr:uid="{00000000-0005-0000-0000-00009E080000}"/>
    <cellStyle name="Comma 6 3 3 5 2" xfId="9783" xr:uid="{00000000-0005-0000-0000-00009F080000}"/>
    <cellStyle name="Comma 6 3 3 6" xfId="9772" xr:uid="{00000000-0005-0000-0000-0000A0080000}"/>
    <cellStyle name="Comma 6 3 4" xfId="1305" xr:uid="{00000000-0005-0000-0000-0000A1080000}"/>
    <cellStyle name="Comma 6 3 4 2" xfId="1306" xr:uid="{00000000-0005-0000-0000-0000A2080000}"/>
    <cellStyle name="Comma 6 3 4 2 2" xfId="1307" xr:uid="{00000000-0005-0000-0000-0000A3080000}"/>
    <cellStyle name="Comma 6 3 4 2 2 2" xfId="9786" xr:uid="{00000000-0005-0000-0000-0000A4080000}"/>
    <cellStyle name="Comma 6 3 4 2 3" xfId="9785" xr:uid="{00000000-0005-0000-0000-0000A5080000}"/>
    <cellStyle name="Comma 6 3 4 3" xfId="1308" xr:uid="{00000000-0005-0000-0000-0000A6080000}"/>
    <cellStyle name="Comma 6 3 4 3 2" xfId="1309" xr:uid="{00000000-0005-0000-0000-0000A7080000}"/>
    <cellStyle name="Comma 6 3 4 3 2 2" xfId="9788" xr:uid="{00000000-0005-0000-0000-0000A8080000}"/>
    <cellStyle name="Comma 6 3 4 3 3" xfId="9787" xr:uid="{00000000-0005-0000-0000-0000A9080000}"/>
    <cellStyle name="Comma 6 3 4 4" xfId="1310" xr:uid="{00000000-0005-0000-0000-0000AA080000}"/>
    <cellStyle name="Comma 6 3 4 4 2" xfId="9789" xr:uid="{00000000-0005-0000-0000-0000AB080000}"/>
    <cellStyle name="Comma 6 3 4 5" xfId="9784" xr:uid="{00000000-0005-0000-0000-0000AC080000}"/>
    <cellStyle name="Comma 6 3 5" xfId="1311" xr:uid="{00000000-0005-0000-0000-0000AD080000}"/>
    <cellStyle name="Comma 6 3 5 2" xfId="1312" xr:uid="{00000000-0005-0000-0000-0000AE080000}"/>
    <cellStyle name="Comma 6 3 5 2 2" xfId="9791" xr:uid="{00000000-0005-0000-0000-0000AF080000}"/>
    <cellStyle name="Comma 6 3 5 3" xfId="9790" xr:uid="{00000000-0005-0000-0000-0000B0080000}"/>
    <cellStyle name="Comma 6 3 6" xfId="1313" xr:uid="{00000000-0005-0000-0000-0000B1080000}"/>
    <cellStyle name="Comma 6 3 6 2" xfId="1314" xr:uid="{00000000-0005-0000-0000-0000B2080000}"/>
    <cellStyle name="Comma 6 3 6 2 2" xfId="9793" xr:uid="{00000000-0005-0000-0000-0000B3080000}"/>
    <cellStyle name="Comma 6 3 6 3" xfId="9792" xr:uid="{00000000-0005-0000-0000-0000B4080000}"/>
    <cellStyle name="Comma 6 3 7" xfId="1315" xr:uid="{00000000-0005-0000-0000-0000B5080000}"/>
    <cellStyle name="Comma 6 3 7 2" xfId="9794" xr:uid="{00000000-0005-0000-0000-0000B6080000}"/>
    <cellStyle name="Comma 6 3 8" xfId="9748" xr:uid="{00000000-0005-0000-0000-0000B7080000}"/>
    <cellStyle name="Comma 6 4" xfId="1316" xr:uid="{00000000-0005-0000-0000-0000B8080000}"/>
    <cellStyle name="Comma 6 4 2" xfId="1317" xr:uid="{00000000-0005-0000-0000-0000B9080000}"/>
    <cellStyle name="Comma 6 4 2 2" xfId="1318" xr:uid="{00000000-0005-0000-0000-0000BA080000}"/>
    <cellStyle name="Comma 6 4 2 2 2" xfId="1319" xr:uid="{00000000-0005-0000-0000-0000BB080000}"/>
    <cellStyle name="Comma 6 4 2 2 2 2" xfId="1320" xr:uid="{00000000-0005-0000-0000-0000BC080000}"/>
    <cellStyle name="Comma 6 4 2 2 2 2 2" xfId="1321" xr:uid="{00000000-0005-0000-0000-0000BD080000}"/>
    <cellStyle name="Comma 6 4 2 2 2 2 2 2" xfId="9800" xr:uid="{00000000-0005-0000-0000-0000BE080000}"/>
    <cellStyle name="Comma 6 4 2 2 2 2 3" xfId="9799" xr:uid="{00000000-0005-0000-0000-0000BF080000}"/>
    <cellStyle name="Comma 6 4 2 2 2 3" xfId="1322" xr:uid="{00000000-0005-0000-0000-0000C0080000}"/>
    <cellStyle name="Comma 6 4 2 2 2 3 2" xfId="1323" xr:uid="{00000000-0005-0000-0000-0000C1080000}"/>
    <cellStyle name="Comma 6 4 2 2 2 3 2 2" xfId="9802" xr:uid="{00000000-0005-0000-0000-0000C2080000}"/>
    <cellStyle name="Comma 6 4 2 2 2 3 3" xfId="9801" xr:uid="{00000000-0005-0000-0000-0000C3080000}"/>
    <cellStyle name="Comma 6 4 2 2 2 4" xfId="1324" xr:uid="{00000000-0005-0000-0000-0000C4080000}"/>
    <cellStyle name="Comma 6 4 2 2 2 4 2" xfId="9803" xr:uid="{00000000-0005-0000-0000-0000C5080000}"/>
    <cellStyle name="Comma 6 4 2 2 2 5" xfId="9798" xr:uid="{00000000-0005-0000-0000-0000C6080000}"/>
    <cellStyle name="Comma 6 4 2 2 3" xfId="1325" xr:uid="{00000000-0005-0000-0000-0000C7080000}"/>
    <cellStyle name="Comma 6 4 2 2 3 2" xfId="1326" xr:uid="{00000000-0005-0000-0000-0000C8080000}"/>
    <cellStyle name="Comma 6 4 2 2 3 2 2" xfId="9805" xr:uid="{00000000-0005-0000-0000-0000C9080000}"/>
    <cellStyle name="Comma 6 4 2 2 3 3" xfId="9804" xr:uid="{00000000-0005-0000-0000-0000CA080000}"/>
    <cellStyle name="Comma 6 4 2 2 4" xfId="1327" xr:uid="{00000000-0005-0000-0000-0000CB080000}"/>
    <cellStyle name="Comma 6 4 2 2 4 2" xfId="1328" xr:uid="{00000000-0005-0000-0000-0000CC080000}"/>
    <cellStyle name="Comma 6 4 2 2 4 2 2" xfId="9807" xr:uid="{00000000-0005-0000-0000-0000CD080000}"/>
    <cellStyle name="Comma 6 4 2 2 4 3" xfId="9806" xr:uid="{00000000-0005-0000-0000-0000CE080000}"/>
    <cellStyle name="Comma 6 4 2 2 5" xfId="1329" xr:uid="{00000000-0005-0000-0000-0000CF080000}"/>
    <cellStyle name="Comma 6 4 2 2 5 2" xfId="9808" xr:uid="{00000000-0005-0000-0000-0000D0080000}"/>
    <cellStyle name="Comma 6 4 2 2 6" xfId="9797" xr:uid="{00000000-0005-0000-0000-0000D1080000}"/>
    <cellStyle name="Comma 6 4 2 3" xfId="1330" xr:uid="{00000000-0005-0000-0000-0000D2080000}"/>
    <cellStyle name="Comma 6 4 2 3 2" xfId="1331" xr:uid="{00000000-0005-0000-0000-0000D3080000}"/>
    <cellStyle name="Comma 6 4 2 3 2 2" xfId="1332" xr:uid="{00000000-0005-0000-0000-0000D4080000}"/>
    <cellStyle name="Comma 6 4 2 3 2 2 2" xfId="9811" xr:uid="{00000000-0005-0000-0000-0000D5080000}"/>
    <cellStyle name="Comma 6 4 2 3 2 3" xfId="9810" xr:uid="{00000000-0005-0000-0000-0000D6080000}"/>
    <cellStyle name="Comma 6 4 2 3 3" xfId="1333" xr:uid="{00000000-0005-0000-0000-0000D7080000}"/>
    <cellStyle name="Comma 6 4 2 3 3 2" xfId="1334" xr:uid="{00000000-0005-0000-0000-0000D8080000}"/>
    <cellStyle name="Comma 6 4 2 3 3 2 2" xfId="9813" xr:uid="{00000000-0005-0000-0000-0000D9080000}"/>
    <cellStyle name="Comma 6 4 2 3 3 3" xfId="9812" xr:uid="{00000000-0005-0000-0000-0000DA080000}"/>
    <cellStyle name="Comma 6 4 2 3 4" xfId="1335" xr:uid="{00000000-0005-0000-0000-0000DB080000}"/>
    <cellStyle name="Comma 6 4 2 3 4 2" xfId="9814" xr:uid="{00000000-0005-0000-0000-0000DC080000}"/>
    <cellStyle name="Comma 6 4 2 3 5" xfId="9809" xr:uid="{00000000-0005-0000-0000-0000DD080000}"/>
    <cellStyle name="Comma 6 4 2 4" xfId="1336" xr:uid="{00000000-0005-0000-0000-0000DE080000}"/>
    <cellStyle name="Comma 6 4 2 4 2" xfId="1337" xr:uid="{00000000-0005-0000-0000-0000DF080000}"/>
    <cellStyle name="Comma 6 4 2 4 2 2" xfId="9816" xr:uid="{00000000-0005-0000-0000-0000E0080000}"/>
    <cellStyle name="Comma 6 4 2 4 3" xfId="9815" xr:uid="{00000000-0005-0000-0000-0000E1080000}"/>
    <cellStyle name="Comma 6 4 2 5" xfId="1338" xr:uid="{00000000-0005-0000-0000-0000E2080000}"/>
    <cellStyle name="Comma 6 4 2 5 2" xfId="1339" xr:uid="{00000000-0005-0000-0000-0000E3080000}"/>
    <cellStyle name="Comma 6 4 2 5 2 2" xfId="9818" xr:uid="{00000000-0005-0000-0000-0000E4080000}"/>
    <cellStyle name="Comma 6 4 2 5 3" xfId="9817" xr:uid="{00000000-0005-0000-0000-0000E5080000}"/>
    <cellStyle name="Comma 6 4 2 6" xfId="1340" xr:uid="{00000000-0005-0000-0000-0000E6080000}"/>
    <cellStyle name="Comma 6 4 2 6 2" xfId="9819" xr:uid="{00000000-0005-0000-0000-0000E7080000}"/>
    <cellStyle name="Comma 6 4 2 7" xfId="9796" xr:uid="{00000000-0005-0000-0000-0000E8080000}"/>
    <cellStyle name="Comma 6 4 3" xfId="1341" xr:uid="{00000000-0005-0000-0000-0000E9080000}"/>
    <cellStyle name="Comma 6 4 3 2" xfId="1342" xr:uid="{00000000-0005-0000-0000-0000EA080000}"/>
    <cellStyle name="Comma 6 4 3 2 2" xfId="1343" xr:uid="{00000000-0005-0000-0000-0000EB080000}"/>
    <cellStyle name="Comma 6 4 3 2 2 2" xfId="1344" xr:uid="{00000000-0005-0000-0000-0000EC080000}"/>
    <cellStyle name="Comma 6 4 3 2 2 2 2" xfId="9823" xr:uid="{00000000-0005-0000-0000-0000ED080000}"/>
    <cellStyle name="Comma 6 4 3 2 2 3" xfId="9822" xr:uid="{00000000-0005-0000-0000-0000EE080000}"/>
    <cellStyle name="Comma 6 4 3 2 3" xfId="1345" xr:uid="{00000000-0005-0000-0000-0000EF080000}"/>
    <cellStyle name="Comma 6 4 3 2 3 2" xfId="1346" xr:uid="{00000000-0005-0000-0000-0000F0080000}"/>
    <cellStyle name="Comma 6 4 3 2 3 2 2" xfId="9825" xr:uid="{00000000-0005-0000-0000-0000F1080000}"/>
    <cellStyle name="Comma 6 4 3 2 3 3" xfId="9824" xr:uid="{00000000-0005-0000-0000-0000F2080000}"/>
    <cellStyle name="Comma 6 4 3 2 4" xfId="1347" xr:uid="{00000000-0005-0000-0000-0000F3080000}"/>
    <cellStyle name="Comma 6 4 3 2 4 2" xfId="9826" xr:uid="{00000000-0005-0000-0000-0000F4080000}"/>
    <cellStyle name="Comma 6 4 3 2 5" xfId="9821" xr:uid="{00000000-0005-0000-0000-0000F5080000}"/>
    <cellStyle name="Comma 6 4 3 3" xfId="1348" xr:uid="{00000000-0005-0000-0000-0000F6080000}"/>
    <cellStyle name="Comma 6 4 3 3 2" xfId="1349" xr:uid="{00000000-0005-0000-0000-0000F7080000}"/>
    <cellStyle name="Comma 6 4 3 3 2 2" xfId="9828" xr:uid="{00000000-0005-0000-0000-0000F8080000}"/>
    <cellStyle name="Comma 6 4 3 3 3" xfId="9827" xr:uid="{00000000-0005-0000-0000-0000F9080000}"/>
    <cellStyle name="Comma 6 4 3 4" xfId="1350" xr:uid="{00000000-0005-0000-0000-0000FA080000}"/>
    <cellStyle name="Comma 6 4 3 4 2" xfId="1351" xr:uid="{00000000-0005-0000-0000-0000FB080000}"/>
    <cellStyle name="Comma 6 4 3 4 2 2" xfId="9830" xr:uid="{00000000-0005-0000-0000-0000FC080000}"/>
    <cellStyle name="Comma 6 4 3 4 3" xfId="9829" xr:uid="{00000000-0005-0000-0000-0000FD080000}"/>
    <cellStyle name="Comma 6 4 3 5" xfId="1352" xr:uid="{00000000-0005-0000-0000-0000FE080000}"/>
    <cellStyle name="Comma 6 4 3 5 2" xfId="9831" xr:uid="{00000000-0005-0000-0000-0000FF080000}"/>
    <cellStyle name="Comma 6 4 3 6" xfId="9820" xr:uid="{00000000-0005-0000-0000-000000090000}"/>
    <cellStyle name="Comma 6 4 4" xfId="1353" xr:uid="{00000000-0005-0000-0000-000001090000}"/>
    <cellStyle name="Comma 6 4 4 2" xfId="1354" xr:uid="{00000000-0005-0000-0000-000002090000}"/>
    <cellStyle name="Comma 6 4 4 2 2" xfId="1355" xr:uid="{00000000-0005-0000-0000-000003090000}"/>
    <cellStyle name="Comma 6 4 4 2 2 2" xfId="9834" xr:uid="{00000000-0005-0000-0000-000004090000}"/>
    <cellStyle name="Comma 6 4 4 2 3" xfId="9833" xr:uid="{00000000-0005-0000-0000-000005090000}"/>
    <cellStyle name="Comma 6 4 4 3" xfId="1356" xr:uid="{00000000-0005-0000-0000-000006090000}"/>
    <cellStyle name="Comma 6 4 4 3 2" xfId="1357" xr:uid="{00000000-0005-0000-0000-000007090000}"/>
    <cellStyle name="Comma 6 4 4 3 2 2" xfId="9836" xr:uid="{00000000-0005-0000-0000-000008090000}"/>
    <cellStyle name="Comma 6 4 4 3 3" xfId="9835" xr:uid="{00000000-0005-0000-0000-000009090000}"/>
    <cellStyle name="Comma 6 4 4 4" xfId="1358" xr:uid="{00000000-0005-0000-0000-00000A090000}"/>
    <cellStyle name="Comma 6 4 4 4 2" xfId="9837" xr:uid="{00000000-0005-0000-0000-00000B090000}"/>
    <cellStyle name="Comma 6 4 4 5" xfId="9832" xr:uid="{00000000-0005-0000-0000-00000C090000}"/>
    <cellStyle name="Comma 6 4 5" xfId="1359" xr:uid="{00000000-0005-0000-0000-00000D090000}"/>
    <cellStyle name="Comma 6 4 5 2" xfId="1360" xr:uid="{00000000-0005-0000-0000-00000E090000}"/>
    <cellStyle name="Comma 6 4 5 2 2" xfId="9839" xr:uid="{00000000-0005-0000-0000-00000F090000}"/>
    <cellStyle name="Comma 6 4 5 3" xfId="9838" xr:uid="{00000000-0005-0000-0000-000010090000}"/>
    <cellStyle name="Comma 6 4 6" xfId="1361" xr:uid="{00000000-0005-0000-0000-000011090000}"/>
    <cellStyle name="Comma 6 4 6 2" xfId="1362" xr:uid="{00000000-0005-0000-0000-000012090000}"/>
    <cellStyle name="Comma 6 4 6 2 2" xfId="9841" xr:uid="{00000000-0005-0000-0000-000013090000}"/>
    <cellStyle name="Comma 6 4 6 3" xfId="9840" xr:uid="{00000000-0005-0000-0000-000014090000}"/>
    <cellStyle name="Comma 6 4 7" xfId="1363" xr:uid="{00000000-0005-0000-0000-000015090000}"/>
    <cellStyle name="Comma 6 4 7 2" xfId="9842" xr:uid="{00000000-0005-0000-0000-000016090000}"/>
    <cellStyle name="Comma 6 4 8" xfId="9795" xr:uid="{00000000-0005-0000-0000-000017090000}"/>
    <cellStyle name="Comma 6 5" xfId="1364" xr:uid="{00000000-0005-0000-0000-000018090000}"/>
    <cellStyle name="Comma 6 5 2" xfId="1365" xr:uid="{00000000-0005-0000-0000-000019090000}"/>
    <cellStyle name="Comma 6 5 2 2" xfId="1366" xr:uid="{00000000-0005-0000-0000-00001A090000}"/>
    <cellStyle name="Comma 6 5 2 2 2" xfId="1367" xr:uid="{00000000-0005-0000-0000-00001B090000}"/>
    <cellStyle name="Comma 6 5 2 2 2 2" xfId="1368" xr:uid="{00000000-0005-0000-0000-00001C090000}"/>
    <cellStyle name="Comma 6 5 2 2 2 2 2" xfId="9847" xr:uid="{00000000-0005-0000-0000-00001D090000}"/>
    <cellStyle name="Comma 6 5 2 2 2 3" xfId="9846" xr:uid="{00000000-0005-0000-0000-00001E090000}"/>
    <cellStyle name="Comma 6 5 2 2 3" xfId="1369" xr:uid="{00000000-0005-0000-0000-00001F090000}"/>
    <cellStyle name="Comma 6 5 2 2 3 2" xfId="1370" xr:uid="{00000000-0005-0000-0000-000020090000}"/>
    <cellStyle name="Comma 6 5 2 2 3 2 2" xfId="9849" xr:uid="{00000000-0005-0000-0000-000021090000}"/>
    <cellStyle name="Comma 6 5 2 2 3 3" xfId="9848" xr:uid="{00000000-0005-0000-0000-000022090000}"/>
    <cellStyle name="Comma 6 5 2 2 4" xfId="1371" xr:uid="{00000000-0005-0000-0000-000023090000}"/>
    <cellStyle name="Comma 6 5 2 2 4 2" xfId="9850" xr:uid="{00000000-0005-0000-0000-000024090000}"/>
    <cellStyle name="Comma 6 5 2 2 5" xfId="9845" xr:uid="{00000000-0005-0000-0000-000025090000}"/>
    <cellStyle name="Comma 6 5 2 3" xfId="1372" xr:uid="{00000000-0005-0000-0000-000026090000}"/>
    <cellStyle name="Comma 6 5 2 3 2" xfId="1373" xr:uid="{00000000-0005-0000-0000-000027090000}"/>
    <cellStyle name="Comma 6 5 2 3 2 2" xfId="9852" xr:uid="{00000000-0005-0000-0000-000028090000}"/>
    <cellStyle name="Comma 6 5 2 3 3" xfId="9851" xr:uid="{00000000-0005-0000-0000-000029090000}"/>
    <cellStyle name="Comma 6 5 2 4" xfId="1374" xr:uid="{00000000-0005-0000-0000-00002A090000}"/>
    <cellStyle name="Comma 6 5 2 4 2" xfId="1375" xr:uid="{00000000-0005-0000-0000-00002B090000}"/>
    <cellStyle name="Comma 6 5 2 4 2 2" xfId="9854" xr:uid="{00000000-0005-0000-0000-00002C090000}"/>
    <cellStyle name="Comma 6 5 2 4 3" xfId="9853" xr:uid="{00000000-0005-0000-0000-00002D090000}"/>
    <cellStyle name="Comma 6 5 2 5" xfId="1376" xr:uid="{00000000-0005-0000-0000-00002E090000}"/>
    <cellStyle name="Comma 6 5 2 5 2" xfId="9855" xr:uid="{00000000-0005-0000-0000-00002F090000}"/>
    <cellStyle name="Comma 6 5 2 6" xfId="9844" xr:uid="{00000000-0005-0000-0000-000030090000}"/>
    <cellStyle name="Comma 6 5 3" xfId="1377" xr:uid="{00000000-0005-0000-0000-000031090000}"/>
    <cellStyle name="Comma 6 5 3 2" xfId="1378" xr:uid="{00000000-0005-0000-0000-000032090000}"/>
    <cellStyle name="Comma 6 5 3 2 2" xfId="1379" xr:uid="{00000000-0005-0000-0000-000033090000}"/>
    <cellStyle name="Comma 6 5 3 2 2 2" xfId="9858" xr:uid="{00000000-0005-0000-0000-000034090000}"/>
    <cellStyle name="Comma 6 5 3 2 3" xfId="9857" xr:uid="{00000000-0005-0000-0000-000035090000}"/>
    <cellStyle name="Comma 6 5 3 3" xfId="1380" xr:uid="{00000000-0005-0000-0000-000036090000}"/>
    <cellStyle name="Comma 6 5 3 3 2" xfId="1381" xr:uid="{00000000-0005-0000-0000-000037090000}"/>
    <cellStyle name="Comma 6 5 3 3 2 2" xfId="9860" xr:uid="{00000000-0005-0000-0000-000038090000}"/>
    <cellStyle name="Comma 6 5 3 3 3" xfId="9859" xr:uid="{00000000-0005-0000-0000-000039090000}"/>
    <cellStyle name="Comma 6 5 3 4" xfId="1382" xr:uid="{00000000-0005-0000-0000-00003A090000}"/>
    <cellStyle name="Comma 6 5 3 4 2" xfId="9861" xr:uid="{00000000-0005-0000-0000-00003B090000}"/>
    <cellStyle name="Comma 6 5 3 5" xfId="9856" xr:uid="{00000000-0005-0000-0000-00003C090000}"/>
    <cellStyle name="Comma 6 5 4" xfId="1383" xr:uid="{00000000-0005-0000-0000-00003D090000}"/>
    <cellStyle name="Comma 6 5 4 2" xfId="1384" xr:uid="{00000000-0005-0000-0000-00003E090000}"/>
    <cellStyle name="Comma 6 5 4 2 2" xfId="9863" xr:uid="{00000000-0005-0000-0000-00003F090000}"/>
    <cellStyle name="Comma 6 5 4 3" xfId="9862" xr:uid="{00000000-0005-0000-0000-000040090000}"/>
    <cellStyle name="Comma 6 5 5" xfId="1385" xr:uid="{00000000-0005-0000-0000-000041090000}"/>
    <cellStyle name="Comma 6 5 5 2" xfId="1386" xr:uid="{00000000-0005-0000-0000-000042090000}"/>
    <cellStyle name="Comma 6 5 5 2 2" xfId="9865" xr:uid="{00000000-0005-0000-0000-000043090000}"/>
    <cellStyle name="Comma 6 5 5 3" xfId="9864" xr:uid="{00000000-0005-0000-0000-000044090000}"/>
    <cellStyle name="Comma 6 5 6" xfId="1387" xr:uid="{00000000-0005-0000-0000-000045090000}"/>
    <cellStyle name="Comma 6 5 6 2" xfId="9866" xr:uid="{00000000-0005-0000-0000-000046090000}"/>
    <cellStyle name="Comma 6 5 7" xfId="9843" xr:uid="{00000000-0005-0000-0000-000047090000}"/>
    <cellStyle name="Comma 6 6" xfId="1388" xr:uid="{00000000-0005-0000-0000-000048090000}"/>
    <cellStyle name="Comma 6 6 2" xfId="1389" xr:uid="{00000000-0005-0000-0000-000049090000}"/>
    <cellStyle name="Comma 6 6 2 2" xfId="1390" xr:uid="{00000000-0005-0000-0000-00004A090000}"/>
    <cellStyle name="Comma 6 6 2 2 2" xfId="1391" xr:uid="{00000000-0005-0000-0000-00004B090000}"/>
    <cellStyle name="Comma 6 6 2 2 2 2" xfId="9869" xr:uid="{00000000-0005-0000-0000-00004C090000}"/>
    <cellStyle name="Comma 6 6 2 2 3" xfId="9868" xr:uid="{00000000-0005-0000-0000-00004D090000}"/>
    <cellStyle name="Comma 6 6 2 3" xfId="1392" xr:uid="{00000000-0005-0000-0000-00004E090000}"/>
    <cellStyle name="Comma 6 6 2 3 2" xfId="1393" xr:uid="{00000000-0005-0000-0000-00004F090000}"/>
    <cellStyle name="Comma 6 6 2 3 2 2" xfId="9871" xr:uid="{00000000-0005-0000-0000-000050090000}"/>
    <cellStyle name="Comma 6 6 2 3 3" xfId="9870" xr:uid="{00000000-0005-0000-0000-000051090000}"/>
    <cellStyle name="Comma 6 6 2 4" xfId="1394" xr:uid="{00000000-0005-0000-0000-000052090000}"/>
    <cellStyle name="Comma 6 6 2 4 2" xfId="9872" xr:uid="{00000000-0005-0000-0000-000053090000}"/>
    <cellStyle name="Comma 6 6 2 5" xfId="9867" xr:uid="{00000000-0005-0000-0000-000054090000}"/>
    <cellStyle name="Comma 6 6 3" xfId="1395" xr:uid="{00000000-0005-0000-0000-000055090000}"/>
    <cellStyle name="Comma 6 6 3 2" xfId="1396" xr:uid="{00000000-0005-0000-0000-000056090000}"/>
    <cellStyle name="Comma 6 6 3 2 2" xfId="9874" xr:uid="{00000000-0005-0000-0000-000057090000}"/>
    <cellStyle name="Comma 6 6 3 3" xfId="9873" xr:uid="{00000000-0005-0000-0000-000058090000}"/>
    <cellStyle name="Comma 6 6 4" xfId="1397" xr:uid="{00000000-0005-0000-0000-000059090000}"/>
    <cellStyle name="Comma 6 6 4 2" xfId="1398" xr:uid="{00000000-0005-0000-0000-00005A090000}"/>
    <cellStyle name="Comma 6 6 4 2 2" xfId="9876" xr:uid="{00000000-0005-0000-0000-00005B090000}"/>
    <cellStyle name="Comma 6 6 4 3" xfId="9875" xr:uid="{00000000-0005-0000-0000-00005C090000}"/>
    <cellStyle name="Comma 6 6 5" xfId="1399" xr:uid="{00000000-0005-0000-0000-00005D090000}"/>
    <cellStyle name="Comma 6 6 5 2" xfId="9877" xr:uid="{00000000-0005-0000-0000-00005E090000}"/>
    <cellStyle name="Comma 6 7" xfId="1400" xr:uid="{00000000-0005-0000-0000-00005F090000}"/>
    <cellStyle name="Comma 6 7 2" xfId="1401" xr:uid="{00000000-0005-0000-0000-000060090000}"/>
    <cellStyle name="Comma 6 7 2 2" xfId="1402" xr:uid="{00000000-0005-0000-0000-000061090000}"/>
    <cellStyle name="Comma 6 7 2 2 2" xfId="9880" xr:uid="{00000000-0005-0000-0000-000062090000}"/>
    <cellStyle name="Comma 6 7 2 3" xfId="9879" xr:uid="{00000000-0005-0000-0000-000063090000}"/>
    <cellStyle name="Comma 6 7 3" xfId="1403" xr:uid="{00000000-0005-0000-0000-000064090000}"/>
    <cellStyle name="Comma 6 7 3 2" xfId="1404" xr:uid="{00000000-0005-0000-0000-000065090000}"/>
    <cellStyle name="Comma 6 7 3 2 2" xfId="9882" xr:uid="{00000000-0005-0000-0000-000066090000}"/>
    <cellStyle name="Comma 6 7 3 3" xfId="9881" xr:uid="{00000000-0005-0000-0000-000067090000}"/>
    <cellStyle name="Comma 6 7 4" xfId="1405" xr:uid="{00000000-0005-0000-0000-000068090000}"/>
    <cellStyle name="Comma 6 7 4 2" xfId="9883" xr:uid="{00000000-0005-0000-0000-000069090000}"/>
    <cellStyle name="Comma 6 7 5" xfId="9878" xr:uid="{00000000-0005-0000-0000-00006A090000}"/>
    <cellStyle name="Comma 6 8" xfId="1406" xr:uid="{00000000-0005-0000-0000-00006B090000}"/>
    <cellStyle name="Comma 6 8 2" xfId="1407" xr:uid="{00000000-0005-0000-0000-00006C090000}"/>
    <cellStyle name="Comma 6 8 2 2" xfId="9885" xr:uid="{00000000-0005-0000-0000-00006D090000}"/>
    <cellStyle name="Comma 6 8 3" xfId="9884" xr:uid="{00000000-0005-0000-0000-00006E090000}"/>
    <cellStyle name="Comma 6 9" xfId="1408" xr:uid="{00000000-0005-0000-0000-00006F090000}"/>
    <cellStyle name="Comma 6 9 2" xfId="1409" xr:uid="{00000000-0005-0000-0000-000070090000}"/>
    <cellStyle name="Comma 6 9 2 2" xfId="9887" xr:uid="{00000000-0005-0000-0000-000071090000}"/>
    <cellStyle name="Comma 6 9 3" xfId="9886" xr:uid="{00000000-0005-0000-0000-000072090000}"/>
    <cellStyle name="Comma 7" xfId="1410" xr:uid="{00000000-0005-0000-0000-000073090000}"/>
    <cellStyle name="Comma 7 10" xfId="1411" xr:uid="{00000000-0005-0000-0000-000074090000}"/>
    <cellStyle name="Comma 7 10 2" xfId="9889" xr:uid="{00000000-0005-0000-0000-000075090000}"/>
    <cellStyle name="Comma 7 11" xfId="9888" xr:uid="{00000000-0005-0000-0000-000076090000}"/>
    <cellStyle name="Comma 7 2" xfId="1412" xr:uid="{00000000-0005-0000-0000-000077090000}"/>
    <cellStyle name="Comma 7 2 2" xfId="1413" xr:uid="{00000000-0005-0000-0000-000078090000}"/>
    <cellStyle name="Comma 7 2 2 2" xfId="1414" xr:uid="{00000000-0005-0000-0000-000079090000}"/>
    <cellStyle name="Comma 7 2 2 2 2" xfId="1415" xr:uid="{00000000-0005-0000-0000-00007A090000}"/>
    <cellStyle name="Comma 7 2 2 2 2 2" xfId="1416" xr:uid="{00000000-0005-0000-0000-00007B090000}"/>
    <cellStyle name="Comma 7 2 2 2 2 2 2" xfId="1417" xr:uid="{00000000-0005-0000-0000-00007C090000}"/>
    <cellStyle name="Comma 7 2 2 2 2 2 2 2" xfId="1418" xr:uid="{00000000-0005-0000-0000-00007D090000}"/>
    <cellStyle name="Comma 7 2 2 2 2 2 2 2 2" xfId="9896" xr:uid="{00000000-0005-0000-0000-00007E090000}"/>
    <cellStyle name="Comma 7 2 2 2 2 2 2 3" xfId="9895" xr:uid="{00000000-0005-0000-0000-00007F090000}"/>
    <cellStyle name="Comma 7 2 2 2 2 2 3" xfId="1419" xr:uid="{00000000-0005-0000-0000-000080090000}"/>
    <cellStyle name="Comma 7 2 2 2 2 2 3 2" xfId="1420" xr:uid="{00000000-0005-0000-0000-000081090000}"/>
    <cellStyle name="Comma 7 2 2 2 2 2 3 2 2" xfId="9898" xr:uid="{00000000-0005-0000-0000-000082090000}"/>
    <cellStyle name="Comma 7 2 2 2 2 2 3 3" xfId="9897" xr:uid="{00000000-0005-0000-0000-000083090000}"/>
    <cellStyle name="Comma 7 2 2 2 2 2 4" xfId="1421" xr:uid="{00000000-0005-0000-0000-000084090000}"/>
    <cellStyle name="Comma 7 2 2 2 2 2 4 2" xfId="9899" xr:uid="{00000000-0005-0000-0000-000085090000}"/>
    <cellStyle name="Comma 7 2 2 2 2 2 5" xfId="9894" xr:uid="{00000000-0005-0000-0000-000086090000}"/>
    <cellStyle name="Comma 7 2 2 2 2 3" xfId="1422" xr:uid="{00000000-0005-0000-0000-000087090000}"/>
    <cellStyle name="Comma 7 2 2 2 2 3 2" xfId="1423" xr:uid="{00000000-0005-0000-0000-000088090000}"/>
    <cellStyle name="Comma 7 2 2 2 2 3 2 2" xfId="9901" xr:uid="{00000000-0005-0000-0000-000089090000}"/>
    <cellStyle name="Comma 7 2 2 2 2 3 3" xfId="9900" xr:uid="{00000000-0005-0000-0000-00008A090000}"/>
    <cellStyle name="Comma 7 2 2 2 2 4" xfId="1424" xr:uid="{00000000-0005-0000-0000-00008B090000}"/>
    <cellStyle name="Comma 7 2 2 2 2 4 2" xfId="1425" xr:uid="{00000000-0005-0000-0000-00008C090000}"/>
    <cellStyle name="Comma 7 2 2 2 2 4 2 2" xfId="9903" xr:uid="{00000000-0005-0000-0000-00008D090000}"/>
    <cellStyle name="Comma 7 2 2 2 2 4 3" xfId="9902" xr:uid="{00000000-0005-0000-0000-00008E090000}"/>
    <cellStyle name="Comma 7 2 2 2 2 5" xfId="1426" xr:uid="{00000000-0005-0000-0000-00008F090000}"/>
    <cellStyle name="Comma 7 2 2 2 2 5 2" xfId="9904" xr:uid="{00000000-0005-0000-0000-000090090000}"/>
    <cellStyle name="Comma 7 2 2 2 2 6" xfId="9893" xr:uid="{00000000-0005-0000-0000-000091090000}"/>
    <cellStyle name="Comma 7 2 2 2 3" xfId="1427" xr:uid="{00000000-0005-0000-0000-000092090000}"/>
    <cellStyle name="Comma 7 2 2 2 3 2" xfId="1428" xr:uid="{00000000-0005-0000-0000-000093090000}"/>
    <cellStyle name="Comma 7 2 2 2 3 2 2" xfId="1429" xr:uid="{00000000-0005-0000-0000-000094090000}"/>
    <cellStyle name="Comma 7 2 2 2 3 2 2 2" xfId="9907" xr:uid="{00000000-0005-0000-0000-000095090000}"/>
    <cellStyle name="Comma 7 2 2 2 3 2 3" xfId="9906" xr:uid="{00000000-0005-0000-0000-000096090000}"/>
    <cellStyle name="Comma 7 2 2 2 3 3" xfId="1430" xr:uid="{00000000-0005-0000-0000-000097090000}"/>
    <cellStyle name="Comma 7 2 2 2 3 3 2" xfId="1431" xr:uid="{00000000-0005-0000-0000-000098090000}"/>
    <cellStyle name="Comma 7 2 2 2 3 3 2 2" xfId="9909" xr:uid="{00000000-0005-0000-0000-000099090000}"/>
    <cellStyle name="Comma 7 2 2 2 3 3 3" xfId="9908" xr:uid="{00000000-0005-0000-0000-00009A090000}"/>
    <cellStyle name="Comma 7 2 2 2 3 4" xfId="1432" xr:uid="{00000000-0005-0000-0000-00009B090000}"/>
    <cellStyle name="Comma 7 2 2 2 3 4 2" xfId="9910" xr:uid="{00000000-0005-0000-0000-00009C090000}"/>
    <cellStyle name="Comma 7 2 2 2 3 5" xfId="9905" xr:uid="{00000000-0005-0000-0000-00009D090000}"/>
    <cellStyle name="Comma 7 2 2 2 4" xfId="1433" xr:uid="{00000000-0005-0000-0000-00009E090000}"/>
    <cellStyle name="Comma 7 2 2 2 4 2" xfId="1434" xr:uid="{00000000-0005-0000-0000-00009F090000}"/>
    <cellStyle name="Comma 7 2 2 2 4 2 2" xfId="9912" xr:uid="{00000000-0005-0000-0000-0000A0090000}"/>
    <cellStyle name="Comma 7 2 2 2 4 3" xfId="9911" xr:uid="{00000000-0005-0000-0000-0000A1090000}"/>
    <cellStyle name="Comma 7 2 2 2 5" xfId="1435" xr:uid="{00000000-0005-0000-0000-0000A2090000}"/>
    <cellStyle name="Comma 7 2 2 2 5 2" xfId="1436" xr:uid="{00000000-0005-0000-0000-0000A3090000}"/>
    <cellStyle name="Comma 7 2 2 2 5 2 2" xfId="9914" xr:uid="{00000000-0005-0000-0000-0000A4090000}"/>
    <cellStyle name="Comma 7 2 2 2 5 3" xfId="9913" xr:uid="{00000000-0005-0000-0000-0000A5090000}"/>
    <cellStyle name="Comma 7 2 2 2 6" xfId="1437" xr:uid="{00000000-0005-0000-0000-0000A6090000}"/>
    <cellStyle name="Comma 7 2 2 2 6 2" xfId="9915" xr:uid="{00000000-0005-0000-0000-0000A7090000}"/>
    <cellStyle name="Comma 7 2 2 2 7" xfId="9892" xr:uid="{00000000-0005-0000-0000-0000A8090000}"/>
    <cellStyle name="Comma 7 2 2 3" xfId="1438" xr:uid="{00000000-0005-0000-0000-0000A9090000}"/>
    <cellStyle name="Comma 7 2 2 3 2" xfId="1439" xr:uid="{00000000-0005-0000-0000-0000AA090000}"/>
    <cellStyle name="Comma 7 2 2 3 2 2" xfId="1440" xr:uid="{00000000-0005-0000-0000-0000AB090000}"/>
    <cellStyle name="Comma 7 2 2 3 2 2 2" xfId="1441" xr:uid="{00000000-0005-0000-0000-0000AC090000}"/>
    <cellStyle name="Comma 7 2 2 3 2 2 2 2" xfId="9919" xr:uid="{00000000-0005-0000-0000-0000AD090000}"/>
    <cellStyle name="Comma 7 2 2 3 2 2 3" xfId="9918" xr:uid="{00000000-0005-0000-0000-0000AE090000}"/>
    <cellStyle name="Comma 7 2 2 3 2 3" xfId="1442" xr:uid="{00000000-0005-0000-0000-0000AF090000}"/>
    <cellStyle name="Comma 7 2 2 3 2 3 2" xfId="1443" xr:uid="{00000000-0005-0000-0000-0000B0090000}"/>
    <cellStyle name="Comma 7 2 2 3 2 3 2 2" xfId="9921" xr:uid="{00000000-0005-0000-0000-0000B1090000}"/>
    <cellStyle name="Comma 7 2 2 3 2 3 3" xfId="9920" xr:uid="{00000000-0005-0000-0000-0000B2090000}"/>
    <cellStyle name="Comma 7 2 2 3 2 4" xfId="1444" xr:uid="{00000000-0005-0000-0000-0000B3090000}"/>
    <cellStyle name="Comma 7 2 2 3 2 4 2" xfId="9922" xr:uid="{00000000-0005-0000-0000-0000B4090000}"/>
    <cellStyle name="Comma 7 2 2 3 2 5" xfId="9917" xr:uid="{00000000-0005-0000-0000-0000B5090000}"/>
    <cellStyle name="Comma 7 2 2 3 3" xfId="1445" xr:uid="{00000000-0005-0000-0000-0000B6090000}"/>
    <cellStyle name="Comma 7 2 2 3 3 2" xfId="1446" xr:uid="{00000000-0005-0000-0000-0000B7090000}"/>
    <cellStyle name="Comma 7 2 2 3 3 2 2" xfId="9924" xr:uid="{00000000-0005-0000-0000-0000B8090000}"/>
    <cellStyle name="Comma 7 2 2 3 3 3" xfId="9923" xr:uid="{00000000-0005-0000-0000-0000B9090000}"/>
    <cellStyle name="Comma 7 2 2 3 4" xfId="1447" xr:uid="{00000000-0005-0000-0000-0000BA090000}"/>
    <cellStyle name="Comma 7 2 2 3 4 2" xfId="1448" xr:uid="{00000000-0005-0000-0000-0000BB090000}"/>
    <cellStyle name="Comma 7 2 2 3 4 2 2" xfId="9926" xr:uid="{00000000-0005-0000-0000-0000BC090000}"/>
    <cellStyle name="Comma 7 2 2 3 4 3" xfId="9925" xr:uid="{00000000-0005-0000-0000-0000BD090000}"/>
    <cellStyle name="Comma 7 2 2 3 5" xfId="1449" xr:uid="{00000000-0005-0000-0000-0000BE090000}"/>
    <cellStyle name="Comma 7 2 2 3 5 2" xfId="9927" xr:uid="{00000000-0005-0000-0000-0000BF090000}"/>
    <cellStyle name="Comma 7 2 2 3 6" xfId="9916" xr:uid="{00000000-0005-0000-0000-0000C0090000}"/>
    <cellStyle name="Comma 7 2 2 4" xfId="1450" xr:uid="{00000000-0005-0000-0000-0000C1090000}"/>
    <cellStyle name="Comma 7 2 2 4 2" xfId="1451" xr:uid="{00000000-0005-0000-0000-0000C2090000}"/>
    <cellStyle name="Comma 7 2 2 4 2 2" xfId="1452" xr:uid="{00000000-0005-0000-0000-0000C3090000}"/>
    <cellStyle name="Comma 7 2 2 4 2 2 2" xfId="9930" xr:uid="{00000000-0005-0000-0000-0000C4090000}"/>
    <cellStyle name="Comma 7 2 2 4 2 3" xfId="9929" xr:uid="{00000000-0005-0000-0000-0000C5090000}"/>
    <cellStyle name="Comma 7 2 2 4 3" xfId="1453" xr:uid="{00000000-0005-0000-0000-0000C6090000}"/>
    <cellStyle name="Comma 7 2 2 4 3 2" xfId="1454" xr:uid="{00000000-0005-0000-0000-0000C7090000}"/>
    <cellStyle name="Comma 7 2 2 4 3 2 2" xfId="9932" xr:uid="{00000000-0005-0000-0000-0000C8090000}"/>
    <cellStyle name="Comma 7 2 2 4 3 3" xfId="9931" xr:uid="{00000000-0005-0000-0000-0000C9090000}"/>
    <cellStyle name="Comma 7 2 2 4 4" xfId="1455" xr:uid="{00000000-0005-0000-0000-0000CA090000}"/>
    <cellStyle name="Comma 7 2 2 4 4 2" xfId="9933" xr:uid="{00000000-0005-0000-0000-0000CB090000}"/>
    <cellStyle name="Comma 7 2 2 4 5" xfId="9928" xr:uid="{00000000-0005-0000-0000-0000CC090000}"/>
    <cellStyle name="Comma 7 2 2 5" xfId="1456" xr:uid="{00000000-0005-0000-0000-0000CD090000}"/>
    <cellStyle name="Comma 7 2 2 5 2" xfId="1457" xr:uid="{00000000-0005-0000-0000-0000CE090000}"/>
    <cellStyle name="Comma 7 2 2 5 2 2" xfId="9935" xr:uid="{00000000-0005-0000-0000-0000CF090000}"/>
    <cellStyle name="Comma 7 2 2 5 3" xfId="9934" xr:uid="{00000000-0005-0000-0000-0000D0090000}"/>
    <cellStyle name="Comma 7 2 2 6" xfId="1458" xr:uid="{00000000-0005-0000-0000-0000D1090000}"/>
    <cellStyle name="Comma 7 2 2 6 2" xfId="1459" xr:uid="{00000000-0005-0000-0000-0000D2090000}"/>
    <cellStyle name="Comma 7 2 2 6 2 2" xfId="9937" xr:uid="{00000000-0005-0000-0000-0000D3090000}"/>
    <cellStyle name="Comma 7 2 2 6 3" xfId="9936" xr:uid="{00000000-0005-0000-0000-0000D4090000}"/>
    <cellStyle name="Comma 7 2 2 7" xfId="1460" xr:uid="{00000000-0005-0000-0000-0000D5090000}"/>
    <cellStyle name="Comma 7 2 2 7 2" xfId="9938" xr:uid="{00000000-0005-0000-0000-0000D6090000}"/>
    <cellStyle name="Comma 7 2 2 8" xfId="9891" xr:uid="{00000000-0005-0000-0000-0000D7090000}"/>
    <cellStyle name="Comma 7 2 3" xfId="1461" xr:uid="{00000000-0005-0000-0000-0000D8090000}"/>
    <cellStyle name="Comma 7 2 3 2" xfId="1462" xr:uid="{00000000-0005-0000-0000-0000D9090000}"/>
    <cellStyle name="Comma 7 2 3 2 2" xfId="1463" xr:uid="{00000000-0005-0000-0000-0000DA090000}"/>
    <cellStyle name="Comma 7 2 3 2 2 2" xfId="1464" xr:uid="{00000000-0005-0000-0000-0000DB090000}"/>
    <cellStyle name="Comma 7 2 3 2 2 2 2" xfId="1465" xr:uid="{00000000-0005-0000-0000-0000DC090000}"/>
    <cellStyle name="Comma 7 2 3 2 2 2 2 2" xfId="9943" xr:uid="{00000000-0005-0000-0000-0000DD090000}"/>
    <cellStyle name="Comma 7 2 3 2 2 2 3" xfId="9942" xr:uid="{00000000-0005-0000-0000-0000DE090000}"/>
    <cellStyle name="Comma 7 2 3 2 2 3" xfId="1466" xr:uid="{00000000-0005-0000-0000-0000DF090000}"/>
    <cellStyle name="Comma 7 2 3 2 2 3 2" xfId="1467" xr:uid="{00000000-0005-0000-0000-0000E0090000}"/>
    <cellStyle name="Comma 7 2 3 2 2 3 2 2" xfId="9945" xr:uid="{00000000-0005-0000-0000-0000E1090000}"/>
    <cellStyle name="Comma 7 2 3 2 2 3 3" xfId="9944" xr:uid="{00000000-0005-0000-0000-0000E2090000}"/>
    <cellStyle name="Comma 7 2 3 2 2 4" xfId="1468" xr:uid="{00000000-0005-0000-0000-0000E3090000}"/>
    <cellStyle name="Comma 7 2 3 2 2 4 2" xfId="9946" xr:uid="{00000000-0005-0000-0000-0000E4090000}"/>
    <cellStyle name="Comma 7 2 3 2 2 5" xfId="9941" xr:uid="{00000000-0005-0000-0000-0000E5090000}"/>
    <cellStyle name="Comma 7 2 3 2 3" xfId="1469" xr:uid="{00000000-0005-0000-0000-0000E6090000}"/>
    <cellStyle name="Comma 7 2 3 2 3 2" xfId="1470" xr:uid="{00000000-0005-0000-0000-0000E7090000}"/>
    <cellStyle name="Comma 7 2 3 2 3 2 2" xfId="9948" xr:uid="{00000000-0005-0000-0000-0000E8090000}"/>
    <cellStyle name="Comma 7 2 3 2 3 3" xfId="9947" xr:uid="{00000000-0005-0000-0000-0000E9090000}"/>
    <cellStyle name="Comma 7 2 3 2 4" xfId="1471" xr:uid="{00000000-0005-0000-0000-0000EA090000}"/>
    <cellStyle name="Comma 7 2 3 2 4 2" xfId="1472" xr:uid="{00000000-0005-0000-0000-0000EB090000}"/>
    <cellStyle name="Comma 7 2 3 2 4 2 2" xfId="9950" xr:uid="{00000000-0005-0000-0000-0000EC090000}"/>
    <cellStyle name="Comma 7 2 3 2 4 3" xfId="9949" xr:uid="{00000000-0005-0000-0000-0000ED090000}"/>
    <cellStyle name="Comma 7 2 3 2 5" xfId="1473" xr:uid="{00000000-0005-0000-0000-0000EE090000}"/>
    <cellStyle name="Comma 7 2 3 2 5 2" xfId="9951" xr:uid="{00000000-0005-0000-0000-0000EF090000}"/>
    <cellStyle name="Comma 7 2 3 2 6" xfId="9940" xr:uid="{00000000-0005-0000-0000-0000F0090000}"/>
    <cellStyle name="Comma 7 2 3 3" xfId="1474" xr:uid="{00000000-0005-0000-0000-0000F1090000}"/>
    <cellStyle name="Comma 7 2 3 3 2" xfId="1475" xr:uid="{00000000-0005-0000-0000-0000F2090000}"/>
    <cellStyle name="Comma 7 2 3 3 2 2" xfId="1476" xr:uid="{00000000-0005-0000-0000-0000F3090000}"/>
    <cellStyle name="Comma 7 2 3 3 2 2 2" xfId="9954" xr:uid="{00000000-0005-0000-0000-0000F4090000}"/>
    <cellStyle name="Comma 7 2 3 3 2 3" xfId="9953" xr:uid="{00000000-0005-0000-0000-0000F5090000}"/>
    <cellStyle name="Comma 7 2 3 3 3" xfId="1477" xr:uid="{00000000-0005-0000-0000-0000F6090000}"/>
    <cellStyle name="Comma 7 2 3 3 3 2" xfId="1478" xr:uid="{00000000-0005-0000-0000-0000F7090000}"/>
    <cellStyle name="Comma 7 2 3 3 3 2 2" xfId="9956" xr:uid="{00000000-0005-0000-0000-0000F8090000}"/>
    <cellStyle name="Comma 7 2 3 3 3 3" xfId="9955" xr:uid="{00000000-0005-0000-0000-0000F9090000}"/>
    <cellStyle name="Comma 7 2 3 3 4" xfId="1479" xr:uid="{00000000-0005-0000-0000-0000FA090000}"/>
    <cellStyle name="Comma 7 2 3 3 4 2" xfId="9957" xr:uid="{00000000-0005-0000-0000-0000FB090000}"/>
    <cellStyle name="Comma 7 2 3 3 5" xfId="9952" xr:uid="{00000000-0005-0000-0000-0000FC090000}"/>
    <cellStyle name="Comma 7 2 3 4" xfId="1480" xr:uid="{00000000-0005-0000-0000-0000FD090000}"/>
    <cellStyle name="Comma 7 2 3 4 2" xfId="1481" xr:uid="{00000000-0005-0000-0000-0000FE090000}"/>
    <cellStyle name="Comma 7 2 3 4 2 2" xfId="9959" xr:uid="{00000000-0005-0000-0000-0000FF090000}"/>
    <cellStyle name="Comma 7 2 3 4 3" xfId="9958" xr:uid="{00000000-0005-0000-0000-0000000A0000}"/>
    <cellStyle name="Comma 7 2 3 5" xfId="1482" xr:uid="{00000000-0005-0000-0000-0000010A0000}"/>
    <cellStyle name="Comma 7 2 3 5 2" xfId="1483" xr:uid="{00000000-0005-0000-0000-0000020A0000}"/>
    <cellStyle name="Comma 7 2 3 5 2 2" xfId="9961" xr:uid="{00000000-0005-0000-0000-0000030A0000}"/>
    <cellStyle name="Comma 7 2 3 5 3" xfId="9960" xr:uid="{00000000-0005-0000-0000-0000040A0000}"/>
    <cellStyle name="Comma 7 2 3 6" xfId="1484" xr:uid="{00000000-0005-0000-0000-0000050A0000}"/>
    <cellStyle name="Comma 7 2 3 6 2" xfId="9962" xr:uid="{00000000-0005-0000-0000-0000060A0000}"/>
    <cellStyle name="Comma 7 2 3 7" xfId="9939" xr:uid="{00000000-0005-0000-0000-0000070A0000}"/>
    <cellStyle name="Comma 7 2 4" xfId="1485" xr:uid="{00000000-0005-0000-0000-0000080A0000}"/>
    <cellStyle name="Comma 7 2 4 2" xfId="1486" xr:uid="{00000000-0005-0000-0000-0000090A0000}"/>
    <cellStyle name="Comma 7 2 4 2 2" xfId="1487" xr:uid="{00000000-0005-0000-0000-00000A0A0000}"/>
    <cellStyle name="Comma 7 2 4 2 2 2" xfId="1488" xr:uid="{00000000-0005-0000-0000-00000B0A0000}"/>
    <cellStyle name="Comma 7 2 4 2 2 2 2" xfId="9966" xr:uid="{00000000-0005-0000-0000-00000C0A0000}"/>
    <cellStyle name="Comma 7 2 4 2 2 3" xfId="9965" xr:uid="{00000000-0005-0000-0000-00000D0A0000}"/>
    <cellStyle name="Comma 7 2 4 2 3" xfId="1489" xr:uid="{00000000-0005-0000-0000-00000E0A0000}"/>
    <cellStyle name="Comma 7 2 4 2 3 2" xfId="1490" xr:uid="{00000000-0005-0000-0000-00000F0A0000}"/>
    <cellStyle name="Comma 7 2 4 2 3 2 2" xfId="9968" xr:uid="{00000000-0005-0000-0000-0000100A0000}"/>
    <cellStyle name="Comma 7 2 4 2 3 3" xfId="9967" xr:uid="{00000000-0005-0000-0000-0000110A0000}"/>
    <cellStyle name="Comma 7 2 4 2 4" xfId="1491" xr:uid="{00000000-0005-0000-0000-0000120A0000}"/>
    <cellStyle name="Comma 7 2 4 2 4 2" xfId="9969" xr:uid="{00000000-0005-0000-0000-0000130A0000}"/>
    <cellStyle name="Comma 7 2 4 2 5" xfId="9964" xr:uid="{00000000-0005-0000-0000-0000140A0000}"/>
    <cellStyle name="Comma 7 2 4 3" xfId="1492" xr:uid="{00000000-0005-0000-0000-0000150A0000}"/>
    <cellStyle name="Comma 7 2 4 3 2" xfId="1493" xr:uid="{00000000-0005-0000-0000-0000160A0000}"/>
    <cellStyle name="Comma 7 2 4 3 2 2" xfId="9971" xr:uid="{00000000-0005-0000-0000-0000170A0000}"/>
    <cellStyle name="Comma 7 2 4 3 3" xfId="9970" xr:uid="{00000000-0005-0000-0000-0000180A0000}"/>
    <cellStyle name="Comma 7 2 4 4" xfId="1494" xr:uid="{00000000-0005-0000-0000-0000190A0000}"/>
    <cellStyle name="Comma 7 2 4 4 2" xfId="1495" xr:uid="{00000000-0005-0000-0000-00001A0A0000}"/>
    <cellStyle name="Comma 7 2 4 4 2 2" xfId="9973" xr:uid="{00000000-0005-0000-0000-00001B0A0000}"/>
    <cellStyle name="Comma 7 2 4 4 3" xfId="9972" xr:uid="{00000000-0005-0000-0000-00001C0A0000}"/>
    <cellStyle name="Comma 7 2 4 5" xfId="1496" xr:uid="{00000000-0005-0000-0000-00001D0A0000}"/>
    <cellStyle name="Comma 7 2 4 5 2" xfId="9974" xr:uid="{00000000-0005-0000-0000-00001E0A0000}"/>
    <cellStyle name="Comma 7 2 4 6" xfId="9963" xr:uid="{00000000-0005-0000-0000-00001F0A0000}"/>
    <cellStyle name="Comma 7 2 5" xfId="1497" xr:uid="{00000000-0005-0000-0000-0000200A0000}"/>
    <cellStyle name="Comma 7 2 5 2" xfId="1498" xr:uid="{00000000-0005-0000-0000-0000210A0000}"/>
    <cellStyle name="Comma 7 2 5 2 2" xfId="1499" xr:uid="{00000000-0005-0000-0000-0000220A0000}"/>
    <cellStyle name="Comma 7 2 5 2 2 2" xfId="9977" xr:uid="{00000000-0005-0000-0000-0000230A0000}"/>
    <cellStyle name="Comma 7 2 5 2 3" xfId="9976" xr:uid="{00000000-0005-0000-0000-0000240A0000}"/>
    <cellStyle name="Comma 7 2 5 3" xfId="1500" xr:uid="{00000000-0005-0000-0000-0000250A0000}"/>
    <cellStyle name="Comma 7 2 5 3 2" xfId="1501" xr:uid="{00000000-0005-0000-0000-0000260A0000}"/>
    <cellStyle name="Comma 7 2 5 3 2 2" xfId="9979" xr:uid="{00000000-0005-0000-0000-0000270A0000}"/>
    <cellStyle name="Comma 7 2 5 3 3" xfId="9978" xr:uid="{00000000-0005-0000-0000-0000280A0000}"/>
    <cellStyle name="Comma 7 2 5 4" xfId="1502" xr:uid="{00000000-0005-0000-0000-0000290A0000}"/>
    <cellStyle name="Comma 7 2 5 4 2" xfId="9980" xr:uid="{00000000-0005-0000-0000-00002A0A0000}"/>
    <cellStyle name="Comma 7 2 5 5" xfId="9975" xr:uid="{00000000-0005-0000-0000-00002B0A0000}"/>
    <cellStyle name="Comma 7 2 6" xfId="1503" xr:uid="{00000000-0005-0000-0000-00002C0A0000}"/>
    <cellStyle name="Comma 7 2 6 2" xfId="1504" xr:uid="{00000000-0005-0000-0000-00002D0A0000}"/>
    <cellStyle name="Comma 7 2 6 2 2" xfId="9982" xr:uid="{00000000-0005-0000-0000-00002E0A0000}"/>
    <cellStyle name="Comma 7 2 6 3" xfId="9981" xr:uid="{00000000-0005-0000-0000-00002F0A0000}"/>
    <cellStyle name="Comma 7 2 7" xfId="1505" xr:uid="{00000000-0005-0000-0000-0000300A0000}"/>
    <cellStyle name="Comma 7 2 7 2" xfId="1506" xr:uid="{00000000-0005-0000-0000-0000310A0000}"/>
    <cellStyle name="Comma 7 2 7 2 2" xfId="9984" xr:uid="{00000000-0005-0000-0000-0000320A0000}"/>
    <cellStyle name="Comma 7 2 7 3" xfId="9983" xr:uid="{00000000-0005-0000-0000-0000330A0000}"/>
    <cellStyle name="Comma 7 2 8" xfId="1507" xr:uid="{00000000-0005-0000-0000-0000340A0000}"/>
    <cellStyle name="Comma 7 2 8 2" xfId="9985" xr:uid="{00000000-0005-0000-0000-0000350A0000}"/>
    <cellStyle name="Comma 7 2 9" xfId="9890" xr:uid="{00000000-0005-0000-0000-0000360A0000}"/>
    <cellStyle name="Comma 7 3" xfId="1508" xr:uid="{00000000-0005-0000-0000-0000370A0000}"/>
    <cellStyle name="Comma 7 3 2" xfId="1509" xr:uid="{00000000-0005-0000-0000-0000380A0000}"/>
    <cellStyle name="Comma 7 3 2 2" xfId="1510" xr:uid="{00000000-0005-0000-0000-0000390A0000}"/>
    <cellStyle name="Comma 7 3 2 2 2" xfId="1511" xr:uid="{00000000-0005-0000-0000-00003A0A0000}"/>
    <cellStyle name="Comma 7 3 2 2 2 2" xfId="1512" xr:uid="{00000000-0005-0000-0000-00003B0A0000}"/>
    <cellStyle name="Comma 7 3 2 2 2 2 2" xfId="1513" xr:uid="{00000000-0005-0000-0000-00003C0A0000}"/>
    <cellStyle name="Comma 7 3 2 2 2 2 2 2" xfId="9991" xr:uid="{00000000-0005-0000-0000-00003D0A0000}"/>
    <cellStyle name="Comma 7 3 2 2 2 2 3" xfId="9990" xr:uid="{00000000-0005-0000-0000-00003E0A0000}"/>
    <cellStyle name="Comma 7 3 2 2 2 3" xfId="1514" xr:uid="{00000000-0005-0000-0000-00003F0A0000}"/>
    <cellStyle name="Comma 7 3 2 2 2 3 2" xfId="1515" xr:uid="{00000000-0005-0000-0000-0000400A0000}"/>
    <cellStyle name="Comma 7 3 2 2 2 3 2 2" xfId="9993" xr:uid="{00000000-0005-0000-0000-0000410A0000}"/>
    <cellStyle name="Comma 7 3 2 2 2 3 3" xfId="9992" xr:uid="{00000000-0005-0000-0000-0000420A0000}"/>
    <cellStyle name="Comma 7 3 2 2 2 4" xfId="1516" xr:uid="{00000000-0005-0000-0000-0000430A0000}"/>
    <cellStyle name="Comma 7 3 2 2 2 4 2" xfId="9994" xr:uid="{00000000-0005-0000-0000-0000440A0000}"/>
    <cellStyle name="Comma 7 3 2 2 2 5" xfId="9989" xr:uid="{00000000-0005-0000-0000-0000450A0000}"/>
    <cellStyle name="Comma 7 3 2 2 3" xfId="1517" xr:uid="{00000000-0005-0000-0000-0000460A0000}"/>
    <cellStyle name="Comma 7 3 2 2 3 2" xfId="1518" xr:uid="{00000000-0005-0000-0000-0000470A0000}"/>
    <cellStyle name="Comma 7 3 2 2 3 2 2" xfId="9996" xr:uid="{00000000-0005-0000-0000-0000480A0000}"/>
    <cellStyle name="Comma 7 3 2 2 3 3" xfId="9995" xr:uid="{00000000-0005-0000-0000-0000490A0000}"/>
    <cellStyle name="Comma 7 3 2 2 4" xfId="1519" xr:uid="{00000000-0005-0000-0000-00004A0A0000}"/>
    <cellStyle name="Comma 7 3 2 2 4 2" xfId="1520" xr:uid="{00000000-0005-0000-0000-00004B0A0000}"/>
    <cellStyle name="Comma 7 3 2 2 4 2 2" xfId="9998" xr:uid="{00000000-0005-0000-0000-00004C0A0000}"/>
    <cellStyle name="Comma 7 3 2 2 4 3" xfId="9997" xr:uid="{00000000-0005-0000-0000-00004D0A0000}"/>
    <cellStyle name="Comma 7 3 2 2 5" xfId="1521" xr:uid="{00000000-0005-0000-0000-00004E0A0000}"/>
    <cellStyle name="Comma 7 3 2 2 5 2" xfId="9999" xr:uid="{00000000-0005-0000-0000-00004F0A0000}"/>
    <cellStyle name="Comma 7 3 2 2 6" xfId="9988" xr:uid="{00000000-0005-0000-0000-0000500A0000}"/>
    <cellStyle name="Comma 7 3 2 3" xfId="1522" xr:uid="{00000000-0005-0000-0000-0000510A0000}"/>
    <cellStyle name="Comma 7 3 2 3 2" xfId="1523" xr:uid="{00000000-0005-0000-0000-0000520A0000}"/>
    <cellStyle name="Comma 7 3 2 3 2 2" xfId="1524" xr:uid="{00000000-0005-0000-0000-0000530A0000}"/>
    <cellStyle name="Comma 7 3 2 3 2 2 2" xfId="10002" xr:uid="{00000000-0005-0000-0000-0000540A0000}"/>
    <cellStyle name="Comma 7 3 2 3 2 3" xfId="10001" xr:uid="{00000000-0005-0000-0000-0000550A0000}"/>
    <cellStyle name="Comma 7 3 2 3 3" xfId="1525" xr:uid="{00000000-0005-0000-0000-0000560A0000}"/>
    <cellStyle name="Comma 7 3 2 3 3 2" xfId="1526" xr:uid="{00000000-0005-0000-0000-0000570A0000}"/>
    <cellStyle name="Comma 7 3 2 3 3 2 2" xfId="10004" xr:uid="{00000000-0005-0000-0000-0000580A0000}"/>
    <cellStyle name="Comma 7 3 2 3 3 3" xfId="10003" xr:uid="{00000000-0005-0000-0000-0000590A0000}"/>
    <cellStyle name="Comma 7 3 2 3 4" xfId="1527" xr:uid="{00000000-0005-0000-0000-00005A0A0000}"/>
    <cellStyle name="Comma 7 3 2 3 4 2" xfId="10005" xr:uid="{00000000-0005-0000-0000-00005B0A0000}"/>
    <cellStyle name="Comma 7 3 2 3 5" xfId="10000" xr:uid="{00000000-0005-0000-0000-00005C0A0000}"/>
    <cellStyle name="Comma 7 3 2 4" xfId="1528" xr:uid="{00000000-0005-0000-0000-00005D0A0000}"/>
    <cellStyle name="Comma 7 3 2 4 2" xfId="1529" xr:uid="{00000000-0005-0000-0000-00005E0A0000}"/>
    <cellStyle name="Comma 7 3 2 4 2 2" xfId="10007" xr:uid="{00000000-0005-0000-0000-00005F0A0000}"/>
    <cellStyle name="Comma 7 3 2 4 3" xfId="10006" xr:uid="{00000000-0005-0000-0000-0000600A0000}"/>
    <cellStyle name="Comma 7 3 2 5" xfId="1530" xr:uid="{00000000-0005-0000-0000-0000610A0000}"/>
    <cellStyle name="Comma 7 3 2 5 2" xfId="1531" xr:uid="{00000000-0005-0000-0000-0000620A0000}"/>
    <cellStyle name="Comma 7 3 2 5 2 2" xfId="10009" xr:uid="{00000000-0005-0000-0000-0000630A0000}"/>
    <cellStyle name="Comma 7 3 2 5 3" xfId="10008" xr:uid="{00000000-0005-0000-0000-0000640A0000}"/>
    <cellStyle name="Comma 7 3 2 6" xfId="1532" xr:uid="{00000000-0005-0000-0000-0000650A0000}"/>
    <cellStyle name="Comma 7 3 2 6 2" xfId="10010" xr:uid="{00000000-0005-0000-0000-0000660A0000}"/>
    <cellStyle name="Comma 7 3 2 7" xfId="9987" xr:uid="{00000000-0005-0000-0000-0000670A0000}"/>
    <cellStyle name="Comma 7 3 3" xfId="1533" xr:uid="{00000000-0005-0000-0000-0000680A0000}"/>
    <cellStyle name="Comma 7 3 3 2" xfId="1534" xr:uid="{00000000-0005-0000-0000-0000690A0000}"/>
    <cellStyle name="Comma 7 3 3 2 2" xfId="1535" xr:uid="{00000000-0005-0000-0000-00006A0A0000}"/>
    <cellStyle name="Comma 7 3 3 2 2 2" xfId="1536" xr:uid="{00000000-0005-0000-0000-00006B0A0000}"/>
    <cellStyle name="Comma 7 3 3 2 2 2 2" xfId="10014" xr:uid="{00000000-0005-0000-0000-00006C0A0000}"/>
    <cellStyle name="Comma 7 3 3 2 2 3" xfId="10013" xr:uid="{00000000-0005-0000-0000-00006D0A0000}"/>
    <cellStyle name="Comma 7 3 3 2 3" xfId="1537" xr:uid="{00000000-0005-0000-0000-00006E0A0000}"/>
    <cellStyle name="Comma 7 3 3 2 3 2" xfId="1538" xr:uid="{00000000-0005-0000-0000-00006F0A0000}"/>
    <cellStyle name="Comma 7 3 3 2 3 2 2" xfId="10016" xr:uid="{00000000-0005-0000-0000-0000700A0000}"/>
    <cellStyle name="Comma 7 3 3 2 3 3" xfId="10015" xr:uid="{00000000-0005-0000-0000-0000710A0000}"/>
    <cellStyle name="Comma 7 3 3 2 4" xfId="1539" xr:uid="{00000000-0005-0000-0000-0000720A0000}"/>
    <cellStyle name="Comma 7 3 3 2 4 2" xfId="10017" xr:uid="{00000000-0005-0000-0000-0000730A0000}"/>
    <cellStyle name="Comma 7 3 3 2 5" xfId="10012" xr:uid="{00000000-0005-0000-0000-0000740A0000}"/>
    <cellStyle name="Comma 7 3 3 3" xfId="1540" xr:uid="{00000000-0005-0000-0000-0000750A0000}"/>
    <cellStyle name="Comma 7 3 3 3 2" xfId="1541" xr:uid="{00000000-0005-0000-0000-0000760A0000}"/>
    <cellStyle name="Comma 7 3 3 3 2 2" xfId="10019" xr:uid="{00000000-0005-0000-0000-0000770A0000}"/>
    <cellStyle name="Comma 7 3 3 3 3" xfId="10018" xr:uid="{00000000-0005-0000-0000-0000780A0000}"/>
    <cellStyle name="Comma 7 3 3 4" xfId="1542" xr:uid="{00000000-0005-0000-0000-0000790A0000}"/>
    <cellStyle name="Comma 7 3 3 4 2" xfId="1543" xr:uid="{00000000-0005-0000-0000-00007A0A0000}"/>
    <cellStyle name="Comma 7 3 3 4 2 2" xfId="10021" xr:uid="{00000000-0005-0000-0000-00007B0A0000}"/>
    <cellStyle name="Comma 7 3 3 4 3" xfId="10020" xr:uid="{00000000-0005-0000-0000-00007C0A0000}"/>
    <cellStyle name="Comma 7 3 3 5" xfId="1544" xr:uid="{00000000-0005-0000-0000-00007D0A0000}"/>
    <cellStyle name="Comma 7 3 3 5 2" xfId="10022" xr:uid="{00000000-0005-0000-0000-00007E0A0000}"/>
    <cellStyle name="Comma 7 3 3 6" xfId="10011" xr:uid="{00000000-0005-0000-0000-00007F0A0000}"/>
    <cellStyle name="Comma 7 3 4" xfId="1545" xr:uid="{00000000-0005-0000-0000-0000800A0000}"/>
    <cellStyle name="Comma 7 3 4 2" xfId="1546" xr:uid="{00000000-0005-0000-0000-0000810A0000}"/>
    <cellStyle name="Comma 7 3 4 2 2" xfId="1547" xr:uid="{00000000-0005-0000-0000-0000820A0000}"/>
    <cellStyle name="Comma 7 3 4 2 2 2" xfId="10025" xr:uid="{00000000-0005-0000-0000-0000830A0000}"/>
    <cellStyle name="Comma 7 3 4 2 3" xfId="10024" xr:uid="{00000000-0005-0000-0000-0000840A0000}"/>
    <cellStyle name="Comma 7 3 4 3" xfId="1548" xr:uid="{00000000-0005-0000-0000-0000850A0000}"/>
    <cellStyle name="Comma 7 3 4 3 2" xfId="1549" xr:uid="{00000000-0005-0000-0000-0000860A0000}"/>
    <cellStyle name="Comma 7 3 4 3 2 2" xfId="10027" xr:uid="{00000000-0005-0000-0000-0000870A0000}"/>
    <cellStyle name="Comma 7 3 4 3 3" xfId="10026" xr:uid="{00000000-0005-0000-0000-0000880A0000}"/>
    <cellStyle name="Comma 7 3 4 4" xfId="1550" xr:uid="{00000000-0005-0000-0000-0000890A0000}"/>
    <cellStyle name="Comma 7 3 4 4 2" xfId="10028" xr:uid="{00000000-0005-0000-0000-00008A0A0000}"/>
    <cellStyle name="Comma 7 3 4 5" xfId="10023" xr:uid="{00000000-0005-0000-0000-00008B0A0000}"/>
    <cellStyle name="Comma 7 3 5" xfId="1551" xr:uid="{00000000-0005-0000-0000-00008C0A0000}"/>
    <cellStyle name="Comma 7 3 5 2" xfId="1552" xr:uid="{00000000-0005-0000-0000-00008D0A0000}"/>
    <cellStyle name="Comma 7 3 5 2 2" xfId="10030" xr:uid="{00000000-0005-0000-0000-00008E0A0000}"/>
    <cellStyle name="Comma 7 3 5 3" xfId="10029" xr:uid="{00000000-0005-0000-0000-00008F0A0000}"/>
    <cellStyle name="Comma 7 3 6" xfId="1553" xr:uid="{00000000-0005-0000-0000-0000900A0000}"/>
    <cellStyle name="Comma 7 3 6 2" xfId="1554" xr:uid="{00000000-0005-0000-0000-0000910A0000}"/>
    <cellStyle name="Comma 7 3 6 2 2" xfId="10032" xr:uid="{00000000-0005-0000-0000-0000920A0000}"/>
    <cellStyle name="Comma 7 3 6 3" xfId="10031" xr:uid="{00000000-0005-0000-0000-0000930A0000}"/>
    <cellStyle name="Comma 7 3 7" xfId="1555" xr:uid="{00000000-0005-0000-0000-0000940A0000}"/>
    <cellStyle name="Comma 7 3 7 2" xfId="10033" xr:uid="{00000000-0005-0000-0000-0000950A0000}"/>
    <cellStyle name="Comma 7 3 8" xfId="9986" xr:uid="{00000000-0005-0000-0000-0000960A0000}"/>
    <cellStyle name="Comma 7 4" xfId="1556" xr:uid="{00000000-0005-0000-0000-0000970A0000}"/>
    <cellStyle name="Comma 7 4 2" xfId="1557" xr:uid="{00000000-0005-0000-0000-0000980A0000}"/>
    <cellStyle name="Comma 7 4 2 2" xfId="1558" xr:uid="{00000000-0005-0000-0000-0000990A0000}"/>
    <cellStyle name="Comma 7 4 2 2 2" xfId="1559" xr:uid="{00000000-0005-0000-0000-00009A0A0000}"/>
    <cellStyle name="Comma 7 4 2 2 2 2" xfId="1560" xr:uid="{00000000-0005-0000-0000-00009B0A0000}"/>
    <cellStyle name="Comma 7 4 2 2 2 2 2" xfId="1561" xr:uid="{00000000-0005-0000-0000-00009C0A0000}"/>
    <cellStyle name="Comma 7 4 2 2 2 2 2 2" xfId="10039" xr:uid="{00000000-0005-0000-0000-00009D0A0000}"/>
    <cellStyle name="Comma 7 4 2 2 2 2 3" xfId="10038" xr:uid="{00000000-0005-0000-0000-00009E0A0000}"/>
    <cellStyle name="Comma 7 4 2 2 2 3" xfId="1562" xr:uid="{00000000-0005-0000-0000-00009F0A0000}"/>
    <cellStyle name="Comma 7 4 2 2 2 3 2" xfId="1563" xr:uid="{00000000-0005-0000-0000-0000A00A0000}"/>
    <cellStyle name="Comma 7 4 2 2 2 3 2 2" xfId="10041" xr:uid="{00000000-0005-0000-0000-0000A10A0000}"/>
    <cellStyle name="Comma 7 4 2 2 2 3 3" xfId="10040" xr:uid="{00000000-0005-0000-0000-0000A20A0000}"/>
    <cellStyle name="Comma 7 4 2 2 2 4" xfId="1564" xr:uid="{00000000-0005-0000-0000-0000A30A0000}"/>
    <cellStyle name="Comma 7 4 2 2 2 4 2" xfId="10042" xr:uid="{00000000-0005-0000-0000-0000A40A0000}"/>
    <cellStyle name="Comma 7 4 2 2 2 5" xfId="10037" xr:uid="{00000000-0005-0000-0000-0000A50A0000}"/>
    <cellStyle name="Comma 7 4 2 2 3" xfId="1565" xr:uid="{00000000-0005-0000-0000-0000A60A0000}"/>
    <cellStyle name="Comma 7 4 2 2 3 2" xfId="1566" xr:uid="{00000000-0005-0000-0000-0000A70A0000}"/>
    <cellStyle name="Comma 7 4 2 2 3 2 2" xfId="10044" xr:uid="{00000000-0005-0000-0000-0000A80A0000}"/>
    <cellStyle name="Comma 7 4 2 2 3 3" xfId="10043" xr:uid="{00000000-0005-0000-0000-0000A90A0000}"/>
    <cellStyle name="Comma 7 4 2 2 4" xfId="1567" xr:uid="{00000000-0005-0000-0000-0000AA0A0000}"/>
    <cellStyle name="Comma 7 4 2 2 4 2" xfId="1568" xr:uid="{00000000-0005-0000-0000-0000AB0A0000}"/>
    <cellStyle name="Comma 7 4 2 2 4 2 2" xfId="10046" xr:uid="{00000000-0005-0000-0000-0000AC0A0000}"/>
    <cellStyle name="Comma 7 4 2 2 4 3" xfId="10045" xr:uid="{00000000-0005-0000-0000-0000AD0A0000}"/>
    <cellStyle name="Comma 7 4 2 2 5" xfId="1569" xr:uid="{00000000-0005-0000-0000-0000AE0A0000}"/>
    <cellStyle name="Comma 7 4 2 2 5 2" xfId="10047" xr:uid="{00000000-0005-0000-0000-0000AF0A0000}"/>
    <cellStyle name="Comma 7 4 2 2 6" xfId="10036" xr:uid="{00000000-0005-0000-0000-0000B00A0000}"/>
    <cellStyle name="Comma 7 4 2 3" xfId="1570" xr:uid="{00000000-0005-0000-0000-0000B10A0000}"/>
    <cellStyle name="Comma 7 4 2 3 2" xfId="1571" xr:uid="{00000000-0005-0000-0000-0000B20A0000}"/>
    <cellStyle name="Comma 7 4 2 3 2 2" xfId="1572" xr:uid="{00000000-0005-0000-0000-0000B30A0000}"/>
    <cellStyle name="Comma 7 4 2 3 2 2 2" xfId="10050" xr:uid="{00000000-0005-0000-0000-0000B40A0000}"/>
    <cellStyle name="Comma 7 4 2 3 2 3" xfId="10049" xr:uid="{00000000-0005-0000-0000-0000B50A0000}"/>
    <cellStyle name="Comma 7 4 2 3 3" xfId="1573" xr:uid="{00000000-0005-0000-0000-0000B60A0000}"/>
    <cellStyle name="Comma 7 4 2 3 3 2" xfId="1574" xr:uid="{00000000-0005-0000-0000-0000B70A0000}"/>
    <cellStyle name="Comma 7 4 2 3 3 2 2" xfId="10052" xr:uid="{00000000-0005-0000-0000-0000B80A0000}"/>
    <cellStyle name="Comma 7 4 2 3 3 3" xfId="10051" xr:uid="{00000000-0005-0000-0000-0000B90A0000}"/>
    <cellStyle name="Comma 7 4 2 3 4" xfId="1575" xr:uid="{00000000-0005-0000-0000-0000BA0A0000}"/>
    <cellStyle name="Comma 7 4 2 3 4 2" xfId="10053" xr:uid="{00000000-0005-0000-0000-0000BB0A0000}"/>
    <cellStyle name="Comma 7 4 2 3 5" xfId="10048" xr:uid="{00000000-0005-0000-0000-0000BC0A0000}"/>
    <cellStyle name="Comma 7 4 2 4" xfId="1576" xr:uid="{00000000-0005-0000-0000-0000BD0A0000}"/>
    <cellStyle name="Comma 7 4 2 4 2" xfId="1577" xr:uid="{00000000-0005-0000-0000-0000BE0A0000}"/>
    <cellStyle name="Comma 7 4 2 4 2 2" xfId="10055" xr:uid="{00000000-0005-0000-0000-0000BF0A0000}"/>
    <cellStyle name="Comma 7 4 2 4 3" xfId="10054" xr:uid="{00000000-0005-0000-0000-0000C00A0000}"/>
    <cellStyle name="Comma 7 4 2 5" xfId="1578" xr:uid="{00000000-0005-0000-0000-0000C10A0000}"/>
    <cellStyle name="Comma 7 4 2 5 2" xfId="1579" xr:uid="{00000000-0005-0000-0000-0000C20A0000}"/>
    <cellStyle name="Comma 7 4 2 5 2 2" xfId="10057" xr:uid="{00000000-0005-0000-0000-0000C30A0000}"/>
    <cellStyle name="Comma 7 4 2 5 3" xfId="10056" xr:uid="{00000000-0005-0000-0000-0000C40A0000}"/>
    <cellStyle name="Comma 7 4 2 6" xfId="1580" xr:uid="{00000000-0005-0000-0000-0000C50A0000}"/>
    <cellStyle name="Comma 7 4 2 6 2" xfId="10058" xr:uid="{00000000-0005-0000-0000-0000C60A0000}"/>
    <cellStyle name="Comma 7 4 2 7" xfId="10035" xr:uid="{00000000-0005-0000-0000-0000C70A0000}"/>
    <cellStyle name="Comma 7 4 3" xfId="1581" xr:uid="{00000000-0005-0000-0000-0000C80A0000}"/>
    <cellStyle name="Comma 7 4 3 2" xfId="1582" xr:uid="{00000000-0005-0000-0000-0000C90A0000}"/>
    <cellStyle name="Comma 7 4 3 2 2" xfId="1583" xr:uid="{00000000-0005-0000-0000-0000CA0A0000}"/>
    <cellStyle name="Comma 7 4 3 2 2 2" xfId="1584" xr:uid="{00000000-0005-0000-0000-0000CB0A0000}"/>
    <cellStyle name="Comma 7 4 3 2 2 2 2" xfId="10062" xr:uid="{00000000-0005-0000-0000-0000CC0A0000}"/>
    <cellStyle name="Comma 7 4 3 2 2 3" xfId="10061" xr:uid="{00000000-0005-0000-0000-0000CD0A0000}"/>
    <cellStyle name="Comma 7 4 3 2 3" xfId="1585" xr:uid="{00000000-0005-0000-0000-0000CE0A0000}"/>
    <cellStyle name="Comma 7 4 3 2 3 2" xfId="1586" xr:uid="{00000000-0005-0000-0000-0000CF0A0000}"/>
    <cellStyle name="Comma 7 4 3 2 3 2 2" xfId="10064" xr:uid="{00000000-0005-0000-0000-0000D00A0000}"/>
    <cellStyle name="Comma 7 4 3 2 3 3" xfId="10063" xr:uid="{00000000-0005-0000-0000-0000D10A0000}"/>
    <cellStyle name="Comma 7 4 3 2 4" xfId="1587" xr:uid="{00000000-0005-0000-0000-0000D20A0000}"/>
    <cellStyle name="Comma 7 4 3 2 4 2" xfId="10065" xr:uid="{00000000-0005-0000-0000-0000D30A0000}"/>
    <cellStyle name="Comma 7 4 3 2 5" xfId="10060" xr:uid="{00000000-0005-0000-0000-0000D40A0000}"/>
    <cellStyle name="Comma 7 4 3 3" xfId="1588" xr:uid="{00000000-0005-0000-0000-0000D50A0000}"/>
    <cellStyle name="Comma 7 4 3 3 2" xfId="1589" xr:uid="{00000000-0005-0000-0000-0000D60A0000}"/>
    <cellStyle name="Comma 7 4 3 3 2 2" xfId="10067" xr:uid="{00000000-0005-0000-0000-0000D70A0000}"/>
    <cellStyle name="Comma 7 4 3 3 3" xfId="10066" xr:uid="{00000000-0005-0000-0000-0000D80A0000}"/>
    <cellStyle name="Comma 7 4 3 4" xfId="1590" xr:uid="{00000000-0005-0000-0000-0000D90A0000}"/>
    <cellStyle name="Comma 7 4 3 4 2" xfId="1591" xr:uid="{00000000-0005-0000-0000-0000DA0A0000}"/>
    <cellStyle name="Comma 7 4 3 4 2 2" xfId="10069" xr:uid="{00000000-0005-0000-0000-0000DB0A0000}"/>
    <cellStyle name="Comma 7 4 3 4 3" xfId="10068" xr:uid="{00000000-0005-0000-0000-0000DC0A0000}"/>
    <cellStyle name="Comma 7 4 3 5" xfId="1592" xr:uid="{00000000-0005-0000-0000-0000DD0A0000}"/>
    <cellStyle name="Comma 7 4 3 5 2" xfId="10070" xr:uid="{00000000-0005-0000-0000-0000DE0A0000}"/>
    <cellStyle name="Comma 7 4 3 6" xfId="10059" xr:uid="{00000000-0005-0000-0000-0000DF0A0000}"/>
    <cellStyle name="Comma 7 4 4" xfId="1593" xr:uid="{00000000-0005-0000-0000-0000E00A0000}"/>
    <cellStyle name="Comma 7 4 4 2" xfId="1594" xr:uid="{00000000-0005-0000-0000-0000E10A0000}"/>
    <cellStyle name="Comma 7 4 4 2 2" xfId="1595" xr:uid="{00000000-0005-0000-0000-0000E20A0000}"/>
    <cellStyle name="Comma 7 4 4 2 2 2" xfId="10073" xr:uid="{00000000-0005-0000-0000-0000E30A0000}"/>
    <cellStyle name="Comma 7 4 4 2 3" xfId="10072" xr:uid="{00000000-0005-0000-0000-0000E40A0000}"/>
    <cellStyle name="Comma 7 4 4 3" xfId="1596" xr:uid="{00000000-0005-0000-0000-0000E50A0000}"/>
    <cellStyle name="Comma 7 4 4 3 2" xfId="1597" xr:uid="{00000000-0005-0000-0000-0000E60A0000}"/>
    <cellStyle name="Comma 7 4 4 3 2 2" xfId="10075" xr:uid="{00000000-0005-0000-0000-0000E70A0000}"/>
    <cellStyle name="Comma 7 4 4 3 3" xfId="10074" xr:uid="{00000000-0005-0000-0000-0000E80A0000}"/>
    <cellStyle name="Comma 7 4 4 4" xfId="1598" xr:uid="{00000000-0005-0000-0000-0000E90A0000}"/>
    <cellStyle name="Comma 7 4 4 4 2" xfId="10076" xr:uid="{00000000-0005-0000-0000-0000EA0A0000}"/>
    <cellStyle name="Comma 7 4 4 5" xfId="10071" xr:uid="{00000000-0005-0000-0000-0000EB0A0000}"/>
    <cellStyle name="Comma 7 4 5" xfId="1599" xr:uid="{00000000-0005-0000-0000-0000EC0A0000}"/>
    <cellStyle name="Comma 7 4 5 2" xfId="1600" xr:uid="{00000000-0005-0000-0000-0000ED0A0000}"/>
    <cellStyle name="Comma 7 4 5 2 2" xfId="10078" xr:uid="{00000000-0005-0000-0000-0000EE0A0000}"/>
    <cellStyle name="Comma 7 4 5 3" xfId="10077" xr:uid="{00000000-0005-0000-0000-0000EF0A0000}"/>
    <cellStyle name="Comma 7 4 6" xfId="1601" xr:uid="{00000000-0005-0000-0000-0000F00A0000}"/>
    <cellStyle name="Comma 7 4 6 2" xfId="1602" xr:uid="{00000000-0005-0000-0000-0000F10A0000}"/>
    <cellStyle name="Comma 7 4 6 2 2" xfId="10080" xr:uid="{00000000-0005-0000-0000-0000F20A0000}"/>
    <cellStyle name="Comma 7 4 6 3" xfId="10079" xr:uid="{00000000-0005-0000-0000-0000F30A0000}"/>
    <cellStyle name="Comma 7 4 7" xfId="1603" xr:uid="{00000000-0005-0000-0000-0000F40A0000}"/>
    <cellStyle name="Comma 7 4 7 2" xfId="10081" xr:uid="{00000000-0005-0000-0000-0000F50A0000}"/>
    <cellStyle name="Comma 7 4 8" xfId="10034" xr:uid="{00000000-0005-0000-0000-0000F60A0000}"/>
    <cellStyle name="Comma 7 5" xfId="1604" xr:uid="{00000000-0005-0000-0000-0000F70A0000}"/>
    <cellStyle name="Comma 7 5 2" xfId="1605" xr:uid="{00000000-0005-0000-0000-0000F80A0000}"/>
    <cellStyle name="Comma 7 5 2 2" xfId="1606" xr:uid="{00000000-0005-0000-0000-0000F90A0000}"/>
    <cellStyle name="Comma 7 5 2 2 2" xfId="1607" xr:uid="{00000000-0005-0000-0000-0000FA0A0000}"/>
    <cellStyle name="Comma 7 5 2 2 2 2" xfId="1608" xr:uid="{00000000-0005-0000-0000-0000FB0A0000}"/>
    <cellStyle name="Comma 7 5 2 2 2 2 2" xfId="10086" xr:uid="{00000000-0005-0000-0000-0000FC0A0000}"/>
    <cellStyle name="Comma 7 5 2 2 2 3" xfId="10085" xr:uid="{00000000-0005-0000-0000-0000FD0A0000}"/>
    <cellStyle name="Comma 7 5 2 2 3" xfId="1609" xr:uid="{00000000-0005-0000-0000-0000FE0A0000}"/>
    <cellStyle name="Comma 7 5 2 2 3 2" xfId="1610" xr:uid="{00000000-0005-0000-0000-0000FF0A0000}"/>
    <cellStyle name="Comma 7 5 2 2 3 2 2" xfId="10088" xr:uid="{00000000-0005-0000-0000-0000000B0000}"/>
    <cellStyle name="Comma 7 5 2 2 3 3" xfId="10087" xr:uid="{00000000-0005-0000-0000-0000010B0000}"/>
    <cellStyle name="Comma 7 5 2 2 4" xfId="1611" xr:uid="{00000000-0005-0000-0000-0000020B0000}"/>
    <cellStyle name="Comma 7 5 2 2 4 2" xfId="10089" xr:uid="{00000000-0005-0000-0000-0000030B0000}"/>
    <cellStyle name="Comma 7 5 2 2 5" xfId="10084" xr:uid="{00000000-0005-0000-0000-0000040B0000}"/>
    <cellStyle name="Comma 7 5 2 3" xfId="1612" xr:uid="{00000000-0005-0000-0000-0000050B0000}"/>
    <cellStyle name="Comma 7 5 2 3 2" xfId="1613" xr:uid="{00000000-0005-0000-0000-0000060B0000}"/>
    <cellStyle name="Comma 7 5 2 3 2 2" xfId="10091" xr:uid="{00000000-0005-0000-0000-0000070B0000}"/>
    <cellStyle name="Comma 7 5 2 3 3" xfId="10090" xr:uid="{00000000-0005-0000-0000-0000080B0000}"/>
    <cellStyle name="Comma 7 5 2 4" xfId="1614" xr:uid="{00000000-0005-0000-0000-0000090B0000}"/>
    <cellStyle name="Comma 7 5 2 4 2" xfId="1615" xr:uid="{00000000-0005-0000-0000-00000A0B0000}"/>
    <cellStyle name="Comma 7 5 2 4 2 2" xfId="10093" xr:uid="{00000000-0005-0000-0000-00000B0B0000}"/>
    <cellStyle name="Comma 7 5 2 4 3" xfId="10092" xr:uid="{00000000-0005-0000-0000-00000C0B0000}"/>
    <cellStyle name="Comma 7 5 2 5" xfId="1616" xr:uid="{00000000-0005-0000-0000-00000D0B0000}"/>
    <cellStyle name="Comma 7 5 2 5 2" xfId="10094" xr:uid="{00000000-0005-0000-0000-00000E0B0000}"/>
    <cellStyle name="Comma 7 5 2 6" xfId="10083" xr:uid="{00000000-0005-0000-0000-00000F0B0000}"/>
    <cellStyle name="Comma 7 5 3" xfId="1617" xr:uid="{00000000-0005-0000-0000-0000100B0000}"/>
    <cellStyle name="Comma 7 5 3 2" xfId="1618" xr:uid="{00000000-0005-0000-0000-0000110B0000}"/>
    <cellStyle name="Comma 7 5 3 2 2" xfId="1619" xr:uid="{00000000-0005-0000-0000-0000120B0000}"/>
    <cellStyle name="Comma 7 5 3 2 2 2" xfId="10097" xr:uid="{00000000-0005-0000-0000-0000130B0000}"/>
    <cellStyle name="Comma 7 5 3 2 3" xfId="10096" xr:uid="{00000000-0005-0000-0000-0000140B0000}"/>
    <cellStyle name="Comma 7 5 3 3" xfId="1620" xr:uid="{00000000-0005-0000-0000-0000150B0000}"/>
    <cellStyle name="Comma 7 5 3 3 2" xfId="1621" xr:uid="{00000000-0005-0000-0000-0000160B0000}"/>
    <cellStyle name="Comma 7 5 3 3 2 2" xfId="10099" xr:uid="{00000000-0005-0000-0000-0000170B0000}"/>
    <cellStyle name="Comma 7 5 3 3 3" xfId="10098" xr:uid="{00000000-0005-0000-0000-0000180B0000}"/>
    <cellStyle name="Comma 7 5 3 4" xfId="1622" xr:uid="{00000000-0005-0000-0000-0000190B0000}"/>
    <cellStyle name="Comma 7 5 3 4 2" xfId="10100" xr:uid="{00000000-0005-0000-0000-00001A0B0000}"/>
    <cellStyle name="Comma 7 5 3 5" xfId="10095" xr:uid="{00000000-0005-0000-0000-00001B0B0000}"/>
    <cellStyle name="Comma 7 5 4" xfId="1623" xr:uid="{00000000-0005-0000-0000-00001C0B0000}"/>
    <cellStyle name="Comma 7 5 4 2" xfId="1624" xr:uid="{00000000-0005-0000-0000-00001D0B0000}"/>
    <cellStyle name="Comma 7 5 4 2 2" xfId="10102" xr:uid="{00000000-0005-0000-0000-00001E0B0000}"/>
    <cellStyle name="Comma 7 5 4 3" xfId="10101" xr:uid="{00000000-0005-0000-0000-00001F0B0000}"/>
    <cellStyle name="Comma 7 5 5" xfId="1625" xr:uid="{00000000-0005-0000-0000-0000200B0000}"/>
    <cellStyle name="Comma 7 5 5 2" xfId="1626" xr:uid="{00000000-0005-0000-0000-0000210B0000}"/>
    <cellStyle name="Comma 7 5 5 2 2" xfId="10104" xr:uid="{00000000-0005-0000-0000-0000220B0000}"/>
    <cellStyle name="Comma 7 5 5 3" xfId="10103" xr:uid="{00000000-0005-0000-0000-0000230B0000}"/>
    <cellStyle name="Comma 7 5 6" xfId="1627" xr:uid="{00000000-0005-0000-0000-0000240B0000}"/>
    <cellStyle name="Comma 7 5 6 2" xfId="10105" xr:uid="{00000000-0005-0000-0000-0000250B0000}"/>
    <cellStyle name="Comma 7 5 7" xfId="10082" xr:uid="{00000000-0005-0000-0000-0000260B0000}"/>
    <cellStyle name="Comma 7 6" xfId="1628" xr:uid="{00000000-0005-0000-0000-0000270B0000}"/>
    <cellStyle name="Comma 7 6 2" xfId="1629" xr:uid="{00000000-0005-0000-0000-0000280B0000}"/>
    <cellStyle name="Comma 7 6 2 2" xfId="1630" xr:uid="{00000000-0005-0000-0000-0000290B0000}"/>
    <cellStyle name="Comma 7 6 2 2 2" xfId="1631" xr:uid="{00000000-0005-0000-0000-00002A0B0000}"/>
    <cellStyle name="Comma 7 6 2 2 2 2" xfId="10109" xr:uid="{00000000-0005-0000-0000-00002B0B0000}"/>
    <cellStyle name="Comma 7 6 2 2 3" xfId="10108" xr:uid="{00000000-0005-0000-0000-00002C0B0000}"/>
    <cellStyle name="Comma 7 6 2 3" xfId="1632" xr:uid="{00000000-0005-0000-0000-00002D0B0000}"/>
    <cellStyle name="Comma 7 6 2 3 2" xfId="1633" xr:uid="{00000000-0005-0000-0000-00002E0B0000}"/>
    <cellStyle name="Comma 7 6 2 3 2 2" xfId="10111" xr:uid="{00000000-0005-0000-0000-00002F0B0000}"/>
    <cellStyle name="Comma 7 6 2 3 3" xfId="10110" xr:uid="{00000000-0005-0000-0000-0000300B0000}"/>
    <cellStyle name="Comma 7 6 2 4" xfId="1634" xr:uid="{00000000-0005-0000-0000-0000310B0000}"/>
    <cellStyle name="Comma 7 6 2 4 2" xfId="10112" xr:uid="{00000000-0005-0000-0000-0000320B0000}"/>
    <cellStyle name="Comma 7 6 2 5" xfId="10107" xr:uid="{00000000-0005-0000-0000-0000330B0000}"/>
    <cellStyle name="Comma 7 6 3" xfId="1635" xr:uid="{00000000-0005-0000-0000-0000340B0000}"/>
    <cellStyle name="Comma 7 6 3 2" xfId="1636" xr:uid="{00000000-0005-0000-0000-0000350B0000}"/>
    <cellStyle name="Comma 7 6 3 2 2" xfId="10114" xr:uid="{00000000-0005-0000-0000-0000360B0000}"/>
    <cellStyle name="Comma 7 6 3 3" xfId="10113" xr:uid="{00000000-0005-0000-0000-0000370B0000}"/>
    <cellStyle name="Comma 7 6 4" xfId="1637" xr:uid="{00000000-0005-0000-0000-0000380B0000}"/>
    <cellStyle name="Comma 7 6 4 2" xfId="1638" xr:uid="{00000000-0005-0000-0000-0000390B0000}"/>
    <cellStyle name="Comma 7 6 4 2 2" xfId="10116" xr:uid="{00000000-0005-0000-0000-00003A0B0000}"/>
    <cellStyle name="Comma 7 6 4 3" xfId="10115" xr:uid="{00000000-0005-0000-0000-00003B0B0000}"/>
    <cellStyle name="Comma 7 6 5" xfId="1639" xr:uid="{00000000-0005-0000-0000-00003C0B0000}"/>
    <cellStyle name="Comma 7 6 5 2" xfId="10117" xr:uid="{00000000-0005-0000-0000-00003D0B0000}"/>
    <cellStyle name="Comma 7 6 6" xfId="10106" xr:uid="{00000000-0005-0000-0000-00003E0B0000}"/>
    <cellStyle name="Comma 7 7" xfId="1640" xr:uid="{00000000-0005-0000-0000-00003F0B0000}"/>
    <cellStyle name="Comma 7 7 2" xfId="1641" xr:uid="{00000000-0005-0000-0000-0000400B0000}"/>
    <cellStyle name="Comma 7 7 2 2" xfId="1642" xr:uid="{00000000-0005-0000-0000-0000410B0000}"/>
    <cellStyle name="Comma 7 7 2 2 2" xfId="10120" xr:uid="{00000000-0005-0000-0000-0000420B0000}"/>
    <cellStyle name="Comma 7 7 2 3" xfId="10119" xr:uid="{00000000-0005-0000-0000-0000430B0000}"/>
    <cellStyle name="Comma 7 7 3" xfId="1643" xr:uid="{00000000-0005-0000-0000-0000440B0000}"/>
    <cellStyle name="Comma 7 7 3 2" xfId="1644" xr:uid="{00000000-0005-0000-0000-0000450B0000}"/>
    <cellStyle name="Comma 7 7 3 2 2" xfId="10122" xr:uid="{00000000-0005-0000-0000-0000460B0000}"/>
    <cellStyle name="Comma 7 7 3 3" xfId="10121" xr:uid="{00000000-0005-0000-0000-0000470B0000}"/>
    <cellStyle name="Comma 7 7 4" xfId="1645" xr:uid="{00000000-0005-0000-0000-0000480B0000}"/>
    <cellStyle name="Comma 7 7 4 2" xfId="10123" xr:uid="{00000000-0005-0000-0000-0000490B0000}"/>
    <cellStyle name="Comma 7 7 5" xfId="10118" xr:uid="{00000000-0005-0000-0000-00004A0B0000}"/>
    <cellStyle name="Comma 7 8" xfId="1646" xr:uid="{00000000-0005-0000-0000-00004B0B0000}"/>
    <cellStyle name="Comma 7 8 2" xfId="1647" xr:uid="{00000000-0005-0000-0000-00004C0B0000}"/>
    <cellStyle name="Comma 7 8 2 2" xfId="10125" xr:uid="{00000000-0005-0000-0000-00004D0B0000}"/>
    <cellStyle name="Comma 7 8 3" xfId="10124" xr:uid="{00000000-0005-0000-0000-00004E0B0000}"/>
    <cellStyle name="Comma 7 9" xfId="1648" xr:uid="{00000000-0005-0000-0000-00004F0B0000}"/>
    <cellStyle name="Comma 7 9 2" xfId="1649" xr:uid="{00000000-0005-0000-0000-0000500B0000}"/>
    <cellStyle name="Comma 7 9 2 2" xfId="10127" xr:uid="{00000000-0005-0000-0000-0000510B0000}"/>
    <cellStyle name="Comma 7 9 3" xfId="10126" xr:uid="{00000000-0005-0000-0000-0000520B0000}"/>
    <cellStyle name="Comma 8" xfId="1650" xr:uid="{00000000-0005-0000-0000-0000530B0000}"/>
    <cellStyle name="Comma 8 10" xfId="10128" xr:uid="{00000000-0005-0000-0000-0000540B0000}"/>
    <cellStyle name="Comma 8 2" xfId="1651" xr:uid="{00000000-0005-0000-0000-0000550B0000}"/>
    <cellStyle name="Comma 8 2 2" xfId="1652" xr:uid="{00000000-0005-0000-0000-0000560B0000}"/>
    <cellStyle name="Comma 8 2 2 2" xfId="1653" xr:uid="{00000000-0005-0000-0000-0000570B0000}"/>
    <cellStyle name="Comma 8 2 2 2 2" xfId="1654" xr:uid="{00000000-0005-0000-0000-0000580B0000}"/>
    <cellStyle name="Comma 8 2 2 2 2 2" xfId="1655" xr:uid="{00000000-0005-0000-0000-0000590B0000}"/>
    <cellStyle name="Comma 8 2 2 2 2 2 2" xfId="1656" xr:uid="{00000000-0005-0000-0000-00005A0B0000}"/>
    <cellStyle name="Comma 8 2 2 2 2 2 2 2" xfId="10131" xr:uid="{00000000-0005-0000-0000-00005B0B0000}"/>
    <cellStyle name="Comma 8 2 2 2 2 2 3" xfId="10130" xr:uid="{00000000-0005-0000-0000-00005C0B0000}"/>
    <cellStyle name="Comma 8 2 2 2 2 3" xfId="1657" xr:uid="{00000000-0005-0000-0000-00005D0B0000}"/>
    <cellStyle name="Comma 8 2 2 2 2 3 2" xfId="1658" xr:uid="{00000000-0005-0000-0000-00005E0B0000}"/>
    <cellStyle name="Comma 8 2 2 2 2 3 2 2" xfId="10133" xr:uid="{00000000-0005-0000-0000-00005F0B0000}"/>
    <cellStyle name="Comma 8 2 2 2 2 3 3" xfId="10132" xr:uid="{00000000-0005-0000-0000-0000600B0000}"/>
    <cellStyle name="Comma 8 2 2 2 2 4" xfId="1659" xr:uid="{00000000-0005-0000-0000-0000610B0000}"/>
    <cellStyle name="Comma 8 2 2 2 2 4 2" xfId="10134" xr:uid="{00000000-0005-0000-0000-0000620B0000}"/>
    <cellStyle name="Comma 8 2 2 2 2 5" xfId="10129" xr:uid="{00000000-0005-0000-0000-0000630B0000}"/>
    <cellStyle name="Comma 8 2 2 2 3" xfId="1660" xr:uid="{00000000-0005-0000-0000-0000640B0000}"/>
    <cellStyle name="Comma 8 2 2 2 3 2" xfId="1661" xr:uid="{00000000-0005-0000-0000-0000650B0000}"/>
    <cellStyle name="Comma 8 2 2 2 3 2 2" xfId="10136" xr:uid="{00000000-0005-0000-0000-0000660B0000}"/>
    <cellStyle name="Comma 8 2 2 2 3 3" xfId="10135" xr:uid="{00000000-0005-0000-0000-0000670B0000}"/>
    <cellStyle name="Comma 8 2 2 2 4" xfId="1662" xr:uid="{00000000-0005-0000-0000-0000680B0000}"/>
    <cellStyle name="Comma 8 2 2 2 4 2" xfId="1663" xr:uid="{00000000-0005-0000-0000-0000690B0000}"/>
    <cellStyle name="Comma 8 2 2 2 4 2 2" xfId="10138" xr:uid="{00000000-0005-0000-0000-00006A0B0000}"/>
    <cellStyle name="Comma 8 2 2 2 4 3" xfId="10137" xr:uid="{00000000-0005-0000-0000-00006B0B0000}"/>
    <cellStyle name="Comma 8 2 2 2 5" xfId="1664" xr:uid="{00000000-0005-0000-0000-00006C0B0000}"/>
    <cellStyle name="Comma 8 2 2 2 5 2" xfId="10139" xr:uid="{00000000-0005-0000-0000-00006D0B0000}"/>
    <cellStyle name="Comma 8 2 2 3" xfId="1665" xr:uid="{00000000-0005-0000-0000-00006E0B0000}"/>
    <cellStyle name="Comma 8 2 2 3 2" xfId="1666" xr:uid="{00000000-0005-0000-0000-00006F0B0000}"/>
    <cellStyle name="Comma 8 2 2 3 2 2" xfId="1667" xr:uid="{00000000-0005-0000-0000-0000700B0000}"/>
    <cellStyle name="Comma 8 2 2 3 2 2 2" xfId="10141" xr:uid="{00000000-0005-0000-0000-0000710B0000}"/>
    <cellStyle name="Comma 8 2 2 3 2 3" xfId="10140" xr:uid="{00000000-0005-0000-0000-0000720B0000}"/>
    <cellStyle name="Comma 8 2 2 3 3" xfId="1668" xr:uid="{00000000-0005-0000-0000-0000730B0000}"/>
    <cellStyle name="Comma 8 2 2 3 3 2" xfId="1669" xr:uid="{00000000-0005-0000-0000-0000740B0000}"/>
    <cellStyle name="Comma 8 2 2 3 3 2 2" xfId="10143" xr:uid="{00000000-0005-0000-0000-0000750B0000}"/>
    <cellStyle name="Comma 8 2 2 3 3 3" xfId="10142" xr:uid="{00000000-0005-0000-0000-0000760B0000}"/>
    <cellStyle name="Comma 8 2 2 3 4" xfId="1670" xr:uid="{00000000-0005-0000-0000-0000770B0000}"/>
    <cellStyle name="Comma 8 2 2 3 4 2" xfId="10144" xr:uid="{00000000-0005-0000-0000-0000780B0000}"/>
    <cellStyle name="Comma 8 2 2 4" xfId="1671" xr:uid="{00000000-0005-0000-0000-0000790B0000}"/>
    <cellStyle name="Comma 8 2 2 4 2" xfId="1672" xr:uid="{00000000-0005-0000-0000-00007A0B0000}"/>
    <cellStyle name="Comma 8 2 2 4 2 2" xfId="10146" xr:uid="{00000000-0005-0000-0000-00007B0B0000}"/>
    <cellStyle name="Comma 8 2 2 4 3" xfId="10145" xr:uid="{00000000-0005-0000-0000-00007C0B0000}"/>
    <cellStyle name="Comma 8 2 2 5" xfId="1673" xr:uid="{00000000-0005-0000-0000-00007D0B0000}"/>
    <cellStyle name="Comma 8 2 2 5 2" xfId="1674" xr:uid="{00000000-0005-0000-0000-00007E0B0000}"/>
    <cellStyle name="Comma 8 2 2 5 2 2" xfId="10148" xr:uid="{00000000-0005-0000-0000-00007F0B0000}"/>
    <cellStyle name="Comma 8 2 2 5 3" xfId="10147" xr:uid="{00000000-0005-0000-0000-0000800B0000}"/>
    <cellStyle name="Comma 8 2 2 6" xfId="1675" xr:uid="{00000000-0005-0000-0000-0000810B0000}"/>
    <cellStyle name="Comma 8 2 2 6 2" xfId="10149" xr:uid="{00000000-0005-0000-0000-0000820B0000}"/>
    <cellStyle name="Comma 8 2 3" xfId="1676" xr:uid="{00000000-0005-0000-0000-0000830B0000}"/>
    <cellStyle name="Comma 8 2 3 2" xfId="1677" xr:uid="{00000000-0005-0000-0000-0000840B0000}"/>
    <cellStyle name="Comma 8 2 3 2 2" xfId="1678" xr:uid="{00000000-0005-0000-0000-0000850B0000}"/>
    <cellStyle name="Comma 8 2 3 2 2 2" xfId="1679" xr:uid="{00000000-0005-0000-0000-0000860B0000}"/>
    <cellStyle name="Comma 8 2 3 2 2 2 2" xfId="10153" xr:uid="{00000000-0005-0000-0000-0000870B0000}"/>
    <cellStyle name="Comma 8 2 3 2 2 3" xfId="10152" xr:uid="{00000000-0005-0000-0000-0000880B0000}"/>
    <cellStyle name="Comma 8 2 3 2 3" xfId="1680" xr:uid="{00000000-0005-0000-0000-0000890B0000}"/>
    <cellStyle name="Comma 8 2 3 2 3 2" xfId="1681" xr:uid="{00000000-0005-0000-0000-00008A0B0000}"/>
    <cellStyle name="Comma 8 2 3 2 3 2 2" xfId="10155" xr:uid="{00000000-0005-0000-0000-00008B0B0000}"/>
    <cellStyle name="Comma 8 2 3 2 3 3" xfId="10154" xr:uid="{00000000-0005-0000-0000-00008C0B0000}"/>
    <cellStyle name="Comma 8 2 3 2 4" xfId="1682" xr:uid="{00000000-0005-0000-0000-00008D0B0000}"/>
    <cellStyle name="Comma 8 2 3 2 4 2" xfId="10156" xr:uid="{00000000-0005-0000-0000-00008E0B0000}"/>
    <cellStyle name="Comma 8 2 3 2 5" xfId="10151" xr:uid="{00000000-0005-0000-0000-00008F0B0000}"/>
    <cellStyle name="Comma 8 2 3 3" xfId="1683" xr:uid="{00000000-0005-0000-0000-0000900B0000}"/>
    <cellStyle name="Comma 8 2 3 3 2" xfId="1684" xr:uid="{00000000-0005-0000-0000-0000910B0000}"/>
    <cellStyle name="Comma 8 2 3 3 2 2" xfId="10158" xr:uid="{00000000-0005-0000-0000-0000920B0000}"/>
    <cellStyle name="Comma 8 2 3 3 3" xfId="10157" xr:uid="{00000000-0005-0000-0000-0000930B0000}"/>
    <cellStyle name="Comma 8 2 3 4" xfId="1685" xr:uid="{00000000-0005-0000-0000-0000940B0000}"/>
    <cellStyle name="Comma 8 2 3 4 2" xfId="1686" xr:uid="{00000000-0005-0000-0000-0000950B0000}"/>
    <cellStyle name="Comma 8 2 3 4 2 2" xfId="10160" xr:uid="{00000000-0005-0000-0000-0000960B0000}"/>
    <cellStyle name="Comma 8 2 3 4 3" xfId="10159" xr:uid="{00000000-0005-0000-0000-0000970B0000}"/>
    <cellStyle name="Comma 8 2 3 5" xfId="1687" xr:uid="{00000000-0005-0000-0000-0000980B0000}"/>
    <cellStyle name="Comma 8 2 3 5 2" xfId="10161" xr:uid="{00000000-0005-0000-0000-0000990B0000}"/>
    <cellStyle name="Comma 8 2 3 6" xfId="10150" xr:uid="{00000000-0005-0000-0000-00009A0B0000}"/>
    <cellStyle name="Comma 8 2 4" xfId="1688" xr:uid="{00000000-0005-0000-0000-00009B0B0000}"/>
    <cellStyle name="Comma 8 2 4 2" xfId="1689" xr:uid="{00000000-0005-0000-0000-00009C0B0000}"/>
    <cellStyle name="Comma 8 2 4 2 2" xfId="1690" xr:uid="{00000000-0005-0000-0000-00009D0B0000}"/>
    <cellStyle name="Comma 8 2 4 2 2 2" xfId="10164" xr:uid="{00000000-0005-0000-0000-00009E0B0000}"/>
    <cellStyle name="Comma 8 2 4 2 3" xfId="10163" xr:uid="{00000000-0005-0000-0000-00009F0B0000}"/>
    <cellStyle name="Comma 8 2 4 3" xfId="1691" xr:uid="{00000000-0005-0000-0000-0000A00B0000}"/>
    <cellStyle name="Comma 8 2 4 3 2" xfId="1692" xr:uid="{00000000-0005-0000-0000-0000A10B0000}"/>
    <cellStyle name="Comma 8 2 4 3 2 2" xfId="10166" xr:uid="{00000000-0005-0000-0000-0000A20B0000}"/>
    <cellStyle name="Comma 8 2 4 3 3" xfId="10165" xr:uid="{00000000-0005-0000-0000-0000A30B0000}"/>
    <cellStyle name="Comma 8 2 4 4" xfId="1693" xr:uid="{00000000-0005-0000-0000-0000A40B0000}"/>
    <cellStyle name="Comma 8 2 4 4 2" xfId="10167" xr:uid="{00000000-0005-0000-0000-0000A50B0000}"/>
    <cellStyle name="Comma 8 2 4 5" xfId="10162" xr:uid="{00000000-0005-0000-0000-0000A60B0000}"/>
    <cellStyle name="Comma 8 2 5" xfId="1694" xr:uid="{00000000-0005-0000-0000-0000A70B0000}"/>
    <cellStyle name="Comma 8 2 5 2" xfId="1695" xr:uid="{00000000-0005-0000-0000-0000A80B0000}"/>
    <cellStyle name="Comma 8 2 5 2 2" xfId="10169" xr:uid="{00000000-0005-0000-0000-0000A90B0000}"/>
    <cellStyle name="Comma 8 2 5 3" xfId="10168" xr:uid="{00000000-0005-0000-0000-0000AA0B0000}"/>
    <cellStyle name="Comma 8 2 6" xfId="1696" xr:uid="{00000000-0005-0000-0000-0000AB0B0000}"/>
    <cellStyle name="Comma 8 2 6 2" xfId="1697" xr:uid="{00000000-0005-0000-0000-0000AC0B0000}"/>
    <cellStyle name="Comma 8 2 6 2 2" xfId="10171" xr:uid="{00000000-0005-0000-0000-0000AD0B0000}"/>
    <cellStyle name="Comma 8 2 6 3" xfId="10170" xr:uid="{00000000-0005-0000-0000-0000AE0B0000}"/>
    <cellStyle name="Comma 8 2 7" xfId="1698" xr:uid="{00000000-0005-0000-0000-0000AF0B0000}"/>
    <cellStyle name="Comma 8 2 7 2" xfId="10172" xr:uid="{00000000-0005-0000-0000-0000B00B0000}"/>
    <cellStyle name="Comma 8 3" xfId="1699" xr:uid="{00000000-0005-0000-0000-0000B10B0000}"/>
    <cellStyle name="Comma 8 3 2" xfId="1700" xr:uid="{00000000-0005-0000-0000-0000B20B0000}"/>
    <cellStyle name="Comma 8 3 2 2" xfId="1701" xr:uid="{00000000-0005-0000-0000-0000B30B0000}"/>
    <cellStyle name="Comma 8 3 2 2 2" xfId="1702" xr:uid="{00000000-0005-0000-0000-0000B40B0000}"/>
    <cellStyle name="Comma 8 3 2 2 2 2" xfId="1703" xr:uid="{00000000-0005-0000-0000-0000B50B0000}"/>
    <cellStyle name="Comma 8 3 2 2 2 2 2" xfId="1704" xr:uid="{00000000-0005-0000-0000-0000B60B0000}"/>
    <cellStyle name="Comma 8 3 2 2 2 2 2 2" xfId="10178" xr:uid="{00000000-0005-0000-0000-0000B70B0000}"/>
    <cellStyle name="Comma 8 3 2 2 2 2 3" xfId="10177" xr:uid="{00000000-0005-0000-0000-0000B80B0000}"/>
    <cellStyle name="Comma 8 3 2 2 2 3" xfId="1705" xr:uid="{00000000-0005-0000-0000-0000B90B0000}"/>
    <cellStyle name="Comma 8 3 2 2 2 3 2" xfId="1706" xr:uid="{00000000-0005-0000-0000-0000BA0B0000}"/>
    <cellStyle name="Comma 8 3 2 2 2 3 2 2" xfId="10180" xr:uid="{00000000-0005-0000-0000-0000BB0B0000}"/>
    <cellStyle name="Comma 8 3 2 2 2 3 3" xfId="10179" xr:uid="{00000000-0005-0000-0000-0000BC0B0000}"/>
    <cellStyle name="Comma 8 3 2 2 2 4" xfId="1707" xr:uid="{00000000-0005-0000-0000-0000BD0B0000}"/>
    <cellStyle name="Comma 8 3 2 2 2 4 2" xfId="10181" xr:uid="{00000000-0005-0000-0000-0000BE0B0000}"/>
    <cellStyle name="Comma 8 3 2 2 2 5" xfId="10176" xr:uid="{00000000-0005-0000-0000-0000BF0B0000}"/>
    <cellStyle name="Comma 8 3 2 2 3" xfId="1708" xr:uid="{00000000-0005-0000-0000-0000C00B0000}"/>
    <cellStyle name="Comma 8 3 2 2 3 2" xfId="1709" xr:uid="{00000000-0005-0000-0000-0000C10B0000}"/>
    <cellStyle name="Comma 8 3 2 2 3 2 2" xfId="10183" xr:uid="{00000000-0005-0000-0000-0000C20B0000}"/>
    <cellStyle name="Comma 8 3 2 2 3 3" xfId="10182" xr:uid="{00000000-0005-0000-0000-0000C30B0000}"/>
    <cellStyle name="Comma 8 3 2 2 4" xfId="1710" xr:uid="{00000000-0005-0000-0000-0000C40B0000}"/>
    <cellStyle name="Comma 8 3 2 2 4 2" xfId="1711" xr:uid="{00000000-0005-0000-0000-0000C50B0000}"/>
    <cellStyle name="Comma 8 3 2 2 4 2 2" xfId="10185" xr:uid="{00000000-0005-0000-0000-0000C60B0000}"/>
    <cellStyle name="Comma 8 3 2 2 4 3" xfId="10184" xr:uid="{00000000-0005-0000-0000-0000C70B0000}"/>
    <cellStyle name="Comma 8 3 2 2 5" xfId="1712" xr:uid="{00000000-0005-0000-0000-0000C80B0000}"/>
    <cellStyle name="Comma 8 3 2 2 5 2" xfId="10186" xr:uid="{00000000-0005-0000-0000-0000C90B0000}"/>
    <cellStyle name="Comma 8 3 2 2 6" xfId="10175" xr:uid="{00000000-0005-0000-0000-0000CA0B0000}"/>
    <cellStyle name="Comma 8 3 2 3" xfId="1713" xr:uid="{00000000-0005-0000-0000-0000CB0B0000}"/>
    <cellStyle name="Comma 8 3 2 3 2" xfId="1714" xr:uid="{00000000-0005-0000-0000-0000CC0B0000}"/>
    <cellStyle name="Comma 8 3 2 3 2 2" xfId="1715" xr:uid="{00000000-0005-0000-0000-0000CD0B0000}"/>
    <cellStyle name="Comma 8 3 2 3 2 2 2" xfId="10189" xr:uid="{00000000-0005-0000-0000-0000CE0B0000}"/>
    <cellStyle name="Comma 8 3 2 3 2 3" xfId="10188" xr:uid="{00000000-0005-0000-0000-0000CF0B0000}"/>
    <cellStyle name="Comma 8 3 2 3 3" xfId="1716" xr:uid="{00000000-0005-0000-0000-0000D00B0000}"/>
    <cellStyle name="Comma 8 3 2 3 3 2" xfId="1717" xr:uid="{00000000-0005-0000-0000-0000D10B0000}"/>
    <cellStyle name="Comma 8 3 2 3 3 2 2" xfId="10191" xr:uid="{00000000-0005-0000-0000-0000D20B0000}"/>
    <cellStyle name="Comma 8 3 2 3 3 3" xfId="10190" xr:uid="{00000000-0005-0000-0000-0000D30B0000}"/>
    <cellStyle name="Comma 8 3 2 3 4" xfId="1718" xr:uid="{00000000-0005-0000-0000-0000D40B0000}"/>
    <cellStyle name="Comma 8 3 2 3 4 2" xfId="10192" xr:uid="{00000000-0005-0000-0000-0000D50B0000}"/>
    <cellStyle name="Comma 8 3 2 3 5" xfId="10187" xr:uid="{00000000-0005-0000-0000-0000D60B0000}"/>
    <cellStyle name="Comma 8 3 2 4" xfId="1719" xr:uid="{00000000-0005-0000-0000-0000D70B0000}"/>
    <cellStyle name="Comma 8 3 2 4 2" xfId="1720" xr:uid="{00000000-0005-0000-0000-0000D80B0000}"/>
    <cellStyle name="Comma 8 3 2 4 2 2" xfId="10194" xr:uid="{00000000-0005-0000-0000-0000D90B0000}"/>
    <cellStyle name="Comma 8 3 2 4 3" xfId="10193" xr:uid="{00000000-0005-0000-0000-0000DA0B0000}"/>
    <cellStyle name="Comma 8 3 2 5" xfId="1721" xr:uid="{00000000-0005-0000-0000-0000DB0B0000}"/>
    <cellStyle name="Comma 8 3 2 5 2" xfId="1722" xr:uid="{00000000-0005-0000-0000-0000DC0B0000}"/>
    <cellStyle name="Comma 8 3 2 5 2 2" xfId="10196" xr:uid="{00000000-0005-0000-0000-0000DD0B0000}"/>
    <cellStyle name="Comma 8 3 2 5 3" xfId="10195" xr:uid="{00000000-0005-0000-0000-0000DE0B0000}"/>
    <cellStyle name="Comma 8 3 2 6" xfId="1723" xr:uid="{00000000-0005-0000-0000-0000DF0B0000}"/>
    <cellStyle name="Comma 8 3 2 6 2" xfId="10197" xr:uid="{00000000-0005-0000-0000-0000E00B0000}"/>
    <cellStyle name="Comma 8 3 2 7" xfId="10174" xr:uid="{00000000-0005-0000-0000-0000E10B0000}"/>
    <cellStyle name="Comma 8 3 3" xfId="1724" xr:uid="{00000000-0005-0000-0000-0000E20B0000}"/>
    <cellStyle name="Comma 8 3 3 2" xfId="1725" xr:uid="{00000000-0005-0000-0000-0000E30B0000}"/>
    <cellStyle name="Comma 8 3 3 2 2" xfId="1726" xr:uid="{00000000-0005-0000-0000-0000E40B0000}"/>
    <cellStyle name="Comma 8 3 3 2 2 2" xfId="1727" xr:uid="{00000000-0005-0000-0000-0000E50B0000}"/>
    <cellStyle name="Comma 8 3 3 2 2 2 2" xfId="10201" xr:uid="{00000000-0005-0000-0000-0000E60B0000}"/>
    <cellStyle name="Comma 8 3 3 2 2 3" xfId="10200" xr:uid="{00000000-0005-0000-0000-0000E70B0000}"/>
    <cellStyle name="Comma 8 3 3 2 3" xfId="1728" xr:uid="{00000000-0005-0000-0000-0000E80B0000}"/>
    <cellStyle name="Comma 8 3 3 2 3 2" xfId="1729" xr:uid="{00000000-0005-0000-0000-0000E90B0000}"/>
    <cellStyle name="Comma 8 3 3 2 3 2 2" xfId="10203" xr:uid="{00000000-0005-0000-0000-0000EA0B0000}"/>
    <cellStyle name="Comma 8 3 3 2 3 3" xfId="10202" xr:uid="{00000000-0005-0000-0000-0000EB0B0000}"/>
    <cellStyle name="Comma 8 3 3 2 4" xfId="1730" xr:uid="{00000000-0005-0000-0000-0000EC0B0000}"/>
    <cellStyle name="Comma 8 3 3 2 4 2" xfId="10204" xr:uid="{00000000-0005-0000-0000-0000ED0B0000}"/>
    <cellStyle name="Comma 8 3 3 2 5" xfId="10199" xr:uid="{00000000-0005-0000-0000-0000EE0B0000}"/>
    <cellStyle name="Comma 8 3 3 3" xfId="1731" xr:uid="{00000000-0005-0000-0000-0000EF0B0000}"/>
    <cellStyle name="Comma 8 3 3 3 2" xfId="1732" xr:uid="{00000000-0005-0000-0000-0000F00B0000}"/>
    <cellStyle name="Comma 8 3 3 3 2 2" xfId="10206" xr:uid="{00000000-0005-0000-0000-0000F10B0000}"/>
    <cellStyle name="Comma 8 3 3 3 3" xfId="10205" xr:uid="{00000000-0005-0000-0000-0000F20B0000}"/>
    <cellStyle name="Comma 8 3 3 4" xfId="1733" xr:uid="{00000000-0005-0000-0000-0000F30B0000}"/>
    <cellStyle name="Comma 8 3 3 4 2" xfId="1734" xr:uid="{00000000-0005-0000-0000-0000F40B0000}"/>
    <cellStyle name="Comma 8 3 3 4 2 2" xfId="10208" xr:uid="{00000000-0005-0000-0000-0000F50B0000}"/>
    <cellStyle name="Comma 8 3 3 4 3" xfId="10207" xr:uid="{00000000-0005-0000-0000-0000F60B0000}"/>
    <cellStyle name="Comma 8 3 3 5" xfId="1735" xr:uid="{00000000-0005-0000-0000-0000F70B0000}"/>
    <cellStyle name="Comma 8 3 3 5 2" xfId="10209" xr:uid="{00000000-0005-0000-0000-0000F80B0000}"/>
    <cellStyle name="Comma 8 3 3 6" xfId="10198" xr:uid="{00000000-0005-0000-0000-0000F90B0000}"/>
    <cellStyle name="Comma 8 3 4" xfId="1736" xr:uid="{00000000-0005-0000-0000-0000FA0B0000}"/>
    <cellStyle name="Comma 8 3 4 2" xfId="1737" xr:uid="{00000000-0005-0000-0000-0000FB0B0000}"/>
    <cellStyle name="Comma 8 3 4 2 2" xfId="1738" xr:uid="{00000000-0005-0000-0000-0000FC0B0000}"/>
    <cellStyle name="Comma 8 3 4 2 2 2" xfId="10212" xr:uid="{00000000-0005-0000-0000-0000FD0B0000}"/>
    <cellStyle name="Comma 8 3 4 2 3" xfId="10211" xr:uid="{00000000-0005-0000-0000-0000FE0B0000}"/>
    <cellStyle name="Comma 8 3 4 3" xfId="1739" xr:uid="{00000000-0005-0000-0000-0000FF0B0000}"/>
    <cellStyle name="Comma 8 3 4 3 2" xfId="1740" xr:uid="{00000000-0005-0000-0000-0000000C0000}"/>
    <cellStyle name="Comma 8 3 4 3 2 2" xfId="10214" xr:uid="{00000000-0005-0000-0000-0000010C0000}"/>
    <cellStyle name="Comma 8 3 4 3 3" xfId="10213" xr:uid="{00000000-0005-0000-0000-0000020C0000}"/>
    <cellStyle name="Comma 8 3 4 4" xfId="1741" xr:uid="{00000000-0005-0000-0000-0000030C0000}"/>
    <cellStyle name="Comma 8 3 4 4 2" xfId="10215" xr:uid="{00000000-0005-0000-0000-0000040C0000}"/>
    <cellStyle name="Comma 8 3 4 5" xfId="10210" xr:uid="{00000000-0005-0000-0000-0000050C0000}"/>
    <cellStyle name="Comma 8 3 5" xfId="1742" xr:uid="{00000000-0005-0000-0000-0000060C0000}"/>
    <cellStyle name="Comma 8 3 5 2" xfId="1743" xr:uid="{00000000-0005-0000-0000-0000070C0000}"/>
    <cellStyle name="Comma 8 3 5 2 2" xfId="10217" xr:uid="{00000000-0005-0000-0000-0000080C0000}"/>
    <cellStyle name="Comma 8 3 5 3" xfId="10216" xr:uid="{00000000-0005-0000-0000-0000090C0000}"/>
    <cellStyle name="Comma 8 3 6" xfId="1744" xr:uid="{00000000-0005-0000-0000-00000A0C0000}"/>
    <cellStyle name="Comma 8 3 6 2" xfId="1745" xr:uid="{00000000-0005-0000-0000-00000B0C0000}"/>
    <cellStyle name="Comma 8 3 6 2 2" xfId="10219" xr:uid="{00000000-0005-0000-0000-00000C0C0000}"/>
    <cellStyle name="Comma 8 3 6 3" xfId="10218" xr:uid="{00000000-0005-0000-0000-00000D0C0000}"/>
    <cellStyle name="Comma 8 3 7" xfId="1746" xr:uid="{00000000-0005-0000-0000-00000E0C0000}"/>
    <cellStyle name="Comma 8 3 7 2" xfId="10220" xr:uid="{00000000-0005-0000-0000-00000F0C0000}"/>
    <cellStyle name="Comma 8 3 8" xfId="10173" xr:uid="{00000000-0005-0000-0000-0000100C0000}"/>
    <cellStyle name="Comma 8 4" xfId="1747" xr:uid="{00000000-0005-0000-0000-0000110C0000}"/>
    <cellStyle name="Comma 8 4 2" xfId="1748" xr:uid="{00000000-0005-0000-0000-0000120C0000}"/>
    <cellStyle name="Comma 8 4 2 2" xfId="1749" xr:uid="{00000000-0005-0000-0000-0000130C0000}"/>
    <cellStyle name="Comma 8 4 2 2 2" xfId="1750" xr:uid="{00000000-0005-0000-0000-0000140C0000}"/>
    <cellStyle name="Comma 8 4 2 2 2 2" xfId="1751" xr:uid="{00000000-0005-0000-0000-0000150C0000}"/>
    <cellStyle name="Comma 8 4 2 2 2 2 2" xfId="10225" xr:uid="{00000000-0005-0000-0000-0000160C0000}"/>
    <cellStyle name="Comma 8 4 2 2 2 3" xfId="10224" xr:uid="{00000000-0005-0000-0000-0000170C0000}"/>
    <cellStyle name="Comma 8 4 2 2 3" xfId="1752" xr:uid="{00000000-0005-0000-0000-0000180C0000}"/>
    <cellStyle name="Comma 8 4 2 2 3 2" xfId="1753" xr:uid="{00000000-0005-0000-0000-0000190C0000}"/>
    <cellStyle name="Comma 8 4 2 2 3 2 2" xfId="10227" xr:uid="{00000000-0005-0000-0000-00001A0C0000}"/>
    <cellStyle name="Comma 8 4 2 2 3 3" xfId="10226" xr:uid="{00000000-0005-0000-0000-00001B0C0000}"/>
    <cellStyle name="Comma 8 4 2 2 4" xfId="1754" xr:uid="{00000000-0005-0000-0000-00001C0C0000}"/>
    <cellStyle name="Comma 8 4 2 2 4 2" xfId="10228" xr:uid="{00000000-0005-0000-0000-00001D0C0000}"/>
    <cellStyle name="Comma 8 4 2 2 5" xfId="10223" xr:uid="{00000000-0005-0000-0000-00001E0C0000}"/>
    <cellStyle name="Comma 8 4 2 3" xfId="1755" xr:uid="{00000000-0005-0000-0000-00001F0C0000}"/>
    <cellStyle name="Comma 8 4 2 3 2" xfId="1756" xr:uid="{00000000-0005-0000-0000-0000200C0000}"/>
    <cellStyle name="Comma 8 4 2 3 2 2" xfId="10230" xr:uid="{00000000-0005-0000-0000-0000210C0000}"/>
    <cellStyle name="Comma 8 4 2 3 3" xfId="10229" xr:uid="{00000000-0005-0000-0000-0000220C0000}"/>
    <cellStyle name="Comma 8 4 2 4" xfId="1757" xr:uid="{00000000-0005-0000-0000-0000230C0000}"/>
    <cellStyle name="Comma 8 4 2 4 2" xfId="1758" xr:uid="{00000000-0005-0000-0000-0000240C0000}"/>
    <cellStyle name="Comma 8 4 2 4 2 2" xfId="10232" xr:uid="{00000000-0005-0000-0000-0000250C0000}"/>
    <cellStyle name="Comma 8 4 2 4 3" xfId="10231" xr:uid="{00000000-0005-0000-0000-0000260C0000}"/>
    <cellStyle name="Comma 8 4 2 5" xfId="1759" xr:uid="{00000000-0005-0000-0000-0000270C0000}"/>
    <cellStyle name="Comma 8 4 2 5 2" xfId="10233" xr:uid="{00000000-0005-0000-0000-0000280C0000}"/>
    <cellStyle name="Comma 8 4 2 6" xfId="10222" xr:uid="{00000000-0005-0000-0000-0000290C0000}"/>
    <cellStyle name="Comma 8 4 3" xfId="1760" xr:uid="{00000000-0005-0000-0000-00002A0C0000}"/>
    <cellStyle name="Comma 8 4 3 2" xfId="1761" xr:uid="{00000000-0005-0000-0000-00002B0C0000}"/>
    <cellStyle name="Comma 8 4 3 2 2" xfId="1762" xr:uid="{00000000-0005-0000-0000-00002C0C0000}"/>
    <cellStyle name="Comma 8 4 3 2 2 2" xfId="10236" xr:uid="{00000000-0005-0000-0000-00002D0C0000}"/>
    <cellStyle name="Comma 8 4 3 2 3" xfId="10235" xr:uid="{00000000-0005-0000-0000-00002E0C0000}"/>
    <cellStyle name="Comma 8 4 3 3" xfId="1763" xr:uid="{00000000-0005-0000-0000-00002F0C0000}"/>
    <cellStyle name="Comma 8 4 3 3 2" xfId="1764" xr:uid="{00000000-0005-0000-0000-0000300C0000}"/>
    <cellStyle name="Comma 8 4 3 3 2 2" xfId="10238" xr:uid="{00000000-0005-0000-0000-0000310C0000}"/>
    <cellStyle name="Comma 8 4 3 3 3" xfId="10237" xr:uid="{00000000-0005-0000-0000-0000320C0000}"/>
    <cellStyle name="Comma 8 4 3 4" xfId="1765" xr:uid="{00000000-0005-0000-0000-0000330C0000}"/>
    <cellStyle name="Comma 8 4 3 4 2" xfId="10239" xr:uid="{00000000-0005-0000-0000-0000340C0000}"/>
    <cellStyle name="Comma 8 4 3 5" xfId="10234" xr:uid="{00000000-0005-0000-0000-0000350C0000}"/>
    <cellStyle name="Comma 8 4 4" xfId="1766" xr:uid="{00000000-0005-0000-0000-0000360C0000}"/>
    <cellStyle name="Comma 8 4 4 2" xfId="1767" xr:uid="{00000000-0005-0000-0000-0000370C0000}"/>
    <cellStyle name="Comma 8 4 4 2 2" xfId="10241" xr:uid="{00000000-0005-0000-0000-0000380C0000}"/>
    <cellStyle name="Comma 8 4 4 3" xfId="10240" xr:uid="{00000000-0005-0000-0000-0000390C0000}"/>
    <cellStyle name="Comma 8 4 5" xfId="1768" xr:uid="{00000000-0005-0000-0000-00003A0C0000}"/>
    <cellStyle name="Comma 8 4 5 2" xfId="1769" xr:uid="{00000000-0005-0000-0000-00003B0C0000}"/>
    <cellStyle name="Comma 8 4 5 2 2" xfId="10243" xr:uid="{00000000-0005-0000-0000-00003C0C0000}"/>
    <cellStyle name="Comma 8 4 5 3" xfId="10242" xr:uid="{00000000-0005-0000-0000-00003D0C0000}"/>
    <cellStyle name="Comma 8 4 6" xfId="1770" xr:uid="{00000000-0005-0000-0000-00003E0C0000}"/>
    <cellStyle name="Comma 8 4 6 2" xfId="10244" xr:uid="{00000000-0005-0000-0000-00003F0C0000}"/>
    <cellStyle name="Comma 8 4 7" xfId="10221" xr:uid="{00000000-0005-0000-0000-0000400C0000}"/>
    <cellStyle name="Comma 8 5" xfId="1771" xr:uid="{00000000-0005-0000-0000-0000410C0000}"/>
    <cellStyle name="Comma 8 5 2" xfId="1772" xr:uid="{00000000-0005-0000-0000-0000420C0000}"/>
    <cellStyle name="Comma 8 5 2 2" xfId="1773" xr:uid="{00000000-0005-0000-0000-0000430C0000}"/>
    <cellStyle name="Comma 8 5 2 2 2" xfId="1774" xr:uid="{00000000-0005-0000-0000-0000440C0000}"/>
    <cellStyle name="Comma 8 5 2 2 2 2" xfId="10248" xr:uid="{00000000-0005-0000-0000-0000450C0000}"/>
    <cellStyle name="Comma 8 5 2 2 3" xfId="10247" xr:uid="{00000000-0005-0000-0000-0000460C0000}"/>
    <cellStyle name="Comma 8 5 2 3" xfId="1775" xr:uid="{00000000-0005-0000-0000-0000470C0000}"/>
    <cellStyle name="Comma 8 5 2 3 2" xfId="1776" xr:uid="{00000000-0005-0000-0000-0000480C0000}"/>
    <cellStyle name="Comma 8 5 2 3 2 2" xfId="10250" xr:uid="{00000000-0005-0000-0000-0000490C0000}"/>
    <cellStyle name="Comma 8 5 2 3 3" xfId="10249" xr:uid="{00000000-0005-0000-0000-00004A0C0000}"/>
    <cellStyle name="Comma 8 5 2 4" xfId="1777" xr:uid="{00000000-0005-0000-0000-00004B0C0000}"/>
    <cellStyle name="Comma 8 5 2 4 2" xfId="10251" xr:uid="{00000000-0005-0000-0000-00004C0C0000}"/>
    <cellStyle name="Comma 8 5 2 5" xfId="10246" xr:uid="{00000000-0005-0000-0000-00004D0C0000}"/>
    <cellStyle name="Comma 8 5 3" xfId="1778" xr:uid="{00000000-0005-0000-0000-00004E0C0000}"/>
    <cellStyle name="Comma 8 5 3 2" xfId="1779" xr:uid="{00000000-0005-0000-0000-00004F0C0000}"/>
    <cellStyle name="Comma 8 5 3 2 2" xfId="10253" xr:uid="{00000000-0005-0000-0000-0000500C0000}"/>
    <cellStyle name="Comma 8 5 3 3" xfId="10252" xr:uid="{00000000-0005-0000-0000-0000510C0000}"/>
    <cellStyle name="Comma 8 5 4" xfId="1780" xr:uid="{00000000-0005-0000-0000-0000520C0000}"/>
    <cellStyle name="Comma 8 5 4 2" xfId="1781" xr:uid="{00000000-0005-0000-0000-0000530C0000}"/>
    <cellStyle name="Comma 8 5 4 2 2" xfId="10255" xr:uid="{00000000-0005-0000-0000-0000540C0000}"/>
    <cellStyle name="Comma 8 5 4 3" xfId="10254" xr:uid="{00000000-0005-0000-0000-0000550C0000}"/>
    <cellStyle name="Comma 8 5 5" xfId="1782" xr:uid="{00000000-0005-0000-0000-0000560C0000}"/>
    <cellStyle name="Comma 8 5 5 2" xfId="10256" xr:uid="{00000000-0005-0000-0000-0000570C0000}"/>
    <cellStyle name="Comma 8 5 6" xfId="10245" xr:uid="{00000000-0005-0000-0000-0000580C0000}"/>
    <cellStyle name="Comma 8 6" xfId="1783" xr:uid="{00000000-0005-0000-0000-0000590C0000}"/>
    <cellStyle name="Comma 8 6 2" xfId="1784" xr:uid="{00000000-0005-0000-0000-00005A0C0000}"/>
    <cellStyle name="Comma 8 6 2 2" xfId="1785" xr:uid="{00000000-0005-0000-0000-00005B0C0000}"/>
    <cellStyle name="Comma 8 6 2 2 2" xfId="10259" xr:uid="{00000000-0005-0000-0000-00005C0C0000}"/>
    <cellStyle name="Comma 8 6 2 3" xfId="10258" xr:uid="{00000000-0005-0000-0000-00005D0C0000}"/>
    <cellStyle name="Comma 8 6 3" xfId="1786" xr:uid="{00000000-0005-0000-0000-00005E0C0000}"/>
    <cellStyle name="Comma 8 6 3 2" xfId="1787" xr:uid="{00000000-0005-0000-0000-00005F0C0000}"/>
    <cellStyle name="Comma 8 6 3 2 2" xfId="10261" xr:uid="{00000000-0005-0000-0000-0000600C0000}"/>
    <cellStyle name="Comma 8 6 3 3" xfId="10260" xr:uid="{00000000-0005-0000-0000-0000610C0000}"/>
    <cellStyle name="Comma 8 6 4" xfId="1788" xr:uid="{00000000-0005-0000-0000-0000620C0000}"/>
    <cellStyle name="Comma 8 6 4 2" xfId="10262" xr:uid="{00000000-0005-0000-0000-0000630C0000}"/>
    <cellStyle name="Comma 8 6 5" xfId="10257" xr:uid="{00000000-0005-0000-0000-0000640C0000}"/>
    <cellStyle name="Comma 8 7" xfId="1789" xr:uid="{00000000-0005-0000-0000-0000650C0000}"/>
    <cellStyle name="Comma 8 7 2" xfId="1790" xr:uid="{00000000-0005-0000-0000-0000660C0000}"/>
    <cellStyle name="Comma 8 7 2 2" xfId="10264" xr:uid="{00000000-0005-0000-0000-0000670C0000}"/>
    <cellStyle name="Comma 8 7 3" xfId="10263" xr:uid="{00000000-0005-0000-0000-0000680C0000}"/>
    <cellStyle name="Comma 8 8" xfId="1791" xr:uid="{00000000-0005-0000-0000-0000690C0000}"/>
    <cellStyle name="Comma 8 8 2" xfId="1792" xr:uid="{00000000-0005-0000-0000-00006A0C0000}"/>
    <cellStyle name="Comma 8 8 2 2" xfId="10266" xr:uid="{00000000-0005-0000-0000-00006B0C0000}"/>
    <cellStyle name="Comma 8 8 3" xfId="10265" xr:uid="{00000000-0005-0000-0000-00006C0C0000}"/>
    <cellStyle name="Comma 8 9" xfId="1793" xr:uid="{00000000-0005-0000-0000-00006D0C0000}"/>
    <cellStyle name="Comma 8 9 2" xfId="10267" xr:uid="{00000000-0005-0000-0000-00006E0C0000}"/>
    <cellStyle name="Comma 9" xfId="1794" xr:uid="{00000000-0005-0000-0000-00006F0C0000}"/>
    <cellStyle name="Comma 9 2" xfId="1795" xr:uid="{00000000-0005-0000-0000-0000700C0000}"/>
    <cellStyle name="Comma 9 2 2" xfId="10269" xr:uid="{00000000-0005-0000-0000-0000710C0000}"/>
    <cellStyle name="Comma 9 3" xfId="10268" xr:uid="{00000000-0005-0000-0000-0000720C0000}"/>
    <cellStyle name="Comma(2)" xfId="1796" xr:uid="{00000000-0005-0000-0000-0000730C0000}"/>
    <cellStyle name="Comma0" xfId="1797" xr:uid="{00000000-0005-0000-0000-0000740C0000}"/>
    <cellStyle name="Comma0 - Style2" xfId="1798" xr:uid="{00000000-0005-0000-0000-0000750C0000}"/>
    <cellStyle name="Comma1 - Style1" xfId="1799" xr:uid="{00000000-0005-0000-0000-0000760C0000}"/>
    <cellStyle name="Comments" xfId="1800" xr:uid="{00000000-0005-0000-0000-0000770C0000}"/>
    <cellStyle name="Currency 10" xfId="1801" xr:uid="{00000000-0005-0000-0000-0000780C0000}"/>
    <cellStyle name="Currency 10 2" xfId="1802" xr:uid="{00000000-0005-0000-0000-0000790C0000}"/>
    <cellStyle name="Currency 10 2 2" xfId="1803" xr:uid="{00000000-0005-0000-0000-00007A0C0000}"/>
    <cellStyle name="Currency 10 2 2 2" xfId="1804" xr:uid="{00000000-0005-0000-0000-00007B0C0000}"/>
    <cellStyle name="Currency 10 2 2 2 2" xfId="1805" xr:uid="{00000000-0005-0000-0000-00007C0C0000}"/>
    <cellStyle name="Currency 10 2 2 2 2 2" xfId="1806" xr:uid="{00000000-0005-0000-0000-00007D0C0000}"/>
    <cellStyle name="Currency 10 2 2 2 2 2 2" xfId="10275" xr:uid="{00000000-0005-0000-0000-00007E0C0000}"/>
    <cellStyle name="Currency 10 2 2 2 2 3" xfId="10274" xr:uid="{00000000-0005-0000-0000-00007F0C0000}"/>
    <cellStyle name="Currency 10 2 2 2 3" xfId="1807" xr:uid="{00000000-0005-0000-0000-0000800C0000}"/>
    <cellStyle name="Currency 10 2 2 2 3 2" xfId="1808" xr:uid="{00000000-0005-0000-0000-0000810C0000}"/>
    <cellStyle name="Currency 10 2 2 2 3 2 2" xfId="10277" xr:uid="{00000000-0005-0000-0000-0000820C0000}"/>
    <cellStyle name="Currency 10 2 2 2 3 3" xfId="10276" xr:uid="{00000000-0005-0000-0000-0000830C0000}"/>
    <cellStyle name="Currency 10 2 2 2 4" xfId="1809" xr:uid="{00000000-0005-0000-0000-0000840C0000}"/>
    <cellStyle name="Currency 10 2 2 2 4 2" xfId="10278" xr:uid="{00000000-0005-0000-0000-0000850C0000}"/>
    <cellStyle name="Currency 10 2 2 2 5" xfId="10273" xr:uid="{00000000-0005-0000-0000-0000860C0000}"/>
    <cellStyle name="Currency 10 2 2 3" xfId="1810" xr:uid="{00000000-0005-0000-0000-0000870C0000}"/>
    <cellStyle name="Currency 10 2 2 3 2" xfId="1811" xr:uid="{00000000-0005-0000-0000-0000880C0000}"/>
    <cellStyle name="Currency 10 2 2 3 2 2" xfId="10280" xr:uid="{00000000-0005-0000-0000-0000890C0000}"/>
    <cellStyle name="Currency 10 2 2 3 3" xfId="10279" xr:uid="{00000000-0005-0000-0000-00008A0C0000}"/>
    <cellStyle name="Currency 10 2 2 4" xfId="1812" xr:uid="{00000000-0005-0000-0000-00008B0C0000}"/>
    <cellStyle name="Currency 10 2 2 4 2" xfId="1813" xr:uid="{00000000-0005-0000-0000-00008C0C0000}"/>
    <cellStyle name="Currency 10 2 2 4 2 2" xfId="10282" xr:uid="{00000000-0005-0000-0000-00008D0C0000}"/>
    <cellStyle name="Currency 10 2 2 4 3" xfId="10281" xr:uid="{00000000-0005-0000-0000-00008E0C0000}"/>
    <cellStyle name="Currency 10 2 2 5" xfId="1814" xr:uid="{00000000-0005-0000-0000-00008F0C0000}"/>
    <cellStyle name="Currency 10 2 2 5 2" xfId="10283" xr:uid="{00000000-0005-0000-0000-0000900C0000}"/>
    <cellStyle name="Currency 10 2 2 6" xfId="10272" xr:uid="{00000000-0005-0000-0000-0000910C0000}"/>
    <cellStyle name="Currency 10 2 3" xfId="1815" xr:uid="{00000000-0005-0000-0000-0000920C0000}"/>
    <cellStyle name="Currency 10 2 3 2" xfId="1816" xr:uid="{00000000-0005-0000-0000-0000930C0000}"/>
    <cellStyle name="Currency 10 2 3 2 2" xfId="1817" xr:uid="{00000000-0005-0000-0000-0000940C0000}"/>
    <cellStyle name="Currency 10 2 3 2 2 2" xfId="10286" xr:uid="{00000000-0005-0000-0000-0000950C0000}"/>
    <cellStyle name="Currency 10 2 3 2 3" xfId="10285" xr:uid="{00000000-0005-0000-0000-0000960C0000}"/>
    <cellStyle name="Currency 10 2 3 3" xfId="1818" xr:uid="{00000000-0005-0000-0000-0000970C0000}"/>
    <cellStyle name="Currency 10 2 3 3 2" xfId="1819" xr:uid="{00000000-0005-0000-0000-0000980C0000}"/>
    <cellStyle name="Currency 10 2 3 3 2 2" xfId="10288" xr:uid="{00000000-0005-0000-0000-0000990C0000}"/>
    <cellStyle name="Currency 10 2 3 3 3" xfId="10287" xr:uid="{00000000-0005-0000-0000-00009A0C0000}"/>
    <cellStyle name="Currency 10 2 3 4" xfId="1820" xr:uid="{00000000-0005-0000-0000-00009B0C0000}"/>
    <cellStyle name="Currency 10 2 3 4 2" xfId="10289" xr:uid="{00000000-0005-0000-0000-00009C0C0000}"/>
    <cellStyle name="Currency 10 2 3 5" xfId="10284" xr:uid="{00000000-0005-0000-0000-00009D0C0000}"/>
    <cellStyle name="Currency 10 2 4" xfId="1821" xr:uid="{00000000-0005-0000-0000-00009E0C0000}"/>
    <cellStyle name="Currency 10 2 4 2" xfId="1822" xr:uid="{00000000-0005-0000-0000-00009F0C0000}"/>
    <cellStyle name="Currency 10 2 4 2 2" xfId="10291" xr:uid="{00000000-0005-0000-0000-0000A00C0000}"/>
    <cellStyle name="Currency 10 2 4 3" xfId="10290" xr:uid="{00000000-0005-0000-0000-0000A10C0000}"/>
    <cellStyle name="Currency 10 2 5" xfId="1823" xr:uid="{00000000-0005-0000-0000-0000A20C0000}"/>
    <cellStyle name="Currency 10 2 5 2" xfId="1824" xr:uid="{00000000-0005-0000-0000-0000A30C0000}"/>
    <cellStyle name="Currency 10 2 5 2 2" xfId="10293" xr:uid="{00000000-0005-0000-0000-0000A40C0000}"/>
    <cellStyle name="Currency 10 2 5 3" xfId="10292" xr:uid="{00000000-0005-0000-0000-0000A50C0000}"/>
    <cellStyle name="Currency 10 2 6" xfId="1825" xr:uid="{00000000-0005-0000-0000-0000A60C0000}"/>
    <cellStyle name="Currency 10 2 6 2" xfId="10294" xr:uid="{00000000-0005-0000-0000-0000A70C0000}"/>
    <cellStyle name="Currency 10 2 7" xfId="10271" xr:uid="{00000000-0005-0000-0000-0000A80C0000}"/>
    <cellStyle name="Currency 10 3" xfId="1826" xr:uid="{00000000-0005-0000-0000-0000A90C0000}"/>
    <cellStyle name="Currency 10 3 2" xfId="10295" xr:uid="{00000000-0005-0000-0000-0000AA0C0000}"/>
    <cellStyle name="Currency 10 4" xfId="1827" xr:uid="{00000000-0005-0000-0000-0000AB0C0000}"/>
    <cellStyle name="Currency 10 4 2" xfId="10296" xr:uid="{00000000-0005-0000-0000-0000AC0C0000}"/>
    <cellStyle name="Currency 10 5" xfId="10270" xr:uid="{00000000-0005-0000-0000-0000AD0C0000}"/>
    <cellStyle name="Currency 11" xfId="1828" xr:uid="{00000000-0005-0000-0000-0000AE0C0000}"/>
    <cellStyle name="Currency 11 2" xfId="1829" xr:uid="{00000000-0005-0000-0000-0000AF0C0000}"/>
    <cellStyle name="Currency 11 2 2" xfId="1830" xr:uid="{00000000-0005-0000-0000-0000B00C0000}"/>
    <cellStyle name="Currency 11 2 2 2" xfId="10298" xr:uid="{00000000-0005-0000-0000-0000B10C0000}"/>
    <cellStyle name="Currency 11 2 3" xfId="10297" xr:uid="{00000000-0005-0000-0000-0000B20C0000}"/>
    <cellStyle name="Currency 11 3" xfId="1831" xr:uid="{00000000-0005-0000-0000-0000B30C0000}"/>
    <cellStyle name="Currency 11 3 2" xfId="10299" xr:uid="{00000000-0005-0000-0000-0000B40C0000}"/>
    <cellStyle name="Currency 11 4" xfId="1832" xr:uid="{00000000-0005-0000-0000-0000B50C0000}"/>
    <cellStyle name="Currency 11 4 2" xfId="10300" xr:uid="{00000000-0005-0000-0000-0000B60C0000}"/>
    <cellStyle name="Currency 11 5" xfId="1833" xr:uid="{00000000-0005-0000-0000-0000B70C0000}"/>
    <cellStyle name="Currency 11 5 2" xfId="10301" xr:uid="{00000000-0005-0000-0000-0000B80C0000}"/>
    <cellStyle name="Currency 12" xfId="1834" xr:uid="{00000000-0005-0000-0000-0000B90C0000}"/>
    <cellStyle name="Currency 12 2" xfId="1835" xr:uid="{00000000-0005-0000-0000-0000BA0C0000}"/>
    <cellStyle name="Currency 12 2 2" xfId="1836" xr:uid="{00000000-0005-0000-0000-0000BB0C0000}"/>
    <cellStyle name="Currency 12 2 2 2" xfId="10304" xr:uid="{00000000-0005-0000-0000-0000BC0C0000}"/>
    <cellStyle name="Currency 12 2 3" xfId="10303" xr:uid="{00000000-0005-0000-0000-0000BD0C0000}"/>
    <cellStyle name="Currency 12 3" xfId="1837" xr:uid="{00000000-0005-0000-0000-0000BE0C0000}"/>
    <cellStyle name="Currency 12 4" xfId="10302" xr:uid="{00000000-0005-0000-0000-0000BF0C0000}"/>
    <cellStyle name="Currency 13" xfId="1838" xr:uid="{00000000-0005-0000-0000-0000C00C0000}"/>
    <cellStyle name="Currency 14" xfId="1839" xr:uid="{00000000-0005-0000-0000-0000C10C0000}"/>
    <cellStyle name="Currency 14 2" xfId="1840" xr:uid="{00000000-0005-0000-0000-0000C20C0000}"/>
    <cellStyle name="Currency 14 2 2" xfId="10306" xr:uid="{00000000-0005-0000-0000-0000C30C0000}"/>
    <cellStyle name="Currency 14 3" xfId="10305" xr:uid="{00000000-0005-0000-0000-0000C40C0000}"/>
    <cellStyle name="Currency 15" xfId="1841" xr:uid="{00000000-0005-0000-0000-0000C50C0000}"/>
    <cellStyle name="Currency 15 2" xfId="10307" xr:uid="{00000000-0005-0000-0000-0000C60C0000}"/>
    <cellStyle name="Currency 16" xfId="1842" xr:uid="{00000000-0005-0000-0000-0000C70C0000}"/>
    <cellStyle name="Currency 16 2" xfId="10308" xr:uid="{00000000-0005-0000-0000-0000C80C0000}"/>
    <cellStyle name="Currency 17" xfId="1843" xr:uid="{00000000-0005-0000-0000-0000C90C0000}"/>
    <cellStyle name="Currency 18" xfId="1844" xr:uid="{00000000-0005-0000-0000-0000CA0C0000}"/>
    <cellStyle name="Currency 18 2" xfId="10309" xr:uid="{00000000-0005-0000-0000-0000CB0C0000}"/>
    <cellStyle name="Currency 19" xfId="1845" xr:uid="{00000000-0005-0000-0000-0000CC0C0000}"/>
    <cellStyle name="Currency 19 2" xfId="10310" xr:uid="{00000000-0005-0000-0000-0000CD0C0000}"/>
    <cellStyle name="Currency 2" xfId="1846" xr:uid="{00000000-0005-0000-0000-0000CE0C0000}"/>
    <cellStyle name="Currency 2 2" xfId="1847" xr:uid="{00000000-0005-0000-0000-0000CF0C0000}"/>
    <cellStyle name="Currency 2 2 2" xfId="1848" xr:uid="{00000000-0005-0000-0000-0000D00C0000}"/>
    <cellStyle name="Currency 2 2 2 2" xfId="1849" xr:uid="{00000000-0005-0000-0000-0000D10C0000}"/>
    <cellStyle name="Currency 2 2 2 3" xfId="1850" xr:uid="{00000000-0005-0000-0000-0000D20C0000}"/>
    <cellStyle name="Currency 2 2 2 4" xfId="1851" xr:uid="{00000000-0005-0000-0000-0000D30C0000}"/>
    <cellStyle name="Currency 2 2 2 5" xfId="1852" xr:uid="{00000000-0005-0000-0000-0000D40C0000}"/>
    <cellStyle name="Currency 2 2 2 6" xfId="1853" xr:uid="{00000000-0005-0000-0000-0000D50C0000}"/>
    <cellStyle name="Currency 2 2 3" xfId="1854" xr:uid="{00000000-0005-0000-0000-0000D60C0000}"/>
    <cellStyle name="Currency 2 2 3 2" xfId="1855" xr:uid="{00000000-0005-0000-0000-0000D70C0000}"/>
    <cellStyle name="Currency 2 2 3 3" xfId="1856" xr:uid="{00000000-0005-0000-0000-0000D80C0000}"/>
    <cellStyle name="Currency 2 2 4" xfId="1857" xr:uid="{00000000-0005-0000-0000-0000D90C0000}"/>
    <cellStyle name="Currency 2 2 4 2" xfId="1858" xr:uid="{00000000-0005-0000-0000-0000DA0C0000}"/>
    <cellStyle name="Currency 2 2 4 3" xfId="1859" xr:uid="{00000000-0005-0000-0000-0000DB0C0000}"/>
    <cellStyle name="Currency 2 2 5" xfId="1860" xr:uid="{00000000-0005-0000-0000-0000DC0C0000}"/>
    <cellStyle name="Currency 2 2 6" xfId="1861" xr:uid="{00000000-0005-0000-0000-0000DD0C0000}"/>
    <cellStyle name="Currency 2 2 7" xfId="1862" xr:uid="{00000000-0005-0000-0000-0000DE0C0000}"/>
    <cellStyle name="Currency 2 2 8" xfId="1863" xr:uid="{00000000-0005-0000-0000-0000DF0C0000}"/>
    <cellStyle name="Currency 2 2 8 2" xfId="10312" xr:uid="{00000000-0005-0000-0000-0000E00C0000}"/>
    <cellStyle name="Currency 2 3" xfId="1864" xr:uid="{00000000-0005-0000-0000-0000E10C0000}"/>
    <cellStyle name="Currency 2 3 2" xfId="1865" xr:uid="{00000000-0005-0000-0000-0000E20C0000}"/>
    <cellStyle name="Currency 2 3 2 2" xfId="1866" xr:uid="{00000000-0005-0000-0000-0000E30C0000}"/>
    <cellStyle name="Currency 2 3 2 3" xfId="1867" xr:uid="{00000000-0005-0000-0000-0000E40C0000}"/>
    <cellStyle name="Currency 2 3 2 4" xfId="1868" xr:uid="{00000000-0005-0000-0000-0000E50C0000}"/>
    <cellStyle name="Currency 2 3 2 5" xfId="1869" xr:uid="{00000000-0005-0000-0000-0000E60C0000}"/>
    <cellStyle name="Currency 2 3 2 6" xfId="1870" xr:uid="{00000000-0005-0000-0000-0000E70C0000}"/>
    <cellStyle name="Currency 2 3 3" xfId="1871" xr:uid="{00000000-0005-0000-0000-0000E80C0000}"/>
    <cellStyle name="Currency 2 3 3 2" xfId="1872" xr:uid="{00000000-0005-0000-0000-0000E90C0000}"/>
    <cellStyle name="Currency 2 3 3 3" xfId="1873" xr:uid="{00000000-0005-0000-0000-0000EA0C0000}"/>
    <cellStyle name="Currency 2 3 3 4" xfId="1874" xr:uid="{00000000-0005-0000-0000-0000EB0C0000}"/>
    <cellStyle name="Currency 2 3 3 4 2" xfId="10313" xr:uid="{00000000-0005-0000-0000-0000EC0C0000}"/>
    <cellStyle name="Currency 2 3 3 5" xfId="1875" xr:uid="{00000000-0005-0000-0000-0000ED0C0000}"/>
    <cellStyle name="Currency 2 3 3 5 2" xfId="10314" xr:uid="{00000000-0005-0000-0000-0000EE0C0000}"/>
    <cellStyle name="Currency 2 3 4" xfId="1876" xr:uid="{00000000-0005-0000-0000-0000EF0C0000}"/>
    <cellStyle name="Currency 2 3 4 2" xfId="1877" xr:uid="{00000000-0005-0000-0000-0000F00C0000}"/>
    <cellStyle name="Currency 2 3 4 3" xfId="1878" xr:uid="{00000000-0005-0000-0000-0000F10C0000}"/>
    <cellStyle name="Currency 2 3 5" xfId="1879" xr:uid="{00000000-0005-0000-0000-0000F20C0000}"/>
    <cellStyle name="Currency 2 3 6" xfId="1880" xr:uid="{00000000-0005-0000-0000-0000F30C0000}"/>
    <cellStyle name="Currency 2 3 7" xfId="1881" xr:uid="{00000000-0005-0000-0000-0000F40C0000}"/>
    <cellStyle name="Currency 2 4" xfId="1882" xr:uid="{00000000-0005-0000-0000-0000F50C0000}"/>
    <cellStyle name="Currency 2 4 2" xfId="1883" xr:uid="{00000000-0005-0000-0000-0000F60C0000}"/>
    <cellStyle name="Currency 2 4 2 2" xfId="1884" xr:uid="{00000000-0005-0000-0000-0000F70C0000}"/>
    <cellStyle name="Currency 2 4 2 3" xfId="1885" xr:uid="{00000000-0005-0000-0000-0000F80C0000}"/>
    <cellStyle name="Currency 2 4 2 4" xfId="1886" xr:uid="{00000000-0005-0000-0000-0000F90C0000}"/>
    <cellStyle name="Currency 2 4 2 5" xfId="1887" xr:uid="{00000000-0005-0000-0000-0000FA0C0000}"/>
    <cellStyle name="Currency 2 4 3" xfId="1888" xr:uid="{00000000-0005-0000-0000-0000FB0C0000}"/>
    <cellStyle name="Currency 2 4 3 2" xfId="1889" xr:uid="{00000000-0005-0000-0000-0000FC0C0000}"/>
    <cellStyle name="Currency 2 4 3 3" xfId="1890" xr:uid="{00000000-0005-0000-0000-0000FD0C0000}"/>
    <cellStyle name="Currency 2 4 4" xfId="1891" xr:uid="{00000000-0005-0000-0000-0000FE0C0000}"/>
    <cellStyle name="Currency 2 4 4 2" xfId="1892" xr:uid="{00000000-0005-0000-0000-0000FF0C0000}"/>
    <cellStyle name="Currency 2 4 4 3" xfId="1893" xr:uid="{00000000-0005-0000-0000-0000000D0000}"/>
    <cellStyle name="Currency 2 4 5" xfId="1894" xr:uid="{00000000-0005-0000-0000-0000010D0000}"/>
    <cellStyle name="Currency 2 4 6" xfId="1895" xr:uid="{00000000-0005-0000-0000-0000020D0000}"/>
    <cellStyle name="Currency 2 4 7" xfId="1896" xr:uid="{00000000-0005-0000-0000-0000030D0000}"/>
    <cellStyle name="Currency 2 4 7 2" xfId="10315" xr:uid="{00000000-0005-0000-0000-0000040D0000}"/>
    <cellStyle name="Currency 2 4 8" xfId="1897" xr:uid="{00000000-0005-0000-0000-0000050D0000}"/>
    <cellStyle name="Currency 2 4 8 2" xfId="10316" xr:uid="{00000000-0005-0000-0000-0000060D0000}"/>
    <cellStyle name="Currency 2 5" xfId="1898" xr:uid="{00000000-0005-0000-0000-0000070D0000}"/>
    <cellStyle name="Currency 2 5 2" xfId="1899" xr:uid="{00000000-0005-0000-0000-0000080D0000}"/>
    <cellStyle name="Currency 2 5 3" xfId="1900" xr:uid="{00000000-0005-0000-0000-0000090D0000}"/>
    <cellStyle name="Currency 2 6" xfId="1901" xr:uid="{00000000-0005-0000-0000-00000A0D0000}"/>
    <cellStyle name="Currency 2 6 2" xfId="1902" xr:uid="{00000000-0005-0000-0000-00000B0D0000}"/>
    <cellStyle name="Currency 2 6 2 2" xfId="10318" xr:uid="{00000000-0005-0000-0000-00000C0D0000}"/>
    <cellStyle name="Currency 2 6 3" xfId="1903" xr:uid="{00000000-0005-0000-0000-00000D0D0000}"/>
    <cellStyle name="Currency 2 6 3 2" xfId="10319" xr:uid="{00000000-0005-0000-0000-00000E0D0000}"/>
    <cellStyle name="Currency 2 6 4" xfId="10317" xr:uid="{00000000-0005-0000-0000-00000F0D0000}"/>
    <cellStyle name="Currency 2 7" xfId="1904" xr:uid="{00000000-0005-0000-0000-0000100D0000}"/>
    <cellStyle name="Currency 2 7 2" xfId="10320" xr:uid="{00000000-0005-0000-0000-0000110D0000}"/>
    <cellStyle name="Currency 2 8" xfId="10311" xr:uid="{00000000-0005-0000-0000-0000120D0000}"/>
    <cellStyle name="Currency 20" xfId="12190" xr:uid="{CEAD5900-37CA-418F-B734-C98AC5E19003}"/>
    <cellStyle name="Currency 3" xfId="1905" xr:uid="{00000000-0005-0000-0000-0000130D0000}"/>
    <cellStyle name="Currency 3 10" xfId="1906" xr:uid="{00000000-0005-0000-0000-0000140D0000}"/>
    <cellStyle name="Currency 3 10 2" xfId="10321" xr:uid="{00000000-0005-0000-0000-0000150D0000}"/>
    <cellStyle name="Currency 3 2" xfId="1907" xr:uid="{00000000-0005-0000-0000-0000160D0000}"/>
    <cellStyle name="Currency 3 2 2" xfId="1908" xr:uid="{00000000-0005-0000-0000-0000170D0000}"/>
    <cellStyle name="Currency 3 2 2 2" xfId="1909" xr:uid="{00000000-0005-0000-0000-0000180D0000}"/>
    <cellStyle name="Currency 3 2 2 2 2" xfId="1910" xr:uid="{00000000-0005-0000-0000-0000190D0000}"/>
    <cellStyle name="Currency 3 2 2 2 2 2" xfId="1911" xr:uid="{00000000-0005-0000-0000-00001A0D0000}"/>
    <cellStyle name="Currency 3 2 2 2 2 2 2" xfId="1912" xr:uid="{00000000-0005-0000-0000-00001B0D0000}"/>
    <cellStyle name="Currency 3 2 2 2 2 2 2 2" xfId="1913" xr:uid="{00000000-0005-0000-0000-00001C0D0000}"/>
    <cellStyle name="Currency 3 2 2 2 2 2 2 2 2" xfId="10326" xr:uid="{00000000-0005-0000-0000-00001D0D0000}"/>
    <cellStyle name="Currency 3 2 2 2 2 2 2 3" xfId="10325" xr:uid="{00000000-0005-0000-0000-00001E0D0000}"/>
    <cellStyle name="Currency 3 2 2 2 2 2 3" xfId="1914" xr:uid="{00000000-0005-0000-0000-00001F0D0000}"/>
    <cellStyle name="Currency 3 2 2 2 2 2 3 2" xfId="1915" xr:uid="{00000000-0005-0000-0000-0000200D0000}"/>
    <cellStyle name="Currency 3 2 2 2 2 2 3 2 2" xfId="10328" xr:uid="{00000000-0005-0000-0000-0000210D0000}"/>
    <cellStyle name="Currency 3 2 2 2 2 2 3 3" xfId="10327" xr:uid="{00000000-0005-0000-0000-0000220D0000}"/>
    <cellStyle name="Currency 3 2 2 2 2 2 4" xfId="1916" xr:uid="{00000000-0005-0000-0000-0000230D0000}"/>
    <cellStyle name="Currency 3 2 2 2 2 2 4 2" xfId="10329" xr:uid="{00000000-0005-0000-0000-0000240D0000}"/>
    <cellStyle name="Currency 3 2 2 2 2 2 5" xfId="10324" xr:uid="{00000000-0005-0000-0000-0000250D0000}"/>
    <cellStyle name="Currency 3 2 2 2 2 3" xfId="1917" xr:uid="{00000000-0005-0000-0000-0000260D0000}"/>
    <cellStyle name="Currency 3 2 2 2 2 3 2" xfId="1918" xr:uid="{00000000-0005-0000-0000-0000270D0000}"/>
    <cellStyle name="Currency 3 2 2 2 2 3 2 2" xfId="10331" xr:uid="{00000000-0005-0000-0000-0000280D0000}"/>
    <cellStyle name="Currency 3 2 2 2 2 3 3" xfId="10330" xr:uid="{00000000-0005-0000-0000-0000290D0000}"/>
    <cellStyle name="Currency 3 2 2 2 2 4" xfId="1919" xr:uid="{00000000-0005-0000-0000-00002A0D0000}"/>
    <cellStyle name="Currency 3 2 2 2 2 4 2" xfId="1920" xr:uid="{00000000-0005-0000-0000-00002B0D0000}"/>
    <cellStyle name="Currency 3 2 2 2 2 4 2 2" xfId="10333" xr:uid="{00000000-0005-0000-0000-00002C0D0000}"/>
    <cellStyle name="Currency 3 2 2 2 2 4 3" xfId="10332" xr:uid="{00000000-0005-0000-0000-00002D0D0000}"/>
    <cellStyle name="Currency 3 2 2 2 2 5" xfId="1921" xr:uid="{00000000-0005-0000-0000-00002E0D0000}"/>
    <cellStyle name="Currency 3 2 2 2 2 5 2" xfId="10334" xr:uid="{00000000-0005-0000-0000-00002F0D0000}"/>
    <cellStyle name="Currency 3 2 2 2 2 6" xfId="10323" xr:uid="{00000000-0005-0000-0000-0000300D0000}"/>
    <cellStyle name="Currency 3 2 2 2 3" xfId="1922" xr:uid="{00000000-0005-0000-0000-0000310D0000}"/>
    <cellStyle name="Currency 3 2 2 2 3 2" xfId="1923" xr:uid="{00000000-0005-0000-0000-0000320D0000}"/>
    <cellStyle name="Currency 3 2 2 2 3 2 2" xfId="1924" xr:uid="{00000000-0005-0000-0000-0000330D0000}"/>
    <cellStyle name="Currency 3 2 2 2 3 2 2 2" xfId="10336" xr:uid="{00000000-0005-0000-0000-0000340D0000}"/>
    <cellStyle name="Currency 3 2 2 2 3 2 3" xfId="10335" xr:uid="{00000000-0005-0000-0000-0000350D0000}"/>
    <cellStyle name="Currency 3 2 2 2 3 3" xfId="1925" xr:uid="{00000000-0005-0000-0000-0000360D0000}"/>
    <cellStyle name="Currency 3 2 2 2 3 3 2" xfId="1926" xr:uid="{00000000-0005-0000-0000-0000370D0000}"/>
    <cellStyle name="Currency 3 2 2 2 3 3 2 2" xfId="10338" xr:uid="{00000000-0005-0000-0000-0000380D0000}"/>
    <cellStyle name="Currency 3 2 2 2 3 3 3" xfId="10337" xr:uid="{00000000-0005-0000-0000-0000390D0000}"/>
    <cellStyle name="Currency 3 2 2 2 3 4" xfId="1927" xr:uid="{00000000-0005-0000-0000-00003A0D0000}"/>
    <cellStyle name="Currency 3 2 2 2 3 4 2" xfId="10339" xr:uid="{00000000-0005-0000-0000-00003B0D0000}"/>
    <cellStyle name="Currency 3 2 2 2 4" xfId="1928" xr:uid="{00000000-0005-0000-0000-00003C0D0000}"/>
    <cellStyle name="Currency 3 2 2 2 4 2" xfId="1929" xr:uid="{00000000-0005-0000-0000-00003D0D0000}"/>
    <cellStyle name="Currency 3 2 2 2 4 2 2" xfId="10341" xr:uid="{00000000-0005-0000-0000-00003E0D0000}"/>
    <cellStyle name="Currency 3 2 2 2 4 3" xfId="10340" xr:uid="{00000000-0005-0000-0000-00003F0D0000}"/>
    <cellStyle name="Currency 3 2 2 2 5" xfId="1930" xr:uid="{00000000-0005-0000-0000-0000400D0000}"/>
    <cellStyle name="Currency 3 2 2 2 5 2" xfId="1931" xr:uid="{00000000-0005-0000-0000-0000410D0000}"/>
    <cellStyle name="Currency 3 2 2 2 5 2 2" xfId="10343" xr:uid="{00000000-0005-0000-0000-0000420D0000}"/>
    <cellStyle name="Currency 3 2 2 2 5 3" xfId="10342" xr:uid="{00000000-0005-0000-0000-0000430D0000}"/>
    <cellStyle name="Currency 3 2 2 2 6" xfId="1932" xr:uid="{00000000-0005-0000-0000-0000440D0000}"/>
    <cellStyle name="Currency 3 2 2 2 6 2" xfId="10344" xr:uid="{00000000-0005-0000-0000-0000450D0000}"/>
    <cellStyle name="Currency 3 2 2 3" xfId="1933" xr:uid="{00000000-0005-0000-0000-0000460D0000}"/>
    <cellStyle name="Currency 3 2 2 3 2" xfId="1934" xr:uid="{00000000-0005-0000-0000-0000470D0000}"/>
    <cellStyle name="Currency 3 2 2 3 2 2" xfId="1935" xr:uid="{00000000-0005-0000-0000-0000480D0000}"/>
    <cellStyle name="Currency 3 2 2 3 2 2 2" xfId="1936" xr:uid="{00000000-0005-0000-0000-0000490D0000}"/>
    <cellStyle name="Currency 3 2 2 3 2 2 2 2" xfId="10346" xr:uid="{00000000-0005-0000-0000-00004A0D0000}"/>
    <cellStyle name="Currency 3 2 2 3 2 2 3" xfId="10345" xr:uid="{00000000-0005-0000-0000-00004B0D0000}"/>
    <cellStyle name="Currency 3 2 2 3 2 3" xfId="1937" xr:uid="{00000000-0005-0000-0000-00004C0D0000}"/>
    <cellStyle name="Currency 3 2 2 3 2 3 2" xfId="1938" xr:uid="{00000000-0005-0000-0000-00004D0D0000}"/>
    <cellStyle name="Currency 3 2 2 3 2 3 2 2" xfId="10348" xr:uid="{00000000-0005-0000-0000-00004E0D0000}"/>
    <cellStyle name="Currency 3 2 2 3 2 3 3" xfId="10347" xr:uid="{00000000-0005-0000-0000-00004F0D0000}"/>
    <cellStyle name="Currency 3 2 2 3 2 4" xfId="1939" xr:uid="{00000000-0005-0000-0000-0000500D0000}"/>
    <cellStyle name="Currency 3 2 2 3 2 4 2" xfId="10349" xr:uid="{00000000-0005-0000-0000-0000510D0000}"/>
    <cellStyle name="Currency 3 2 2 3 3" xfId="1940" xr:uid="{00000000-0005-0000-0000-0000520D0000}"/>
    <cellStyle name="Currency 3 2 2 3 3 2" xfId="1941" xr:uid="{00000000-0005-0000-0000-0000530D0000}"/>
    <cellStyle name="Currency 3 2 2 3 3 2 2" xfId="10350" xr:uid="{00000000-0005-0000-0000-0000540D0000}"/>
    <cellStyle name="Currency 3 2 2 3 4" xfId="1942" xr:uid="{00000000-0005-0000-0000-0000550D0000}"/>
    <cellStyle name="Currency 3 2 2 3 4 2" xfId="1943" xr:uid="{00000000-0005-0000-0000-0000560D0000}"/>
    <cellStyle name="Currency 3 2 2 3 4 2 2" xfId="10352" xr:uid="{00000000-0005-0000-0000-0000570D0000}"/>
    <cellStyle name="Currency 3 2 2 3 4 3" xfId="10351" xr:uid="{00000000-0005-0000-0000-0000580D0000}"/>
    <cellStyle name="Currency 3 2 2 3 5" xfId="1944" xr:uid="{00000000-0005-0000-0000-0000590D0000}"/>
    <cellStyle name="Currency 3 2 2 3 5 2" xfId="10353" xr:uid="{00000000-0005-0000-0000-00005A0D0000}"/>
    <cellStyle name="Currency 3 2 2 4" xfId="1945" xr:uid="{00000000-0005-0000-0000-00005B0D0000}"/>
    <cellStyle name="Currency 3 2 2 4 2" xfId="1946" xr:uid="{00000000-0005-0000-0000-00005C0D0000}"/>
    <cellStyle name="Currency 3 2 2 4 2 2" xfId="1947" xr:uid="{00000000-0005-0000-0000-00005D0D0000}"/>
    <cellStyle name="Currency 3 2 2 4 2 2 2" xfId="10355" xr:uid="{00000000-0005-0000-0000-00005E0D0000}"/>
    <cellStyle name="Currency 3 2 2 4 2 3" xfId="10354" xr:uid="{00000000-0005-0000-0000-00005F0D0000}"/>
    <cellStyle name="Currency 3 2 2 4 3" xfId="1948" xr:uid="{00000000-0005-0000-0000-0000600D0000}"/>
    <cellStyle name="Currency 3 2 2 4 3 2" xfId="1949" xr:uid="{00000000-0005-0000-0000-0000610D0000}"/>
    <cellStyle name="Currency 3 2 2 4 3 2 2" xfId="10357" xr:uid="{00000000-0005-0000-0000-0000620D0000}"/>
    <cellStyle name="Currency 3 2 2 4 3 3" xfId="10356" xr:uid="{00000000-0005-0000-0000-0000630D0000}"/>
    <cellStyle name="Currency 3 2 2 4 4" xfId="1950" xr:uid="{00000000-0005-0000-0000-0000640D0000}"/>
    <cellStyle name="Currency 3 2 2 4 4 2" xfId="10358" xr:uid="{00000000-0005-0000-0000-0000650D0000}"/>
    <cellStyle name="Currency 3 2 2 5" xfId="1951" xr:uid="{00000000-0005-0000-0000-0000660D0000}"/>
    <cellStyle name="Currency 3 2 2 5 2" xfId="1952" xr:uid="{00000000-0005-0000-0000-0000670D0000}"/>
    <cellStyle name="Currency 3 2 2 5 2 2" xfId="10359" xr:uid="{00000000-0005-0000-0000-0000680D0000}"/>
    <cellStyle name="Currency 3 2 2 6" xfId="1953" xr:uid="{00000000-0005-0000-0000-0000690D0000}"/>
    <cellStyle name="Currency 3 2 2 6 2" xfId="1954" xr:uid="{00000000-0005-0000-0000-00006A0D0000}"/>
    <cellStyle name="Currency 3 2 2 6 2 2" xfId="10361" xr:uid="{00000000-0005-0000-0000-00006B0D0000}"/>
    <cellStyle name="Currency 3 2 2 6 3" xfId="10360" xr:uid="{00000000-0005-0000-0000-00006C0D0000}"/>
    <cellStyle name="Currency 3 2 2 7" xfId="1955" xr:uid="{00000000-0005-0000-0000-00006D0D0000}"/>
    <cellStyle name="Currency 3 2 2 7 2" xfId="10362" xr:uid="{00000000-0005-0000-0000-00006E0D0000}"/>
    <cellStyle name="Currency 3 2 3" xfId="1956" xr:uid="{00000000-0005-0000-0000-00006F0D0000}"/>
    <cellStyle name="Currency 3 2 3 2" xfId="1957" xr:uid="{00000000-0005-0000-0000-0000700D0000}"/>
    <cellStyle name="Currency 3 2 3 2 2" xfId="1958" xr:uid="{00000000-0005-0000-0000-0000710D0000}"/>
    <cellStyle name="Currency 3 2 3 2 2 2" xfId="1959" xr:uid="{00000000-0005-0000-0000-0000720D0000}"/>
    <cellStyle name="Currency 3 2 3 2 2 2 2" xfId="1960" xr:uid="{00000000-0005-0000-0000-0000730D0000}"/>
    <cellStyle name="Currency 3 2 3 2 2 2 2 2" xfId="10366" xr:uid="{00000000-0005-0000-0000-0000740D0000}"/>
    <cellStyle name="Currency 3 2 3 2 2 2 3" xfId="10365" xr:uid="{00000000-0005-0000-0000-0000750D0000}"/>
    <cellStyle name="Currency 3 2 3 2 2 3" xfId="1961" xr:uid="{00000000-0005-0000-0000-0000760D0000}"/>
    <cellStyle name="Currency 3 2 3 2 2 3 2" xfId="1962" xr:uid="{00000000-0005-0000-0000-0000770D0000}"/>
    <cellStyle name="Currency 3 2 3 2 2 3 2 2" xfId="10368" xr:uid="{00000000-0005-0000-0000-0000780D0000}"/>
    <cellStyle name="Currency 3 2 3 2 2 3 3" xfId="10367" xr:uid="{00000000-0005-0000-0000-0000790D0000}"/>
    <cellStyle name="Currency 3 2 3 2 2 4" xfId="1963" xr:uid="{00000000-0005-0000-0000-00007A0D0000}"/>
    <cellStyle name="Currency 3 2 3 2 2 4 2" xfId="10369" xr:uid="{00000000-0005-0000-0000-00007B0D0000}"/>
    <cellStyle name="Currency 3 2 3 2 2 5" xfId="10364" xr:uid="{00000000-0005-0000-0000-00007C0D0000}"/>
    <cellStyle name="Currency 3 2 3 2 3" xfId="1964" xr:uid="{00000000-0005-0000-0000-00007D0D0000}"/>
    <cellStyle name="Currency 3 2 3 2 3 2" xfId="1965" xr:uid="{00000000-0005-0000-0000-00007E0D0000}"/>
    <cellStyle name="Currency 3 2 3 2 3 2 2" xfId="10371" xr:uid="{00000000-0005-0000-0000-00007F0D0000}"/>
    <cellStyle name="Currency 3 2 3 2 3 3" xfId="10370" xr:uid="{00000000-0005-0000-0000-0000800D0000}"/>
    <cellStyle name="Currency 3 2 3 2 4" xfId="1966" xr:uid="{00000000-0005-0000-0000-0000810D0000}"/>
    <cellStyle name="Currency 3 2 3 2 4 2" xfId="1967" xr:uid="{00000000-0005-0000-0000-0000820D0000}"/>
    <cellStyle name="Currency 3 2 3 2 4 2 2" xfId="10373" xr:uid="{00000000-0005-0000-0000-0000830D0000}"/>
    <cellStyle name="Currency 3 2 3 2 4 3" xfId="10372" xr:uid="{00000000-0005-0000-0000-0000840D0000}"/>
    <cellStyle name="Currency 3 2 3 2 5" xfId="1968" xr:uid="{00000000-0005-0000-0000-0000850D0000}"/>
    <cellStyle name="Currency 3 2 3 2 5 2" xfId="10374" xr:uid="{00000000-0005-0000-0000-0000860D0000}"/>
    <cellStyle name="Currency 3 2 3 2 6" xfId="10363" xr:uid="{00000000-0005-0000-0000-0000870D0000}"/>
    <cellStyle name="Currency 3 2 3 3" xfId="1969" xr:uid="{00000000-0005-0000-0000-0000880D0000}"/>
    <cellStyle name="Currency 3 2 3 3 2" xfId="1970" xr:uid="{00000000-0005-0000-0000-0000890D0000}"/>
    <cellStyle name="Currency 3 2 3 3 2 2" xfId="1971" xr:uid="{00000000-0005-0000-0000-00008A0D0000}"/>
    <cellStyle name="Currency 3 2 3 3 2 2 2" xfId="10376" xr:uid="{00000000-0005-0000-0000-00008B0D0000}"/>
    <cellStyle name="Currency 3 2 3 3 2 3" xfId="10375" xr:uid="{00000000-0005-0000-0000-00008C0D0000}"/>
    <cellStyle name="Currency 3 2 3 3 3" xfId="1972" xr:uid="{00000000-0005-0000-0000-00008D0D0000}"/>
    <cellStyle name="Currency 3 2 3 3 3 2" xfId="1973" xr:uid="{00000000-0005-0000-0000-00008E0D0000}"/>
    <cellStyle name="Currency 3 2 3 3 3 2 2" xfId="10378" xr:uid="{00000000-0005-0000-0000-00008F0D0000}"/>
    <cellStyle name="Currency 3 2 3 3 3 3" xfId="10377" xr:uid="{00000000-0005-0000-0000-0000900D0000}"/>
    <cellStyle name="Currency 3 2 3 3 4" xfId="1974" xr:uid="{00000000-0005-0000-0000-0000910D0000}"/>
    <cellStyle name="Currency 3 2 3 3 4 2" xfId="10379" xr:uid="{00000000-0005-0000-0000-0000920D0000}"/>
    <cellStyle name="Currency 3 2 3 4" xfId="1975" xr:uid="{00000000-0005-0000-0000-0000930D0000}"/>
    <cellStyle name="Currency 3 2 3 4 2" xfId="1976" xr:uid="{00000000-0005-0000-0000-0000940D0000}"/>
    <cellStyle name="Currency 3 2 3 4 2 2" xfId="10380" xr:uid="{00000000-0005-0000-0000-0000950D0000}"/>
    <cellStyle name="Currency 3 2 3 5" xfId="1977" xr:uid="{00000000-0005-0000-0000-0000960D0000}"/>
    <cellStyle name="Currency 3 2 3 5 2" xfId="1978" xr:uid="{00000000-0005-0000-0000-0000970D0000}"/>
    <cellStyle name="Currency 3 2 3 5 2 2" xfId="10381" xr:uid="{00000000-0005-0000-0000-0000980D0000}"/>
    <cellStyle name="Currency 3 2 3 6" xfId="1979" xr:uid="{00000000-0005-0000-0000-0000990D0000}"/>
    <cellStyle name="Currency 3 2 3 6 2" xfId="10382" xr:uid="{00000000-0005-0000-0000-00009A0D0000}"/>
    <cellStyle name="Currency 3 2 4" xfId="1980" xr:uid="{00000000-0005-0000-0000-00009B0D0000}"/>
    <cellStyle name="Currency 3 2 4 2" xfId="1981" xr:uid="{00000000-0005-0000-0000-00009C0D0000}"/>
    <cellStyle name="Currency 3 2 4 2 2" xfId="1982" xr:uid="{00000000-0005-0000-0000-00009D0D0000}"/>
    <cellStyle name="Currency 3 2 4 2 2 2" xfId="1983" xr:uid="{00000000-0005-0000-0000-00009E0D0000}"/>
    <cellStyle name="Currency 3 2 4 2 2 2 2" xfId="10384" xr:uid="{00000000-0005-0000-0000-00009F0D0000}"/>
    <cellStyle name="Currency 3 2 4 2 2 3" xfId="10383" xr:uid="{00000000-0005-0000-0000-0000A00D0000}"/>
    <cellStyle name="Currency 3 2 4 2 3" xfId="1984" xr:uid="{00000000-0005-0000-0000-0000A10D0000}"/>
    <cellStyle name="Currency 3 2 4 2 3 2" xfId="1985" xr:uid="{00000000-0005-0000-0000-0000A20D0000}"/>
    <cellStyle name="Currency 3 2 4 2 3 2 2" xfId="10386" xr:uid="{00000000-0005-0000-0000-0000A30D0000}"/>
    <cellStyle name="Currency 3 2 4 2 3 3" xfId="10385" xr:uid="{00000000-0005-0000-0000-0000A40D0000}"/>
    <cellStyle name="Currency 3 2 4 2 4" xfId="1986" xr:uid="{00000000-0005-0000-0000-0000A50D0000}"/>
    <cellStyle name="Currency 3 2 4 2 4 2" xfId="10387" xr:uid="{00000000-0005-0000-0000-0000A60D0000}"/>
    <cellStyle name="Currency 3 2 4 3" xfId="1987" xr:uid="{00000000-0005-0000-0000-0000A70D0000}"/>
    <cellStyle name="Currency 3 2 4 3 2" xfId="1988" xr:uid="{00000000-0005-0000-0000-0000A80D0000}"/>
    <cellStyle name="Currency 3 2 4 3 2 2" xfId="10388" xr:uid="{00000000-0005-0000-0000-0000A90D0000}"/>
    <cellStyle name="Currency 3 2 4 4" xfId="1989" xr:uid="{00000000-0005-0000-0000-0000AA0D0000}"/>
    <cellStyle name="Currency 3 2 4 4 2" xfId="1990" xr:uid="{00000000-0005-0000-0000-0000AB0D0000}"/>
    <cellStyle name="Currency 3 2 4 4 2 2" xfId="10390" xr:uid="{00000000-0005-0000-0000-0000AC0D0000}"/>
    <cellStyle name="Currency 3 2 4 4 3" xfId="10389" xr:uid="{00000000-0005-0000-0000-0000AD0D0000}"/>
    <cellStyle name="Currency 3 2 4 5" xfId="1991" xr:uid="{00000000-0005-0000-0000-0000AE0D0000}"/>
    <cellStyle name="Currency 3 2 4 5 2" xfId="10391" xr:uid="{00000000-0005-0000-0000-0000AF0D0000}"/>
    <cellStyle name="Currency 3 2 5" xfId="1992" xr:uid="{00000000-0005-0000-0000-0000B00D0000}"/>
    <cellStyle name="Currency 3 2 5 2" xfId="1993" xr:uid="{00000000-0005-0000-0000-0000B10D0000}"/>
    <cellStyle name="Currency 3 2 5 2 2" xfId="1994" xr:uid="{00000000-0005-0000-0000-0000B20D0000}"/>
    <cellStyle name="Currency 3 2 5 2 2 2" xfId="10392" xr:uid="{00000000-0005-0000-0000-0000B30D0000}"/>
    <cellStyle name="Currency 3 2 5 3" xfId="1995" xr:uid="{00000000-0005-0000-0000-0000B40D0000}"/>
    <cellStyle name="Currency 3 2 5 3 2" xfId="1996" xr:uid="{00000000-0005-0000-0000-0000B50D0000}"/>
    <cellStyle name="Currency 3 2 5 3 2 2" xfId="10393" xr:uid="{00000000-0005-0000-0000-0000B60D0000}"/>
    <cellStyle name="Currency 3 2 5 4" xfId="1997" xr:uid="{00000000-0005-0000-0000-0000B70D0000}"/>
    <cellStyle name="Currency 3 2 5 4 2" xfId="10394" xr:uid="{00000000-0005-0000-0000-0000B80D0000}"/>
    <cellStyle name="Currency 3 2 6" xfId="1998" xr:uid="{00000000-0005-0000-0000-0000B90D0000}"/>
    <cellStyle name="Currency 3 2 6 2" xfId="1999" xr:uid="{00000000-0005-0000-0000-0000BA0D0000}"/>
    <cellStyle name="Currency 3 2 6 2 2" xfId="10395" xr:uid="{00000000-0005-0000-0000-0000BB0D0000}"/>
    <cellStyle name="Currency 3 2 7" xfId="2000" xr:uid="{00000000-0005-0000-0000-0000BC0D0000}"/>
    <cellStyle name="Currency 3 2 7 2" xfId="2001" xr:uid="{00000000-0005-0000-0000-0000BD0D0000}"/>
    <cellStyle name="Currency 3 2 7 2 2" xfId="10396" xr:uid="{00000000-0005-0000-0000-0000BE0D0000}"/>
    <cellStyle name="Currency 3 2 8" xfId="2002" xr:uid="{00000000-0005-0000-0000-0000BF0D0000}"/>
    <cellStyle name="Currency 3 2 8 2" xfId="10397" xr:uid="{00000000-0005-0000-0000-0000C00D0000}"/>
    <cellStyle name="Currency 3 2 9" xfId="10322" xr:uid="{00000000-0005-0000-0000-0000C10D0000}"/>
    <cellStyle name="Currency 3 3" xfId="2003" xr:uid="{00000000-0005-0000-0000-0000C20D0000}"/>
    <cellStyle name="Currency 3 3 2" xfId="2004" xr:uid="{00000000-0005-0000-0000-0000C30D0000}"/>
    <cellStyle name="Currency 3 3 2 2" xfId="2005" xr:uid="{00000000-0005-0000-0000-0000C40D0000}"/>
    <cellStyle name="Currency 3 3 2 2 2" xfId="2006" xr:uid="{00000000-0005-0000-0000-0000C50D0000}"/>
    <cellStyle name="Currency 3 3 2 2 2 2" xfId="2007" xr:uid="{00000000-0005-0000-0000-0000C60D0000}"/>
    <cellStyle name="Currency 3 3 2 2 2 2 2" xfId="2008" xr:uid="{00000000-0005-0000-0000-0000C70D0000}"/>
    <cellStyle name="Currency 3 3 2 2 2 2 2 2" xfId="10401" xr:uid="{00000000-0005-0000-0000-0000C80D0000}"/>
    <cellStyle name="Currency 3 3 2 2 2 2 3" xfId="10400" xr:uid="{00000000-0005-0000-0000-0000C90D0000}"/>
    <cellStyle name="Currency 3 3 2 2 2 3" xfId="2009" xr:uid="{00000000-0005-0000-0000-0000CA0D0000}"/>
    <cellStyle name="Currency 3 3 2 2 2 3 2" xfId="2010" xr:uid="{00000000-0005-0000-0000-0000CB0D0000}"/>
    <cellStyle name="Currency 3 3 2 2 2 3 2 2" xfId="10403" xr:uid="{00000000-0005-0000-0000-0000CC0D0000}"/>
    <cellStyle name="Currency 3 3 2 2 2 3 3" xfId="10402" xr:uid="{00000000-0005-0000-0000-0000CD0D0000}"/>
    <cellStyle name="Currency 3 3 2 2 2 4" xfId="2011" xr:uid="{00000000-0005-0000-0000-0000CE0D0000}"/>
    <cellStyle name="Currency 3 3 2 2 2 4 2" xfId="10404" xr:uid="{00000000-0005-0000-0000-0000CF0D0000}"/>
    <cellStyle name="Currency 3 3 2 2 2 5" xfId="10399" xr:uid="{00000000-0005-0000-0000-0000D00D0000}"/>
    <cellStyle name="Currency 3 3 2 2 3" xfId="2012" xr:uid="{00000000-0005-0000-0000-0000D10D0000}"/>
    <cellStyle name="Currency 3 3 2 2 3 2" xfId="2013" xr:uid="{00000000-0005-0000-0000-0000D20D0000}"/>
    <cellStyle name="Currency 3 3 2 2 3 2 2" xfId="10406" xr:uid="{00000000-0005-0000-0000-0000D30D0000}"/>
    <cellStyle name="Currency 3 3 2 2 3 3" xfId="10405" xr:uid="{00000000-0005-0000-0000-0000D40D0000}"/>
    <cellStyle name="Currency 3 3 2 2 4" xfId="2014" xr:uid="{00000000-0005-0000-0000-0000D50D0000}"/>
    <cellStyle name="Currency 3 3 2 2 4 2" xfId="2015" xr:uid="{00000000-0005-0000-0000-0000D60D0000}"/>
    <cellStyle name="Currency 3 3 2 2 4 2 2" xfId="10408" xr:uid="{00000000-0005-0000-0000-0000D70D0000}"/>
    <cellStyle name="Currency 3 3 2 2 4 3" xfId="10407" xr:uid="{00000000-0005-0000-0000-0000D80D0000}"/>
    <cellStyle name="Currency 3 3 2 2 5" xfId="2016" xr:uid="{00000000-0005-0000-0000-0000D90D0000}"/>
    <cellStyle name="Currency 3 3 2 2 5 2" xfId="10409" xr:uid="{00000000-0005-0000-0000-0000DA0D0000}"/>
    <cellStyle name="Currency 3 3 2 2 6" xfId="10398" xr:uid="{00000000-0005-0000-0000-0000DB0D0000}"/>
    <cellStyle name="Currency 3 3 2 3" xfId="2017" xr:uid="{00000000-0005-0000-0000-0000DC0D0000}"/>
    <cellStyle name="Currency 3 3 2 3 2" xfId="2018" xr:uid="{00000000-0005-0000-0000-0000DD0D0000}"/>
    <cellStyle name="Currency 3 3 2 3 2 2" xfId="2019" xr:uid="{00000000-0005-0000-0000-0000DE0D0000}"/>
    <cellStyle name="Currency 3 3 2 3 2 2 2" xfId="10412" xr:uid="{00000000-0005-0000-0000-0000DF0D0000}"/>
    <cellStyle name="Currency 3 3 2 3 2 3" xfId="10411" xr:uid="{00000000-0005-0000-0000-0000E00D0000}"/>
    <cellStyle name="Currency 3 3 2 3 3" xfId="2020" xr:uid="{00000000-0005-0000-0000-0000E10D0000}"/>
    <cellStyle name="Currency 3 3 2 3 3 2" xfId="2021" xr:uid="{00000000-0005-0000-0000-0000E20D0000}"/>
    <cellStyle name="Currency 3 3 2 3 3 2 2" xfId="10414" xr:uid="{00000000-0005-0000-0000-0000E30D0000}"/>
    <cellStyle name="Currency 3 3 2 3 3 3" xfId="10413" xr:uid="{00000000-0005-0000-0000-0000E40D0000}"/>
    <cellStyle name="Currency 3 3 2 3 4" xfId="2022" xr:uid="{00000000-0005-0000-0000-0000E50D0000}"/>
    <cellStyle name="Currency 3 3 2 3 4 2" xfId="10415" xr:uid="{00000000-0005-0000-0000-0000E60D0000}"/>
    <cellStyle name="Currency 3 3 2 3 5" xfId="10410" xr:uid="{00000000-0005-0000-0000-0000E70D0000}"/>
    <cellStyle name="Currency 3 3 2 4" xfId="2023" xr:uid="{00000000-0005-0000-0000-0000E80D0000}"/>
    <cellStyle name="Currency 3 3 2 4 2" xfId="2024" xr:uid="{00000000-0005-0000-0000-0000E90D0000}"/>
    <cellStyle name="Currency 3 3 2 4 2 2" xfId="10417" xr:uid="{00000000-0005-0000-0000-0000EA0D0000}"/>
    <cellStyle name="Currency 3 3 2 4 3" xfId="10416" xr:uid="{00000000-0005-0000-0000-0000EB0D0000}"/>
    <cellStyle name="Currency 3 3 2 5" xfId="2025" xr:uid="{00000000-0005-0000-0000-0000EC0D0000}"/>
    <cellStyle name="Currency 3 3 2 5 2" xfId="2026" xr:uid="{00000000-0005-0000-0000-0000ED0D0000}"/>
    <cellStyle name="Currency 3 3 2 5 2 2" xfId="10419" xr:uid="{00000000-0005-0000-0000-0000EE0D0000}"/>
    <cellStyle name="Currency 3 3 2 5 3" xfId="10418" xr:uid="{00000000-0005-0000-0000-0000EF0D0000}"/>
    <cellStyle name="Currency 3 3 2 6" xfId="2027" xr:uid="{00000000-0005-0000-0000-0000F00D0000}"/>
    <cellStyle name="Currency 3 3 2 6 2" xfId="10420" xr:uid="{00000000-0005-0000-0000-0000F10D0000}"/>
    <cellStyle name="Currency 3 3 3" xfId="2028" xr:uid="{00000000-0005-0000-0000-0000F20D0000}"/>
    <cellStyle name="Currency 3 3 3 2" xfId="2029" xr:uid="{00000000-0005-0000-0000-0000F30D0000}"/>
    <cellStyle name="Currency 3 3 3 2 2" xfId="2030" xr:uid="{00000000-0005-0000-0000-0000F40D0000}"/>
    <cellStyle name="Currency 3 3 3 2 2 2" xfId="2031" xr:uid="{00000000-0005-0000-0000-0000F50D0000}"/>
    <cellStyle name="Currency 3 3 3 2 2 2 2" xfId="10423" xr:uid="{00000000-0005-0000-0000-0000F60D0000}"/>
    <cellStyle name="Currency 3 3 3 2 2 3" xfId="10422" xr:uid="{00000000-0005-0000-0000-0000F70D0000}"/>
    <cellStyle name="Currency 3 3 3 2 3" xfId="2032" xr:uid="{00000000-0005-0000-0000-0000F80D0000}"/>
    <cellStyle name="Currency 3 3 3 2 3 2" xfId="2033" xr:uid="{00000000-0005-0000-0000-0000F90D0000}"/>
    <cellStyle name="Currency 3 3 3 2 3 2 2" xfId="10425" xr:uid="{00000000-0005-0000-0000-0000FA0D0000}"/>
    <cellStyle name="Currency 3 3 3 2 3 3" xfId="10424" xr:uid="{00000000-0005-0000-0000-0000FB0D0000}"/>
    <cellStyle name="Currency 3 3 3 2 4" xfId="2034" xr:uid="{00000000-0005-0000-0000-0000FC0D0000}"/>
    <cellStyle name="Currency 3 3 3 2 4 2" xfId="10426" xr:uid="{00000000-0005-0000-0000-0000FD0D0000}"/>
    <cellStyle name="Currency 3 3 3 2 5" xfId="10421" xr:uid="{00000000-0005-0000-0000-0000FE0D0000}"/>
    <cellStyle name="Currency 3 3 3 3" xfId="2035" xr:uid="{00000000-0005-0000-0000-0000FF0D0000}"/>
    <cellStyle name="Currency 3 3 3 3 2" xfId="2036" xr:uid="{00000000-0005-0000-0000-0000000E0000}"/>
    <cellStyle name="Currency 3 3 3 3 2 2" xfId="10428" xr:uid="{00000000-0005-0000-0000-0000010E0000}"/>
    <cellStyle name="Currency 3 3 3 3 3" xfId="10427" xr:uid="{00000000-0005-0000-0000-0000020E0000}"/>
    <cellStyle name="Currency 3 3 3 4" xfId="2037" xr:uid="{00000000-0005-0000-0000-0000030E0000}"/>
    <cellStyle name="Currency 3 3 3 4 2" xfId="2038" xr:uid="{00000000-0005-0000-0000-0000040E0000}"/>
    <cellStyle name="Currency 3 3 3 4 2 2" xfId="10430" xr:uid="{00000000-0005-0000-0000-0000050E0000}"/>
    <cellStyle name="Currency 3 3 3 4 3" xfId="10429" xr:uid="{00000000-0005-0000-0000-0000060E0000}"/>
    <cellStyle name="Currency 3 3 3 5" xfId="2039" xr:uid="{00000000-0005-0000-0000-0000070E0000}"/>
    <cellStyle name="Currency 3 3 3 5 2" xfId="10431" xr:uid="{00000000-0005-0000-0000-0000080E0000}"/>
    <cellStyle name="Currency 3 3 4" xfId="2040" xr:uid="{00000000-0005-0000-0000-0000090E0000}"/>
    <cellStyle name="Currency 3 3 4 2" xfId="2041" xr:uid="{00000000-0005-0000-0000-00000A0E0000}"/>
    <cellStyle name="Currency 3 3 4 2 2" xfId="2042" xr:uid="{00000000-0005-0000-0000-00000B0E0000}"/>
    <cellStyle name="Currency 3 3 4 2 2 2" xfId="10434" xr:uid="{00000000-0005-0000-0000-00000C0E0000}"/>
    <cellStyle name="Currency 3 3 4 2 3" xfId="10433" xr:uid="{00000000-0005-0000-0000-00000D0E0000}"/>
    <cellStyle name="Currency 3 3 4 3" xfId="2043" xr:uid="{00000000-0005-0000-0000-00000E0E0000}"/>
    <cellStyle name="Currency 3 3 4 3 2" xfId="2044" xr:uid="{00000000-0005-0000-0000-00000F0E0000}"/>
    <cellStyle name="Currency 3 3 4 3 2 2" xfId="10436" xr:uid="{00000000-0005-0000-0000-0000100E0000}"/>
    <cellStyle name="Currency 3 3 4 3 3" xfId="10435" xr:uid="{00000000-0005-0000-0000-0000110E0000}"/>
    <cellStyle name="Currency 3 3 4 4" xfId="2045" xr:uid="{00000000-0005-0000-0000-0000120E0000}"/>
    <cellStyle name="Currency 3 3 4 4 2" xfId="10437" xr:uid="{00000000-0005-0000-0000-0000130E0000}"/>
    <cellStyle name="Currency 3 3 4 5" xfId="10432" xr:uid="{00000000-0005-0000-0000-0000140E0000}"/>
    <cellStyle name="Currency 3 3 5" xfId="2046" xr:uid="{00000000-0005-0000-0000-0000150E0000}"/>
    <cellStyle name="Currency 3 3 5 2" xfId="2047" xr:uid="{00000000-0005-0000-0000-0000160E0000}"/>
    <cellStyle name="Currency 3 3 5 2 2" xfId="10439" xr:uid="{00000000-0005-0000-0000-0000170E0000}"/>
    <cellStyle name="Currency 3 3 5 3" xfId="10438" xr:uid="{00000000-0005-0000-0000-0000180E0000}"/>
    <cellStyle name="Currency 3 3 6" xfId="2048" xr:uid="{00000000-0005-0000-0000-0000190E0000}"/>
    <cellStyle name="Currency 3 3 6 2" xfId="2049" xr:uid="{00000000-0005-0000-0000-00001A0E0000}"/>
    <cellStyle name="Currency 3 3 6 2 2" xfId="10441" xr:uid="{00000000-0005-0000-0000-00001B0E0000}"/>
    <cellStyle name="Currency 3 3 6 3" xfId="10440" xr:uid="{00000000-0005-0000-0000-00001C0E0000}"/>
    <cellStyle name="Currency 3 3 7" xfId="2050" xr:uid="{00000000-0005-0000-0000-00001D0E0000}"/>
    <cellStyle name="Currency 3 3 7 2" xfId="10442" xr:uid="{00000000-0005-0000-0000-00001E0E0000}"/>
    <cellStyle name="Currency 3 4" xfId="2051" xr:uid="{00000000-0005-0000-0000-00001F0E0000}"/>
    <cellStyle name="Currency 3 4 2" xfId="2052" xr:uid="{00000000-0005-0000-0000-0000200E0000}"/>
    <cellStyle name="Currency 3 4 2 2" xfId="2053" xr:uid="{00000000-0005-0000-0000-0000210E0000}"/>
    <cellStyle name="Currency 3 4 2 2 2" xfId="2054" xr:uid="{00000000-0005-0000-0000-0000220E0000}"/>
    <cellStyle name="Currency 3 4 2 2 2 2" xfId="2055" xr:uid="{00000000-0005-0000-0000-0000230E0000}"/>
    <cellStyle name="Currency 3 4 2 2 2 2 2" xfId="2056" xr:uid="{00000000-0005-0000-0000-0000240E0000}"/>
    <cellStyle name="Currency 3 4 2 2 2 2 2 2" xfId="10447" xr:uid="{00000000-0005-0000-0000-0000250E0000}"/>
    <cellStyle name="Currency 3 4 2 2 2 2 3" xfId="10446" xr:uid="{00000000-0005-0000-0000-0000260E0000}"/>
    <cellStyle name="Currency 3 4 2 2 2 3" xfId="2057" xr:uid="{00000000-0005-0000-0000-0000270E0000}"/>
    <cellStyle name="Currency 3 4 2 2 2 3 2" xfId="2058" xr:uid="{00000000-0005-0000-0000-0000280E0000}"/>
    <cellStyle name="Currency 3 4 2 2 2 3 2 2" xfId="10449" xr:uid="{00000000-0005-0000-0000-0000290E0000}"/>
    <cellStyle name="Currency 3 4 2 2 2 3 3" xfId="10448" xr:uid="{00000000-0005-0000-0000-00002A0E0000}"/>
    <cellStyle name="Currency 3 4 2 2 2 4" xfId="2059" xr:uid="{00000000-0005-0000-0000-00002B0E0000}"/>
    <cellStyle name="Currency 3 4 2 2 2 4 2" xfId="10450" xr:uid="{00000000-0005-0000-0000-00002C0E0000}"/>
    <cellStyle name="Currency 3 4 2 2 2 5" xfId="10445" xr:uid="{00000000-0005-0000-0000-00002D0E0000}"/>
    <cellStyle name="Currency 3 4 2 2 3" xfId="2060" xr:uid="{00000000-0005-0000-0000-00002E0E0000}"/>
    <cellStyle name="Currency 3 4 2 2 3 2" xfId="2061" xr:uid="{00000000-0005-0000-0000-00002F0E0000}"/>
    <cellStyle name="Currency 3 4 2 2 3 2 2" xfId="10452" xr:uid="{00000000-0005-0000-0000-0000300E0000}"/>
    <cellStyle name="Currency 3 4 2 2 3 3" xfId="10451" xr:uid="{00000000-0005-0000-0000-0000310E0000}"/>
    <cellStyle name="Currency 3 4 2 2 4" xfId="2062" xr:uid="{00000000-0005-0000-0000-0000320E0000}"/>
    <cellStyle name="Currency 3 4 2 2 4 2" xfId="2063" xr:uid="{00000000-0005-0000-0000-0000330E0000}"/>
    <cellStyle name="Currency 3 4 2 2 4 2 2" xfId="10454" xr:uid="{00000000-0005-0000-0000-0000340E0000}"/>
    <cellStyle name="Currency 3 4 2 2 4 3" xfId="10453" xr:uid="{00000000-0005-0000-0000-0000350E0000}"/>
    <cellStyle name="Currency 3 4 2 2 5" xfId="2064" xr:uid="{00000000-0005-0000-0000-0000360E0000}"/>
    <cellStyle name="Currency 3 4 2 2 5 2" xfId="10455" xr:uid="{00000000-0005-0000-0000-0000370E0000}"/>
    <cellStyle name="Currency 3 4 2 2 6" xfId="10444" xr:uid="{00000000-0005-0000-0000-0000380E0000}"/>
    <cellStyle name="Currency 3 4 2 3" xfId="2065" xr:uid="{00000000-0005-0000-0000-0000390E0000}"/>
    <cellStyle name="Currency 3 4 2 3 2" xfId="2066" xr:uid="{00000000-0005-0000-0000-00003A0E0000}"/>
    <cellStyle name="Currency 3 4 2 3 2 2" xfId="2067" xr:uid="{00000000-0005-0000-0000-00003B0E0000}"/>
    <cellStyle name="Currency 3 4 2 3 2 2 2" xfId="10458" xr:uid="{00000000-0005-0000-0000-00003C0E0000}"/>
    <cellStyle name="Currency 3 4 2 3 2 3" xfId="10457" xr:uid="{00000000-0005-0000-0000-00003D0E0000}"/>
    <cellStyle name="Currency 3 4 2 3 3" xfId="2068" xr:uid="{00000000-0005-0000-0000-00003E0E0000}"/>
    <cellStyle name="Currency 3 4 2 3 3 2" xfId="2069" xr:uid="{00000000-0005-0000-0000-00003F0E0000}"/>
    <cellStyle name="Currency 3 4 2 3 3 2 2" xfId="10460" xr:uid="{00000000-0005-0000-0000-0000400E0000}"/>
    <cellStyle name="Currency 3 4 2 3 3 3" xfId="10459" xr:uid="{00000000-0005-0000-0000-0000410E0000}"/>
    <cellStyle name="Currency 3 4 2 3 4" xfId="2070" xr:uid="{00000000-0005-0000-0000-0000420E0000}"/>
    <cellStyle name="Currency 3 4 2 3 4 2" xfId="10461" xr:uid="{00000000-0005-0000-0000-0000430E0000}"/>
    <cellStyle name="Currency 3 4 2 3 5" xfId="10456" xr:uid="{00000000-0005-0000-0000-0000440E0000}"/>
    <cellStyle name="Currency 3 4 2 4" xfId="2071" xr:uid="{00000000-0005-0000-0000-0000450E0000}"/>
    <cellStyle name="Currency 3 4 2 4 2" xfId="2072" xr:uid="{00000000-0005-0000-0000-0000460E0000}"/>
    <cellStyle name="Currency 3 4 2 4 2 2" xfId="10463" xr:uid="{00000000-0005-0000-0000-0000470E0000}"/>
    <cellStyle name="Currency 3 4 2 4 3" xfId="10462" xr:uid="{00000000-0005-0000-0000-0000480E0000}"/>
    <cellStyle name="Currency 3 4 2 5" xfId="2073" xr:uid="{00000000-0005-0000-0000-0000490E0000}"/>
    <cellStyle name="Currency 3 4 2 5 2" xfId="2074" xr:uid="{00000000-0005-0000-0000-00004A0E0000}"/>
    <cellStyle name="Currency 3 4 2 5 2 2" xfId="10465" xr:uid="{00000000-0005-0000-0000-00004B0E0000}"/>
    <cellStyle name="Currency 3 4 2 5 3" xfId="10464" xr:uid="{00000000-0005-0000-0000-00004C0E0000}"/>
    <cellStyle name="Currency 3 4 2 6" xfId="2075" xr:uid="{00000000-0005-0000-0000-00004D0E0000}"/>
    <cellStyle name="Currency 3 4 2 6 2" xfId="10466" xr:uid="{00000000-0005-0000-0000-00004E0E0000}"/>
    <cellStyle name="Currency 3 4 2 7" xfId="10443" xr:uid="{00000000-0005-0000-0000-00004F0E0000}"/>
    <cellStyle name="Currency 3 4 3" xfId="2076" xr:uid="{00000000-0005-0000-0000-0000500E0000}"/>
    <cellStyle name="Currency 3 4 3 2" xfId="2077" xr:uid="{00000000-0005-0000-0000-0000510E0000}"/>
    <cellStyle name="Currency 3 4 3 2 2" xfId="2078" xr:uid="{00000000-0005-0000-0000-0000520E0000}"/>
    <cellStyle name="Currency 3 4 3 2 2 2" xfId="2079" xr:uid="{00000000-0005-0000-0000-0000530E0000}"/>
    <cellStyle name="Currency 3 4 3 2 2 2 2" xfId="10469" xr:uid="{00000000-0005-0000-0000-0000540E0000}"/>
    <cellStyle name="Currency 3 4 3 2 2 3" xfId="10468" xr:uid="{00000000-0005-0000-0000-0000550E0000}"/>
    <cellStyle name="Currency 3 4 3 2 3" xfId="2080" xr:uid="{00000000-0005-0000-0000-0000560E0000}"/>
    <cellStyle name="Currency 3 4 3 2 3 2" xfId="2081" xr:uid="{00000000-0005-0000-0000-0000570E0000}"/>
    <cellStyle name="Currency 3 4 3 2 3 2 2" xfId="10471" xr:uid="{00000000-0005-0000-0000-0000580E0000}"/>
    <cellStyle name="Currency 3 4 3 2 3 3" xfId="10470" xr:uid="{00000000-0005-0000-0000-0000590E0000}"/>
    <cellStyle name="Currency 3 4 3 2 4" xfId="2082" xr:uid="{00000000-0005-0000-0000-00005A0E0000}"/>
    <cellStyle name="Currency 3 4 3 2 4 2" xfId="10472" xr:uid="{00000000-0005-0000-0000-00005B0E0000}"/>
    <cellStyle name="Currency 3 4 3 2 5" xfId="10467" xr:uid="{00000000-0005-0000-0000-00005C0E0000}"/>
    <cellStyle name="Currency 3 4 3 3" xfId="2083" xr:uid="{00000000-0005-0000-0000-00005D0E0000}"/>
    <cellStyle name="Currency 3 4 3 3 2" xfId="2084" xr:uid="{00000000-0005-0000-0000-00005E0E0000}"/>
    <cellStyle name="Currency 3 4 3 3 2 2" xfId="10474" xr:uid="{00000000-0005-0000-0000-00005F0E0000}"/>
    <cellStyle name="Currency 3 4 3 3 3" xfId="10473" xr:uid="{00000000-0005-0000-0000-0000600E0000}"/>
    <cellStyle name="Currency 3 4 3 4" xfId="2085" xr:uid="{00000000-0005-0000-0000-0000610E0000}"/>
    <cellStyle name="Currency 3 4 3 4 2" xfId="2086" xr:uid="{00000000-0005-0000-0000-0000620E0000}"/>
    <cellStyle name="Currency 3 4 3 4 2 2" xfId="10476" xr:uid="{00000000-0005-0000-0000-0000630E0000}"/>
    <cellStyle name="Currency 3 4 3 4 3" xfId="10475" xr:uid="{00000000-0005-0000-0000-0000640E0000}"/>
    <cellStyle name="Currency 3 4 3 5" xfId="2087" xr:uid="{00000000-0005-0000-0000-0000650E0000}"/>
    <cellStyle name="Currency 3 4 3 5 2" xfId="10477" xr:uid="{00000000-0005-0000-0000-0000660E0000}"/>
    <cellStyle name="Currency 3 4 4" xfId="2088" xr:uid="{00000000-0005-0000-0000-0000670E0000}"/>
    <cellStyle name="Currency 3 4 4 2" xfId="2089" xr:uid="{00000000-0005-0000-0000-0000680E0000}"/>
    <cellStyle name="Currency 3 4 4 2 2" xfId="2090" xr:uid="{00000000-0005-0000-0000-0000690E0000}"/>
    <cellStyle name="Currency 3 4 4 2 2 2" xfId="10479" xr:uid="{00000000-0005-0000-0000-00006A0E0000}"/>
    <cellStyle name="Currency 3 4 4 2 3" xfId="10478" xr:uid="{00000000-0005-0000-0000-00006B0E0000}"/>
    <cellStyle name="Currency 3 4 4 3" xfId="2091" xr:uid="{00000000-0005-0000-0000-00006C0E0000}"/>
    <cellStyle name="Currency 3 4 4 3 2" xfId="2092" xr:uid="{00000000-0005-0000-0000-00006D0E0000}"/>
    <cellStyle name="Currency 3 4 4 3 2 2" xfId="10481" xr:uid="{00000000-0005-0000-0000-00006E0E0000}"/>
    <cellStyle name="Currency 3 4 4 3 3" xfId="10480" xr:uid="{00000000-0005-0000-0000-00006F0E0000}"/>
    <cellStyle name="Currency 3 4 4 4" xfId="2093" xr:uid="{00000000-0005-0000-0000-0000700E0000}"/>
    <cellStyle name="Currency 3 4 4 4 2" xfId="10482" xr:uid="{00000000-0005-0000-0000-0000710E0000}"/>
    <cellStyle name="Currency 3 4 5" xfId="2094" xr:uid="{00000000-0005-0000-0000-0000720E0000}"/>
    <cellStyle name="Currency 3 4 5 2" xfId="2095" xr:uid="{00000000-0005-0000-0000-0000730E0000}"/>
    <cellStyle name="Currency 3 4 5 2 2" xfId="10483" xr:uid="{00000000-0005-0000-0000-0000740E0000}"/>
    <cellStyle name="Currency 3 4 6" xfId="2096" xr:uid="{00000000-0005-0000-0000-0000750E0000}"/>
    <cellStyle name="Currency 3 4 6 2" xfId="2097" xr:uid="{00000000-0005-0000-0000-0000760E0000}"/>
    <cellStyle name="Currency 3 4 6 2 2" xfId="10484" xr:uid="{00000000-0005-0000-0000-0000770E0000}"/>
    <cellStyle name="Currency 3 4 7" xfId="2098" xr:uid="{00000000-0005-0000-0000-0000780E0000}"/>
    <cellStyle name="Currency 3 4 7 2" xfId="10485" xr:uid="{00000000-0005-0000-0000-0000790E0000}"/>
    <cellStyle name="Currency 3 5" xfId="2099" xr:uid="{00000000-0005-0000-0000-00007A0E0000}"/>
    <cellStyle name="Currency 3 5 2" xfId="2100" xr:uid="{00000000-0005-0000-0000-00007B0E0000}"/>
    <cellStyle name="Currency 3 5 2 2" xfId="2101" xr:uid="{00000000-0005-0000-0000-00007C0E0000}"/>
    <cellStyle name="Currency 3 5 2 2 2" xfId="2102" xr:uid="{00000000-0005-0000-0000-00007D0E0000}"/>
    <cellStyle name="Currency 3 5 2 2 2 2" xfId="2103" xr:uid="{00000000-0005-0000-0000-00007E0E0000}"/>
    <cellStyle name="Currency 3 5 2 2 2 2 2" xfId="10488" xr:uid="{00000000-0005-0000-0000-00007F0E0000}"/>
    <cellStyle name="Currency 3 5 2 2 2 3" xfId="10487" xr:uid="{00000000-0005-0000-0000-0000800E0000}"/>
    <cellStyle name="Currency 3 5 2 2 3" xfId="2104" xr:uid="{00000000-0005-0000-0000-0000810E0000}"/>
    <cellStyle name="Currency 3 5 2 2 3 2" xfId="2105" xr:uid="{00000000-0005-0000-0000-0000820E0000}"/>
    <cellStyle name="Currency 3 5 2 2 3 2 2" xfId="10490" xr:uid="{00000000-0005-0000-0000-0000830E0000}"/>
    <cellStyle name="Currency 3 5 2 2 3 3" xfId="10489" xr:uid="{00000000-0005-0000-0000-0000840E0000}"/>
    <cellStyle name="Currency 3 5 2 2 4" xfId="2106" xr:uid="{00000000-0005-0000-0000-0000850E0000}"/>
    <cellStyle name="Currency 3 5 2 2 4 2" xfId="10491" xr:uid="{00000000-0005-0000-0000-0000860E0000}"/>
    <cellStyle name="Currency 3 5 2 2 5" xfId="10486" xr:uid="{00000000-0005-0000-0000-0000870E0000}"/>
    <cellStyle name="Currency 3 5 2 3" xfId="2107" xr:uid="{00000000-0005-0000-0000-0000880E0000}"/>
    <cellStyle name="Currency 3 5 2 3 2" xfId="2108" xr:uid="{00000000-0005-0000-0000-0000890E0000}"/>
    <cellStyle name="Currency 3 5 2 3 2 2" xfId="10493" xr:uid="{00000000-0005-0000-0000-00008A0E0000}"/>
    <cellStyle name="Currency 3 5 2 3 3" xfId="10492" xr:uid="{00000000-0005-0000-0000-00008B0E0000}"/>
    <cellStyle name="Currency 3 5 2 4" xfId="2109" xr:uid="{00000000-0005-0000-0000-00008C0E0000}"/>
    <cellStyle name="Currency 3 5 2 4 2" xfId="2110" xr:uid="{00000000-0005-0000-0000-00008D0E0000}"/>
    <cellStyle name="Currency 3 5 2 4 2 2" xfId="10495" xr:uid="{00000000-0005-0000-0000-00008E0E0000}"/>
    <cellStyle name="Currency 3 5 2 4 3" xfId="10494" xr:uid="{00000000-0005-0000-0000-00008F0E0000}"/>
    <cellStyle name="Currency 3 5 2 5" xfId="2111" xr:uid="{00000000-0005-0000-0000-0000900E0000}"/>
    <cellStyle name="Currency 3 5 2 5 2" xfId="10496" xr:uid="{00000000-0005-0000-0000-0000910E0000}"/>
    <cellStyle name="Currency 3 5 3" xfId="2112" xr:uid="{00000000-0005-0000-0000-0000920E0000}"/>
    <cellStyle name="Currency 3 5 3 2" xfId="2113" xr:uid="{00000000-0005-0000-0000-0000930E0000}"/>
    <cellStyle name="Currency 3 5 3 2 2" xfId="2114" xr:uid="{00000000-0005-0000-0000-0000940E0000}"/>
    <cellStyle name="Currency 3 5 3 2 2 2" xfId="10498" xr:uid="{00000000-0005-0000-0000-0000950E0000}"/>
    <cellStyle name="Currency 3 5 3 2 3" xfId="10497" xr:uid="{00000000-0005-0000-0000-0000960E0000}"/>
    <cellStyle name="Currency 3 5 3 3" xfId="2115" xr:uid="{00000000-0005-0000-0000-0000970E0000}"/>
    <cellStyle name="Currency 3 5 3 3 2" xfId="2116" xr:uid="{00000000-0005-0000-0000-0000980E0000}"/>
    <cellStyle name="Currency 3 5 3 3 2 2" xfId="10500" xr:uid="{00000000-0005-0000-0000-0000990E0000}"/>
    <cellStyle name="Currency 3 5 3 3 3" xfId="10499" xr:uid="{00000000-0005-0000-0000-00009A0E0000}"/>
    <cellStyle name="Currency 3 5 3 4" xfId="2117" xr:uid="{00000000-0005-0000-0000-00009B0E0000}"/>
    <cellStyle name="Currency 3 5 3 4 2" xfId="10501" xr:uid="{00000000-0005-0000-0000-00009C0E0000}"/>
    <cellStyle name="Currency 3 5 4" xfId="2118" xr:uid="{00000000-0005-0000-0000-00009D0E0000}"/>
    <cellStyle name="Currency 3 5 4 2" xfId="2119" xr:uid="{00000000-0005-0000-0000-00009E0E0000}"/>
    <cellStyle name="Currency 3 5 4 2 2" xfId="10503" xr:uid="{00000000-0005-0000-0000-00009F0E0000}"/>
    <cellStyle name="Currency 3 5 4 3" xfId="10502" xr:uid="{00000000-0005-0000-0000-0000A00E0000}"/>
    <cellStyle name="Currency 3 5 5" xfId="2120" xr:uid="{00000000-0005-0000-0000-0000A10E0000}"/>
    <cellStyle name="Currency 3 5 5 2" xfId="2121" xr:uid="{00000000-0005-0000-0000-0000A20E0000}"/>
    <cellStyle name="Currency 3 5 5 2 2" xfId="10505" xr:uid="{00000000-0005-0000-0000-0000A30E0000}"/>
    <cellStyle name="Currency 3 5 5 3" xfId="10504" xr:uid="{00000000-0005-0000-0000-0000A40E0000}"/>
    <cellStyle name="Currency 3 5 6" xfId="2122" xr:uid="{00000000-0005-0000-0000-0000A50E0000}"/>
    <cellStyle name="Currency 3 5 6 2" xfId="10506" xr:uid="{00000000-0005-0000-0000-0000A60E0000}"/>
    <cellStyle name="Currency 3 6" xfId="2123" xr:uid="{00000000-0005-0000-0000-0000A70E0000}"/>
    <cellStyle name="Currency 3 6 2" xfId="2124" xr:uid="{00000000-0005-0000-0000-0000A80E0000}"/>
    <cellStyle name="Currency 3 6 2 2" xfId="2125" xr:uid="{00000000-0005-0000-0000-0000A90E0000}"/>
    <cellStyle name="Currency 3 6 2 2 2" xfId="2126" xr:uid="{00000000-0005-0000-0000-0000AA0E0000}"/>
    <cellStyle name="Currency 3 6 2 2 2 2" xfId="10508" xr:uid="{00000000-0005-0000-0000-0000AB0E0000}"/>
    <cellStyle name="Currency 3 6 2 2 3" xfId="10507" xr:uid="{00000000-0005-0000-0000-0000AC0E0000}"/>
    <cellStyle name="Currency 3 6 2 3" xfId="2127" xr:uid="{00000000-0005-0000-0000-0000AD0E0000}"/>
    <cellStyle name="Currency 3 6 2 3 2" xfId="2128" xr:uid="{00000000-0005-0000-0000-0000AE0E0000}"/>
    <cellStyle name="Currency 3 6 2 3 2 2" xfId="10510" xr:uid="{00000000-0005-0000-0000-0000AF0E0000}"/>
    <cellStyle name="Currency 3 6 2 3 3" xfId="10509" xr:uid="{00000000-0005-0000-0000-0000B00E0000}"/>
    <cellStyle name="Currency 3 6 2 4" xfId="2129" xr:uid="{00000000-0005-0000-0000-0000B10E0000}"/>
    <cellStyle name="Currency 3 6 2 4 2" xfId="10511" xr:uid="{00000000-0005-0000-0000-0000B20E0000}"/>
    <cellStyle name="Currency 3 6 3" xfId="2130" xr:uid="{00000000-0005-0000-0000-0000B30E0000}"/>
    <cellStyle name="Currency 3 6 3 2" xfId="2131" xr:uid="{00000000-0005-0000-0000-0000B40E0000}"/>
    <cellStyle name="Currency 3 6 3 2 2" xfId="10512" xr:uid="{00000000-0005-0000-0000-0000B50E0000}"/>
    <cellStyle name="Currency 3 6 4" xfId="2132" xr:uid="{00000000-0005-0000-0000-0000B60E0000}"/>
    <cellStyle name="Currency 3 6 4 2" xfId="2133" xr:uid="{00000000-0005-0000-0000-0000B70E0000}"/>
    <cellStyle name="Currency 3 6 4 2 2" xfId="10514" xr:uid="{00000000-0005-0000-0000-0000B80E0000}"/>
    <cellStyle name="Currency 3 6 4 3" xfId="10513" xr:uid="{00000000-0005-0000-0000-0000B90E0000}"/>
    <cellStyle name="Currency 3 6 5" xfId="2134" xr:uid="{00000000-0005-0000-0000-0000BA0E0000}"/>
    <cellStyle name="Currency 3 6 5 2" xfId="10515" xr:uid="{00000000-0005-0000-0000-0000BB0E0000}"/>
    <cellStyle name="Currency 3 7" xfId="2135" xr:uid="{00000000-0005-0000-0000-0000BC0E0000}"/>
    <cellStyle name="Currency 3 7 2" xfId="2136" xr:uid="{00000000-0005-0000-0000-0000BD0E0000}"/>
    <cellStyle name="Currency 3 7 2 2" xfId="2137" xr:uid="{00000000-0005-0000-0000-0000BE0E0000}"/>
    <cellStyle name="Currency 3 7 2 2 2" xfId="10517" xr:uid="{00000000-0005-0000-0000-0000BF0E0000}"/>
    <cellStyle name="Currency 3 7 2 3" xfId="10516" xr:uid="{00000000-0005-0000-0000-0000C00E0000}"/>
    <cellStyle name="Currency 3 7 3" xfId="2138" xr:uid="{00000000-0005-0000-0000-0000C10E0000}"/>
    <cellStyle name="Currency 3 7 3 2" xfId="2139" xr:uid="{00000000-0005-0000-0000-0000C20E0000}"/>
    <cellStyle name="Currency 3 7 3 2 2" xfId="10519" xr:uid="{00000000-0005-0000-0000-0000C30E0000}"/>
    <cellStyle name="Currency 3 7 3 3" xfId="10518" xr:uid="{00000000-0005-0000-0000-0000C40E0000}"/>
    <cellStyle name="Currency 3 7 4" xfId="2140" xr:uid="{00000000-0005-0000-0000-0000C50E0000}"/>
    <cellStyle name="Currency 3 7 4 2" xfId="10520" xr:uid="{00000000-0005-0000-0000-0000C60E0000}"/>
    <cellStyle name="Currency 3 8" xfId="2141" xr:uid="{00000000-0005-0000-0000-0000C70E0000}"/>
    <cellStyle name="Currency 3 8 2" xfId="2142" xr:uid="{00000000-0005-0000-0000-0000C80E0000}"/>
    <cellStyle name="Currency 3 8 2 2" xfId="10521" xr:uid="{00000000-0005-0000-0000-0000C90E0000}"/>
    <cellStyle name="Currency 3 9" xfId="2143" xr:uid="{00000000-0005-0000-0000-0000CA0E0000}"/>
    <cellStyle name="Currency 3 9 2" xfId="2144" xr:uid="{00000000-0005-0000-0000-0000CB0E0000}"/>
    <cellStyle name="Currency 3 9 2 2" xfId="10522" xr:uid="{00000000-0005-0000-0000-0000CC0E0000}"/>
    <cellStyle name="Currency 4" xfId="2145" xr:uid="{00000000-0005-0000-0000-0000CD0E0000}"/>
    <cellStyle name="Currency 4 10" xfId="2146" xr:uid="{00000000-0005-0000-0000-0000CE0E0000}"/>
    <cellStyle name="Currency 4 10 2" xfId="10523" xr:uid="{00000000-0005-0000-0000-0000CF0E0000}"/>
    <cellStyle name="Currency 4 2" xfId="2147" xr:uid="{00000000-0005-0000-0000-0000D00E0000}"/>
    <cellStyle name="Currency 4 2 2" xfId="2148" xr:uid="{00000000-0005-0000-0000-0000D10E0000}"/>
    <cellStyle name="Currency 4 2 2 2" xfId="2149" xr:uid="{00000000-0005-0000-0000-0000D20E0000}"/>
    <cellStyle name="Currency 4 2 2 2 2" xfId="2150" xr:uid="{00000000-0005-0000-0000-0000D30E0000}"/>
    <cellStyle name="Currency 4 2 2 2 2 2" xfId="2151" xr:uid="{00000000-0005-0000-0000-0000D40E0000}"/>
    <cellStyle name="Currency 4 2 2 2 2 2 2" xfId="2152" xr:uid="{00000000-0005-0000-0000-0000D50E0000}"/>
    <cellStyle name="Currency 4 2 2 2 2 2 2 2" xfId="2153" xr:uid="{00000000-0005-0000-0000-0000D60E0000}"/>
    <cellStyle name="Currency 4 2 2 2 2 2 2 2 2" xfId="10529" xr:uid="{00000000-0005-0000-0000-0000D70E0000}"/>
    <cellStyle name="Currency 4 2 2 2 2 2 2 3" xfId="10528" xr:uid="{00000000-0005-0000-0000-0000D80E0000}"/>
    <cellStyle name="Currency 4 2 2 2 2 2 3" xfId="2154" xr:uid="{00000000-0005-0000-0000-0000D90E0000}"/>
    <cellStyle name="Currency 4 2 2 2 2 2 3 2" xfId="2155" xr:uid="{00000000-0005-0000-0000-0000DA0E0000}"/>
    <cellStyle name="Currency 4 2 2 2 2 2 3 2 2" xfId="10531" xr:uid="{00000000-0005-0000-0000-0000DB0E0000}"/>
    <cellStyle name="Currency 4 2 2 2 2 2 3 3" xfId="10530" xr:uid="{00000000-0005-0000-0000-0000DC0E0000}"/>
    <cellStyle name="Currency 4 2 2 2 2 2 4" xfId="2156" xr:uid="{00000000-0005-0000-0000-0000DD0E0000}"/>
    <cellStyle name="Currency 4 2 2 2 2 2 4 2" xfId="10532" xr:uid="{00000000-0005-0000-0000-0000DE0E0000}"/>
    <cellStyle name="Currency 4 2 2 2 2 2 5" xfId="10527" xr:uid="{00000000-0005-0000-0000-0000DF0E0000}"/>
    <cellStyle name="Currency 4 2 2 2 2 3" xfId="2157" xr:uid="{00000000-0005-0000-0000-0000E00E0000}"/>
    <cellStyle name="Currency 4 2 2 2 2 3 2" xfId="2158" xr:uid="{00000000-0005-0000-0000-0000E10E0000}"/>
    <cellStyle name="Currency 4 2 2 2 2 3 2 2" xfId="10534" xr:uid="{00000000-0005-0000-0000-0000E20E0000}"/>
    <cellStyle name="Currency 4 2 2 2 2 3 3" xfId="10533" xr:uid="{00000000-0005-0000-0000-0000E30E0000}"/>
    <cellStyle name="Currency 4 2 2 2 2 4" xfId="2159" xr:uid="{00000000-0005-0000-0000-0000E40E0000}"/>
    <cellStyle name="Currency 4 2 2 2 2 4 2" xfId="2160" xr:uid="{00000000-0005-0000-0000-0000E50E0000}"/>
    <cellStyle name="Currency 4 2 2 2 2 4 2 2" xfId="10536" xr:uid="{00000000-0005-0000-0000-0000E60E0000}"/>
    <cellStyle name="Currency 4 2 2 2 2 4 3" xfId="10535" xr:uid="{00000000-0005-0000-0000-0000E70E0000}"/>
    <cellStyle name="Currency 4 2 2 2 2 5" xfId="2161" xr:uid="{00000000-0005-0000-0000-0000E80E0000}"/>
    <cellStyle name="Currency 4 2 2 2 2 5 2" xfId="10537" xr:uid="{00000000-0005-0000-0000-0000E90E0000}"/>
    <cellStyle name="Currency 4 2 2 2 2 6" xfId="10526" xr:uid="{00000000-0005-0000-0000-0000EA0E0000}"/>
    <cellStyle name="Currency 4 2 2 2 3" xfId="2162" xr:uid="{00000000-0005-0000-0000-0000EB0E0000}"/>
    <cellStyle name="Currency 4 2 2 2 3 2" xfId="2163" xr:uid="{00000000-0005-0000-0000-0000EC0E0000}"/>
    <cellStyle name="Currency 4 2 2 2 3 2 2" xfId="2164" xr:uid="{00000000-0005-0000-0000-0000ED0E0000}"/>
    <cellStyle name="Currency 4 2 2 2 3 2 2 2" xfId="10540" xr:uid="{00000000-0005-0000-0000-0000EE0E0000}"/>
    <cellStyle name="Currency 4 2 2 2 3 2 3" xfId="10539" xr:uid="{00000000-0005-0000-0000-0000EF0E0000}"/>
    <cellStyle name="Currency 4 2 2 2 3 3" xfId="2165" xr:uid="{00000000-0005-0000-0000-0000F00E0000}"/>
    <cellStyle name="Currency 4 2 2 2 3 3 2" xfId="2166" xr:uid="{00000000-0005-0000-0000-0000F10E0000}"/>
    <cellStyle name="Currency 4 2 2 2 3 3 2 2" xfId="10542" xr:uid="{00000000-0005-0000-0000-0000F20E0000}"/>
    <cellStyle name="Currency 4 2 2 2 3 3 3" xfId="10541" xr:uid="{00000000-0005-0000-0000-0000F30E0000}"/>
    <cellStyle name="Currency 4 2 2 2 3 4" xfId="2167" xr:uid="{00000000-0005-0000-0000-0000F40E0000}"/>
    <cellStyle name="Currency 4 2 2 2 3 4 2" xfId="10543" xr:uid="{00000000-0005-0000-0000-0000F50E0000}"/>
    <cellStyle name="Currency 4 2 2 2 3 5" xfId="10538" xr:uid="{00000000-0005-0000-0000-0000F60E0000}"/>
    <cellStyle name="Currency 4 2 2 2 4" xfId="2168" xr:uid="{00000000-0005-0000-0000-0000F70E0000}"/>
    <cellStyle name="Currency 4 2 2 2 4 2" xfId="2169" xr:uid="{00000000-0005-0000-0000-0000F80E0000}"/>
    <cellStyle name="Currency 4 2 2 2 4 2 2" xfId="10545" xr:uid="{00000000-0005-0000-0000-0000F90E0000}"/>
    <cellStyle name="Currency 4 2 2 2 4 3" xfId="10544" xr:uid="{00000000-0005-0000-0000-0000FA0E0000}"/>
    <cellStyle name="Currency 4 2 2 2 5" xfId="2170" xr:uid="{00000000-0005-0000-0000-0000FB0E0000}"/>
    <cellStyle name="Currency 4 2 2 2 5 2" xfId="2171" xr:uid="{00000000-0005-0000-0000-0000FC0E0000}"/>
    <cellStyle name="Currency 4 2 2 2 5 2 2" xfId="10547" xr:uid="{00000000-0005-0000-0000-0000FD0E0000}"/>
    <cellStyle name="Currency 4 2 2 2 5 3" xfId="10546" xr:uid="{00000000-0005-0000-0000-0000FE0E0000}"/>
    <cellStyle name="Currency 4 2 2 2 6" xfId="2172" xr:uid="{00000000-0005-0000-0000-0000FF0E0000}"/>
    <cellStyle name="Currency 4 2 2 2 6 2" xfId="10548" xr:uid="{00000000-0005-0000-0000-0000000F0000}"/>
    <cellStyle name="Currency 4 2 2 2 7" xfId="10525" xr:uid="{00000000-0005-0000-0000-0000010F0000}"/>
    <cellStyle name="Currency 4 2 2 3" xfId="2173" xr:uid="{00000000-0005-0000-0000-0000020F0000}"/>
    <cellStyle name="Currency 4 2 2 3 2" xfId="2174" xr:uid="{00000000-0005-0000-0000-0000030F0000}"/>
    <cellStyle name="Currency 4 2 2 3 2 2" xfId="2175" xr:uid="{00000000-0005-0000-0000-0000040F0000}"/>
    <cellStyle name="Currency 4 2 2 3 2 2 2" xfId="2176" xr:uid="{00000000-0005-0000-0000-0000050F0000}"/>
    <cellStyle name="Currency 4 2 2 3 2 2 2 2" xfId="10552" xr:uid="{00000000-0005-0000-0000-0000060F0000}"/>
    <cellStyle name="Currency 4 2 2 3 2 2 3" xfId="10551" xr:uid="{00000000-0005-0000-0000-0000070F0000}"/>
    <cellStyle name="Currency 4 2 2 3 2 3" xfId="2177" xr:uid="{00000000-0005-0000-0000-0000080F0000}"/>
    <cellStyle name="Currency 4 2 2 3 2 3 2" xfId="2178" xr:uid="{00000000-0005-0000-0000-0000090F0000}"/>
    <cellStyle name="Currency 4 2 2 3 2 3 2 2" xfId="10554" xr:uid="{00000000-0005-0000-0000-00000A0F0000}"/>
    <cellStyle name="Currency 4 2 2 3 2 3 3" xfId="10553" xr:uid="{00000000-0005-0000-0000-00000B0F0000}"/>
    <cellStyle name="Currency 4 2 2 3 2 4" xfId="2179" xr:uid="{00000000-0005-0000-0000-00000C0F0000}"/>
    <cellStyle name="Currency 4 2 2 3 2 4 2" xfId="10555" xr:uid="{00000000-0005-0000-0000-00000D0F0000}"/>
    <cellStyle name="Currency 4 2 2 3 2 5" xfId="10550" xr:uid="{00000000-0005-0000-0000-00000E0F0000}"/>
    <cellStyle name="Currency 4 2 2 3 3" xfId="2180" xr:uid="{00000000-0005-0000-0000-00000F0F0000}"/>
    <cellStyle name="Currency 4 2 2 3 3 2" xfId="2181" xr:uid="{00000000-0005-0000-0000-0000100F0000}"/>
    <cellStyle name="Currency 4 2 2 3 3 2 2" xfId="10557" xr:uid="{00000000-0005-0000-0000-0000110F0000}"/>
    <cellStyle name="Currency 4 2 2 3 3 3" xfId="10556" xr:uid="{00000000-0005-0000-0000-0000120F0000}"/>
    <cellStyle name="Currency 4 2 2 3 4" xfId="2182" xr:uid="{00000000-0005-0000-0000-0000130F0000}"/>
    <cellStyle name="Currency 4 2 2 3 4 2" xfId="2183" xr:uid="{00000000-0005-0000-0000-0000140F0000}"/>
    <cellStyle name="Currency 4 2 2 3 4 2 2" xfId="10559" xr:uid="{00000000-0005-0000-0000-0000150F0000}"/>
    <cellStyle name="Currency 4 2 2 3 4 3" xfId="10558" xr:uid="{00000000-0005-0000-0000-0000160F0000}"/>
    <cellStyle name="Currency 4 2 2 3 5" xfId="2184" xr:uid="{00000000-0005-0000-0000-0000170F0000}"/>
    <cellStyle name="Currency 4 2 2 3 5 2" xfId="10560" xr:uid="{00000000-0005-0000-0000-0000180F0000}"/>
    <cellStyle name="Currency 4 2 2 3 6" xfId="10549" xr:uid="{00000000-0005-0000-0000-0000190F0000}"/>
    <cellStyle name="Currency 4 2 2 4" xfId="2185" xr:uid="{00000000-0005-0000-0000-00001A0F0000}"/>
    <cellStyle name="Currency 4 2 2 4 2" xfId="2186" xr:uid="{00000000-0005-0000-0000-00001B0F0000}"/>
    <cellStyle name="Currency 4 2 2 4 2 2" xfId="2187" xr:uid="{00000000-0005-0000-0000-00001C0F0000}"/>
    <cellStyle name="Currency 4 2 2 4 2 2 2" xfId="10563" xr:uid="{00000000-0005-0000-0000-00001D0F0000}"/>
    <cellStyle name="Currency 4 2 2 4 2 3" xfId="10562" xr:uid="{00000000-0005-0000-0000-00001E0F0000}"/>
    <cellStyle name="Currency 4 2 2 4 3" xfId="2188" xr:uid="{00000000-0005-0000-0000-00001F0F0000}"/>
    <cellStyle name="Currency 4 2 2 4 3 2" xfId="2189" xr:uid="{00000000-0005-0000-0000-0000200F0000}"/>
    <cellStyle name="Currency 4 2 2 4 3 2 2" xfId="10565" xr:uid="{00000000-0005-0000-0000-0000210F0000}"/>
    <cellStyle name="Currency 4 2 2 4 3 3" xfId="10564" xr:uid="{00000000-0005-0000-0000-0000220F0000}"/>
    <cellStyle name="Currency 4 2 2 4 4" xfId="2190" xr:uid="{00000000-0005-0000-0000-0000230F0000}"/>
    <cellStyle name="Currency 4 2 2 4 4 2" xfId="10566" xr:uid="{00000000-0005-0000-0000-0000240F0000}"/>
    <cellStyle name="Currency 4 2 2 4 5" xfId="10561" xr:uid="{00000000-0005-0000-0000-0000250F0000}"/>
    <cellStyle name="Currency 4 2 2 5" xfId="2191" xr:uid="{00000000-0005-0000-0000-0000260F0000}"/>
    <cellStyle name="Currency 4 2 2 5 2" xfId="2192" xr:uid="{00000000-0005-0000-0000-0000270F0000}"/>
    <cellStyle name="Currency 4 2 2 5 2 2" xfId="10568" xr:uid="{00000000-0005-0000-0000-0000280F0000}"/>
    <cellStyle name="Currency 4 2 2 5 3" xfId="10567" xr:uid="{00000000-0005-0000-0000-0000290F0000}"/>
    <cellStyle name="Currency 4 2 2 6" xfId="2193" xr:uid="{00000000-0005-0000-0000-00002A0F0000}"/>
    <cellStyle name="Currency 4 2 2 6 2" xfId="2194" xr:uid="{00000000-0005-0000-0000-00002B0F0000}"/>
    <cellStyle name="Currency 4 2 2 6 2 2" xfId="10570" xr:uid="{00000000-0005-0000-0000-00002C0F0000}"/>
    <cellStyle name="Currency 4 2 2 6 3" xfId="10569" xr:uid="{00000000-0005-0000-0000-00002D0F0000}"/>
    <cellStyle name="Currency 4 2 2 7" xfId="2195" xr:uid="{00000000-0005-0000-0000-00002E0F0000}"/>
    <cellStyle name="Currency 4 2 2 7 2" xfId="10571" xr:uid="{00000000-0005-0000-0000-00002F0F0000}"/>
    <cellStyle name="Currency 4 2 2 8" xfId="10524" xr:uid="{00000000-0005-0000-0000-0000300F0000}"/>
    <cellStyle name="Currency 4 2 3" xfId="2196" xr:uid="{00000000-0005-0000-0000-0000310F0000}"/>
    <cellStyle name="Currency 4 2 3 2" xfId="2197" xr:uid="{00000000-0005-0000-0000-0000320F0000}"/>
    <cellStyle name="Currency 4 2 3 2 2" xfId="2198" xr:uid="{00000000-0005-0000-0000-0000330F0000}"/>
    <cellStyle name="Currency 4 2 3 2 2 2" xfId="2199" xr:uid="{00000000-0005-0000-0000-0000340F0000}"/>
    <cellStyle name="Currency 4 2 3 2 2 2 2" xfId="2200" xr:uid="{00000000-0005-0000-0000-0000350F0000}"/>
    <cellStyle name="Currency 4 2 3 2 2 2 2 2" xfId="10576" xr:uid="{00000000-0005-0000-0000-0000360F0000}"/>
    <cellStyle name="Currency 4 2 3 2 2 2 3" xfId="10575" xr:uid="{00000000-0005-0000-0000-0000370F0000}"/>
    <cellStyle name="Currency 4 2 3 2 2 3" xfId="2201" xr:uid="{00000000-0005-0000-0000-0000380F0000}"/>
    <cellStyle name="Currency 4 2 3 2 2 3 2" xfId="2202" xr:uid="{00000000-0005-0000-0000-0000390F0000}"/>
    <cellStyle name="Currency 4 2 3 2 2 3 2 2" xfId="10578" xr:uid="{00000000-0005-0000-0000-00003A0F0000}"/>
    <cellStyle name="Currency 4 2 3 2 2 3 3" xfId="10577" xr:uid="{00000000-0005-0000-0000-00003B0F0000}"/>
    <cellStyle name="Currency 4 2 3 2 2 4" xfId="2203" xr:uid="{00000000-0005-0000-0000-00003C0F0000}"/>
    <cellStyle name="Currency 4 2 3 2 2 4 2" xfId="10579" xr:uid="{00000000-0005-0000-0000-00003D0F0000}"/>
    <cellStyle name="Currency 4 2 3 2 2 5" xfId="10574" xr:uid="{00000000-0005-0000-0000-00003E0F0000}"/>
    <cellStyle name="Currency 4 2 3 2 3" xfId="2204" xr:uid="{00000000-0005-0000-0000-00003F0F0000}"/>
    <cellStyle name="Currency 4 2 3 2 3 2" xfId="2205" xr:uid="{00000000-0005-0000-0000-0000400F0000}"/>
    <cellStyle name="Currency 4 2 3 2 3 2 2" xfId="10581" xr:uid="{00000000-0005-0000-0000-0000410F0000}"/>
    <cellStyle name="Currency 4 2 3 2 3 3" xfId="10580" xr:uid="{00000000-0005-0000-0000-0000420F0000}"/>
    <cellStyle name="Currency 4 2 3 2 4" xfId="2206" xr:uid="{00000000-0005-0000-0000-0000430F0000}"/>
    <cellStyle name="Currency 4 2 3 2 4 2" xfId="2207" xr:uid="{00000000-0005-0000-0000-0000440F0000}"/>
    <cellStyle name="Currency 4 2 3 2 4 2 2" xfId="10583" xr:uid="{00000000-0005-0000-0000-0000450F0000}"/>
    <cellStyle name="Currency 4 2 3 2 4 3" xfId="10582" xr:uid="{00000000-0005-0000-0000-0000460F0000}"/>
    <cellStyle name="Currency 4 2 3 2 5" xfId="2208" xr:uid="{00000000-0005-0000-0000-0000470F0000}"/>
    <cellStyle name="Currency 4 2 3 2 5 2" xfId="10584" xr:uid="{00000000-0005-0000-0000-0000480F0000}"/>
    <cellStyle name="Currency 4 2 3 2 6" xfId="10573" xr:uid="{00000000-0005-0000-0000-0000490F0000}"/>
    <cellStyle name="Currency 4 2 3 3" xfId="2209" xr:uid="{00000000-0005-0000-0000-00004A0F0000}"/>
    <cellStyle name="Currency 4 2 3 3 2" xfId="2210" xr:uid="{00000000-0005-0000-0000-00004B0F0000}"/>
    <cellStyle name="Currency 4 2 3 3 2 2" xfId="2211" xr:uid="{00000000-0005-0000-0000-00004C0F0000}"/>
    <cellStyle name="Currency 4 2 3 3 2 2 2" xfId="10587" xr:uid="{00000000-0005-0000-0000-00004D0F0000}"/>
    <cellStyle name="Currency 4 2 3 3 2 3" xfId="10586" xr:uid="{00000000-0005-0000-0000-00004E0F0000}"/>
    <cellStyle name="Currency 4 2 3 3 3" xfId="2212" xr:uid="{00000000-0005-0000-0000-00004F0F0000}"/>
    <cellStyle name="Currency 4 2 3 3 3 2" xfId="2213" xr:uid="{00000000-0005-0000-0000-0000500F0000}"/>
    <cellStyle name="Currency 4 2 3 3 3 2 2" xfId="10589" xr:uid="{00000000-0005-0000-0000-0000510F0000}"/>
    <cellStyle name="Currency 4 2 3 3 3 3" xfId="10588" xr:uid="{00000000-0005-0000-0000-0000520F0000}"/>
    <cellStyle name="Currency 4 2 3 3 4" xfId="2214" xr:uid="{00000000-0005-0000-0000-0000530F0000}"/>
    <cellStyle name="Currency 4 2 3 3 4 2" xfId="10590" xr:uid="{00000000-0005-0000-0000-0000540F0000}"/>
    <cellStyle name="Currency 4 2 3 3 5" xfId="10585" xr:uid="{00000000-0005-0000-0000-0000550F0000}"/>
    <cellStyle name="Currency 4 2 3 4" xfId="2215" xr:uid="{00000000-0005-0000-0000-0000560F0000}"/>
    <cellStyle name="Currency 4 2 3 4 2" xfId="2216" xr:uid="{00000000-0005-0000-0000-0000570F0000}"/>
    <cellStyle name="Currency 4 2 3 4 2 2" xfId="10592" xr:uid="{00000000-0005-0000-0000-0000580F0000}"/>
    <cellStyle name="Currency 4 2 3 4 3" xfId="10591" xr:uid="{00000000-0005-0000-0000-0000590F0000}"/>
    <cellStyle name="Currency 4 2 3 5" xfId="2217" xr:uid="{00000000-0005-0000-0000-00005A0F0000}"/>
    <cellStyle name="Currency 4 2 3 5 2" xfId="2218" xr:uid="{00000000-0005-0000-0000-00005B0F0000}"/>
    <cellStyle name="Currency 4 2 3 5 2 2" xfId="10594" xr:uid="{00000000-0005-0000-0000-00005C0F0000}"/>
    <cellStyle name="Currency 4 2 3 5 3" xfId="10593" xr:uid="{00000000-0005-0000-0000-00005D0F0000}"/>
    <cellStyle name="Currency 4 2 3 6" xfId="2219" xr:uid="{00000000-0005-0000-0000-00005E0F0000}"/>
    <cellStyle name="Currency 4 2 3 6 2" xfId="10595" xr:uid="{00000000-0005-0000-0000-00005F0F0000}"/>
    <cellStyle name="Currency 4 2 3 7" xfId="10572" xr:uid="{00000000-0005-0000-0000-0000600F0000}"/>
    <cellStyle name="Currency 4 2 4" xfId="2220" xr:uid="{00000000-0005-0000-0000-0000610F0000}"/>
    <cellStyle name="Currency 4 2 4 2" xfId="2221" xr:uid="{00000000-0005-0000-0000-0000620F0000}"/>
    <cellStyle name="Currency 4 2 4 2 2" xfId="2222" xr:uid="{00000000-0005-0000-0000-0000630F0000}"/>
    <cellStyle name="Currency 4 2 4 2 2 2" xfId="2223" xr:uid="{00000000-0005-0000-0000-0000640F0000}"/>
    <cellStyle name="Currency 4 2 4 2 2 2 2" xfId="10599" xr:uid="{00000000-0005-0000-0000-0000650F0000}"/>
    <cellStyle name="Currency 4 2 4 2 2 3" xfId="10598" xr:uid="{00000000-0005-0000-0000-0000660F0000}"/>
    <cellStyle name="Currency 4 2 4 2 3" xfId="2224" xr:uid="{00000000-0005-0000-0000-0000670F0000}"/>
    <cellStyle name="Currency 4 2 4 2 3 2" xfId="2225" xr:uid="{00000000-0005-0000-0000-0000680F0000}"/>
    <cellStyle name="Currency 4 2 4 2 3 2 2" xfId="10601" xr:uid="{00000000-0005-0000-0000-0000690F0000}"/>
    <cellStyle name="Currency 4 2 4 2 3 3" xfId="10600" xr:uid="{00000000-0005-0000-0000-00006A0F0000}"/>
    <cellStyle name="Currency 4 2 4 2 4" xfId="2226" xr:uid="{00000000-0005-0000-0000-00006B0F0000}"/>
    <cellStyle name="Currency 4 2 4 2 4 2" xfId="10602" xr:uid="{00000000-0005-0000-0000-00006C0F0000}"/>
    <cellStyle name="Currency 4 2 4 2 5" xfId="10597" xr:uid="{00000000-0005-0000-0000-00006D0F0000}"/>
    <cellStyle name="Currency 4 2 4 3" xfId="2227" xr:uid="{00000000-0005-0000-0000-00006E0F0000}"/>
    <cellStyle name="Currency 4 2 4 3 2" xfId="2228" xr:uid="{00000000-0005-0000-0000-00006F0F0000}"/>
    <cellStyle name="Currency 4 2 4 3 2 2" xfId="10604" xr:uid="{00000000-0005-0000-0000-0000700F0000}"/>
    <cellStyle name="Currency 4 2 4 3 3" xfId="10603" xr:uid="{00000000-0005-0000-0000-0000710F0000}"/>
    <cellStyle name="Currency 4 2 4 4" xfId="2229" xr:uid="{00000000-0005-0000-0000-0000720F0000}"/>
    <cellStyle name="Currency 4 2 4 4 2" xfId="2230" xr:uid="{00000000-0005-0000-0000-0000730F0000}"/>
    <cellStyle name="Currency 4 2 4 4 2 2" xfId="10606" xr:uid="{00000000-0005-0000-0000-0000740F0000}"/>
    <cellStyle name="Currency 4 2 4 4 3" xfId="10605" xr:uid="{00000000-0005-0000-0000-0000750F0000}"/>
    <cellStyle name="Currency 4 2 4 5" xfId="2231" xr:uid="{00000000-0005-0000-0000-0000760F0000}"/>
    <cellStyle name="Currency 4 2 4 5 2" xfId="10607" xr:uid="{00000000-0005-0000-0000-0000770F0000}"/>
    <cellStyle name="Currency 4 2 4 6" xfId="10596" xr:uid="{00000000-0005-0000-0000-0000780F0000}"/>
    <cellStyle name="Currency 4 2 5" xfId="2232" xr:uid="{00000000-0005-0000-0000-0000790F0000}"/>
    <cellStyle name="Currency 4 2 5 2" xfId="2233" xr:uid="{00000000-0005-0000-0000-00007A0F0000}"/>
    <cellStyle name="Currency 4 2 5 2 2" xfId="2234" xr:uid="{00000000-0005-0000-0000-00007B0F0000}"/>
    <cellStyle name="Currency 4 2 5 2 2 2" xfId="10610" xr:uid="{00000000-0005-0000-0000-00007C0F0000}"/>
    <cellStyle name="Currency 4 2 5 2 3" xfId="10609" xr:uid="{00000000-0005-0000-0000-00007D0F0000}"/>
    <cellStyle name="Currency 4 2 5 3" xfId="2235" xr:uid="{00000000-0005-0000-0000-00007E0F0000}"/>
    <cellStyle name="Currency 4 2 5 3 2" xfId="2236" xr:uid="{00000000-0005-0000-0000-00007F0F0000}"/>
    <cellStyle name="Currency 4 2 5 3 2 2" xfId="10612" xr:uid="{00000000-0005-0000-0000-0000800F0000}"/>
    <cellStyle name="Currency 4 2 5 3 3" xfId="10611" xr:uid="{00000000-0005-0000-0000-0000810F0000}"/>
    <cellStyle name="Currency 4 2 5 4" xfId="2237" xr:uid="{00000000-0005-0000-0000-0000820F0000}"/>
    <cellStyle name="Currency 4 2 5 4 2" xfId="10613" xr:uid="{00000000-0005-0000-0000-0000830F0000}"/>
    <cellStyle name="Currency 4 2 5 5" xfId="10608" xr:uid="{00000000-0005-0000-0000-0000840F0000}"/>
    <cellStyle name="Currency 4 2 6" xfId="2238" xr:uid="{00000000-0005-0000-0000-0000850F0000}"/>
    <cellStyle name="Currency 4 2 6 2" xfId="2239" xr:uid="{00000000-0005-0000-0000-0000860F0000}"/>
    <cellStyle name="Currency 4 2 6 2 2" xfId="10615" xr:uid="{00000000-0005-0000-0000-0000870F0000}"/>
    <cellStyle name="Currency 4 2 6 3" xfId="10614" xr:uid="{00000000-0005-0000-0000-0000880F0000}"/>
    <cellStyle name="Currency 4 2 7" xfId="2240" xr:uid="{00000000-0005-0000-0000-0000890F0000}"/>
    <cellStyle name="Currency 4 2 7 2" xfId="2241" xr:uid="{00000000-0005-0000-0000-00008A0F0000}"/>
    <cellStyle name="Currency 4 2 7 2 2" xfId="10617" xr:uid="{00000000-0005-0000-0000-00008B0F0000}"/>
    <cellStyle name="Currency 4 2 7 3" xfId="10616" xr:uid="{00000000-0005-0000-0000-00008C0F0000}"/>
    <cellStyle name="Currency 4 2 8" xfId="2242" xr:uid="{00000000-0005-0000-0000-00008D0F0000}"/>
    <cellStyle name="Currency 4 2 8 2" xfId="10618" xr:uid="{00000000-0005-0000-0000-00008E0F0000}"/>
    <cellStyle name="Currency 4 3" xfId="2243" xr:uid="{00000000-0005-0000-0000-00008F0F0000}"/>
    <cellStyle name="Currency 4 3 2" xfId="2244" xr:uid="{00000000-0005-0000-0000-0000900F0000}"/>
    <cellStyle name="Currency 4 3 2 2" xfId="2245" xr:uid="{00000000-0005-0000-0000-0000910F0000}"/>
    <cellStyle name="Currency 4 3 2 2 2" xfId="2246" xr:uid="{00000000-0005-0000-0000-0000920F0000}"/>
    <cellStyle name="Currency 4 3 2 2 2 2" xfId="2247" xr:uid="{00000000-0005-0000-0000-0000930F0000}"/>
    <cellStyle name="Currency 4 3 2 2 2 2 2" xfId="2248" xr:uid="{00000000-0005-0000-0000-0000940F0000}"/>
    <cellStyle name="Currency 4 3 2 2 2 2 2 2" xfId="10623" xr:uid="{00000000-0005-0000-0000-0000950F0000}"/>
    <cellStyle name="Currency 4 3 2 2 2 2 3" xfId="10622" xr:uid="{00000000-0005-0000-0000-0000960F0000}"/>
    <cellStyle name="Currency 4 3 2 2 2 3" xfId="2249" xr:uid="{00000000-0005-0000-0000-0000970F0000}"/>
    <cellStyle name="Currency 4 3 2 2 2 3 2" xfId="2250" xr:uid="{00000000-0005-0000-0000-0000980F0000}"/>
    <cellStyle name="Currency 4 3 2 2 2 3 2 2" xfId="10625" xr:uid="{00000000-0005-0000-0000-0000990F0000}"/>
    <cellStyle name="Currency 4 3 2 2 2 3 3" xfId="10624" xr:uid="{00000000-0005-0000-0000-00009A0F0000}"/>
    <cellStyle name="Currency 4 3 2 2 2 4" xfId="2251" xr:uid="{00000000-0005-0000-0000-00009B0F0000}"/>
    <cellStyle name="Currency 4 3 2 2 2 4 2" xfId="10626" xr:uid="{00000000-0005-0000-0000-00009C0F0000}"/>
    <cellStyle name="Currency 4 3 2 2 2 5" xfId="10621" xr:uid="{00000000-0005-0000-0000-00009D0F0000}"/>
    <cellStyle name="Currency 4 3 2 2 3" xfId="2252" xr:uid="{00000000-0005-0000-0000-00009E0F0000}"/>
    <cellStyle name="Currency 4 3 2 2 3 2" xfId="2253" xr:uid="{00000000-0005-0000-0000-00009F0F0000}"/>
    <cellStyle name="Currency 4 3 2 2 3 2 2" xfId="10628" xr:uid="{00000000-0005-0000-0000-0000A00F0000}"/>
    <cellStyle name="Currency 4 3 2 2 3 3" xfId="10627" xr:uid="{00000000-0005-0000-0000-0000A10F0000}"/>
    <cellStyle name="Currency 4 3 2 2 4" xfId="2254" xr:uid="{00000000-0005-0000-0000-0000A20F0000}"/>
    <cellStyle name="Currency 4 3 2 2 4 2" xfId="2255" xr:uid="{00000000-0005-0000-0000-0000A30F0000}"/>
    <cellStyle name="Currency 4 3 2 2 4 2 2" xfId="10630" xr:uid="{00000000-0005-0000-0000-0000A40F0000}"/>
    <cellStyle name="Currency 4 3 2 2 4 3" xfId="10629" xr:uid="{00000000-0005-0000-0000-0000A50F0000}"/>
    <cellStyle name="Currency 4 3 2 2 5" xfId="2256" xr:uid="{00000000-0005-0000-0000-0000A60F0000}"/>
    <cellStyle name="Currency 4 3 2 2 5 2" xfId="10631" xr:uid="{00000000-0005-0000-0000-0000A70F0000}"/>
    <cellStyle name="Currency 4 3 2 2 6" xfId="10620" xr:uid="{00000000-0005-0000-0000-0000A80F0000}"/>
    <cellStyle name="Currency 4 3 2 3" xfId="2257" xr:uid="{00000000-0005-0000-0000-0000A90F0000}"/>
    <cellStyle name="Currency 4 3 2 3 2" xfId="2258" xr:uid="{00000000-0005-0000-0000-0000AA0F0000}"/>
    <cellStyle name="Currency 4 3 2 3 2 2" xfId="2259" xr:uid="{00000000-0005-0000-0000-0000AB0F0000}"/>
    <cellStyle name="Currency 4 3 2 3 2 2 2" xfId="10634" xr:uid="{00000000-0005-0000-0000-0000AC0F0000}"/>
    <cellStyle name="Currency 4 3 2 3 2 3" xfId="10633" xr:uid="{00000000-0005-0000-0000-0000AD0F0000}"/>
    <cellStyle name="Currency 4 3 2 3 3" xfId="2260" xr:uid="{00000000-0005-0000-0000-0000AE0F0000}"/>
    <cellStyle name="Currency 4 3 2 3 3 2" xfId="2261" xr:uid="{00000000-0005-0000-0000-0000AF0F0000}"/>
    <cellStyle name="Currency 4 3 2 3 3 2 2" xfId="10636" xr:uid="{00000000-0005-0000-0000-0000B00F0000}"/>
    <cellStyle name="Currency 4 3 2 3 3 3" xfId="10635" xr:uid="{00000000-0005-0000-0000-0000B10F0000}"/>
    <cellStyle name="Currency 4 3 2 3 4" xfId="2262" xr:uid="{00000000-0005-0000-0000-0000B20F0000}"/>
    <cellStyle name="Currency 4 3 2 3 4 2" xfId="10637" xr:uid="{00000000-0005-0000-0000-0000B30F0000}"/>
    <cellStyle name="Currency 4 3 2 3 5" xfId="10632" xr:uid="{00000000-0005-0000-0000-0000B40F0000}"/>
    <cellStyle name="Currency 4 3 2 4" xfId="2263" xr:uid="{00000000-0005-0000-0000-0000B50F0000}"/>
    <cellStyle name="Currency 4 3 2 4 2" xfId="2264" xr:uid="{00000000-0005-0000-0000-0000B60F0000}"/>
    <cellStyle name="Currency 4 3 2 4 2 2" xfId="10639" xr:uid="{00000000-0005-0000-0000-0000B70F0000}"/>
    <cellStyle name="Currency 4 3 2 4 3" xfId="10638" xr:uid="{00000000-0005-0000-0000-0000B80F0000}"/>
    <cellStyle name="Currency 4 3 2 5" xfId="2265" xr:uid="{00000000-0005-0000-0000-0000B90F0000}"/>
    <cellStyle name="Currency 4 3 2 5 2" xfId="2266" xr:uid="{00000000-0005-0000-0000-0000BA0F0000}"/>
    <cellStyle name="Currency 4 3 2 5 2 2" xfId="10641" xr:uid="{00000000-0005-0000-0000-0000BB0F0000}"/>
    <cellStyle name="Currency 4 3 2 5 3" xfId="10640" xr:uid="{00000000-0005-0000-0000-0000BC0F0000}"/>
    <cellStyle name="Currency 4 3 2 6" xfId="2267" xr:uid="{00000000-0005-0000-0000-0000BD0F0000}"/>
    <cellStyle name="Currency 4 3 2 6 2" xfId="10642" xr:uid="{00000000-0005-0000-0000-0000BE0F0000}"/>
    <cellStyle name="Currency 4 3 2 7" xfId="10619" xr:uid="{00000000-0005-0000-0000-0000BF0F0000}"/>
    <cellStyle name="Currency 4 3 3" xfId="2268" xr:uid="{00000000-0005-0000-0000-0000C00F0000}"/>
    <cellStyle name="Currency 4 3 3 2" xfId="2269" xr:uid="{00000000-0005-0000-0000-0000C10F0000}"/>
    <cellStyle name="Currency 4 3 3 2 2" xfId="2270" xr:uid="{00000000-0005-0000-0000-0000C20F0000}"/>
    <cellStyle name="Currency 4 3 3 2 2 2" xfId="2271" xr:uid="{00000000-0005-0000-0000-0000C30F0000}"/>
    <cellStyle name="Currency 4 3 3 2 2 2 2" xfId="10646" xr:uid="{00000000-0005-0000-0000-0000C40F0000}"/>
    <cellStyle name="Currency 4 3 3 2 2 3" xfId="10645" xr:uid="{00000000-0005-0000-0000-0000C50F0000}"/>
    <cellStyle name="Currency 4 3 3 2 3" xfId="2272" xr:uid="{00000000-0005-0000-0000-0000C60F0000}"/>
    <cellStyle name="Currency 4 3 3 2 3 2" xfId="2273" xr:uid="{00000000-0005-0000-0000-0000C70F0000}"/>
    <cellStyle name="Currency 4 3 3 2 3 2 2" xfId="10648" xr:uid="{00000000-0005-0000-0000-0000C80F0000}"/>
    <cellStyle name="Currency 4 3 3 2 3 3" xfId="10647" xr:uid="{00000000-0005-0000-0000-0000C90F0000}"/>
    <cellStyle name="Currency 4 3 3 2 4" xfId="2274" xr:uid="{00000000-0005-0000-0000-0000CA0F0000}"/>
    <cellStyle name="Currency 4 3 3 2 4 2" xfId="10649" xr:uid="{00000000-0005-0000-0000-0000CB0F0000}"/>
    <cellStyle name="Currency 4 3 3 2 5" xfId="10644" xr:uid="{00000000-0005-0000-0000-0000CC0F0000}"/>
    <cellStyle name="Currency 4 3 3 3" xfId="2275" xr:uid="{00000000-0005-0000-0000-0000CD0F0000}"/>
    <cellStyle name="Currency 4 3 3 3 2" xfId="2276" xr:uid="{00000000-0005-0000-0000-0000CE0F0000}"/>
    <cellStyle name="Currency 4 3 3 3 2 2" xfId="10651" xr:uid="{00000000-0005-0000-0000-0000CF0F0000}"/>
    <cellStyle name="Currency 4 3 3 3 3" xfId="10650" xr:uid="{00000000-0005-0000-0000-0000D00F0000}"/>
    <cellStyle name="Currency 4 3 3 4" xfId="2277" xr:uid="{00000000-0005-0000-0000-0000D10F0000}"/>
    <cellStyle name="Currency 4 3 3 4 2" xfId="2278" xr:uid="{00000000-0005-0000-0000-0000D20F0000}"/>
    <cellStyle name="Currency 4 3 3 4 2 2" xfId="10653" xr:uid="{00000000-0005-0000-0000-0000D30F0000}"/>
    <cellStyle name="Currency 4 3 3 4 3" xfId="10652" xr:uid="{00000000-0005-0000-0000-0000D40F0000}"/>
    <cellStyle name="Currency 4 3 3 5" xfId="2279" xr:uid="{00000000-0005-0000-0000-0000D50F0000}"/>
    <cellStyle name="Currency 4 3 3 5 2" xfId="10654" xr:uid="{00000000-0005-0000-0000-0000D60F0000}"/>
    <cellStyle name="Currency 4 3 3 6" xfId="10643" xr:uid="{00000000-0005-0000-0000-0000D70F0000}"/>
    <cellStyle name="Currency 4 3 4" xfId="2280" xr:uid="{00000000-0005-0000-0000-0000D80F0000}"/>
    <cellStyle name="Currency 4 3 4 2" xfId="2281" xr:uid="{00000000-0005-0000-0000-0000D90F0000}"/>
    <cellStyle name="Currency 4 3 4 2 2" xfId="2282" xr:uid="{00000000-0005-0000-0000-0000DA0F0000}"/>
    <cellStyle name="Currency 4 3 4 2 2 2" xfId="10657" xr:uid="{00000000-0005-0000-0000-0000DB0F0000}"/>
    <cellStyle name="Currency 4 3 4 2 3" xfId="10656" xr:uid="{00000000-0005-0000-0000-0000DC0F0000}"/>
    <cellStyle name="Currency 4 3 4 3" xfId="2283" xr:uid="{00000000-0005-0000-0000-0000DD0F0000}"/>
    <cellStyle name="Currency 4 3 4 3 2" xfId="2284" xr:uid="{00000000-0005-0000-0000-0000DE0F0000}"/>
    <cellStyle name="Currency 4 3 4 3 2 2" xfId="10659" xr:uid="{00000000-0005-0000-0000-0000DF0F0000}"/>
    <cellStyle name="Currency 4 3 4 3 3" xfId="10658" xr:uid="{00000000-0005-0000-0000-0000E00F0000}"/>
    <cellStyle name="Currency 4 3 4 4" xfId="2285" xr:uid="{00000000-0005-0000-0000-0000E10F0000}"/>
    <cellStyle name="Currency 4 3 4 4 2" xfId="10660" xr:uid="{00000000-0005-0000-0000-0000E20F0000}"/>
    <cellStyle name="Currency 4 3 4 5" xfId="10655" xr:uid="{00000000-0005-0000-0000-0000E30F0000}"/>
    <cellStyle name="Currency 4 3 5" xfId="2286" xr:uid="{00000000-0005-0000-0000-0000E40F0000}"/>
    <cellStyle name="Currency 4 3 5 2" xfId="2287" xr:uid="{00000000-0005-0000-0000-0000E50F0000}"/>
    <cellStyle name="Currency 4 3 5 2 2" xfId="10662" xr:uid="{00000000-0005-0000-0000-0000E60F0000}"/>
    <cellStyle name="Currency 4 3 5 3" xfId="10661" xr:uid="{00000000-0005-0000-0000-0000E70F0000}"/>
    <cellStyle name="Currency 4 3 6" xfId="2288" xr:uid="{00000000-0005-0000-0000-0000E80F0000}"/>
    <cellStyle name="Currency 4 3 6 2" xfId="2289" xr:uid="{00000000-0005-0000-0000-0000E90F0000}"/>
    <cellStyle name="Currency 4 3 6 2 2" xfId="10664" xr:uid="{00000000-0005-0000-0000-0000EA0F0000}"/>
    <cellStyle name="Currency 4 3 6 3" xfId="10663" xr:uid="{00000000-0005-0000-0000-0000EB0F0000}"/>
    <cellStyle name="Currency 4 3 7" xfId="2290" xr:uid="{00000000-0005-0000-0000-0000EC0F0000}"/>
    <cellStyle name="Currency 4 3 7 2" xfId="10665" xr:uid="{00000000-0005-0000-0000-0000ED0F0000}"/>
    <cellStyle name="Currency 4 4" xfId="2291" xr:uid="{00000000-0005-0000-0000-0000EE0F0000}"/>
    <cellStyle name="Currency 4 4 2" xfId="2292" xr:uid="{00000000-0005-0000-0000-0000EF0F0000}"/>
    <cellStyle name="Currency 4 4 2 2" xfId="2293" xr:uid="{00000000-0005-0000-0000-0000F00F0000}"/>
    <cellStyle name="Currency 4 4 2 2 2" xfId="2294" xr:uid="{00000000-0005-0000-0000-0000F10F0000}"/>
    <cellStyle name="Currency 4 4 2 2 2 2" xfId="2295" xr:uid="{00000000-0005-0000-0000-0000F20F0000}"/>
    <cellStyle name="Currency 4 4 2 2 2 2 2" xfId="2296" xr:uid="{00000000-0005-0000-0000-0000F30F0000}"/>
    <cellStyle name="Currency 4 4 2 2 2 2 2 2" xfId="10671" xr:uid="{00000000-0005-0000-0000-0000F40F0000}"/>
    <cellStyle name="Currency 4 4 2 2 2 2 3" xfId="10670" xr:uid="{00000000-0005-0000-0000-0000F50F0000}"/>
    <cellStyle name="Currency 4 4 2 2 2 3" xfId="2297" xr:uid="{00000000-0005-0000-0000-0000F60F0000}"/>
    <cellStyle name="Currency 4 4 2 2 2 3 2" xfId="2298" xr:uid="{00000000-0005-0000-0000-0000F70F0000}"/>
    <cellStyle name="Currency 4 4 2 2 2 3 2 2" xfId="10673" xr:uid="{00000000-0005-0000-0000-0000F80F0000}"/>
    <cellStyle name="Currency 4 4 2 2 2 3 3" xfId="10672" xr:uid="{00000000-0005-0000-0000-0000F90F0000}"/>
    <cellStyle name="Currency 4 4 2 2 2 4" xfId="2299" xr:uid="{00000000-0005-0000-0000-0000FA0F0000}"/>
    <cellStyle name="Currency 4 4 2 2 2 4 2" xfId="10674" xr:uid="{00000000-0005-0000-0000-0000FB0F0000}"/>
    <cellStyle name="Currency 4 4 2 2 2 5" xfId="10669" xr:uid="{00000000-0005-0000-0000-0000FC0F0000}"/>
    <cellStyle name="Currency 4 4 2 2 3" xfId="2300" xr:uid="{00000000-0005-0000-0000-0000FD0F0000}"/>
    <cellStyle name="Currency 4 4 2 2 3 2" xfId="2301" xr:uid="{00000000-0005-0000-0000-0000FE0F0000}"/>
    <cellStyle name="Currency 4 4 2 2 3 2 2" xfId="10676" xr:uid="{00000000-0005-0000-0000-0000FF0F0000}"/>
    <cellStyle name="Currency 4 4 2 2 3 3" xfId="10675" xr:uid="{00000000-0005-0000-0000-000000100000}"/>
    <cellStyle name="Currency 4 4 2 2 4" xfId="2302" xr:uid="{00000000-0005-0000-0000-000001100000}"/>
    <cellStyle name="Currency 4 4 2 2 4 2" xfId="2303" xr:uid="{00000000-0005-0000-0000-000002100000}"/>
    <cellStyle name="Currency 4 4 2 2 4 2 2" xfId="10678" xr:uid="{00000000-0005-0000-0000-000003100000}"/>
    <cellStyle name="Currency 4 4 2 2 4 3" xfId="10677" xr:uid="{00000000-0005-0000-0000-000004100000}"/>
    <cellStyle name="Currency 4 4 2 2 5" xfId="2304" xr:uid="{00000000-0005-0000-0000-000005100000}"/>
    <cellStyle name="Currency 4 4 2 2 5 2" xfId="10679" xr:uid="{00000000-0005-0000-0000-000006100000}"/>
    <cellStyle name="Currency 4 4 2 2 6" xfId="10668" xr:uid="{00000000-0005-0000-0000-000007100000}"/>
    <cellStyle name="Currency 4 4 2 3" xfId="2305" xr:uid="{00000000-0005-0000-0000-000008100000}"/>
    <cellStyle name="Currency 4 4 2 3 2" xfId="2306" xr:uid="{00000000-0005-0000-0000-000009100000}"/>
    <cellStyle name="Currency 4 4 2 3 2 2" xfId="2307" xr:uid="{00000000-0005-0000-0000-00000A100000}"/>
    <cellStyle name="Currency 4 4 2 3 2 2 2" xfId="10682" xr:uid="{00000000-0005-0000-0000-00000B100000}"/>
    <cellStyle name="Currency 4 4 2 3 2 3" xfId="10681" xr:uid="{00000000-0005-0000-0000-00000C100000}"/>
    <cellStyle name="Currency 4 4 2 3 3" xfId="2308" xr:uid="{00000000-0005-0000-0000-00000D100000}"/>
    <cellStyle name="Currency 4 4 2 3 3 2" xfId="2309" xr:uid="{00000000-0005-0000-0000-00000E100000}"/>
    <cellStyle name="Currency 4 4 2 3 3 2 2" xfId="10684" xr:uid="{00000000-0005-0000-0000-00000F100000}"/>
    <cellStyle name="Currency 4 4 2 3 3 3" xfId="10683" xr:uid="{00000000-0005-0000-0000-000010100000}"/>
    <cellStyle name="Currency 4 4 2 3 4" xfId="2310" xr:uid="{00000000-0005-0000-0000-000011100000}"/>
    <cellStyle name="Currency 4 4 2 3 4 2" xfId="10685" xr:uid="{00000000-0005-0000-0000-000012100000}"/>
    <cellStyle name="Currency 4 4 2 3 5" xfId="10680" xr:uid="{00000000-0005-0000-0000-000013100000}"/>
    <cellStyle name="Currency 4 4 2 4" xfId="2311" xr:uid="{00000000-0005-0000-0000-000014100000}"/>
    <cellStyle name="Currency 4 4 2 4 2" xfId="2312" xr:uid="{00000000-0005-0000-0000-000015100000}"/>
    <cellStyle name="Currency 4 4 2 4 2 2" xfId="10687" xr:uid="{00000000-0005-0000-0000-000016100000}"/>
    <cellStyle name="Currency 4 4 2 4 3" xfId="10686" xr:uid="{00000000-0005-0000-0000-000017100000}"/>
    <cellStyle name="Currency 4 4 2 5" xfId="2313" xr:uid="{00000000-0005-0000-0000-000018100000}"/>
    <cellStyle name="Currency 4 4 2 5 2" xfId="2314" xr:uid="{00000000-0005-0000-0000-000019100000}"/>
    <cellStyle name="Currency 4 4 2 5 2 2" xfId="10689" xr:uid="{00000000-0005-0000-0000-00001A100000}"/>
    <cellStyle name="Currency 4 4 2 5 3" xfId="10688" xr:uid="{00000000-0005-0000-0000-00001B100000}"/>
    <cellStyle name="Currency 4 4 2 6" xfId="2315" xr:uid="{00000000-0005-0000-0000-00001C100000}"/>
    <cellStyle name="Currency 4 4 2 6 2" xfId="10690" xr:uid="{00000000-0005-0000-0000-00001D100000}"/>
    <cellStyle name="Currency 4 4 2 7" xfId="10667" xr:uid="{00000000-0005-0000-0000-00001E100000}"/>
    <cellStyle name="Currency 4 4 3" xfId="2316" xr:uid="{00000000-0005-0000-0000-00001F100000}"/>
    <cellStyle name="Currency 4 4 3 2" xfId="2317" xr:uid="{00000000-0005-0000-0000-000020100000}"/>
    <cellStyle name="Currency 4 4 3 2 2" xfId="2318" xr:uid="{00000000-0005-0000-0000-000021100000}"/>
    <cellStyle name="Currency 4 4 3 2 2 2" xfId="2319" xr:uid="{00000000-0005-0000-0000-000022100000}"/>
    <cellStyle name="Currency 4 4 3 2 2 2 2" xfId="10694" xr:uid="{00000000-0005-0000-0000-000023100000}"/>
    <cellStyle name="Currency 4 4 3 2 2 3" xfId="10693" xr:uid="{00000000-0005-0000-0000-000024100000}"/>
    <cellStyle name="Currency 4 4 3 2 3" xfId="2320" xr:uid="{00000000-0005-0000-0000-000025100000}"/>
    <cellStyle name="Currency 4 4 3 2 3 2" xfId="2321" xr:uid="{00000000-0005-0000-0000-000026100000}"/>
    <cellStyle name="Currency 4 4 3 2 3 2 2" xfId="10696" xr:uid="{00000000-0005-0000-0000-000027100000}"/>
    <cellStyle name="Currency 4 4 3 2 3 3" xfId="10695" xr:uid="{00000000-0005-0000-0000-000028100000}"/>
    <cellStyle name="Currency 4 4 3 2 4" xfId="2322" xr:uid="{00000000-0005-0000-0000-000029100000}"/>
    <cellStyle name="Currency 4 4 3 2 4 2" xfId="10697" xr:uid="{00000000-0005-0000-0000-00002A100000}"/>
    <cellStyle name="Currency 4 4 3 2 5" xfId="10692" xr:uid="{00000000-0005-0000-0000-00002B100000}"/>
    <cellStyle name="Currency 4 4 3 3" xfId="2323" xr:uid="{00000000-0005-0000-0000-00002C100000}"/>
    <cellStyle name="Currency 4 4 3 3 2" xfId="2324" xr:uid="{00000000-0005-0000-0000-00002D100000}"/>
    <cellStyle name="Currency 4 4 3 3 2 2" xfId="10699" xr:uid="{00000000-0005-0000-0000-00002E100000}"/>
    <cellStyle name="Currency 4 4 3 3 3" xfId="10698" xr:uid="{00000000-0005-0000-0000-00002F100000}"/>
    <cellStyle name="Currency 4 4 3 4" xfId="2325" xr:uid="{00000000-0005-0000-0000-000030100000}"/>
    <cellStyle name="Currency 4 4 3 4 2" xfId="2326" xr:uid="{00000000-0005-0000-0000-000031100000}"/>
    <cellStyle name="Currency 4 4 3 4 2 2" xfId="10701" xr:uid="{00000000-0005-0000-0000-000032100000}"/>
    <cellStyle name="Currency 4 4 3 4 3" xfId="10700" xr:uid="{00000000-0005-0000-0000-000033100000}"/>
    <cellStyle name="Currency 4 4 3 5" xfId="2327" xr:uid="{00000000-0005-0000-0000-000034100000}"/>
    <cellStyle name="Currency 4 4 3 5 2" xfId="10702" xr:uid="{00000000-0005-0000-0000-000035100000}"/>
    <cellStyle name="Currency 4 4 3 6" xfId="10691" xr:uid="{00000000-0005-0000-0000-000036100000}"/>
    <cellStyle name="Currency 4 4 4" xfId="2328" xr:uid="{00000000-0005-0000-0000-000037100000}"/>
    <cellStyle name="Currency 4 4 4 2" xfId="2329" xr:uid="{00000000-0005-0000-0000-000038100000}"/>
    <cellStyle name="Currency 4 4 4 2 2" xfId="2330" xr:uid="{00000000-0005-0000-0000-000039100000}"/>
    <cellStyle name="Currency 4 4 4 2 2 2" xfId="10705" xr:uid="{00000000-0005-0000-0000-00003A100000}"/>
    <cellStyle name="Currency 4 4 4 2 3" xfId="10704" xr:uid="{00000000-0005-0000-0000-00003B100000}"/>
    <cellStyle name="Currency 4 4 4 3" xfId="2331" xr:uid="{00000000-0005-0000-0000-00003C100000}"/>
    <cellStyle name="Currency 4 4 4 3 2" xfId="2332" xr:uid="{00000000-0005-0000-0000-00003D100000}"/>
    <cellStyle name="Currency 4 4 4 3 2 2" xfId="10707" xr:uid="{00000000-0005-0000-0000-00003E100000}"/>
    <cellStyle name="Currency 4 4 4 3 3" xfId="10706" xr:uid="{00000000-0005-0000-0000-00003F100000}"/>
    <cellStyle name="Currency 4 4 4 4" xfId="2333" xr:uid="{00000000-0005-0000-0000-000040100000}"/>
    <cellStyle name="Currency 4 4 4 4 2" xfId="10708" xr:uid="{00000000-0005-0000-0000-000041100000}"/>
    <cellStyle name="Currency 4 4 4 5" xfId="10703" xr:uid="{00000000-0005-0000-0000-000042100000}"/>
    <cellStyle name="Currency 4 4 5" xfId="2334" xr:uid="{00000000-0005-0000-0000-000043100000}"/>
    <cellStyle name="Currency 4 4 5 2" xfId="2335" xr:uid="{00000000-0005-0000-0000-000044100000}"/>
    <cellStyle name="Currency 4 4 5 2 2" xfId="10710" xr:uid="{00000000-0005-0000-0000-000045100000}"/>
    <cellStyle name="Currency 4 4 5 3" xfId="10709" xr:uid="{00000000-0005-0000-0000-000046100000}"/>
    <cellStyle name="Currency 4 4 6" xfId="2336" xr:uid="{00000000-0005-0000-0000-000047100000}"/>
    <cellStyle name="Currency 4 4 6 2" xfId="2337" xr:uid="{00000000-0005-0000-0000-000048100000}"/>
    <cellStyle name="Currency 4 4 6 2 2" xfId="10712" xr:uid="{00000000-0005-0000-0000-000049100000}"/>
    <cellStyle name="Currency 4 4 6 3" xfId="10711" xr:uid="{00000000-0005-0000-0000-00004A100000}"/>
    <cellStyle name="Currency 4 4 7" xfId="2338" xr:uid="{00000000-0005-0000-0000-00004B100000}"/>
    <cellStyle name="Currency 4 4 7 2" xfId="10713" xr:uid="{00000000-0005-0000-0000-00004C100000}"/>
    <cellStyle name="Currency 4 4 8" xfId="10666" xr:uid="{00000000-0005-0000-0000-00004D100000}"/>
    <cellStyle name="Currency 4 5" xfId="2339" xr:uid="{00000000-0005-0000-0000-00004E100000}"/>
    <cellStyle name="Currency 4 5 2" xfId="2340" xr:uid="{00000000-0005-0000-0000-00004F100000}"/>
    <cellStyle name="Currency 4 5 2 2" xfId="2341" xr:uid="{00000000-0005-0000-0000-000050100000}"/>
    <cellStyle name="Currency 4 5 2 2 2" xfId="2342" xr:uid="{00000000-0005-0000-0000-000051100000}"/>
    <cellStyle name="Currency 4 5 2 2 2 2" xfId="2343" xr:uid="{00000000-0005-0000-0000-000052100000}"/>
    <cellStyle name="Currency 4 5 2 2 2 2 2" xfId="10716" xr:uid="{00000000-0005-0000-0000-000053100000}"/>
    <cellStyle name="Currency 4 5 2 2 2 3" xfId="10715" xr:uid="{00000000-0005-0000-0000-000054100000}"/>
    <cellStyle name="Currency 4 5 2 2 3" xfId="2344" xr:uid="{00000000-0005-0000-0000-000055100000}"/>
    <cellStyle name="Currency 4 5 2 2 3 2" xfId="2345" xr:uid="{00000000-0005-0000-0000-000056100000}"/>
    <cellStyle name="Currency 4 5 2 2 3 2 2" xfId="10718" xr:uid="{00000000-0005-0000-0000-000057100000}"/>
    <cellStyle name="Currency 4 5 2 2 3 3" xfId="10717" xr:uid="{00000000-0005-0000-0000-000058100000}"/>
    <cellStyle name="Currency 4 5 2 2 4" xfId="2346" xr:uid="{00000000-0005-0000-0000-000059100000}"/>
    <cellStyle name="Currency 4 5 2 2 4 2" xfId="10719" xr:uid="{00000000-0005-0000-0000-00005A100000}"/>
    <cellStyle name="Currency 4 5 2 2 5" xfId="10714" xr:uid="{00000000-0005-0000-0000-00005B100000}"/>
    <cellStyle name="Currency 4 5 2 3" xfId="2347" xr:uid="{00000000-0005-0000-0000-00005C100000}"/>
    <cellStyle name="Currency 4 5 2 3 2" xfId="2348" xr:uid="{00000000-0005-0000-0000-00005D100000}"/>
    <cellStyle name="Currency 4 5 2 3 2 2" xfId="10721" xr:uid="{00000000-0005-0000-0000-00005E100000}"/>
    <cellStyle name="Currency 4 5 2 3 3" xfId="10720" xr:uid="{00000000-0005-0000-0000-00005F100000}"/>
    <cellStyle name="Currency 4 5 2 4" xfId="2349" xr:uid="{00000000-0005-0000-0000-000060100000}"/>
    <cellStyle name="Currency 4 5 2 4 2" xfId="2350" xr:uid="{00000000-0005-0000-0000-000061100000}"/>
    <cellStyle name="Currency 4 5 2 4 2 2" xfId="10723" xr:uid="{00000000-0005-0000-0000-000062100000}"/>
    <cellStyle name="Currency 4 5 2 4 3" xfId="10722" xr:uid="{00000000-0005-0000-0000-000063100000}"/>
    <cellStyle name="Currency 4 5 2 5" xfId="2351" xr:uid="{00000000-0005-0000-0000-000064100000}"/>
    <cellStyle name="Currency 4 5 2 5 2" xfId="10724" xr:uid="{00000000-0005-0000-0000-000065100000}"/>
    <cellStyle name="Currency 4 5 3" xfId="2352" xr:uid="{00000000-0005-0000-0000-000066100000}"/>
    <cellStyle name="Currency 4 5 3 2" xfId="2353" xr:uid="{00000000-0005-0000-0000-000067100000}"/>
    <cellStyle name="Currency 4 5 3 2 2" xfId="2354" xr:uid="{00000000-0005-0000-0000-000068100000}"/>
    <cellStyle name="Currency 4 5 3 2 2 2" xfId="10727" xr:uid="{00000000-0005-0000-0000-000069100000}"/>
    <cellStyle name="Currency 4 5 3 2 3" xfId="10726" xr:uid="{00000000-0005-0000-0000-00006A100000}"/>
    <cellStyle name="Currency 4 5 3 3" xfId="2355" xr:uid="{00000000-0005-0000-0000-00006B100000}"/>
    <cellStyle name="Currency 4 5 3 3 2" xfId="2356" xr:uid="{00000000-0005-0000-0000-00006C100000}"/>
    <cellStyle name="Currency 4 5 3 3 2 2" xfId="10729" xr:uid="{00000000-0005-0000-0000-00006D100000}"/>
    <cellStyle name="Currency 4 5 3 3 3" xfId="10728" xr:uid="{00000000-0005-0000-0000-00006E100000}"/>
    <cellStyle name="Currency 4 5 3 4" xfId="2357" xr:uid="{00000000-0005-0000-0000-00006F100000}"/>
    <cellStyle name="Currency 4 5 3 4 2" xfId="10730" xr:uid="{00000000-0005-0000-0000-000070100000}"/>
    <cellStyle name="Currency 4 5 3 5" xfId="10725" xr:uid="{00000000-0005-0000-0000-000071100000}"/>
    <cellStyle name="Currency 4 5 4" xfId="2358" xr:uid="{00000000-0005-0000-0000-000072100000}"/>
    <cellStyle name="Currency 4 5 4 2" xfId="2359" xr:uid="{00000000-0005-0000-0000-000073100000}"/>
    <cellStyle name="Currency 4 5 4 2 2" xfId="10732" xr:uid="{00000000-0005-0000-0000-000074100000}"/>
    <cellStyle name="Currency 4 5 4 3" xfId="10731" xr:uid="{00000000-0005-0000-0000-000075100000}"/>
    <cellStyle name="Currency 4 5 5" xfId="2360" xr:uid="{00000000-0005-0000-0000-000076100000}"/>
    <cellStyle name="Currency 4 5 5 2" xfId="2361" xr:uid="{00000000-0005-0000-0000-000077100000}"/>
    <cellStyle name="Currency 4 5 5 2 2" xfId="10734" xr:uid="{00000000-0005-0000-0000-000078100000}"/>
    <cellStyle name="Currency 4 5 5 3" xfId="10733" xr:uid="{00000000-0005-0000-0000-000079100000}"/>
    <cellStyle name="Currency 4 5 6" xfId="2362" xr:uid="{00000000-0005-0000-0000-00007A100000}"/>
    <cellStyle name="Currency 4 5 6 2" xfId="10735" xr:uid="{00000000-0005-0000-0000-00007B100000}"/>
    <cellStyle name="Currency 4 6" xfId="2363" xr:uid="{00000000-0005-0000-0000-00007C100000}"/>
    <cellStyle name="Currency 4 6 2" xfId="2364" xr:uid="{00000000-0005-0000-0000-00007D100000}"/>
    <cellStyle name="Currency 4 6 2 2" xfId="2365" xr:uid="{00000000-0005-0000-0000-00007E100000}"/>
    <cellStyle name="Currency 4 6 2 2 2" xfId="2366" xr:uid="{00000000-0005-0000-0000-00007F100000}"/>
    <cellStyle name="Currency 4 6 2 2 2 2" xfId="10738" xr:uid="{00000000-0005-0000-0000-000080100000}"/>
    <cellStyle name="Currency 4 6 2 2 3" xfId="10737" xr:uid="{00000000-0005-0000-0000-000081100000}"/>
    <cellStyle name="Currency 4 6 2 3" xfId="2367" xr:uid="{00000000-0005-0000-0000-000082100000}"/>
    <cellStyle name="Currency 4 6 2 3 2" xfId="2368" xr:uid="{00000000-0005-0000-0000-000083100000}"/>
    <cellStyle name="Currency 4 6 2 3 2 2" xfId="10740" xr:uid="{00000000-0005-0000-0000-000084100000}"/>
    <cellStyle name="Currency 4 6 2 3 3" xfId="10739" xr:uid="{00000000-0005-0000-0000-000085100000}"/>
    <cellStyle name="Currency 4 6 2 4" xfId="2369" xr:uid="{00000000-0005-0000-0000-000086100000}"/>
    <cellStyle name="Currency 4 6 2 4 2" xfId="10741" xr:uid="{00000000-0005-0000-0000-000087100000}"/>
    <cellStyle name="Currency 4 6 2 5" xfId="10736" xr:uid="{00000000-0005-0000-0000-000088100000}"/>
    <cellStyle name="Currency 4 6 3" xfId="2370" xr:uid="{00000000-0005-0000-0000-000089100000}"/>
    <cellStyle name="Currency 4 6 3 2" xfId="2371" xr:uid="{00000000-0005-0000-0000-00008A100000}"/>
    <cellStyle name="Currency 4 6 3 2 2" xfId="10743" xr:uid="{00000000-0005-0000-0000-00008B100000}"/>
    <cellStyle name="Currency 4 6 3 3" xfId="10742" xr:uid="{00000000-0005-0000-0000-00008C100000}"/>
    <cellStyle name="Currency 4 6 4" xfId="2372" xr:uid="{00000000-0005-0000-0000-00008D100000}"/>
    <cellStyle name="Currency 4 6 4 2" xfId="2373" xr:uid="{00000000-0005-0000-0000-00008E100000}"/>
    <cellStyle name="Currency 4 6 4 2 2" xfId="10745" xr:uid="{00000000-0005-0000-0000-00008F100000}"/>
    <cellStyle name="Currency 4 6 4 3" xfId="10744" xr:uid="{00000000-0005-0000-0000-000090100000}"/>
    <cellStyle name="Currency 4 6 5" xfId="2374" xr:uid="{00000000-0005-0000-0000-000091100000}"/>
    <cellStyle name="Currency 4 6 5 2" xfId="10746" xr:uid="{00000000-0005-0000-0000-000092100000}"/>
    <cellStyle name="Currency 4 7" xfId="2375" xr:uid="{00000000-0005-0000-0000-000093100000}"/>
    <cellStyle name="Currency 4 7 2" xfId="2376" xr:uid="{00000000-0005-0000-0000-000094100000}"/>
    <cellStyle name="Currency 4 7 2 2" xfId="2377" xr:uid="{00000000-0005-0000-0000-000095100000}"/>
    <cellStyle name="Currency 4 7 2 2 2" xfId="10749" xr:uid="{00000000-0005-0000-0000-000096100000}"/>
    <cellStyle name="Currency 4 7 2 3" xfId="10748" xr:uid="{00000000-0005-0000-0000-000097100000}"/>
    <cellStyle name="Currency 4 7 3" xfId="2378" xr:uid="{00000000-0005-0000-0000-000098100000}"/>
    <cellStyle name="Currency 4 7 3 2" xfId="2379" xr:uid="{00000000-0005-0000-0000-000099100000}"/>
    <cellStyle name="Currency 4 7 3 2 2" xfId="10751" xr:uid="{00000000-0005-0000-0000-00009A100000}"/>
    <cellStyle name="Currency 4 7 3 3" xfId="10750" xr:uid="{00000000-0005-0000-0000-00009B100000}"/>
    <cellStyle name="Currency 4 7 4" xfId="2380" xr:uid="{00000000-0005-0000-0000-00009C100000}"/>
    <cellStyle name="Currency 4 7 4 2" xfId="10752" xr:uid="{00000000-0005-0000-0000-00009D100000}"/>
    <cellStyle name="Currency 4 7 5" xfId="10747" xr:uid="{00000000-0005-0000-0000-00009E100000}"/>
    <cellStyle name="Currency 4 8" xfId="2381" xr:uid="{00000000-0005-0000-0000-00009F100000}"/>
    <cellStyle name="Currency 4 8 2" xfId="2382" xr:uid="{00000000-0005-0000-0000-0000A0100000}"/>
    <cellStyle name="Currency 4 8 2 2" xfId="10753" xr:uid="{00000000-0005-0000-0000-0000A1100000}"/>
    <cellStyle name="Currency 4 9" xfId="2383" xr:uid="{00000000-0005-0000-0000-0000A2100000}"/>
    <cellStyle name="Currency 4 9 2" xfId="2384" xr:uid="{00000000-0005-0000-0000-0000A3100000}"/>
    <cellStyle name="Currency 4 9 2 2" xfId="10755" xr:uid="{00000000-0005-0000-0000-0000A4100000}"/>
    <cellStyle name="Currency 4 9 3" xfId="10754" xr:uid="{00000000-0005-0000-0000-0000A5100000}"/>
    <cellStyle name="Currency 5" xfId="2385" xr:uid="{00000000-0005-0000-0000-0000A6100000}"/>
    <cellStyle name="Currency 5 2" xfId="2386" xr:uid="{00000000-0005-0000-0000-0000A7100000}"/>
    <cellStyle name="Currency 5 2 2" xfId="2387" xr:uid="{00000000-0005-0000-0000-0000A8100000}"/>
    <cellStyle name="Currency 5 2 2 2" xfId="2388" xr:uid="{00000000-0005-0000-0000-0000A9100000}"/>
    <cellStyle name="Currency 5 2 2 2 2" xfId="2389" xr:uid="{00000000-0005-0000-0000-0000AA100000}"/>
    <cellStyle name="Currency 5 2 2 2 2 2" xfId="2390" xr:uid="{00000000-0005-0000-0000-0000AB100000}"/>
    <cellStyle name="Currency 5 2 2 2 2 2 2" xfId="2391" xr:uid="{00000000-0005-0000-0000-0000AC100000}"/>
    <cellStyle name="Currency 5 2 2 2 2 2 2 2" xfId="10761" xr:uid="{00000000-0005-0000-0000-0000AD100000}"/>
    <cellStyle name="Currency 5 2 2 2 2 2 3" xfId="10760" xr:uid="{00000000-0005-0000-0000-0000AE100000}"/>
    <cellStyle name="Currency 5 2 2 2 2 3" xfId="2392" xr:uid="{00000000-0005-0000-0000-0000AF100000}"/>
    <cellStyle name="Currency 5 2 2 2 2 3 2" xfId="2393" xr:uid="{00000000-0005-0000-0000-0000B0100000}"/>
    <cellStyle name="Currency 5 2 2 2 2 3 2 2" xfId="10763" xr:uid="{00000000-0005-0000-0000-0000B1100000}"/>
    <cellStyle name="Currency 5 2 2 2 2 3 3" xfId="10762" xr:uid="{00000000-0005-0000-0000-0000B2100000}"/>
    <cellStyle name="Currency 5 2 2 2 2 4" xfId="2394" xr:uid="{00000000-0005-0000-0000-0000B3100000}"/>
    <cellStyle name="Currency 5 2 2 2 2 4 2" xfId="10764" xr:uid="{00000000-0005-0000-0000-0000B4100000}"/>
    <cellStyle name="Currency 5 2 2 2 2 5" xfId="10759" xr:uid="{00000000-0005-0000-0000-0000B5100000}"/>
    <cellStyle name="Currency 5 2 2 2 3" xfId="2395" xr:uid="{00000000-0005-0000-0000-0000B6100000}"/>
    <cellStyle name="Currency 5 2 2 2 3 2" xfId="2396" xr:uid="{00000000-0005-0000-0000-0000B7100000}"/>
    <cellStyle name="Currency 5 2 2 2 3 2 2" xfId="10766" xr:uid="{00000000-0005-0000-0000-0000B8100000}"/>
    <cellStyle name="Currency 5 2 2 2 3 3" xfId="10765" xr:uid="{00000000-0005-0000-0000-0000B9100000}"/>
    <cellStyle name="Currency 5 2 2 2 4" xfId="2397" xr:uid="{00000000-0005-0000-0000-0000BA100000}"/>
    <cellStyle name="Currency 5 2 2 2 4 2" xfId="2398" xr:uid="{00000000-0005-0000-0000-0000BB100000}"/>
    <cellStyle name="Currency 5 2 2 2 4 2 2" xfId="10768" xr:uid="{00000000-0005-0000-0000-0000BC100000}"/>
    <cellStyle name="Currency 5 2 2 2 4 3" xfId="10767" xr:uid="{00000000-0005-0000-0000-0000BD100000}"/>
    <cellStyle name="Currency 5 2 2 2 5" xfId="2399" xr:uid="{00000000-0005-0000-0000-0000BE100000}"/>
    <cellStyle name="Currency 5 2 2 2 5 2" xfId="10769" xr:uid="{00000000-0005-0000-0000-0000BF100000}"/>
    <cellStyle name="Currency 5 2 2 2 6" xfId="10758" xr:uid="{00000000-0005-0000-0000-0000C0100000}"/>
    <cellStyle name="Currency 5 2 2 3" xfId="2400" xr:uid="{00000000-0005-0000-0000-0000C1100000}"/>
    <cellStyle name="Currency 5 2 2 3 2" xfId="2401" xr:uid="{00000000-0005-0000-0000-0000C2100000}"/>
    <cellStyle name="Currency 5 2 2 3 2 2" xfId="2402" xr:uid="{00000000-0005-0000-0000-0000C3100000}"/>
    <cellStyle name="Currency 5 2 2 3 2 2 2" xfId="10772" xr:uid="{00000000-0005-0000-0000-0000C4100000}"/>
    <cellStyle name="Currency 5 2 2 3 2 3" xfId="10771" xr:uid="{00000000-0005-0000-0000-0000C5100000}"/>
    <cellStyle name="Currency 5 2 2 3 3" xfId="2403" xr:uid="{00000000-0005-0000-0000-0000C6100000}"/>
    <cellStyle name="Currency 5 2 2 3 3 2" xfId="2404" xr:uid="{00000000-0005-0000-0000-0000C7100000}"/>
    <cellStyle name="Currency 5 2 2 3 3 2 2" xfId="10774" xr:uid="{00000000-0005-0000-0000-0000C8100000}"/>
    <cellStyle name="Currency 5 2 2 3 3 3" xfId="10773" xr:uid="{00000000-0005-0000-0000-0000C9100000}"/>
    <cellStyle name="Currency 5 2 2 3 4" xfId="2405" xr:uid="{00000000-0005-0000-0000-0000CA100000}"/>
    <cellStyle name="Currency 5 2 2 3 4 2" xfId="10775" xr:uid="{00000000-0005-0000-0000-0000CB100000}"/>
    <cellStyle name="Currency 5 2 2 3 5" xfId="10770" xr:uid="{00000000-0005-0000-0000-0000CC100000}"/>
    <cellStyle name="Currency 5 2 2 4" xfId="2406" xr:uid="{00000000-0005-0000-0000-0000CD100000}"/>
    <cellStyle name="Currency 5 2 2 4 2" xfId="2407" xr:uid="{00000000-0005-0000-0000-0000CE100000}"/>
    <cellStyle name="Currency 5 2 2 4 2 2" xfId="10777" xr:uid="{00000000-0005-0000-0000-0000CF100000}"/>
    <cellStyle name="Currency 5 2 2 4 3" xfId="10776" xr:uid="{00000000-0005-0000-0000-0000D0100000}"/>
    <cellStyle name="Currency 5 2 2 5" xfId="2408" xr:uid="{00000000-0005-0000-0000-0000D1100000}"/>
    <cellStyle name="Currency 5 2 2 5 2" xfId="2409" xr:uid="{00000000-0005-0000-0000-0000D2100000}"/>
    <cellStyle name="Currency 5 2 2 5 2 2" xfId="10779" xr:uid="{00000000-0005-0000-0000-0000D3100000}"/>
    <cellStyle name="Currency 5 2 2 5 3" xfId="10778" xr:uid="{00000000-0005-0000-0000-0000D4100000}"/>
    <cellStyle name="Currency 5 2 2 6" xfId="2410" xr:uid="{00000000-0005-0000-0000-0000D5100000}"/>
    <cellStyle name="Currency 5 2 2 6 2" xfId="10780" xr:uid="{00000000-0005-0000-0000-0000D6100000}"/>
    <cellStyle name="Currency 5 2 2 7" xfId="10757" xr:uid="{00000000-0005-0000-0000-0000D7100000}"/>
    <cellStyle name="Currency 5 2 3" xfId="2411" xr:uid="{00000000-0005-0000-0000-0000D8100000}"/>
    <cellStyle name="Currency 5 2 3 2" xfId="2412" xr:uid="{00000000-0005-0000-0000-0000D9100000}"/>
    <cellStyle name="Currency 5 2 3 2 2" xfId="2413" xr:uid="{00000000-0005-0000-0000-0000DA100000}"/>
    <cellStyle name="Currency 5 2 3 2 2 2" xfId="2414" xr:uid="{00000000-0005-0000-0000-0000DB100000}"/>
    <cellStyle name="Currency 5 2 3 2 2 2 2" xfId="10784" xr:uid="{00000000-0005-0000-0000-0000DC100000}"/>
    <cellStyle name="Currency 5 2 3 2 2 3" xfId="10783" xr:uid="{00000000-0005-0000-0000-0000DD100000}"/>
    <cellStyle name="Currency 5 2 3 2 3" xfId="2415" xr:uid="{00000000-0005-0000-0000-0000DE100000}"/>
    <cellStyle name="Currency 5 2 3 2 3 2" xfId="2416" xr:uid="{00000000-0005-0000-0000-0000DF100000}"/>
    <cellStyle name="Currency 5 2 3 2 3 2 2" xfId="10786" xr:uid="{00000000-0005-0000-0000-0000E0100000}"/>
    <cellStyle name="Currency 5 2 3 2 3 3" xfId="10785" xr:uid="{00000000-0005-0000-0000-0000E1100000}"/>
    <cellStyle name="Currency 5 2 3 2 4" xfId="2417" xr:uid="{00000000-0005-0000-0000-0000E2100000}"/>
    <cellStyle name="Currency 5 2 3 2 4 2" xfId="10787" xr:uid="{00000000-0005-0000-0000-0000E3100000}"/>
    <cellStyle name="Currency 5 2 3 2 5" xfId="10782" xr:uid="{00000000-0005-0000-0000-0000E4100000}"/>
    <cellStyle name="Currency 5 2 3 3" xfId="2418" xr:uid="{00000000-0005-0000-0000-0000E5100000}"/>
    <cellStyle name="Currency 5 2 3 3 2" xfId="2419" xr:uid="{00000000-0005-0000-0000-0000E6100000}"/>
    <cellStyle name="Currency 5 2 3 3 2 2" xfId="10789" xr:uid="{00000000-0005-0000-0000-0000E7100000}"/>
    <cellStyle name="Currency 5 2 3 3 3" xfId="10788" xr:uid="{00000000-0005-0000-0000-0000E8100000}"/>
    <cellStyle name="Currency 5 2 3 4" xfId="2420" xr:uid="{00000000-0005-0000-0000-0000E9100000}"/>
    <cellStyle name="Currency 5 2 3 4 2" xfId="2421" xr:uid="{00000000-0005-0000-0000-0000EA100000}"/>
    <cellStyle name="Currency 5 2 3 4 2 2" xfId="10791" xr:uid="{00000000-0005-0000-0000-0000EB100000}"/>
    <cellStyle name="Currency 5 2 3 4 3" xfId="10790" xr:uid="{00000000-0005-0000-0000-0000EC100000}"/>
    <cellStyle name="Currency 5 2 3 5" xfId="2422" xr:uid="{00000000-0005-0000-0000-0000ED100000}"/>
    <cellStyle name="Currency 5 2 3 5 2" xfId="10792" xr:uid="{00000000-0005-0000-0000-0000EE100000}"/>
    <cellStyle name="Currency 5 2 3 6" xfId="10781" xr:uid="{00000000-0005-0000-0000-0000EF100000}"/>
    <cellStyle name="Currency 5 2 4" xfId="2423" xr:uid="{00000000-0005-0000-0000-0000F0100000}"/>
    <cellStyle name="Currency 5 2 4 2" xfId="2424" xr:uid="{00000000-0005-0000-0000-0000F1100000}"/>
    <cellStyle name="Currency 5 2 4 2 2" xfId="2425" xr:uid="{00000000-0005-0000-0000-0000F2100000}"/>
    <cellStyle name="Currency 5 2 4 2 2 2" xfId="10795" xr:uid="{00000000-0005-0000-0000-0000F3100000}"/>
    <cellStyle name="Currency 5 2 4 2 3" xfId="10794" xr:uid="{00000000-0005-0000-0000-0000F4100000}"/>
    <cellStyle name="Currency 5 2 4 3" xfId="2426" xr:uid="{00000000-0005-0000-0000-0000F5100000}"/>
    <cellStyle name="Currency 5 2 4 3 2" xfId="2427" xr:uid="{00000000-0005-0000-0000-0000F6100000}"/>
    <cellStyle name="Currency 5 2 4 3 2 2" xfId="10797" xr:uid="{00000000-0005-0000-0000-0000F7100000}"/>
    <cellStyle name="Currency 5 2 4 3 3" xfId="10796" xr:uid="{00000000-0005-0000-0000-0000F8100000}"/>
    <cellStyle name="Currency 5 2 4 4" xfId="2428" xr:uid="{00000000-0005-0000-0000-0000F9100000}"/>
    <cellStyle name="Currency 5 2 4 4 2" xfId="10798" xr:uid="{00000000-0005-0000-0000-0000FA100000}"/>
    <cellStyle name="Currency 5 2 4 5" xfId="10793" xr:uid="{00000000-0005-0000-0000-0000FB100000}"/>
    <cellStyle name="Currency 5 2 5" xfId="2429" xr:uid="{00000000-0005-0000-0000-0000FC100000}"/>
    <cellStyle name="Currency 5 2 5 2" xfId="2430" xr:uid="{00000000-0005-0000-0000-0000FD100000}"/>
    <cellStyle name="Currency 5 2 5 2 2" xfId="10800" xr:uid="{00000000-0005-0000-0000-0000FE100000}"/>
    <cellStyle name="Currency 5 2 5 3" xfId="10799" xr:uid="{00000000-0005-0000-0000-0000FF100000}"/>
    <cellStyle name="Currency 5 2 6" xfId="2431" xr:uid="{00000000-0005-0000-0000-000000110000}"/>
    <cellStyle name="Currency 5 2 6 2" xfId="2432" xr:uid="{00000000-0005-0000-0000-000001110000}"/>
    <cellStyle name="Currency 5 2 6 2 2" xfId="10802" xr:uid="{00000000-0005-0000-0000-000002110000}"/>
    <cellStyle name="Currency 5 2 6 3" xfId="10801" xr:uid="{00000000-0005-0000-0000-000003110000}"/>
    <cellStyle name="Currency 5 2 7" xfId="2433" xr:uid="{00000000-0005-0000-0000-000004110000}"/>
    <cellStyle name="Currency 5 2 7 2" xfId="10803" xr:uid="{00000000-0005-0000-0000-000005110000}"/>
    <cellStyle name="Currency 5 2 8" xfId="10756" xr:uid="{00000000-0005-0000-0000-000006110000}"/>
    <cellStyle name="Currency 5 3" xfId="2434" xr:uid="{00000000-0005-0000-0000-000007110000}"/>
    <cellStyle name="Currency 5 3 2" xfId="2435" xr:uid="{00000000-0005-0000-0000-000008110000}"/>
    <cellStyle name="Currency 5 3 2 2" xfId="2436" xr:uid="{00000000-0005-0000-0000-000009110000}"/>
    <cellStyle name="Currency 5 3 2 2 2" xfId="2437" xr:uid="{00000000-0005-0000-0000-00000A110000}"/>
    <cellStyle name="Currency 5 3 2 2 2 2" xfId="2438" xr:uid="{00000000-0005-0000-0000-00000B110000}"/>
    <cellStyle name="Currency 5 3 2 2 2 2 2" xfId="2439" xr:uid="{00000000-0005-0000-0000-00000C110000}"/>
    <cellStyle name="Currency 5 3 2 2 2 2 2 2" xfId="10808" xr:uid="{00000000-0005-0000-0000-00000D110000}"/>
    <cellStyle name="Currency 5 3 2 2 2 2 3" xfId="10807" xr:uid="{00000000-0005-0000-0000-00000E110000}"/>
    <cellStyle name="Currency 5 3 2 2 2 3" xfId="2440" xr:uid="{00000000-0005-0000-0000-00000F110000}"/>
    <cellStyle name="Currency 5 3 2 2 2 3 2" xfId="2441" xr:uid="{00000000-0005-0000-0000-000010110000}"/>
    <cellStyle name="Currency 5 3 2 2 2 3 2 2" xfId="10810" xr:uid="{00000000-0005-0000-0000-000011110000}"/>
    <cellStyle name="Currency 5 3 2 2 2 3 3" xfId="10809" xr:uid="{00000000-0005-0000-0000-000012110000}"/>
    <cellStyle name="Currency 5 3 2 2 2 4" xfId="2442" xr:uid="{00000000-0005-0000-0000-000013110000}"/>
    <cellStyle name="Currency 5 3 2 2 2 4 2" xfId="10811" xr:uid="{00000000-0005-0000-0000-000014110000}"/>
    <cellStyle name="Currency 5 3 2 2 2 5" xfId="10806" xr:uid="{00000000-0005-0000-0000-000015110000}"/>
    <cellStyle name="Currency 5 3 2 2 3" xfId="2443" xr:uid="{00000000-0005-0000-0000-000016110000}"/>
    <cellStyle name="Currency 5 3 2 2 3 2" xfId="2444" xr:uid="{00000000-0005-0000-0000-000017110000}"/>
    <cellStyle name="Currency 5 3 2 2 3 2 2" xfId="10813" xr:uid="{00000000-0005-0000-0000-000018110000}"/>
    <cellStyle name="Currency 5 3 2 2 3 3" xfId="10812" xr:uid="{00000000-0005-0000-0000-000019110000}"/>
    <cellStyle name="Currency 5 3 2 2 4" xfId="2445" xr:uid="{00000000-0005-0000-0000-00001A110000}"/>
    <cellStyle name="Currency 5 3 2 2 4 2" xfId="2446" xr:uid="{00000000-0005-0000-0000-00001B110000}"/>
    <cellStyle name="Currency 5 3 2 2 4 2 2" xfId="10815" xr:uid="{00000000-0005-0000-0000-00001C110000}"/>
    <cellStyle name="Currency 5 3 2 2 4 3" xfId="10814" xr:uid="{00000000-0005-0000-0000-00001D110000}"/>
    <cellStyle name="Currency 5 3 2 2 5" xfId="2447" xr:uid="{00000000-0005-0000-0000-00001E110000}"/>
    <cellStyle name="Currency 5 3 2 2 5 2" xfId="10816" xr:uid="{00000000-0005-0000-0000-00001F110000}"/>
    <cellStyle name="Currency 5 3 2 2 6" xfId="10805" xr:uid="{00000000-0005-0000-0000-000020110000}"/>
    <cellStyle name="Currency 5 3 2 3" xfId="2448" xr:uid="{00000000-0005-0000-0000-000021110000}"/>
    <cellStyle name="Currency 5 3 2 3 2" xfId="2449" xr:uid="{00000000-0005-0000-0000-000022110000}"/>
    <cellStyle name="Currency 5 3 2 3 2 2" xfId="2450" xr:uid="{00000000-0005-0000-0000-000023110000}"/>
    <cellStyle name="Currency 5 3 2 3 2 2 2" xfId="10819" xr:uid="{00000000-0005-0000-0000-000024110000}"/>
    <cellStyle name="Currency 5 3 2 3 2 3" xfId="10818" xr:uid="{00000000-0005-0000-0000-000025110000}"/>
    <cellStyle name="Currency 5 3 2 3 3" xfId="2451" xr:uid="{00000000-0005-0000-0000-000026110000}"/>
    <cellStyle name="Currency 5 3 2 3 3 2" xfId="2452" xr:uid="{00000000-0005-0000-0000-000027110000}"/>
    <cellStyle name="Currency 5 3 2 3 3 2 2" xfId="10821" xr:uid="{00000000-0005-0000-0000-000028110000}"/>
    <cellStyle name="Currency 5 3 2 3 3 3" xfId="10820" xr:uid="{00000000-0005-0000-0000-000029110000}"/>
    <cellStyle name="Currency 5 3 2 3 4" xfId="2453" xr:uid="{00000000-0005-0000-0000-00002A110000}"/>
    <cellStyle name="Currency 5 3 2 3 4 2" xfId="10822" xr:uid="{00000000-0005-0000-0000-00002B110000}"/>
    <cellStyle name="Currency 5 3 2 3 5" xfId="10817" xr:uid="{00000000-0005-0000-0000-00002C110000}"/>
    <cellStyle name="Currency 5 3 2 4" xfId="2454" xr:uid="{00000000-0005-0000-0000-00002D110000}"/>
    <cellStyle name="Currency 5 3 2 4 2" xfId="2455" xr:uid="{00000000-0005-0000-0000-00002E110000}"/>
    <cellStyle name="Currency 5 3 2 4 2 2" xfId="10824" xr:uid="{00000000-0005-0000-0000-00002F110000}"/>
    <cellStyle name="Currency 5 3 2 4 3" xfId="10823" xr:uid="{00000000-0005-0000-0000-000030110000}"/>
    <cellStyle name="Currency 5 3 2 5" xfId="2456" xr:uid="{00000000-0005-0000-0000-000031110000}"/>
    <cellStyle name="Currency 5 3 2 5 2" xfId="2457" xr:uid="{00000000-0005-0000-0000-000032110000}"/>
    <cellStyle name="Currency 5 3 2 5 2 2" xfId="10826" xr:uid="{00000000-0005-0000-0000-000033110000}"/>
    <cellStyle name="Currency 5 3 2 5 3" xfId="10825" xr:uid="{00000000-0005-0000-0000-000034110000}"/>
    <cellStyle name="Currency 5 3 2 6" xfId="2458" xr:uid="{00000000-0005-0000-0000-000035110000}"/>
    <cellStyle name="Currency 5 3 2 6 2" xfId="10827" xr:uid="{00000000-0005-0000-0000-000036110000}"/>
    <cellStyle name="Currency 5 3 2 7" xfId="10804" xr:uid="{00000000-0005-0000-0000-000037110000}"/>
    <cellStyle name="Currency 5 3 3" xfId="2459" xr:uid="{00000000-0005-0000-0000-000038110000}"/>
    <cellStyle name="Currency 5 3 3 2" xfId="2460" xr:uid="{00000000-0005-0000-0000-000039110000}"/>
    <cellStyle name="Currency 5 3 3 2 2" xfId="2461" xr:uid="{00000000-0005-0000-0000-00003A110000}"/>
    <cellStyle name="Currency 5 3 3 2 2 2" xfId="2462" xr:uid="{00000000-0005-0000-0000-00003B110000}"/>
    <cellStyle name="Currency 5 3 3 2 2 2 2" xfId="10830" xr:uid="{00000000-0005-0000-0000-00003C110000}"/>
    <cellStyle name="Currency 5 3 3 2 2 3" xfId="10829" xr:uid="{00000000-0005-0000-0000-00003D110000}"/>
    <cellStyle name="Currency 5 3 3 2 3" xfId="2463" xr:uid="{00000000-0005-0000-0000-00003E110000}"/>
    <cellStyle name="Currency 5 3 3 2 3 2" xfId="2464" xr:uid="{00000000-0005-0000-0000-00003F110000}"/>
    <cellStyle name="Currency 5 3 3 2 3 2 2" xfId="10832" xr:uid="{00000000-0005-0000-0000-000040110000}"/>
    <cellStyle name="Currency 5 3 3 2 3 3" xfId="10831" xr:uid="{00000000-0005-0000-0000-000041110000}"/>
    <cellStyle name="Currency 5 3 3 2 4" xfId="2465" xr:uid="{00000000-0005-0000-0000-000042110000}"/>
    <cellStyle name="Currency 5 3 3 2 4 2" xfId="10833" xr:uid="{00000000-0005-0000-0000-000043110000}"/>
    <cellStyle name="Currency 5 3 3 2 5" xfId="10828" xr:uid="{00000000-0005-0000-0000-000044110000}"/>
    <cellStyle name="Currency 5 3 3 3" xfId="2466" xr:uid="{00000000-0005-0000-0000-000045110000}"/>
    <cellStyle name="Currency 5 3 3 3 2" xfId="2467" xr:uid="{00000000-0005-0000-0000-000046110000}"/>
    <cellStyle name="Currency 5 3 3 3 2 2" xfId="10835" xr:uid="{00000000-0005-0000-0000-000047110000}"/>
    <cellStyle name="Currency 5 3 3 3 3" xfId="10834" xr:uid="{00000000-0005-0000-0000-000048110000}"/>
    <cellStyle name="Currency 5 3 3 4" xfId="2468" xr:uid="{00000000-0005-0000-0000-000049110000}"/>
    <cellStyle name="Currency 5 3 3 4 2" xfId="2469" xr:uid="{00000000-0005-0000-0000-00004A110000}"/>
    <cellStyle name="Currency 5 3 3 4 2 2" xfId="10837" xr:uid="{00000000-0005-0000-0000-00004B110000}"/>
    <cellStyle name="Currency 5 3 3 4 3" xfId="10836" xr:uid="{00000000-0005-0000-0000-00004C110000}"/>
    <cellStyle name="Currency 5 3 3 5" xfId="2470" xr:uid="{00000000-0005-0000-0000-00004D110000}"/>
    <cellStyle name="Currency 5 3 3 5 2" xfId="10838" xr:uid="{00000000-0005-0000-0000-00004E110000}"/>
    <cellStyle name="Currency 5 3 4" xfId="2471" xr:uid="{00000000-0005-0000-0000-00004F110000}"/>
    <cellStyle name="Currency 5 3 4 2" xfId="2472" xr:uid="{00000000-0005-0000-0000-000050110000}"/>
    <cellStyle name="Currency 5 3 4 2 2" xfId="2473" xr:uid="{00000000-0005-0000-0000-000051110000}"/>
    <cellStyle name="Currency 5 3 4 2 2 2" xfId="10841" xr:uid="{00000000-0005-0000-0000-000052110000}"/>
    <cellStyle name="Currency 5 3 4 2 3" xfId="10840" xr:uid="{00000000-0005-0000-0000-000053110000}"/>
    <cellStyle name="Currency 5 3 4 3" xfId="2474" xr:uid="{00000000-0005-0000-0000-000054110000}"/>
    <cellStyle name="Currency 5 3 4 3 2" xfId="2475" xr:uid="{00000000-0005-0000-0000-000055110000}"/>
    <cellStyle name="Currency 5 3 4 3 2 2" xfId="10843" xr:uid="{00000000-0005-0000-0000-000056110000}"/>
    <cellStyle name="Currency 5 3 4 3 3" xfId="10842" xr:uid="{00000000-0005-0000-0000-000057110000}"/>
    <cellStyle name="Currency 5 3 4 4" xfId="2476" xr:uid="{00000000-0005-0000-0000-000058110000}"/>
    <cellStyle name="Currency 5 3 4 4 2" xfId="10844" xr:uid="{00000000-0005-0000-0000-000059110000}"/>
    <cellStyle name="Currency 5 3 4 5" xfId="10839" xr:uid="{00000000-0005-0000-0000-00005A110000}"/>
    <cellStyle name="Currency 5 3 5" xfId="2477" xr:uid="{00000000-0005-0000-0000-00005B110000}"/>
    <cellStyle name="Currency 5 3 5 2" xfId="2478" xr:uid="{00000000-0005-0000-0000-00005C110000}"/>
    <cellStyle name="Currency 5 3 5 2 2" xfId="10846" xr:uid="{00000000-0005-0000-0000-00005D110000}"/>
    <cellStyle name="Currency 5 3 5 3" xfId="10845" xr:uid="{00000000-0005-0000-0000-00005E110000}"/>
    <cellStyle name="Currency 5 3 6" xfId="2479" xr:uid="{00000000-0005-0000-0000-00005F110000}"/>
    <cellStyle name="Currency 5 3 6 2" xfId="2480" xr:uid="{00000000-0005-0000-0000-000060110000}"/>
    <cellStyle name="Currency 5 3 6 2 2" xfId="10848" xr:uid="{00000000-0005-0000-0000-000061110000}"/>
    <cellStyle name="Currency 5 3 6 3" xfId="10847" xr:uid="{00000000-0005-0000-0000-000062110000}"/>
    <cellStyle name="Currency 5 3 7" xfId="2481" xr:uid="{00000000-0005-0000-0000-000063110000}"/>
    <cellStyle name="Currency 5 3 7 2" xfId="10849" xr:uid="{00000000-0005-0000-0000-000064110000}"/>
    <cellStyle name="Currency 5 4" xfId="2482" xr:uid="{00000000-0005-0000-0000-000065110000}"/>
    <cellStyle name="Currency 5 4 2" xfId="2483" xr:uid="{00000000-0005-0000-0000-000066110000}"/>
    <cellStyle name="Currency 5 4 2 2" xfId="2484" xr:uid="{00000000-0005-0000-0000-000067110000}"/>
    <cellStyle name="Currency 5 4 2 2 2" xfId="2485" xr:uid="{00000000-0005-0000-0000-000068110000}"/>
    <cellStyle name="Currency 5 4 2 2 2 2" xfId="2486" xr:uid="{00000000-0005-0000-0000-000069110000}"/>
    <cellStyle name="Currency 5 4 2 2 2 2 2" xfId="10854" xr:uid="{00000000-0005-0000-0000-00006A110000}"/>
    <cellStyle name="Currency 5 4 2 2 2 3" xfId="10853" xr:uid="{00000000-0005-0000-0000-00006B110000}"/>
    <cellStyle name="Currency 5 4 2 2 3" xfId="2487" xr:uid="{00000000-0005-0000-0000-00006C110000}"/>
    <cellStyle name="Currency 5 4 2 2 3 2" xfId="2488" xr:uid="{00000000-0005-0000-0000-00006D110000}"/>
    <cellStyle name="Currency 5 4 2 2 3 2 2" xfId="10856" xr:uid="{00000000-0005-0000-0000-00006E110000}"/>
    <cellStyle name="Currency 5 4 2 2 3 3" xfId="10855" xr:uid="{00000000-0005-0000-0000-00006F110000}"/>
    <cellStyle name="Currency 5 4 2 2 4" xfId="2489" xr:uid="{00000000-0005-0000-0000-000070110000}"/>
    <cellStyle name="Currency 5 4 2 2 4 2" xfId="10857" xr:uid="{00000000-0005-0000-0000-000071110000}"/>
    <cellStyle name="Currency 5 4 2 2 5" xfId="10852" xr:uid="{00000000-0005-0000-0000-000072110000}"/>
    <cellStyle name="Currency 5 4 2 3" xfId="2490" xr:uid="{00000000-0005-0000-0000-000073110000}"/>
    <cellStyle name="Currency 5 4 2 3 2" xfId="2491" xr:uid="{00000000-0005-0000-0000-000074110000}"/>
    <cellStyle name="Currency 5 4 2 3 2 2" xfId="10859" xr:uid="{00000000-0005-0000-0000-000075110000}"/>
    <cellStyle name="Currency 5 4 2 3 3" xfId="10858" xr:uid="{00000000-0005-0000-0000-000076110000}"/>
    <cellStyle name="Currency 5 4 2 4" xfId="2492" xr:uid="{00000000-0005-0000-0000-000077110000}"/>
    <cellStyle name="Currency 5 4 2 4 2" xfId="2493" xr:uid="{00000000-0005-0000-0000-000078110000}"/>
    <cellStyle name="Currency 5 4 2 4 2 2" xfId="10861" xr:uid="{00000000-0005-0000-0000-000079110000}"/>
    <cellStyle name="Currency 5 4 2 4 3" xfId="10860" xr:uid="{00000000-0005-0000-0000-00007A110000}"/>
    <cellStyle name="Currency 5 4 2 5" xfId="2494" xr:uid="{00000000-0005-0000-0000-00007B110000}"/>
    <cellStyle name="Currency 5 4 2 5 2" xfId="10862" xr:uid="{00000000-0005-0000-0000-00007C110000}"/>
    <cellStyle name="Currency 5 4 2 6" xfId="10851" xr:uid="{00000000-0005-0000-0000-00007D110000}"/>
    <cellStyle name="Currency 5 4 3" xfId="2495" xr:uid="{00000000-0005-0000-0000-00007E110000}"/>
    <cellStyle name="Currency 5 4 3 2" xfId="2496" xr:uid="{00000000-0005-0000-0000-00007F110000}"/>
    <cellStyle name="Currency 5 4 3 2 2" xfId="2497" xr:uid="{00000000-0005-0000-0000-000080110000}"/>
    <cellStyle name="Currency 5 4 3 2 2 2" xfId="10865" xr:uid="{00000000-0005-0000-0000-000081110000}"/>
    <cellStyle name="Currency 5 4 3 2 3" xfId="10864" xr:uid="{00000000-0005-0000-0000-000082110000}"/>
    <cellStyle name="Currency 5 4 3 3" xfId="2498" xr:uid="{00000000-0005-0000-0000-000083110000}"/>
    <cellStyle name="Currency 5 4 3 3 2" xfId="2499" xr:uid="{00000000-0005-0000-0000-000084110000}"/>
    <cellStyle name="Currency 5 4 3 3 2 2" xfId="10867" xr:uid="{00000000-0005-0000-0000-000085110000}"/>
    <cellStyle name="Currency 5 4 3 3 3" xfId="10866" xr:uid="{00000000-0005-0000-0000-000086110000}"/>
    <cellStyle name="Currency 5 4 3 4" xfId="2500" xr:uid="{00000000-0005-0000-0000-000087110000}"/>
    <cellStyle name="Currency 5 4 3 4 2" xfId="10868" xr:uid="{00000000-0005-0000-0000-000088110000}"/>
    <cellStyle name="Currency 5 4 3 5" xfId="10863" xr:uid="{00000000-0005-0000-0000-000089110000}"/>
    <cellStyle name="Currency 5 4 4" xfId="2501" xr:uid="{00000000-0005-0000-0000-00008A110000}"/>
    <cellStyle name="Currency 5 4 4 2" xfId="2502" xr:uid="{00000000-0005-0000-0000-00008B110000}"/>
    <cellStyle name="Currency 5 4 4 2 2" xfId="10870" xr:uid="{00000000-0005-0000-0000-00008C110000}"/>
    <cellStyle name="Currency 5 4 4 3" xfId="10869" xr:uid="{00000000-0005-0000-0000-00008D110000}"/>
    <cellStyle name="Currency 5 4 5" xfId="2503" xr:uid="{00000000-0005-0000-0000-00008E110000}"/>
    <cellStyle name="Currency 5 4 5 2" xfId="2504" xr:uid="{00000000-0005-0000-0000-00008F110000}"/>
    <cellStyle name="Currency 5 4 5 2 2" xfId="10872" xr:uid="{00000000-0005-0000-0000-000090110000}"/>
    <cellStyle name="Currency 5 4 5 3" xfId="10871" xr:uid="{00000000-0005-0000-0000-000091110000}"/>
    <cellStyle name="Currency 5 4 6" xfId="2505" xr:uid="{00000000-0005-0000-0000-000092110000}"/>
    <cellStyle name="Currency 5 4 6 2" xfId="10873" xr:uid="{00000000-0005-0000-0000-000093110000}"/>
    <cellStyle name="Currency 5 4 7" xfId="10850" xr:uid="{00000000-0005-0000-0000-000094110000}"/>
    <cellStyle name="Currency 5 5" xfId="2506" xr:uid="{00000000-0005-0000-0000-000095110000}"/>
    <cellStyle name="Currency 5 5 2" xfId="2507" xr:uid="{00000000-0005-0000-0000-000096110000}"/>
    <cellStyle name="Currency 5 5 2 2" xfId="2508" xr:uid="{00000000-0005-0000-0000-000097110000}"/>
    <cellStyle name="Currency 5 5 2 2 2" xfId="2509" xr:uid="{00000000-0005-0000-0000-000098110000}"/>
    <cellStyle name="Currency 5 5 2 2 2 2" xfId="10876" xr:uid="{00000000-0005-0000-0000-000099110000}"/>
    <cellStyle name="Currency 5 5 2 2 3" xfId="10875" xr:uid="{00000000-0005-0000-0000-00009A110000}"/>
    <cellStyle name="Currency 5 5 2 3" xfId="2510" xr:uid="{00000000-0005-0000-0000-00009B110000}"/>
    <cellStyle name="Currency 5 5 2 3 2" xfId="2511" xr:uid="{00000000-0005-0000-0000-00009C110000}"/>
    <cellStyle name="Currency 5 5 2 3 2 2" xfId="10878" xr:uid="{00000000-0005-0000-0000-00009D110000}"/>
    <cellStyle name="Currency 5 5 2 3 3" xfId="10877" xr:uid="{00000000-0005-0000-0000-00009E110000}"/>
    <cellStyle name="Currency 5 5 2 4" xfId="2512" xr:uid="{00000000-0005-0000-0000-00009F110000}"/>
    <cellStyle name="Currency 5 5 2 4 2" xfId="10879" xr:uid="{00000000-0005-0000-0000-0000A0110000}"/>
    <cellStyle name="Currency 5 5 2 5" xfId="10874" xr:uid="{00000000-0005-0000-0000-0000A1110000}"/>
    <cellStyle name="Currency 5 5 3" xfId="2513" xr:uid="{00000000-0005-0000-0000-0000A2110000}"/>
    <cellStyle name="Currency 5 5 3 2" xfId="2514" xr:uid="{00000000-0005-0000-0000-0000A3110000}"/>
    <cellStyle name="Currency 5 5 3 2 2" xfId="10881" xr:uid="{00000000-0005-0000-0000-0000A4110000}"/>
    <cellStyle name="Currency 5 5 3 3" xfId="10880" xr:uid="{00000000-0005-0000-0000-0000A5110000}"/>
    <cellStyle name="Currency 5 5 4" xfId="2515" xr:uid="{00000000-0005-0000-0000-0000A6110000}"/>
    <cellStyle name="Currency 5 5 4 2" xfId="2516" xr:uid="{00000000-0005-0000-0000-0000A7110000}"/>
    <cellStyle name="Currency 5 5 4 2 2" xfId="10883" xr:uid="{00000000-0005-0000-0000-0000A8110000}"/>
    <cellStyle name="Currency 5 5 4 3" xfId="10882" xr:uid="{00000000-0005-0000-0000-0000A9110000}"/>
    <cellStyle name="Currency 5 5 5" xfId="2517" xr:uid="{00000000-0005-0000-0000-0000AA110000}"/>
    <cellStyle name="Currency 5 5 5 2" xfId="10884" xr:uid="{00000000-0005-0000-0000-0000AB110000}"/>
    <cellStyle name="Currency 5 6" xfId="2518" xr:uid="{00000000-0005-0000-0000-0000AC110000}"/>
    <cellStyle name="Currency 5 6 2" xfId="2519" xr:uid="{00000000-0005-0000-0000-0000AD110000}"/>
    <cellStyle name="Currency 5 6 2 2" xfId="2520" xr:uid="{00000000-0005-0000-0000-0000AE110000}"/>
    <cellStyle name="Currency 5 6 2 2 2" xfId="10887" xr:uid="{00000000-0005-0000-0000-0000AF110000}"/>
    <cellStyle name="Currency 5 6 2 3" xfId="10886" xr:uid="{00000000-0005-0000-0000-0000B0110000}"/>
    <cellStyle name="Currency 5 6 3" xfId="2521" xr:uid="{00000000-0005-0000-0000-0000B1110000}"/>
    <cellStyle name="Currency 5 6 3 2" xfId="2522" xr:uid="{00000000-0005-0000-0000-0000B2110000}"/>
    <cellStyle name="Currency 5 6 3 2 2" xfId="10889" xr:uid="{00000000-0005-0000-0000-0000B3110000}"/>
    <cellStyle name="Currency 5 6 3 3" xfId="10888" xr:uid="{00000000-0005-0000-0000-0000B4110000}"/>
    <cellStyle name="Currency 5 6 4" xfId="2523" xr:uid="{00000000-0005-0000-0000-0000B5110000}"/>
    <cellStyle name="Currency 5 6 4 2" xfId="10890" xr:uid="{00000000-0005-0000-0000-0000B6110000}"/>
    <cellStyle name="Currency 5 6 5" xfId="10885" xr:uid="{00000000-0005-0000-0000-0000B7110000}"/>
    <cellStyle name="Currency 5 7" xfId="2524" xr:uid="{00000000-0005-0000-0000-0000B8110000}"/>
    <cellStyle name="Currency 5 7 2" xfId="2525" xr:uid="{00000000-0005-0000-0000-0000B9110000}"/>
    <cellStyle name="Currency 5 7 2 2" xfId="10892" xr:uid="{00000000-0005-0000-0000-0000BA110000}"/>
    <cellStyle name="Currency 5 7 3" xfId="10891" xr:uid="{00000000-0005-0000-0000-0000BB110000}"/>
    <cellStyle name="Currency 5 8" xfId="2526" xr:uid="{00000000-0005-0000-0000-0000BC110000}"/>
    <cellStyle name="Currency 5 8 2" xfId="2527" xr:uid="{00000000-0005-0000-0000-0000BD110000}"/>
    <cellStyle name="Currency 5 8 2 2" xfId="10894" xr:uid="{00000000-0005-0000-0000-0000BE110000}"/>
    <cellStyle name="Currency 5 8 3" xfId="10893" xr:uid="{00000000-0005-0000-0000-0000BF110000}"/>
    <cellStyle name="Currency 5 9" xfId="2528" xr:uid="{00000000-0005-0000-0000-0000C0110000}"/>
    <cellStyle name="Currency 5 9 2" xfId="10895" xr:uid="{00000000-0005-0000-0000-0000C1110000}"/>
    <cellStyle name="Currency 6" xfId="2529" xr:uid="{00000000-0005-0000-0000-0000C2110000}"/>
    <cellStyle name="Currency 6 2" xfId="2530" xr:uid="{00000000-0005-0000-0000-0000C3110000}"/>
    <cellStyle name="Currency 6 3" xfId="2531" xr:uid="{00000000-0005-0000-0000-0000C4110000}"/>
    <cellStyle name="Currency 6 4" xfId="2532" xr:uid="{00000000-0005-0000-0000-0000C5110000}"/>
    <cellStyle name="Currency 7" xfId="2533" xr:uid="{00000000-0005-0000-0000-0000C6110000}"/>
    <cellStyle name="Currency 7 2" xfId="2534" xr:uid="{00000000-0005-0000-0000-0000C7110000}"/>
    <cellStyle name="Currency 8" xfId="2535" xr:uid="{00000000-0005-0000-0000-0000C8110000}"/>
    <cellStyle name="Currency 8 2" xfId="2536" xr:uid="{00000000-0005-0000-0000-0000C9110000}"/>
    <cellStyle name="Currency 8 2 2" xfId="2537" xr:uid="{00000000-0005-0000-0000-0000CA110000}"/>
    <cellStyle name="Currency 8 2 2 2" xfId="2538" xr:uid="{00000000-0005-0000-0000-0000CB110000}"/>
    <cellStyle name="Currency 8 2 2 2 2" xfId="2539" xr:uid="{00000000-0005-0000-0000-0000CC110000}"/>
    <cellStyle name="Currency 8 2 2 2 2 2" xfId="2540" xr:uid="{00000000-0005-0000-0000-0000CD110000}"/>
    <cellStyle name="Currency 8 2 2 2 2 2 2" xfId="2541" xr:uid="{00000000-0005-0000-0000-0000CE110000}"/>
    <cellStyle name="Currency 8 2 2 2 2 2 2 2" xfId="10900" xr:uid="{00000000-0005-0000-0000-0000CF110000}"/>
    <cellStyle name="Currency 8 2 2 2 2 2 3" xfId="10899" xr:uid="{00000000-0005-0000-0000-0000D0110000}"/>
    <cellStyle name="Currency 8 2 2 2 2 3" xfId="2542" xr:uid="{00000000-0005-0000-0000-0000D1110000}"/>
    <cellStyle name="Currency 8 2 2 2 2 3 2" xfId="2543" xr:uid="{00000000-0005-0000-0000-0000D2110000}"/>
    <cellStyle name="Currency 8 2 2 2 2 3 2 2" xfId="10902" xr:uid="{00000000-0005-0000-0000-0000D3110000}"/>
    <cellStyle name="Currency 8 2 2 2 2 3 3" xfId="10901" xr:uid="{00000000-0005-0000-0000-0000D4110000}"/>
    <cellStyle name="Currency 8 2 2 2 2 4" xfId="2544" xr:uid="{00000000-0005-0000-0000-0000D5110000}"/>
    <cellStyle name="Currency 8 2 2 2 2 4 2" xfId="10903" xr:uid="{00000000-0005-0000-0000-0000D6110000}"/>
    <cellStyle name="Currency 8 2 2 2 2 5" xfId="10898" xr:uid="{00000000-0005-0000-0000-0000D7110000}"/>
    <cellStyle name="Currency 8 2 2 2 3" xfId="2545" xr:uid="{00000000-0005-0000-0000-0000D8110000}"/>
    <cellStyle name="Currency 8 2 2 2 3 2" xfId="2546" xr:uid="{00000000-0005-0000-0000-0000D9110000}"/>
    <cellStyle name="Currency 8 2 2 2 3 2 2" xfId="10905" xr:uid="{00000000-0005-0000-0000-0000DA110000}"/>
    <cellStyle name="Currency 8 2 2 2 3 3" xfId="10904" xr:uid="{00000000-0005-0000-0000-0000DB110000}"/>
    <cellStyle name="Currency 8 2 2 2 4" xfId="2547" xr:uid="{00000000-0005-0000-0000-0000DC110000}"/>
    <cellStyle name="Currency 8 2 2 2 4 2" xfId="2548" xr:uid="{00000000-0005-0000-0000-0000DD110000}"/>
    <cellStyle name="Currency 8 2 2 2 4 2 2" xfId="10907" xr:uid="{00000000-0005-0000-0000-0000DE110000}"/>
    <cellStyle name="Currency 8 2 2 2 4 3" xfId="10906" xr:uid="{00000000-0005-0000-0000-0000DF110000}"/>
    <cellStyle name="Currency 8 2 2 2 5" xfId="2549" xr:uid="{00000000-0005-0000-0000-0000E0110000}"/>
    <cellStyle name="Currency 8 2 2 2 5 2" xfId="10908" xr:uid="{00000000-0005-0000-0000-0000E1110000}"/>
    <cellStyle name="Currency 8 2 2 2 6" xfId="10897" xr:uid="{00000000-0005-0000-0000-0000E2110000}"/>
    <cellStyle name="Currency 8 2 2 3" xfId="2550" xr:uid="{00000000-0005-0000-0000-0000E3110000}"/>
    <cellStyle name="Currency 8 2 2 3 2" xfId="2551" xr:uid="{00000000-0005-0000-0000-0000E4110000}"/>
    <cellStyle name="Currency 8 2 2 3 2 2" xfId="2552" xr:uid="{00000000-0005-0000-0000-0000E5110000}"/>
    <cellStyle name="Currency 8 2 2 3 2 2 2" xfId="10911" xr:uid="{00000000-0005-0000-0000-0000E6110000}"/>
    <cellStyle name="Currency 8 2 2 3 2 3" xfId="10910" xr:uid="{00000000-0005-0000-0000-0000E7110000}"/>
    <cellStyle name="Currency 8 2 2 3 3" xfId="2553" xr:uid="{00000000-0005-0000-0000-0000E8110000}"/>
    <cellStyle name="Currency 8 2 2 3 3 2" xfId="2554" xr:uid="{00000000-0005-0000-0000-0000E9110000}"/>
    <cellStyle name="Currency 8 2 2 3 3 2 2" xfId="10913" xr:uid="{00000000-0005-0000-0000-0000EA110000}"/>
    <cellStyle name="Currency 8 2 2 3 3 3" xfId="10912" xr:uid="{00000000-0005-0000-0000-0000EB110000}"/>
    <cellStyle name="Currency 8 2 2 3 4" xfId="2555" xr:uid="{00000000-0005-0000-0000-0000EC110000}"/>
    <cellStyle name="Currency 8 2 2 3 4 2" xfId="10914" xr:uid="{00000000-0005-0000-0000-0000ED110000}"/>
    <cellStyle name="Currency 8 2 2 3 5" xfId="10909" xr:uid="{00000000-0005-0000-0000-0000EE110000}"/>
    <cellStyle name="Currency 8 2 2 4" xfId="2556" xr:uid="{00000000-0005-0000-0000-0000EF110000}"/>
    <cellStyle name="Currency 8 2 2 4 2" xfId="2557" xr:uid="{00000000-0005-0000-0000-0000F0110000}"/>
    <cellStyle name="Currency 8 2 2 4 2 2" xfId="10916" xr:uid="{00000000-0005-0000-0000-0000F1110000}"/>
    <cellStyle name="Currency 8 2 2 4 3" xfId="10915" xr:uid="{00000000-0005-0000-0000-0000F2110000}"/>
    <cellStyle name="Currency 8 2 2 5" xfId="2558" xr:uid="{00000000-0005-0000-0000-0000F3110000}"/>
    <cellStyle name="Currency 8 2 2 5 2" xfId="2559" xr:uid="{00000000-0005-0000-0000-0000F4110000}"/>
    <cellStyle name="Currency 8 2 2 5 2 2" xfId="10918" xr:uid="{00000000-0005-0000-0000-0000F5110000}"/>
    <cellStyle name="Currency 8 2 2 5 3" xfId="10917" xr:uid="{00000000-0005-0000-0000-0000F6110000}"/>
    <cellStyle name="Currency 8 2 2 6" xfId="2560" xr:uid="{00000000-0005-0000-0000-0000F7110000}"/>
    <cellStyle name="Currency 8 2 2 6 2" xfId="10919" xr:uid="{00000000-0005-0000-0000-0000F8110000}"/>
    <cellStyle name="Currency 8 2 2 7" xfId="10896" xr:uid="{00000000-0005-0000-0000-0000F9110000}"/>
    <cellStyle name="Currency 8 2 3" xfId="2561" xr:uid="{00000000-0005-0000-0000-0000FA110000}"/>
    <cellStyle name="Currency 8 2 3 2" xfId="2562" xr:uid="{00000000-0005-0000-0000-0000FB110000}"/>
    <cellStyle name="Currency 8 2 3 2 2" xfId="2563" xr:uid="{00000000-0005-0000-0000-0000FC110000}"/>
    <cellStyle name="Currency 8 2 3 2 2 2" xfId="2564" xr:uid="{00000000-0005-0000-0000-0000FD110000}"/>
    <cellStyle name="Currency 8 2 3 2 2 2 2" xfId="10923" xr:uid="{00000000-0005-0000-0000-0000FE110000}"/>
    <cellStyle name="Currency 8 2 3 2 2 3" xfId="10922" xr:uid="{00000000-0005-0000-0000-0000FF110000}"/>
    <cellStyle name="Currency 8 2 3 2 3" xfId="2565" xr:uid="{00000000-0005-0000-0000-000000120000}"/>
    <cellStyle name="Currency 8 2 3 2 3 2" xfId="2566" xr:uid="{00000000-0005-0000-0000-000001120000}"/>
    <cellStyle name="Currency 8 2 3 2 3 2 2" xfId="10925" xr:uid="{00000000-0005-0000-0000-000002120000}"/>
    <cellStyle name="Currency 8 2 3 2 3 3" xfId="10924" xr:uid="{00000000-0005-0000-0000-000003120000}"/>
    <cellStyle name="Currency 8 2 3 2 4" xfId="2567" xr:uid="{00000000-0005-0000-0000-000004120000}"/>
    <cellStyle name="Currency 8 2 3 2 4 2" xfId="10926" xr:uid="{00000000-0005-0000-0000-000005120000}"/>
    <cellStyle name="Currency 8 2 3 2 5" xfId="10921" xr:uid="{00000000-0005-0000-0000-000006120000}"/>
    <cellStyle name="Currency 8 2 3 3" xfId="2568" xr:uid="{00000000-0005-0000-0000-000007120000}"/>
    <cellStyle name="Currency 8 2 3 3 2" xfId="2569" xr:uid="{00000000-0005-0000-0000-000008120000}"/>
    <cellStyle name="Currency 8 2 3 3 2 2" xfId="10928" xr:uid="{00000000-0005-0000-0000-000009120000}"/>
    <cellStyle name="Currency 8 2 3 3 3" xfId="10927" xr:uid="{00000000-0005-0000-0000-00000A120000}"/>
    <cellStyle name="Currency 8 2 3 4" xfId="2570" xr:uid="{00000000-0005-0000-0000-00000B120000}"/>
    <cellStyle name="Currency 8 2 3 4 2" xfId="2571" xr:uid="{00000000-0005-0000-0000-00000C120000}"/>
    <cellStyle name="Currency 8 2 3 4 2 2" xfId="10930" xr:uid="{00000000-0005-0000-0000-00000D120000}"/>
    <cellStyle name="Currency 8 2 3 4 3" xfId="10929" xr:uid="{00000000-0005-0000-0000-00000E120000}"/>
    <cellStyle name="Currency 8 2 3 5" xfId="2572" xr:uid="{00000000-0005-0000-0000-00000F120000}"/>
    <cellStyle name="Currency 8 2 3 5 2" xfId="10931" xr:uid="{00000000-0005-0000-0000-000010120000}"/>
    <cellStyle name="Currency 8 2 3 6" xfId="10920" xr:uid="{00000000-0005-0000-0000-000011120000}"/>
    <cellStyle name="Currency 8 2 4" xfId="2573" xr:uid="{00000000-0005-0000-0000-000012120000}"/>
    <cellStyle name="Currency 8 2 4 2" xfId="2574" xr:uid="{00000000-0005-0000-0000-000013120000}"/>
    <cellStyle name="Currency 8 2 4 2 2" xfId="2575" xr:uid="{00000000-0005-0000-0000-000014120000}"/>
    <cellStyle name="Currency 8 2 4 2 2 2" xfId="10934" xr:uid="{00000000-0005-0000-0000-000015120000}"/>
    <cellStyle name="Currency 8 2 4 2 3" xfId="10933" xr:uid="{00000000-0005-0000-0000-000016120000}"/>
    <cellStyle name="Currency 8 2 4 3" xfId="2576" xr:uid="{00000000-0005-0000-0000-000017120000}"/>
    <cellStyle name="Currency 8 2 4 3 2" xfId="2577" xr:uid="{00000000-0005-0000-0000-000018120000}"/>
    <cellStyle name="Currency 8 2 4 3 2 2" xfId="10936" xr:uid="{00000000-0005-0000-0000-000019120000}"/>
    <cellStyle name="Currency 8 2 4 3 3" xfId="10935" xr:uid="{00000000-0005-0000-0000-00001A120000}"/>
    <cellStyle name="Currency 8 2 4 4" xfId="2578" xr:uid="{00000000-0005-0000-0000-00001B120000}"/>
    <cellStyle name="Currency 8 2 4 4 2" xfId="10937" xr:uid="{00000000-0005-0000-0000-00001C120000}"/>
    <cellStyle name="Currency 8 2 4 5" xfId="10932" xr:uid="{00000000-0005-0000-0000-00001D120000}"/>
    <cellStyle name="Currency 8 2 5" xfId="2579" xr:uid="{00000000-0005-0000-0000-00001E120000}"/>
    <cellStyle name="Currency 8 2 5 2" xfId="2580" xr:uid="{00000000-0005-0000-0000-00001F120000}"/>
    <cellStyle name="Currency 8 2 5 2 2" xfId="10939" xr:uid="{00000000-0005-0000-0000-000020120000}"/>
    <cellStyle name="Currency 8 2 5 3" xfId="10938" xr:uid="{00000000-0005-0000-0000-000021120000}"/>
    <cellStyle name="Currency 8 2 6" xfId="2581" xr:uid="{00000000-0005-0000-0000-000022120000}"/>
    <cellStyle name="Currency 8 2 6 2" xfId="2582" xr:uid="{00000000-0005-0000-0000-000023120000}"/>
    <cellStyle name="Currency 8 2 6 2 2" xfId="10941" xr:uid="{00000000-0005-0000-0000-000024120000}"/>
    <cellStyle name="Currency 8 2 6 3" xfId="10940" xr:uid="{00000000-0005-0000-0000-000025120000}"/>
    <cellStyle name="Currency 8 2 7" xfId="2583" xr:uid="{00000000-0005-0000-0000-000026120000}"/>
    <cellStyle name="Currency 8 2 7 2" xfId="10942" xr:uid="{00000000-0005-0000-0000-000027120000}"/>
    <cellStyle name="Currency 8 3" xfId="2584" xr:uid="{00000000-0005-0000-0000-000028120000}"/>
    <cellStyle name="Currency 8 3 2" xfId="2585" xr:uid="{00000000-0005-0000-0000-000029120000}"/>
    <cellStyle name="Currency 8 3 2 2" xfId="2586" xr:uid="{00000000-0005-0000-0000-00002A120000}"/>
    <cellStyle name="Currency 8 3 2 2 2" xfId="2587" xr:uid="{00000000-0005-0000-0000-00002B120000}"/>
    <cellStyle name="Currency 8 3 2 2 2 2" xfId="2588" xr:uid="{00000000-0005-0000-0000-00002C120000}"/>
    <cellStyle name="Currency 8 3 2 2 2 2 2" xfId="10945" xr:uid="{00000000-0005-0000-0000-00002D120000}"/>
    <cellStyle name="Currency 8 3 2 2 2 3" xfId="10944" xr:uid="{00000000-0005-0000-0000-00002E120000}"/>
    <cellStyle name="Currency 8 3 2 2 3" xfId="2589" xr:uid="{00000000-0005-0000-0000-00002F120000}"/>
    <cellStyle name="Currency 8 3 2 2 3 2" xfId="2590" xr:uid="{00000000-0005-0000-0000-000030120000}"/>
    <cellStyle name="Currency 8 3 2 2 3 2 2" xfId="10947" xr:uid="{00000000-0005-0000-0000-000031120000}"/>
    <cellStyle name="Currency 8 3 2 2 3 3" xfId="10946" xr:uid="{00000000-0005-0000-0000-000032120000}"/>
    <cellStyle name="Currency 8 3 2 2 4" xfId="2591" xr:uid="{00000000-0005-0000-0000-000033120000}"/>
    <cellStyle name="Currency 8 3 2 2 4 2" xfId="10948" xr:uid="{00000000-0005-0000-0000-000034120000}"/>
    <cellStyle name="Currency 8 3 2 2 5" xfId="10943" xr:uid="{00000000-0005-0000-0000-000035120000}"/>
    <cellStyle name="Currency 8 3 2 3" xfId="2592" xr:uid="{00000000-0005-0000-0000-000036120000}"/>
    <cellStyle name="Currency 8 3 2 3 2" xfId="2593" xr:uid="{00000000-0005-0000-0000-000037120000}"/>
    <cellStyle name="Currency 8 3 2 3 2 2" xfId="10950" xr:uid="{00000000-0005-0000-0000-000038120000}"/>
    <cellStyle name="Currency 8 3 2 3 3" xfId="10949" xr:uid="{00000000-0005-0000-0000-000039120000}"/>
    <cellStyle name="Currency 8 3 2 4" xfId="2594" xr:uid="{00000000-0005-0000-0000-00003A120000}"/>
    <cellStyle name="Currency 8 3 2 4 2" xfId="2595" xr:uid="{00000000-0005-0000-0000-00003B120000}"/>
    <cellStyle name="Currency 8 3 2 4 2 2" xfId="10952" xr:uid="{00000000-0005-0000-0000-00003C120000}"/>
    <cellStyle name="Currency 8 3 2 4 3" xfId="10951" xr:uid="{00000000-0005-0000-0000-00003D120000}"/>
    <cellStyle name="Currency 8 3 2 5" xfId="2596" xr:uid="{00000000-0005-0000-0000-00003E120000}"/>
    <cellStyle name="Currency 8 3 2 5 2" xfId="10953" xr:uid="{00000000-0005-0000-0000-00003F120000}"/>
    <cellStyle name="Currency 8 3 3" xfId="2597" xr:uid="{00000000-0005-0000-0000-000040120000}"/>
    <cellStyle name="Currency 8 3 3 2" xfId="2598" xr:uid="{00000000-0005-0000-0000-000041120000}"/>
    <cellStyle name="Currency 8 3 3 2 2" xfId="2599" xr:uid="{00000000-0005-0000-0000-000042120000}"/>
    <cellStyle name="Currency 8 3 3 2 2 2" xfId="10956" xr:uid="{00000000-0005-0000-0000-000043120000}"/>
    <cellStyle name="Currency 8 3 3 2 3" xfId="10955" xr:uid="{00000000-0005-0000-0000-000044120000}"/>
    <cellStyle name="Currency 8 3 3 3" xfId="2600" xr:uid="{00000000-0005-0000-0000-000045120000}"/>
    <cellStyle name="Currency 8 3 3 3 2" xfId="2601" xr:uid="{00000000-0005-0000-0000-000046120000}"/>
    <cellStyle name="Currency 8 3 3 3 2 2" xfId="10958" xr:uid="{00000000-0005-0000-0000-000047120000}"/>
    <cellStyle name="Currency 8 3 3 3 3" xfId="10957" xr:uid="{00000000-0005-0000-0000-000048120000}"/>
    <cellStyle name="Currency 8 3 3 4" xfId="2602" xr:uid="{00000000-0005-0000-0000-000049120000}"/>
    <cellStyle name="Currency 8 3 3 4 2" xfId="10959" xr:uid="{00000000-0005-0000-0000-00004A120000}"/>
    <cellStyle name="Currency 8 3 3 5" xfId="10954" xr:uid="{00000000-0005-0000-0000-00004B120000}"/>
    <cellStyle name="Currency 8 3 4" xfId="2603" xr:uid="{00000000-0005-0000-0000-00004C120000}"/>
    <cellStyle name="Currency 8 3 4 2" xfId="2604" xr:uid="{00000000-0005-0000-0000-00004D120000}"/>
    <cellStyle name="Currency 8 3 4 2 2" xfId="10961" xr:uid="{00000000-0005-0000-0000-00004E120000}"/>
    <cellStyle name="Currency 8 3 4 3" xfId="10960" xr:uid="{00000000-0005-0000-0000-00004F120000}"/>
    <cellStyle name="Currency 8 3 5" xfId="2605" xr:uid="{00000000-0005-0000-0000-000050120000}"/>
    <cellStyle name="Currency 8 3 5 2" xfId="2606" xr:uid="{00000000-0005-0000-0000-000051120000}"/>
    <cellStyle name="Currency 8 3 5 2 2" xfId="10963" xr:uid="{00000000-0005-0000-0000-000052120000}"/>
    <cellStyle name="Currency 8 3 5 3" xfId="10962" xr:uid="{00000000-0005-0000-0000-000053120000}"/>
    <cellStyle name="Currency 8 3 6" xfId="2607" xr:uid="{00000000-0005-0000-0000-000054120000}"/>
    <cellStyle name="Currency 8 3 6 2" xfId="10964" xr:uid="{00000000-0005-0000-0000-000055120000}"/>
    <cellStyle name="Currency 8 4" xfId="2608" xr:uid="{00000000-0005-0000-0000-000056120000}"/>
    <cellStyle name="Currency 8 4 2" xfId="2609" xr:uid="{00000000-0005-0000-0000-000057120000}"/>
    <cellStyle name="Currency 8 4 2 2" xfId="2610" xr:uid="{00000000-0005-0000-0000-000058120000}"/>
    <cellStyle name="Currency 8 4 2 2 2" xfId="2611" xr:uid="{00000000-0005-0000-0000-000059120000}"/>
    <cellStyle name="Currency 8 4 2 2 2 2" xfId="10968" xr:uid="{00000000-0005-0000-0000-00005A120000}"/>
    <cellStyle name="Currency 8 4 2 2 3" xfId="10967" xr:uid="{00000000-0005-0000-0000-00005B120000}"/>
    <cellStyle name="Currency 8 4 2 3" xfId="2612" xr:uid="{00000000-0005-0000-0000-00005C120000}"/>
    <cellStyle name="Currency 8 4 2 3 2" xfId="2613" xr:uid="{00000000-0005-0000-0000-00005D120000}"/>
    <cellStyle name="Currency 8 4 2 3 2 2" xfId="10970" xr:uid="{00000000-0005-0000-0000-00005E120000}"/>
    <cellStyle name="Currency 8 4 2 3 3" xfId="10969" xr:uid="{00000000-0005-0000-0000-00005F120000}"/>
    <cellStyle name="Currency 8 4 2 4" xfId="2614" xr:uid="{00000000-0005-0000-0000-000060120000}"/>
    <cellStyle name="Currency 8 4 2 4 2" xfId="10971" xr:uid="{00000000-0005-0000-0000-000061120000}"/>
    <cellStyle name="Currency 8 4 2 5" xfId="10966" xr:uid="{00000000-0005-0000-0000-000062120000}"/>
    <cellStyle name="Currency 8 4 3" xfId="2615" xr:uid="{00000000-0005-0000-0000-000063120000}"/>
    <cellStyle name="Currency 8 4 3 2" xfId="2616" xr:uid="{00000000-0005-0000-0000-000064120000}"/>
    <cellStyle name="Currency 8 4 3 2 2" xfId="10973" xr:uid="{00000000-0005-0000-0000-000065120000}"/>
    <cellStyle name="Currency 8 4 3 3" xfId="10972" xr:uid="{00000000-0005-0000-0000-000066120000}"/>
    <cellStyle name="Currency 8 4 4" xfId="2617" xr:uid="{00000000-0005-0000-0000-000067120000}"/>
    <cellStyle name="Currency 8 4 4 2" xfId="2618" xr:uid="{00000000-0005-0000-0000-000068120000}"/>
    <cellStyle name="Currency 8 4 4 2 2" xfId="10975" xr:uid="{00000000-0005-0000-0000-000069120000}"/>
    <cellStyle name="Currency 8 4 4 3" xfId="10974" xr:uid="{00000000-0005-0000-0000-00006A120000}"/>
    <cellStyle name="Currency 8 4 5" xfId="2619" xr:uid="{00000000-0005-0000-0000-00006B120000}"/>
    <cellStyle name="Currency 8 4 5 2" xfId="10976" xr:uid="{00000000-0005-0000-0000-00006C120000}"/>
    <cellStyle name="Currency 8 4 6" xfId="10965" xr:uid="{00000000-0005-0000-0000-00006D120000}"/>
    <cellStyle name="Currency 8 5" xfId="2620" xr:uid="{00000000-0005-0000-0000-00006E120000}"/>
    <cellStyle name="Currency 8 5 2" xfId="2621" xr:uid="{00000000-0005-0000-0000-00006F120000}"/>
    <cellStyle name="Currency 8 5 2 2" xfId="2622" xr:uid="{00000000-0005-0000-0000-000070120000}"/>
    <cellStyle name="Currency 8 5 2 2 2" xfId="10978" xr:uid="{00000000-0005-0000-0000-000071120000}"/>
    <cellStyle name="Currency 8 5 2 3" xfId="10977" xr:uid="{00000000-0005-0000-0000-000072120000}"/>
    <cellStyle name="Currency 8 5 3" xfId="2623" xr:uid="{00000000-0005-0000-0000-000073120000}"/>
    <cellStyle name="Currency 8 5 3 2" xfId="2624" xr:uid="{00000000-0005-0000-0000-000074120000}"/>
    <cellStyle name="Currency 8 5 3 2 2" xfId="10980" xr:uid="{00000000-0005-0000-0000-000075120000}"/>
    <cellStyle name="Currency 8 5 3 3" xfId="10979" xr:uid="{00000000-0005-0000-0000-000076120000}"/>
    <cellStyle name="Currency 8 5 4" xfId="2625" xr:uid="{00000000-0005-0000-0000-000077120000}"/>
    <cellStyle name="Currency 8 5 4 2" xfId="10981" xr:uid="{00000000-0005-0000-0000-000078120000}"/>
    <cellStyle name="Currency 8 6" xfId="2626" xr:uid="{00000000-0005-0000-0000-000079120000}"/>
    <cellStyle name="Currency 8 6 2" xfId="2627" xr:uid="{00000000-0005-0000-0000-00007A120000}"/>
    <cellStyle name="Currency 8 6 2 2" xfId="10983" xr:uid="{00000000-0005-0000-0000-00007B120000}"/>
    <cellStyle name="Currency 8 6 3" xfId="10982" xr:uid="{00000000-0005-0000-0000-00007C120000}"/>
    <cellStyle name="Currency 8 7" xfId="2628" xr:uid="{00000000-0005-0000-0000-00007D120000}"/>
    <cellStyle name="Currency 8 7 2" xfId="2629" xr:uid="{00000000-0005-0000-0000-00007E120000}"/>
    <cellStyle name="Currency 8 7 2 2" xfId="10985" xr:uid="{00000000-0005-0000-0000-00007F120000}"/>
    <cellStyle name="Currency 8 7 3" xfId="10984" xr:uid="{00000000-0005-0000-0000-000080120000}"/>
    <cellStyle name="Currency 8 8" xfId="2630" xr:uid="{00000000-0005-0000-0000-000081120000}"/>
    <cellStyle name="Currency 8 8 2" xfId="10986" xr:uid="{00000000-0005-0000-0000-000082120000}"/>
    <cellStyle name="Currency 9" xfId="2631" xr:uid="{00000000-0005-0000-0000-000083120000}"/>
    <cellStyle name="Currency 9 2" xfId="2632" xr:uid="{00000000-0005-0000-0000-000084120000}"/>
    <cellStyle name="Currency 9 2 2" xfId="2633" xr:uid="{00000000-0005-0000-0000-000085120000}"/>
    <cellStyle name="Currency 9 2 2 2" xfId="2634" xr:uid="{00000000-0005-0000-0000-000086120000}"/>
    <cellStyle name="Currency 9 2 2 2 2" xfId="2635" xr:uid="{00000000-0005-0000-0000-000087120000}"/>
    <cellStyle name="Currency 9 2 2 2 2 2" xfId="2636" xr:uid="{00000000-0005-0000-0000-000088120000}"/>
    <cellStyle name="Currency 9 2 2 2 2 2 2" xfId="10991" xr:uid="{00000000-0005-0000-0000-000089120000}"/>
    <cellStyle name="Currency 9 2 2 2 2 3" xfId="10990" xr:uid="{00000000-0005-0000-0000-00008A120000}"/>
    <cellStyle name="Currency 9 2 2 2 3" xfId="2637" xr:uid="{00000000-0005-0000-0000-00008B120000}"/>
    <cellStyle name="Currency 9 2 2 2 3 2" xfId="2638" xr:uid="{00000000-0005-0000-0000-00008C120000}"/>
    <cellStyle name="Currency 9 2 2 2 3 2 2" xfId="10993" xr:uid="{00000000-0005-0000-0000-00008D120000}"/>
    <cellStyle name="Currency 9 2 2 2 3 3" xfId="10992" xr:uid="{00000000-0005-0000-0000-00008E120000}"/>
    <cellStyle name="Currency 9 2 2 2 4" xfId="2639" xr:uid="{00000000-0005-0000-0000-00008F120000}"/>
    <cellStyle name="Currency 9 2 2 2 4 2" xfId="10994" xr:uid="{00000000-0005-0000-0000-000090120000}"/>
    <cellStyle name="Currency 9 2 2 2 5" xfId="10989" xr:uid="{00000000-0005-0000-0000-000091120000}"/>
    <cellStyle name="Currency 9 2 2 3" xfId="2640" xr:uid="{00000000-0005-0000-0000-000092120000}"/>
    <cellStyle name="Currency 9 2 2 3 2" xfId="2641" xr:uid="{00000000-0005-0000-0000-000093120000}"/>
    <cellStyle name="Currency 9 2 2 3 2 2" xfId="10996" xr:uid="{00000000-0005-0000-0000-000094120000}"/>
    <cellStyle name="Currency 9 2 2 3 3" xfId="10995" xr:uid="{00000000-0005-0000-0000-000095120000}"/>
    <cellStyle name="Currency 9 2 2 4" xfId="2642" xr:uid="{00000000-0005-0000-0000-000096120000}"/>
    <cellStyle name="Currency 9 2 2 4 2" xfId="2643" xr:uid="{00000000-0005-0000-0000-000097120000}"/>
    <cellStyle name="Currency 9 2 2 4 2 2" xfId="10998" xr:uid="{00000000-0005-0000-0000-000098120000}"/>
    <cellStyle name="Currency 9 2 2 4 3" xfId="10997" xr:uid="{00000000-0005-0000-0000-000099120000}"/>
    <cellStyle name="Currency 9 2 2 5" xfId="2644" xr:uid="{00000000-0005-0000-0000-00009A120000}"/>
    <cellStyle name="Currency 9 2 2 5 2" xfId="10999" xr:uid="{00000000-0005-0000-0000-00009B120000}"/>
    <cellStyle name="Currency 9 2 2 6" xfId="10988" xr:uid="{00000000-0005-0000-0000-00009C120000}"/>
    <cellStyle name="Currency 9 2 3" xfId="2645" xr:uid="{00000000-0005-0000-0000-00009D120000}"/>
    <cellStyle name="Currency 9 2 3 2" xfId="2646" xr:uid="{00000000-0005-0000-0000-00009E120000}"/>
    <cellStyle name="Currency 9 2 3 2 2" xfId="2647" xr:uid="{00000000-0005-0000-0000-00009F120000}"/>
    <cellStyle name="Currency 9 2 3 2 2 2" xfId="11002" xr:uid="{00000000-0005-0000-0000-0000A0120000}"/>
    <cellStyle name="Currency 9 2 3 2 3" xfId="11001" xr:uid="{00000000-0005-0000-0000-0000A1120000}"/>
    <cellStyle name="Currency 9 2 3 3" xfId="2648" xr:uid="{00000000-0005-0000-0000-0000A2120000}"/>
    <cellStyle name="Currency 9 2 3 3 2" xfId="2649" xr:uid="{00000000-0005-0000-0000-0000A3120000}"/>
    <cellStyle name="Currency 9 2 3 3 2 2" xfId="11004" xr:uid="{00000000-0005-0000-0000-0000A4120000}"/>
    <cellStyle name="Currency 9 2 3 3 3" xfId="11003" xr:uid="{00000000-0005-0000-0000-0000A5120000}"/>
    <cellStyle name="Currency 9 2 3 4" xfId="2650" xr:uid="{00000000-0005-0000-0000-0000A6120000}"/>
    <cellStyle name="Currency 9 2 3 4 2" xfId="11005" xr:uid="{00000000-0005-0000-0000-0000A7120000}"/>
    <cellStyle name="Currency 9 2 3 5" xfId="11000" xr:uid="{00000000-0005-0000-0000-0000A8120000}"/>
    <cellStyle name="Currency 9 2 4" xfId="2651" xr:uid="{00000000-0005-0000-0000-0000A9120000}"/>
    <cellStyle name="Currency 9 2 4 2" xfId="2652" xr:uid="{00000000-0005-0000-0000-0000AA120000}"/>
    <cellStyle name="Currency 9 2 4 2 2" xfId="11007" xr:uid="{00000000-0005-0000-0000-0000AB120000}"/>
    <cellStyle name="Currency 9 2 4 3" xfId="11006" xr:uid="{00000000-0005-0000-0000-0000AC120000}"/>
    <cellStyle name="Currency 9 2 5" xfId="2653" xr:uid="{00000000-0005-0000-0000-0000AD120000}"/>
    <cellStyle name="Currency 9 2 5 2" xfId="2654" xr:uid="{00000000-0005-0000-0000-0000AE120000}"/>
    <cellStyle name="Currency 9 2 5 2 2" xfId="11009" xr:uid="{00000000-0005-0000-0000-0000AF120000}"/>
    <cellStyle name="Currency 9 2 5 3" xfId="11008" xr:uid="{00000000-0005-0000-0000-0000B0120000}"/>
    <cellStyle name="Currency 9 2 6" xfId="2655" xr:uid="{00000000-0005-0000-0000-0000B1120000}"/>
    <cellStyle name="Currency 9 2 6 2" xfId="11010" xr:uid="{00000000-0005-0000-0000-0000B2120000}"/>
    <cellStyle name="Currency 9 2 7" xfId="10987" xr:uid="{00000000-0005-0000-0000-0000B3120000}"/>
    <cellStyle name="Currency 9 3" xfId="2656" xr:uid="{00000000-0005-0000-0000-0000B4120000}"/>
    <cellStyle name="Currency 9 3 2" xfId="2657" xr:uid="{00000000-0005-0000-0000-0000B5120000}"/>
    <cellStyle name="Currency 9 3 2 2" xfId="2658" xr:uid="{00000000-0005-0000-0000-0000B6120000}"/>
    <cellStyle name="Currency 9 3 2 2 2" xfId="2659" xr:uid="{00000000-0005-0000-0000-0000B7120000}"/>
    <cellStyle name="Currency 9 3 2 2 2 2" xfId="11014" xr:uid="{00000000-0005-0000-0000-0000B8120000}"/>
    <cellStyle name="Currency 9 3 2 2 3" xfId="11013" xr:uid="{00000000-0005-0000-0000-0000B9120000}"/>
    <cellStyle name="Currency 9 3 2 3" xfId="2660" xr:uid="{00000000-0005-0000-0000-0000BA120000}"/>
    <cellStyle name="Currency 9 3 2 3 2" xfId="2661" xr:uid="{00000000-0005-0000-0000-0000BB120000}"/>
    <cellStyle name="Currency 9 3 2 3 2 2" xfId="11016" xr:uid="{00000000-0005-0000-0000-0000BC120000}"/>
    <cellStyle name="Currency 9 3 2 3 3" xfId="11015" xr:uid="{00000000-0005-0000-0000-0000BD120000}"/>
    <cellStyle name="Currency 9 3 2 4" xfId="2662" xr:uid="{00000000-0005-0000-0000-0000BE120000}"/>
    <cellStyle name="Currency 9 3 2 4 2" xfId="11017" xr:uid="{00000000-0005-0000-0000-0000BF120000}"/>
    <cellStyle name="Currency 9 3 2 5" xfId="11012" xr:uid="{00000000-0005-0000-0000-0000C0120000}"/>
    <cellStyle name="Currency 9 3 3" xfId="2663" xr:uid="{00000000-0005-0000-0000-0000C1120000}"/>
    <cellStyle name="Currency 9 3 3 2" xfId="2664" xr:uid="{00000000-0005-0000-0000-0000C2120000}"/>
    <cellStyle name="Currency 9 3 3 2 2" xfId="11019" xr:uid="{00000000-0005-0000-0000-0000C3120000}"/>
    <cellStyle name="Currency 9 3 3 3" xfId="11018" xr:uid="{00000000-0005-0000-0000-0000C4120000}"/>
    <cellStyle name="Currency 9 3 4" xfId="2665" xr:uid="{00000000-0005-0000-0000-0000C5120000}"/>
    <cellStyle name="Currency 9 3 4 2" xfId="2666" xr:uid="{00000000-0005-0000-0000-0000C6120000}"/>
    <cellStyle name="Currency 9 3 4 2 2" xfId="11021" xr:uid="{00000000-0005-0000-0000-0000C7120000}"/>
    <cellStyle name="Currency 9 3 4 3" xfId="11020" xr:uid="{00000000-0005-0000-0000-0000C8120000}"/>
    <cellStyle name="Currency 9 3 5" xfId="2667" xr:uid="{00000000-0005-0000-0000-0000C9120000}"/>
    <cellStyle name="Currency 9 3 5 2" xfId="11022" xr:uid="{00000000-0005-0000-0000-0000CA120000}"/>
    <cellStyle name="Currency 9 3 6" xfId="11011" xr:uid="{00000000-0005-0000-0000-0000CB120000}"/>
    <cellStyle name="Currency 9 4" xfId="2668" xr:uid="{00000000-0005-0000-0000-0000CC120000}"/>
    <cellStyle name="Currency 9 4 2" xfId="2669" xr:uid="{00000000-0005-0000-0000-0000CD120000}"/>
    <cellStyle name="Currency 9 4 2 2" xfId="2670" xr:uid="{00000000-0005-0000-0000-0000CE120000}"/>
    <cellStyle name="Currency 9 4 2 2 2" xfId="11025" xr:uid="{00000000-0005-0000-0000-0000CF120000}"/>
    <cellStyle name="Currency 9 4 2 3" xfId="11024" xr:uid="{00000000-0005-0000-0000-0000D0120000}"/>
    <cellStyle name="Currency 9 4 3" xfId="2671" xr:uid="{00000000-0005-0000-0000-0000D1120000}"/>
    <cellStyle name="Currency 9 4 3 2" xfId="2672" xr:uid="{00000000-0005-0000-0000-0000D2120000}"/>
    <cellStyle name="Currency 9 4 3 2 2" xfId="11027" xr:uid="{00000000-0005-0000-0000-0000D3120000}"/>
    <cellStyle name="Currency 9 4 3 3" xfId="11026" xr:uid="{00000000-0005-0000-0000-0000D4120000}"/>
    <cellStyle name="Currency 9 4 4" xfId="2673" xr:uid="{00000000-0005-0000-0000-0000D5120000}"/>
    <cellStyle name="Currency 9 4 4 2" xfId="11028" xr:uid="{00000000-0005-0000-0000-0000D6120000}"/>
    <cellStyle name="Currency 9 4 5" xfId="11023" xr:uid="{00000000-0005-0000-0000-0000D7120000}"/>
    <cellStyle name="Currency 9 5" xfId="2674" xr:uid="{00000000-0005-0000-0000-0000D8120000}"/>
    <cellStyle name="Currency 9 5 2" xfId="2675" xr:uid="{00000000-0005-0000-0000-0000D9120000}"/>
    <cellStyle name="Currency 9 5 2 2" xfId="11030" xr:uid="{00000000-0005-0000-0000-0000DA120000}"/>
    <cellStyle name="Currency 9 5 3" xfId="11029" xr:uid="{00000000-0005-0000-0000-0000DB120000}"/>
    <cellStyle name="Currency 9 6" xfId="2676" xr:uid="{00000000-0005-0000-0000-0000DC120000}"/>
    <cellStyle name="Currency 9 6 2" xfId="2677" xr:uid="{00000000-0005-0000-0000-0000DD120000}"/>
    <cellStyle name="Currency 9 6 2 2" xfId="11032" xr:uid="{00000000-0005-0000-0000-0000DE120000}"/>
    <cellStyle name="Currency 9 6 3" xfId="11031" xr:uid="{00000000-0005-0000-0000-0000DF120000}"/>
    <cellStyle name="Currency 9 7" xfId="2678" xr:uid="{00000000-0005-0000-0000-0000E0120000}"/>
    <cellStyle name="Currency 9 7 2" xfId="11033" xr:uid="{00000000-0005-0000-0000-0000E1120000}"/>
    <cellStyle name="Currency0" xfId="2679" xr:uid="{00000000-0005-0000-0000-0000E2120000}"/>
    <cellStyle name="Custom - Style1" xfId="2680" xr:uid="{00000000-0005-0000-0000-0000E3120000}"/>
    <cellStyle name="Custom - Style8" xfId="2681" xr:uid="{00000000-0005-0000-0000-0000E4120000}"/>
    <cellStyle name="Data   - Style2" xfId="2682" xr:uid="{00000000-0005-0000-0000-0000E5120000}"/>
    <cellStyle name="Data   - Style2 2" xfId="2683" xr:uid="{00000000-0005-0000-0000-0000E6120000}"/>
    <cellStyle name="Data   - Style2 3" xfId="2684" xr:uid="{00000000-0005-0000-0000-0000E7120000}"/>
    <cellStyle name="Data   - Style2 4" xfId="2685" xr:uid="{00000000-0005-0000-0000-0000E8120000}"/>
    <cellStyle name="Data   - Style2 5" xfId="2686" xr:uid="{00000000-0005-0000-0000-0000E9120000}"/>
    <cellStyle name="Data Enter" xfId="2687" xr:uid="{00000000-0005-0000-0000-0000EA120000}"/>
    <cellStyle name="date" xfId="2688" xr:uid="{00000000-0005-0000-0000-0000EB120000}"/>
    <cellStyle name="date 2" xfId="11034" xr:uid="{00000000-0005-0000-0000-0000EC120000}"/>
    <cellStyle name="Euro" xfId="2689" xr:uid="{00000000-0005-0000-0000-0000ED120000}"/>
    <cellStyle name="Euro 2" xfId="2690" xr:uid="{00000000-0005-0000-0000-0000EE120000}"/>
    <cellStyle name="Euro 2 2" xfId="11036" xr:uid="{00000000-0005-0000-0000-0000EF120000}"/>
    <cellStyle name="Euro 3" xfId="11035" xr:uid="{00000000-0005-0000-0000-0000F0120000}"/>
    <cellStyle name="Explanatory Text" xfId="2691" builtinId="53" customBuiltin="1"/>
    <cellStyle name="Explanatory Text 2" xfId="2692" xr:uid="{00000000-0005-0000-0000-0000F2120000}"/>
    <cellStyle name="Explanatory Text 3" xfId="2693" xr:uid="{00000000-0005-0000-0000-0000F3120000}"/>
    <cellStyle name="Explanatory Text 4" xfId="2694" xr:uid="{00000000-0005-0000-0000-0000F4120000}"/>
    <cellStyle name="F9ReportControlStyle_ctpInquire" xfId="2695" xr:uid="{00000000-0005-0000-0000-0000F5120000}"/>
    <cellStyle name="FactSheet" xfId="2696" xr:uid="{00000000-0005-0000-0000-0000F6120000}"/>
    <cellStyle name="fish" xfId="2697" xr:uid="{00000000-0005-0000-0000-0000F7120000}"/>
    <cellStyle name="fish 2" xfId="11037" xr:uid="{00000000-0005-0000-0000-0000F8120000}"/>
    <cellStyle name="Good" xfId="2698" builtinId="26" customBuiltin="1"/>
    <cellStyle name="Good 2" xfId="2699" xr:uid="{00000000-0005-0000-0000-0000FA120000}"/>
    <cellStyle name="Good 2 2" xfId="2700" xr:uid="{00000000-0005-0000-0000-0000FB120000}"/>
    <cellStyle name="Good 2 2 2" xfId="2701" xr:uid="{00000000-0005-0000-0000-0000FC120000}"/>
    <cellStyle name="Good 2 3" xfId="2702" xr:uid="{00000000-0005-0000-0000-0000FD120000}"/>
    <cellStyle name="Good 2 4" xfId="2703" xr:uid="{00000000-0005-0000-0000-0000FE120000}"/>
    <cellStyle name="Good 2 5" xfId="2704" xr:uid="{00000000-0005-0000-0000-0000FF120000}"/>
    <cellStyle name="Good 3" xfId="2705" xr:uid="{00000000-0005-0000-0000-000000130000}"/>
    <cellStyle name="Good 3 2" xfId="2706" xr:uid="{00000000-0005-0000-0000-000001130000}"/>
    <cellStyle name="Good 3 3" xfId="2707" xr:uid="{00000000-0005-0000-0000-000002130000}"/>
    <cellStyle name="Good 4" xfId="2708" xr:uid="{00000000-0005-0000-0000-000003130000}"/>
    <cellStyle name="Good 5" xfId="2709" xr:uid="{00000000-0005-0000-0000-000004130000}"/>
    <cellStyle name="Heading 1" xfId="2710" builtinId="16" customBuiltin="1"/>
    <cellStyle name="Heading 1 2" xfId="2711" xr:uid="{00000000-0005-0000-0000-000006130000}"/>
    <cellStyle name="Heading 1 2 2" xfId="2712" xr:uid="{00000000-0005-0000-0000-000007130000}"/>
    <cellStyle name="Heading 1 2 2 2" xfId="2713" xr:uid="{00000000-0005-0000-0000-000008130000}"/>
    <cellStyle name="Heading 1 2 3" xfId="2714" xr:uid="{00000000-0005-0000-0000-000009130000}"/>
    <cellStyle name="Heading 1 2 4" xfId="2715" xr:uid="{00000000-0005-0000-0000-00000A130000}"/>
    <cellStyle name="Heading 1 3" xfId="2716" xr:uid="{00000000-0005-0000-0000-00000B130000}"/>
    <cellStyle name="Heading 1 3 2" xfId="2717" xr:uid="{00000000-0005-0000-0000-00000C130000}"/>
    <cellStyle name="Heading 1 3 3" xfId="2718" xr:uid="{00000000-0005-0000-0000-00000D130000}"/>
    <cellStyle name="Heading 1 4" xfId="2719" xr:uid="{00000000-0005-0000-0000-00000E130000}"/>
    <cellStyle name="Heading 1 4 2" xfId="2720" xr:uid="{00000000-0005-0000-0000-00000F130000}"/>
    <cellStyle name="Heading 2" xfId="2721" builtinId="17" customBuiltin="1"/>
    <cellStyle name="Heading 2 2" xfId="2722" xr:uid="{00000000-0005-0000-0000-000011130000}"/>
    <cellStyle name="Heading 2 2 2" xfId="2723" xr:uid="{00000000-0005-0000-0000-000012130000}"/>
    <cellStyle name="Heading 2 2 3" xfId="2724" xr:uid="{00000000-0005-0000-0000-000013130000}"/>
    <cellStyle name="Heading 2 2 4" xfId="2725" xr:uid="{00000000-0005-0000-0000-000014130000}"/>
    <cellStyle name="Heading 2 3" xfId="2726" xr:uid="{00000000-0005-0000-0000-000015130000}"/>
    <cellStyle name="Heading 2 3 2" xfId="2727" xr:uid="{00000000-0005-0000-0000-000016130000}"/>
    <cellStyle name="Heading 2 3 3" xfId="2728" xr:uid="{00000000-0005-0000-0000-000017130000}"/>
    <cellStyle name="Heading 2 4" xfId="2729" xr:uid="{00000000-0005-0000-0000-000018130000}"/>
    <cellStyle name="Heading 2 4 2" xfId="2730" xr:uid="{00000000-0005-0000-0000-000019130000}"/>
    <cellStyle name="Heading 3" xfId="2731" builtinId="18" customBuiltin="1"/>
    <cellStyle name="Heading 3 2" xfId="2732" xr:uid="{00000000-0005-0000-0000-00001B130000}"/>
    <cellStyle name="Heading 3 2 2" xfId="2733" xr:uid="{00000000-0005-0000-0000-00001C130000}"/>
    <cellStyle name="Heading 3 2 2 2" xfId="2734" xr:uid="{00000000-0005-0000-0000-00001D130000}"/>
    <cellStyle name="Heading 3 2 3" xfId="2735" xr:uid="{00000000-0005-0000-0000-00001E130000}"/>
    <cellStyle name="Heading 3 2 4" xfId="2736" xr:uid="{00000000-0005-0000-0000-00001F130000}"/>
    <cellStyle name="Heading 3 3" xfId="2737" xr:uid="{00000000-0005-0000-0000-000020130000}"/>
    <cellStyle name="Heading 3 3 2" xfId="2738" xr:uid="{00000000-0005-0000-0000-000021130000}"/>
    <cellStyle name="Heading 3 3 3" xfId="2739" xr:uid="{00000000-0005-0000-0000-000022130000}"/>
    <cellStyle name="Heading 3 4" xfId="2740" xr:uid="{00000000-0005-0000-0000-000023130000}"/>
    <cellStyle name="Heading 3 4 2" xfId="2741" xr:uid="{00000000-0005-0000-0000-000024130000}"/>
    <cellStyle name="Heading 4" xfId="2742" builtinId="19" customBuiltin="1"/>
    <cellStyle name="Heading 4 2" xfId="2743" xr:uid="{00000000-0005-0000-0000-000026130000}"/>
    <cellStyle name="Heading 4 2 2" xfId="2744" xr:uid="{00000000-0005-0000-0000-000027130000}"/>
    <cellStyle name="Heading 4 2 2 2" xfId="2745" xr:uid="{00000000-0005-0000-0000-000028130000}"/>
    <cellStyle name="Heading 4 2 3" xfId="2746" xr:uid="{00000000-0005-0000-0000-000029130000}"/>
    <cellStyle name="Heading 4 3" xfId="2747" xr:uid="{00000000-0005-0000-0000-00002A130000}"/>
    <cellStyle name="Heading 4 3 2" xfId="2748" xr:uid="{00000000-0005-0000-0000-00002B130000}"/>
    <cellStyle name="Heading 4 4" xfId="2749" xr:uid="{00000000-0005-0000-0000-00002C130000}"/>
    <cellStyle name="Hyperlink 2" xfId="2750" xr:uid="{00000000-0005-0000-0000-00002D130000}"/>
    <cellStyle name="Hyperlink 2 2" xfId="2751" xr:uid="{00000000-0005-0000-0000-00002E130000}"/>
    <cellStyle name="Hyperlink 2 2 2" xfId="2752" xr:uid="{00000000-0005-0000-0000-00002F130000}"/>
    <cellStyle name="Hyperlink 2 2 3" xfId="2753" xr:uid="{00000000-0005-0000-0000-000030130000}"/>
    <cellStyle name="Hyperlink 2 2 4" xfId="2754" xr:uid="{00000000-0005-0000-0000-000031130000}"/>
    <cellStyle name="Hyperlink 2 2 5" xfId="2755" xr:uid="{00000000-0005-0000-0000-000032130000}"/>
    <cellStyle name="Hyperlink 2 3" xfId="2756" xr:uid="{00000000-0005-0000-0000-000033130000}"/>
    <cellStyle name="Hyperlink 2 3 2" xfId="2757" xr:uid="{00000000-0005-0000-0000-000034130000}"/>
    <cellStyle name="Hyperlink 2 4" xfId="2758" xr:uid="{00000000-0005-0000-0000-000035130000}"/>
    <cellStyle name="Hyperlink 3" xfId="2759" xr:uid="{00000000-0005-0000-0000-000036130000}"/>
    <cellStyle name="Hyperlink 3 2" xfId="2760" xr:uid="{00000000-0005-0000-0000-000037130000}"/>
    <cellStyle name="Hyperlink 3 2 2" xfId="2761" xr:uid="{00000000-0005-0000-0000-000038130000}"/>
    <cellStyle name="Hyperlink 3 3" xfId="2762" xr:uid="{00000000-0005-0000-0000-000039130000}"/>
    <cellStyle name="Hyperlink 4" xfId="2763" xr:uid="{00000000-0005-0000-0000-00003A130000}"/>
    <cellStyle name="Hyperlink 4 2" xfId="2764" xr:uid="{00000000-0005-0000-0000-00003B130000}"/>
    <cellStyle name="Hyperlink 5" xfId="2765" xr:uid="{00000000-0005-0000-0000-00003C130000}"/>
    <cellStyle name="Input" xfId="2766" builtinId="20" customBuiltin="1"/>
    <cellStyle name="Input 2" xfId="2767" xr:uid="{00000000-0005-0000-0000-00003E130000}"/>
    <cellStyle name="Input 2 2" xfId="2768" xr:uid="{00000000-0005-0000-0000-00003F130000}"/>
    <cellStyle name="Input 2 2 2" xfId="2769" xr:uid="{00000000-0005-0000-0000-000040130000}"/>
    <cellStyle name="Input 2 2 2 2" xfId="2770" xr:uid="{00000000-0005-0000-0000-000041130000}"/>
    <cellStyle name="Input 2 2 2 2 2" xfId="2771" xr:uid="{00000000-0005-0000-0000-000042130000}"/>
    <cellStyle name="Input 2 2 2 2 3" xfId="2772" xr:uid="{00000000-0005-0000-0000-000043130000}"/>
    <cellStyle name="Input 2 2 2 2 4" xfId="2773" xr:uid="{00000000-0005-0000-0000-000044130000}"/>
    <cellStyle name="Input 2 2 2 2 5" xfId="2774" xr:uid="{00000000-0005-0000-0000-000045130000}"/>
    <cellStyle name="Input 2 2 2 3" xfId="2775" xr:uid="{00000000-0005-0000-0000-000046130000}"/>
    <cellStyle name="Input 2 2 3" xfId="2776" xr:uid="{00000000-0005-0000-0000-000047130000}"/>
    <cellStyle name="Input 2 2 3 2" xfId="2777" xr:uid="{00000000-0005-0000-0000-000048130000}"/>
    <cellStyle name="Input 2 2 3 3" xfId="2778" xr:uid="{00000000-0005-0000-0000-000049130000}"/>
    <cellStyle name="Input 2 2 3 4" xfId="2779" xr:uid="{00000000-0005-0000-0000-00004A130000}"/>
    <cellStyle name="Input 2 2 3 5" xfId="2780" xr:uid="{00000000-0005-0000-0000-00004B130000}"/>
    <cellStyle name="Input 2 2 4" xfId="2781" xr:uid="{00000000-0005-0000-0000-00004C130000}"/>
    <cellStyle name="Input 2 3" xfId="2782" xr:uid="{00000000-0005-0000-0000-00004D130000}"/>
    <cellStyle name="Input 2 3 2" xfId="2783" xr:uid="{00000000-0005-0000-0000-00004E130000}"/>
    <cellStyle name="Input 2 3 2 2" xfId="2784" xr:uid="{00000000-0005-0000-0000-00004F130000}"/>
    <cellStyle name="Input 2 3 2 3" xfId="2785" xr:uid="{00000000-0005-0000-0000-000050130000}"/>
    <cellStyle name="Input 2 3 2 4" xfId="2786" xr:uid="{00000000-0005-0000-0000-000051130000}"/>
    <cellStyle name="Input 2 3 2 5" xfId="2787" xr:uid="{00000000-0005-0000-0000-000052130000}"/>
    <cellStyle name="Input 2 3 3" xfId="2788" xr:uid="{00000000-0005-0000-0000-000053130000}"/>
    <cellStyle name="Input 2 4" xfId="2789" xr:uid="{00000000-0005-0000-0000-000054130000}"/>
    <cellStyle name="Input 2 4 2" xfId="2790" xr:uid="{00000000-0005-0000-0000-000055130000}"/>
    <cellStyle name="Input 2 4 3" xfId="2791" xr:uid="{00000000-0005-0000-0000-000056130000}"/>
    <cellStyle name="Input 2 4 4" xfId="2792" xr:uid="{00000000-0005-0000-0000-000057130000}"/>
    <cellStyle name="Input 2 4 5" xfId="2793" xr:uid="{00000000-0005-0000-0000-000058130000}"/>
    <cellStyle name="Input 2 5" xfId="2794" xr:uid="{00000000-0005-0000-0000-000059130000}"/>
    <cellStyle name="Input 3" xfId="2795" xr:uid="{00000000-0005-0000-0000-00005A130000}"/>
    <cellStyle name="Input 3 2" xfId="2796" xr:uid="{00000000-0005-0000-0000-00005B130000}"/>
    <cellStyle name="Input 3 2 2" xfId="2797" xr:uid="{00000000-0005-0000-0000-00005C130000}"/>
    <cellStyle name="Input 3 2 2 2" xfId="2798" xr:uid="{00000000-0005-0000-0000-00005D130000}"/>
    <cellStyle name="Input 3 2 2 3" xfId="2799" xr:uid="{00000000-0005-0000-0000-00005E130000}"/>
    <cellStyle name="Input 3 2 2 4" xfId="2800" xr:uid="{00000000-0005-0000-0000-00005F130000}"/>
    <cellStyle name="Input 3 2 2 5" xfId="2801" xr:uid="{00000000-0005-0000-0000-000060130000}"/>
    <cellStyle name="Input 3 2 3" xfId="2802" xr:uid="{00000000-0005-0000-0000-000061130000}"/>
    <cellStyle name="Input 3 3" xfId="2803" xr:uid="{00000000-0005-0000-0000-000062130000}"/>
    <cellStyle name="Input 3 3 2" xfId="2804" xr:uid="{00000000-0005-0000-0000-000063130000}"/>
    <cellStyle name="Input 3 3 3" xfId="2805" xr:uid="{00000000-0005-0000-0000-000064130000}"/>
    <cellStyle name="Input 3 3 4" xfId="2806" xr:uid="{00000000-0005-0000-0000-000065130000}"/>
    <cellStyle name="Input 3 3 5" xfId="2807" xr:uid="{00000000-0005-0000-0000-000066130000}"/>
    <cellStyle name="Input 3 4" xfId="2808" xr:uid="{00000000-0005-0000-0000-000067130000}"/>
    <cellStyle name="Input 3 4 2" xfId="2809" xr:uid="{00000000-0005-0000-0000-000068130000}"/>
    <cellStyle name="Input 3 4 3" xfId="2810" xr:uid="{00000000-0005-0000-0000-000069130000}"/>
    <cellStyle name="Input 3 4 4" xfId="2811" xr:uid="{00000000-0005-0000-0000-00006A130000}"/>
    <cellStyle name="Input 3 4 5" xfId="2812" xr:uid="{00000000-0005-0000-0000-00006B130000}"/>
    <cellStyle name="Input 4" xfId="2813" xr:uid="{00000000-0005-0000-0000-00006C130000}"/>
    <cellStyle name="input(0)" xfId="2814" xr:uid="{00000000-0005-0000-0000-00006D130000}"/>
    <cellStyle name="Input(2)" xfId="2815" xr:uid="{00000000-0005-0000-0000-00006E130000}"/>
    <cellStyle name="Labels" xfId="2816" xr:uid="{00000000-0005-0000-0000-00006F130000}"/>
    <cellStyle name="Labels - Style3" xfId="2817" xr:uid="{00000000-0005-0000-0000-000070130000}"/>
    <cellStyle name="Labels - Style3 2" xfId="2818" xr:uid="{00000000-0005-0000-0000-000071130000}"/>
    <cellStyle name="Labels - Style3 3" xfId="2819" xr:uid="{00000000-0005-0000-0000-000072130000}"/>
    <cellStyle name="Labels - Style3 4" xfId="2820" xr:uid="{00000000-0005-0000-0000-000073130000}"/>
    <cellStyle name="Labels - Style3 5" xfId="2821" xr:uid="{00000000-0005-0000-0000-000074130000}"/>
    <cellStyle name="Labels 2" xfId="2822" xr:uid="{00000000-0005-0000-0000-000075130000}"/>
    <cellStyle name="Labels 2 2" xfId="2823" xr:uid="{00000000-0005-0000-0000-000076130000}"/>
    <cellStyle name="Labels 3" xfId="2824" xr:uid="{00000000-0005-0000-0000-000077130000}"/>
    <cellStyle name="Labels 4" xfId="2825" xr:uid="{00000000-0005-0000-0000-000078130000}"/>
    <cellStyle name="Labels 5" xfId="2826" xr:uid="{00000000-0005-0000-0000-000079130000}"/>
    <cellStyle name="Labels 6" xfId="2827" xr:uid="{00000000-0005-0000-0000-00007A130000}"/>
    <cellStyle name="Labels 7" xfId="2828" xr:uid="{00000000-0005-0000-0000-00007B130000}"/>
    <cellStyle name="Linked Cell" xfId="2829" builtinId="24" customBuiltin="1"/>
    <cellStyle name="Linked Cell 2" xfId="2830" xr:uid="{00000000-0005-0000-0000-00007D130000}"/>
    <cellStyle name="Linked Cell 2 2" xfId="2831" xr:uid="{00000000-0005-0000-0000-00007E130000}"/>
    <cellStyle name="Linked Cell 2 3" xfId="2832" xr:uid="{00000000-0005-0000-0000-00007F130000}"/>
    <cellStyle name="Linked Cell 2 4" xfId="2833" xr:uid="{00000000-0005-0000-0000-000080130000}"/>
    <cellStyle name="Linked Cell 3" xfId="2834" xr:uid="{00000000-0005-0000-0000-000081130000}"/>
    <cellStyle name="Linked Cell 3 2" xfId="2835" xr:uid="{00000000-0005-0000-0000-000082130000}"/>
    <cellStyle name="Linked Cell 4" xfId="2836" xr:uid="{00000000-0005-0000-0000-000083130000}"/>
    <cellStyle name="Neutral" xfId="2837" builtinId="28" customBuiltin="1"/>
    <cellStyle name="Neutral 2" xfId="2838" xr:uid="{00000000-0005-0000-0000-000085130000}"/>
    <cellStyle name="Neutral 2 2" xfId="2839" xr:uid="{00000000-0005-0000-0000-000086130000}"/>
    <cellStyle name="Neutral 2 2 2" xfId="2840" xr:uid="{00000000-0005-0000-0000-000087130000}"/>
    <cellStyle name="Neutral 2 3" xfId="2841" xr:uid="{00000000-0005-0000-0000-000088130000}"/>
    <cellStyle name="Neutral 2 4" xfId="2842" xr:uid="{00000000-0005-0000-0000-000089130000}"/>
    <cellStyle name="Neutral 3" xfId="2843" xr:uid="{00000000-0005-0000-0000-00008A130000}"/>
    <cellStyle name="Neutral 3 2" xfId="2844" xr:uid="{00000000-0005-0000-0000-00008B130000}"/>
    <cellStyle name="Neutral 4" xfId="2845" xr:uid="{00000000-0005-0000-0000-00008C130000}"/>
    <cellStyle name="New_normal" xfId="2846" xr:uid="{00000000-0005-0000-0000-00008D130000}"/>
    <cellStyle name="Normal" xfId="0" builtinId="0"/>
    <cellStyle name="Normal - Style1" xfId="2847" xr:uid="{00000000-0005-0000-0000-00008F130000}"/>
    <cellStyle name="Normal - Style2" xfId="2848" xr:uid="{00000000-0005-0000-0000-000090130000}"/>
    <cellStyle name="Normal - Style3" xfId="2849" xr:uid="{00000000-0005-0000-0000-000091130000}"/>
    <cellStyle name="Normal - Style4" xfId="2850" xr:uid="{00000000-0005-0000-0000-000092130000}"/>
    <cellStyle name="Normal - Style5" xfId="2851" xr:uid="{00000000-0005-0000-0000-000093130000}"/>
    <cellStyle name="Normal - Style6" xfId="2852" xr:uid="{00000000-0005-0000-0000-000094130000}"/>
    <cellStyle name="Normal - Style7" xfId="2853" xr:uid="{00000000-0005-0000-0000-000095130000}"/>
    <cellStyle name="Normal - Style8" xfId="2854" xr:uid="{00000000-0005-0000-0000-000096130000}"/>
    <cellStyle name="Normal 10" xfId="2855" xr:uid="{00000000-0005-0000-0000-000097130000}"/>
    <cellStyle name="Normal 10 10" xfId="2856" xr:uid="{00000000-0005-0000-0000-000098130000}"/>
    <cellStyle name="Normal 10 10 2" xfId="11038" xr:uid="{00000000-0005-0000-0000-000099130000}"/>
    <cellStyle name="Normal 10 2" xfId="2857" xr:uid="{00000000-0005-0000-0000-00009A130000}"/>
    <cellStyle name="Normal 10 2 2" xfId="2858" xr:uid="{00000000-0005-0000-0000-00009B130000}"/>
    <cellStyle name="Normal 10 2 2 2" xfId="2859" xr:uid="{00000000-0005-0000-0000-00009C130000}"/>
    <cellStyle name="Normal 10 2 2 2 2" xfId="2860" xr:uid="{00000000-0005-0000-0000-00009D130000}"/>
    <cellStyle name="Normal 10 2 2 2 2 2" xfId="2861" xr:uid="{00000000-0005-0000-0000-00009E130000}"/>
    <cellStyle name="Normal 10 2 2 2 2 2 2" xfId="2862" xr:uid="{00000000-0005-0000-0000-00009F130000}"/>
    <cellStyle name="Normal 10 2 2 2 2 2 2 2" xfId="2863" xr:uid="{00000000-0005-0000-0000-0000A0130000}"/>
    <cellStyle name="Normal 10 2 2 2 2 2 2 2 2" xfId="11044" xr:uid="{00000000-0005-0000-0000-0000A1130000}"/>
    <cellStyle name="Normal 10 2 2 2 2 2 2 3" xfId="11043" xr:uid="{00000000-0005-0000-0000-0000A2130000}"/>
    <cellStyle name="Normal 10 2 2 2 2 2 3" xfId="2864" xr:uid="{00000000-0005-0000-0000-0000A3130000}"/>
    <cellStyle name="Normal 10 2 2 2 2 2 3 2" xfId="2865" xr:uid="{00000000-0005-0000-0000-0000A4130000}"/>
    <cellStyle name="Normal 10 2 2 2 2 2 3 2 2" xfId="11046" xr:uid="{00000000-0005-0000-0000-0000A5130000}"/>
    <cellStyle name="Normal 10 2 2 2 2 2 3 3" xfId="11045" xr:uid="{00000000-0005-0000-0000-0000A6130000}"/>
    <cellStyle name="Normal 10 2 2 2 2 2 4" xfId="2866" xr:uid="{00000000-0005-0000-0000-0000A7130000}"/>
    <cellStyle name="Normal 10 2 2 2 2 2 4 2" xfId="11047" xr:uid="{00000000-0005-0000-0000-0000A8130000}"/>
    <cellStyle name="Normal 10 2 2 2 2 2 5" xfId="11042" xr:uid="{00000000-0005-0000-0000-0000A9130000}"/>
    <cellStyle name="Normal 10 2 2 2 2 3" xfId="2867" xr:uid="{00000000-0005-0000-0000-0000AA130000}"/>
    <cellStyle name="Normal 10 2 2 2 2 3 2" xfId="2868" xr:uid="{00000000-0005-0000-0000-0000AB130000}"/>
    <cellStyle name="Normal 10 2 2 2 2 3 2 2" xfId="11049" xr:uid="{00000000-0005-0000-0000-0000AC130000}"/>
    <cellStyle name="Normal 10 2 2 2 2 3 3" xfId="11048" xr:uid="{00000000-0005-0000-0000-0000AD130000}"/>
    <cellStyle name="Normal 10 2 2 2 2 4" xfId="2869" xr:uid="{00000000-0005-0000-0000-0000AE130000}"/>
    <cellStyle name="Normal 10 2 2 2 2 4 2" xfId="2870" xr:uid="{00000000-0005-0000-0000-0000AF130000}"/>
    <cellStyle name="Normal 10 2 2 2 2 4 2 2" xfId="11051" xr:uid="{00000000-0005-0000-0000-0000B0130000}"/>
    <cellStyle name="Normal 10 2 2 2 2 4 3" xfId="11050" xr:uid="{00000000-0005-0000-0000-0000B1130000}"/>
    <cellStyle name="Normal 10 2 2 2 2 5" xfId="2871" xr:uid="{00000000-0005-0000-0000-0000B2130000}"/>
    <cellStyle name="Normal 10 2 2 2 2 5 2" xfId="11052" xr:uid="{00000000-0005-0000-0000-0000B3130000}"/>
    <cellStyle name="Normal 10 2 2 2 2 6" xfId="11041" xr:uid="{00000000-0005-0000-0000-0000B4130000}"/>
    <cellStyle name="Normal 10 2 2 2 3" xfId="2872" xr:uid="{00000000-0005-0000-0000-0000B5130000}"/>
    <cellStyle name="Normal 10 2 2 2 3 2" xfId="2873" xr:uid="{00000000-0005-0000-0000-0000B6130000}"/>
    <cellStyle name="Normal 10 2 2 2 3 2 2" xfId="2874" xr:uid="{00000000-0005-0000-0000-0000B7130000}"/>
    <cellStyle name="Normal 10 2 2 2 3 2 2 2" xfId="11055" xr:uid="{00000000-0005-0000-0000-0000B8130000}"/>
    <cellStyle name="Normal 10 2 2 2 3 2 3" xfId="11054" xr:uid="{00000000-0005-0000-0000-0000B9130000}"/>
    <cellStyle name="Normal 10 2 2 2 3 3" xfId="2875" xr:uid="{00000000-0005-0000-0000-0000BA130000}"/>
    <cellStyle name="Normal 10 2 2 2 3 3 2" xfId="2876" xr:uid="{00000000-0005-0000-0000-0000BB130000}"/>
    <cellStyle name="Normal 10 2 2 2 3 3 2 2" xfId="11057" xr:uid="{00000000-0005-0000-0000-0000BC130000}"/>
    <cellStyle name="Normal 10 2 2 2 3 3 3" xfId="11056" xr:uid="{00000000-0005-0000-0000-0000BD130000}"/>
    <cellStyle name="Normal 10 2 2 2 3 4" xfId="2877" xr:uid="{00000000-0005-0000-0000-0000BE130000}"/>
    <cellStyle name="Normal 10 2 2 2 3 4 2" xfId="11058" xr:uid="{00000000-0005-0000-0000-0000BF130000}"/>
    <cellStyle name="Normal 10 2 2 2 3 5" xfId="11053" xr:uid="{00000000-0005-0000-0000-0000C0130000}"/>
    <cellStyle name="Normal 10 2 2 2 4" xfId="2878" xr:uid="{00000000-0005-0000-0000-0000C1130000}"/>
    <cellStyle name="Normal 10 2 2 2 4 2" xfId="2879" xr:uid="{00000000-0005-0000-0000-0000C2130000}"/>
    <cellStyle name="Normal 10 2 2 2 4 2 2" xfId="11060" xr:uid="{00000000-0005-0000-0000-0000C3130000}"/>
    <cellStyle name="Normal 10 2 2 2 4 3" xfId="11059" xr:uid="{00000000-0005-0000-0000-0000C4130000}"/>
    <cellStyle name="Normal 10 2 2 2 5" xfId="2880" xr:uid="{00000000-0005-0000-0000-0000C5130000}"/>
    <cellStyle name="Normal 10 2 2 2 5 2" xfId="2881" xr:uid="{00000000-0005-0000-0000-0000C6130000}"/>
    <cellStyle name="Normal 10 2 2 2 5 2 2" xfId="11062" xr:uid="{00000000-0005-0000-0000-0000C7130000}"/>
    <cellStyle name="Normal 10 2 2 2 5 3" xfId="11061" xr:uid="{00000000-0005-0000-0000-0000C8130000}"/>
    <cellStyle name="Normal 10 2 2 2 6" xfId="2882" xr:uid="{00000000-0005-0000-0000-0000C9130000}"/>
    <cellStyle name="Normal 10 2 2 2 6 2" xfId="11063" xr:uid="{00000000-0005-0000-0000-0000CA130000}"/>
    <cellStyle name="Normal 10 2 2 2 7" xfId="11040" xr:uid="{00000000-0005-0000-0000-0000CB130000}"/>
    <cellStyle name="Normal 10 2 2 3" xfId="2883" xr:uid="{00000000-0005-0000-0000-0000CC130000}"/>
    <cellStyle name="Normal 10 2 2 3 2" xfId="2884" xr:uid="{00000000-0005-0000-0000-0000CD130000}"/>
    <cellStyle name="Normal 10 2 2 3 2 2" xfId="2885" xr:uid="{00000000-0005-0000-0000-0000CE130000}"/>
    <cellStyle name="Normal 10 2 2 3 2 2 2" xfId="2886" xr:uid="{00000000-0005-0000-0000-0000CF130000}"/>
    <cellStyle name="Normal 10 2 2 3 2 2 2 2" xfId="11067" xr:uid="{00000000-0005-0000-0000-0000D0130000}"/>
    <cellStyle name="Normal 10 2 2 3 2 2 3" xfId="11066" xr:uid="{00000000-0005-0000-0000-0000D1130000}"/>
    <cellStyle name="Normal 10 2 2 3 2 3" xfId="2887" xr:uid="{00000000-0005-0000-0000-0000D2130000}"/>
    <cellStyle name="Normal 10 2 2 3 2 3 2" xfId="2888" xr:uid="{00000000-0005-0000-0000-0000D3130000}"/>
    <cellStyle name="Normal 10 2 2 3 2 3 2 2" xfId="11069" xr:uid="{00000000-0005-0000-0000-0000D4130000}"/>
    <cellStyle name="Normal 10 2 2 3 2 3 3" xfId="11068" xr:uid="{00000000-0005-0000-0000-0000D5130000}"/>
    <cellStyle name="Normal 10 2 2 3 2 4" xfId="2889" xr:uid="{00000000-0005-0000-0000-0000D6130000}"/>
    <cellStyle name="Normal 10 2 2 3 2 4 2" xfId="11070" xr:uid="{00000000-0005-0000-0000-0000D7130000}"/>
    <cellStyle name="Normal 10 2 2 3 2 5" xfId="11065" xr:uid="{00000000-0005-0000-0000-0000D8130000}"/>
    <cellStyle name="Normal 10 2 2 3 3" xfId="2890" xr:uid="{00000000-0005-0000-0000-0000D9130000}"/>
    <cellStyle name="Normal 10 2 2 3 3 2" xfId="2891" xr:uid="{00000000-0005-0000-0000-0000DA130000}"/>
    <cellStyle name="Normal 10 2 2 3 3 2 2" xfId="11072" xr:uid="{00000000-0005-0000-0000-0000DB130000}"/>
    <cellStyle name="Normal 10 2 2 3 3 3" xfId="11071" xr:uid="{00000000-0005-0000-0000-0000DC130000}"/>
    <cellStyle name="Normal 10 2 2 3 4" xfId="2892" xr:uid="{00000000-0005-0000-0000-0000DD130000}"/>
    <cellStyle name="Normal 10 2 2 3 4 2" xfId="2893" xr:uid="{00000000-0005-0000-0000-0000DE130000}"/>
    <cellStyle name="Normal 10 2 2 3 4 2 2" xfId="11074" xr:uid="{00000000-0005-0000-0000-0000DF130000}"/>
    <cellStyle name="Normal 10 2 2 3 4 3" xfId="11073" xr:uid="{00000000-0005-0000-0000-0000E0130000}"/>
    <cellStyle name="Normal 10 2 2 3 5" xfId="2894" xr:uid="{00000000-0005-0000-0000-0000E1130000}"/>
    <cellStyle name="Normal 10 2 2 3 5 2" xfId="11075" xr:uid="{00000000-0005-0000-0000-0000E2130000}"/>
    <cellStyle name="Normal 10 2 2 3 6" xfId="11064" xr:uid="{00000000-0005-0000-0000-0000E3130000}"/>
    <cellStyle name="Normal 10 2 2 4" xfId="2895" xr:uid="{00000000-0005-0000-0000-0000E4130000}"/>
    <cellStyle name="Normal 10 2 2 4 2" xfId="2896" xr:uid="{00000000-0005-0000-0000-0000E5130000}"/>
    <cellStyle name="Normal 10 2 2 4 2 2" xfId="2897" xr:uid="{00000000-0005-0000-0000-0000E6130000}"/>
    <cellStyle name="Normal 10 2 2 4 2 2 2" xfId="11078" xr:uid="{00000000-0005-0000-0000-0000E7130000}"/>
    <cellStyle name="Normal 10 2 2 4 2 3" xfId="11077" xr:uid="{00000000-0005-0000-0000-0000E8130000}"/>
    <cellStyle name="Normal 10 2 2 4 3" xfId="2898" xr:uid="{00000000-0005-0000-0000-0000E9130000}"/>
    <cellStyle name="Normal 10 2 2 4 3 2" xfId="2899" xr:uid="{00000000-0005-0000-0000-0000EA130000}"/>
    <cellStyle name="Normal 10 2 2 4 3 2 2" xfId="11080" xr:uid="{00000000-0005-0000-0000-0000EB130000}"/>
    <cellStyle name="Normal 10 2 2 4 3 3" xfId="11079" xr:uid="{00000000-0005-0000-0000-0000EC130000}"/>
    <cellStyle name="Normal 10 2 2 4 4" xfId="2900" xr:uid="{00000000-0005-0000-0000-0000ED130000}"/>
    <cellStyle name="Normal 10 2 2 4 4 2" xfId="11081" xr:uid="{00000000-0005-0000-0000-0000EE130000}"/>
    <cellStyle name="Normal 10 2 2 4 5" xfId="11076" xr:uid="{00000000-0005-0000-0000-0000EF130000}"/>
    <cellStyle name="Normal 10 2 2 5" xfId="2901" xr:uid="{00000000-0005-0000-0000-0000F0130000}"/>
    <cellStyle name="Normal 10 2 2 5 2" xfId="2902" xr:uid="{00000000-0005-0000-0000-0000F1130000}"/>
    <cellStyle name="Normal 10 2 2 5 2 2" xfId="11083" xr:uid="{00000000-0005-0000-0000-0000F2130000}"/>
    <cellStyle name="Normal 10 2 2 5 3" xfId="11082" xr:uid="{00000000-0005-0000-0000-0000F3130000}"/>
    <cellStyle name="Normal 10 2 2 6" xfId="2903" xr:uid="{00000000-0005-0000-0000-0000F4130000}"/>
    <cellStyle name="Normal 10 2 2 6 2" xfId="2904" xr:uid="{00000000-0005-0000-0000-0000F5130000}"/>
    <cellStyle name="Normal 10 2 2 6 2 2" xfId="11085" xr:uid="{00000000-0005-0000-0000-0000F6130000}"/>
    <cellStyle name="Normal 10 2 2 6 3" xfId="11084" xr:uid="{00000000-0005-0000-0000-0000F7130000}"/>
    <cellStyle name="Normal 10 2 2 7" xfId="2905" xr:uid="{00000000-0005-0000-0000-0000F8130000}"/>
    <cellStyle name="Normal 10 2 2 7 2" xfId="11086" xr:uid="{00000000-0005-0000-0000-0000F9130000}"/>
    <cellStyle name="Normal 10 2 2 8" xfId="11039" xr:uid="{00000000-0005-0000-0000-0000FA130000}"/>
    <cellStyle name="Normal 10 2 3" xfId="2906" xr:uid="{00000000-0005-0000-0000-0000FB130000}"/>
    <cellStyle name="Normal 10 2 3 2" xfId="2907" xr:uid="{00000000-0005-0000-0000-0000FC130000}"/>
    <cellStyle name="Normal 10 2 3 2 2" xfId="2908" xr:uid="{00000000-0005-0000-0000-0000FD130000}"/>
    <cellStyle name="Normal 10 2 3 2 2 2" xfId="2909" xr:uid="{00000000-0005-0000-0000-0000FE130000}"/>
    <cellStyle name="Normal 10 2 3 2 2 2 2" xfId="2910" xr:uid="{00000000-0005-0000-0000-0000FF130000}"/>
    <cellStyle name="Normal 10 2 3 2 2 2 2 2" xfId="11090" xr:uid="{00000000-0005-0000-0000-000000140000}"/>
    <cellStyle name="Normal 10 2 3 2 2 2 3" xfId="11089" xr:uid="{00000000-0005-0000-0000-000001140000}"/>
    <cellStyle name="Normal 10 2 3 2 2 3" xfId="2911" xr:uid="{00000000-0005-0000-0000-000002140000}"/>
    <cellStyle name="Normal 10 2 3 2 2 3 2" xfId="2912" xr:uid="{00000000-0005-0000-0000-000003140000}"/>
    <cellStyle name="Normal 10 2 3 2 2 3 2 2" xfId="11092" xr:uid="{00000000-0005-0000-0000-000004140000}"/>
    <cellStyle name="Normal 10 2 3 2 2 3 3" xfId="11091" xr:uid="{00000000-0005-0000-0000-000005140000}"/>
    <cellStyle name="Normal 10 2 3 2 2 4" xfId="2913" xr:uid="{00000000-0005-0000-0000-000006140000}"/>
    <cellStyle name="Normal 10 2 3 2 2 4 2" xfId="11093" xr:uid="{00000000-0005-0000-0000-000007140000}"/>
    <cellStyle name="Normal 10 2 3 2 2 5" xfId="11088" xr:uid="{00000000-0005-0000-0000-000008140000}"/>
    <cellStyle name="Normal 10 2 3 2 3" xfId="2914" xr:uid="{00000000-0005-0000-0000-000009140000}"/>
    <cellStyle name="Normal 10 2 3 2 3 2" xfId="2915" xr:uid="{00000000-0005-0000-0000-00000A140000}"/>
    <cellStyle name="Normal 10 2 3 2 3 2 2" xfId="11095" xr:uid="{00000000-0005-0000-0000-00000B140000}"/>
    <cellStyle name="Normal 10 2 3 2 3 3" xfId="11094" xr:uid="{00000000-0005-0000-0000-00000C140000}"/>
    <cellStyle name="Normal 10 2 3 2 4" xfId="2916" xr:uid="{00000000-0005-0000-0000-00000D140000}"/>
    <cellStyle name="Normal 10 2 3 2 4 2" xfId="2917" xr:uid="{00000000-0005-0000-0000-00000E140000}"/>
    <cellStyle name="Normal 10 2 3 2 4 2 2" xfId="11097" xr:uid="{00000000-0005-0000-0000-00000F140000}"/>
    <cellStyle name="Normal 10 2 3 2 4 3" xfId="11096" xr:uid="{00000000-0005-0000-0000-000010140000}"/>
    <cellStyle name="Normal 10 2 3 2 5" xfId="2918" xr:uid="{00000000-0005-0000-0000-000011140000}"/>
    <cellStyle name="Normal 10 2 3 2 5 2" xfId="11098" xr:uid="{00000000-0005-0000-0000-000012140000}"/>
    <cellStyle name="Normal 10 2 3 2 6" xfId="11087" xr:uid="{00000000-0005-0000-0000-000013140000}"/>
    <cellStyle name="Normal 10 2 3 3" xfId="2919" xr:uid="{00000000-0005-0000-0000-000014140000}"/>
    <cellStyle name="Normal 10 2 3 3 2" xfId="2920" xr:uid="{00000000-0005-0000-0000-000015140000}"/>
    <cellStyle name="Normal 10 2 3 3 2 2" xfId="2921" xr:uid="{00000000-0005-0000-0000-000016140000}"/>
    <cellStyle name="Normal 10 2 3 3 2 2 2" xfId="11101" xr:uid="{00000000-0005-0000-0000-000017140000}"/>
    <cellStyle name="Normal 10 2 3 3 2 3" xfId="11100" xr:uid="{00000000-0005-0000-0000-000018140000}"/>
    <cellStyle name="Normal 10 2 3 3 3" xfId="2922" xr:uid="{00000000-0005-0000-0000-000019140000}"/>
    <cellStyle name="Normal 10 2 3 3 3 2" xfId="2923" xr:uid="{00000000-0005-0000-0000-00001A140000}"/>
    <cellStyle name="Normal 10 2 3 3 3 2 2" xfId="11103" xr:uid="{00000000-0005-0000-0000-00001B140000}"/>
    <cellStyle name="Normal 10 2 3 3 3 3" xfId="11102" xr:uid="{00000000-0005-0000-0000-00001C140000}"/>
    <cellStyle name="Normal 10 2 3 3 4" xfId="2924" xr:uid="{00000000-0005-0000-0000-00001D140000}"/>
    <cellStyle name="Normal 10 2 3 3 4 2" xfId="11104" xr:uid="{00000000-0005-0000-0000-00001E140000}"/>
    <cellStyle name="Normal 10 2 3 3 5" xfId="11099" xr:uid="{00000000-0005-0000-0000-00001F140000}"/>
    <cellStyle name="Normal 10 2 3 4" xfId="2925" xr:uid="{00000000-0005-0000-0000-000020140000}"/>
    <cellStyle name="Normal 10 2 3 4 2" xfId="2926" xr:uid="{00000000-0005-0000-0000-000021140000}"/>
    <cellStyle name="Normal 10 2 3 4 2 2" xfId="11105" xr:uid="{00000000-0005-0000-0000-000022140000}"/>
    <cellStyle name="Normal 10 2 3 5" xfId="2927" xr:uid="{00000000-0005-0000-0000-000023140000}"/>
    <cellStyle name="Normal 10 2 3 5 2" xfId="2928" xr:uid="{00000000-0005-0000-0000-000024140000}"/>
    <cellStyle name="Normal 10 2 3 5 2 2" xfId="11107" xr:uid="{00000000-0005-0000-0000-000025140000}"/>
    <cellStyle name="Normal 10 2 3 5 3" xfId="11106" xr:uid="{00000000-0005-0000-0000-000026140000}"/>
    <cellStyle name="Normal 10 2 3 6" xfId="2929" xr:uid="{00000000-0005-0000-0000-000027140000}"/>
    <cellStyle name="Normal 10 2 3 6 2" xfId="11108" xr:uid="{00000000-0005-0000-0000-000028140000}"/>
    <cellStyle name="Normal 10 2 4" xfId="2930" xr:uid="{00000000-0005-0000-0000-000029140000}"/>
    <cellStyle name="Normal 10 2 4 2" xfId="2931" xr:uid="{00000000-0005-0000-0000-00002A140000}"/>
    <cellStyle name="Normal 10 2 4 2 2" xfId="2932" xr:uid="{00000000-0005-0000-0000-00002B140000}"/>
    <cellStyle name="Normal 10 2 4 2 2 2" xfId="2933" xr:uid="{00000000-0005-0000-0000-00002C140000}"/>
    <cellStyle name="Normal 10 2 4 2 2 2 2" xfId="11111" xr:uid="{00000000-0005-0000-0000-00002D140000}"/>
    <cellStyle name="Normal 10 2 4 2 2 3" xfId="11110" xr:uid="{00000000-0005-0000-0000-00002E140000}"/>
    <cellStyle name="Normal 10 2 4 2 3" xfId="2934" xr:uid="{00000000-0005-0000-0000-00002F140000}"/>
    <cellStyle name="Normal 10 2 4 2 3 2" xfId="2935" xr:uid="{00000000-0005-0000-0000-000030140000}"/>
    <cellStyle name="Normal 10 2 4 2 3 2 2" xfId="11113" xr:uid="{00000000-0005-0000-0000-000031140000}"/>
    <cellStyle name="Normal 10 2 4 2 3 3" xfId="11112" xr:uid="{00000000-0005-0000-0000-000032140000}"/>
    <cellStyle name="Normal 10 2 4 2 4" xfId="2936" xr:uid="{00000000-0005-0000-0000-000033140000}"/>
    <cellStyle name="Normal 10 2 4 2 4 2" xfId="11114" xr:uid="{00000000-0005-0000-0000-000034140000}"/>
    <cellStyle name="Normal 10 2 4 2 5" xfId="11109" xr:uid="{00000000-0005-0000-0000-000035140000}"/>
    <cellStyle name="Normal 10 2 4 3" xfId="2937" xr:uid="{00000000-0005-0000-0000-000036140000}"/>
    <cellStyle name="Normal 10 2 4 3 2" xfId="2938" xr:uid="{00000000-0005-0000-0000-000037140000}"/>
    <cellStyle name="Normal 10 2 4 3 2 2" xfId="11116" xr:uid="{00000000-0005-0000-0000-000038140000}"/>
    <cellStyle name="Normal 10 2 4 3 3" xfId="11115" xr:uid="{00000000-0005-0000-0000-000039140000}"/>
    <cellStyle name="Normal 10 2 4 4" xfId="2939" xr:uid="{00000000-0005-0000-0000-00003A140000}"/>
    <cellStyle name="Normal 10 2 4 4 2" xfId="2940" xr:uid="{00000000-0005-0000-0000-00003B140000}"/>
    <cellStyle name="Normal 10 2 4 4 2 2" xfId="11118" xr:uid="{00000000-0005-0000-0000-00003C140000}"/>
    <cellStyle name="Normal 10 2 4 4 3" xfId="11117" xr:uid="{00000000-0005-0000-0000-00003D140000}"/>
    <cellStyle name="Normal 10 2 4 5" xfId="2941" xr:uid="{00000000-0005-0000-0000-00003E140000}"/>
    <cellStyle name="Normal 10 2 4 5 2" xfId="11119" xr:uid="{00000000-0005-0000-0000-00003F140000}"/>
    <cellStyle name="Normal 10 2 5" xfId="2942" xr:uid="{00000000-0005-0000-0000-000040140000}"/>
    <cellStyle name="Normal 10 2 5 2" xfId="2943" xr:uid="{00000000-0005-0000-0000-000041140000}"/>
    <cellStyle name="Normal 10 2 5 2 2" xfId="2944" xr:uid="{00000000-0005-0000-0000-000042140000}"/>
    <cellStyle name="Normal 10 2 5 2 2 2" xfId="11122" xr:uid="{00000000-0005-0000-0000-000043140000}"/>
    <cellStyle name="Normal 10 2 5 2 3" xfId="11121" xr:uid="{00000000-0005-0000-0000-000044140000}"/>
    <cellStyle name="Normal 10 2 5 3" xfId="2945" xr:uid="{00000000-0005-0000-0000-000045140000}"/>
    <cellStyle name="Normal 10 2 5 3 2" xfId="2946" xr:uid="{00000000-0005-0000-0000-000046140000}"/>
    <cellStyle name="Normal 10 2 5 3 2 2" xfId="11124" xr:uid="{00000000-0005-0000-0000-000047140000}"/>
    <cellStyle name="Normal 10 2 5 3 3" xfId="11123" xr:uid="{00000000-0005-0000-0000-000048140000}"/>
    <cellStyle name="Normal 10 2 5 4" xfId="2947" xr:uid="{00000000-0005-0000-0000-000049140000}"/>
    <cellStyle name="Normal 10 2 5 4 2" xfId="11125" xr:uid="{00000000-0005-0000-0000-00004A140000}"/>
    <cellStyle name="Normal 10 2 5 5" xfId="11120" xr:uid="{00000000-0005-0000-0000-00004B140000}"/>
    <cellStyle name="Normal 10 2 6" xfId="2948" xr:uid="{00000000-0005-0000-0000-00004C140000}"/>
    <cellStyle name="Normal 10 2 6 2" xfId="2949" xr:uid="{00000000-0005-0000-0000-00004D140000}"/>
    <cellStyle name="Normal 10 2 6 2 2" xfId="11127" xr:uid="{00000000-0005-0000-0000-00004E140000}"/>
    <cellStyle name="Normal 10 2 6 3" xfId="11126" xr:uid="{00000000-0005-0000-0000-00004F140000}"/>
    <cellStyle name="Normal 10 2 7" xfId="2950" xr:uid="{00000000-0005-0000-0000-000050140000}"/>
    <cellStyle name="Normal 10 2 7 2" xfId="2951" xr:uid="{00000000-0005-0000-0000-000051140000}"/>
    <cellStyle name="Normal 10 2 7 2 2" xfId="11129" xr:uid="{00000000-0005-0000-0000-000052140000}"/>
    <cellStyle name="Normal 10 2 7 3" xfId="11128" xr:uid="{00000000-0005-0000-0000-000053140000}"/>
    <cellStyle name="Normal 10 2 8" xfId="2952" xr:uid="{00000000-0005-0000-0000-000054140000}"/>
    <cellStyle name="Normal 10 2 8 2" xfId="11130" xr:uid="{00000000-0005-0000-0000-000055140000}"/>
    <cellStyle name="Normal 10 3" xfId="2953" xr:uid="{00000000-0005-0000-0000-000056140000}"/>
    <cellStyle name="Normal 10 3 2" xfId="2954" xr:uid="{00000000-0005-0000-0000-000057140000}"/>
    <cellStyle name="Normal 10 3 2 2" xfId="2955" xr:uid="{00000000-0005-0000-0000-000058140000}"/>
    <cellStyle name="Normal 10 3 2 2 2" xfId="2956" xr:uid="{00000000-0005-0000-0000-000059140000}"/>
    <cellStyle name="Normal 10 3 2 2 2 2" xfId="2957" xr:uid="{00000000-0005-0000-0000-00005A140000}"/>
    <cellStyle name="Normal 10 3 2 2 2 2 2" xfId="2958" xr:uid="{00000000-0005-0000-0000-00005B140000}"/>
    <cellStyle name="Normal 10 3 2 2 2 2 2 2" xfId="11136" xr:uid="{00000000-0005-0000-0000-00005C140000}"/>
    <cellStyle name="Normal 10 3 2 2 2 2 3" xfId="11135" xr:uid="{00000000-0005-0000-0000-00005D140000}"/>
    <cellStyle name="Normal 10 3 2 2 2 3" xfId="2959" xr:uid="{00000000-0005-0000-0000-00005E140000}"/>
    <cellStyle name="Normal 10 3 2 2 2 3 2" xfId="2960" xr:uid="{00000000-0005-0000-0000-00005F140000}"/>
    <cellStyle name="Normal 10 3 2 2 2 3 2 2" xfId="11138" xr:uid="{00000000-0005-0000-0000-000060140000}"/>
    <cellStyle name="Normal 10 3 2 2 2 3 3" xfId="11137" xr:uid="{00000000-0005-0000-0000-000061140000}"/>
    <cellStyle name="Normal 10 3 2 2 2 4" xfId="2961" xr:uid="{00000000-0005-0000-0000-000062140000}"/>
    <cellStyle name="Normal 10 3 2 2 2 4 2" xfId="11139" xr:uid="{00000000-0005-0000-0000-000063140000}"/>
    <cellStyle name="Normal 10 3 2 2 2 5" xfId="11134" xr:uid="{00000000-0005-0000-0000-000064140000}"/>
    <cellStyle name="Normal 10 3 2 2 3" xfId="2962" xr:uid="{00000000-0005-0000-0000-000065140000}"/>
    <cellStyle name="Normal 10 3 2 2 3 2" xfId="2963" xr:uid="{00000000-0005-0000-0000-000066140000}"/>
    <cellStyle name="Normal 10 3 2 2 3 2 2" xfId="11141" xr:uid="{00000000-0005-0000-0000-000067140000}"/>
    <cellStyle name="Normal 10 3 2 2 3 3" xfId="11140" xr:uid="{00000000-0005-0000-0000-000068140000}"/>
    <cellStyle name="Normal 10 3 2 2 4" xfId="2964" xr:uid="{00000000-0005-0000-0000-000069140000}"/>
    <cellStyle name="Normal 10 3 2 2 4 2" xfId="2965" xr:uid="{00000000-0005-0000-0000-00006A140000}"/>
    <cellStyle name="Normal 10 3 2 2 4 2 2" xfId="11143" xr:uid="{00000000-0005-0000-0000-00006B140000}"/>
    <cellStyle name="Normal 10 3 2 2 4 3" xfId="11142" xr:uid="{00000000-0005-0000-0000-00006C140000}"/>
    <cellStyle name="Normal 10 3 2 2 5" xfId="2966" xr:uid="{00000000-0005-0000-0000-00006D140000}"/>
    <cellStyle name="Normal 10 3 2 2 5 2" xfId="11144" xr:uid="{00000000-0005-0000-0000-00006E140000}"/>
    <cellStyle name="Normal 10 3 2 2 6" xfId="11133" xr:uid="{00000000-0005-0000-0000-00006F140000}"/>
    <cellStyle name="Normal 10 3 2 3" xfId="2967" xr:uid="{00000000-0005-0000-0000-000070140000}"/>
    <cellStyle name="Normal 10 3 2 3 2" xfId="2968" xr:uid="{00000000-0005-0000-0000-000071140000}"/>
    <cellStyle name="Normal 10 3 2 3 2 2" xfId="2969" xr:uid="{00000000-0005-0000-0000-000072140000}"/>
    <cellStyle name="Normal 10 3 2 3 2 2 2" xfId="11147" xr:uid="{00000000-0005-0000-0000-000073140000}"/>
    <cellStyle name="Normal 10 3 2 3 2 3" xfId="11146" xr:uid="{00000000-0005-0000-0000-000074140000}"/>
    <cellStyle name="Normal 10 3 2 3 3" xfId="2970" xr:uid="{00000000-0005-0000-0000-000075140000}"/>
    <cellStyle name="Normal 10 3 2 3 3 2" xfId="2971" xr:uid="{00000000-0005-0000-0000-000076140000}"/>
    <cellStyle name="Normal 10 3 2 3 3 2 2" xfId="11149" xr:uid="{00000000-0005-0000-0000-000077140000}"/>
    <cellStyle name="Normal 10 3 2 3 3 3" xfId="11148" xr:uid="{00000000-0005-0000-0000-000078140000}"/>
    <cellStyle name="Normal 10 3 2 3 4" xfId="2972" xr:uid="{00000000-0005-0000-0000-000079140000}"/>
    <cellStyle name="Normal 10 3 2 3 4 2" xfId="11150" xr:uid="{00000000-0005-0000-0000-00007A140000}"/>
    <cellStyle name="Normal 10 3 2 3 5" xfId="11145" xr:uid="{00000000-0005-0000-0000-00007B140000}"/>
    <cellStyle name="Normal 10 3 2 4" xfId="2973" xr:uid="{00000000-0005-0000-0000-00007C140000}"/>
    <cellStyle name="Normal 10 3 2 4 2" xfId="2974" xr:uid="{00000000-0005-0000-0000-00007D140000}"/>
    <cellStyle name="Normal 10 3 2 4 2 2" xfId="11152" xr:uid="{00000000-0005-0000-0000-00007E140000}"/>
    <cellStyle name="Normal 10 3 2 4 3" xfId="11151" xr:uid="{00000000-0005-0000-0000-00007F140000}"/>
    <cellStyle name="Normal 10 3 2 5" xfId="2975" xr:uid="{00000000-0005-0000-0000-000080140000}"/>
    <cellStyle name="Normal 10 3 2 5 2" xfId="2976" xr:uid="{00000000-0005-0000-0000-000081140000}"/>
    <cellStyle name="Normal 10 3 2 5 2 2" xfId="11154" xr:uid="{00000000-0005-0000-0000-000082140000}"/>
    <cellStyle name="Normal 10 3 2 5 3" xfId="11153" xr:uid="{00000000-0005-0000-0000-000083140000}"/>
    <cellStyle name="Normal 10 3 2 6" xfId="2977" xr:uid="{00000000-0005-0000-0000-000084140000}"/>
    <cellStyle name="Normal 10 3 2 6 2" xfId="11155" xr:uid="{00000000-0005-0000-0000-000085140000}"/>
    <cellStyle name="Normal 10 3 2 7" xfId="11132" xr:uid="{00000000-0005-0000-0000-000086140000}"/>
    <cellStyle name="Normal 10 3 3" xfId="2978" xr:uid="{00000000-0005-0000-0000-000087140000}"/>
    <cellStyle name="Normal 10 3 3 2" xfId="2979" xr:uid="{00000000-0005-0000-0000-000088140000}"/>
    <cellStyle name="Normal 10 3 3 2 2" xfId="2980" xr:uid="{00000000-0005-0000-0000-000089140000}"/>
    <cellStyle name="Normal 10 3 3 2 2 2" xfId="2981" xr:uid="{00000000-0005-0000-0000-00008A140000}"/>
    <cellStyle name="Normal 10 3 3 2 2 2 2" xfId="11159" xr:uid="{00000000-0005-0000-0000-00008B140000}"/>
    <cellStyle name="Normal 10 3 3 2 2 3" xfId="11158" xr:uid="{00000000-0005-0000-0000-00008C140000}"/>
    <cellStyle name="Normal 10 3 3 2 3" xfId="2982" xr:uid="{00000000-0005-0000-0000-00008D140000}"/>
    <cellStyle name="Normal 10 3 3 2 3 2" xfId="2983" xr:uid="{00000000-0005-0000-0000-00008E140000}"/>
    <cellStyle name="Normal 10 3 3 2 3 2 2" xfId="11161" xr:uid="{00000000-0005-0000-0000-00008F140000}"/>
    <cellStyle name="Normal 10 3 3 2 3 3" xfId="11160" xr:uid="{00000000-0005-0000-0000-000090140000}"/>
    <cellStyle name="Normal 10 3 3 2 4" xfId="2984" xr:uid="{00000000-0005-0000-0000-000091140000}"/>
    <cellStyle name="Normal 10 3 3 2 4 2" xfId="11162" xr:uid="{00000000-0005-0000-0000-000092140000}"/>
    <cellStyle name="Normal 10 3 3 2 5" xfId="11157" xr:uid="{00000000-0005-0000-0000-000093140000}"/>
    <cellStyle name="Normal 10 3 3 3" xfId="2985" xr:uid="{00000000-0005-0000-0000-000094140000}"/>
    <cellStyle name="Normal 10 3 3 3 2" xfId="2986" xr:uid="{00000000-0005-0000-0000-000095140000}"/>
    <cellStyle name="Normal 10 3 3 3 2 2" xfId="11164" xr:uid="{00000000-0005-0000-0000-000096140000}"/>
    <cellStyle name="Normal 10 3 3 3 3" xfId="11163" xr:uid="{00000000-0005-0000-0000-000097140000}"/>
    <cellStyle name="Normal 10 3 3 4" xfId="2987" xr:uid="{00000000-0005-0000-0000-000098140000}"/>
    <cellStyle name="Normal 10 3 3 4 2" xfId="2988" xr:uid="{00000000-0005-0000-0000-000099140000}"/>
    <cellStyle name="Normal 10 3 3 4 2 2" xfId="11166" xr:uid="{00000000-0005-0000-0000-00009A140000}"/>
    <cellStyle name="Normal 10 3 3 4 3" xfId="11165" xr:uid="{00000000-0005-0000-0000-00009B140000}"/>
    <cellStyle name="Normal 10 3 3 5" xfId="2989" xr:uid="{00000000-0005-0000-0000-00009C140000}"/>
    <cellStyle name="Normal 10 3 3 5 2" xfId="11167" xr:uid="{00000000-0005-0000-0000-00009D140000}"/>
    <cellStyle name="Normal 10 3 3 6" xfId="11156" xr:uid="{00000000-0005-0000-0000-00009E140000}"/>
    <cellStyle name="Normal 10 3 4" xfId="2990" xr:uid="{00000000-0005-0000-0000-00009F140000}"/>
    <cellStyle name="Normal 10 3 4 2" xfId="2991" xr:uid="{00000000-0005-0000-0000-0000A0140000}"/>
    <cellStyle name="Normal 10 3 4 2 2" xfId="2992" xr:uid="{00000000-0005-0000-0000-0000A1140000}"/>
    <cellStyle name="Normal 10 3 4 2 2 2" xfId="11170" xr:uid="{00000000-0005-0000-0000-0000A2140000}"/>
    <cellStyle name="Normal 10 3 4 2 3" xfId="11169" xr:uid="{00000000-0005-0000-0000-0000A3140000}"/>
    <cellStyle name="Normal 10 3 4 3" xfId="2993" xr:uid="{00000000-0005-0000-0000-0000A4140000}"/>
    <cellStyle name="Normal 10 3 4 3 2" xfId="2994" xr:uid="{00000000-0005-0000-0000-0000A5140000}"/>
    <cellStyle name="Normal 10 3 4 3 2 2" xfId="11172" xr:uid="{00000000-0005-0000-0000-0000A6140000}"/>
    <cellStyle name="Normal 10 3 4 3 3" xfId="11171" xr:uid="{00000000-0005-0000-0000-0000A7140000}"/>
    <cellStyle name="Normal 10 3 4 4" xfId="2995" xr:uid="{00000000-0005-0000-0000-0000A8140000}"/>
    <cellStyle name="Normal 10 3 4 4 2" xfId="11173" xr:uid="{00000000-0005-0000-0000-0000A9140000}"/>
    <cellStyle name="Normal 10 3 4 5" xfId="11168" xr:uid="{00000000-0005-0000-0000-0000AA140000}"/>
    <cellStyle name="Normal 10 3 5" xfId="2996" xr:uid="{00000000-0005-0000-0000-0000AB140000}"/>
    <cellStyle name="Normal 10 3 5 2" xfId="2997" xr:uid="{00000000-0005-0000-0000-0000AC140000}"/>
    <cellStyle name="Normal 10 3 5 2 2" xfId="11175" xr:uid="{00000000-0005-0000-0000-0000AD140000}"/>
    <cellStyle name="Normal 10 3 5 3" xfId="11174" xr:uid="{00000000-0005-0000-0000-0000AE140000}"/>
    <cellStyle name="Normal 10 3 6" xfId="2998" xr:uid="{00000000-0005-0000-0000-0000AF140000}"/>
    <cellStyle name="Normal 10 3 6 2" xfId="2999" xr:uid="{00000000-0005-0000-0000-0000B0140000}"/>
    <cellStyle name="Normal 10 3 6 2 2" xfId="11177" xr:uid="{00000000-0005-0000-0000-0000B1140000}"/>
    <cellStyle name="Normal 10 3 6 3" xfId="11176" xr:uid="{00000000-0005-0000-0000-0000B2140000}"/>
    <cellStyle name="Normal 10 3 7" xfId="3000" xr:uid="{00000000-0005-0000-0000-0000B3140000}"/>
    <cellStyle name="Normal 10 3 7 2" xfId="11178" xr:uid="{00000000-0005-0000-0000-0000B4140000}"/>
    <cellStyle name="Normal 10 3 8" xfId="3001" xr:uid="{00000000-0005-0000-0000-0000B5140000}"/>
    <cellStyle name="Normal 10 3 8 2" xfId="11179" xr:uid="{00000000-0005-0000-0000-0000B6140000}"/>
    <cellStyle name="Normal 10 3 9" xfId="11131" xr:uid="{00000000-0005-0000-0000-0000B7140000}"/>
    <cellStyle name="Normal 10 4" xfId="3002" xr:uid="{00000000-0005-0000-0000-0000B8140000}"/>
    <cellStyle name="Normal 10 4 2" xfId="3003" xr:uid="{00000000-0005-0000-0000-0000B9140000}"/>
    <cellStyle name="Normal 10 4 2 2" xfId="3004" xr:uid="{00000000-0005-0000-0000-0000BA140000}"/>
    <cellStyle name="Normal 10 4 2 2 2" xfId="3005" xr:uid="{00000000-0005-0000-0000-0000BB140000}"/>
    <cellStyle name="Normal 10 4 2 2 2 2" xfId="3006" xr:uid="{00000000-0005-0000-0000-0000BC140000}"/>
    <cellStyle name="Normal 10 4 2 2 2 2 2" xfId="3007" xr:uid="{00000000-0005-0000-0000-0000BD140000}"/>
    <cellStyle name="Normal 10 4 2 2 2 2 2 2" xfId="11185" xr:uid="{00000000-0005-0000-0000-0000BE140000}"/>
    <cellStyle name="Normal 10 4 2 2 2 2 3" xfId="11184" xr:uid="{00000000-0005-0000-0000-0000BF140000}"/>
    <cellStyle name="Normal 10 4 2 2 2 3" xfId="3008" xr:uid="{00000000-0005-0000-0000-0000C0140000}"/>
    <cellStyle name="Normal 10 4 2 2 2 3 2" xfId="3009" xr:uid="{00000000-0005-0000-0000-0000C1140000}"/>
    <cellStyle name="Normal 10 4 2 2 2 3 2 2" xfId="11187" xr:uid="{00000000-0005-0000-0000-0000C2140000}"/>
    <cellStyle name="Normal 10 4 2 2 2 3 3" xfId="11186" xr:uid="{00000000-0005-0000-0000-0000C3140000}"/>
    <cellStyle name="Normal 10 4 2 2 2 4" xfId="3010" xr:uid="{00000000-0005-0000-0000-0000C4140000}"/>
    <cellStyle name="Normal 10 4 2 2 2 4 2" xfId="11188" xr:uid="{00000000-0005-0000-0000-0000C5140000}"/>
    <cellStyle name="Normal 10 4 2 2 2 5" xfId="11183" xr:uid="{00000000-0005-0000-0000-0000C6140000}"/>
    <cellStyle name="Normal 10 4 2 2 3" xfId="3011" xr:uid="{00000000-0005-0000-0000-0000C7140000}"/>
    <cellStyle name="Normal 10 4 2 2 3 2" xfId="3012" xr:uid="{00000000-0005-0000-0000-0000C8140000}"/>
    <cellStyle name="Normal 10 4 2 2 3 2 2" xfId="11190" xr:uid="{00000000-0005-0000-0000-0000C9140000}"/>
    <cellStyle name="Normal 10 4 2 2 3 3" xfId="11189" xr:uid="{00000000-0005-0000-0000-0000CA140000}"/>
    <cellStyle name="Normal 10 4 2 2 4" xfId="3013" xr:uid="{00000000-0005-0000-0000-0000CB140000}"/>
    <cellStyle name="Normal 10 4 2 2 4 2" xfId="3014" xr:uid="{00000000-0005-0000-0000-0000CC140000}"/>
    <cellStyle name="Normal 10 4 2 2 4 2 2" xfId="11192" xr:uid="{00000000-0005-0000-0000-0000CD140000}"/>
    <cellStyle name="Normal 10 4 2 2 4 3" xfId="11191" xr:uid="{00000000-0005-0000-0000-0000CE140000}"/>
    <cellStyle name="Normal 10 4 2 2 5" xfId="3015" xr:uid="{00000000-0005-0000-0000-0000CF140000}"/>
    <cellStyle name="Normal 10 4 2 2 5 2" xfId="11193" xr:uid="{00000000-0005-0000-0000-0000D0140000}"/>
    <cellStyle name="Normal 10 4 2 2 6" xfId="11182" xr:uid="{00000000-0005-0000-0000-0000D1140000}"/>
    <cellStyle name="Normal 10 4 2 3" xfId="3016" xr:uid="{00000000-0005-0000-0000-0000D2140000}"/>
    <cellStyle name="Normal 10 4 2 3 2" xfId="3017" xr:uid="{00000000-0005-0000-0000-0000D3140000}"/>
    <cellStyle name="Normal 10 4 2 3 2 2" xfId="3018" xr:uid="{00000000-0005-0000-0000-0000D4140000}"/>
    <cellStyle name="Normal 10 4 2 3 2 2 2" xfId="11196" xr:uid="{00000000-0005-0000-0000-0000D5140000}"/>
    <cellStyle name="Normal 10 4 2 3 2 3" xfId="11195" xr:uid="{00000000-0005-0000-0000-0000D6140000}"/>
    <cellStyle name="Normal 10 4 2 3 3" xfId="3019" xr:uid="{00000000-0005-0000-0000-0000D7140000}"/>
    <cellStyle name="Normal 10 4 2 3 3 2" xfId="3020" xr:uid="{00000000-0005-0000-0000-0000D8140000}"/>
    <cellStyle name="Normal 10 4 2 3 3 2 2" xfId="11198" xr:uid="{00000000-0005-0000-0000-0000D9140000}"/>
    <cellStyle name="Normal 10 4 2 3 3 3" xfId="11197" xr:uid="{00000000-0005-0000-0000-0000DA140000}"/>
    <cellStyle name="Normal 10 4 2 3 4" xfId="3021" xr:uid="{00000000-0005-0000-0000-0000DB140000}"/>
    <cellStyle name="Normal 10 4 2 3 4 2" xfId="11199" xr:uid="{00000000-0005-0000-0000-0000DC140000}"/>
    <cellStyle name="Normal 10 4 2 3 5" xfId="11194" xr:uid="{00000000-0005-0000-0000-0000DD140000}"/>
    <cellStyle name="Normal 10 4 2 4" xfId="3022" xr:uid="{00000000-0005-0000-0000-0000DE140000}"/>
    <cellStyle name="Normal 10 4 2 4 2" xfId="3023" xr:uid="{00000000-0005-0000-0000-0000DF140000}"/>
    <cellStyle name="Normal 10 4 2 4 2 2" xfId="11201" xr:uid="{00000000-0005-0000-0000-0000E0140000}"/>
    <cellStyle name="Normal 10 4 2 4 3" xfId="11200" xr:uid="{00000000-0005-0000-0000-0000E1140000}"/>
    <cellStyle name="Normal 10 4 2 5" xfId="3024" xr:uid="{00000000-0005-0000-0000-0000E2140000}"/>
    <cellStyle name="Normal 10 4 2 5 2" xfId="3025" xr:uid="{00000000-0005-0000-0000-0000E3140000}"/>
    <cellStyle name="Normal 10 4 2 5 2 2" xfId="11203" xr:uid="{00000000-0005-0000-0000-0000E4140000}"/>
    <cellStyle name="Normal 10 4 2 5 3" xfId="11202" xr:uid="{00000000-0005-0000-0000-0000E5140000}"/>
    <cellStyle name="Normal 10 4 2 6" xfId="3026" xr:uid="{00000000-0005-0000-0000-0000E6140000}"/>
    <cellStyle name="Normal 10 4 2 6 2" xfId="11204" xr:uid="{00000000-0005-0000-0000-0000E7140000}"/>
    <cellStyle name="Normal 10 4 2 7" xfId="11181" xr:uid="{00000000-0005-0000-0000-0000E8140000}"/>
    <cellStyle name="Normal 10 4 3" xfId="3027" xr:uid="{00000000-0005-0000-0000-0000E9140000}"/>
    <cellStyle name="Normal 10 4 3 2" xfId="3028" xr:uid="{00000000-0005-0000-0000-0000EA140000}"/>
    <cellStyle name="Normal 10 4 3 2 2" xfId="3029" xr:uid="{00000000-0005-0000-0000-0000EB140000}"/>
    <cellStyle name="Normal 10 4 3 2 2 2" xfId="3030" xr:uid="{00000000-0005-0000-0000-0000EC140000}"/>
    <cellStyle name="Normal 10 4 3 2 2 2 2" xfId="11208" xr:uid="{00000000-0005-0000-0000-0000ED140000}"/>
    <cellStyle name="Normal 10 4 3 2 2 3" xfId="11207" xr:uid="{00000000-0005-0000-0000-0000EE140000}"/>
    <cellStyle name="Normal 10 4 3 2 3" xfId="3031" xr:uid="{00000000-0005-0000-0000-0000EF140000}"/>
    <cellStyle name="Normal 10 4 3 2 3 2" xfId="3032" xr:uid="{00000000-0005-0000-0000-0000F0140000}"/>
    <cellStyle name="Normal 10 4 3 2 3 2 2" xfId="11210" xr:uid="{00000000-0005-0000-0000-0000F1140000}"/>
    <cellStyle name="Normal 10 4 3 2 3 3" xfId="11209" xr:uid="{00000000-0005-0000-0000-0000F2140000}"/>
    <cellStyle name="Normal 10 4 3 2 4" xfId="3033" xr:uid="{00000000-0005-0000-0000-0000F3140000}"/>
    <cellStyle name="Normal 10 4 3 2 4 2" xfId="11211" xr:uid="{00000000-0005-0000-0000-0000F4140000}"/>
    <cellStyle name="Normal 10 4 3 2 5" xfId="11206" xr:uid="{00000000-0005-0000-0000-0000F5140000}"/>
    <cellStyle name="Normal 10 4 3 3" xfId="3034" xr:uid="{00000000-0005-0000-0000-0000F6140000}"/>
    <cellStyle name="Normal 10 4 3 3 2" xfId="3035" xr:uid="{00000000-0005-0000-0000-0000F7140000}"/>
    <cellStyle name="Normal 10 4 3 3 2 2" xfId="11213" xr:uid="{00000000-0005-0000-0000-0000F8140000}"/>
    <cellStyle name="Normal 10 4 3 3 3" xfId="11212" xr:uid="{00000000-0005-0000-0000-0000F9140000}"/>
    <cellStyle name="Normal 10 4 3 4" xfId="3036" xr:uid="{00000000-0005-0000-0000-0000FA140000}"/>
    <cellStyle name="Normal 10 4 3 4 2" xfId="3037" xr:uid="{00000000-0005-0000-0000-0000FB140000}"/>
    <cellStyle name="Normal 10 4 3 4 2 2" xfId="11215" xr:uid="{00000000-0005-0000-0000-0000FC140000}"/>
    <cellStyle name="Normal 10 4 3 4 3" xfId="11214" xr:uid="{00000000-0005-0000-0000-0000FD140000}"/>
    <cellStyle name="Normal 10 4 3 5" xfId="3038" xr:uid="{00000000-0005-0000-0000-0000FE140000}"/>
    <cellStyle name="Normal 10 4 3 5 2" xfId="11216" xr:uid="{00000000-0005-0000-0000-0000FF140000}"/>
    <cellStyle name="Normal 10 4 3 6" xfId="11205" xr:uid="{00000000-0005-0000-0000-000000150000}"/>
    <cellStyle name="Normal 10 4 4" xfId="3039" xr:uid="{00000000-0005-0000-0000-000001150000}"/>
    <cellStyle name="Normal 10 4 4 2" xfId="3040" xr:uid="{00000000-0005-0000-0000-000002150000}"/>
    <cellStyle name="Normal 10 4 4 2 2" xfId="3041" xr:uid="{00000000-0005-0000-0000-000003150000}"/>
    <cellStyle name="Normal 10 4 4 2 2 2" xfId="11219" xr:uid="{00000000-0005-0000-0000-000004150000}"/>
    <cellStyle name="Normal 10 4 4 2 3" xfId="11218" xr:uid="{00000000-0005-0000-0000-000005150000}"/>
    <cellStyle name="Normal 10 4 4 3" xfId="3042" xr:uid="{00000000-0005-0000-0000-000006150000}"/>
    <cellStyle name="Normal 10 4 4 3 2" xfId="3043" xr:uid="{00000000-0005-0000-0000-000007150000}"/>
    <cellStyle name="Normal 10 4 4 3 2 2" xfId="11221" xr:uid="{00000000-0005-0000-0000-000008150000}"/>
    <cellStyle name="Normal 10 4 4 3 3" xfId="11220" xr:uid="{00000000-0005-0000-0000-000009150000}"/>
    <cellStyle name="Normal 10 4 4 4" xfId="3044" xr:uid="{00000000-0005-0000-0000-00000A150000}"/>
    <cellStyle name="Normal 10 4 4 4 2" xfId="11222" xr:uid="{00000000-0005-0000-0000-00000B150000}"/>
    <cellStyle name="Normal 10 4 4 5" xfId="11217" xr:uid="{00000000-0005-0000-0000-00000C150000}"/>
    <cellStyle name="Normal 10 4 5" xfId="3045" xr:uid="{00000000-0005-0000-0000-00000D150000}"/>
    <cellStyle name="Normal 10 4 5 2" xfId="3046" xr:uid="{00000000-0005-0000-0000-00000E150000}"/>
    <cellStyle name="Normal 10 4 5 2 2" xfId="11224" xr:uid="{00000000-0005-0000-0000-00000F150000}"/>
    <cellStyle name="Normal 10 4 5 3" xfId="11223" xr:uid="{00000000-0005-0000-0000-000010150000}"/>
    <cellStyle name="Normal 10 4 6" xfId="3047" xr:uid="{00000000-0005-0000-0000-000011150000}"/>
    <cellStyle name="Normal 10 4 6 2" xfId="3048" xr:uid="{00000000-0005-0000-0000-000012150000}"/>
    <cellStyle name="Normal 10 4 6 2 2" xfId="11226" xr:uid="{00000000-0005-0000-0000-000013150000}"/>
    <cellStyle name="Normal 10 4 6 3" xfId="11225" xr:uid="{00000000-0005-0000-0000-000014150000}"/>
    <cellStyle name="Normal 10 4 7" xfId="3049" xr:uid="{00000000-0005-0000-0000-000015150000}"/>
    <cellStyle name="Normal 10 4 7 2" xfId="11227" xr:uid="{00000000-0005-0000-0000-000016150000}"/>
    <cellStyle name="Normal 10 4 8" xfId="11180" xr:uid="{00000000-0005-0000-0000-000017150000}"/>
    <cellStyle name="Normal 10 5" xfId="3050" xr:uid="{00000000-0005-0000-0000-000018150000}"/>
    <cellStyle name="Normal 10 5 2" xfId="3051" xr:uid="{00000000-0005-0000-0000-000019150000}"/>
    <cellStyle name="Normal 10 5 2 2" xfId="3052" xr:uid="{00000000-0005-0000-0000-00001A150000}"/>
    <cellStyle name="Normal 10 5 2 2 2" xfId="3053" xr:uid="{00000000-0005-0000-0000-00001B150000}"/>
    <cellStyle name="Normal 10 5 2 2 2 2" xfId="3054" xr:uid="{00000000-0005-0000-0000-00001C150000}"/>
    <cellStyle name="Normal 10 5 2 2 2 2 2" xfId="11232" xr:uid="{00000000-0005-0000-0000-00001D150000}"/>
    <cellStyle name="Normal 10 5 2 2 2 3" xfId="11231" xr:uid="{00000000-0005-0000-0000-00001E150000}"/>
    <cellStyle name="Normal 10 5 2 2 3" xfId="3055" xr:uid="{00000000-0005-0000-0000-00001F150000}"/>
    <cellStyle name="Normal 10 5 2 2 3 2" xfId="3056" xr:uid="{00000000-0005-0000-0000-000020150000}"/>
    <cellStyle name="Normal 10 5 2 2 3 2 2" xfId="11234" xr:uid="{00000000-0005-0000-0000-000021150000}"/>
    <cellStyle name="Normal 10 5 2 2 3 3" xfId="11233" xr:uid="{00000000-0005-0000-0000-000022150000}"/>
    <cellStyle name="Normal 10 5 2 2 4" xfId="3057" xr:uid="{00000000-0005-0000-0000-000023150000}"/>
    <cellStyle name="Normal 10 5 2 2 4 2" xfId="11235" xr:uid="{00000000-0005-0000-0000-000024150000}"/>
    <cellStyle name="Normal 10 5 2 2 5" xfId="11230" xr:uid="{00000000-0005-0000-0000-000025150000}"/>
    <cellStyle name="Normal 10 5 2 3" xfId="3058" xr:uid="{00000000-0005-0000-0000-000026150000}"/>
    <cellStyle name="Normal 10 5 2 3 2" xfId="3059" xr:uid="{00000000-0005-0000-0000-000027150000}"/>
    <cellStyle name="Normal 10 5 2 3 2 2" xfId="11237" xr:uid="{00000000-0005-0000-0000-000028150000}"/>
    <cellStyle name="Normal 10 5 2 3 3" xfId="11236" xr:uid="{00000000-0005-0000-0000-000029150000}"/>
    <cellStyle name="Normal 10 5 2 4" xfId="3060" xr:uid="{00000000-0005-0000-0000-00002A150000}"/>
    <cellStyle name="Normal 10 5 2 4 2" xfId="3061" xr:uid="{00000000-0005-0000-0000-00002B150000}"/>
    <cellStyle name="Normal 10 5 2 4 2 2" xfId="11239" xr:uid="{00000000-0005-0000-0000-00002C150000}"/>
    <cellStyle name="Normal 10 5 2 4 3" xfId="11238" xr:uid="{00000000-0005-0000-0000-00002D150000}"/>
    <cellStyle name="Normal 10 5 2 5" xfId="3062" xr:uid="{00000000-0005-0000-0000-00002E150000}"/>
    <cellStyle name="Normal 10 5 2 5 2" xfId="11240" xr:uid="{00000000-0005-0000-0000-00002F150000}"/>
    <cellStyle name="Normal 10 5 2 6" xfId="11229" xr:uid="{00000000-0005-0000-0000-000030150000}"/>
    <cellStyle name="Normal 10 5 3" xfId="3063" xr:uid="{00000000-0005-0000-0000-000031150000}"/>
    <cellStyle name="Normal 10 5 3 2" xfId="3064" xr:uid="{00000000-0005-0000-0000-000032150000}"/>
    <cellStyle name="Normal 10 5 3 2 2" xfId="3065" xr:uid="{00000000-0005-0000-0000-000033150000}"/>
    <cellStyle name="Normal 10 5 3 2 2 2" xfId="11243" xr:uid="{00000000-0005-0000-0000-000034150000}"/>
    <cellStyle name="Normal 10 5 3 2 3" xfId="11242" xr:uid="{00000000-0005-0000-0000-000035150000}"/>
    <cellStyle name="Normal 10 5 3 3" xfId="3066" xr:uid="{00000000-0005-0000-0000-000036150000}"/>
    <cellStyle name="Normal 10 5 3 3 2" xfId="3067" xr:uid="{00000000-0005-0000-0000-000037150000}"/>
    <cellStyle name="Normal 10 5 3 3 2 2" xfId="11245" xr:uid="{00000000-0005-0000-0000-000038150000}"/>
    <cellStyle name="Normal 10 5 3 3 3" xfId="11244" xr:uid="{00000000-0005-0000-0000-000039150000}"/>
    <cellStyle name="Normal 10 5 3 4" xfId="3068" xr:uid="{00000000-0005-0000-0000-00003A150000}"/>
    <cellStyle name="Normal 10 5 3 4 2" xfId="11246" xr:uid="{00000000-0005-0000-0000-00003B150000}"/>
    <cellStyle name="Normal 10 5 3 5" xfId="11241" xr:uid="{00000000-0005-0000-0000-00003C150000}"/>
    <cellStyle name="Normal 10 5 4" xfId="3069" xr:uid="{00000000-0005-0000-0000-00003D150000}"/>
    <cellStyle name="Normal 10 5 4 2" xfId="3070" xr:uid="{00000000-0005-0000-0000-00003E150000}"/>
    <cellStyle name="Normal 10 5 4 2 2" xfId="11248" xr:uid="{00000000-0005-0000-0000-00003F150000}"/>
    <cellStyle name="Normal 10 5 4 3" xfId="11247" xr:uid="{00000000-0005-0000-0000-000040150000}"/>
    <cellStyle name="Normal 10 5 5" xfId="3071" xr:uid="{00000000-0005-0000-0000-000041150000}"/>
    <cellStyle name="Normal 10 5 5 2" xfId="3072" xr:uid="{00000000-0005-0000-0000-000042150000}"/>
    <cellStyle name="Normal 10 5 5 2 2" xfId="11250" xr:uid="{00000000-0005-0000-0000-000043150000}"/>
    <cellStyle name="Normal 10 5 5 3" xfId="11249" xr:uid="{00000000-0005-0000-0000-000044150000}"/>
    <cellStyle name="Normal 10 5 6" xfId="3073" xr:uid="{00000000-0005-0000-0000-000045150000}"/>
    <cellStyle name="Normal 10 5 6 2" xfId="11251" xr:uid="{00000000-0005-0000-0000-000046150000}"/>
    <cellStyle name="Normal 10 5 7" xfId="11228" xr:uid="{00000000-0005-0000-0000-000047150000}"/>
    <cellStyle name="Normal 10 6" xfId="3074" xr:uid="{00000000-0005-0000-0000-000048150000}"/>
    <cellStyle name="Normal 10 6 2" xfId="3075" xr:uid="{00000000-0005-0000-0000-000049150000}"/>
    <cellStyle name="Normal 10 6 2 2" xfId="3076" xr:uid="{00000000-0005-0000-0000-00004A150000}"/>
    <cellStyle name="Normal 10 6 2 2 2" xfId="3077" xr:uid="{00000000-0005-0000-0000-00004B150000}"/>
    <cellStyle name="Normal 10 6 2 2 2 2" xfId="11255" xr:uid="{00000000-0005-0000-0000-00004C150000}"/>
    <cellStyle name="Normal 10 6 2 2 3" xfId="11254" xr:uid="{00000000-0005-0000-0000-00004D150000}"/>
    <cellStyle name="Normal 10 6 2 3" xfId="3078" xr:uid="{00000000-0005-0000-0000-00004E150000}"/>
    <cellStyle name="Normal 10 6 2 3 2" xfId="3079" xr:uid="{00000000-0005-0000-0000-00004F150000}"/>
    <cellStyle name="Normal 10 6 2 3 2 2" xfId="11257" xr:uid="{00000000-0005-0000-0000-000050150000}"/>
    <cellStyle name="Normal 10 6 2 3 3" xfId="11256" xr:uid="{00000000-0005-0000-0000-000051150000}"/>
    <cellStyle name="Normal 10 6 2 4" xfId="3080" xr:uid="{00000000-0005-0000-0000-000052150000}"/>
    <cellStyle name="Normal 10 6 2 4 2" xfId="11258" xr:uid="{00000000-0005-0000-0000-000053150000}"/>
    <cellStyle name="Normal 10 6 2 5" xfId="11253" xr:uid="{00000000-0005-0000-0000-000054150000}"/>
    <cellStyle name="Normal 10 6 3" xfId="3081" xr:uid="{00000000-0005-0000-0000-000055150000}"/>
    <cellStyle name="Normal 10 6 3 2" xfId="3082" xr:uid="{00000000-0005-0000-0000-000056150000}"/>
    <cellStyle name="Normal 10 6 3 2 2" xfId="11260" xr:uid="{00000000-0005-0000-0000-000057150000}"/>
    <cellStyle name="Normal 10 6 3 3" xfId="11259" xr:uid="{00000000-0005-0000-0000-000058150000}"/>
    <cellStyle name="Normal 10 6 4" xfId="3083" xr:uid="{00000000-0005-0000-0000-000059150000}"/>
    <cellStyle name="Normal 10 6 4 2" xfId="3084" xr:uid="{00000000-0005-0000-0000-00005A150000}"/>
    <cellStyle name="Normal 10 6 4 2 2" xfId="11262" xr:uid="{00000000-0005-0000-0000-00005B150000}"/>
    <cellStyle name="Normal 10 6 4 3" xfId="11261" xr:uid="{00000000-0005-0000-0000-00005C150000}"/>
    <cellStyle name="Normal 10 6 5" xfId="3085" xr:uid="{00000000-0005-0000-0000-00005D150000}"/>
    <cellStyle name="Normal 10 6 5 2" xfId="11263" xr:uid="{00000000-0005-0000-0000-00005E150000}"/>
    <cellStyle name="Normal 10 6 6" xfId="11252" xr:uid="{00000000-0005-0000-0000-00005F150000}"/>
    <cellStyle name="Normal 10 7" xfId="3086" xr:uid="{00000000-0005-0000-0000-000060150000}"/>
    <cellStyle name="Normal 10 7 2" xfId="3087" xr:uid="{00000000-0005-0000-0000-000061150000}"/>
    <cellStyle name="Normal 10 7 2 2" xfId="3088" xr:uid="{00000000-0005-0000-0000-000062150000}"/>
    <cellStyle name="Normal 10 7 2 2 2" xfId="11266" xr:uid="{00000000-0005-0000-0000-000063150000}"/>
    <cellStyle name="Normal 10 7 2 3" xfId="11265" xr:uid="{00000000-0005-0000-0000-000064150000}"/>
    <cellStyle name="Normal 10 7 3" xfId="3089" xr:uid="{00000000-0005-0000-0000-000065150000}"/>
    <cellStyle name="Normal 10 7 3 2" xfId="3090" xr:uid="{00000000-0005-0000-0000-000066150000}"/>
    <cellStyle name="Normal 10 7 3 2 2" xfId="11268" xr:uid="{00000000-0005-0000-0000-000067150000}"/>
    <cellStyle name="Normal 10 7 3 3" xfId="11267" xr:uid="{00000000-0005-0000-0000-000068150000}"/>
    <cellStyle name="Normal 10 7 4" xfId="3091" xr:uid="{00000000-0005-0000-0000-000069150000}"/>
    <cellStyle name="Normal 10 7 4 2" xfId="11269" xr:uid="{00000000-0005-0000-0000-00006A150000}"/>
    <cellStyle name="Normal 10 7 5" xfId="11264" xr:uid="{00000000-0005-0000-0000-00006B150000}"/>
    <cellStyle name="Normal 10 8" xfId="3092" xr:uid="{00000000-0005-0000-0000-00006C150000}"/>
    <cellStyle name="Normal 10 8 2" xfId="3093" xr:uid="{00000000-0005-0000-0000-00006D150000}"/>
    <cellStyle name="Normal 10 8 2 2" xfId="11271" xr:uid="{00000000-0005-0000-0000-00006E150000}"/>
    <cellStyle name="Normal 10 8 3" xfId="11270" xr:uid="{00000000-0005-0000-0000-00006F150000}"/>
    <cellStyle name="Normal 10 9" xfId="3094" xr:uid="{00000000-0005-0000-0000-000070150000}"/>
    <cellStyle name="Normal 10 9 2" xfId="3095" xr:uid="{00000000-0005-0000-0000-000071150000}"/>
    <cellStyle name="Normal 10 9 2 2" xfId="11272" xr:uid="{00000000-0005-0000-0000-000072150000}"/>
    <cellStyle name="Normal 10_2112 DF Schedule" xfId="3096" xr:uid="{00000000-0005-0000-0000-000073150000}"/>
    <cellStyle name="Normal 100" xfId="3097" xr:uid="{00000000-0005-0000-0000-000074150000}"/>
    <cellStyle name="Normal 100 2" xfId="3098" xr:uid="{00000000-0005-0000-0000-000075150000}"/>
    <cellStyle name="Normal 100 2 2" xfId="11274" xr:uid="{00000000-0005-0000-0000-000076150000}"/>
    <cellStyle name="Normal 100 3" xfId="3099" xr:uid="{00000000-0005-0000-0000-000077150000}"/>
    <cellStyle name="Normal 100 3 2" xfId="11275" xr:uid="{00000000-0005-0000-0000-000078150000}"/>
    <cellStyle name="Normal 100 4" xfId="11273" xr:uid="{00000000-0005-0000-0000-000079150000}"/>
    <cellStyle name="Normal 101" xfId="3100" xr:uid="{00000000-0005-0000-0000-00007A150000}"/>
    <cellStyle name="Normal 101 2" xfId="3101" xr:uid="{00000000-0005-0000-0000-00007B150000}"/>
    <cellStyle name="Normal 101 2 2" xfId="11277" xr:uid="{00000000-0005-0000-0000-00007C150000}"/>
    <cellStyle name="Normal 101 3" xfId="11276" xr:uid="{00000000-0005-0000-0000-00007D150000}"/>
    <cellStyle name="Normal 102" xfId="3102" xr:uid="{00000000-0005-0000-0000-00007E150000}"/>
    <cellStyle name="Normal 102 2" xfId="3103" xr:uid="{00000000-0005-0000-0000-00007F150000}"/>
    <cellStyle name="Normal 102 2 2" xfId="11279" xr:uid="{00000000-0005-0000-0000-000080150000}"/>
    <cellStyle name="Normal 102 3" xfId="11278" xr:uid="{00000000-0005-0000-0000-000081150000}"/>
    <cellStyle name="Normal 103" xfId="3104" xr:uid="{00000000-0005-0000-0000-000082150000}"/>
    <cellStyle name="Normal 103 2" xfId="3105" xr:uid="{00000000-0005-0000-0000-000083150000}"/>
    <cellStyle name="Normal 103 2 2" xfId="11281" xr:uid="{00000000-0005-0000-0000-000084150000}"/>
    <cellStyle name="Normal 103 3" xfId="11280" xr:uid="{00000000-0005-0000-0000-000085150000}"/>
    <cellStyle name="Normal 104" xfId="3106" xr:uid="{00000000-0005-0000-0000-000086150000}"/>
    <cellStyle name="Normal 104 2" xfId="3107" xr:uid="{00000000-0005-0000-0000-000087150000}"/>
    <cellStyle name="Normal 104 2 2" xfId="11283" xr:uid="{00000000-0005-0000-0000-000088150000}"/>
    <cellStyle name="Normal 104 3" xfId="11282" xr:uid="{00000000-0005-0000-0000-000089150000}"/>
    <cellStyle name="Normal 105" xfId="3108" xr:uid="{00000000-0005-0000-0000-00008A150000}"/>
    <cellStyle name="Normal 105 2" xfId="3109" xr:uid="{00000000-0005-0000-0000-00008B150000}"/>
    <cellStyle name="Normal 105 2 2" xfId="11285" xr:uid="{00000000-0005-0000-0000-00008C150000}"/>
    <cellStyle name="Normal 105 3" xfId="11284" xr:uid="{00000000-0005-0000-0000-00008D150000}"/>
    <cellStyle name="Normal 106" xfId="3110" xr:uid="{00000000-0005-0000-0000-00008E150000}"/>
    <cellStyle name="Normal 106 2" xfId="11286" xr:uid="{00000000-0005-0000-0000-00008F150000}"/>
    <cellStyle name="Normal 107" xfId="3111" xr:uid="{00000000-0005-0000-0000-000090150000}"/>
    <cellStyle name="Normal 107 2" xfId="3112" xr:uid="{00000000-0005-0000-0000-000091150000}"/>
    <cellStyle name="Normal 107 2 2" xfId="11288" xr:uid="{00000000-0005-0000-0000-000092150000}"/>
    <cellStyle name="Normal 107 3" xfId="11287" xr:uid="{00000000-0005-0000-0000-000093150000}"/>
    <cellStyle name="Normal 108" xfId="3113" xr:uid="{00000000-0005-0000-0000-000094150000}"/>
    <cellStyle name="Normal 108 2" xfId="3114" xr:uid="{00000000-0005-0000-0000-000095150000}"/>
    <cellStyle name="Normal 108 2 2" xfId="11290" xr:uid="{00000000-0005-0000-0000-000096150000}"/>
    <cellStyle name="Normal 108 3" xfId="11289" xr:uid="{00000000-0005-0000-0000-000097150000}"/>
    <cellStyle name="Normal 109" xfId="3115" xr:uid="{00000000-0005-0000-0000-000098150000}"/>
    <cellStyle name="Normal 109 2" xfId="3116" xr:uid="{00000000-0005-0000-0000-000099150000}"/>
    <cellStyle name="Normal 109 2 2" xfId="3117" xr:uid="{00000000-0005-0000-0000-00009A150000}"/>
    <cellStyle name="Normal 109 2 3" xfId="11292" xr:uid="{00000000-0005-0000-0000-00009B150000}"/>
    <cellStyle name="Normal 109 3" xfId="3118" xr:uid="{00000000-0005-0000-0000-00009C150000}"/>
    <cellStyle name="Normal 109 3 2" xfId="11293" xr:uid="{00000000-0005-0000-0000-00009D150000}"/>
    <cellStyle name="Normal 109 4" xfId="3119" xr:uid="{00000000-0005-0000-0000-00009E150000}"/>
    <cellStyle name="Normal 109 5" xfId="11291" xr:uid="{00000000-0005-0000-0000-00009F150000}"/>
    <cellStyle name="Normal 11" xfId="3120" xr:uid="{00000000-0005-0000-0000-0000A0150000}"/>
    <cellStyle name="Normal 11 10" xfId="3121" xr:uid="{00000000-0005-0000-0000-0000A1150000}"/>
    <cellStyle name="Normal 11 10 2" xfId="11294" xr:uid="{00000000-0005-0000-0000-0000A2150000}"/>
    <cellStyle name="Normal 11 11" xfId="3122" xr:uid="{00000000-0005-0000-0000-0000A3150000}"/>
    <cellStyle name="Normal 11 11 2" xfId="11295" xr:uid="{00000000-0005-0000-0000-0000A4150000}"/>
    <cellStyle name="Normal 11 12" xfId="3123" xr:uid="{00000000-0005-0000-0000-0000A5150000}"/>
    <cellStyle name="Normal 11 12 2" xfId="11296" xr:uid="{00000000-0005-0000-0000-0000A6150000}"/>
    <cellStyle name="Normal 11 2" xfId="3124" xr:uid="{00000000-0005-0000-0000-0000A7150000}"/>
    <cellStyle name="Normal 11 2 10" xfId="11297" xr:uid="{00000000-0005-0000-0000-0000A8150000}"/>
    <cellStyle name="Normal 11 2 2" xfId="3125" xr:uid="{00000000-0005-0000-0000-0000A9150000}"/>
    <cellStyle name="Normal 11 2 2 2" xfId="3126" xr:uid="{00000000-0005-0000-0000-0000AA150000}"/>
    <cellStyle name="Normal 11 2 2 2 2" xfId="3127" xr:uid="{00000000-0005-0000-0000-0000AB150000}"/>
    <cellStyle name="Normal 11 2 2 2 2 2" xfId="3128" xr:uid="{00000000-0005-0000-0000-0000AC150000}"/>
    <cellStyle name="Normal 11 2 2 2 2 2 2" xfId="3129" xr:uid="{00000000-0005-0000-0000-0000AD150000}"/>
    <cellStyle name="Normal 11 2 2 2 2 2 2 2" xfId="3130" xr:uid="{00000000-0005-0000-0000-0000AE150000}"/>
    <cellStyle name="Normal 11 2 2 2 2 2 2 2 2" xfId="11302" xr:uid="{00000000-0005-0000-0000-0000AF150000}"/>
    <cellStyle name="Normal 11 2 2 2 2 2 2 3" xfId="11301" xr:uid="{00000000-0005-0000-0000-0000B0150000}"/>
    <cellStyle name="Normal 11 2 2 2 2 2 3" xfId="3131" xr:uid="{00000000-0005-0000-0000-0000B1150000}"/>
    <cellStyle name="Normal 11 2 2 2 2 2 3 2" xfId="3132" xr:uid="{00000000-0005-0000-0000-0000B2150000}"/>
    <cellStyle name="Normal 11 2 2 2 2 2 3 2 2" xfId="11304" xr:uid="{00000000-0005-0000-0000-0000B3150000}"/>
    <cellStyle name="Normal 11 2 2 2 2 2 3 3" xfId="11303" xr:uid="{00000000-0005-0000-0000-0000B4150000}"/>
    <cellStyle name="Normal 11 2 2 2 2 2 4" xfId="3133" xr:uid="{00000000-0005-0000-0000-0000B5150000}"/>
    <cellStyle name="Normal 11 2 2 2 2 2 4 2" xfId="11305" xr:uid="{00000000-0005-0000-0000-0000B6150000}"/>
    <cellStyle name="Normal 11 2 2 2 2 2 5" xfId="11300" xr:uid="{00000000-0005-0000-0000-0000B7150000}"/>
    <cellStyle name="Normal 11 2 2 2 2 3" xfId="3134" xr:uid="{00000000-0005-0000-0000-0000B8150000}"/>
    <cellStyle name="Normal 11 2 2 2 2 3 2" xfId="3135" xr:uid="{00000000-0005-0000-0000-0000B9150000}"/>
    <cellStyle name="Normal 11 2 2 2 2 3 2 2" xfId="11307" xr:uid="{00000000-0005-0000-0000-0000BA150000}"/>
    <cellStyle name="Normal 11 2 2 2 2 3 3" xfId="11306" xr:uid="{00000000-0005-0000-0000-0000BB150000}"/>
    <cellStyle name="Normal 11 2 2 2 2 4" xfId="3136" xr:uid="{00000000-0005-0000-0000-0000BC150000}"/>
    <cellStyle name="Normal 11 2 2 2 2 4 2" xfId="3137" xr:uid="{00000000-0005-0000-0000-0000BD150000}"/>
    <cellStyle name="Normal 11 2 2 2 2 4 2 2" xfId="11309" xr:uid="{00000000-0005-0000-0000-0000BE150000}"/>
    <cellStyle name="Normal 11 2 2 2 2 4 3" xfId="11308" xr:uid="{00000000-0005-0000-0000-0000BF150000}"/>
    <cellStyle name="Normal 11 2 2 2 2 5" xfId="3138" xr:uid="{00000000-0005-0000-0000-0000C0150000}"/>
    <cellStyle name="Normal 11 2 2 2 2 5 2" xfId="11310" xr:uid="{00000000-0005-0000-0000-0000C1150000}"/>
    <cellStyle name="Normal 11 2 2 2 2 6" xfId="11299" xr:uid="{00000000-0005-0000-0000-0000C2150000}"/>
    <cellStyle name="Normal 11 2 2 2 3" xfId="3139" xr:uid="{00000000-0005-0000-0000-0000C3150000}"/>
    <cellStyle name="Normal 11 2 2 2 3 2" xfId="3140" xr:uid="{00000000-0005-0000-0000-0000C4150000}"/>
    <cellStyle name="Normal 11 2 2 2 3 2 2" xfId="3141" xr:uid="{00000000-0005-0000-0000-0000C5150000}"/>
    <cellStyle name="Normal 11 2 2 2 3 2 2 2" xfId="11313" xr:uid="{00000000-0005-0000-0000-0000C6150000}"/>
    <cellStyle name="Normal 11 2 2 2 3 2 3" xfId="11312" xr:uid="{00000000-0005-0000-0000-0000C7150000}"/>
    <cellStyle name="Normal 11 2 2 2 3 3" xfId="3142" xr:uid="{00000000-0005-0000-0000-0000C8150000}"/>
    <cellStyle name="Normal 11 2 2 2 3 3 2" xfId="3143" xr:uid="{00000000-0005-0000-0000-0000C9150000}"/>
    <cellStyle name="Normal 11 2 2 2 3 3 2 2" xfId="11315" xr:uid="{00000000-0005-0000-0000-0000CA150000}"/>
    <cellStyle name="Normal 11 2 2 2 3 3 3" xfId="11314" xr:uid="{00000000-0005-0000-0000-0000CB150000}"/>
    <cellStyle name="Normal 11 2 2 2 3 4" xfId="3144" xr:uid="{00000000-0005-0000-0000-0000CC150000}"/>
    <cellStyle name="Normal 11 2 2 2 3 4 2" xfId="11316" xr:uid="{00000000-0005-0000-0000-0000CD150000}"/>
    <cellStyle name="Normal 11 2 2 2 3 5" xfId="11311" xr:uid="{00000000-0005-0000-0000-0000CE150000}"/>
    <cellStyle name="Normal 11 2 2 2 4" xfId="3145" xr:uid="{00000000-0005-0000-0000-0000CF150000}"/>
    <cellStyle name="Normal 11 2 2 2 4 2" xfId="3146" xr:uid="{00000000-0005-0000-0000-0000D0150000}"/>
    <cellStyle name="Normal 11 2 2 2 4 2 2" xfId="11318" xr:uid="{00000000-0005-0000-0000-0000D1150000}"/>
    <cellStyle name="Normal 11 2 2 2 4 3" xfId="11317" xr:uid="{00000000-0005-0000-0000-0000D2150000}"/>
    <cellStyle name="Normal 11 2 2 2 5" xfId="3147" xr:uid="{00000000-0005-0000-0000-0000D3150000}"/>
    <cellStyle name="Normal 11 2 2 2 5 2" xfId="3148" xr:uid="{00000000-0005-0000-0000-0000D4150000}"/>
    <cellStyle name="Normal 11 2 2 2 5 2 2" xfId="11320" xr:uid="{00000000-0005-0000-0000-0000D5150000}"/>
    <cellStyle name="Normal 11 2 2 2 5 3" xfId="11319" xr:uid="{00000000-0005-0000-0000-0000D6150000}"/>
    <cellStyle name="Normal 11 2 2 2 6" xfId="3149" xr:uid="{00000000-0005-0000-0000-0000D7150000}"/>
    <cellStyle name="Normal 11 2 2 2 6 2" xfId="11321" xr:uid="{00000000-0005-0000-0000-0000D8150000}"/>
    <cellStyle name="Normal 11 2 2 2 7" xfId="11298" xr:uid="{00000000-0005-0000-0000-0000D9150000}"/>
    <cellStyle name="Normal 11 2 2 3" xfId="3150" xr:uid="{00000000-0005-0000-0000-0000DA150000}"/>
    <cellStyle name="Normal 11 2 2 3 2" xfId="3151" xr:uid="{00000000-0005-0000-0000-0000DB150000}"/>
    <cellStyle name="Normal 11 2 2 3 2 2" xfId="3152" xr:uid="{00000000-0005-0000-0000-0000DC150000}"/>
    <cellStyle name="Normal 11 2 2 3 2 2 2" xfId="3153" xr:uid="{00000000-0005-0000-0000-0000DD150000}"/>
    <cellStyle name="Normal 11 2 2 3 2 2 2 2" xfId="11325" xr:uid="{00000000-0005-0000-0000-0000DE150000}"/>
    <cellStyle name="Normal 11 2 2 3 2 2 3" xfId="11324" xr:uid="{00000000-0005-0000-0000-0000DF150000}"/>
    <cellStyle name="Normal 11 2 2 3 2 3" xfId="3154" xr:uid="{00000000-0005-0000-0000-0000E0150000}"/>
    <cellStyle name="Normal 11 2 2 3 2 3 2" xfId="3155" xr:uid="{00000000-0005-0000-0000-0000E1150000}"/>
    <cellStyle name="Normal 11 2 2 3 2 3 2 2" xfId="11327" xr:uid="{00000000-0005-0000-0000-0000E2150000}"/>
    <cellStyle name="Normal 11 2 2 3 2 3 3" xfId="11326" xr:uid="{00000000-0005-0000-0000-0000E3150000}"/>
    <cellStyle name="Normal 11 2 2 3 2 4" xfId="3156" xr:uid="{00000000-0005-0000-0000-0000E4150000}"/>
    <cellStyle name="Normal 11 2 2 3 2 4 2" xfId="11328" xr:uid="{00000000-0005-0000-0000-0000E5150000}"/>
    <cellStyle name="Normal 11 2 2 3 2 5" xfId="11323" xr:uid="{00000000-0005-0000-0000-0000E6150000}"/>
    <cellStyle name="Normal 11 2 2 3 3" xfId="3157" xr:uid="{00000000-0005-0000-0000-0000E7150000}"/>
    <cellStyle name="Normal 11 2 2 3 3 2" xfId="3158" xr:uid="{00000000-0005-0000-0000-0000E8150000}"/>
    <cellStyle name="Normal 11 2 2 3 3 2 2" xfId="11330" xr:uid="{00000000-0005-0000-0000-0000E9150000}"/>
    <cellStyle name="Normal 11 2 2 3 3 3" xfId="11329" xr:uid="{00000000-0005-0000-0000-0000EA150000}"/>
    <cellStyle name="Normal 11 2 2 3 4" xfId="3159" xr:uid="{00000000-0005-0000-0000-0000EB150000}"/>
    <cellStyle name="Normal 11 2 2 3 4 2" xfId="3160" xr:uid="{00000000-0005-0000-0000-0000EC150000}"/>
    <cellStyle name="Normal 11 2 2 3 4 2 2" xfId="11332" xr:uid="{00000000-0005-0000-0000-0000ED150000}"/>
    <cellStyle name="Normal 11 2 2 3 4 3" xfId="11331" xr:uid="{00000000-0005-0000-0000-0000EE150000}"/>
    <cellStyle name="Normal 11 2 2 3 5" xfId="3161" xr:uid="{00000000-0005-0000-0000-0000EF150000}"/>
    <cellStyle name="Normal 11 2 2 3 5 2" xfId="11333" xr:uid="{00000000-0005-0000-0000-0000F0150000}"/>
    <cellStyle name="Normal 11 2 2 3 6" xfId="11322" xr:uid="{00000000-0005-0000-0000-0000F1150000}"/>
    <cellStyle name="Normal 11 2 2 4" xfId="3162" xr:uid="{00000000-0005-0000-0000-0000F2150000}"/>
    <cellStyle name="Normal 11 2 2 4 2" xfId="3163" xr:uid="{00000000-0005-0000-0000-0000F3150000}"/>
    <cellStyle name="Normal 11 2 2 4 2 2" xfId="3164" xr:uid="{00000000-0005-0000-0000-0000F4150000}"/>
    <cellStyle name="Normal 11 2 2 4 2 2 2" xfId="11336" xr:uid="{00000000-0005-0000-0000-0000F5150000}"/>
    <cellStyle name="Normal 11 2 2 4 2 3" xfId="11335" xr:uid="{00000000-0005-0000-0000-0000F6150000}"/>
    <cellStyle name="Normal 11 2 2 4 3" xfId="3165" xr:uid="{00000000-0005-0000-0000-0000F7150000}"/>
    <cellStyle name="Normal 11 2 2 4 3 2" xfId="3166" xr:uid="{00000000-0005-0000-0000-0000F8150000}"/>
    <cellStyle name="Normal 11 2 2 4 3 2 2" xfId="11338" xr:uid="{00000000-0005-0000-0000-0000F9150000}"/>
    <cellStyle name="Normal 11 2 2 4 3 3" xfId="11337" xr:uid="{00000000-0005-0000-0000-0000FA150000}"/>
    <cellStyle name="Normal 11 2 2 4 4" xfId="3167" xr:uid="{00000000-0005-0000-0000-0000FB150000}"/>
    <cellStyle name="Normal 11 2 2 4 4 2" xfId="11339" xr:uid="{00000000-0005-0000-0000-0000FC150000}"/>
    <cellStyle name="Normal 11 2 2 4 5" xfId="11334" xr:uid="{00000000-0005-0000-0000-0000FD150000}"/>
    <cellStyle name="Normal 11 2 2 5" xfId="3168" xr:uid="{00000000-0005-0000-0000-0000FE150000}"/>
    <cellStyle name="Normal 11 2 2 5 2" xfId="3169" xr:uid="{00000000-0005-0000-0000-0000FF150000}"/>
    <cellStyle name="Normal 11 2 2 5 2 2" xfId="11341" xr:uid="{00000000-0005-0000-0000-000000160000}"/>
    <cellStyle name="Normal 11 2 2 5 3" xfId="11340" xr:uid="{00000000-0005-0000-0000-000001160000}"/>
    <cellStyle name="Normal 11 2 2 6" xfId="3170" xr:uid="{00000000-0005-0000-0000-000002160000}"/>
    <cellStyle name="Normal 11 2 2 6 2" xfId="3171" xr:uid="{00000000-0005-0000-0000-000003160000}"/>
    <cellStyle name="Normal 11 2 2 6 2 2" xfId="11343" xr:uid="{00000000-0005-0000-0000-000004160000}"/>
    <cellStyle name="Normal 11 2 2 6 3" xfId="11342" xr:uid="{00000000-0005-0000-0000-000005160000}"/>
    <cellStyle name="Normal 11 2 2 7" xfId="3172" xr:uid="{00000000-0005-0000-0000-000006160000}"/>
    <cellStyle name="Normal 11 2 2 7 2" xfId="11344" xr:uid="{00000000-0005-0000-0000-000007160000}"/>
    <cellStyle name="Normal 11 2 3" xfId="3173" xr:uid="{00000000-0005-0000-0000-000008160000}"/>
    <cellStyle name="Normal 11 2 3 2" xfId="3174" xr:uid="{00000000-0005-0000-0000-000009160000}"/>
    <cellStyle name="Normal 11 2 3 2 2" xfId="3175" xr:uid="{00000000-0005-0000-0000-00000A160000}"/>
    <cellStyle name="Normal 11 2 3 2 2 2" xfId="3176" xr:uid="{00000000-0005-0000-0000-00000B160000}"/>
    <cellStyle name="Normal 11 2 3 2 2 2 2" xfId="3177" xr:uid="{00000000-0005-0000-0000-00000C160000}"/>
    <cellStyle name="Normal 11 2 3 2 2 2 2 2" xfId="11349" xr:uid="{00000000-0005-0000-0000-00000D160000}"/>
    <cellStyle name="Normal 11 2 3 2 2 2 3" xfId="11348" xr:uid="{00000000-0005-0000-0000-00000E160000}"/>
    <cellStyle name="Normal 11 2 3 2 2 3" xfId="3178" xr:uid="{00000000-0005-0000-0000-00000F160000}"/>
    <cellStyle name="Normal 11 2 3 2 2 3 2" xfId="3179" xr:uid="{00000000-0005-0000-0000-000010160000}"/>
    <cellStyle name="Normal 11 2 3 2 2 3 2 2" xfId="11351" xr:uid="{00000000-0005-0000-0000-000011160000}"/>
    <cellStyle name="Normal 11 2 3 2 2 3 3" xfId="11350" xr:uid="{00000000-0005-0000-0000-000012160000}"/>
    <cellStyle name="Normal 11 2 3 2 2 4" xfId="3180" xr:uid="{00000000-0005-0000-0000-000013160000}"/>
    <cellStyle name="Normal 11 2 3 2 2 4 2" xfId="11352" xr:uid="{00000000-0005-0000-0000-000014160000}"/>
    <cellStyle name="Normal 11 2 3 2 2 5" xfId="11347" xr:uid="{00000000-0005-0000-0000-000015160000}"/>
    <cellStyle name="Normal 11 2 3 2 3" xfId="3181" xr:uid="{00000000-0005-0000-0000-000016160000}"/>
    <cellStyle name="Normal 11 2 3 2 3 2" xfId="3182" xr:uid="{00000000-0005-0000-0000-000017160000}"/>
    <cellStyle name="Normal 11 2 3 2 3 2 2" xfId="11354" xr:uid="{00000000-0005-0000-0000-000018160000}"/>
    <cellStyle name="Normal 11 2 3 2 3 3" xfId="11353" xr:uid="{00000000-0005-0000-0000-000019160000}"/>
    <cellStyle name="Normal 11 2 3 2 4" xfId="3183" xr:uid="{00000000-0005-0000-0000-00001A160000}"/>
    <cellStyle name="Normal 11 2 3 2 4 2" xfId="3184" xr:uid="{00000000-0005-0000-0000-00001B160000}"/>
    <cellStyle name="Normal 11 2 3 2 4 2 2" xfId="11356" xr:uid="{00000000-0005-0000-0000-00001C160000}"/>
    <cellStyle name="Normal 11 2 3 2 4 3" xfId="11355" xr:uid="{00000000-0005-0000-0000-00001D160000}"/>
    <cellStyle name="Normal 11 2 3 2 5" xfId="3185" xr:uid="{00000000-0005-0000-0000-00001E160000}"/>
    <cellStyle name="Normal 11 2 3 2 5 2" xfId="11357" xr:uid="{00000000-0005-0000-0000-00001F160000}"/>
    <cellStyle name="Normal 11 2 3 2 6" xfId="11346" xr:uid="{00000000-0005-0000-0000-000020160000}"/>
    <cellStyle name="Normal 11 2 3 3" xfId="3186" xr:uid="{00000000-0005-0000-0000-000021160000}"/>
    <cellStyle name="Normal 11 2 3 3 2" xfId="3187" xr:uid="{00000000-0005-0000-0000-000022160000}"/>
    <cellStyle name="Normal 11 2 3 3 2 2" xfId="3188" xr:uid="{00000000-0005-0000-0000-000023160000}"/>
    <cellStyle name="Normal 11 2 3 3 2 2 2" xfId="11360" xr:uid="{00000000-0005-0000-0000-000024160000}"/>
    <cellStyle name="Normal 11 2 3 3 2 3" xfId="11359" xr:uid="{00000000-0005-0000-0000-000025160000}"/>
    <cellStyle name="Normal 11 2 3 3 3" xfId="3189" xr:uid="{00000000-0005-0000-0000-000026160000}"/>
    <cellStyle name="Normal 11 2 3 3 3 2" xfId="3190" xr:uid="{00000000-0005-0000-0000-000027160000}"/>
    <cellStyle name="Normal 11 2 3 3 3 2 2" xfId="11362" xr:uid="{00000000-0005-0000-0000-000028160000}"/>
    <cellStyle name="Normal 11 2 3 3 3 3" xfId="11361" xr:uid="{00000000-0005-0000-0000-000029160000}"/>
    <cellStyle name="Normal 11 2 3 3 4" xfId="3191" xr:uid="{00000000-0005-0000-0000-00002A160000}"/>
    <cellStyle name="Normal 11 2 3 3 4 2" xfId="11363" xr:uid="{00000000-0005-0000-0000-00002B160000}"/>
    <cellStyle name="Normal 11 2 3 3 5" xfId="11358" xr:uid="{00000000-0005-0000-0000-00002C160000}"/>
    <cellStyle name="Normal 11 2 3 4" xfId="3192" xr:uid="{00000000-0005-0000-0000-00002D160000}"/>
    <cellStyle name="Normal 11 2 3 4 2" xfId="3193" xr:uid="{00000000-0005-0000-0000-00002E160000}"/>
    <cellStyle name="Normal 11 2 3 4 2 2" xfId="11365" xr:uid="{00000000-0005-0000-0000-00002F160000}"/>
    <cellStyle name="Normal 11 2 3 4 3" xfId="11364" xr:uid="{00000000-0005-0000-0000-000030160000}"/>
    <cellStyle name="Normal 11 2 3 5" xfId="3194" xr:uid="{00000000-0005-0000-0000-000031160000}"/>
    <cellStyle name="Normal 11 2 3 5 2" xfId="3195" xr:uid="{00000000-0005-0000-0000-000032160000}"/>
    <cellStyle name="Normal 11 2 3 5 2 2" xfId="11367" xr:uid="{00000000-0005-0000-0000-000033160000}"/>
    <cellStyle name="Normal 11 2 3 5 3" xfId="11366" xr:uid="{00000000-0005-0000-0000-000034160000}"/>
    <cellStyle name="Normal 11 2 3 6" xfId="3196" xr:uid="{00000000-0005-0000-0000-000035160000}"/>
    <cellStyle name="Normal 11 2 3 6 2" xfId="11368" xr:uid="{00000000-0005-0000-0000-000036160000}"/>
    <cellStyle name="Normal 11 2 3 7" xfId="11345" xr:uid="{00000000-0005-0000-0000-000037160000}"/>
    <cellStyle name="Normal 11 2 4" xfId="3197" xr:uid="{00000000-0005-0000-0000-000038160000}"/>
    <cellStyle name="Normal 11 2 4 2" xfId="3198" xr:uid="{00000000-0005-0000-0000-000039160000}"/>
    <cellStyle name="Normal 11 2 4 2 2" xfId="3199" xr:uid="{00000000-0005-0000-0000-00003A160000}"/>
    <cellStyle name="Normal 11 2 4 2 2 2" xfId="3200" xr:uid="{00000000-0005-0000-0000-00003B160000}"/>
    <cellStyle name="Normal 11 2 4 2 2 2 2" xfId="11372" xr:uid="{00000000-0005-0000-0000-00003C160000}"/>
    <cellStyle name="Normal 11 2 4 2 2 3" xfId="11371" xr:uid="{00000000-0005-0000-0000-00003D160000}"/>
    <cellStyle name="Normal 11 2 4 2 3" xfId="3201" xr:uid="{00000000-0005-0000-0000-00003E160000}"/>
    <cellStyle name="Normal 11 2 4 2 3 2" xfId="3202" xr:uid="{00000000-0005-0000-0000-00003F160000}"/>
    <cellStyle name="Normal 11 2 4 2 3 2 2" xfId="11374" xr:uid="{00000000-0005-0000-0000-000040160000}"/>
    <cellStyle name="Normal 11 2 4 2 3 3" xfId="11373" xr:uid="{00000000-0005-0000-0000-000041160000}"/>
    <cellStyle name="Normal 11 2 4 2 4" xfId="3203" xr:uid="{00000000-0005-0000-0000-000042160000}"/>
    <cellStyle name="Normal 11 2 4 2 4 2" xfId="11375" xr:uid="{00000000-0005-0000-0000-000043160000}"/>
    <cellStyle name="Normal 11 2 4 2 5" xfId="11370" xr:uid="{00000000-0005-0000-0000-000044160000}"/>
    <cellStyle name="Normal 11 2 4 3" xfId="3204" xr:uid="{00000000-0005-0000-0000-000045160000}"/>
    <cellStyle name="Normal 11 2 4 3 2" xfId="3205" xr:uid="{00000000-0005-0000-0000-000046160000}"/>
    <cellStyle name="Normal 11 2 4 3 2 2" xfId="11377" xr:uid="{00000000-0005-0000-0000-000047160000}"/>
    <cellStyle name="Normal 11 2 4 3 3" xfId="11376" xr:uid="{00000000-0005-0000-0000-000048160000}"/>
    <cellStyle name="Normal 11 2 4 4" xfId="3206" xr:uid="{00000000-0005-0000-0000-000049160000}"/>
    <cellStyle name="Normal 11 2 4 4 2" xfId="3207" xr:uid="{00000000-0005-0000-0000-00004A160000}"/>
    <cellStyle name="Normal 11 2 4 4 2 2" xfId="11379" xr:uid="{00000000-0005-0000-0000-00004B160000}"/>
    <cellStyle name="Normal 11 2 4 4 3" xfId="11378" xr:uid="{00000000-0005-0000-0000-00004C160000}"/>
    <cellStyle name="Normal 11 2 4 5" xfId="3208" xr:uid="{00000000-0005-0000-0000-00004D160000}"/>
    <cellStyle name="Normal 11 2 4 5 2" xfId="11380" xr:uid="{00000000-0005-0000-0000-00004E160000}"/>
    <cellStyle name="Normal 11 2 4 6" xfId="11369" xr:uid="{00000000-0005-0000-0000-00004F160000}"/>
    <cellStyle name="Normal 11 2 5" xfId="3209" xr:uid="{00000000-0005-0000-0000-000050160000}"/>
    <cellStyle name="Normal 11 2 5 2" xfId="3210" xr:uid="{00000000-0005-0000-0000-000051160000}"/>
    <cellStyle name="Normal 11 2 5 2 2" xfId="3211" xr:uid="{00000000-0005-0000-0000-000052160000}"/>
    <cellStyle name="Normal 11 2 5 2 2 2" xfId="11383" xr:uid="{00000000-0005-0000-0000-000053160000}"/>
    <cellStyle name="Normal 11 2 5 2 3" xfId="11382" xr:uid="{00000000-0005-0000-0000-000054160000}"/>
    <cellStyle name="Normal 11 2 5 3" xfId="3212" xr:uid="{00000000-0005-0000-0000-000055160000}"/>
    <cellStyle name="Normal 11 2 5 3 2" xfId="3213" xr:uid="{00000000-0005-0000-0000-000056160000}"/>
    <cellStyle name="Normal 11 2 5 3 2 2" xfId="11385" xr:uid="{00000000-0005-0000-0000-000057160000}"/>
    <cellStyle name="Normal 11 2 5 3 3" xfId="11384" xr:uid="{00000000-0005-0000-0000-000058160000}"/>
    <cellStyle name="Normal 11 2 5 4" xfId="3214" xr:uid="{00000000-0005-0000-0000-000059160000}"/>
    <cellStyle name="Normal 11 2 5 4 2" xfId="11386" xr:uid="{00000000-0005-0000-0000-00005A160000}"/>
    <cellStyle name="Normal 11 2 5 5" xfId="11381" xr:uid="{00000000-0005-0000-0000-00005B160000}"/>
    <cellStyle name="Normal 11 2 6" xfId="3215" xr:uid="{00000000-0005-0000-0000-00005C160000}"/>
    <cellStyle name="Normal 11 2 6 2" xfId="3216" xr:uid="{00000000-0005-0000-0000-00005D160000}"/>
    <cellStyle name="Normal 11 2 6 2 2" xfId="11388" xr:uid="{00000000-0005-0000-0000-00005E160000}"/>
    <cellStyle name="Normal 11 2 6 3" xfId="11387" xr:uid="{00000000-0005-0000-0000-00005F160000}"/>
    <cellStyle name="Normal 11 2 7" xfId="3217" xr:uid="{00000000-0005-0000-0000-000060160000}"/>
    <cellStyle name="Normal 11 2 7 2" xfId="3218" xr:uid="{00000000-0005-0000-0000-000061160000}"/>
    <cellStyle name="Normal 11 2 7 2 2" xfId="11390" xr:uid="{00000000-0005-0000-0000-000062160000}"/>
    <cellStyle name="Normal 11 2 7 3" xfId="11389" xr:uid="{00000000-0005-0000-0000-000063160000}"/>
    <cellStyle name="Normal 11 2 8" xfId="3219" xr:uid="{00000000-0005-0000-0000-000064160000}"/>
    <cellStyle name="Normal 11 2 8 2" xfId="11391" xr:uid="{00000000-0005-0000-0000-000065160000}"/>
    <cellStyle name="Normal 11 2 9" xfId="3220" xr:uid="{00000000-0005-0000-0000-000066160000}"/>
    <cellStyle name="Normal 11 3" xfId="3221" xr:uid="{00000000-0005-0000-0000-000067160000}"/>
    <cellStyle name="Normal 11 3 2" xfId="3222" xr:uid="{00000000-0005-0000-0000-000068160000}"/>
    <cellStyle name="Normal 11 3 2 2" xfId="3223" xr:uid="{00000000-0005-0000-0000-000069160000}"/>
    <cellStyle name="Normal 11 3 2 2 2" xfId="3224" xr:uid="{00000000-0005-0000-0000-00006A160000}"/>
    <cellStyle name="Normal 11 3 2 2 2 2" xfId="3225" xr:uid="{00000000-0005-0000-0000-00006B160000}"/>
    <cellStyle name="Normal 11 3 2 2 2 2 2" xfId="3226" xr:uid="{00000000-0005-0000-0000-00006C160000}"/>
    <cellStyle name="Normal 11 3 2 2 2 2 2 2" xfId="11397" xr:uid="{00000000-0005-0000-0000-00006D160000}"/>
    <cellStyle name="Normal 11 3 2 2 2 2 3" xfId="11396" xr:uid="{00000000-0005-0000-0000-00006E160000}"/>
    <cellStyle name="Normal 11 3 2 2 2 3" xfId="3227" xr:uid="{00000000-0005-0000-0000-00006F160000}"/>
    <cellStyle name="Normal 11 3 2 2 2 3 2" xfId="3228" xr:uid="{00000000-0005-0000-0000-000070160000}"/>
    <cellStyle name="Normal 11 3 2 2 2 3 2 2" xfId="11399" xr:uid="{00000000-0005-0000-0000-000071160000}"/>
    <cellStyle name="Normal 11 3 2 2 2 3 3" xfId="11398" xr:uid="{00000000-0005-0000-0000-000072160000}"/>
    <cellStyle name="Normal 11 3 2 2 2 4" xfId="3229" xr:uid="{00000000-0005-0000-0000-000073160000}"/>
    <cellStyle name="Normal 11 3 2 2 2 4 2" xfId="11400" xr:uid="{00000000-0005-0000-0000-000074160000}"/>
    <cellStyle name="Normal 11 3 2 2 2 5" xfId="11395" xr:uid="{00000000-0005-0000-0000-000075160000}"/>
    <cellStyle name="Normal 11 3 2 2 3" xfId="3230" xr:uid="{00000000-0005-0000-0000-000076160000}"/>
    <cellStyle name="Normal 11 3 2 2 3 2" xfId="3231" xr:uid="{00000000-0005-0000-0000-000077160000}"/>
    <cellStyle name="Normal 11 3 2 2 3 2 2" xfId="11402" xr:uid="{00000000-0005-0000-0000-000078160000}"/>
    <cellStyle name="Normal 11 3 2 2 3 3" xfId="11401" xr:uid="{00000000-0005-0000-0000-000079160000}"/>
    <cellStyle name="Normal 11 3 2 2 4" xfId="3232" xr:uid="{00000000-0005-0000-0000-00007A160000}"/>
    <cellStyle name="Normal 11 3 2 2 4 2" xfId="3233" xr:uid="{00000000-0005-0000-0000-00007B160000}"/>
    <cellStyle name="Normal 11 3 2 2 4 2 2" xfId="11404" xr:uid="{00000000-0005-0000-0000-00007C160000}"/>
    <cellStyle name="Normal 11 3 2 2 4 3" xfId="11403" xr:uid="{00000000-0005-0000-0000-00007D160000}"/>
    <cellStyle name="Normal 11 3 2 2 5" xfId="3234" xr:uid="{00000000-0005-0000-0000-00007E160000}"/>
    <cellStyle name="Normal 11 3 2 2 5 2" xfId="11405" xr:uid="{00000000-0005-0000-0000-00007F160000}"/>
    <cellStyle name="Normal 11 3 2 2 6" xfId="11394" xr:uid="{00000000-0005-0000-0000-000080160000}"/>
    <cellStyle name="Normal 11 3 2 3" xfId="3235" xr:uid="{00000000-0005-0000-0000-000081160000}"/>
    <cellStyle name="Normal 11 3 2 3 2" xfId="3236" xr:uid="{00000000-0005-0000-0000-000082160000}"/>
    <cellStyle name="Normal 11 3 2 3 2 2" xfId="3237" xr:uid="{00000000-0005-0000-0000-000083160000}"/>
    <cellStyle name="Normal 11 3 2 3 2 2 2" xfId="11408" xr:uid="{00000000-0005-0000-0000-000084160000}"/>
    <cellStyle name="Normal 11 3 2 3 2 3" xfId="11407" xr:uid="{00000000-0005-0000-0000-000085160000}"/>
    <cellStyle name="Normal 11 3 2 3 3" xfId="3238" xr:uid="{00000000-0005-0000-0000-000086160000}"/>
    <cellStyle name="Normal 11 3 2 3 3 2" xfId="3239" xr:uid="{00000000-0005-0000-0000-000087160000}"/>
    <cellStyle name="Normal 11 3 2 3 3 2 2" xfId="11410" xr:uid="{00000000-0005-0000-0000-000088160000}"/>
    <cellStyle name="Normal 11 3 2 3 3 3" xfId="11409" xr:uid="{00000000-0005-0000-0000-000089160000}"/>
    <cellStyle name="Normal 11 3 2 3 4" xfId="3240" xr:uid="{00000000-0005-0000-0000-00008A160000}"/>
    <cellStyle name="Normal 11 3 2 3 4 2" xfId="11411" xr:uid="{00000000-0005-0000-0000-00008B160000}"/>
    <cellStyle name="Normal 11 3 2 3 5" xfId="11406" xr:uid="{00000000-0005-0000-0000-00008C160000}"/>
    <cellStyle name="Normal 11 3 2 4" xfId="3241" xr:uid="{00000000-0005-0000-0000-00008D160000}"/>
    <cellStyle name="Normal 11 3 2 4 2" xfId="3242" xr:uid="{00000000-0005-0000-0000-00008E160000}"/>
    <cellStyle name="Normal 11 3 2 4 2 2" xfId="11413" xr:uid="{00000000-0005-0000-0000-00008F160000}"/>
    <cellStyle name="Normal 11 3 2 4 3" xfId="11412" xr:uid="{00000000-0005-0000-0000-000090160000}"/>
    <cellStyle name="Normal 11 3 2 5" xfId="3243" xr:uid="{00000000-0005-0000-0000-000091160000}"/>
    <cellStyle name="Normal 11 3 2 5 2" xfId="3244" xr:uid="{00000000-0005-0000-0000-000092160000}"/>
    <cellStyle name="Normal 11 3 2 5 2 2" xfId="11415" xr:uid="{00000000-0005-0000-0000-000093160000}"/>
    <cellStyle name="Normal 11 3 2 5 3" xfId="11414" xr:uid="{00000000-0005-0000-0000-000094160000}"/>
    <cellStyle name="Normal 11 3 2 6" xfId="3245" xr:uid="{00000000-0005-0000-0000-000095160000}"/>
    <cellStyle name="Normal 11 3 2 6 2" xfId="11416" xr:uid="{00000000-0005-0000-0000-000096160000}"/>
    <cellStyle name="Normal 11 3 2 7" xfId="11393" xr:uid="{00000000-0005-0000-0000-000097160000}"/>
    <cellStyle name="Normal 11 3 3" xfId="3246" xr:uid="{00000000-0005-0000-0000-000098160000}"/>
    <cellStyle name="Normal 11 3 3 2" xfId="3247" xr:uid="{00000000-0005-0000-0000-000099160000}"/>
    <cellStyle name="Normal 11 3 3 2 2" xfId="3248" xr:uid="{00000000-0005-0000-0000-00009A160000}"/>
    <cellStyle name="Normal 11 3 3 2 2 2" xfId="3249" xr:uid="{00000000-0005-0000-0000-00009B160000}"/>
    <cellStyle name="Normal 11 3 3 2 2 2 2" xfId="11420" xr:uid="{00000000-0005-0000-0000-00009C160000}"/>
    <cellStyle name="Normal 11 3 3 2 2 3" xfId="11419" xr:uid="{00000000-0005-0000-0000-00009D160000}"/>
    <cellStyle name="Normal 11 3 3 2 3" xfId="3250" xr:uid="{00000000-0005-0000-0000-00009E160000}"/>
    <cellStyle name="Normal 11 3 3 2 3 2" xfId="3251" xr:uid="{00000000-0005-0000-0000-00009F160000}"/>
    <cellStyle name="Normal 11 3 3 2 3 2 2" xfId="11422" xr:uid="{00000000-0005-0000-0000-0000A0160000}"/>
    <cellStyle name="Normal 11 3 3 2 3 3" xfId="11421" xr:uid="{00000000-0005-0000-0000-0000A1160000}"/>
    <cellStyle name="Normal 11 3 3 2 4" xfId="3252" xr:uid="{00000000-0005-0000-0000-0000A2160000}"/>
    <cellStyle name="Normal 11 3 3 2 4 2" xfId="11423" xr:uid="{00000000-0005-0000-0000-0000A3160000}"/>
    <cellStyle name="Normal 11 3 3 2 5" xfId="11418" xr:uid="{00000000-0005-0000-0000-0000A4160000}"/>
    <cellStyle name="Normal 11 3 3 3" xfId="3253" xr:uid="{00000000-0005-0000-0000-0000A5160000}"/>
    <cellStyle name="Normal 11 3 3 3 2" xfId="3254" xr:uid="{00000000-0005-0000-0000-0000A6160000}"/>
    <cellStyle name="Normal 11 3 3 3 2 2" xfId="11425" xr:uid="{00000000-0005-0000-0000-0000A7160000}"/>
    <cellStyle name="Normal 11 3 3 3 3" xfId="11424" xr:uid="{00000000-0005-0000-0000-0000A8160000}"/>
    <cellStyle name="Normal 11 3 3 4" xfId="3255" xr:uid="{00000000-0005-0000-0000-0000A9160000}"/>
    <cellStyle name="Normal 11 3 3 4 2" xfId="3256" xr:uid="{00000000-0005-0000-0000-0000AA160000}"/>
    <cellStyle name="Normal 11 3 3 4 2 2" xfId="11427" xr:uid="{00000000-0005-0000-0000-0000AB160000}"/>
    <cellStyle name="Normal 11 3 3 4 3" xfId="11426" xr:uid="{00000000-0005-0000-0000-0000AC160000}"/>
    <cellStyle name="Normal 11 3 3 5" xfId="3257" xr:uid="{00000000-0005-0000-0000-0000AD160000}"/>
    <cellStyle name="Normal 11 3 3 5 2" xfId="11428" xr:uid="{00000000-0005-0000-0000-0000AE160000}"/>
    <cellStyle name="Normal 11 3 3 6" xfId="11417" xr:uid="{00000000-0005-0000-0000-0000AF160000}"/>
    <cellStyle name="Normal 11 3 4" xfId="3258" xr:uid="{00000000-0005-0000-0000-0000B0160000}"/>
    <cellStyle name="Normal 11 3 4 2" xfId="3259" xr:uid="{00000000-0005-0000-0000-0000B1160000}"/>
    <cellStyle name="Normal 11 3 4 2 2" xfId="3260" xr:uid="{00000000-0005-0000-0000-0000B2160000}"/>
    <cellStyle name="Normal 11 3 4 2 2 2" xfId="11431" xr:uid="{00000000-0005-0000-0000-0000B3160000}"/>
    <cellStyle name="Normal 11 3 4 2 3" xfId="11430" xr:uid="{00000000-0005-0000-0000-0000B4160000}"/>
    <cellStyle name="Normal 11 3 4 3" xfId="3261" xr:uid="{00000000-0005-0000-0000-0000B5160000}"/>
    <cellStyle name="Normal 11 3 4 3 2" xfId="3262" xr:uid="{00000000-0005-0000-0000-0000B6160000}"/>
    <cellStyle name="Normal 11 3 4 3 2 2" xfId="11433" xr:uid="{00000000-0005-0000-0000-0000B7160000}"/>
    <cellStyle name="Normal 11 3 4 3 3" xfId="11432" xr:uid="{00000000-0005-0000-0000-0000B8160000}"/>
    <cellStyle name="Normal 11 3 4 4" xfId="3263" xr:uid="{00000000-0005-0000-0000-0000B9160000}"/>
    <cellStyle name="Normal 11 3 4 4 2" xfId="11434" xr:uid="{00000000-0005-0000-0000-0000BA160000}"/>
    <cellStyle name="Normal 11 3 4 5" xfId="11429" xr:uid="{00000000-0005-0000-0000-0000BB160000}"/>
    <cellStyle name="Normal 11 3 5" xfId="3264" xr:uid="{00000000-0005-0000-0000-0000BC160000}"/>
    <cellStyle name="Normal 11 3 5 2" xfId="3265" xr:uid="{00000000-0005-0000-0000-0000BD160000}"/>
    <cellStyle name="Normal 11 3 5 2 2" xfId="11436" xr:uid="{00000000-0005-0000-0000-0000BE160000}"/>
    <cellStyle name="Normal 11 3 5 3" xfId="11435" xr:uid="{00000000-0005-0000-0000-0000BF160000}"/>
    <cellStyle name="Normal 11 3 6" xfId="3266" xr:uid="{00000000-0005-0000-0000-0000C0160000}"/>
    <cellStyle name="Normal 11 3 6 2" xfId="3267" xr:uid="{00000000-0005-0000-0000-0000C1160000}"/>
    <cellStyle name="Normal 11 3 6 2 2" xfId="11438" xr:uid="{00000000-0005-0000-0000-0000C2160000}"/>
    <cellStyle name="Normal 11 3 6 3" xfId="11437" xr:uid="{00000000-0005-0000-0000-0000C3160000}"/>
    <cellStyle name="Normal 11 3 7" xfId="3268" xr:uid="{00000000-0005-0000-0000-0000C4160000}"/>
    <cellStyle name="Normal 11 3 7 2" xfId="11439" xr:uid="{00000000-0005-0000-0000-0000C5160000}"/>
    <cellStyle name="Normal 11 3 8" xfId="11392" xr:uid="{00000000-0005-0000-0000-0000C6160000}"/>
    <cellStyle name="Normal 11 4" xfId="3269" xr:uid="{00000000-0005-0000-0000-0000C7160000}"/>
    <cellStyle name="Normal 11 4 2" xfId="3270" xr:uid="{00000000-0005-0000-0000-0000C8160000}"/>
    <cellStyle name="Normal 11 4 2 2" xfId="3271" xr:uid="{00000000-0005-0000-0000-0000C9160000}"/>
    <cellStyle name="Normal 11 4 2 2 2" xfId="3272" xr:uid="{00000000-0005-0000-0000-0000CA160000}"/>
    <cellStyle name="Normal 11 4 2 2 2 2" xfId="3273" xr:uid="{00000000-0005-0000-0000-0000CB160000}"/>
    <cellStyle name="Normal 11 4 2 2 2 2 2" xfId="3274" xr:uid="{00000000-0005-0000-0000-0000CC160000}"/>
    <cellStyle name="Normal 11 4 2 2 2 2 2 2" xfId="11445" xr:uid="{00000000-0005-0000-0000-0000CD160000}"/>
    <cellStyle name="Normal 11 4 2 2 2 2 3" xfId="11444" xr:uid="{00000000-0005-0000-0000-0000CE160000}"/>
    <cellStyle name="Normal 11 4 2 2 2 3" xfId="3275" xr:uid="{00000000-0005-0000-0000-0000CF160000}"/>
    <cellStyle name="Normal 11 4 2 2 2 3 2" xfId="3276" xr:uid="{00000000-0005-0000-0000-0000D0160000}"/>
    <cellStyle name="Normal 11 4 2 2 2 3 2 2" xfId="11447" xr:uid="{00000000-0005-0000-0000-0000D1160000}"/>
    <cellStyle name="Normal 11 4 2 2 2 3 3" xfId="11446" xr:uid="{00000000-0005-0000-0000-0000D2160000}"/>
    <cellStyle name="Normal 11 4 2 2 2 4" xfId="3277" xr:uid="{00000000-0005-0000-0000-0000D3160000}"/>
    <cellStyle name="Normal 11 4 2 2 2 4 2" xfId="11448" xr:uid="{00000000-0005-0000-0000-0000D4160000}"/>
    <cellStyle name="Normal 11 4 2 2 2 5" xfId="11443" xr:uid="{00000000-0005-0000-0000-0000D5160000}"/>
    <cellStyle name="Normal 11 4 2 2 3" xfId="3278" xr:uid="{00000000-0005-0000-0000-0000D6160000}"/>
    <cellStyle name="Normal 11 4 2 2 3 2" xfId="3279" xr:uid="{00000000-0005-0000-0000-0000D7160000}"/>
    <cellStyle name="Normal 11 4 2 2 3 2 2" xfId="11450" xr:uid="{00000000-0005-0000-0000-0000D8160000}"/>
    <cellStyle name="Normal 11 4 2 2 3 3" xfId="11449" xr:uid="{00000000-0005-0000-0000-0000D9160000}"/>
    <cellStyle name="Normal 11 4 2 2 4" xfId="3280" xr:uid="{00000000-0005-0000-0000-0000DA160000}"/>
    <cellStyle name="Normal 11 4 2 2 4 2" xfId="3281" xr:uid="{00000000-0005-0000-0000-0000DB160000}"/>
    <cellStyle name="Normal 11 4 2 2 4 2 2" xfId="11452" xr:uid="{00000000-0005-0000-0000-0000DC160000}"/>
    <cellStyle name="Normal 11 4 2 2 4 3" xfId="11451" xr:uid="{00000000-0005-0000-0000-0000DD160000}"/>
    <cellStyle name="Normal 11 4 2 2 5" xfId="3282" xr:uid="{00000000-0005-0000-0000-0000DE160000}"/>
    <cellStyle name="Normal 11 4 2 2 5 2" xfId="11453" xr:uid="{00000000-0005-0000-0000-0000DF160000}"/>
    <cellStyle name="Normal 11 4 2 2 6" xfId="11442" xr:uid="{00000000-0005-0000-0000-0000E0160000}"/>
    <cellStyle name="Normal 11 4 2 3" xfId="3283" xr:uid="{00000000-0005-0000-0000-0000E1160000}"/>
    <cellStyle name="Normal 11 4 2 3 2" xfId="3284" xr:uid="{00000000-0005-0000-0000-0000E2160000}"/>
    <cellStyle name="Normal 11 4 2 3 2 2" xfId="3285" xr:uid="{00000000-0005-0000-0000-0000E3160000}"/>
    <cellStyle name="Normal 11 4 2 3 2 2 2" xfId="11456" xr:uid="{00000000-0005-0000-0000-0000E4160000}"/>
    <cellStyle name="Normal 11 4 2 3 2 3" xfId="11455" xr:uid="{00000000-0005-0000-0000-0000E5160000}"/>
    <cellStyle name="Normal 11 4 2 3 3" xfId="3286" xr:uid="{00000000-0005-0000-0000-0000E6160000}"/>
    <cellStyle name="Normal 11 4 2 3 3 2" xfId="3287" xr:uid="{00000000-0005-0000-0000-0000E7160000}"/>
    <cellStyle name="Normal 11 4 2 3 3 2 2" xfId="11458" xr:uid="{00000000-0005-0000-0000-0000E8160000}"/>
    <cellStyle name="Normal 11 4 2 3 3 3" xfId="11457" xr:uid="{00000000-0005-0000-0000-0000E9160000}"/>
    <cellStyle name="Normal 11 4 2 3 4" xfId="3288" xr:uid="{00000000-0005-0000-0000-0000EA160000}"/>
    <cellStyle name="Normal 11 4 2 3 4 2" xfId="11459" xr:uid="{00000000-0005-0000-0000-0000EB160000}"/>
    <cellStyle name="Normal 11 4 2 3 5" xfId="11454" xr:uid="{00000000-0005-0000-0000-0000EC160000}"/>
    <cellStyle name="Normal 11 4 2 4" xfId="3289" xr:uid="{00000000-0005-0000-0000-0000ED160000}"/>
    <cellStyle name="Normal 11 4 2 4 2" xfId="3290" xr:uid="{00000000-0005-0000-0000-0000EE160000}"/>
    <cellStyle name="Normal 11 4 2 4 2 2" xfId="11461" xr:uid="{00000000-0005-0000-0000-0000EF160000}"/>
    <cellStyle name="Normal 11 4 2 4 3" xfId="11460" xr:uid="{00000000-0005-0000-0000-0000F0160000}"/>
    <cellStyle name="Normal 11 4 2 5" xfId="3291" xr:uid="{00000000-0005-0000-0000-0000F1160000}"/>
    <cellStyle name="Normal 11 4 2 5 2" xfId="3292" xr:uid="{00000000-0005-0000-0000-0000F2160000}"/>
    <cellStyle name="Normal 11 4 2 5 2 2" xfId="11463" xr:uid="{00000000-0005-0000-0000-0000F3160000}"/>
    <cellStyle name="Normal 11 4 2 5 3" xfId="11462" xr:uid="{00000000-0005-0000-0000-0000F4160000}"/>
    <cellStyle name="Normal 11 4 2 6" xfId="3293" xr:uid="{00000000-0005-0000-0000-0000F5160000}"/>
    <cellStyle name="Normal 11 4 2 6 2" xfId="11464" xr:uid="{00000000-0005-0000-0000-0000F6160000}"/>
    <cellStyle name="Normal 11 4 2 7" xfId="11441" xr:uid="{00000000-0005-0000-0000-0000F7160000}"/>
    <cellStyle name="Normal 11 4 3" xfId="3294" xr:uid="{00000000-0005-0000-0000-0000F8160000}"/>
    <cellStyle name="Normal 11 4 3 2" xfId="3295" xr:uid="{00000000-0005-0000-0000-0000F9160000}"/>
    <cellStyle name="Normal 11 4 3 2 2" xfId="3296" xr:uid="{00000000-0005-0000-0000-0000FA160000}"/>
    <cellStyle name="Normal 11 4 3 2 2 2" xfId="3297" xr:uid="{00000000-0005-0000-0000-0000FB160000}"/>
    <cellStyle name="Normal 11 4 3 2 2 2 2" xfId="11468" xr:uid="{00000000-0005-0000-0000-0000FC160000}"/>
    <cellStyle name="Normal 11 4 3 2 2 3" xfId="11467" xr:uid="{00000000-0005-0000-0000-0000FD160000}"/>
    <cellStyle name="Normal 11 4 3 2 3" xfId="3298" xr:uid="{00000000-0005-0000-0000-0000FE160000}"/>
    <cellStyle name="Normal 11 4 3 2 3 2" xfId="3299" xr:uid="{00000000-0005-0000-0000-0000FF160000}"/>
    <cellStyle name="Normal 11 4 3 2 3 2 2" xfId="11470" xr:uid="{00000000-0005-0000-0000-000000170000}"/>
    <cellStyle name="Normal 11 4 3 2 3 3" xfId="11469" xr:uid="{00000000-0005-0000-0000-000001170000}"/>
    <cellStyle name="Normal 11 4 3 2 4" xfId="3300" xr:uid="{00000000-0005-0000-0000-000002170000}"/>
    <cellStyle name="Normal 11 4 3 2 4 2" xfId="11471" xr:uid="{00000000-0005-0000-0000-000003170000}"/>
    <cellStyle name="Normal 11 4 3 2 5" xfId="11466" xr:uid="{00000000-0005-0000-0000-000004170000}"/>
    <cellStyle name="Normal 11 4 3 3" xfId="3301" xr:uid="{00000000-0005-0000-0000-000005170000}"/>
    <cellStyle name="Normal 11 4 3 3 2" xfId="3302" xr:uid="{00000000-0005-0000-0000-000006170000}"/>
    <cellStyle name="Normal 11 4 3 3 2 2" xfId="11473" xr:uid="{00000000-0005-0000-0000-000007170000}"/>
    <cellStyle name="Normal 11 4 3 3 3" xfId="11472" xr:uid="{00000000-0005-0000-0000-000008170000}"/>
    <cellStyle name="Normal 11 4 3 4" xfId="3303" xr:uid="{00000000-0005-0000-0000-000009170000}"/>
    <cellStyle name="Normal 11 4 3 4 2" xfId="3304" xr:uid="{00000000-0005-0000-0000-00000A170000}"/>
    <cellStyle name="Normal 11 4 3 4 2 2" xfId="11475" xr:uid="{00000000-0005-0000-0000-00000B170000}"/>
    <cellStyle name="Normal 11 4 3 4 3" xfId="11474" xr:uid="{00000000-0005-0000-0000-00000C170000}"/>
    <cellStyle name="Normal 11 4 3 5" xfId="3305" xr:uid="{00000000-0005-0000-0000-00000D170000}"/>
    <cellStyle name="Normal 11 4 3 5 2" xfId="11476" xr:uid="{00000000-0005-0000-0000-00000E170000}"/>
    <cellStyle name="Normal 11 4 3 6" xfId="11465" xr:uid="{00000000-0005-0000-0000-00000F170000}"/>
    <cellStyle name="Normal 11 4 4" xfId="3306" xr:uid="{00000000-0005-0000-0000-000010170000}"/>
    <cellStyle name="Normal 11 4 4 2" xfId="3307" xr:uid="{00000000-0005-0000-0000-000011170000}"/>
    <cellStyle name="Normal 11 4 4 2 2" xfId="3308" xr:uid="{00000000-0005-0000-0000-000012170000}"/>
    <cellStyle name="Normal 11 4 4 2 2 2" xfId="11479" xr:uid="{00000000-0005-0000-0000-000013170000}"/>
    <cellStyle name="Normal 11 4 4 2 3" xfId="11478" xr:uid="{00000000-0005-0000-0000-000014170000}"/>
    <cellStyle name="Normal 11 4 4 3" xfId="3309" xr:uid="{00000000-0005-0000-0000-000015170000}"/>
    <cellStyle name="Normal 11 4 4 3 2" xfId="3310" xr:uid="{00000000-0005-0000-0000-000016170000}"/>
    <cellStyle name="Normal 11 4 4 3 2 2" xfId="11481" xr:uid="{00000000-0005-0000-0000-000017170000}"/>
    <cellStyle name="Normal 11 4 4 3 3" xfId="11480" xr:uid="{00000000-0005-0000-0000-000018170000}"/>
    <cellStyle name="Normal 11 4 4 4" xfId="3311" xr:uid="{00000000-0005-0000-0000-000019170000}"/>
    <cellStyle name="Normal 11 4 4 4 2" xfId="11482" xr:uid="{00000000-0005-0000-0000-00001A170000}"/>
    <cellStyle name="Normal 11 4 4 5" xfId="11477" xr:uid="{00000000-0005-0000-0000-00001B170000}"/>
    <cellStyle name="Normal 11 4 5" xfId="3312" xr:uid="{00000000-0005-0000-0000-00001C170000}"/>
    <cellStyle name="Normal 11 4 5 2" xfId="3313" xr:uid="{00000000-0005-0000-0000-00001D170000}"/>
    <cellStyle name="Normal 11 4 5 2 2" xfId="11484" xr:uid="{00000000-0005-0000-0000-00001E170000}"/>
    <cellStyle name="Normal 11 4 5 3" xfId="11483" xr:uid="{00000000-0005-0000-0000-00001F170000}"/>
    <cellStyle name="Normal 11 4 6" xfId="3314" xr:uid="{00000000-0005-0000-0000-000020170000}"/>
    <cellStyle name="Normal 11 4 6 2" xfId="3315" xr:uid="{00000000-0005-0000-0000-000021170000}"/>
    <cellStyle name="Normal 11 4 6 2 2" xfId="11486" xr:uid="{00000000-0005-0000-0000-000022170000}"/>
    <cellStyle name="Normal 11 4 6 3" xfId="11485" xr:uid="{00000000-0005-0000-0000-000023170000}"/>
    <cellStyle name="Normal 11 4 7" xfId="3316" xr:uid="{00000000-0005-0000-0000-000024170000}"/>
    <cellStyle name="Normal 11 4 7 2" xfId="11487" xr:uid="{00000000-0005-0000-0000-000025170000}"/>
    <cellStyle name="Normal 11 4 8" xfId="11440" xr:uid="{00000000-0005-0000-0000-000026170000}"/>
    <cellStyle name="Normal 11 5" xfId="3317" xr:uid="{00000000-0005-0000-0000-000027170000}"/>
    <cellStyle name="Normal 11 5 10" xfId="3318" xr:uid="{00000000-0005-0000-0000-000028170000}"/>
    <cellStyle name="Normal 11 5 10 2" xfId="3319" xr:uid="{00000000-0005-0000-0000-000029170000}"/>
    <cellStyle name="Normal 11 5 10 2 2" xfId="11490" xr:uid="{00000000-0005-0000-0000-00002A170000}"/>
    <cellStyle name="Normal 11 5 10 3" xfId="3320" xr:uid="{00000000-0005-0000-0000-00002B170000}"/>
    <cellStyle name="Normal 11 5 10 3 2" xfId="11491" xr:uid="{00000000-0005-0000-0000-00002C170000}"/>
    <cellStyle name="Normal 11 5 10 4" xfId="11489" xr:uid="{00000000-0005-0000-0000-00002D170000}"/>
    <cellStyle name="Normal 11 5 11" xfId="3321" xr:uid="{00000000-0005-0000-0000-00002E170000}"/>
    <cellStyle name="Normal 11 5 11 2" xfId="3322" xr:uid="{00000000-0005-0000-0000-00002F170000}"/>
    <cellStyle name="Normal 11 5 11 2 2" xfId="11493" xr:uid="{00000000-0005-0000-0000-000030170000}"/>
    <cellStyle name="Normal 11 5 11 3" xfId="11492" xr:uid="{00000000-0005-0000-0000-000031170000}"/>
    <cellStyle name="Normal 11 5 12" xfId="3323" xr:uid="{00000000-0005-0000-0000-000032170000}"/>
    <cellStyle name="Normal 11 5 12 2" xfId="3324" xr:uid="{00000000-0005-0000-0000-000033170000}"/>
    <cellStyle name="Normal 11 5 12 2 2" xfId="11495" xr:uid="{00000000-0005-0000-0000-000034170000}"/>
    <cellStyle name="Normal 11 5 12 3" xfId="11494" xr:uid="{00000000-0005-0000-0000-000035170000}"/>
    <cellStyle name="Normal 11 5 13" xfId="3325" xr:uid="{00000000-0005-0000-0000-000036170000}"/>
    <cellStyle name="Normal 11 5 13 2" xfId="11496" xr:uid="{00000000-0005-0000-0000-000037170000}"/>
    <cellStyle name="Normal 11 5 14" xfId="3326" xr:uid="{00000000-0005-0000-0000-000038170000}"/>
    <cellStyle name="Normal 11 5 14 2" xfId="11497" xr:uid="{00000000-0005-0000-0000-000039170000}"/>
    <cellStyle name="Normal 11 5 15" xfId="3327" xr:uid="{00000000-0005-0000-0000-00003A170000}"/>
    <cellStyle name="Normal 11 5 15 2" xfId="11498" xr:uid="{00000000-0005-0000-0000-00003B170000}"/>
    <cellStyle name="Normal 11 5 16" xfId="3328" xr:uid="{00000000-0005-0000-0000-00003C170000}"/>
    <cellStyle name="Normal 11 5 16 2" xfId="11499" xr:uid="{00000000-0005-0000-0000-00003D170000}"/>
    <cellStyle name="Normal 11 5 17" xfId="3329" xr:uid="{00000000-0005-0000-0000-00003E170000}"/>
    <cellStyle name="Normal 11 5 17 2" xfId="11500" xr:uid="{00000000-0005-0000-0000-00003F170000}"/>
    <cellStyle name="Normal 11 5 18" xfId="3330" xr:uid="{00000000-0005-0000-0000-000040170000}"/>
    <cellStyle name="Normal 11 5 18 2" xfId="11501" xr:uid="{00000000-0005-0000-0000-000041170000}"/>
    <cellStyle name="Normal 11 5 19" xfId="3331" xr:uid="{00000000-0005-0000-0000-000042170000}"/>
    <cellStyle name="Normal 11 5 19 2" xfId="3332" xr:uid="{00000000-0005-0000-0000-000043170000}"/>
    <cellStyle name="Normal 11 5 19 2 2" xfId="11503" xr:uid="{00000000-0005-0000-0000-000044170000}"/>
    <cellStyle name="Normal 11 5 19 3" xfId="3333" xr:uid="{00000000-0005-0000-0000-000045170000}"/>
    <cellStyle name="Normal 11 5 19 3 2" xfId="11504" xr:uid="{00000000-0005-0000-0000-000046170000}"/>
    <cellStyle name="Normal 11 5 19 4" xfId="3334" xr:uid="{00000000-0005-0000-0000-000047170000}"/>
    <cellStyle name="Normal 11 5 19 4 2" xfId="11505" xr:uid="{00000000-0005-0000-0000-000048170000}"/>
    <cellStyle name="Normal 11 5 19 5" xfId="3335" xr:uid="{00000000-0005-0000-0000-000049170000}"/>
    <cellStyle name="Normal 11 5 19 5 2" xfId="11506" xr:uid="{00000000-0005-0000-0000-00004A170000}"/>
    <cellStyle name="Normal 11 5 19 6" xfId="3336" xr:uid="{00000000-0005-0000-0000-00004B170000}"/>
    <cellStyle name="Normal 11 5 19 6 2" xfId="11507" xr:uid="{00000000-0005-0000-0000-00004C170000}"/>
    <cellStyle name="Normal 11 5 19 7" xfId="11502" xr:uid="{00000000-0005-0000-0000-00004D170000}"/>
    <cellStyle name="Normal 11 5 2" xfId="3337" xr:uid="{00000000-0005-0000-0000-00004E170000}"/>
    <cellStyle name="Normal 11 5 2 2" xfId="3338" xr:uid="{00000000-0005-0000-0000-00004F170000}"/>
    <cellStyle name="Normal 11 5 2 2 2" xfId="3339" xr:uid="{00000000-0005-0000-0000-000050170000}"/>
    <cellStyle name="Normal 11 5 2 2 2 2" xfId="3340" xr:uid="{00000000-0005-0000-0000-000051170000}"/>
    <cellStyle name="Normal 11 5 2 2 2 2 2" xfId="11511" xr:uid="{00000000-0005-0000-0000-000052170000}"/>
    <cellStyle name="Normal 11 5 2 2 2 3" xfId="11510" xr:uid="{00000000-0005-0000-0000-000053170000}"/>
    <cellStyle name="Normal 11 5 2 2 3" xfId="3341" xr:uid="{00000000-0005-0000-0000-000054170000}"/>
    <cellStyle name="Normal 11 5 2 2 3 2" xfId="3342" xr:uid="{00000000-0005-0000-0000-000055170000}"/>
    <cellStyle name="Normal 11 5 2 2 3 2 2" xfId="11513" xr:uid="{00000000-0005-0000-0000-000056170000}"/>
    <cellStyle name="Normal 11 5 2 2 3 3" xfId="11512" xr:uid="{00000000-0005-0000-0000-000057170000}"/>
    <cellStyle name="Normal 11 5 2 2 4" xfId="3343" xr:uid="{00000000-0005-0000-0000-000058170000}"/>
    <cellStyle name="Normal 11 5 2 2 4 2" xfId="11514" xr:uid="{00000000-0005-0000-0000-000059170000}"/>
    <cellStyle name="Normal 11 5 2 2 5" xfId="3344" xr:uid="{00000000-0005-0000-0000-00005A170000}"/>
    <cellStyle name="Normal 11 5 2 2 5 2" xfId="11515" xr:uid="{00000000-0005-0000-0000-00005B170000}"/>
    <cellStyle name="Normal 11 5 2 2 6" xfId="11509" xr:uid="{00000000-0005-0000-0000-00005C170000}"/>
    <cellStyle name="Normal 11 5 2 3" xfId="3345" xr:uid="{00000000-0005-0000-0000-00005D170000}"/>
    <cellStyle name="Normal 11 5 2 3 2" xfId="3346" xr:uid="{00000000-0005-0000-0000-00005E170000}"/>
    <cellStyle name="Normal 11 5 2 3 2 2" xfId="11517" xr:uid="{00000000-0005-0000-0000-00005F170000}"/>
    <cellStyle name="Normal 11 5 2 3 3" xfId="3347" xr:uid="{00000000-0005-0000-0000-000060170000}"/>
    <cellStyle name="Normal 11 5 2 3 3 2" xfId="11518" xr:uid="{00000000-0005-0000-0000-000061170000}"/>
    <cellStyle name="Normal 11 5 2 3 4" xfId="11516" xr:uid="{00000000-0005-0000-0000-000062170000}"/>
    <cellStyle name="Normal 11 5 2 4" xfId="3348" xr:uid="{00000000-0005-0000-0000-000063170000}"/>
    <cellStyle name="Normal 11 5 2 4 2" xfId="3349" xr:uid="{00000000-0005-0000-0000-000064170000}"/>
    <cellStyle name="Normal 11 5 2 4 2 2" xfId="11520" xr:uid="{00000000-0005-0000-0000-000065170000}"/>
    <cellStyle name="Normal 11 5 2 4 3" xfId="3350" xr:uid="{00000000-0005-0000-0000-000066170000}"/>
    <cellStyle name="Normal 11 5 2 4 3 2" xfId="11521" xr:uid="{00000000-0005-0000-0000-000067170000}"/>
    <cellStyle name="Normal 11 5 2 4 4" xfId="11519" xr:uid="{00000000-0005-0000-0000-000068170000}"/>
    <cellStyle name="Normal 11 5 2 5" xfId="3351" xr:uid="{00000000-0005-0000-0000-000069170000}"/>
    <cellStyle name="Normal 11 5 2 5 2" xfId="11522" xr:uid="{00000000-0005-0000-0000-00006A170000}"/>
    <cellStyle name="Normal 11 5 2 6" xfId="3352" xr:uid="{00000000-0005-0000-0000-00006B170000}"/>
    <cellStyle name="Normal 11 5 2 6 2" xfId="11523" xr:uid="{00000000-0005-0000-0000-00006C170000}"/>
    <cellStyle name="Normal 11 5 2 7" xfId="11508" xr:uid="{00000000-0005-0000-0000-00006D170000}"/>
    <cellStyle name="Normal 11 5 20" xfId="3353" xr:uid="{00000000-0005-0000-0000-00006E170000}"/>
    <cellStyle name="Normal 11 5 20 2" xfId="11524" xr:uid="{00000000-0005-0000-0000-00006F170000}"/>
    <cellStyle name="Normal 11 5 21" xfId="3354" xr:uid="{00000000-0005-0000-0000-000070170000}"/>
    <cellStyle name="Normal 11 5 21 2" xfId="11525" xr:uid="{00000000-0005-0000-0000-000071170000}"/>
    <cellStyle name="Normal 11 5 22" xfId="3355" xr:uid="{00000000-0005-0000-0000-000072170000}"/>
    <cellStyle name="Normal 11 5 22 2" xfId="11526" xr:uid="{00000000-0005-0000-0000-000073170000}"/>
    <cellStyle name="Normal 11 5 23" xfId="3356" xr:uid="{00000000-0005-0000-0000-000074170000}"/>
    <cellStyle name="Normal 11 5 23 2" xfId="11527" xr:uid="{00000000-0005-0000-0000-000075170000}"/>
    <cellStyle name="Normal 11 5 24" xfId="3357" xr:uid="{00000000-0005-0000-0000-000076170000}"/>
    <cellStyle name="Normal 11 5 24 2" xfId="11528" xr:uid="{00000000-0005-0000-0000-000077170000}"/>
    <cellStyle name="Normal 11 5 25" xfId="3358" xr:uid="{00000000-0005-0000-0000-000078170000}"/>
    <cellStyle name="Normal 11 5 25 2" xfId="11529" xr:uid="{00000000-0005-0000-0000-000079170000}"/>
    <cellStyle name="Normal 11 5 26" xfId="3359" xr:uid="{00000000-0005-0000-0000-00007A170000}"/>
    <cellStyle name="Normal 11 5 26 2" xfId="11530" xr:uid="{00000000-0005-0000-0000-00007B170000}"/>
    <cellStyle name="Normal 11 5 27" xfId="3360" xr:uid="{00000000-0005-0000-0000-00007C170000}"/>
    <cellStyle name="Normal 11 5 27 2" xfId="11531" xr:uid="{00000000-0005-0000-0000-00007D170000}"/>
    <cellStyle name="Normal 11 5 28" xfId="3361" xr:uid="{00000000-0005-0000-0000-00007E170000}"/>
    <cellStyle name="Normal 11 5 28 2" xfId="11532" xr:uid="{00000000-0005-0000-0000-00007F170000}"/>
    <cellStyle name="Normal 11 5 29" xfId="11488" xr:uid="{00000000-0005-0000-0000-000080170000}"/>
    <cellStyle name="Normal 11 5 3" xfId="3362" xr:uid="{00000000-0005-0000-0000-000081170000}"/>
    <cellStyle name="Normal 11 5 3 2" xfId="3363" xr:uid="{00000000-0005-0000-0000-000082170000}"/>
    <cellStyle name="Normal 11 5 3 2 2" xfId="3364" xr:uid="{00000000-0005-0000-0000-000083170000}"/>
    <cellStyle name="Normal 11 5 3 2 2 2" xfId="3365" xr:uid="{00000000-0005-0000-0000-000084170000}"/>
    <cellStyle name="Normal 11 5 3 2 2 2 2" xfId="11536" xr:uid="{00000000-0005-0000-0000-000085170000}"/>
    <cellStyle name="Normal 11 5 3 2 2 3" xfId="3366" xr:uid="{00000000-0005-0000-0000-000086170000}"/>
    <cellStyle name="Normal 11 5 3 2 2 3 2" xfId="11537" xr:uid="{00000000-0005-0000-0000-000087170000}"/>
    <cellStyle name="Normal 11 5 3 2 2 4" xfId="11535" xr:uid="{00000000-0005-0000-0000-000088170000}"/>
    <cellStyle name="Normal 11 5 3 2 3" xfId="3367" xr:uid="{00000000-0005-0000-0000-000089170000}"/>
    <cellStyle name="Normal 11 5 3 2 3 2" xfId="3368" xr:uid="{00000000-0005-0000-0000-00008A170000}"/>
    <cellStyle name="Normal 11 5 3 2 3 2 2" xfId="11539" xr:uid="{00000000-0005-0000-0000-00008B170000}"/>
    <cellStyle name="Normal 11 5 3 2 3 3" xfId="3369" xr:uid="{00000000-0005-0000-0000-00008C170000}"/>
    <cellStyle name="Normal 11 5 3 2 3 3 2" xfId="11540" xr:uid="{00000000-0005-0000-0000-00008D170000}"/>
    <cellStyle name="Normal 11 5 3 2 3 4" xfId="11538" xr:uid="{00000000-0005-0000-0000-00008E170000}"/>
    <cellStyle name="Normal 11 5 3 2 4" xfId="3370" xr:uid="{00000000-0005-0000-0000-00008F170000}"/>
    <cellStyle name="Normal 11 5 3 2 4 2" xfId="11541" xr:uid="{00000000-0005-0000-0000-000090170000}"/>
    <cellStyle name="Normal 11 5 3 2 5" xfId="3371" xr:uid="{00000000-0005-0000-0000-000091170000}"/>
    <cellStyle name="Normal 11 5 3 2 5 2" xfId="11542" xr:uid="{00000000-0005-0000-0000-000092170000}"/>
    <cellStyle name="Normal 11 5 3 2 6" xfId="11534" xr:uid="{00000000-0005-0000-0000-000093170000}"/>
    <cellStyle name="Normal 11 5 3 3" xfId="3372" xr:uid="{00000000-0005-0000-0000-000094170000}"/>
    <cellStyle name="Normal 11 5 3 3 2" xfId="3373" xr:uid="{00000000-0005-0000-0000-000095170000}"/>
    <cellStyle name="Normal 11 5 3 3 2 2" xfId="11544" xr:uid="{00000000-0005-0000-0000-000096170000}"/>
    <cellStyle name="Normal 11 5 3 3 3" xfId="3374" xr:uid="{00000000-0005-0000-0000-000097170000}"/>
    <cellStyle name="Normal 11 5 3 3 3 2" xfId="11545" xr:uid="{00000000-0005-0000-0000-000098170000}"/>
    <cellStyle name="Normal 11 5 3 3 4" xfId="3375" xr:uid="{00000000-0005-0000-0000-000099170000}"/>
    <cellStyle name="Normal 11 5 3 3 4 2" xfId="11546" xr:uid="{00000000-0005-0000-0000-00009A170000}"/>
    <cellStyle name="Normal 11 5 3 3 5" xfId="3376" xr:uid="{00000000-0005-0000-0000-00009B170000}"/>
    <cellStyle name="Normal 11 5 3 3 5 2" xfId="11547" xr:uid="{00000000-0005-0000-0000-00009C170000}"/>
    <cellStyle name="Normal 11 5 3 3 6" xfId="11543" xr:uid="{00000000-0005-0000-0000-00009D170000}"/>
    <cellStyle name="Normal 11 5 3 4" xfId="3377" xr:uid="{00000000-0005-0000-0000-00009E170000}"/>
    <cellStyle name="Normal 11 5 3 4 2" xfId="3378" xr:uid="{00000000-0005-0000-0000-00009F170000}"/>
    <cellStyle name="Normal 11 5 3 4 2 2" xfId="11549" xr:uid="{00000000-0005-0000-0000-0000A0170000}"/>
    <cellStyle name="Normal 11 5 3 4 3" xfId="3379" xr:uid="{00000000-0005-0000-0000-0000A1170000}"/>
    <cellStyle name="Normal 11 5 3 4 3 2" xfId="11550" xr:uid="{00000000-0005-0000-0000-0000A2170000}"/>
    <cellStyle name="Normal 11 5 3 4 4" xfId="11548" xr:uid="{00000000-0005-0000-0000-0000A3170000}"/>
    <cellStyle name="Normal 11 5 3 5" xfId="3380" xr:uid="{00000000-0005-0000-0000-0000A4170000}"/>
    <cellStyle name="Normal 11 5 3 5 2" xfId="3381" xr:uid="{00000000-0005-0000-0000-0000A5170000}"/>
    <cellStyle name="Normal 11 5 3 5 2 2" xfId="11552" xr:uid="{00000000-0005-0000-0000-0000A6170000}"/>
    <cellStyle name="Normal 11 5 3 5 3" xfId="3382" xr:uid="{00000000-0005-0000-0000-0000A7170000}"/>
    <cellStyle name="Normal 11 5 3 5 3 2" xfId="11553" xr:uid="{00000000-0005-0000-0000-0000A8170000}"/>
    <cellStyle name="Normal 11 5 3 5 4" xfId="11551" xr:uid="{00000000-0005-0000-0000-0000A9170000}"/>
    <cellStyle name="Normal 11 5 3 6" xfId="3383" xr:uid="{00000000-0005-0000-0000-0000AA170000}"/>
    <cellStyle name="Normal 11 5 3 6 2" xfId="11554" xr:uid="{00000000-0005-0000-0000-0000AB170000}"/>
    <cellStyle name="Normal 11 5 3 7" xfId="3384" xr:uid="{00000000-0005-0000-0000-0000AC170000}"/>
    <cellStyle name="Normal 11 5 3 7 2" xfId="11555" xr:uid="{00000000-0005-0000-0000-0000AD170000}"/>
    <cellStyle name="Normal 11 5 3 8" xfId="11533" xr:uid="{00000000-0005-0000-0000-0000AE170000}"/>
    <cellStyle name="Normal 11 5 4" xfId="3385" xr:uid="{00000000-0005-0000-0000-0000AF170000}"/>
    <cellStyle name="Normal 11 5 4 2" xfId="3386" xr:uid="{00000000-0005-0000-0000-0000B0170000}"/>
    <cellStyle name="Normal 11 5 4 2 2" xfId="3387" xr:uid="{00000000-0005-0000-0000-0000B1170000}"/>
    <cellStyle name="Normal 11 5 4 2 2 2" xfId="11558" xr:uid="{00000000-0005-0000-0000-0000B2170000}"/>
    <cellStyle name="Normal 11 5 4 2 3" xfId="3388" xr:uid="{00000000-0005-0000-0000-0000B3170000}"/>
    <cellStyle name="Normal 11 5 4 2 3 2" xfId="11559" xr:uid="{00000000-0005-0000-0000-0000B4170000}"/>
    <cellStyle name="Normal 11 5 4 2 4" xfId="3389" xr:uid="{00000000-0005-0000-0000-0000B5170000}"/>
    <cellStyle name="Normal 11 5 4 2 4 2" xfId="11560" xr:uid="{00000000-0005-0000-0000-0000B6170000}"/>
    <cellStyle name="Normal 11 5 4 2 5" xfId="3390" xr:uid="{00000000-0005-0000-0000-0000B7170000}"/>
    <cellStyle name="Normal 11 5 4 2 5 2" xfId="11561" xr:uid="{00000000-0005-0000-0000-0000B8170000}"/>
    <cellStyle name="Normal 11 5 4 2 6" xfId="11557" xr:uid="{00000000-0005-0000-0000-0000B9170000}"/>
    <cellStyle name="Normal 11 5 4 3" xfId="3391" xr:uid="{00000000-0005-0000-0000-0000BA170000}"/>
    <cellStyle name="Normal 11 5 4 3 2" xfId="3392" xr:uid="{00000000-0005-0000-0000-0000BB170000}"/>
    <cellStyle name="Normal 11 5 4 3 2 2" xfId="11563" xr:uid="{00000000-0005-0000-0000-0000BC170000}"/>
    <cellStyle name="Normal 11 5 4 3 3" xfId="3393" xr:uid="{00000000-0005-0000-0000-0000BD170000}"/>
    <cellStyle name="Normal 11 5 4 3 3 2" xfId="11564" xr:uid="{00000000-0005-0000-0000-0000BE170000}"/>
    <cellStyle name="Normal 11 5 4 3 4" xfId="11562" xr:uid="{00000000-0005-0000-0000-0000BF170000}"/>
    <cellStyle name="Normal 11 5 4 4" xfId="3394" xr:uid="{00000000-0005-0000-0000-0000C0170000}"/>
    <cellStyle name="Normal 11 5 4 4 2" xfId="3395" xr:uid="{00000000-0005-0000-0000-0000C1170000}"/>
    <cellStyle name="Normal 11 5 4 4 2 2" xfId="11566" xr:uid="{00000000-0005-0000-0000-0000C2170000}"/>
    <cellStyle name="Normal 11 5 4 4 3" xfId="3396" xr:uid="{00000000-0005-0000-0000-0000C3170000}"/>
    <cellStyle name="Normal 11 5 4 4 3 2" xfId="11567" xr:uid="{00000000-0005-0000-0000-0000C4170000}"/>
    <cellStyle name="Normal 11 5 4 4 4" xfId="11565" xr:uid="{00000000-0005-0000-0000-0000C5170000}"/>
    <cellStyle name="Normal 11 5 4 5" xfId="3397" xr:uid="{00000000-0005-0000-0000-0000C6170000}"/>
    <cellStyle name="Normal 11 5 4 5 2" xfId="11568" xr:uid="{00000000-0005-0000-0000-0000C7170000}"/>
    <cellStyle name="Normal 11 5 4 6" xfId="3398" xr:uid="{00000000-0005-0000-0000-0000C8170000}"/>
    <cellStyle name="Normal 11 5 4 6 2" xfId="11569" xr:uid="{00000000-0005-0000-0000-0000C9170000}"/>
    <cellStyle name="Normal 11 5 4 7" xfId="11556" xr:uid="{00000000-0005-0000-0000-0000CA170000}"/>
    <cellStyle name="Normal 11 5 5" xfId="3399" xr:uid="{00000000-0005-0000-0000-0000CB170000}"/>
    <cellStyle name="Normal 11 5 5 2" xfId="3400" xr:uid="{00000000-0005-0000-0000-0000CC170000}"/>
    <cellStyle name="Normal 11 5 5 2 2" xfId="3401" xr:uid="{00000000-0005-0000-0000-0000CD170000}"/>
    <cellStyle name="Normal 11 5 5 2 2 2" xfId="11572" xr:uid="{00000000-0005-0000-0000-0000CE170000}"/>
    <cellStyle name="Normal 11 5 5 2 3" xfId="3402" xr:uid="{00000000-0005-0000-0000-0000CF170000}"/>
    <cellStyle name="Normal 11 5 5 2 3 2" xfId="11573" xr:uid="{00000000-0005-0000-0000-0000D0170000}"/>
    <cellStyle name="Normal 11 5 5 2 4" xfId="3403" xr:uid="{00000000-0005-0000-0000-0000D1170000}"/>
    <cellStyle name="Normal 11 5 5 2 4 2" xfId="11574" xr:uid="{00000000-0005-0000-0000-0000D2170000}"/>
    <cellStyle name="Normal 11 5 5 2 5" xfId="3404" xr:uid="{00000000-0005-0000-0000-0000D3170000}"/>
    <cellStyle name="Normal 11 5 5 2 5 2" xfId="11575" xr:uid="{00000000-0005-0000-0000-0000D4170000}"/>
    <cellStyle name="Normal 11 5 5 2 6" xfId="11571" xr:uid="{00000000-0005-0000-0000-0000D5170000}"/>
    <cellStyle name="Normal 11 5 5 3" xfId="3405" xr:uid="{00000000-0005-0000-0000-0000D6170000}"/>
    <cellStyle name="Normal 11 5 5 3 2" xfId="3406" xr:uid="{00000000-0005-0000-0000-0000D7170000}"/>
    <cellStyle name="Normal 11 5 5 3 2 2" xfId="11577" xr:uid="{00000000-0005-0000-0000-0000D8170000}"/>
    <cellStyle name="Normal 11 5 5 3 3" xfId="3407" xr:uid="{00000000-0005-0000-0000-0000D9170000}"/>
    <cellStyle name="Normal 11 5 5 3 3 2" xfId="11578" xr:uid="{00000000-0005-0000-0000-0000DA170000}"/>
    <cellStyle name="Normal 11 5 5 3 4" xfId="11576" xr:uid="{00000000-0005-0000-0000-0000DB170000}"/>
    <cellStyle name="Normal 11 5 5 4" xfId="3408" xr:uid="{00000000-0005-0000-0000-0000DC170000}"/>
    <cellStyle name="Normal 11 5 5 4 2" xfId="3409" xr:uid="{00000000-0005-0000-0000-0000DD170000}"/>
    <cellStyle name="Normal 11 5 5 4 2 2" xfId="11580" xr:uid="{00000000-0005-0000-0000-0000DE170000}"/>
    <cellStyle name="Normal 11 5 5 4 3" xfId="3410" xr:uid="{00000000-0005-0000-0000-0000DF170000}"/>
    <cellStyle name="Normal 11 5 5 4 3 2" xfId="11581" xr:uid="{00000000-0005-0000-0000-0000E0170000}"/>
    <cellStyle name="Normal 11 5 5 4 4" xfId="11579" xr:uid="{00000000-0005-0000-0000-0000E1170000}"/>
    <cellStyle name="Normal 11 5 5 5" xfId="3411" xr:uid="{00000000-0005-0000-0000-0000E2170000}"/>
    <cellStyle name="Normal 11 5 5 5 2" xfId="11582" xr:uid="{00000000-0005-0000-0000-0000E3170000}"/>
    <cellStyle name="Normal 11 5 5 6" xfId="3412" xr:uid="{00000000-0005-0000-0000-0000E4170000}"/>
    <cellStyle name="Normal 11 5 5 6 2" xfId="11583" xr:uid="{00000000-0005-0000-0000-0000E5170000}"/>
    <cellStyle name="Normal 11 5 5 7" xfId="11570" xr:uid="{00000000-0005-0000-0000-0000E6170000}"/>
    <cellStyle name="Normal 11 5 6" xfId="3413" xr:uid="{00000000-0005-0000-0000-0000E7170000}"/>
    <cellStyle name="Normal 11 5 6 2" xfId="3414" xr:uid="{00000000-0005-0000-0000-0000E8170000}"/>
    <cellStyle name="Normal 11 5 6 2 2" xfId="3415" xr:uid="{00000000-0005-0000-0000-0000E9170000}"/>
    <cellStyle name="Normal 11 5 6 2 2 2" xfId="11586" xr:uid="{00000000-0005-0000-0000-0000EA170000}"/>
    <cellStyle name="Normal 11 5 6 2 3" xfId="3416" xr:uid="{00000000-0005-0000-0000-0000EB170000}"/>
    <cellStyle name="Normal 11 5 6 2 3 2" xfId="11587" xr:uid="{00000000-0005-0000-0000-0000EC170000}"/>
    <cellStyle name="Normal 11 5 6 2 4" xfId="3417" xr:uid="{00000000-0005-0000-0000-0000ED170000}"/>
    <cellStyle name="Normal 11 5 6 2 4 2" xfId="11588" xr:uid="{00000000-0005-0000-0000-0000EE170000}"/>
    <cellStyle name="Normal 11 5 6 2 5" xfId="3418" xr:uid="{00000000-0005-0000-0000-0000EF170000}"/>
    <cellStyle name="Normal 11 5 6 2 5 2" xfId="11589" xr:uid="{00000000-0005-0000-0000-0000F0170000}"/>
    <cellStyle name="Normal 11 5 6 2 6" xfId="11585" xr:uid="{00000000-0005-0000-0000-0000F1170000}"/>
    <cellStyle name="Normal 11 5 6 3" xfId="3419" xr:uid="{00000000-0005-0000-0000-0000F2170000}"/>
    <cellStyle name="Normal 11 5 6 3 2" xfId="3420" xr:uid="{00000000-0005-0000-0000-0000F3170000}"/>
    <cellStyle name="Normal 11 5 6 3 2 2" xfId="11591" xr:uid="{00000000-0005-0000-0000-0000F4170000}"/>
    <cellStyle name="Normal 11 5 6 3 3" xfId="3421" xr:uid="{00000000-0005-0000-0000-0000F5170000}"/>
    <cellStyle name="Normal 11 5 6 3 3 2" xfId="11592" xr:uid="{00000000-0005-0000-0000-0000F6170000}"/>
    <cellStyle name="Normal 11 5 6 3 4" xfId="11590" xr:uid="{00000000-0005-0000-0000-0000F7170000}"/>
    <cellStyle name="Normal 11 5 6 4" xfId="3422" xr:uid="{00000000-0005-0000-0000-0000F8170000}"/>
    <cellStyle name="Normal 11 5 6 4 2" xfId="3423" xr:uid="{00000000-0005-0000-0000-0000F9170000}"/>
    <cellStyle name="Normal 11 5 6 4 2 2" xfId="11594" xr:uid="{00000000-0005-0000-0000-0000FA170000}"/>
    <cellStyle name="Normal 11 5 6 4 3" xfId="3424" xr:uid="{00000000-0005-0000-0000-0000FB170000}"/>
    <cellStyle name="Normal 11 5 6 4 3 2" xfId="11595" xr:uid="{00000000-0005-0000-0000-0000FC170000}"/>
    <cellStyle name="Normal 11 5 6 4 4" xfId="11593" xr:uid="{00000000-0005-0000-0000-0000FD170000}"/>
    <cellStyle name="Normal 11 5 6 5" xfId="3425" xr:uid="{00000000-0005-0000-0000-0000FE170000}"/>
    <cellStyle name="Normal 11 5 6 5 2" xfId="3426" xr:uid="{00000000-0005-0000-0000-0000FF170000}"/>
    <cellStyle name="Normal 11 5 6 5 2 2" xfId="11597" xr:uid="{00000000-0005-0000-0000-000000180000}"/>
    <cellStyle name="Normal 11 5 6 5 3" xfId="11596" xr:uid="{00000000-0005-0000-0000-000001180000}"/>
    <cellStyle name="Normal 11 5 6 6" xfId="3427" xr:uid="{00000000-0005-0000-0000-000002180000}"/>
    <cellStyle name="Normal 11 5 6 6 2" xfId="11598" xr:uid="{00000000-0005-0000-0000-000003180000}"/>
    <cellStyle name="Normal 11 5 6 7" xfId="3428" xr:uid="{00000000-0005-0000-0000-000004180000}"/>
    <cellStyle name="Normal 11 5 6 7 2" xfId="11599" xr:uid="{00000000-0005-0000-0000-000005180000}"/>
    <cellStyle name="Normal 11 5 6 8" xfId="11584" xr:uid="{00000000-0005-0000-0000-000006180000}"/>
    <cellStyle name="Normal 11 5 7" xfId="3429" xr:uid="{00000000-0005-0000-0000-000007180000}"/>
    <cellStyle name="Normal 11 5 7 2" xfId="3430" xr:uid="{00000000-0005-0000-0000-000008180000}"/>
    <cellStyle name="Normal 11 5 7 2 2" xfId="3431" xr:uid="{00000000-0005-0000-0000-000009180000}"/>
    <cellStyle name="Normal 11 5 7 2 2 2" xfId="11602" xr:uid="{00000000-0005-0000-0000-00000A180000}"/>
    <cellStyle name="Normal 11 5 7 2 3" xfId="3432" xr:uid="{00000000-0005-0000-0000-00000B180000}"/>
    <cellStyle name="Normal 11 5 7 2 3 2" xfId="11603" xr:uid="{00000000-0005-0000-0000-00000C180000}"/>
    <cellStyle name="Normal 11 5 7 2 4" xfId="11601" xr:uid="{00000000-0005-0000-0000-00000D180000}"/>
    <cellStyle name="Normal 11 5 7 3" xfId="3433" xr:uid="{00000000-0005-0000-0000-00000E180000}"/>
    <cellStyle name="Normal 11 5 7 3 2" xfId="3434" xr:uid="{00000000-0005-0000-0000-00000F180000}"/>
    <cellStyle name="Normal 11 5 7 3 2 2" xfId="11605" xr:uid="{00000000-0005-0000-0000-000010180000}"/>
    <cellStyle name="Normal 11 5 7 3 3" xfId="3435" xr:uid="{00000000-0005-0000-0000-000011180000}"/>
    <cellStyle name="Normal 11 5 7 3 3 2" xfId="11606" xr:uid="{00000000-0005-0000-0000-000012180000}"/>
    <cellStyle name="Normal 11 5 7 3 4" xfId="11604" xr:uid="{00000000-0005-0000-0000-000013180000}"/>
    <cellStyle name="Normal 11 5 7 4" xfId="3436" xr:uid="{00000000-0005-0000-0000-000014180000}"/>
    <cellStyle name="Normal 11 5 7 4 2" xfId="3437" xr:uid="{00000000-0005-0000-0000-000015180000}"/>
    <cellStyle name="Normal 11 5 7 4 2 2" xfId="11608" xr:uid="{00000000-0005-0000-0000-000016180000}"/>
    <cellStyle name="Normal 11 5 7 4 3" xfId="11607" xr:uid="{00000000-0005-0000-0000-000017180000}"/>
    <cellStyle name="Normal 11 5 7 5" xfId="3438" xr:uid="{00000000-0005-0000-0000-000018180000}"/>
    <cellStyle name="Normal 11 5 7 5 2" xfId="11609" xr:uid="{00000000-0005-0000-0000-000019180000}"/>
    <cellStyle name="Normal 11 5 7 6" xfId="3439" xr:uid="{00000000-0005-0000-0000-00001A180000}"/>
    <cellStyle name="Normal 11 5 7 6 2" xfId="11610" xr:uid="{00000000-0005-0000-0000-00001B180000}"/>
    <cellStyle name="Normal 11 5 7 7" xfId="11600" xr:uid="{00000000-0005-0000-0000-00001C180000}"/>
    <cellStyle name="Normal 11 5 8" xfId="3440" xr:uid="{00000000-0005-0000-0000-00001D180000}"/>
    <cellStyle name="Normal 11 5 8 2" xfId="3441" xr:uid="{00000000-0005-0000-0000-00001E180000}"/>
    <cellStyle name="Normal 11 5 8 2 2" xfId="11612" xr:uid="{00000000-0005-0000-0000-00001F180000}"/>
    <cellStyle name="Normal 11 5 8 3" xfId="3442" xr:uid="{00000000-0005-0000-0000-000020180000}"/>
    <cellStyle name="Normal 11 5 8 3 2" xfId="11613" xr:uid="{00000000-0005-0000-0000-000021180000}"/>
    <cellStyle name="Normal 11 5 8 4" xfId="3443" xr:uid="{00000000-0005-0000-0000-000022180000}"/>
    <cellStyle name="Normal 11 5 8 4 2" xfId="11614" xr:uid="{00000000-0005-0000-0000-000023180000}"/>
    <cellStyle name="Normal 11 5 8 5" xfId="3444" xr:uid="{00000000-0005-0000-0000-000024180000}"/>
    <cellStyle name="Normal 11 5 8 5 2" xfId="11615" xr:uid="{00000000-0005-0000-0000-000025180000}"/>
    <cellStyle name="Normal 11 5 8 6" xfId="11611" xr:uid="{00000000-0005-0000-0000-000026180000}"/>
    <cellStyle name="Normal 11 5 9" xfId="3445" xr:uid="{00000000-0005-0000-0000-000027180000}"/>
    <cellStyle name="Normal 11 5 9 2" xfId="3446" xr:uid="{00000000-0005-0000-0000-000028180000}"/>
    <cellStyle name="Normal 11 5 9 2 2" xfId="11617" xr:uid="{00000000-0005-0000-0000-000029180000}"/>
    <cellStyle name="Normal 11 5 9 3" xfId="3447" xr:uid="{00000000-0005-0000-0000-00002A180000}"/>
    <cellStyle name="Normal 11 5 9 3 2" xfId="11618" xr:uid="{00000000-0005-0000-0000-00002B180000}"/>
    <cellStyle name="Normal 11 5 9 4" xfId="11616" xr:uid="{00000000-0005-0000-0000-00002C180000}"/>
    <cellStyle name="Normal 11 5_10070" xfId="3448" xr:uid="{00000000-0005-0000-0000-00002D180000}"/>
    <cellStyle name="Normal 11 6" xfId="3449" xr:uid="{00000000-0005-0000-0000-00002E180000}"/>
    <cellStyle name="Normal 11 6 2" xfId="3450" xr:uid="{00000000-0005-0000-0000-00002F180000}"/>
    <cellStyle name="Normal 11 6 2 2" xfId="3451" xr:uid="{00000000-0005-0000-0000-000030180000}"/>
    <cellStyle name="Normal 11 6 2 2 2" xfId="3452" xr:uid="{00000000-0005-0000-0000-000031180000}"/>
    <cellStyle name="Normal 11 6 2 2 2 2" xfId="11622" xr:uid="{00000000-0005-0000-0000-000032180000}"/>
    <cellStyle name="Normal 11 6 2 2 3" xfId="11621" xr:uid="{00000000-0005-0000-0000-000033180000}"/>
    <cellStyle name="Normal 11 6 2 3" xfId="3453" xr:uid="{00000000-0005-0000-0000-000034180000}"/>
    <cellStyle name="Normal 11 6 2 3 2" xfId="3454" xr:uid="{00000000-0005-0000-0000-000035180000}"/>
    <cellStyle name="Normal 11 6 2 3 2 2" xfId="11624" xr:uid="{00000000-0005-0000-0000-000036180000}"/>
    <cellStyle name="Normal 11 6 2 3 3" xfId="11623" xr:uid="{00000000-0005-0000-0000-000037180000}"/>
    <cellStyle name="Normal 11 6 2 4" xfId="3455" xr:uid="{00000000-0005-0000-0000-000038180000}"/>
    <cellStyle name="Normal 11 6 2 4 2" xfId="11625" xr:uid="{00000000-0005-0000-0000-000039180000}"/>
    <cellStyle name="Normal 11 6 2 5" xfId="11620" xr:uid="{00000000-0005-0000-0000-00003A180000}"/>
    <cellStyle name="Normal 11 6 3" xfId="3456" xr:uid="{00000000-0005-0000-0000-00003B180000}"/>
    <cellStyle name="Normal 11 6 3 2" xfId="3457" xr:uid="{00000000-0005-0000-0000-00003C180000}"/>
    <cellStyle name="Normal 11 6 3 2 2" xfId="11627" xr:uid="{00000000-0005-0000-0000-00003D180000}"/>
    <cellStyle name="Normal 11 6 3 3" xfId="3458" xr:uid="{00000000-0005-0000-0000-00003E180000}"/>
    <cellStyle name="Normal 11 6 3 3 2" xfId="11628" xr:uid="{00000000-0005-0000-0000-00003F180000}"/>
    <cellStyle name="Normal 11 6 3 4" xfId="11626" xr:uid="{00000000-0005-0000-0000-000040180000}"/>
    <cellStyle name="Normal 11 6 4" xfId="3459" xr:uid="{00000000-0005-0000-0000-000041180000}"/>
    <cellStyle name="Normal 11 6 4 2" xfId="3460" xr:uid="{00000000-0005-0000-0000-000042180000}"/>
    <cellStyle name="Normal 11 6 4 2 2" xfId="11630" xr:uid="{00000000-0005-0000-0000-000043180000}"/>
    <cellStyle name="Normal 11 6 4 3" xfId="11629" xr:uid="{00000000-0005-0000-0000-000044180000}"/>
    <cellStyle name="Normal 11 6 5" xfId="3461" xr:uid="{00000000-0005-0000-0000-000045180000}"/>
    <cellStyle name="Normal 11 6 5 2" xfId="11631" xr:uid="{00000000-0005-0000-0000-000046180000}"/>
    <cellStyle name="Normal 11 6 6" xfId="11619" xr:uid="{00000000-0005-0000-0000-000047180000}"/>
    <cellStyle name="Normal 11 7" xfId="3462" xr:uid="{00000000-0005-0000-0000-000048180000}"/>
    <cellStyle name="Normal 11 7 2" xfId="3463" xr:uid="{00000000-0005-0000-0000-000049180000}"/>
    <cellStyle name="Normal 11 7 2 2" xfId="3464" xr:uid="{00000000-0005-0000-0000-00004A180000}"/>
    <cellStyle name="Normal 11 7 2 2 2" xfId="11634" xr:uid="{00000000-0005-0000-0000-00004B180000}"/>
    <cellStyle name="Normal 11 7 2 3" xfId="11633" xr:uid="{00000000-0005-0000-0000-00004C180000}"/>
    <cellStyle name="Normal 11 7 3" xfId="3465" xr:uid="{00000000-0005-0000-0000-00004D180000}"/>
    <cellStyle name="Normal 11 7 3 2" xfId="3466" xr:uid="{00000000-0005-0000-0000-00004E180000}"/>
    <cellStyle name="Normal 11 7 3 2 2" xfId="11636" xr:uid="{00000000-0005-0000-0000-00004F180000}"/>
    <cellStyle name="Normal 11 7 3 3" xfId="11635" xr:uid="{00000000-0005-0000-0000-000050180000}"/>
    <cellStyle name="Normal 11 7 4" xfId="3467" xr:uid="{00000000-0005-0000-0000-000051180000}"/>
    <cellStyle name="Normal 11 7 4 2" xfId="11637" xr:uid="{00000000-0005-0000-0000-000052180000}"/>
    <cellStyle name="Normal 11 7 5" xfId="3468" xr:uid="{00000000-0005-0000-0000-000053180000}"/>
    <cellStyle name="Normal 11 7 5 2" xfId="11638" xr:uid="{00000000-0005-0000-0000-000054180000}"/>
    <cellStyle name="Normal 11 7 6" xfId="11632" xr:uid="{00000000-0005-0000-0000-000055180000}"/>
    <cellStyle name="Normal 11 8" xfId="3469" xr:uid="{00000000-0005-0000-0000-000056180000}"/>
    <cellStyle name="Normal 11 8 2" xfId="3470" xr:uid="{00000000-0005-0000-0000-000057180000}"/>
    <cellStyle name="Normal 11 8 2 2" xfId="11640" xr:uid="{00000000-0005-0000-0000-000058180000}"/>
    <cellStyle name="Normal 11 8 3" xfId="3471" xr:uid="{00000000-0005-0000-0000-000059180000}"/>
    <cellStyle name="Normal 11 8 3 2" xfId="11641" xr:uid="{00000000-0005-0000-0000-00005A180000}"/>
    <cellStyle name="Normal 11 8 4" xfId="11639" xr:uid="{00000000-0005-0000-0000-00005B180000}"/>
    <cellStyle name="Normal 11 9" xfId="3472" xr:uid="{00000000-0005-0000-0000-00005C180000}"/>
    <cellStyle name="Normal 11 9 2" xfId="3473" xr:uid="{00000000-0005-0000-0000-00005D180000}"/>
    <cellStyle name="Normal 11 9 2 2" xfId="11643" xr:uid="{00000000-0005-0000-0000-00005E180000}"/>
    <cellStyle name="Normal 11 9 3" xfId="11642" xr:uid="{00000000-0005-0000-0000-00005F180000}"/>
    <cellStyle name="Normal 11_2180" xfId="3474" xr:uid="{00000000-0005-0000-0000-000060180000}"/>
    <cellStyle name="Normal 110" xfId="3475" xr:uid="{00000000-0005-0000-0000-000061180000}"/>
    <cellStyle name="Normal 110 2" xfId="3476" xr:uid="{00000000-0005-0000-0000-000062180000}"/>
    <cellStyle name="Normal 110 2 2" xfId="11645" xr:uid="{00000000-0005-0000-0000-000063180000}"/>
    <cellStyle name="Normal 110 3" xfId="11644" xr:uid="{00000000-0005-0000-0000-000064180000}"/>
    <cellStyle name="Normal 111" xfId="3477" xr:uid="{00000000-0005-0000-0000-000065180000}"/>
    <cellStyle name="Normal 111 2" xfId="3478" xr:uid="{00000000-0005-0000-0000-000066180000}"/>
    <cellStyle name="Normal 111 2 2" xfId="11647" xr:uid="{00000000-0005-0000-0000-000067180000}"/>
    <cellStyle name="Normal 111 3" xfId="3479" xr:uid="{00000000-0005-0000-0000-000068180000}"/>
    <cellStyle name="Normal 111 4" xfId="11646" xr:uid="{00000000-0005-0000-0000-000069180000}"/>
    <cellStyle name="Normal 112" xfId="3480" xr:uid="{00000000-0005-0000-0000-00006A180000}"/>
    <cellStyle name="Normal 112 2" xfId="3481" xr:uid="{00000000-0005-0000-0000-00006B180000}"/>
    <cellStyle name="Normal 112 2 2" xfId="11649" xr:uid="{00000000-0005-0000-0000-00006C180000}"/>
    <cellStyle name="Normal 112 3" xfId="3482" xr:uid="{00000000-0005-0000-0000-00006D180000}"/>
    <cellStyle name="Normal 112 4" xfId="11648" xr:uid="{00000000-0005-0000-0000-00006E180000}"/>
    <cellStyle name="Normal 113" xfId="3483" xr:uid="{00000000-0005-0000-0000-00006F180000}"/>
    <cellStyle name="Normal 113 2" xfId="3484" xr:uid="{00000000-0005-0000-0000-000070180000}"/>
    <cellStyle name="Normal 113 2 2" xfId="11651" xr:uid="{00000000-0005-0000-0000-000071180000}"/>
    <cellStyle name="Normal 113 3" xfId="3485" xr:uid="{00000000-0005-0000-0000-000072180000}"/>
    <cellStyle name="Normal 113 3 2" xfId="11652" xr:uid="{00000000-0005-0000-0000-000073180000}"/>
    <cellStyle name="Normal 113 4" xfId="3486" xr:uid="{00000000-0005-0000-0000-000074180000}"/>
    <cellStyle name="Normal 113 4 2" xfId="11653" xr:uid="{00000000-0005-0000-0000-000075180000}"/>
    <cellStyle name="Normal 113 5" xfId="11650" xr:uid="{00000000-0005-0000-0000-000076180000}"/>
    <cellStyle name="Normal 114" xfId="3487" xr:uid="{00000000-0005-0000-0000-000077180000}"/>
    <cellStyle name="Normal 114 2" xfId="3488" xr:uid="{00000000-0005-0000-0000-000078180000}"/>
    <cellStyle name="Normal 114 2 2" xfId="11655" xr:uid="{00000000-0005-0000-0000-000079180000}"/>
    <cellStyle name="Normal 114 3" xfId="11654" xr:uid="{00000000-0005-0000-0000-00007A180000}"/>
    <cellStyle name="Normal 115" xfId="3489" xr:uid="{00000000-0005-0000-0000-00007B180000}"/>
    <cellStyle name="Normal 115 2" xfId="11656" xr:uid="{00000000-0005-0000-0000-00007C180000}"/>
    <cellStyle name="Normal 116" xfId="3490" xr:uid="{00000000-0005-0000-0000-00007D180000}"/>
    <cellStyle name="Normal 116 2" xfId="11657" xr:uid="{00000000-0005-0000-0000-00007E180000}"/>
    <cellStyle name="Normal 117" xfId="3491" xr:uid="{00000000-0005-0000-0000-00007F180000}"/>
    <cellStyle name="Normal 117 2" xfId="3492" xr:uid="{00000000-0005-0000-0000-000080180000}"/>
    <cellStyle name="Normal 117 2 2" xfId="11659" xr:uid="{00000000-0005-0000-0000-000081180000}"/>
    <cellStyle name="Normal 117 3" xfId="11658" xr:uid="{00000000-0005-0000-0000-000082180000}"/>
    <cellStyle name="Normal 118" xfId="3493" xr:uid="{00000000-0005-0000-0000-000083180000}"/>
    <cellStyle name="Normal 118 2" xfId="3494" xr:uid="{00000000-0005-0000-0000-000084180000}"/>
    <cellStyle name="Normal 118 2 2" xfId="11661" xr:uid="{00000000-0005-0000-0000-000085180000}"/>
    <cellStyle name="Normal 118 3" xfId="11660" xr:uid="{00000000-0005-0000-0000-000086180000}"/>
    <cellStyle name="Normal 119" xfId="3495" xr:uid="{00000000-0005-0000-0000-000087180000}"/>
    <cellStyle name="Normal 119 2" xfId="11662" xr:uid="{00000000-0005-0000-0000-000088180000}"/>
    <cellStyle name="Normal 12" xfId="3496" xr:uid="{00000000-0005-0000-0000-000089180000}"/>
    <cellStyle name="Normal 12 10" xfId="3497" xr:uid="{00000000-0005-0000-0000-00008A180000}"/>
    <cellStyle name="Normal 12 10 2" xfId="11664" xr:uid="{00000000-0005-0000-0000-00008B180000}"/>
    <cellStyle name="Normal 12 11" xfId="11663" xr:uid="{00000000-0005-0000-0000-00008C180000}"/>
    <cellStyle name="Normal 12 2" xfId="3498" xr:uid="{00000000-0005-0000-0000-00008D180000}"/>
    <cellStyle name="Normal 12 2 2" xfId="3499" xr:uid="{00000000-0005-0000-0000-00008E180000}"/>
    <cellStyle name="Normal 12 2 2 2" xfId="3500" xr:uid="{00000000-0005-0000-0000-00008F180000}"/>
    <cellStyle name="Normal 12 2 2 2 2" xfId="3501" xr:uid="{00000000-0005-0000-0000-000090180000}"/>
    <cellStyle name="Normal 12 2 2 2 2 2" xfId="3502" xr:uid="{00000000-0005-0000-0000-000091180000}"/>
    <cellStyle name="Normal 12 2 2 2 2 2 2" xfId="3503" xr:uid="{00000000-0005-0000-0000-000092180000}"/>
    <cellStyle name="Normal 12 2 2 2 2 2 2 2" xfId="3504" xr:uid="{00000000-0005-0000-0000-000093180000}"/>
    <cellStyle name="Normal 12 2 2 2 2 2 2 2 2" xfId="11670" xr:uid="{00000000-0005-0000-0000-000094180000}"/>
    <cellStyle name="Normal 12 2 2 2 2 2 2 3" xfId="11669" xr:uid="{00000000-0005-0000-0000-000095180000}"/>
    <cellStyle name="Normal 12 2 2 2 2 2 3" xfId="3505" xr:uid="{00000000-0005-0000-0000-000096180000}"/>
    <cellStyle name="Normal 12 2 2 2 2 2 3 2" xfId="3506" xr:uid="{00000000-0005-0000-0000-000097180000}"/>
    <cellStyle name="Normal 12 2 2 2 2 2 3 2 2" xfId="11672" xr:uid="{00000000-0005-0000-0000-000098180000}"/>
    <cellStyle name="Normal 12 2 2 2 2 2 3 3" xfId="11671" xr:uid="{00000000-0005-0000-0000-000099180000}"/>
    <cellStyle name="Normal 12 2 2 2 2 2 4" xfId="3507" xr:uid="{00000000-0005-0000-0000-00009A180000}"/>
    <cellStyle name="Normal 12 2 2 2 2 2 4 2" xfId="11673" xr:uid="{00000000-0005-0000-0000-00009B180000}"/>
    <cellStyle name="Normal 12 2 2 2 2 2 5" xfId="11668" xr:uid="{00000000-0005-0000-0000-00009C180000}"/>
    <cellStyle name="Normal 12 2 2 2 2 3" xfId="3508" xr:uid="{00000000-0005-0000-0000-00009D180000}"/>
    <cellStyle name="Normal 12 2 2 2 2 3 2" xfId="3509" xr:uid="{00000000-0005-0000-0000-00009E180000}"/>
    <cellStyle name="Normal 12 2 2 2 2 3 2 2" xfId="11675" xr:uid="{00000000-0005-0000-0000-00009F180000}"/>
    <cellStyle name="Normal 12 2 2 2 2 3 3" xfId="11674" xr:uid="{00000000-0005-0000-0000-0000A0180000}"/>
    <cellStyle name="Normal 12 2 2 2 2 4" xfId="3510" xr:uid="{00000000-0005-0000-0000-0000A1180000}"/>
    <cellStyle name="Normal 12 2 2 2 2 4 2" xfId="3511" xr:uid="{00000000-0005-0000-0000-0000A2180000}"/>
    <cellStyle name="Normal 12 2 2 2 2 4 2 2" xfId="11677" xr:uid="{00000000-0005-0000-0000-0000A3180000}"/>
    <cellStyle name="Normal 12 2 2 2 2 4 3" xfId="11676" xr:uid="{00000000-0005-0000-0000-0000A4180000}"/>
    <cellStyle name="Normal 12 2 2 2 2 5" xfId="3512" xr:uid="{00000000-0005-0000-0000-0000A5180000}"/>
    <cellStyle name="Normal 12 2 2 2 2 5 2" xfId="11678" xr:uid="{00000000-0005-0000-0000-0000A6180000}"/>
    <cellStyle name="Normal 12 2 2 2 2 6" xfId="11667" xr:uid="{00000000-0005-0000-0000-0000A7180000}"/>
    <cellStyle name="Normal 12 2 2 2 3" xfId="3513" xr:uid="{00000000-0005-0000-0000-0000A8180000}"/>
    <cellStyle name="Normal 12 2 2 2 3 2" xfId="3514" xr:uid="{00000000-0005-0000-0000-0000A9180000}"/>
    <cellStyle name="Normal 12 2 2 2 3 2 2" xfId="3515" xr:uid="{00000000-0005-0000-0000-0000AA180000}"/>
    <cellStyle name="Normal 12 2 2 2 3 2 2 2" xfId="11681" xr:uid="{00000000-0005-0000-0000-0000AB180000}"/>
    <cellStyle name="Normal 12 2 2 2 3 2 3" xfId="11680" xr:uid="{00000000-0005-0000-0000-0000AC180000}"/>
    <cellStyle name="Normal 12 2 2 2 3 3" xfId="3516" xr:uid="{00000000-0005-0000-0000-0000AD180000}"/>
    <cellStyle name="Normal 12 2 2 2 3 3 2" xfId="3517" xr:uid="{00000000-0005-0000-0000-0000AE180000}"/>
    <cellStyle name="Normal 12 2 2 2 3 3 2 2" xfId="11683" xr:uid="{00000000-0005-0000-0000-0000AF180000}"/>
    <cellStyle name="Normal 12 2 2 2 3 3 3" xfId="11682" xr:uid="{00000000-0005-0000-0000-0000B0180000}"/>
    <cellStyle name="Normal 12 2 2 2 3 4" xfId="3518" xr:uid="{00000000-0005-0000-0000-0000B1180000}"/>
    <cellStyle name="Normal 12 2 2 2 3 4 2" xfId="11684" xr:uid="{00000000-0005-0000-0000-0000B2180000}"/>
    <cellStyle name="Normal 12 2 2 2 3 5" xfId="11679" xr:uid="{00000000-0005-0000-0000-0000B3180000}"/>
    <cellStyle name="Normal 12 2 2 2 4" xfId="3519" xr:uid="{00000000-0005-0000-0000-0000B4180000}"/>
    <cellStyle name="Normal 12 2 2 2 4 2" xfId="3520" xr:uid="{00000000-0005-0000-0000-0000B5180000}"/>
    <cellStyle name="Normal 12 2 2 2 4 2 2" xfId="11686" xr:uid="{00000000-0005-0000-0000-0000B6180000}"/>
    <cellStyle name="Normal 12 2 2 2 4 3" xfId="11685" xr:uid="{00000000-0005-0000-0000-0000B7180000}"/>
    <cellStyle name="Normal 12 2 2 2 5" xfId="3521" xr:uid="{00000000-0005-0000-0000-0000B8180000}"/>
    <cellStyle name="Normal 12 2 2 2 5 2" xfId="3522" xr:uid="{00000000-0005-0000-0000-0000B9180000}"/>
    <cellStyle name="Normal 12 2 2 2 5 2 2" xfId="11688" xr:uid="{00000000-0005-0000-0000-0000BA180000}"/>
    <cellStyle name="Normal 12 2 2 2 5 3" xfId="11687" xr:uid="{00000000-0005-0000-0000-0000BB180000}"/>
    <cellStyle name="Normal 12 2 2 2 6" xfId="3523" xr:uid="{00000000-0005-0000-0000-0000BC180000}"/>
    <cellStyle name="Normal 12 2 2 2 6 2" xfId="11689" xr:uid="{00000000-0005-0000-0000-0000BD180000}"/>
    <cellStyle name="Normal 12 2 2 2 7" xfId="11666" xr:uid="{00000000-0005-0000-0000-0000BE180000}"/>
    <cellStyle name="Normal 12 2 2 3" xfId="3524" xr:uid="{00000000-0005-0000-0000-0000BF180000}"/>
    <cellStyle name="Normal 12 2 2 3 2" xfId="3525" xr:uid="{00000000-0005-0000-0000-0000C0180000}"/>
    <cellStyle name="Normal 12 2 2 3 2 2" xfId="3526" xr:uid="{00000000-0005-0000-0000-0000C1180000}"/>
    <cellStyle name="Normal 12 2 2 3 2 2 2" xfId="3527" xr:uid="{00000000-0005-0000-0000-0000C2180000}"/>
    <cellStyle name="Normal 12 2 2 3 2 2 2 2" xfId="11693" xr:uid="{00000000-0005-0000-0000-0000C3180000}"/>
    <cellStyle name="Normal 12 2 2 3 2 2 3" xfId="11692" xr:uid="{00000000-0005-0000-0000-0000C4180000}"/>
    <cellStyle name="Normal 12 2 2 3 2 3" xfId="3528" xr:uid="{00000000-0005-0000-0000-0000C5180000}"/>
    <cellStyle name="Normal 12 2 2 3 2 3 2" xfId="3529" xr:uid="{00000000-0005-0000-0000-0000C6180000}"/>
    <cellStyle name="Normal 12 2 2 3 2 3 2 2" xfId="11695" xr:uid="{00000000-0005-0000-0000-0000C7180000}"/>
    <cellStyle name="Normal 12 2 2 3 2 3 3" xfId="11694" xr:uid="{00000000-0005-0000-0000-0000C8180000}"/>
    <cellStyle name="Normal 12 2 2 3 2 4" xfId="3530" xr:uid="{00000000-0005-0000-0000-0000C9180000}"/>
    <cellStyle name="Normal 12 2 2 3 2 4 2" xfId="11696" xr:uid="{00000000-0005-0000-0000-0000CA180000}"/>
    <cellStyle name="Normal 12 2 2 3 2 5" xfId="11691" xr:uid="{00000000-0005-0000-0000-0000CB180000}"/>
    <cellStyle name="Normal 12 2 2 3 3" xfId="3531" xr:uid="{00000000-0005-0000-0000-0000CC180000}"/>
    <cellStyle name="Normal 12 2 2 3 3 2" xfId="3532" xr:uid="{00000000-0005-0000-0000-0000CD180000}"/>
    <cellStyle name="Normal 12 2 2 3 3 2 2" xfId="11698" xr:uid="{00000000-0005-0000-0000-0000CE180000}"/>
    <cellStyle name="Normal 12 2 2 3 3 3" xfId="11697" xr:uid="{00000000-0005-0000-0000-0000CF180000}"/>
    <cellStyle name="Normal 12 2 2 3 4" xfId="3533" xr:uid="{00000000-0005-0000-0000-0000D0180000}"/>
    <cellStyle name="Normal 12 2 2 3 4 2" xfId="3534" xr:uid="{00000000-0005-0000-0000-0000D1180000}"/>
    <cellStyle name="Normal 12 2 2 3 4 2 2" xfId="11700" xr:uid="{00000000-0005-0000-0000-0000D2180000}"/>
    <cellStyle name="Normal 12 2 2 3 4 3" xfId="11699" xr:uid="{00000000-0005-0000-0000-0000D3180000}"/>
    <cellStyle name="Normal 12 2 2 3 5" xfId="3535" xr:uid="{00000000-0005-0000-0000-0000D4180000}"/>
    <cellStyle name="Normal 12 2 2 3 5 2" xfId="11701" xr:uid="{00000000-0005-0000-0000-0000D5180000}"/>
    <cellStyle name="Normal 12 2 2 3 6" xfId="11690" xr:uid="{00000000-0005-0000-0000-0000D6180000}"/>
    <cellStyle name="Normal 12 2 2 4" xfId="3536" xr:uid="{00000000-0005-0000-0000-0000D7180000}"/>
    <cellStyle name="Normal 12 2 2 4 2" xfId="3537" xr:uid="{00000000-0005-0000-0000-0000D8180000}"/>
    <cellStyle name="Normal 12 2 2 4 2 2" xfId="3538" xr:uid="{00000000-0005-0000-0000-0000D9180000}"/>
    <cellStyle name="Normal 12 2 2 4 2 2 2" xfId="11704" xr:uid="{00000000-0005-0000-0000-0000DA180000}"/>
    <cellStyle name="Normal 12 2 2 4 2 3" xfId="11703" xr:uid="{00000000-0005-0000-0000-0000DB180000}"/>
    <cellStyle name="Normal 12 2 2 4 3" xfId="3539" xr:uid="{00000000-0005-0000-0000-0000DC180000}"/>
    <cellStyle name="Normal 12 2 2 4 3 2" xfId="3540" xr:uid="{00000000-0005-0000-0000-0000DD180000}"/>
    <cellStyle name="Normal 12 2 2 4 3 2 2" xfId="11706" xr:uid="{00000000-0005-0000-0000-0000DE180000}"/>
    <cellStyle name="Normal 12 2 2 4 3 3" xfId="11705" xr:uid="{00000000-0005-0000-0000-0000DF180000}"/>
    <cellStyle name="Normal 12 2 2 4 4" xfId="3541" xr:uid="{00000000-0005-0000-0000-0000E0180000}"/>
    <cellStyle name="Normal 12 2 2 4 4 2" xfId="11707" xr:uid="{00000000-0005-0000-0000-0000E1180000}"/>
    <cellStyle name="Normal 12 2 2 4 5" xfId="11702" xr:uid="{00000000-0005-0000-0000-0000E2180000}"/>
    <cellStyle name="Normal 12 2 2 5" xfId="3542" xr:uid="{00000000-0005-0000-0000-0000E3180000}"/>
    <cellStyle name="Normal 12 2 2 5 2" xfId="3543" xr:uid="{00000000-0005-0000-0000-0000E4180000}"/>
    <cellStyle name="Normal 12 2 2 5 2 2" xfId="11709" xr:uid="{00000000-0005-0000-0000-0000E5180000}"/>
    <cellStyle name="Normal 12 2 2 5 3" xfId="11708" xr:uid="{00000000-0005-0000-0000-0000E6180000}"/>
    <cellStyle name="Normal 12 2 2 6" xfId="3544" xr:uid="{00000000-0005-0000-0000-0000E7180000}"/>
    <cellStyle name="Normal 12 2 2 6 2" xfId="3545" xr:uid="{00000000-0005-0000-0000-0000E8180000}"/>
    <cellStyle name="Normal 12 2 2 6 2 2" xfId="11711" xr:uid="{00000000-0005-0000-0000-0000E9180000}"/>
    <cellStyle name="Normal 12 2 2 6 3" xfId="11710" xr:uid="{00000000-0005-0000-0000-0000EA180000}"/>
    <cellStyle name="Normal 12 2 2 7" xfId="3546" xr:uid="{00000000-0005-0000-0000-0000EB180000}"/>
    <cellStyle name="Normal 12 2 2 7 2" xfId="11712" xr:uid="{00000000-0005-0000-0000-0000EC180000}"/>
    <cellStyle name="Normal 12 2 2 8" xfId="11665" xr:uid="{00000000-0005-0000-0000-0000ED180000}"/>
    <cellStyle name="Normal 12 2 3" xfId="3547" xr:uid="{00000000-0005-0000-0000-0000EE180000}"/>
    <cellStyle name="Normal 12 2 3 2" xfId="3548" xr:uid="{00000000-0005-0000-0000-0000EF180000}"/>
    <cellStyle name="Normal 12 2 3 2 2" xfId="3549" xr:uid="{00000000-0005-0000-0000-0000F0180000}"/>
    <cellStyle name="Normal 12 2 3 2 2 2" xfId="3550" xr:uid="{00000000-0005-0000-0000-0000F1180000}"/>
    <cellStyle name="Normal 12 2 3 2 2 2 2" xfId="3551" xr:uid="{00000000-0005-0000-0000-0000F2180000}"/>
    <cellStyle name="Normal 12 2 3 2 2 2 2 2" xfId="11717" xr:uid="{00000000-0005-0000-0000-0000F3180000}"/>
    <cellStyle name="Normal 12 2 3 2 2 2 3" xfId="11716" xr:uid="{00000000-0005-0000-0000-0000F4180000}"/>
    <cellStyle name="Normal 12 2 3 2 2 3" xfId="3552" xr:uid="{00000000-0005-0000-0000-0000F5180000}"/>
    <cellStyle name="Normal 12 2 3 2 2 3 2" xfId="3553" xr:uid="{00000000-0005-0000-0000-0000F6180000}"/>
    <cellStyle name="Normal 12 2 3 2 2 3 2 2" xfId="11719" xr:uid="{00000000-0005-0000-0000-0000F7180000}"/>
    <cellStyle name="Normal 12 2 3 2 2 3 3" xfId="11718" xr:uid="{00000000-0005-0000-0000-0000F8180000}"/>
    <cellStyle name="Normal 12 2 3 2 2 4" xfId="3554" xr:uid="{00000000-0005-0000-0000-0000F9180000}"/>
    <cellStyle name="Normal 12 2 3 2 2 4 2" xfId="11720" xr:uid="{00000000-0005-0000-0000-0000FA180000}"/>
    <cellStyle name="Normal 12 2 3 2 2 5" xfId="11715" xr:uid="{00000000-0005-0000-0000-0000FB180000}"/>
    <cellStyle name="Normal 12 2 3 2 3" xfId="3555" xr:uid="{00000000-0005-0000-0000-0000FC180000}"/>
    <cellStyle name="Normal 12 2 3 2 3 2" xfId="3556" xr:uid="{00000000-0005-0000-0000-0000FD180000}"/>
    <cellStyle name="Normal 12 2 3 2 3 2 2" xfId="11722" xr:uid="{00000000-0005-0000-0000-0000FE180000}"/>
    <cellStyle name="Normal 12 2 3 2 3 3" xfId="11721" xr:uid="{00000000-0005-0000-0000-0000FF180000}"/>
    <cellStyle name="Normal 12 2 3 2 4" xfId="3557" xr:uid="{00000000-0005-0000-0000-000000190000}"/>
    <cellStyle name="Normal 12 2 3 2 4 2" xfId="3558" xr:uid="{00000000-0005-0000-0000-000001190000}"/>
    <cellStyle name="Normal 12 2 3 2 4 2 2" xfId="11724" xr:uid="{00000000-0005-0000-0000-000002190000}"/>
    <cellStyle name="Normal 12 2 3 2 4 3" xfId="11723" xr:uid="{00000000-0005-0000-0000-000003190000}"/>
    <cellStyle name="Normal 12 2 3 2 5" xfId="3559" xr:uid="{00000000-0005-0000-0000-000004190000}"/>
    <cellStyle name="Normal 12 2 3 2 5 2" xfId="11725" xr:uid="{00000000-0005-0000-0000-000005190000}"/>
    <cellStyle name="Normal 12 2 3 2 6" xfId="11714" xr:uid="{00000000-0005-0000-0000-000006190000}"/>
    <cellStyle name="Normal 12 2 3 3" xfId="3560" xr:uid="{00000000-0005-0000-0000-000007190000}"/>
    <cellStyle name="Normal 12 2 3 3 2" xfId="3561" xr:uid="{00000000-0005-0000-0000-000008190000}"/>
    <cellStyle name="Normal 12 2 3 3 2 2" xfId="3562" xr:uid="{00000000-0005-0000-0000-000009190000}"/>
    <cellStyle name="Normal 12 2 3 3 2 2 2" xfId="11728" xr:uid="{00000000-0005-0000-0000-00000A190000}"/>
    <cellStyle name="Normal 12 2 3 3 2 3" xfId="11727" xr:uid="{00000000-0005-0000-0000-00000B190000}"/>
    <cellStyle name="Normal 12 2 3 3 3" xfId="3563" xr:uid="{00000000-0005-0000-0000-00000C190000}"/>
    <cellStyle name="Normal 12 2 3 3 3 2" xfId="3564" xr:uid="{00000000-0005-0000-0000-00000D190000}"/>
    <cellStyle name="Normal 12 2 3 3 3 2 2" xfId="11730" xr:uid="{00000000-0005-0000-0000-00000E190000}"/>
    <cellStyle name="Normal 12 2 3 3 3 3" xfId="11729" xr:uid="{00000000-0005-0000-0000-00000F190000}"/>
    <cellStyle name="Normal 12 2 3 3 4" xfId="3565" xr:uid="{00000000-0005-0000-0000-000010190000}"/>
    <cellStyle name="Normal 12 2 3 3 4 2" xfId="11731" xr:uid="{00000000-0005-0000-0000-000011190000}"/>
    <cellStyle name="Normal 12 2 3 3 5" xfId="11726" xr:uid="{00000000-0005-0000-0000-000012190000}"/>
    <cellStyle name="Normal 12 2 3 4" xfId="3566" xr:uid="{00000000-0005-0000-0000-000013190000}"/>
    <cellStyle name="Normal 12 2 3 4 2" xfId="3567" xr:uid="{00000000-0005-0000-0000-000014190000}"/>
    <cellStyle name="Normal 12 2 3 4 2 2" xfId="11733" xr:uid="{00000000-0005-0000-0000-000015190000}"/>
    <cellStyle name="Normal 12 2 3 4 3" xfId="11732" xr:uid="{00000000-0005-0000-0000-000016190000}"/>
    <cellStyle name="Normal 12 2 3 5" xfId="3568" xr:uid="{00000000-0005-0000-0000-000017190000}"/>
    <cellStyle name="Normal 12 2 3 5 2" xfId="3569" xr:uid="{00000000-0005-0000-0000-000018190000}"/>
    <cellStyle name="Normal 12 2 3 5 2 2" xfId="11735" xr:uid="{00000000-0005-0000-0000-000019190000}"/>
    <cellStyle name="Normal 12 2 3 5 3" xfId="11734" xr:uid="{00000000-0005-0000-0000-00001A190000}"/>
    <cellStyle name="Normal 12 2 3 6" xfId="3570" xr:uid="{00000000-0005-0000-0000-00001B190000}"/>
    <cellStyle name="Normal 12 2 3 6 2" xfId="11736" xr:uid="{00000000-0005-0000-0000-00001C190000}"/>
    <cellStyle name="Normal 12 2 3 7" xfId="11713" xr:uid="{00000000-0005-0000-0000-00001D190000}"/>
    <cellStyle name="Normal 12 2 4" xfId="3571" xr:uid="{00000000-0005-0000-0000-00001E190000}"/>
    <cellStyle name="Normal 12 2 4 2" xfId="3572" xr:uid="{00000000-0005-0000-0000-00001F190000}"/>
    <cellStyle name="Normal 12 2 4 2 2" xfId="3573" xr:uid="{00000000-0005-0000-0000-000020190000}"/>
    <cellStyle name="Normal 12 2 4 2 2 2" xfId="3574" xr:uid="{00000000-0005-0000-0000-000021190000}"/>
    <cellStyle name="Normal 12 2 4 2 2 2 2" xfId="11740" xr:uid="{00000000-0005-0000-0000-000022190000}"/>
    <cellStyle name="Normal 12 2 4 2 2 3" xfId="11739" xr:uid="{00000000-0005-0000-0000-000023190000}"/>
    <cellStyle name="Normal 12 2 4 2 3" xfId="3575" xr:uid="{00000000-0005-0000-0000-000024190000}"/>
    <cellStyle name="Normal 12 2 4 2 3 2" xfId="3576" xr:uid="{00000000-0005-0000-0000-000025190000}"/>
    <cellStyle name="Normal 12 2 4 2 3 2 2" xfId="11742" xr:uid="{00000000-0005-0000-0000-000026190000}"/>
    <cellStyle name="Normal 12 2 4 2 3 3" xfId="11741" xr:uid="{00000000-0005-0000-0000-000027190000}"/>
    <cellStyle name="Normal 12 2 4 2 4" xfId="3577" xr:uid="{00000000-0005-0000-0000-000028190000}"/>
    <cellStyle name="Normal 12 2 4 2 4 2" xfId="11743" xr:uid="{00000000-0005-0000-0000-000029190000}"/>
    <cellStyle name="Normal 12 2 4 2 5" xfId="11738" xr:uid="{00000000-0005-0000-0000-00002A190000}"/>
    <cellStyle name="Normal 12 2 4 3" xfId="3578" xr:uid="{00000000-0005-0000-0000-00002B190000}"/>
    <cellStyle name="Normal 12 2 4 3 2" xfId="3579" xr:uid="{00000000-0005-0000-0000-00002C190000}"/>
    <cellStyle name="Normal 12 2 4 3 2 2" xfId="11745" xr:uid="{00000000-0005-0000-0000-00002D190000}"/>
    <cellStyle name="Normal 12 2 4 3 3" xfId="11744" xr:uid="{00000000-0005-0000-0000-00002E190000}"/>
    <cellStyle name="Normal 12 2 4 4" xfId="3580" xr:uid="{00000000-0005-0000-0000-00002F190000}"/>
    <cellStyle name="Normal 12 2 4 4 2" xfId="3581" xr:uid="{00000000-0005-0000-0000-000030190000}"/>
    <cellStyle name="Normal 12 2 4 4 2 2" xfId="11747" xr:uid="{00000000-0005-0000-0000-000031190000}"/>
    <cellStyle name="Normal 12 2 4 4 3" xfId="11746" xr:uid="{00000000-0005-0000-0000-000032190000}"/>
    <cellStyle name="Normal 12 2 4 5" xfId="3582" xr:uid="{00000000-0005-0000-0000-000033190000}"/>
    <cellStyle name="Normal 12 2 4 5 2" xfId="11748" xr:uid="{00000000-0005-0000-0000-000034190000}"/>
    <cellStyle name="Normal 12 2 4 6" xfId="11737" xr:uid="{00000000-0005-0000-0000-000035190000}"/>
    <cellStyle name="Normal 12 2 5" xfId="3583" xr:uid="{00000000-0005-0000-0000-000036190000}"/>
    <cellStyle name="Normal 12 2 5 2" xfId="3584" xr:uid="{00000000-0005-0000-0000-000037190000}"/>
    <cellStyle name="Normal 12 2 5 2 2" xfId="3585" xr:uid="{00000000-0005-0000-0000-000038190000}"/>
    <cellStyle name="Normal 12 2 5 2 2 2" xfId="11751" xr:uid="{00000000-0005-0000-0000-000039190000}"/>
    <cellStyle name="Normal 12 2 5 2 3" xfId="11750" xr:uid="{00000000-0005-0000-0000-00003A190000}"/>
    <cellStyle name="Normal 12 2 5 3" xfId="3586" xr:uid="{00000000-0005-0000-0000-00003B190000}"/>
    <cellStyle name="Normal 12 2 5 3 2" xfId="3587" xr:uid="{00000000-0005-0000-0000-00003C190000}"/>
    <cellStyle name="Normal 12 2 5 3 2 2" xfId="11753" xr:uid="{00000000-0005-0000-0000-00003D190000}"/>
    <cellStyle name="Normal 12 2 5 3 3" xfId="11752" xr:uid="{00000000-0005-0000-0000-00003E190000}"/>
    <cellStyle name="Normal 12 2 5 4" xfId="3588" xr:uid="{00000000-0005-0000-0000-00003F190000}"/>
    <cellStyle name="Normal 12 2 5 4 2" xfId="11754" xr:uid="{00000000-0005-0000-0000-000040190000}"/>
    <cellStyle name="Normal 12 2 5 5" xfId="11749" xr:uid="{00000000-0005-0000-0000-000041190000}"/>
    <cellStyle name="Normal 12 2 6" xfId="3589" xr:uid="{00000000-0005-0000-0000-000042190000}"/>
    <cellStyle name="Normal 12 2 6 2" xfId="3590" xr:uid="{00000000-0005-0000-0000-000043190000}"/>
    <cellStyle name="Normal 12 2 6 2 2" xfId="11756" xr:uid="{00000000-0005-0000-0000-000044190000}"/>
    <cellStyle name="Normal 12 2 6 3" xfId="11755" xr:uid="{00000000-0005-0000-0000-000045190000}"/>
    <cellStyle name="Normal 12 2 7" xfId="3591" xr:uid="{00000000-0005-0000-0000-000046190000}"/>
    <cellStyle name="Normal 12 2 7 2" xfId="3592" xr:uid="{00000000-0005-0000-0000-000047190000}"/>
    <cellStyle name="Normal 12 2 7 2 2" xfId="11758" xr:uid="{00000000-0005-0000-0000-000048190000}"/>
    <cellStyle name="Normal 12 2 7 3" xfId="11757" xr:uid="{00000000-0005-0000-0000-000049190000}"/>
    <cellStyle name="Normal 12 2 8" xfId="3593" xr:uid="{00000000-0005-0000-0000-00004A190000}"/>
    <cellStyle name="Normal 12 2 8 2" xfId="11759" xr:uid="{00000000-0005-0000-0000-00004B190000}"/>
    <cellStyle name="Normal 12 3" xfId="3594" xr:uid="{00000000-0005-0000-0000-00004C190000}"/>
    <cellStyle name="Normal 12 3 2" xfId="3595" xr:uid="{00000000-0005-0000-0000-00004D190000}"/>
    <cellStyle name="Normal 12 3 2 2" xfId="3596" xr:uid="{00000000-0005-0000-0000-00004E190000}"/>
    <cellStyle name="Normal 12 3 2 2 2" xfId="3597" xr:uid="{00000000-0005-0000-0000-00004F190000}"/>
    <cellStyle name="Normal 12 3 2 2 2 2" xfId="3598" xr:uid="{00000000-0005-0000-0000-000050190000}"/>
    <cellStyle name="Normal 12 3 2 2 2 2 2" xfId="3599" xr:uid="{00000000-0005-0000-0000-000051190000}"/>
    <cellStyle name="Normal 12 3 2 2 2 2 2 2" xfId="11763" xr:uid="{00000000-0005-0000-0000-000052190000}"/>
    <cellStyle name="Normal 12 3 2 2 2 2 3" xfId="11762" xr:uid="{00000000-0005-0000-0000-000053190000}"/>
    <cellStyle name="Normal 12 3 2 2 2 3" xfId="3600" xr:uid="{00000000-0005-0000-0000-000054190000}"/>
    <cellStyle name="Normal 12 3 2 2 2 3 2" xfId="3601" xr:uid="{00000000-0005-0000-0000-000055190000}"/>
    <cellStyle name="Normal 12 3 2 2 2 3 2 2" xfId="11765" xr:uid="{00000000-0005-0000-0000-000056190000}"/>
    <cellStyle name="Normal 12 3 2 2 2 3 3" xfId="11764" xr:uid="{00000000-0005-0000-0000-000057190000}"/>
    <cellStyle name="Normal 12 3 2 2 2 4" xfId="3602" xr:uid="{00000000-0005-0000-0000-000058190000}"/>
    <cellStyle name="Normal 12 3 2 2 2 4 2" xfId="11766" xr:uid="{00000000-0005-0000-0000-000059190000}"/>
    <cellStyle name="Normal 12 3 2 2 2 5" xfId="11761" xr:uid="{00000000-0005-0000-0000-00005A190000}"/>
    <cellStyle name="Normal 12 3 2 2 3" xfId="3603" xr:uid="{00000000-0005-0000-0000-00005B190000}"/>
    <cellStyle name="Normal 12 3 2 2 3 2" xfId="3604" xr:uid="{00000000-0005-0000-0000-00005C190000}"/>
    <cellStyle name="Normal 12 3 2 2 3 2 2" xfId="11768" xr:uid="{00000000-0005-0000-0000-00005D190000}"/>
    <cellStyle name="Normal 12 3 2 2 3 3" xfId="11767" xr:uid="{00000000-0005-0000-0000-00005E190000}"/>
    <cellStyle name="Normal 12 3 2 2 4" xfId="3605" xr:uid="{00000000-0005-0000-0000-00005F190000}"/>
    <cellStyle name="Normal 12 3 2 2 4 2" xfId="3606" xr:uid="{00000000-0005-0000-0000-000060190000}"/>
    <cellStyle name="Normal 12 3 2 2 4 2 2" xfId="11770" xr:uid="{00000000-0005-0000-0000-000061190000}"/>
    <cellStyle name="Normal 12 3 2 2 4 3" xfId="11769" xr:uid="{00000000-0005-0000-0000-000062190000}"/>
    <cellStyle name="Normal 12 3 2 2 5" xfId="3607" xr:uid="{00000000-0005-0000-0000-000063190000}"/>
    <cellStyle name="Normal 12 3 2 2 5 2" xfId="11771" xr:uid="{00000000-0005-0000-0000-000064190000}"/>
    <cellStyle name="Normal 12 3 2 3" xfId="3608" xr:uid="{00000000-0005-0000-0000-000065190000}"/>
    <cellStyle name="Normal 12 3 2 3 2" xfId="3609" xr:uid="{00000000-0005-0000-0000-000066190000}"/>
    <cellStyle name="Normal 12 3 2 3 2 2" xfId="3610" xr:uid="{00000000-0005-0000-0000-000067190000}"/>
    <cellStyle name="Normal 12 3 2 3 2 2 2" xfId="11774" xr:uid="{00000000-0005-0000-0000-000068190000}"/>
    <cellStyle name="Normal 12 3 2 3 2 3" xfId="11773" xr:uid="{00000000-0005-0000-0000-000069190000}"/>
    <cellStyle name="Normal 12 3 2 3 3" xfId="3611" xr:uid="{00000000-0005-0000-0000-00006A190000}"/>
    <cellStyle name="Normal 12 3 2 3 3 2" xfId="3612" xr:uid="{00000000-0005-0000-0000-00006B190000}"/>
    <cellStyle name="Normal 12 3 2 3 3 2 2" xfId="11776" xr:uid="{00000000-0005-0000-0000-00006C190000}"/>
    <cellStyle name="Normal 12 3 2 3 3 3" xfId="11775" xr:uid="{00000000-0005-0000-0000-00006D190000}"/>
    <cellStyle name="Normal 12 3 2 3 4" xfId="3613" xr:uid="{00000000-0005-0000-0000-00006E190000}"/>
    <cellStyle name="Normal 12 3 2 3 4 2" xfId="11777" xr:uid="{00000000-0005-0000-0000-00006F190000}"/>
    <cellStyle name="Normal 12 3 2 3 5" xfId="11772" xr:uid="{00000000-0005-0000-0000-000070190000}"/>
    <cellStyle name="Normal 12 3 2 4" xfId="3614" xr:uid="{00000000-0005-0000-0000-000071190000}"/>
    <cellStyle name="Normal 12 3 2 4 2" xfId="3615" xr:uid="{00000000-0005-0000-0000-000072190000}"/>
    <cellStyle name="Normal 12 3 2 4 2 2" xfId="11779" xr:uid="{00000000-0005-0000-0000-000073190000}"/>
    <cellStyle name="Normal 12 3 2 4 3" xfId="11778" xr:uid="{00000000-0005-0000-0000-000074190000}"/>
    <cellStyle name="Normal 12 3 2 5" xfId="3616" xr:uid="{00000000-0005-0000-0000-000075190000}"/>
    <cellStyle name="Normal 12 3 2 5 2" xfId="3617" xr:uid="{00000000-0005-0000-0000-000076190000}"/>
    <cellStyle name="Normal 12 3 2 5 2 2" xfId="11781" xr:uid="{00000000-0005-0000-0000-000077190000}"/>
    <cellStyle name="Normal 12 3 2 5 3" xfId="11780" xr:uid="{00000000-0005-0000-0000-000078190000}"/>
    <cellStyle name="Normal 12 3 2 6" xfId="3618" xr:uid="{00000000-0005-0000-0000-000079190000}"/>
    <cellStyle name="Normal 12 3 2 6 2" xfId="11782" xr:uid="{00000000-0005-0000-0000-00007A190000}"/>
    <cellStyle name="Normal 12 3 2 7" xfId="11760" xr:uid="{00000000-0005-0000-0000-00007B190000}"/>
    <cellStyle name="Normal 12 3 3" xfId="3619" xr:uid="{00000000-0005-0000-0000-00007C190000}"/>
    <cellStyle name="Normal 12 3 3 2" xfId="3620" xr:uid="{00000000-0005-0000-0000-00007D190000}"/>
    <cellStyle name="Normal 12 3 3 2 2" xfId="3621" xr:uid="{00000000-0005-0000-0000-00007E190000}"/>
    <cellStyle name="Normal 12 3 3 2 2 2" xfId="3622" xr:uid="{00000000-0005-0000-0000-00007F190000}"/>
    <cellStyle name="Normal 12 3 3 2 2 2 2" xfId="11786" xr:uid="{00000000-0005-0000-0000-000080190000}"/>
    <cellStyle name="Normal 12 3 3 2 2 3" xfId="11785" xr:uid="{00000000-0005-0000-0000-000081190000}"/>
    <cellStyle name="Normal 12 3 3 2 3" xfId="3623" xr:uid="{00000000-0005-0000-0000-000082190000}"/>
    <cellStyle name="Normal 12 3 3 2 3 2" xfId="3624" xr:uid="{00000000-0005-0000-0000-000083190000}"/>
    <cellStyle name="Normal 12 3 3 2 3 2 2" xfId="11788" xr:uid="{00000000-0005-0000-0000-000084190000}"/>
    <cellStyle name="Normal 12 3 3 2 3 3" xfId="11787" xr:uid="{00000000-0005-0000-0000-000085190000}"/>
    <cellStyle name="Normal 12 3 3 2 4" xfId="3625" xr:uid="{00000000-0005-0000-0000-000086190000}"/>
    <cellStyle name="Normal 12 3 3 2 4 2" xfId="11789" xr:uid="{00000000-0005-0000-0000-000087190000}"/>
    <cellStyle name="Normal 12 3 3 2 5" xfId="11784" xr:uid="{00000000-0005-0000-0000-000088190000}"/>
    <cellStyle name="Normal 12 3 3 3" xfId="3626" xr:uid="{00000000-0005-0000-0000-000089190000}"/>
    <cellStyle name="Normal 12 3 3 3 2" xfId="3627" xr:uid="{00000000-0005-0000-0000-00008A190000}"/>
    <cellStyle name="Normal 12 3 3 3 2 2" xfId="11791" xr:uid="{00000000-0005-0000-0000-00008B190000}"/>
    <cellStyle name="Normal 12 3 3 3 3" xfId="11790" xr:uid="{00000000-0005-0000-0000-00008C190000}"/>
    <cellStyle name="Normal 12 3 3 4" xfId="3628" xr:uid="{00000000-0005-0000-0000-00008D190000}"/>
    <cellStyle name="Normal 12 3 3 4 2" xfId="3629" xr:uid="{00000000-0005-0000-0000-00008E190000}"/>
    <cellStyle name="Normal 12 3 3 4 2 2" xfId="11793" xr:uid="{00000000-0005-0000-0000-00008F190000}"/>
    <cellStyle name="Normal 12 3 3 4 3" xfId="11792" xr:uid="{00000000-0005-0000-0000-000090190000}"/>
    <cellStyle name="Normal 12 3 3 5" xfId="3630" xr:uid="{00000000-0005-0000-0000-000091190000}"/>
    <cellStyle name="Normal 12 3 3 5 2" xfId="11794" xr:uid="{00000000-0005-0000-0000-000092190000}"/>
    <cellStyle name="Normal 12 3 3 6" xfId="11783" xr:uid="{00000000-0005-0000-0000-000093190000}"/>
    <cellStyle name="Normal 12 3 4" xfId="3631" xr:uid="{00000000-0005-0000-0000-000094190000}"/>
    <cellStyle name="Normal 12 3 4 2" xfId="3632" xr:uid="{00000000-0005-0000-0000-000095190000}"/>
    <cellStyle name="Normal 12 3 4 2 2" xfId="3633" xr:uid="{00000000-0005-0000-0000-000096190000}"/>
    <cellStyle name="Normal 12 3 4 2 2 2" xfId="11797" xr:uid="{00000000-0005-0000-0000-000097190000}"/>
    <cellStyle name="Normal 12 3 4 2 3" xfId="11796" xr:uid="{00000000-0005-0000-0000-000098190000}"/>
    <cellStyle name="Normal 12 3 4 3" xfId="3634" xr:uid="{00000000-0005-0000-0000-000099190000}"/>
    <cellStyle name="Normal 12 3 4 3 2" xfId="3635" xr:uid="{00000000-0005-0000-0000-00009A190000}"/>
    <cellStyle name="Normal 12 3 4 3 2 2" xfId="11799" xr:uid="{00000000-0005-0000-0000-00009B190000}"/>
    <cellStyle name="Normal 12 3 4 3 3" xfId="11798" xr:uid="{00000000-0005-0000-0000-00009C190000}"/>
    <cellStyle name="Normal 12 3 4 4" xfId="3636" xr:uid="{00000000-0005-0000-0000-00009D190000}"/>
    <cellStyle name="Normal 12 3 4 4 2" xfId="11800" xr:uid="{00000000-0005-0000-0000-00009E190000}"/>
    <cellStyle name="Normal 12 3 4 5" xfId="11795" xr:uid="{00000000-0005-0000-0000-00009F190000}"/>
    <cellStyle name="Normal 12 3 5" xfId="3637" xr:uid="{00000000-0005-0000-0000-0000A0190000}"/>
    <cellStyle name="Normal 12 3 5 2" xfId="3638" xr:uid="{00000000-0005-0000-0000-0000A1190000}"/>
    <cellStyle name="Normal 12 3 5 2 2" xfId="11802" xr:uid="{00000000-0005-0000-0000-0000A2190000}"/>
    <cellStyle name="Normal 12 3 5 3" xfId="11801" xr:uid="{00000000-0005-0000-0000-0000A3190000}"/>
    <cellStyle name="Normal 12 3 6" xfId="3639" xr:uid="{00000000-0005-0000-0000-0000A4190000}"/>
    <cellStyle name="Normal 12 3 6 2" xfId="3640" xr:uid="{00000000-0005-0000-0000-0000A5190000}"/>
    <cellStyle name="Normal 12 3 6 2 2" xfId="11804" xr:uid="{00000000-0005-0000-0000-0000A6190000}"/>
    <cellStyle name="Normal 12 3 6 3" xfId="11803" xr:uid="{00000000-0005-0000-0000-0000A7190000}"/>
    <cellStyle name="Normal 12 3 7" xfId="3641" xr:uid="{00000000-0005-0000-0000-0000A8190000}"/>
    <cellStyle name="Normal 12 3 7 2" xfId="11805" xr:uid="{00000000-0005-0000-0000-0000A9190000}"/>
    <cellStyle name="Normal 12 3 8" xfId="3642" xr:uid="{00000000-0005-0000-0000-0000AA190000}"/>
    <cellStyle name="Normal 12 4" xfId="3643" xr:uid="{00000000-0005-0000-0000-0000AB190000}"/>
    <cellStyle name="Normal 12 4 2" xfId="3644" xr:uid="{00000000-0005-0000-0000-0000AC190000}"/>
    <cellStyle name="Normal 12 4 2 2" xfId="3645" xr:uid="{00000000-0005-0000-0000-0000AD190000}"/>
    <cellStyle name="Normal 12 4 2 2 2" xfId="3646" xr:uid="{00000000-0005-0000-0000-0000AE190000}"/>
    <cellStyle name="Normal 12 4 2 2 2 2" xfId="3647" xr:uid="{00000000-0005-0000-0000-0000AF190000}"/>
    <cellStyle name="Normal 12 4 2 2 2 2 2" xfId="3648" xr:uid="{00000000-0005-0000-0000-0000B0190000}"/>
    <cellStyle name="Normal 12 4 2 2 2 2 2 2" xfId="11811" xr:uid="{00000000-0005-0000-0000-0000B1190000}"/>
    <cellStyle name="Normal 12 4 2 2 2 2 3" xfId="11810" xr:uid="{00000000-0005-0000-0000-0000B2190000}"/>
    <cellStyle name="Normal 12 4 2 2 2 3" xfId="3649" xr:uid="{00000000-0005-0000-0000-0000B3190000}"/>
    <cellStyle name="Normal 12 4 2 2 2 3 2" xfId="3650" xr:uid="{00000000-0005-0000-0000-0000B4190000}"/>
    <cellStyle name="Normal 12 4 2 2 2 3 2 2" xfId="11813" xr:uid="{00000000-0005-0000-0000-0000B5190000}"/>
    <cellStyle name="Normal 12 4 2 2 2 3 3" xfId="11812" xr:uid="{00000000-0005-0000-0000-0000B6190000}"/>
    <cellStyle name="Normal 12 4 2 2 2 4" xfId="3651" xr:uid="{00000000-0005-0000-0000-0000B7190000}"/>
    <cellStyle name="Normal 12 4 2 2 2 4 2" xfId="11814" xr:uid="{00000000-0005-0000-0000-0000B8190000}"/>
    <cellStyle name="Normal 12 4 2 2 2 5" xfId="11809" xr:uid="{00000000-0005-0000-0000-0000B9190000}"/>
    <cellStyle name="Normal 12 4 2 2 3" xfId="3652" xr:uid="{00000000-0005-0000-0000-0000BA190000}"/>
    <cellStyle name="Normal 12 4 2 2 3 2" xfId="3653" xr:uid="{00000000-0005-0000-0000-0000BB190000}"/>
    <cellStyle name="Normal 12 4 2 2 3 2 2" xfId="11816" xr:uid="{00000000-0005-0000-0000-0000BC190000}"/>
    <cellStyle name="Normal 12 4 2 2 3 3" xfId="11815" xr:uid="{00000000-0005-0000-0000-0000BD190000}"/>
    <cellStyle name="Normal 12 4 2 2 4" xfId="3654" xr:uid="{00000000-0005-0000-0000-0000BE190000}"/>
    <cellStyle name="Normal 12 4 2 2 4 2" xfId="3655" xr:uid="{00000000-0005-0000-0000-0000BF190000}"/>
    <cellStyle name="Normal 12 4 2 2 4 2 2" xfId="11818" xr:uid="{00000000-0005-0000-0000-0000C0190000}"/>
    <cellStyle name="Normal 12 4 2 2 4 3" xfId="11817" xr:uid="{00000000-0005-0000-0000-0000C1190000}"/>
    <cellStyle name="Normal 12 4 2 2 5" xfId="3656" xr:uid="{00000000-0005-0000-0000-0000C2190000}"/>
    <cellStyle name="Normal 12 4 2 2 5 2" xfId="11819" xr:uid="{00000000-0005-0000-0000-0000C3190000}"/>
    <cellStyle name="Normal 12 4 2 2 6" xfId="11808" xr:uid="{00000000-0005-0000-0000-0000C4190000}"/>
    <cellStyle name="Normal 12 4 2 3" xfId="3657" xr:uid="{00000000-0005-0000-0000-0000C5190000}"/>
    <cellStyle name="Normal 12 4 2 3 2" xfId="3658" xr:uid="{00000000-0005-0000-0000-0000C6190000}"/>
    <cellStyle name="Normal 12 4 2 3 2 2" xfId="3659" xr:uid="{00000000-0005-0000-0000-0000C7190000}"/>
    <cellStyle name="Normal 12 4 2 3 2 2 2" xfId="11822" xr:uid="{00000000-0005-0000-0000-0000C8190000}"/>
    <cellStyle name="Normal 12 4 2 3 2 3" xfId="11821" xr:uid="{00000000-0005-0000-0000-0000C9190000}"/>
    <cellStyle name="Normal 12 4 2 3 3" xfId="3660" xr:uid="{00000000-0005-0000-0000-0000CA190000}"/>
    <cellStyle name="Normal 12 4 2 3 3 2" xfId="3661" xr:uid="{00000000-0005-0000-0000-0000CB190000}"/>
    <cellStyle name="Normal 12 4 2 3 3 2 2" xfId="11824" xr:uid="{00000000-0005-0000-0000-0000CC190000}"/>
    <cellStyle name="Normal 12 4 2 3 3 3" xfId="11823" xr:uid="{00000000-0005-0000-0000-0000CD190000}"/>
    <cellStyle name="Normal 12 4 2 3 4" xfId="3662" xr:uid="{00000000-0005-0000-0000-0000CE190000}"/>
    <cellStyle name="Normal 12 4 2 3 4 2" xfId="11825" xr:uid="{00000000-0005-0000-0000-0000CF190000}"/>
    <cellStyle name="Normal 12 4 2 3 5" xfId="11820" xr:uid="{00000000-0005-0000-0000-0000D0190000}"/>
    <cellStyle name="Normal 12 4 2 4" xfId="3663" xr:uid="{00000000-0005-0000-0000-0000D1190000}"/>
    <cellStyle name="Normal 12 4 2 4 2" xfId="3664" xr:uid="{00000000-0005-0000-0000-0000D2190000}"/>
    <cellStyle name="Normal 12 4 2 4 2 2" xfId="11827" xr:uid="{00000000-0005-0000-0000-0000D3190000}"/>
    <cellStyle name="Normal 12 4 2 4 3" xfId="11826" xr:uid="{00000000-0005-0000-0000-0000D4190000}"/>
    <cellStyle name="Normal 12 4 2 5" xfId="3665" xr:uid="{00000000-0005-0000-0000-0000D5190000}"/>
    <cellStyle name="Normal 12 4 2 5 2" xfId="3666" xr:uid="{00000000-0005-0000-0000-0000D6190000}"/>
    <cellStyle name="Normal 12 4 2 5 2 2" xfId="11829" xr:uid="{00000000-0005-0000-0000-0000D7190000}"/>
    <cellStyle name="Normal 12 4 2 5 3" xfId="11828" xr:uid="{00000000-0005-0000-0000-0000D8190000}"/>
    <cellStyle name="Normal 12 4 2 6" xfId="3667" xr:uid="{00000000-0005-0000-0000-0000D9190000}"/>
    <cellStyle name="Normal 12 4 2 6 2" xfId="11830" xr:uid="{00000000-0005-0000-0000-0000DA190000}"/>
    <cellStyle name="Normal 12 4 2 7" xfId="11807" xr:uid="{00000000-0005-0000-0000-0000DB190000}"/>
    <cellStyle name="Normal 12 4 3" xfId="3668" xr:uid="{00000000-0005-0000-0000-0000DC190000}"/>
    <cellStyle name="Normal 12 4 3 2" xfId="3669" xr:uid="{00000000-0005-0000-0000-0000DD190000}"/>
    <cellStyle name="Normal 12 4 3 2 2" xfId="3670" xr:uid="{00000000-0005-0000-0000-0000DE190000}"/>
    <cellStyle name="Normal 12 4 3 2 2 2" xfId="3671" xr:uid="{00000000-0005-0000-0000-0000DF190000}"/>
    <cellStyle name="Normal 12 4 3 2 2 2 2" xfId="11834" xr:uid="{00000000-0005-0000-0000-0000E0190000}"/>
    <cellStyle name="Normal 12 4 3 2 2 3" xfId="11833" xr:uid="{00000000-0005-0000-0000-0000E1190000}"/>
    <cellStyle name="Normal 12 4 3 2 3" xfId="3672" xr:uid="{00000000-0005-0000-0000-0000E2190000}"/>
    <cellStyle name="Normal 12 4 3 2 3 2" xfId="3673" xr:uid="{00000000-0005-0000-0000-0000E3190000}"/>
    <cellStyle name="Normal 12 4 3 2 3 2 2" xfId="11836" xr:uid="{00000000-0005-0000-0000-0000E4190000}"/>
    <cellStyle name="Normal 12 4 3 2 3 3" xfId="11835" xr:uid="{00000000-0005-0000-0000-0000E5190000}"/>
    <cellStyle name="Normal 12 4 3 2 4" xfId="3674" xr:uid="{00000000-0005-0000-0000-0000E6190000}"/>
    <cellStyle name="Normal 12 4 3 2 4 2" xfId="11837" xr:uid="{00000000-0005-0000-0000-0000E7190000}"/>
    <cellStyle name="Normal 12 4 3 2 5" xfId="11832" xr:uid="{00000000-0005-0000-0000-0000E8190000}"/>
    <cellStyle name="Normal 12 4 3 3" xfId="3675" xr:uid="{00000000-0005-0000-0000-0000E9190000}"/>
    <cellStyle name="Normal 12 4 3 3 2" xfId="3676" xr:uid="{00000000-0005-0000-0000-0000EA190000}"/>
    <cellStyle name="Normal 12 4 3 3 2 2" xfId="11839" xr:uid="{00000000-0005-0000-0000-0000EB190000}"/>
    <cellStyle name="Normal 12 4 3 3 3" xfId="11838" xr:uid="{00000000-0005-0000-0000-0000EC190000}"/>
    <cellStyle name="Normal 12 4 3 4" xfId="3677" xr:uid="{00000000-0005-0000-0000-0000ED190000}"/>
    <cellStyle name="Normal 12 4 3 4 2" xfId="3678" xr:uid="{00000000-0005-0000-0000-0000EE190000}"/>
    <cellStyle name="Normal 12 4 3 4 2 2" xfId="11841" xr:uid="{00000000-0005-0000-0000-0000EF190000}"/>
    <cellStyle name="Normal 12 4 3 4 3" xfId="11840" xr:uid="{00000000-0005-0000-0000-0000F0190000}"/>
    <cellStyle name="Normal 12 4 3 5" xfId="3679" xr:uid="{00000000-0005-0000-0000-0000F1190000}"/>
    <cellStyle name="Normal 12 4 3 5 2" xfId="11842" xr:uid="{00000000-0005-0000-0000-0000F2190000}"/>
    <cellStyle name="Normal 12 4 3 6" xfId="11831" xr:uid="{00000000-0005-0000-0000-0000F3190000}"/>
    <cellStyle name="Normal 12 4 4" xfId="3680" xr:uid="{00000000-0005-0000-0000-0000F4190000}"/>
    <cellStyle name="Normal 12 4 4 2" xfId="3681" xr:uid="{00000000-0005-0000-0000-0000F5190000}"/>
    <cellStyle name="Normal 12 4 4 2 2" xfId="3682" xr:uid="{00000000-0005-0000-0000-0000F6190000}"/>
    <cellStyle name="Normal 12 4 4 2 2 2" xfId="11845" xr:uid="{00000000-0005-0000-0000-0000F7190000}"/>
    <cellStyle name="Normal 12 4 4 2 3" xfId="11844" xr:uid="{00000000-0005-0000-0000-0000F8190000}"/>
    <cellStyle name="Normal 12 4 4 3" xfId="3683" xr:uid="{00000000-0005-0000-0000-0000F9190000}"/>
    <cellStyle name="Normal 12 4 4 3 2" xfId="3684" xr:uid="{00000000-0005-0000-0000-0000FA190000}"/>
    <cellStyle name="Normal 12 4 4 3 2 2" xfId="11847" xr:uid="{00000000-0005-0000-0000-0000FB190000}"/>
    <cellStyle name="Normal 12 4 4 3 3" xfId="11846" xr:uid="{00000000-0005-0000-0000-0000FC190000}"/>
    <cellStyle name="Normal 12 4 4 4" xfId="3685" xr:uid="{00000000-0005-0000-0000-0000FD190000}"/>
    <cellStyle name="Normal 12 4 4 4 2" xfId="11848" xr:uid="{00000000-0005-0000-0000-0000FE190000}"/>
    <cellStyle name="Normal 12 4 4 5" xfId="11843" xr:uid="{00000000-0005-0000-0000-0000FF190000}"/>
    <cellStyle name="Normal 12 4 5" xfId="3686" xr:uid="{00000000-0005-0000-0000-0000001A0000}"/>
    <cellStyle name="Normal 12 4 5 2" xfId="3687" xr:uid="{00000000-0005-0000-0000-0000011A0000}"/>
    <cellStyle name="Normal 12 4 5 2 2" xfId="11850" xr:uid="{00000000-0005-0000-0000-0000021A0000}"/>
    <cellStyle name="Normal 12 4 5 3" xfId="11849" xr:uid="{00000000-0005-0000-0000-0000031A0000}"/>
    <cellStyle name="Normal 12 4 6" xfId="3688" xr:uid="{00000000-0005-0000-0000-0000041A0000}"/>
    <cellStyle name="Normal 12 4 6 2" xfId="3689" xr:uid="{00000000-0005-0000-0000-0000051A0000}"/>
    <cellStyle name="Normal 12 4 6 2 2" xfId="11852" xr:uid="{00000000-0005-0000-0000-0000061A0000}"/>
    <cellStyle name="Normal 12 4 6 3" xfId="11851" xr:uid="{00000000-0005-0000-0000-0000071A0000}"/>
    <cellStyle name="Normal 12 4 7" xfId="3690" xr:uid="{00000000-0005-0000-0000-0000081A0000}"/>
    <cellStyle name="Normal 12 4 7 2" xfId="11853" xr:uid="{00000000-0005-0000-0000-0000091A0000}"/>
    <cellStyle name="Normal 12 4 8" xfId="11806" xr:uid="{00000000-0005-0000-0000-00000A1A0000}"/>
    <cellStyle name="Normal 12 5" xfId="3691" xr:uid="{00000000-0005-0000-0000-00000B1A0000}"/>
    <cellStyle name="Normal 12 5 2" xfId="3692" xr:uid="{00000000-0005-0000-0000-00000C1A0000}"/>
    <cellStyle name="Normal 12 5 2 2" xfId="3693" xr:uid="{00000000-0005-0000-0000-00000D1A0000}"/>
    <cellStyle name="Normal 12 5 2 2 2" xfId="3694" xr:uid="{00000000-0005-0000-0000-00000E1A0000}"/>
    <cellStyle name="Normal 12 5 2 2 2 2" xfId="3695" xr:uid="{00000000-0005-0000-0000-00000F1A0000}"/>
    <cellStyle name="Normal 12 5 2 2 2 2 2" xfId="11858" xr:uid="{00000000-0005-0000-0000-0000101A0000}"/>
    <cellStyle name="Normal 12 5 2 2 2 3" xfId="11857" xr:uid="{00000000-0005-0000-0000-0000111A0000}"/>
    <cellStyle name="Normal 12 5 2 2 3" xfId="3696" xr:uid="{00000000-0005-0000-0000-0000121A0000}"/>
    <cellStyle name="Normal 12 5 2 2 3 2" xfId="3697" xr:uid="{00000000-0005-0000-0000-0000131A0000}"/>
    <cellStyle name="Normal 12 5 2 2 3 2 2" xfId="11860" xr:uid="{00000000-0005-0000-0000-0000141A0000}"/>
    <cellStyle name="Normal 12 5 2 2 3 3" xfId="11859" xr:uid="{00000000-0005-0000-0000-0000151A0000}"/>
    <cellStyle name="Normal 12 5 2 2 4" xfId="3698" xr:uid="{00000000-0005-0000-0000-0000161A0000}"/>
    <cellStyle name="Normal 12 5 2 2 4 2" xfId="11861" xr:uid="{00000000-0005-0000-0000-0000171A0000}"/>
    <cellStyle name="Normal 12 5 2 2 5" xfId="11856" xr:uid="{00000000-0005-0000-0000-0000181A0000}"/>
    <cellStyle name="Normal 12 5 2 3" xfId="3699" xr:uid="{00000000-0005-0000-0000-0000191A0000}"/>
    <cellStyle name="Normal 12 5 2 3 2" xfId="3700" xr:uid="{00000000-0005-0000-0000-00001A1A0000}"/>
    <cellStyle name="Normal 12 5 2 3 2 2" xfId="11863" xr:uid="{00000000-0005-0000-0000-00001B1A0000}"/>
    <cellStyle name="Normal 12 5 2 3 3" xfId="11862" xr:uid="{00000000-0005-0000-0000-00001C1A0000}"/>
    <cellStyle name="Normal 12 5 2 4" xfId="3701" xr:uid="{00000000-0005-0000-0000-00001D1A0000}"/>
    <cellStyle name="Normal 12 5 2 4 2" xfId="3702" xr:uid="{00000000-0005-0000-0000-00001E1A0000}"/>
    <cellStyle name="Normal 12 5 2 4 2 2" xfId="11865" xr:uid="{00000000-0005-0000-0000-00001F1A0000}"/>
    <cellStyle name="Normal 12 5 2 4 3" xfId="11864" xr:uid="{00000000-0005-0000-0000-0000201A0000}"/>
    <cellStyle name="Normal 12 5 2 5" xfId="3703" xr:uid="{00000000-0005-0000-0000-0000211A0000}"/>
    <cellStyle name="Normal 12 5 2 5 2" xfId="11866" xr:uid="{00000000-0005-0000-0000-0000221A0000}"/>
    <cellStyle name="Normal 12 5 2 6" xfId="11855" xr:uid="{00000000-0005-0000-0000-0000231A0000}"/>
    <cellStyle name="Normal 12 5 3" xfId="3704" xr:uid="{00000000-0005-0000-0000-0000241A0000}"/>
    <cellStyle name="Normal 12 5 3 2" xfId="3705" xr:uid="{00000000-0005-0000-0000-0000251A0000}"/>
    <cellStyle name="Normal 12 5 3 2 2" xfId="3706" xr:uid="{00000000-0005-0000-0000-0000261A0000}"/>
    <cellStyle name="Normal 12 5 3 2 2 2" xfId="11869" xr:uid="{00000000-0005-0000-0000-0000271A0000}"/>
    <cellStyle name="Normal 12 5 3 2 3" xfId="11868" xr:uid="{00000000-0005-0000-0000-0000281A0000}"/>
    <cellStyle name="Normal 12 5 3 3" xfId="3707" xr:uid="{00000000-0005-0000-0000-0000291A0000}"/>
    <cellStyle name="Normal 12 5 3 3 2" xfId="3708" xr:uid="{00000000-0005-0000-0000-00002A1A0000}"/>
    <cellStyle name="Normal 12 5 3 3 2 2" xfId="11871" xr:uid="{00000000-0005-0000-0000-00002B1A0000}"/>
    <cellStyle name="Normal 12 5 3 3 3" xfId="11870" xr:uid="{00000000-0005-0000-0000-00002C1A0000}"/>
    <cellStyle name="Normal 12 5 3 4" xfId="3709" xr:uid="{00000000-0005-0000-0000-00002D1A0000}"/>
    <cellStyle name="Normal 12 5 3 4 2" xfId="11872" xr:uid="{00000000-0005-0000-0000-00002E1A0000}"/>
    <cellStyle name="Normal 12 5 3 5" xfId="11867" xr:uid="{00000000-0005-0000-0000-00002F1A0000}"/>
    <cellStyle name="Normal 12 5 4" xfId="3710" xr:uid="{00000000-0005-0000-0000-0000301A0000}"/>
    <cellStyle name="Normal 12 5 4 2" xfId="3711" xr:uid="{00000000-0005-0000-0000-0000311A0000}"/>
    <cellStyle name="Normal 12 5 4 2 2" xfId="11874" xr:uid="{00000000-0005-0000-0000-0000321A0000}"/>
    <cellStyle name="Normal 12 5 4 3" xfId="11873" xr:uid="{00000000-0005-0000-0000-0000331A0000}"/>
    <cellStyle name="Normal 12 5 5" xfId="3712" xr:uid="{00000000-0005-0000-0000-0000341A0000}"/>
    <cellStyle name="Normal 12 5 5 2" xfId="3713" xr:uid="{00000000-0005-0000-0000-0000351A0000}"/>
    <cellStyle name="Normal 12 5 5 2 2" xfId="11876" xr:uid="{00000000-0005-0000-0000-0000361A0000}"/>
    <cellStyle name="Normal 12 5 5 3" xfId="11875" xr:uid="{00000000-0005-0000-0000-0000371A0000}"/>
    <cellStyle name="Normal 12 5 6" xfId="3714" xr:uid="{00000000-0005-0000-0000-0000381A0000}"/>
    <cellStyle name="Normal 12 5 6 2" xfId="11877" xr:uid="{00000000-0005-0000-0000-0000391A0000}"/>
    <cellStyle name="Normal 12 5 7" xfId="11854" xr:uid="{00000000-0005-0000-0000-00003A1A0000}"/>
    <cellStyle name="Normal 12 6" xfId="3715" xr:uid="{00000000-0005-0000-0000-00003B1A0000}"/>
    <cellStyle name="Normal 12 6 2" xfId="3716" xr:uid="{00000000-0005-0000-0000-00003C1A0000}"/>
    <cellStyle name="Normal 12 6 2 2" xfId="3717" xr:uid="{00000000-0005-0000-0000-00003D1A0000}"/>
    <cellStyle name="Normal 12 6 2 2 2" xfId="3718" xr:uid="{00000000-0005-0000-0000-00003E1A0000}"/>
    <cellStyle name="Normal 12 6 2 2 2 2" xfId="11881" xr:uid="{00000000-0005-0000-0000-00003F1A0000}"/>
    <cellStyle name="Normal 12 6 2 2 3" xfId="11880" xr:uid="{00000000-0005-0000-0000-0000401A0000}"/>
    <cellStyle name="Normal 12 6 2 3" xfId="3719" xr:uid="{00000000-0005-0000-0000-0000411A0000}"/>
    <cellStyle name="Normal 12 6 2 3 2" xfId="3720" xr:uid="{00000000-0005-0000-0000-0000421A0000}"/>
    <cellStyle name="Normal 12 6 2 3 2 2" xfId="11883" xr:uid="{00000000-0005-0000-0000-0000431A0000}"/>
    <cellStyle name="Normal 12 6 2 3 3" xfId="11882" xr:uid="{00000000-0005-0000-0000-0000441A0000}"/>
    <cellStyle name="Normal 12 6 2 4" xfId="3721" xr:uid="{00000000-0005-0000-0000-0000451A0000}"/>
    <cellStyle name="Normal 12 6 2 4 2" xfId="11884" xr:uid="{00000000-0005-0000-0000-0000461A0000}"/>
    <cellStyle name="Normal 12 6 2 5" xfId="11879" xr:uid="{00000000-0005-0000-0000-0000471A0000}"/>
    <cellStyle name="Normal 12 6 3" xfId="3722" xr:uid="{00000000-0005-0000-0000-0000481A0000}"/>
    <cellStyle name="Normal 12 6 3 2" xfId="3723" xr:uid="{00000000-0005-0000-0000-0000491A0000}"/>
    <cellStyle name="Normal 12 6 3 2 2" xfId="11886" xr:uid="{00000000-0005-0000-0000-00004A1A0000}"/>
    <cellStyle name="Normal 12 6 3 3" xfId="11885" xr:uid="{00000000-0005-0000-0000-00004B1A0000}"/>
    <cellStyle name="Normal 12 6 4" xfId="3724" xr:uid="{00000000-0005-0000-0000-00004C1A0000}"/>
    <cellStyle name="Normal 12 6 4 2" xfId="3725" xr:uid="{00000000-0005-0000-0000-00004D1A0000}"/>
    <cellStyle name="Normal 12 6 4 2 2" xfId="11888" xr:uid="{00000000-0005-0000-0000-00004E1A0000}"/>
    <cellStyle name="Normal 12 6 4 3" xfId="11887" xr:uid="{00000000-0005-0000-0000-00004F1A0000}"/>
    <cellStyle name="Normal 12 6 5" xfId="3726" xr:uid="{00000000-0005-0000-0000-0000501A0000}"/>
    <cellStyle name="Normal 12 6 5 2" xfId="11889" xr:uid="{00000000-0005-0000-0000-0000511A0000}"/>
    <cellStyle name="Normal 12 6 6" xfId="11878" xr:uid="{00000000-0005-0000-0000-0000521A0000}"/>
    <cellStyle name="Normal 12 7" xfId="3727" xr:uid="{00000000-0005-0000-0000-0000531A0000}"/>
    <cellStyle name="Normal 12 7 2" xfId="3728" xr:uid="{00000000-0005-0000-0000-0000541A0000}"/>
    <cellStyle name="Normal 12 7 2 2" xfId="3729" xr:uid="{00000000-0005-0000-0000-0000551A0000}"/>
    <cellStyle name="Normal 12 7 2 2 2" xfId="11892" xr:uid="{00000000-0005-0000-0000-0000561A0000}"/>
    <cellStyle name="Normal 12 7 2 3" xfId="11891" xr:uid="{00000000-0005-0000-0000-0000571A0000}"/>
    <cellStyle name="Normal 12 7 3" xfId="3730" xr:uid="{00000000-0005-0000-0000-0000581A0000}"/>
    <cellStyle name="Normal 12 7 3 2" xfId="3731" xr:uid="{00000000-0005-0000-0000-0000591A0000}"/>
    <cellStyle name="Normal 12 7 3 2 2" xfId="11894" xr:uid="{00000000-0005-0000-0000-00005A1A0000}"/>
    <cellStyle name="Normal 12 7 3 3" xfId="11893" xr:uid="{00000000-0005-0000-0000-00005B1A0000}"/>
    <cellStyle name="Normal 12 7 4" xfId="3732" xr:uid="{00000000-0005-0000-0000-00005C1A0000}"/>
    <cellStyle name="Normal 12 7 4 2" xfId="11895" xr:uid="{00000000-0005-0000-0000-00005D1A0000}"/>
    <cellStyle name="Normal 12 7 5" xfId="11890" xr:uid="{00000000-0005-0000-0000-00005E1A0000}"/>
    <cellStyle name="Normal 12 8" xfId="3733" xr:uid="{00000000-0005-0000-0000-00005F1A0000}"/>
    <cellStyle name="Normal 12 8 2" xfId="3734" xr:uid="{00000000-0005-0000-0000-0000601A0000}"/>
    <cellStyle name="Normal 12 8 2 2" xfId="11896" xr:uid="{00000000-0005-0000-0000-0000611A0000}"/>
    <cellStyle name="Normal 12 9" xfId="3735" xr:uid="{00000000-0005-0000-0000-0000621A0000}"/>
    <cellStyle name="Normal 12 9 2" xfId="3736" xr:uid="{00000000-0005-0000-0000-0000631A0000}"/>
    <cellStyle name="Normal 12 9 2 2" xfId="11898" xr:uid="{00000000-0005-0000-0000-0000641A0000}"/>
    <cellStyle name="Normal 12 9 3" xfId="11897" xr:uid="{00000000-0005-0000-0000-0000651A0000}"/>
    <cellStyle name="Normal 12_2180" xfId="3737" xr:uid="{00000000-0005-0000-0000-0000661A0000}"/>
    <cellStyle name="Normal 120" xfId="3738" xr:uid="{00000000-0005-0000-0000-0000671A0000}"/>
    <cellStyle name="Normal 120 2" xfId="11899" xr:uid="{00000000-0005-0000-0000-0000681A0000}"/>
    <cellStyle name="Normal 121" xfId="3739" xr:uid="{00000000-0005-0000-0000-0000691A0000}"/>
    <cellStyle name="Normal 121 2" xfId="11900" xr:uid="{00000000-0005-0000-0000-00006A1A0000}"/>
    <cellStyle name="Normal 122" xfId="3740" xr:uid="{00000000-0005-0000-0000-00006B1A0000}"/>
    <cellStyle name="Normal 122 2" xfId="11901" xr:uid="{00000000-0005-0000-0000-00006C1A0000}"/>
    <cellStyle name="Normal 123" xfId="3741" xr:uid="{00000000-0005-0000-0000-00006D1A0000}"/>
    <cellStyle name="Normal 123 2" xfId="11902" xr:uid="{00000000-0005-0000-0000-00006E1A0000}"/>
    <cellStyle name="Normal 124" xfId="3742" xr:uid="{00000000-0005-0000-0000-00006F1A0000}"/>
    <cellStyle name="Normal 124 2" xfId="11903" xr:uid="{00000000-0005-0000-0000-0000701A0000}"/>
    <cellStyle name="Normal 125" xfId="3743" xr:uid="{00000000-0005-0000-0000-0000711A0000}"/>
    <cellStyle name="Normal 125 2" xfId="11904" xr:uid="{00000000-0005-0000-0000-0000721A0000}"/>
    <cellStyle name="Normal 126" xfId="3744" xr:uid="{00000000-0005-0000-0000-0000731A0000}"/>
    <cellStyle name="Normal 126 2" xfId="11905" xr:uid="{00000000-0005-0000-0000-0000741A0000}"/>
    <cellStyle name="Normal 127" xfId="3745" xr:uid="{00000000-0005-0000-0000-0000751A0000}"/>
    <cellStyle name="Normal 127 2" xfId="11906" xr:uid="{00000000-0005-0000-0000-0000761A0000}"/>
    <cellStyle name="Normal 128" xfId="3746" xr:uid="{00000000-0005-0000-0000-0000771A0000}"/>
    <cellStyle name="Normal 128 2" xfId="3747" xr:uid="{00000000-0005-0000-0000-0000781A0000}"/>
    <cellStyle name="Normal 128 2 2" xfId="11908" xr:uid="{00000000-0005-0000-0000-0000791A0000}"/>
    <cellStyle name="Normal 128 3" xfId="11907" xr:uid="{00000000-0005-0000-0000-00007A1A0000}"/>
    <cellStyle name="Normal 129" xfId="3748" xr:uid="{00000000-0005-0000-0000-00007B1A0000}"/>
    <cellStyle name="Normal 129 2" xfId="11909" xr:uid="{00000000-0005-0000-0000-00007C1A0000}"/>
    <cellStyle name="Normal 13" xfId="3749" xr:uid="{00000000-0005-0000-0000-00007D1A0000}"/>
    <cellStyle name="Normal 13 10" xfId="3750" xr:uid="{00000000-0005-0000-0000-00007E1A0000}"/>
    <cellStyle name="Normal 13 10 2" xfId="11911" xr:uid="{00000000-0005-0000-0000-00007F1A0000}"/>
    <cellStyle name="Normal 13 11" xfId="11910" xr:uid="{00000000-0005-0000-0000-0000801A0000}"/>
    <cellStyle name="Normal 13 2" xfId="3751" xr:uid="{00000000-0005-0000-0000-0000811A0000}"/>
    <cellStyle name="Normal 13 2 2" xfId="3752" xr:uid="{00000000-0005-0000-0000-0000821A0000}"/>
    <cellStyle name="Normal 13 2 2 2" xfId="3753" xr:uid="{00000000-0005-0000-0000-0000831A0000}"/>
    <cellStyle name="Normal 13 2 2 2 2" xfId="3754" xr:uid="{00000000-0005-0000-0000-0000841A0000}"/>
    <cellStyle name="Normal 13 2 2 2 2 2" xfId="3755" xr:uid="{00000000-0005-0000-0000-0000851A0000}"/>
    <cellStyle name="Normal 13 2 2 2 2 2 2" xfId="3756" xr:uid="{00000000-0005-0000-0000-0000861A0000}"/>
    <cellStyle name="Normal 13 2 2 2 2 2 2 2" xfId="3757" xr:uid="{00000000-0005-0000-0000-0000871A0000}"/>
    <cellStyle name="Normal 13 2 2 2 2 2 2 2 2" xfId="11916" xr:uid="{00000000-0005-0000-0000-0000881A0000}"/>
    <cellStyle name="Normal 13 2 2 2 2 2 2 3" xfId="11915" xr:uid="{00000000-0005-0000-0000-0000891A0000}"/>
    <cellStyle name="Normal 13 2 2 2 2 2 3" xfId="3758" xr:uid="{00000000-0005-0000-0000-00008A1A0000}"/>
    <cellStyle name="Normal 13 2 2 2 2 2 3 2" xfId="3759" xr:uid="{00000000-0005-0000-0000-00008B1A0000}"/>
    <cellStyle name="Normal 13 2 2 2 2 2 3 2 2" xfId="11918" xr:uid="{00000000-0005-0000-0000-00008C1A0000}"/>
    <cellStyle name="Normal 13 2 2 2 2 2 3 3" xfId="11917" xr:uid="{00000000-0005-0000-0000-00008D1A0000}"/>
    <cellStyle name="Normal 13 2 2 2 2 2 4" xfId="3760" xr:uid="{00000000-0005-0000-0000-00008E1A0000}"/>
    <cellStyle name="Normal 13 2 2 2 2 2 4 2" xfId="11919" xr:uid="{00000000-0005-0000-0000-00008F1A0000}"/>
    <cellStyle name="Normal 13 2 2 2 2 2 5" xfId="11914" xr:uid="{00000000-0005-0000-0000-0000901A0000}"/>
    <cellStyle name="Normal 13 2 2 2 2 3" xfId="3761" xr:uid="{00000000-0005-0000-0000-0000911A0000}"/>
    <cellStyle name="Normal 13 2 2 2 2 3 2" xfId="3762" xr:uid="{00000000-0005-0000-0000-0000921A0000}"/>
    <cellStyle name="Normal 13 2 2 2 2 3 2 2" xfId="11921" xr:uid="{00000000-0005-0000-0000-0000931A0000}"/>
    <cellStyle name="Normal 13 2 2 2 2 3 3" xfId="11920" xr:uid="{00000000-0005-0000-0000-0000941A0000}"/>
    <cellStyle name="Normal 13 2 2 2 2 4" xfId="3763" xr:uid="{00000000-0005-0000-0000-0000951A0000}"/>
    <cellStyle name="Normal 13 2 2 2 2 4 2" xfId="3764" xr:uid="{00000000-0005-0000-0000-0000961A0000}"/>
    <cellStyle name="Normal 13 2 2 2 2 4 2 2" xfId="11923" xr:uid="{00000000-0005-0000-0000-0000971A0000}"/>
    <cellStyle name="Normal 13 2 2 2 2 4 3" xfId="11922" xr:uid="{00000000-0005-0000-0000-0000981A0000}"/>
    <cellStyle name="Normal 13 2 2 2 2 5" xfId="3765" xr:uid="{00000000-0005-0000-0000-0000991A0000}"/>
    <cellStyle name="Normal 13 2 2 2 2 5 2" xfId="11924" xr:uid="{00000000-0005-0000-0000-00009A1A0000}"/>
    <cellStyle name="Normal 13 2 2 2 2 6" xfId="11913" xr:uid="{00000000-0005-0000-0000-00009B1A0000}"/>
    <cellStyle name="Normal 13 2 2 2 3" xfId="3766" xr:uid="{00000000-0005-0000-0000-00009C1A0000}"/>
    <cellStyle name="Normal 13 2 2 2 3 2" xfId="3767" xr:uid="{00000000-0005-0000-0000-00009D1A0000}"/>
    <cellStyle name="Normal 13 2 2 2 3 2 2" xfId="3768" xr:uid="{00000000-0005-0000-0000-00009E1A0000}"/>
    <cellStyle name="Normal 13 2 2 2 3 2 2 2" xfId="11927" xr:uid="{00000000-0005-0000-0000-00009F1A0000}"/>
    <cellStyle name="Normal 13 2 2 2 3 2 3" xfId="11926" xr:uid="{00000000-0005-0000-0000-0000A01A0000}"/>
    <cellStyle name="Normal 13 2 2 2 3 3" xfId="3769" xr:uid="{00000000-0005-0000-0000-0000A11A0000}"/>
    <cellStyle name="Normal 13 2 2 2 3 3 2" xfId="3770" xr:uid="{00000000-0005-0000-0000-0000A21A0000}"/>
    <cellStyle name="Normal 13 2 2 2 3 3 2 2" xfId="11929" xr:uid="{00000000-0005-0000-0000-0000A31A0000}"/>
    <cellStyle name="Normal 13 2 2 2 3 3 3" xfId="11928" xr:uid="{00000000-0005-0000-0000-0000A41A0000}"/>
    <cellStyle name="Normal 13 2 2 2 3 4" xfId="3771" xr:uid="{00000000-0005-0000-0000-0000A51A0000}"/>
    <cellStyle name="Normal 13 2 2 2 3 4 2" xfId="11930" xr:uid="{00000000-0005-0000-0000-0000A61A0000}"/>
    <cellStyle name="Normal 13 2 2 2 3 5" xfId="11925" xr:uid="{00000000-0005-0000-0000-0000A71A0000}"/>
    <cellStyle name="Normal 13 2 2 2 4" xfId="3772" xr:uid="{00000000-0005-0000-0000-0000A81A0000}"/>
    <cellStyle name="Normal 13 2 2 2 4 2" xfId="3773" xr:uid="{00000000-0005-0000-0000-0000A91A0000}"/>
    <cellStyle name="Normal 13 2 2 2 4 2 2" xfId="11932" xr:uid="{00000000-0005-0000-0000-0000AA1A0000}"/>
    <cellStyle name="Normal 13 2 2 2 4 3" xfId="11931" xr:uid="{00000000-0005-0000-0000-0000AB1A0000}"/>
    <cellStyle name="Normal 13 2 2 2 5" xfId="3774" xr:uid="{00000000-0005-0000-0000-0000AC1A0000}"/>
    <cellStyle name="Normal 13 2 2 2 5 2" xfId="3775" xr:uid="{00000000-0005-0000-0000-0000AD1A0000}"/>
    <cellStyle name="Normal 13 2 2 2 5 2 2" xfId="11934" xr:uid="{00000000-0005-0000-0000-0000AE1A0000}"/>
    <cellStyle name="Normal 13 2 2 2 5 3" xfId="11933" xr:uid="{00000000-0005-0000-0000-0000AF1A0000}"/>
    <cellStyle name="Normal 13 2 2 2 6" xfId="3776" xr:uid="{00000000-0005-0000-0000-0000B01A0000}"/>
    <cellStyle name="Normal 13 2 2 2 6 2" xfId="11935" xr:uid="{00000000-0005-0000-0000-0000B11A0000}"/>
    <cellStyle name="Normal 13 2 2 3" xfId="3777" xr:uid="{00000000-0005-0000-0000-0000B21A0000}"/>
    <cellStyle name="Normal 13 2 2 3 2" xfId="3778" xr:uid="{00000000-0005-0000-0000-0000B31A0000}"/>
    <cellStyle name="Normal 13 2 2 3 2 2" xfId="3779" xr:uid="{00000000-0005-0000-0000-0000B41A0000}"/>
    <cellStyle name="Normal 13 2 2 3 2 2 2" xfId="3780" xr:uid="{00000000-0005-0000-0000-0000B51A0000}"/>
    <cellStyle name="Normal 13 2 2 3 2 2 2 2" xfId="11938" xr:uid="{00000000-0005-0000-0000-0000B61A0000}"/>
    <cellStyle name="Normal 13 2 2 3 2 2 3" xfId="11937" xr:uid="{00000000-0005-0000-0000-0000B71A0000}"/>
    <cellStyle name="Normal 13 2 2 3 2 3" xfId="3781" xr:uid="{00000000-0005-0000-0000-0000B81A0000}"/>
    <cellStyle name="Normal 13 2 2 3 2 3 2" xfId="3782" xr:uid="{00000000-0005-0000-0000-0000B91A0000}"/>
    <cellStyle name="Normal 13 2 2 3 2 3 2 2" xfId="11940" xr:uid="{00000000-0005-0000-0000-0000BA1A0000}"/>
    <cellStyle name="Normal 13 2 2 3 2 3 3" xfId="11939" xr:uid="{00000000-0005-0000-0000-0000BB1A0000}"/>
    <cellStyle name="Normal 13 2 2 3 2 4" xfId="3783" xr:uid="{00000000-0005-0000-0000-0000BC1A0000}"/>
    <cellStyle name="Normal 13 2 2 3 2 4 2" xfId="11941" xr:uid="{00000000-0005-0000-0000-0000BD1A0000}"/>
    <cellStyle name="Normal 13 2 2 3 2 5" xfId="11936" xr:uid="{00000000-0005-0000-0000-0000BE1A0000}"/>
    <cellStyle name="Normal 13 2 2 3 3" xfId="3784" xr:uid="{00000000-0005-0000-0000-0000BF1A0000}"/>
    <cellStyle name="Normal 13 2 2 3 3 2" xfId="3785" xr:uid="{00000000-0005-0000-0000-0000C01A0000}"/>
    <cellStyle name="Normal 13 2 2 3 3 2 2" xfId="11943" xr:uid="{00000000-0005-0000-0000-0000C11A0000}"/>
    <cellStyle name="Normal 13 2 2 3 3 3" xfId="11942" xr:uid="{00000000-0005-0000-0000-0000C21A0000}"/>
    <cellStyle name="Normal 13 2 2 3 4" xfId="3786" xr:uid="{00000000-0005-0000-0000-0000C31A0000}"/>
    <cellStyle name="Normal 13 2 2 3 4 2" xfId="3787" xr:uid="{00000000-0005-0000-0000-0000C41A0000}"/>
    <cellStyle name="Normal 13 2 2 3 4 2 2" xfId="11945" xr:uid="{00000000-0005-0000-0000-0000C51A0000}"/>
    <cellStyle name="Normal 13 2 2 3 4 3" xfId="11944" xr:uid="{00000000-0005-0000-0000-0000C61A0000}"/>
    <cellStyle name="Normal 13 2 2 3 5" xfId="3788" xr:uid="{00000000-0005-0000-0000-0000C71A0000}"/>
    <cellStyle name="Normal 13 2 2 3 5 2" xfId="11946" xr:uid="{00000000-0005-0000-0000-0000C81A0000}"/>
    <cellStyle name="Normal 13 2 2 4" xfId="3789" xr:uid="{00000000-0005-0000-0000-0000C91A0000}"/>
    <cellStyle name="Normal 13 2 2 4 2" xfId="3790" xr:uid="{00000000-0005-0000-0000-0000CA1A0000}"/>
    <cellStyle name="Normal 13 2 2 4 2 2" xfId="3791" xr:uid="{00000000-0005-0000-0000-0000CB1A0000}"/>
    <cellStyle name="Normal 13 2 2 4 2 2 2" xfId="11949" xr:uid="{00000000-0005-0000-0000-0000CC1A0000}"/>
    <cellStyle name="Normal 13 2 2 4 2 3" xfId="11948" xr:uid="{00000000-0005-0000-0000-0000CD1A0000}"/>
    <cellStyle name="Normal 13 2 2 4 3" xfId="3792" xr:uid="{00000000-0005-0000-0000-0000CE1A0000}"/>
    <cellStyle name="Normal 13 2 2 4 3 2" xfId="3793" xr:uid="{00000000-0005-0000-0000-0000CF1A0000}"/>
    <cellStyle name="Normal 13 2 2 4 3 2 2" xfId="11951" xr:uid="{00000000-0005-0000-0000-0000D01A0000}"/>
    <cellStyle name="Normal 13 2 2 4 3 3" xfId="11950" xr:uid="{00000000-0005-0000-0000-0000D11A0000}"/>
    <cellStyle name="Normal 13 2 2 4 4" xfId="3794" xr:uid="{00000000-0005-0000-0000-0000D21A0000}"/>
    <cellStyle name="Normal 13 2 2 4 4 2" xfId="11952" xr:uid="{00000000-0005-0000-0000-0000D31A0000}"/>
    <cellStyle name="Normal 13 2 2 4 5" xfId="11947" xr:uid="{00000000-0005-0000-0000-0000D41A0000}"/>
    <cellStyle name="Normal 13 2 2 5" xfId="3795" xr:uid="{00000000-0005-0000-0000-0000D51A0000}"/>
    <cellStyle name="Normal 13 2 2 5 2" xfId="3796" xr:uid="{00000000-0005-0000-0000-0000D61A0000}"/>
    <cellStyle name="Normal 13 2 2 5 2 2" xfId="11954" xr:uid="{00000000-0005-0000-0000-0000D71A0000}"/>
    <cellStyle name="Normal 13 2 2 5 3" xfId="11953" xr:uid="{00000000-0005-0000-0000-0000D81A0000}"/>
    <cellStyle name="Normal 13 2 2 6" xfId="3797" xr:uid="{00000000-0005-0000-0000-0000D91A0000}"/>
    <cellStyle name="Normal 13 2 2 6 2" xfId="3798" xr:uid="{00000000-0005-0000-0000-0000DA1A0000}"/>
    <cellStyle name="Normal 13 2 2 6 2 2" xfId="11956" xr:uid="{00000000-0005-0000-0000-0000DB1A0000}"/>
    <cellStyle name="Normal 13 2 2 6 3" xfId="11955" xr:uid="{00000000-0005-0000-0000-0000DC1A0000}"/>
    <cellStyle name="Normal 13 2 2 7" xfId="3799" xr:uid="{00000000-0005-0000-0000-0000DD1A0000}"/>
    <cellStyle name="Normal 13 2 2 7 2" xfId="11957" xr:uid="{00000000-0005-0000-0000-0000DE1A0000}"/>
    <cellStyle name="Normal 13 2 2 8" xfId="11912" xr:uid="{00000000-0005-0000-0000-0000DF1A0000}"/>
    <cellStyle name="Normal 13 2 3" xfId="3800" xr:uid="{00000000-0005-0000-0000-0000E01A0000}"/>
    <cellStyle name="Normal 13 2 3 2" xfId="3801" xr:uid="{00000000-0005-0000-0000-0000E11A0000}"/>
    <cellStyle name="Normal 13 2 3 2 2" xfId="3802" xr:uid="{00000000-0005-0000-0000-0000E21A0000}"/>
    <cellStyle name="Normal 13 2 3 2 2 2" xfId="3803" xr:uid="{00000000-0005-0000-0000-0000E31A0000}"/>
    <cellStyle name="Normal 13 2 3 2 2 2 2" xfId="3804" xr:uid="{00000000-0005-0000-0000-0000E41A0000}"/>
    <cellStyle name="Normal 13 2 3 2 2 2 2 2" xfId="11962" xr:uid="{00000000-0005-0000-0000-0000E51A0000}"/>
    <cellStyle name="Normal 13 2 3 2 2 2 3" xfId="11961" xr:uid="{00000000-0005-0000-0000-0000E61A0000}"/>
    <cellStyle name="Normal 13 2 3 2 2 3" xfId="3805" xr:uid="{00000000-0005-0000-0000-0000E71A0000}"/>
    <cellStyle name="Normal 13 2 3 2 2 3 2" xfId="3806" xr:uid="{00000000-0005-0000-0000-0000E81A0000}"/>
    <cellStyle name="Normal 13 2 3 2 2 3 2 2" xfId="11964" xr:uid="{00000000-0005-0000-0000-0000E91A0000}"/>
    <cellStyle name="Normal 13 2 3 2 2 3 3" xfId="11963" xr:uid="{00000000-0005-0000-0000-0000EA1A0000}"/>
    <cellStyle name="Normal 13 2 3 2 2 4" xfId="3807" xr:uid="{00000000-0005-0000-0000-0000EB1A0000}"/>
    <cellStyle name="Normal 13 2 3 2 2 4 2" xfId="11965" xr:uid="{00000000-0005-0000-0000-0000EC1A0000}"/>
    <cellStyle name="Normal 13 2 3 2 2 5" xfId="11960" xr:uid="{00000000-0005-0000-0000-0000ED1A0000}"/>
    <cellStyle name="Normal 13 2 3 2 3" xfId="3808" xr:uid="{00000000-0005-0000-0000-0000EE1A0000}"/>
    <cellStyle name="Normal 13 2 3 2 3 2" xfId="3809" xr:uid="{00000000-0005-0000-0000-0000EF1A0000}"/>
    <cellStyle name="Normal 13 2 3 2 3 2 2" xfId="11967" xr:uid="{00000000-0005-0000-0000-0000F01A0000}"/>
    <cellStyle name="Normal 13 2 3 2 3 3" xfId="11966" xr:uid="{00000000-0005-0000-0000-0000F11A0000}"/>
    <cellStyle name="Normal 13 2 3 2 4" xfId="3810" xr:uid="{00000000-0005-0000-0000-0000F21A0000}"/>
    <cellStyle name="Normal 13 2 3 2 4 2" xfId="3811" xr:uid="{00000000-0005-0000-0000-0000F31A0000}"/>
    <cellStyle name="Normal 13 2 3 2 4 2 2" xfId="11969" xr:uid="{00000000-0005-0000-0000-0000F41A0000}"/>
    <cellStyle name="Normal 13 2 3 2 4 3" xfId="11968" xr:uid="{00000000-0005-0000-0000-0000F51A0000}"/>
    <cellStyle name="Normal 13 2 3 2 5" xfId="3812" xr:uid="{00000000-0005-0000-0000-0000F61A0000}"/>
    <cellStyle name="Normal 13 2 3 2 5 2" xfId="11970" xr:uid="{00000000-0005-0000-0000-0000F71A0000}"/>
    <cellStyle name="Normal 13 2 3 2 6" xfId="11959" xr:uid="{00000000-0005-0000-0000-0000F81A0000}"/>
    <cellStyle name="Normal 13 2 3 3" xfId="3813" xr:uid="{00000000-0005-0000-0000-0000F91A0000}"/>
    <cellStyle name="Normal 13 2 3 3 2" xfId="3814" xr:uid="{00000000-0005-0000-0000-0000FA1A0000}"/>
    <cellStyle name="Normal 13 2 3 3 2 2" xfId="3815" xr:uid="{00000000-0005-0000-0000-0000FB1A0000}"/>
    <cellStyle name="Normal 13 2 3 3 2 2 2" xfId="11973" xr:uid="{00000000-0005-0000-0000-0000FC1A0000}"/>
    <cellStyle name="Normal 13 2 3 3 2 3" xfId="11972" xr:uid="{00000000-0005-0000-0000-0000FD1A0000}"/>
    <cellStyle name="Normal 13 2 3 3 3" xfId="3816" xr:uid="{00000000-0005-0000-0000-0000FE1A0000}"/>
    <cellStyle name="Normal 13 2 3 3 3 2" xfId="3817" xr:uid="{00000000-0005-0000-0000-0000FF1A0000}"/>
    <cellStyle name="Normal 13 2 3 3 3 2 2" xfId="11975" xr:uid="{00000000-0005-0000-0000-0000001B0000}"/>
    <cellStyle name="Normal 13 2 3 3 3 3" xfId="11974" xr:uid="{00000000-0005-0000-0000-0000011B0000}"/>
    <cellStyle name="Normal 13 2 3 3 4" xfId="3818" xr:uid="{00000000-0005-0000-0000-0000021B0000}"/>
    <cellStyle name="Normal 13 2 3 3 4 2" xfId="11976" xr:uid="{00000000-0005-0000-0000-0000031B0000}"/>
    <cellStyle name="Normal 13 2 3 3 5" xfId="11971" xr:uid="{00000000-0005-0000-0000-0000041B0000}"/>
    <cellStyle name="Normal 13 2 3 4" xfId="3819" xr:uid="{00000000-0005-0000-0000-0000051B0000}"/>
    <cellStyle name="Normal 13 2 3 4 2" xfId="3820" xr:uid="{00000000-0005-0000-0000-0000061B0000}"/>
    <cellStyle name="Normal 13 2 3 4 2 2" xfId="11978" xr:uid="{00000000-0005-0000-0000-0000071B0000}"/>
    <cellStyle name="Normal 13 2 3 4 3" xfId="11977" xr:uid="{00000000-0005-0000-0000-0000081B0000}"/>
    <cellStyle name="Normal 13 2 3 5" xfId="3821" xr:uid="{00000000-0005-0000-0000-0000091B0000}"/>
    <cellStyle name="Normal 13 2 3 5 2" xfId="3822" xr:uid="{00000000-0005-0000-0000-00000A1B0000}"/>
    <cellStyle name="Normal 13 2 3 5 2 2" xfId="11980" xr:uid="{00000000-0005-0000-0000-00000B1B0000}"/>
    <cellStyle name="Normal 13 2 3 5 3" xfId="11979" xr:uid="{00000000-0005-0000-0000-00000C1B0000}"/>
    <cellStyle name="Normal 13 2 3 6" xfId="3823" xr:uid="{00000000-0005-0000-0000-00000D1B0000}"/>
    <cellStyle name="Normal 13 2 3 6 2" xfId="11981" xr:uid="{00000000-0005-0000-0000-00000E1B0000}"/>
    <cellStyle name="Normal 13 2 3 7" xfId="11958" xr:uid="{00000000-0005-0000-0000-00000F1B0000}"/>
    <cellStyle name="Normal 13 2 4" xfId="3824" xr:uid="{00000000-0005-0000-0000-0000101B0000}"/>
    <cellStyle name="Normal 13 2 4 2" xfId="3825" xr:uid="{00000000-0005-0000-0000-0000111B0000}"/>
    <cellStyle name="Normal 13 2 4 2 2" xfId="3826" xr:uid="{00000000-0005-0000-0000-0000121B0000}"/>
    <cellStyle name="Normal 13 2 4 2 2 2" xfId="3827" xr:uid="{00000000-0005-0000-0000-0000131B0000}"/>
    <cellStyle name="Normal 13 2 4 2 2 2 2" xfId="11985" xr:uid="{00000000-0005-0000-0000-0000141B0000}"/>
    <cellStyle name="Normal 13 2 4 2 2 3" xfId="11984" xr:uid="{00000000-0005-0000-0000-0000151B0000}"/>
    <cellStyle name="Normal 13 2 4 2 3" xfId="3828" xr:uid="{00000000-0005-0000-0000-0000161B0000}"/>
    <cellStyle name="Normal 13 2 4 2 3 2" xfId="3829" xr:uid="{00000000-0005-0000-0000-0000171B0000}"/>
    <cellStyle name="Normal 13 2 4 2 3 2 2" xfId="11987" xr:uid="{00000000-0005-0000-0000-0000181B0000}"/>
    <cellStyle name="Normal 13 2 4 2 3 3" xfId="11986" xr:uid="{00000000-0005-0000-0000-0000191B0000}"/>
    <cellStyle name="Normal 13 2 4 2 4" xfId="3830" xr:uid="{00000000-0005-0000-0000-00001A1B0000}"/>
    <cellStyle name="Normal 13 2 4 2 4 2" xfId="11988" xr:uid="{00000000-0005-0000-0000-00001B1B0000}"/>
    <cellStyle name="Normal 13 2 4 2 5" xfId="11983" xr:uid="{00000000-0005-0000-0000-00001C1B0000}"/>
    <cellStyle name="Normal 13 2 4 3" xfId="3831" xr:uid="{00000000-0005-0000-0000-00001D1B0000}"/>
    <cellStyle name="Normal 13 2 4 3 2" xfId="3832" xr:uid="{00000000-0005-0000-0000-00001E1B0000}"/>
    <cellStyle name="Normal 13 2 4 3 2 2" xfId="11990" xr:uid="{00000000-0005-0000-0000-00001F1B0000}"/>
    <cellStyle name="Normal 13 2 4 3 3" xfId="11989" xr:uid="{00000000-0005-0000-0000-0000201B0000}"/>
    <cellStyle name="Normal 13 2 4 4" xfId="3833" xr:uid="{00000000-0005-0000-0000-0000211B0000}"/>
    <cellStyle name="Normal 13 2 4 4 2" xfId="3834" xr:uid="{00000000-0005-0000-0000-0000221B0000}"/>
    <cellStyle name="Normal 13 2 4 4 2 2" xfId="11992" xr:uid="{00000000-0005-0000-0000-0000231B0000}"/>
    <cellStyle name="Normal 13 2 4 4 3" xfId="11991" xr:uid="{00000000-0005-0000-0000-0000241B0000}"/>
    <cellStyle name="Normal 13 2 4 5" xfId="3835" xr:uid="{00000000-0005-0000-0000-0000251B0000}"/>
    <cellStyle name="Normal 13 2 4 5 2" xfId="11993" xr:uid="{00000000-0005-0000-0000-0000261B0000}"/>
    <cellStyle name="Normal 13 2 4 6" xfId="11982" xr:uid="{00000000-0005-0000-0000-0000271B0000}"/>
    <cellStyle name="Normal 13 2 5" xfId="3836" xr:uid="{00000000-0005-0000-0000-0000281B0000}"/>
    <cellStyle name="Normal 13 2 5 2" xfId="3837" xr:uid="{00000000-0005-0000-0000-0000291B0000}"/>
    <cellStyle name="Normal 13 2 5 2 2" xfId="3838" xr:uid="{00000000-0005-0000-0000-00002A1B0000}"/>
    <cellStyle name="Normal 13 2 5 2 2 2" xfId="11996" xr:uid="{00000000-0005-0000-0000-00002B1B0000}"/>
    <cellStyle name="Normal 13 2 5 2 3" xfId="11995" xr:uid="{00000000-0005-0000-0000-00002C1B0000}"/>
    <cellStyle name="Normal 13 2 5 3" xfId="3839" xr:uid="{00000000-0005-0000-0000-00002D1B0000}"/>
    <cellStyle name="Normal 13 2 5 3 2" xfId="3840" xr:uid="{00000000-0005-0000-0000-00002E1B0000}"/>
    <cellStyle name="Normal 13 2 5 3 2 2" xfId="11998" xr:uid="{00000000-0005-0000-0000-00002F1B0000}"/>
    <cellStyle name="Normal 13 2 5 3 3" xfId="11997" xr:uid="{00000000-0005-0000-0000-0000301B0000}"/>
    <cellStyle name="Normal 13 2 5 4" xfId="3841" xr:uid="{00000000-0005-0000-0000-0000311B0000}"/>
    <cellStyle name="Normal 13 2 5 4 2" xfId="11999" xr:uid="{00000000-0005-0000-0000-0000321B0000}"/>
    <cellStyle name="Normal 13 2 5 5" xfId="11994" xr:uid="{00000000-0005-0000-0000-0000331B0000}"/>
    <cellStyle name="Normal 13 2 6" xfId="3842" xr:uid="{00000000-0005-0000-0000-0000341B0000}"/>
    <cellStyle name="Normal 13 2 6 2" xfId="3843" xr:uid="{00000000-0005-0000-0000-0000351B0000}"/>
    <cellStyle name="Normal 13 2 6 2 2" xfId="12001" xr:uid="{00000000-0005-0000-0000-0000361B0000}"/>
    <cellStyle name="Normal 13 2 6 3" xfId="12000" xr:uid="{00000000-0005-0000-0000-0000371B0000}"/>
    <cellStyle name="Normal 13 2 7" xfId="3844" xr:uid="{00000000-0005-0000-0000-0000381B0000}"/>
    <cellStyle name="Normal 13 2 7 2" xfId="3845" xr:uid="{00000000-0005-0000-0000-0000391B0000}"/>
    <cellStyle name="Normal 13 2 7 2 2" xfId="12003" xr:uid="{00000000-0005-0000-0000-00003A1B0000}"/>
    <cellStyle name="Normal 13 2 7 3" xfId="12002" xr:uid="{00000000-0005-0000-0000-00003B1B0000}"/>
    <cellStyle name="Normal 13 2 8" xfId="3846" xr:uid="{00000000-0005-0000-0000-00003C1B0000}"/>
    <cellStyle name="Normal 13 2 8 2" xfId="12004" xr:uid="{00000000-0005-0000-0000-00003D1B0000}"/>
    <cellStyle name="Normal 13 3" xfId="3847" xr:uid="{00000000-0005-0000-0000-00003E1B0000}"/>
    <cellStyle name="Normal 13 3 2" xfId="3848" xr:uid="{00000000-0005-0000-0000-00003F1B0000}"/>
    <cellStyle name="Normal 13 3 2 2" xfId="3849" xr:uid="{00000000-0005-0000-0000-0000401B0000}"/>
    <cellStyle name="Normal 13 3 2 2 2" xfId="3850" xr:uid="{00000000-0005-0000-0000-0000411B0000}"/>
    <cellStyle name="Normal 13 3 2 2 2 2" xfId="3851" xr:uid="{00000000-0005-0000-0000-0000421B0000}"/>
    <cellStyle name="Normal 13 3 2 2 2 2 2" xfId="3852" xr:uid="{00000000-0005-0000-0000-0000431B0000}"/>
    <cellStyle name="Normal 13 3 2 2 2 2 2 2" xfId="12009" xr:uid="{00000000-0005-0000-0000-0000441B0000}"/>
    <cellStyle name="Normal 13 3 2 2 2 2 3" xfId="12008" xr:uid="{00000000-0005-0000-0000-0000451B0000}"/>
    <cellStyle name="Normal 13 3 2 2 2 3" xfId="3853" xr:uid="{00000000-0005-0000-0000-0000461B0000}"/>
    <cellStyle name="Normal 13 3 2 2 2 3 2" xfId="3854" xr:uid="{00000000-0005-0000-0000-0000471B0000}"/>
    <cellStyle name="Normal 13 3 2 2 2 3 2 2" xfId="12011" xr:uid="{00000000-0005-0000-0000-0000481B0000}"/>
    <cellStyle name="Normal 13 3 2 2 2 3 3" xfId="12010" xr:uid="{00000000-0005-0000-0000-0000491B0000}"/>
    <cellStyle name="Normal 13 3 2 2 2 4" xfId="3855" xr:uid="{00000000-0005-0000-0000-00004A1B0000}"/>
    <cellStyle name="Normal 13 3 2 2 2 4 2" xfId="12012" xr:uid="{00000000-0005-0000-0000-00004B1B0000}"/>
    <cellStyle name="Normal 13 3 2 2 2 5" xfId="12007" xr:uid="{00000000-0005-0000-0000-00004C1B0000}"/>
    <cellStyle name="Normal 13 3 2 2 3" xfId="3856" xr:uid="{00000000-0005-0000-0000-00004D1B0000}"/>
    <cellStyle name="Normal 13 3 2 2 3 2" xfId="3857" xr:uid="{00000000-0005-0000-0000-00004E1B0000}"/>
    <cellStyle name="Normal 13 3 2 2 3 2 2" xfId="12014" xr:uid="{00000000-0005-0000-0000-00004F1B0000}"/>
    <cellStyle name="Normal 13 3 2 2 3 3" xfId="12013" xr:uid="{00000000-0005-0000-0000-0000501B0000}"/>
    <cellStyle name="Normal 13 3 2 2 4" xfId="3858" xr:uid="{00000000-0005-0000-0000-0000511B0000}"/>
    <cellStyle name="Normal 13 3 2 2 4 2" xfId="3859" xr:uid="{00000000-0005-0000-0000-0000521B0000}"/>
    <cellStyle name="Normal 13 3 2 2 4 2 2" xfId="12016" xr:uid="{00000000-0005-0000-0000-0000531B0000}"/>
    <cellStyle name="Normal 13 3 2 2 4 3" xfId="12015" xr:uid="{00000000-0005-0000-0000-0000541B0000}"/>
    <cellStyle name="Normal 13 3 2 2 5" xfId="3860" xr:uid="{00000000-0005-0000-0000-0000551B0000}"/>
    <cellStyle name="Normal 13 3 2 2 5 2" xfId="12017" xr:uid="{00000000-0005-0000-0000-0000561B0000}"/>
    <cellStyle name="Normal 13 3 2 2 6" xfId="12006" xr:uid="{00000000-0005-0000-0000-0000571B0000}"/>
    <cellStyle name="Normal 13 3 2 3" xfId="3861" xr:uid="{00000000-0005-0000-0000-0000581B0000}"/>
    <cellStyle name="Normal 13 3 2 3 2" xfId="3862" xr:uid="{00000000-0005-0000-0000-0000591B0000}"/>
    <cellStyle name="Normal 13 3 2 3 2 2" xfId="3863" xr:uid="{00000000-0005-0000-0000-00005A1B0000}"/>
    <cellStyle name="Normal 13 3 2 3 2 2 2" xfId="12020" xr:uid="{00000000-0005-0000-0000-00005B1B0000}"/>
    <cellStyle name="Normal 13 3 2 3 2 3" xfId="12019" xr:uid="{00000000-0005-0000-0000-00005C1B0000}"/>
    <cellStyle name="Normal 13 3 2 3 3" xfId="3864" xr:uid="{00000000-0005-0000-0000-00005D1B0000}"/>
    <cellStyle name="Normal 13 3 2 3 3 2" xfId="3865" xr:uid="{00000000-0005-0000-0000-00005E1B0000}"/>
    <cellStyle name="Normal 13 3 2 3 3 2 2" xfId="12022" xr:uid="{00000000-0005-0000-0000-00005F1B0000}"/>
    <cellStyle name="Normal 13 3 2 3 3 3" xfId="12021" xr:uid="{00000000-0005-0000-0000-0000601B0000}"/>
    <cellStyle name="Normal 13 3 2 3 4" xfId="3866" xr:uid="{00000000-0005-0000-0000-0000611B0000}"/>
    <cellStyle name="Normal 13 3 2 3 4 2" xfId="12023" xr:uid="{00000000-0005-0000-0000-0000621B0000}"/>
    <cellStyle name="Normal 13 3 2 3 5" xfId="12018" xr:uid="{00000000-0005-0000-0000-0000631B0000}"/>
    <cellStyle name="Normal 13 3 2 4" xfId="3867" xr:uid="{00000000-0005-0000-0000-0000641B0000}"/>
    <cellStyle name="Normal 13 3 2 4 2" xfId="3868" xr:uid="{00000000-0005-0000-0000-0000651B0000}"/>
    <cellStyle name="Normal 13 3 2 4 2 2" xfId="12025" xr:uid="{00000000-0005-0000-0000-0000661B0000}"/>
    <cellStyle name="Normal 13 3 2 4 3" xfId="12024" xr:uid="{00000000-0005-0000-0000-0000671B0000}"/>
    <cellStyle name="Normal 13 3 2 5" xfId="3869" xr:uid="{00000000-0005-0000-0000-0000681B0000}"/>
    <cellStyle name="Normal 13 3 2 5 2" xfId="3870" xr:uid="{00000000-0005-0000-0000-0000691B0000}"/>
    <cellStyle name="Normal 13 3 2 5 2 2" xfId="12027" xr:uid="{00000000-0005-0000-0000-00006A1B0000}"/>
    <cellStyle name="Normal 13 3 2 5 3" xfId="12026" xr:uid="{00000000-0005-0000-0000-00006B1B0000}"/>
    <cellStyle name="Normal 13 3 2 6" xfId="3871" xr:uid="{00000000-0005-0000-0000-00006C1B0000}"/>
    <cellStyle name="Normal 13 3 2 6 2" xfId="12028" xr:uid="{00000000-0005-0000-0000-00006D1B0000}"/>
    <cellStyle name="Normal 13 3 2 7" xfId="12005" xr:uid="{00000000-0005-0000-0000-00006E1B0000}"/>
    <cellStyle name="Normal 13 3 3" xfId="3872" xr:uid="{00000000-0005-0000-0000-00006F1B0000}"/>
    <cellStyle name="Normal 13 3 3 2" xfId="3873" xr:uid="{00000000-0005-0000-0000-0000701B0000}"/>
    <cellStyle name="Normal 13 3 3 2 2" xfId="3874" xr:uid="{00000000-0005-0000-0000-0000711B0000}"/>
    <cellStyle name="Normal 13 3 3 2 2 2" xfId="3875" xr:uid="{00000000-0005-0000-0000-0000721B0000}"/>
    <cellStyle name="Normal 13 3 3 2 2 2 2" xfId="12032" xr:uid="{00000000-0005-0000-0000-0000731B0000}"/>
    <cellStyle name="Normal 13 3 3 2 2 3" xfId="12031" xr:uid="{00000000-0005-0000-0000-0000741B0000}"/>
    <cellStyle name="Normal 13 3 3 2 3" xfId="3876" xr:uid="{00000000-0005-0000-0000-0000751B0000}"/>
    <cellStyle name="Normal 13 3 3 2 3 2" xfId="3877" xr:uid="{00000000-0005-0000-0000-0000761B0000}"/>
    <cellStyle name="Normal 13 3 3 2 3 2 2" xfId="12034" xr:uid="{00000000-0005-0000-0000-0000771B0000}"/>
    <cellStyle name="Normal 13 3 3 2 3 3" xfId="12033" xr:uid="{00000000-0005-0000-0000-0000781B0000}"/>
    <cellStyle name="Normal 13 3 3 2 4" xfId="3878" xr:uid="{00000000-0005-0000-0000-0000791B0000}"/>
    <cellStyle name="Normal 13 3 3 2 4 2" xfId="12035" xr:uid="{00000000-0005-0000-0000-00007A1B0000}"/>
    <cellStyle name="Normal 13 3 3 2 5" xfId="12030" xr:uid="{00000000-0005-0000-0000-00007B1B0000}"/>
    <cellStyle name="Normal 13 3 3 3" xfId="3879" xr:uid="{00000000-0005-0000-0000-00007C1B0000}"/>
    <cellStyle name="Normal 13 3 3 3 2" xfId="3880" xr:uid="{00000000-0005-0000-0000-00007D1B0000}"/>
    <cellStyle name="Normal 13 3 3 3 2 2" xfId="12037" xr:uid="{00000000-0005-0000-0000-00007E1B0000}"/>
    <cellStyle name="Normal 13 3 3 3 3" xfId="12036" xr:uid="{00000000-0005-0000-0000-00007F1B0000}"/>
    <cellStyle name="Normal 13 3 3 4" xfId="3881" xr:uid="{00000000-0005-0000-0000-0000801B0000}"/>
    <cellStyle name="Normal 13 3 3 4 2" xfId="3882" xr:uid="{00000000-0005-0000-0000-0000811B0000}"/>
    <cellStyle name="Normal 13 3 3 4 2 2" xfId="12039" xr:uid="{00000000-0005-0000-0000-0000821B0000}"/>
    <cellStyle name="Normal 13 3 3 4 3" xfId="12038" xr:uid="{00000000-0005-0000-0000-0000831B0000}"/>
    <cellStyle name="Normal 13 3 3 5" xfId="3883" xr:uid="{00000000-0005-0000-0000-0000841B0000}"/>
    <cellStyle name="Normal 13 3 3 5 2" xfId="12040" xr:uid="{00000000-0005-0000-0000-0000851B0000}"/>
    <cellStyle name="Normal 13 3 3 6" xfId="12029" xr:uid="{00000000-0005-0000-0000-0000861B0000}"/>
    <cellStyle name="Normal 13 3 4" xfId="3884" xr:uid="{00000000-0005-0000-0000-0000871B0000}"/>
    <cellStyle name="Normal 13 3 4 2" xfId="3885" xr:uid="{00000000-0005-0000-0000-0000881B0000}"/>
    <cellStyle name="Normal 13 3 4 2 2" xfId="3886" xr:uid="{00000000-0005-0000-0000-0000891B0000}"/>
    <cellStyle name="Normal 13 3 4 2 2 2" xfId="12043" xr:uid="{00000000-0005-0000-0000-00008A1B0000}"/>
    <cellStyle name="Normal 13 3 4 2 3" xfId="12042" xr:uid="{00000000-0005-0000-0000-00008B1B0000}"/>
    <cellStyle name="Normal 13 3 4 3" xfId="3887" xr:uid="{00000000-0005-0000-0000-00008C1B0000}"/>
    <cellStyle name="Normal 13 3 4 3 2" xfId="3888" xr:uid="{00000000-0005-0000-0000-00008D1B0000}"/>
    <cellStyle name="Normal 13 3 4 3 2 2" xfId="12045" xr:uid="{00000000-0005-0000-0000-00008E1B0000}"/>
    <cellStyle name="Normal 13 3 4 3 3" xfId="12044" xr:uid="{00000000-0005-0000-0000-00008F1B0000}"/>
    <cellStyle name="Normal 13 3 4 4" xfId="3889" xr:uid="{00000000-0005-0000-0000-0000901B0000}"/>
    <cellStyle name="Normal 13 3 4 4 2" xfId="12046" xr:uid="{00000000-0005-0000-0000-0000911B0000}"/>
    <cellStyle name="Normal 13 3 4 5" xfId="12041" xr:uid="{00000000-0005-0000-0000-0000921B0000}"/>
    <cellStyle name="Normal 13 3 5" xfId="3890" xr:uid="{00000000-0005-0000-0000-0000931B0000}"/>
    <cellStyle name="Normal 13 3 5 2" xfId="3891" xr:uid="{00000000-0005-0000-0000-0000941B0000}"/>
    <cellStyle name="Normal 13 3 5 2 2" xfId="12048" xr:uid="{00000000-0005-0000-0000-0000951B0000}"/>
    <cellStyle name="Normal 13 3 5 3" xfId="12047" xr:uid="{00000000-0005-0000-0000-0000961B0000}"/>
    <cellStyle name="Normal 13 3 6" xfId="3892" xr:uid="{00000000-0005-0000-0000-0000971B0000}"/>
    <cellStyle name="Normal 13 3 6 2" xfId="3893" xr:uid="{00000000-0005-0000-0000-0000981B0000}"/>
    <cellStyle name="Normal 13 3 6 2 2" xfId="12050" xr:uid="{00000000-0005-0000-0000-0000991B0000}"/>
    <cellStyle name="Normal 13 3 6 3" xfId="12049" xr:uid="{00000000-0005-0000-0000-00009A1B0000}"/>
    <cellStyle name="Normal 13 3 7" xfId="3894" xr:uid="{00000000-0005-0000-0000-00009B1B0000}"/>
    <cellStyle name="Normal 13 3 7 2" xfId="12051" xr:uid="{00000000-0005-0000-0000-00009C1B0000}"/>
    <cellStyle name="Normal 13 3 8" xfId="3895" xr:uid="{00000000-0005-0000-0000-00009D1B0000}"/>
    <cellStyle name="Normal 13 4" xfId="3896" xr:uid="{00000000-0005-0000-0000-00009E1B0000}"/>
    <cellStyle name="Normal 13 4 2" xfId="3897" xr:uid="{00000000-0005-0000-0000-00009F1B0000}"/>
    <cellStyle name="Normal 13 4 2 2" xfId="3898" xr:uid="{00000000-0005-0000-0000-0000A01B0000}"/>
    <cellStyle name="Normal 13 4 2 2 2" xfId="3899" xr:uid="{00000000-0005-0000-0000-0000A11B0000}"/>
    <cellStyle name="Normal 13 4 2 2 2 2" xfId="3900" xr:uid="{00000000-0005-0000-0000-0000A21B0000}"/>
    <cellStyle name="Normal 13 4 2 2 2 2 2" xfId="3901" xr:uid="{00000000-0005-0000-0000-0000A31B0000}"/>
    <cellStyle name="Normal 13 4 2 2 2 2 2 2" xfId="12057" xr:uid="{00000000-0005-0000-0000-0000A41B0000}"/>
    <cellStyle name="Normal 13 4 2 2 2 2 3" xfId="12056" xr:uid="{00000000-0005-0000-0000-0000A51B0000}"/>
    <cellStyle name="Normal 13 4 2 2 2 3" xfId="3902" xr:uid="{00000000-0005-0000-0000-0000A61B0000}"/>
    <cellStyle name="Normal 13 4 2 2 2 3 2" xfId="3903" xr:uid="{00000000-0005-0000-0000-0000A71B0000}"/>
    <cellStyle name="Normal 13 4 2 2 2 3 2 2" xfId="12059" xr:uid="{00000000-0005-0000-0000-0000A81B0000}"/>
    <cellStyle name="Normal 13 4 2 2 2 3 3" xfId="12058" xr:uid="{00000000-0005-0000-0000-0000A91B0000}"/>
    <cellStyle name="Normal 13 4 2 2 2 4" xfId="3904" xr:uid="{00000000-0005-0000-0000-0000AA1B0000}"/>
    <cellStyle name="Normal 13 4 2 2 2 4 2" xfId="12060" xr:uid="{00000000-0005-0000-0000-0000AB1B0000}"/>
    <cellStyle name="Normal 13 4 2 2 2 5" xfId="12055" xr:uid="{00000000-0005-0000-0000-0000AC1B0000}"/>
    <cellStyle name="Normal 13 4 2 2 3" xfId="3905" xr:uid="{00000000-0005-0000-0000-0000AD1B0000}"/>
    <cellStyle name="Normal 13 4 2 2 3 2" xfId="3906" xr:uid="{00000000-0005-0000-0000-0000AE1B0000}"/>
    <cellStyle name="Normal 13 4 2 2 3 2 2" xfId="12062" xr:uid="{00000000-0005-0000-0000-0000AF1B0000}"/>
    <cellStyle name="Normal 13 4 2 2 3 3" xfId="12061" xr:uid="{00000000-0005-0000-0000-0000B01B0000}"/>
    <cellStyle name="Normal 13 4 2 2 4" xfId="3907" xr:uid="{00000000-0005-0000-0000-0000B11B0000}"/>
    <cellStyle name="Normal 13 4 2 2 4 2" xfId="3908" xr:uid="{00000000-0005-0000-0000-0000B21B0000}"/>
    <cellStyle name="Normal 13 4 2 2 4 2 2" xfId="12064" xr:uid="{00000000-0005-0000-0000-0000B31B0000}"/>
    <cellStyle name="Normal 13 4 2 2 4 3" xfId="12063" xr:uid="{00000000-0005-0000-0000-0000B41B0000}"/>
    <cellStyle name="Normal 13 4 2 2 5" xfId="3909" xr:uid="{00000000-0005-0000-0000-0000B51B0000}"/>
    <cellStyle name="Normal 13 4 2 2 5 2" xfId="12065" xr:uid="{00000000-0005-0000-0000-0000B61B0000}"/>
    <cellStyle name="Normal 13 4 2 2 6" xfId="12054" xr:uid="{00000000-0005-0000-0000-0000B71B0000}"/>
    <cellStyle name="Normal 13 4 2 3" xfId="3910" xr:uid="{00000000-0005-0000-0000-0000B81B0000}"/>
    <cellStyle name="Normal 13 4 2 3 2" xfId="3911" xr:uid="{00000000-0005-0000-0000-0000B91B0000}"/>
    <cellStyle name="Normal 13 4 2 3 2 2" xfId="3912" xr:uid="{00000000-0005-0000-0000-0000BA1B0000}"/>
    <cellStyle name="Normal 13 4 2 3 2 2 2" xfId="12068" xr:uid="{00000000-0005-0000-0000-0000BB1B0000}"/>
    <cellStyle name="Normal 13 4 2 3 2 3" xfId="12067" xr:uid="{00000000-0005-0000-0000-0000BC1B0000}"/>
    <cellStyle name="Normal 13 4 2 3 3" xfId="3913" xr:uid="{00000000-0005-0000-0000-0000BD1B0000}"/>
    <cellStyle name="Normal 13 4 2 3 3 2" xfId="3914" xr:uid="{00000000-0005-0000-0000-0000BE1B0000}"/>
    <cellStyle name="Normal 13 4 2 3 3 2 2" xfId="12070" xr:uid="{00000000-0005-0000-0000-0000BF1B0000}"/>
    <cellStyle name="Normal 13 4 2 3 3 3" xfId="12069" xr:uid="{00000000-0005-0000-0000-0000C01B0000}"/>
    <cellStyle name="Normal 13 4 2 3 4" xfId="3915" xr:uid="{00000000-0005-0000-0000-0000C11B0000}"/>
    <cellStyle name="Normal 13 4 2 3 4 2" xfId="12071" xr:uid="{00000000-0005-0000-0000-0000C21B0000}"/>
    <cellStyle name="Normal 13 4 2 3 5" xfId="12066" xr:uid="{00000000-0005-0000-0000-0000C31B0000}"/>
    <cellStyle name="Normal 13 4 2 4" xfId="3916" xr:uid="{00000000-0005-0000-0000-0000C41B0000}"/>
    <cellStyle name="Normal 13 4 2 4 2" xfId="3917" xr:uid="{00000000-0005-0000-0000-0000C51B0000}"/>
    <cellStyle name="Normal 13 4 2 4 2 2" xfId="12073" xr:uid="{00000000-0005-0000-0000-0000C61B0000}"/>
    <cellStyle name="Normal 13 4 2 4 3" xfId="12072" xr:uid="{00000000-0005-0000-0000-0000C71B0000}"/>
    <cellStyle name="Normal 13 4 2 5" xfId="3918" xr:uid="{00000000-0005-0000-0000-0000C81B0000}"/>
    <cellStyle name="Normal 13 4 2 5 2" xfId="3919" xr:uid="{00000000-0005-0000-0000-0000C91B0000}"/>
    <cellStyle name="Normal 13 4 2 5 2 2" xfId="12075" xr:uid="{00000000-0005-0000-0000-0000CA1B0000}"/>
    <cellStyle name="Normal 13 4 2 5 3" xfId="12074" xr:uid="{00000000-0005-0000-0000-0000CB1B0000}"/>
    <cellStyle name="Normal 13 4 2 6" xfId="3920" xr:uid="{00000000-0005-0000-0000-0000CC1B0000}"/>
    <cellStyle name="Normal 13 4 2 6 2" xfId="12076" xr:uid="{00000000-0005-0000-0000-0000CD1B0000}"/>
    <cellStyle name="Normal 13 4 2 7" xfId="12053" xr:uid="{00000000-0005-0000-0000-0000CE1B0000}"/>
    <cellStyle name="Normal 13 4 3" xfId="3921" xr:uid="{00000000-0005-0000-0000-0000CF1B0000}"/>
    <cellStyle name="Normal 13 4 3 2" xfId="3922" xr:uid="{00000000-0005-0000-0000-0000D01B0000}"/>
    <cellStyle name="Normal 13 4 3 2 2" xfId="3923" xr:uid="{00000000-0005-0000-0000-0000D11B0000}"/>
    <cellStyle name="Normal 13 4 3 2 2 2" xfId="3924" xr:uid="{00000000-0005-0000-0000-0000D21B0000}"/>
    <cellStyle name="Normal 13 4 3 2 2 2 2" xfId="12080" xr:uid="{00000000-0005-0000-0000-0000D31B0000}"/>
    <cellStyle name="Normal 13 4 3 2 2 3" xfId="12079" xr:uid="{00000000-0005-0000-0000-0000D41B0000}"/>
    <cellStyle name="Normal 13 4 3 2 3" xfId="3925" xr:uid="{00000000-0005-0000-0000-0000D51B0000}"/>
    <cellStyle name="Normal 13 4 3 2 3 2" xfId="3926" xr:uid="{00000000-0005-0000-0000-0000D61B0000}"/>
    <cellStyle name="Normal 13 4 3 2 3 2 2" xfId="12082" xr:uid="{00000000-0005-0000-0000-0000D71B0000}"/>
    <cellStyle name="Normal 13 4 3 2 3 3" xfId="12081" xr:uid="{00000000-0005-0000-0000-0000D81B0000}"/>
    <cellStyle name="Normal 13 4 3 2 4" xfId="3927" xr:uid="{00000000-0005-0000-0000-0000D91B0000}"/>
    <cellStyle name="Normal 13 4 3 2 4 2" xfId="12083" xr:uid="{00000000-0005-0000-0000-0000DA1B0000}"/>
    <cellStyle name="Normal 13 4 3 2 5" xfId="12078" xr:uid="{00000000-0005-0000-0000-0000DB1B0000}"/>
    <cellStyle name="Normal 13 4 3 3" xfId="3928" xr:uid="{00000000-0005-0000-0000-0000DC1B0000}"/>
    <cellStyle name="Normal 13 4 3 3 2" xfId="3929" xr:uid="{00000000-0005-0000-0000-0000DD1B0000}"/>
    <cellStyle name="Normal 13 4 3 3 2 2" xfId="12085" xr:uid="{00000000-0005-0000-0000-0000DE1B0000}"/>
    <cellStyle name="Normal 13 4 3 3 3" xfId="12084" xr:uid="{00000000-0005-0000-0000-0000DF1B0000}"/>
    <cellStyle name="Normal 13 4 3 4" xfId="3930" xr:uid="{00000000-0005-0000-0000-0000E01B0000}"/>
    <cellStyle name="Normal 13 4 3 4 2" xfId="3931" xr:uid="{00000000-0005-0000-0000-0000E11B0000}"/>
    <cellStyle name="Normal 13 4 3 4 2 2" xfId="12087" xr:uid="{00000000-0005-0000-0000-0000E21B0000}"/>
    <cellStyle name="Normal 13 4 3 4 3" xfId="12086" xr:uid="{00000000-0005-0000-0000-0000E31B0000}"/>
    <cellStyle name="Normal 13 4 3 5" xfId="3932" xr:uid="{00000000-0005-0000-0000-0000E41B0000}"/>
    <cellStyle name="Normal 13 4 3 5 2" xfId="12088" xr:uid="{00000000-0005-0000-0000-0000E51B0000}"/>
    <cellStyle name="Normal 13 4 3 6" xfId="12077" xr:uid="{00000000-0005-0000-0000-0000E61B0000}"/>
    <cellStyle name="Normal 13 4 4" xfId="3933" xr:uid="{00000000-0005-0000-0000-0000E71B0000}"/>
    <cellStyle name="Normal 13 4 4 2" xfId="3934" xr:uid="{00000000-0005-0000-0000-0000E81B0000}"/>
    <cellStyle name="Normal 13 4 4 2 2" xfId="3935" xr:uid="{00000000-0005-0000-0000-0000E91B0000}"/>
    <cellStyle name="Normal 13 4 4 2 2 2" xfId="12091" xr:uid="{00000000-0005-0000-0000-0000EA1B0000}"/>
    <cellStyle name="Normal 13 4 4 2 3" xfId="12090" xr:uid="{00000000-0005-0000-0000-0000EB1B0000}"/>
    <cellStyle name="Normal 13 4 4 3" xfId="3936" xr:uid="{00000000-0005-0000-0000-0000EC1B0000}"/>
    <cellStyle name="Normal 13 4 4 3 2" xfId="3937" xr:uid="{00000000-0005-0000-0000-0000ED1B0000}"/>
    <cellStyle name="Normal 13 4 4 3 2 2" xfId="12093" xr:uid="{00000000-0005-0000-0000-0000EE1B0000}"/>
    <cellStyle name="Normal 13 4 4 3 3" xfId="12092" xr:uid="{00000000-0005-0000-0000-0000EF1B0000}"/>
    <cellStyle name="Normal 13 4 4 4" xfId="3938" xr:uid="{00000000-0005-0000-0000-0000F01B0000}"/>
    <cellStyle name="Normal 13 4 4 4 2" xfId="12094" xr:uid="{00000000-0005-0000-0000-0000F11B0000}"/>
    <cellStyle name="Normal 13 4 4 5" xfId="12089" xr:uid="{00000000-0005-0000-0000-0000F21B0000}"/>
    <cellStyle name="Normal 13 4 5" xfId="3939" xr:uid="{00000000-0005-0000-0000-0000F31B0000}"/>
    <cellStyle name="Normal 13 4 5 2" xfId="3940" xr:uid="{00000000-0005-0000-0000-0000F41B0000}"/>
    <cellStyle name="Normal 13 4 5 2 2" xfId="12096" xr:uid="{00000000-0005-0000-0000-0000F51B0000}"/>
    <cellStyle name="Normal 13 4 5 3" xfId="12095" xr:uid="{00000000-0005-0000-0000-0000F61B0000}"/>
    <cellStyle name="Normal 13 4 6" xfId="3941" xr:uid="{00000000-0005-0000-0000-0000F71B0000}"/>
    <cellStyle name="Normal 13 4 6 2" xfId="3942" xr:uid="{00000000-0005-0000-0000-0000F81B0000}"/>
    <cellStyle name="Normal 13 4 6 2 2" xfId="12098" xr:uid="{00000000-0005-0000-0000-0000F91B0000}"/>
    <cellStyle name="Normal 13 4 6 3" xfId="12097" xr:uid="{00000000-0005-0000-0000-0000FA1B0000}"/>
    <cellStyle name="Normal 13 4 7" xfId="3943" xr:uid="{00000000-0005-0000-0000-0000FB1B0000}"/>
    <cellStyle name="Normal 13 4 7 2" xfId="12099" xr:uid="{00000000-0005-0000-0000-0000FC1B0000}"/>
    <cellStyle name="Normal 13 4 8" xfId="12052" xr:uid="{00000000-0005-0000-0000-0000FD1B0000}"/>
    <cellStyle name="Normal 13 5" xfId="3944" xr:uid="{00000000-0005-0000-0000-0000FE1B0000}"/>
    <cellStyle name="Normal 13 5 2" xfId="3945" xr:uid="{00000000-0005-0000-0000-0000FF1B0000}"/>
    <cellStyle name="Normal 13 5 2 2" xfId="3946" xr:uid="{00000000-0005-0000-0000-0000001C0000}"/>
    <cellStyle name="Normal 13 5 2 2 2" xfId="3947" xr:uid="{00000000-0005-0000-0000-0000011C0000}"/>
    <cellStyle name="Normal 13 5 2 2 2 2" xfId="3948" xr:uid="{00000000-0005-0000-0000-0000021C0000}"/>
    <cellStyle name="Normal 13 5 2 2 2 2 2" xfId="12104" xr:uid="{00000000-0005-0000-0000-0000031C0000}"/>
    <cellStyle name="Normal 13 5 2 2 2 3" xfId="12103" xr:uid="{00000000-0005-0000-0000-0000041C0000}"/>
    <cellStyle name="Normal 13 5 2 2 3" xfId="3949" xr:uid="{00000000-0005-0000-0000-0000051C0000}"/>
    <cellStyle name="Normal 13 5 2 2 3 2" xfId="3950" xr:uid="{00000000-0005-0000-0000-0000061C0000}"/>
    <cellStyle name="Normal 13 5 2 2 3 2 2" xfId="12106" xr:uid="{00000000-0005-0000-0000-0000071C0000}"/>
    <cellStyle name="Normal 13 5 2 2 3 3" xfId="12105" xr:uid="{00000000-0005-0000-0000-0000081C0000}"/>
    <cellStyle name="Normal 13 5 2 2 4" xfId="3951" xr:uid="{00000000-0005-0000-0000-0000091C0000}"/>
    <cellStyle name="Normal 13 5 2 2 4 2" xfId="12107" xr:uid="{00000000-0005-0000-0000-00000A1C0000}"/>
    <cellStyle name="Normal 13 5 2 2 5" xfId="12102" xr:uid="{00000000-0005-0000-0000-00000B1C0000}"/>
    <cellStyle name="Normal 13 5 2 3" xfId="3952" xr:uid="{00000000-0005-0000-0000-00000C1C0000}"/>
    <cellStyle name="Normal 13 5 2 3 2" xfId="3953" xr:uid="{00000000-0005-0000-0000-00000D1C0000}"/>
    <cellStyle name="Normal 13 5 2 3 2 2" xfId="12109" xr:uid="{00000000-0005-0000-0000-00000E1C0000}"/>
    <cellStyle name="Normal 13 5 2 3 3" xfId="12108" xr:uid="{00000000-0005-0000-0000-00000F1C0000}"/>
    <cellStyle name="Normal 13 5 2 4" xfId="3954" xr:uid="{00000000-0005-0000-0000-0000101C0000}"/>
    <cellStyle name="Normal 13 5 2 4 2" xfId="3955" xr:uid="{00000000-0005-0000-0000-0000111C0000}"/>
    <cellStyle name="Normal 13 5 2 4 2 2" xfId="12111" xr:uid="{00000000-0005-0000-0000-0000121C0000}"/>
    <cellStyle name="Normal 13 5 2 4 3" xfId="12110" xr:uid="{00000000-0005-0000-0000-0000131C0000}"/>
    <cellStyle name="Normal 13 5 2 5" xfId="3956" xr:uid="{00000000-0005-0000-0000-0000141C0000}"/>
    <cellStyle name="Normal 13 5 2 5 2" xfId="12112" xr:uid="{00000000-0005-0000-0000-0000151C0000}"/>
    <cellStyle name="Normal 13 5 2 6" xfId="12101" xr:uid="{00000000-0005-0000-0000-0000161C0000}"/>
    <cellStyle name="Normal 13 5 3" xfId="3957" xr:uid="{00000000-0005-0000-0000-0000171C0000}"/>
    <cellStyle name="Normal 13 5 3 2" xfId="3958" xr:uid="{00000000-0005-0000-0000-0000181C0000}"/>
    <cellStyle name="Normal 13 5 3 2 2" xfId="3959" xr:uid="{00000000-0005-0000-0000-0000191C0000}"/>
    <cellStyle name="Normal 13 5 3 2 2 2" xfId="12115" xr:uid="{00000000-0005-0000-0000-00001A1C0000}"/>
    <cellStyle name="Normal 13 5 3 2 3" xfId="12114" xr:uid="{00000000-0005-0000-0000-00001B1C0000}"/>
    <cellStyle name="Normal 13 5 3 3" xfId="3960" xr:uid="{00000000-0005-0000-0000-00001C1C0000}"/>
    <cellStyle name="Normal 13 5 3 3 2" xfId="3961" xr:uid="{00000000-0005-0000-0000-00001D1C0000}"/>
    <cellStyle name="Normal 13 5 3 3 2 2" xfId="12117" xr:uid="{00000000-0005-0000-0000-00001E1C0000}"/>
    <cellStyle name="Normal 13 5 3 3 3" xfId="12116" xr:uid="{00000000-0005-0000-0000-00001F1C0000}"/>
    <cellStyle name="Normal 13 5 3 4" xfId="3962" xr:uid="{00000000-0005-0000-0000-0000201C0000}"/>
    <cellStyle name="Normal 13 5 3 4 2" xfId="12118" xr:uid="{00000000-0005-0000-0000-0000211C0000}"/>
    <cellStyle name="Normal 13 5 3 5" xfId="12113" xr:uid="{00000000-0005-0000-0000-0000221C0000}"/>
    <cellStyle name="Normal 13 5 4" xfId="3963" xr:uid="{00000000-0005-0000-0000-0000231C0000}"/>
    <cellStyle name="Normal 13 5 4 2" xfId="3964" xr:uid="{00000000-0005-0000-0000-0000241C0000}"/>
    <cellStyle name="Normal 13 5 4 2 2" xfId="12120" xr:uid="{00000000-0005-0000-0000-0000251C0000}"/>
    <cellStyle name="Normal 13 5 4 3" xfId="12119" xr:uid="{00000000-0005-0000-0000-0000261C0000}"/>
    <cellStyle name="Normal 13 5 5" xfId="3965" xr:uid="{00000000-0005-0000-0000-0000271C0000}"/>
    <cellStyle name="Normal 13 5 5 2" xfId="3966" xr:uid="{00000000-0005-0000-0000-0000281C0000}"/>
    <cellStyle name="Normal 13 5 5 2 2" xfId="12122" xr:uid="{00000000-0005-0000-0000-0000291C0000}"/>
    <cellStyle name="Normal 13 5 5 3" xfId="12121" xr:uid="{00000000-0005-0000-0000-00002A1C0000}"/>
    <cellStyle name="Normal 13 5 6" xfId="3967" xr:uid="{00000000-0005-0000-0000-00002B1C0000}"/>
    <cellStyle name="Normal 13 5 6 2" xfId="12123" xr:uid="{00000000-0005-0000-0000-00002C1C0000}"/>
    <cellStyle name="Normal 13 5 7" xfId="12100" xr:uid="{00000000-0005-0000-0000-00002D1C0000}"/>
    <cellStyle name="Normal 13 6" xfId="3968" xr:uid="{00000000-0005-0000-0000-00002E1C0000}"/>
    <cellStyle name="Normal 13 6 2" xfId="3969" xr:uid="{00000000-0005-0000-0000-00002F1C0000}"/>
    <cellStyle name="Normal 13 6 2 2" xfId="3970" xr:uid="{00000000-0005-0000-0000-0000301C0000}"/>
    <cellStyle name="Normal 13 6 2 2 2" xfId="3971" xr:uid="{00000000-0005-0000-0000-0000311C0000}"/>
    <cellStyle name="Normal 13 6 2 2 2 2" xfId="12126" xr:uid="{00000000-0005-0000-0000-0000321C0000}"/>
    <cellStyle name="Normal 13 6 2 2 3" xfId="12125" xr:uid="{00000000-0005-0000-0000-0000331C0000}"/>
    <cellStyle name="Normal 13 6 2 3" xfId="3972" xr:uid="{00000000-0005-0000-0000-0000341C0000}"/>
    <cellStyle name="Normal 13 6 2 3 2" xfId="3973" xr:uid="{00000000-0005-0000-0000-0000351C0000}"/>
    <cellStyle name="Normal 13 6 2 3 2 2" xfId="12128" xr:uid="{00000000-0005-0000-0000-0000361C0000}"/>
    <cellStyle name="Normal 13 6 2 3 3" xfId="12127" xr:uid="{00000000-0005-0000-0000-0000371C0000}"/>
    <cellStyle name="Normal 13 6 2 4" xfId="3974" xr:uid="{00000000-0005-0000-0000-0000381C0000}"/>
    <cellStyle name="Normal 13 6 2 4 2" xfId="12129" xr:uid="{00000000-0005-0000-0000-0000391C0000}"/>
    <cellStyle name="Normal 13 6 2 5" xfId="12124" xr:uid="{00000000-0005-0000-0000-00003A1C0000}"/>
    <cellStyle name="Normal 13 6 3" xfId="3975" xr:uid="{00000000-0005-0000-0000-00003B1C0000}"/>
    <cellStyle name="Normal 13 6 3 2" xfId="3976" xr:uid="{00000000-0005-0000-0000-00003C1C0000}"/>
    <cellStyle name="Normal 13 6 3 2 2" xfId="12131" xr:uid="{00000000-0005-0000-0000-00003D1C0000}"/>
    <cellStyle name="Normal 13 6 3 3" xfId="12130" xr:uid="{00000000-0005-0000-0000-00003E1C0000}"/>
    <cellStyle name="Normal 13 6 4" xfId="3977" xr:uid="{00000000-0005-0000-0000-00003F1C0000}"/>
    <cellStyle name="Normal 13 6 4 2" xfId="3978" xr:uid="{00000000-0005-0000-0000-0000401C0000}"/>
    <cellStyle name="Normal 13 6 4 2 2" xfId="12133" xr:uid="{00000000-0005-0000-0000-0000411C0000}"/>
    <cellStyle name="Normal 13 6 4 3" xfId="12132" xr:uid="{00000000-0005-0000-0000-0000421C0000}"/>
    <cellStyle name="Normal 13 6 5" xfId="3979" xr:uid="{00000000-0005-0000-0000-0000431C0000}"/>
    <cellStyle name="Normal 13 6 5 2" xfId="12134" xr:uid="{00000000-0005-0000-0000-0000441C0000}"/>
    <cellStyle name="Normal 13 7" xfId="3980" xr:uid="{00000000-0005-0000-0000-0000451C0000}"/>
    <cellStyle name="Normal 13 7 2" xfId="3981" xr:uid="{00000000-0005-0000-0000-0000461C0000}"/>
    <cellStyle name="Normal 13 7 2 2" xfId="3982" xr:uid="{00000000-0005-0000-0000-0000471C0000}"/>
    <cellStyle name="Normal 13 7 2 2 2" xfId="12137" xr:uid="{00000000-0005-0000-0000-0000481C0000}"/>
    <cellStyle name="Normal 13 7 2 3" xfId="12136" xr:uid="{00000000-0005-0000-0000-0000491C0000}"/>
    <cellStyle name="Normal 13 7 3" xfId="3983" xr:uid="{00000000-0005-0000-0000-00004A1C0000}"/>
    <cellStyle name="Normal 13 7 3 2" xfId="3984" xr:uid="{00000000-0005-0000-0000-00004B1C0000}"/>
    <cellStyle name="Normal 13 7 3 2 2" xfId="12139" xr:uid="{00000000-0005-0000-0000-00004C1C0000}"/>
    <cellStyle name="Normal 13 7 3 3" xfId="12138" xr:uid="{00000000-0005-0000-0000-00004D1C0000}"/>
    <cellStyle name="Normal 13 7 4" xfId="3985" xr:uid="{00000000-0005-0000-0000-00004E1C0000}"/>
    <cellStyle name="Normal 13 7 4 2" xfId="12140" xr:uid="{00000000-0005-0000-0000-00004F1C0000}"/>
    <cellStyle name="Normal 13 7 5" xfId="12135" xr:uid="{00000000-0005-0000-0000-0000501C0000}"/>
    <cellStyle name="Normal 13 8" xfId="3986" xr:uid="{00000000-0005-0000-0000-0000511C0000}"/>
    <cellStyle name="Normal 13 8 2" xfId="3987" xr:uid="{00000000-0005-0000-0000-0000521C0000}"/>
    <cellStyle name="Normal 13 8 2 2" xfId="12141" xr:uid="{00000000-0005-0000-0000-0000531C0000}"/>
    <cellStyle name="Normal 13 9" xfId="3988" xr:uid="{00000000-0005-0000-0000-0000541C0000}"/>
    <cellStyle name="Normal 13 9 2" xfId="3989" xr:uid="{00000000-0005-0000-0000-0000551C0000}"/>
    <cellStyle name="Normal 13 9 2 2" xfId="12143" xr:uid="{00000000-0005-0000-0000-0000561C0000}"/>
    <cellStyle name="Normal 13 9 3" xfId="12142" xr:uid="{00000000-0005-0000-0000-0000571C0000}"/>
    <cellStyle name="Normal 13_Recycling Tons" xfId="3990" xr:uid="{00000000-0005-0000-0000-0000581C0000}"/>
    <cellStyle name="Normal 130" xfId="8879" xr:uid="{00000000-0005-0000-0000-0000591C0000}"/>
    <cellStyle name="Normal 131" xfId="8881" xr:uid="{00000000-0005-0000-0000-00005A1C0000}"/>
    <cellStyle name="Normal 132" xfId="8882" xr:uid="{00000000-0005-0000-0000-00005B1C0000}"/>
    <cellStyle name="Normal 132 2" xfId="12192" xr:uid="{C36953AE-38F5-48D5-86A0-2228F0C635ED}"/>
    <cellStyle name="Normal 133" xfId="8883" xr:uid="{00000000-0005-0000-0000-00005C1C0000}"/>
    <cellStyle name="Normal 134" xfId="8884" xr:uid="{00000000-0005-0000-0000-00005D1C0000}"/>
    <cellStyle name="Normal 135" xfId="12172" xr:uid="{00000000-0005-0000-0000-00005E1C0000}"/>
    <cellStyle name="Normal 136" xfId="12176" xr:uid="{00000000-0005-0000-0000-00005F1C0000}"/>
    <cellStyle name="Normal 136 2" xfId="12183" xr:uid="{00000000-0005-0000-0000-0000601C0000}"/>
    <cellStyle name="Normal 137" xfId="12179" xr:uid="{00000000-0005-0000-0000-0000611C0000}"/>
    <cellStyle name="Normal 138" xfId="12181" xr:uid="{00000000-0005-0000-0000-0000621C0000}"/>
    <cellStyle name="Normal 139" xfId="12184" xr:uid="{00000000-0005-0000-0000-0000631C0000}"/>
    <cellStyle name="Normal 14" xfId="3991" xr:uid="{00000000-0005-0000-0000-0000641C0000}"/>
    <cellStyle name="Normal 14 10" xfId="12144" xr:uid="{00000000-0005-0000-0000-0000651C0000}"/>
    <cellStyle name="Normal 14 2" xfId="3992" xr:uid="{00000000-0005-0000-0000-0000661C0000}"/>
    <cellStyle name="Normal 14 2 2" xfId="3993" xr:uid="{00000000-0005-0000-0000-0000671C0000}"/>
    <cellStyle name="Normal 14 2 2 2" xfId="3994" xr:uid="{00000000-0005-0000-0000-0000681C0000}"/>
    <cellStyle name="Normal 14 2 2 2 2" xfId="3995" xr:uid="{00000000-0005-0000-0000-0000691C0000}"/>
    <cellStyle name="Normal 14 2 2 2 2 2" xfId="3996" xr:uid="{00000000-0005-0000-0000-00006A1C0000}"/>
    <cellStyle name="Normal 14 2 2 2 2 2 2" xfId="3997" xr:uid="{00000000-0005-0000-0000-00006B1C0000}"/>
    <cellStyle name="Normal 14 2 2 2 2 2 2 2" xfId="12148" xr:uid="{00000000-0005-0000-0000-00006C1C0000}"/>
    <cellStyle name="Normal 14 2 2 2 2 2 3" xfId="12147" xr:uid="{00000000-0005-0000-0000-00006D1C0000}"/>
    <cellStyle name="Normal 14 2 2 2 2 3" xfId="3998" xr:uid="{00000000-0005-0000-0000-00006E1C0000}"/>
    <cellStyle name="Normal 14 2 2 2 2 3 2" xfId="3999" xr:uid="{00000000-0005-0000-0000-00006F1C0000}"/>
    <cellStyle name="Normal 14 2 2 2 2 3 2 2" xfId="12150" xr:uid="{00000000-0005-0000-0000-0000701C0000}"/>
    <cellStyle name="Normal 14 2 2 2 2 3 3" xfId="12149" xr:uid="{00000000-0005-0000-0000-0000711C0000}"/>
    <cellStyle name="Normal 14 2 2 2 2 4" xfId="4000" xr:uid="{00000000-0005-0000-0000-0000721C0000}"/>
    <cellStyle name="Normal 14 2 2 2 2 4 2" xfId="12151" xr:uid="{00000000-0005-0000-0000-0000731C0000}"/>
    <cellStyle name="Normal 14 2 2 2 2 5" xfId="12146" xr:uid="{00000000-0005-0000-0000-0000741C0000}"/>
    <cellStyle name="Normal 14 2 2 2 3" xfId="4001" xr:uid="{00000000-0005-0000-0000-0000751C0000}"/>
    <cellStyle name="Normal 14 2 2 2 3 2" xfId="4002" xr:uid="{00000000-0005-0000-0000-0000761C0000}"/>
    <cellStyle name="Normal 14 2 2 2 3 2 2" xfId="12153" xr:uid="{00000000-0005-0000-0000-0000771C0000}"/>
    <cellStyle name="Normal 14 2 2 2 3 3" xfId="12152" xr:uid="{00000000-0005-0000-0000-0000781C0000}"/>
    <cellStyle name="Normal 14 2 2 2 4" xfId="4003" xr:uid="{00000000-0005-0000-0000-0000791C0000}"/>
    <cellStyle name="Normal 14 2 2 2 4 2" xfId="4004" xr:uid="{00000000-0005-0000-0000-00007A1C0000}"/>
    <cellStyle name="Normal 14 2 2 2 4 2 2" xfId="12155" xr:uid="{00000000-0005-0000-0000-00007B1C0000}"/>
    <cellStyle name="Normal 14 2 2 2 4 3" xfId="12154" xr:uid="{00000000-0005-0000-0000-00007C1C0000}"/>
    <cellStyle name="Normal 14 2 2 2 5" xfId="4005" xr:uid="{00000000-0005-0000-0000-00007D1C0000}"/>
    <cellStyle name="Normal 14 2 2 2 5 2" xfId="12156" xr:uid="{00000000-0005-0000-0000-00007E1C0000}"/>
    <cellStyle name="Normal 14 2 2 3" xfId="4006" xr:uid="{00000000-0005-0000-0000-00007F1C0000}"/>
    <cellStyle name="Normal 14 2 2 3 2" xfId="4007" xr:uid="{00000000-0005-0000-0000-0000801C0000}"/>
    <cellStyle name="Normal 14 2 2 3 2 2" xfId="4008" xr:uid="{00000000-0005-0000-0000-0000811C0000}"/>
    <cellStyle name="Normal 14 2 2 3 2 2 2" xfId="12159" xr:uid="{00000000-0005-0000-0000-0000821C0000}"/>
    <cellStyle name="Normal 14 2 2 3 2 3" xfId="12158" xr:uid="{00000000-0005-0000-0000-0000831C0000}"/>
    <cellStyle name="Normal 14 2 2 3 3" xfId="4009" xr:uid="{00000000-0005-0000-0000-0000841C0000}"/>
    <cellStyle name="Normal 14 2 2 3 3 2" xfId="4010" xr:uid="{00000000-0005-0000-0000-0000851C0000}"/>
    <cellStyle name="Normal 14 2 2 3 3 2 2" xfId="12161" xr:uid="{00000000-0005-0000-0000-0000861C0000}"/>
    <cellStyle name="Normal 14 2 2 3 3 3" xfId="12160" xr:uid="{00000000-0005-0000-0000-0000871C0000}"/>
    <cellStyle name="Normal 14 2 2 3 4" xfId="4011" xr:uid="{00000000-0005-0000-0000-0000881C0000}"/>
    <cellStyle name="Normal 14 2 2 3 4 2" xfId="12162" xr:uid="{00000000-0005-0000-0000-0000891C0000}"/>
    <cellStyle name="Normal 14 2 2 3 5" xfId="12157" xr:uid="{00000000-0005-0000-0000-00008A1C0000}"/>
    <cellStyle name="Normal 14 2 2 4" xfId="4012" xr:uid="{00000000-0005-0000-0000-00008B1C0000}"/>
    <cellStyle name="Normal 14 2 2 4 2" xfId="4013" xr:uid="{00000000-0005-0000-0000-00008C1C0000}"/>
    <cellStyle name="Normal 14 2 2 4 2 2" xfId="12164" xr:uid="{00000000-0005-0000-0000-00008D1C0000}"/>
    <cellStyle name="Normal 14 2 2 4 3" xfId="12163" xr:uid="{00000000-0005-0000-0000-00008E1C0000}"/>
    <cellStyle name="Normal 14 2 2 5" xfId="4014" xr:uid="{00000000-0005-0000-0000-00008F1C0000}"/>
    <cellStyle name="Normal 14 2 2 5 2" xfId="4015" xr:uid="{00000000-0005-0000-0000-0000901C0000}"/>
    <cellStyle name="Normal 14 2 2 5 2 2" xfId="12166" xr:uid="{00000000-0005-0000-0000-0000911C0000}"/>
    <cellStyle name="Normal 14 2 2 5 3" xfId="12165" xr:uid="{00000000-0005-0000-0000-0000921C0000}"/>
    <cellStyle name="Normal 14 2 2 6" xfId="4016" xr:uid="{00000000-0005-0000-0000-0000931C0000}"/>
    <cellStyle name="Normal 14 2 2 6 2" xfId="12167" xr:uid="{00000000-0005-0000-0000-0000941C0000}"/>
    <cellStyle name="Normal 14 2 2 7" xfId="12145" xr:uid="{00000000-0005-0000-0000-0000951C0000}"/>
    <cellStyle name="Normal 14 2 3" xfId="4017" xr:uid="{00000000-0005-0000-0000-0000961C0000}"/>
    <cellStyle name="Normal 14 2 3 2" xfId="4018" xr:uid="{00000000-0005-0000-0000-0000971C0000}"/>
    <cellStyle name="Normal 14 2 3 2 2" xfId="4019" xr:uid="{00000000-0005-0000-0000-0000981C0000}"/>
    <cellStyle name="Normal 14 2 3 2 2 2" xfId="4020" xr:uid="{00000000-0005-0000-0000-0000991C0000}"/>
    <cellStyle name="Normal 14 2 3 2 2 2 2" xfId="12171" xr:uid="{00000000-0005-0000-0000-00009A1C0000}"/>
    <cellStyle name="Normal 14 2 3 2 2 3" xfId="12170" xr:uid="{00000000-0005-0000-0000-00009B1C0000}"/>
    <cellStyle name="Normal 14 2 3 2 3" xfId="4021" xr:uid="{00000000-0005-0000-0000-00009C1C0000}"/>
    <cellStyle name="Normal 14 2 3 2 3 2" xfId="4022" xr:uid="{00000000-0005-0000-0000-00009D1C0000}"/>
    <cellStyle name="Normal 14 2 3 2 4" xfId="4023" xr:uid="{00000000-0005-0000-0000-00009E1C0000}"/>
    <cellStyle name="Normal 14 2 3 2 5" xfId="12169" xr:uid="{00000000-0005-0000-0000-00009F1C0000}"/>
    <cellStyle name="Normal 14 2 3 3" xfId="4024" xr:uid="{00000000-0005-0000-0000-0000A01C0000}"/>
    <cellStyle name="Normal 14 2 3 3 2" xfId="4025" xr:uid="{00000000-0005-0000-0000-0000A11C0000}"/>
    <cellStyle name="Normal 14 2 3 4" xfId="4026" xr:uid="{00000000-0005-0000-0000-0000A21C0000}"/>
    <cellStyle name="Normal 14 2 3 4 2" xfId="4027" xr:uid="{00000000-0005-0000-0000-0000A31C0000}"/>
    <cellStyle name="Normal 14 2 3 5" xfId="4028" xr:uid="{00000000-0005-0000-0000-0000A41C0000}"/>
    <cellStyle name="Normal 14 2 3 6" xfId="12168" xr:uid="{00000000-0005-0000-0000-0000A51C0000}"/>
    <cellStyle name="Normal 14 2 4" xfId="4029" xr:uid="{00000000-0005-0000-0000-0000A61C0000}"/>
    <cellStyle name="Normal 14 2 4 2" xfId="4030" xr:uid="{00000000-0005-0000-0000-0000A71C0000}"/>
    <cellStyle name="Normal 14 2 4 2 2" xfId="4031" xr:uid="{00000000-0005-0000-0000-0000A81C0000}"/>
    <cellStyle name="Normal 14 2 4 3" xfId="4032" xr:uid="{00000000-0005-0000-0000-0000A91C0000}"/>
    <cellStyle name="Normal 14 2 4 3 2" xfId="4033" xr:uid="{00000000-0005-0000-0000-0000AA1C0000}"/>
    <cellStyle name="Normal 14 2 4 4" xfId="4034" xr:uid="{00000000-0005-0000-0000-0000AB1C0000}"/>
    <cellStyle name="Normal 14 2 5" xfId="4035" xr:uid="{00000000-0005-0000-0000-0000AC1C0000}"/>
    <cellStyle name="Normal 14 2 5 2" xfId="4036" xr:uid="{00000000-0005-0000-0000-0000AD1C0000}"/>
    <cellStyle name="Normal 14 2 6" xfId="4037" xr:uid="{00000000-0005-0000-0000-0000AE1C0000}"/>
    <cellStyle name="Normal 14 2 6 2" xfId="4038" xr:uid="{00000000-0005-0000-0000-0000AF1C0000}"/>
    <cellStyle name="Normal 14 2 7" xfId="4039" xr:uid="{00000000-0005-0000-0000-0000B01C0000}"/>
    <cellStyle name="Normal 14 3" xfId="4040" xr:uid="{00000000-0005-0000-0000-0000B11C0000}"/>
    <cellStyle name="Normal 14 3 2" xfId="4041" xr:uid="{00000000-0005-0000-0000-0000B21C0000}"/>
    <cellStyle name="Normal 14 3 2 2" xfId="4042" xr:uid="{00000000-0005-0000-0000-0000B31C0000}"/>
    <cellStyle name="Normal 14 3 2 2 2" xfId="4043" xr:uid="{00000000-0005-0000-0000-0000B41C0000}"/>
    <cellStyle name="Normal 14 3 2 2 2 2" xfId="4044" xr:uid="{00000000-0005-0000-0000-0000B51C0000}"/>
    <cellStyle name="Normal 14 3 2 2 2 2 2" xfId="4045" xr:uid="{00000000-0005-0000-0000-0000B61C0000}"/>
    <cellStyle name="Normal 14 3 2 2 2 3" xfId="4046" xr:uid="{00000000-0005-0000-0000-0000B71C0000}"/>
    <cellStyle name="Normal 14 3 2 2 2 3 2" xfId="4047" xr:uid="{00000000-0005-0000-0000-0000B81C0000}"/>
    <cellStyle name="Normal 14 3 2 2 2 4" xfId="4048" xr:uid="{00000000-0005-0000-0000-0000B91C0000}"/>
    <cellStyle name="Normal 14 3 2 2 3" xfId="4049" xr:uid="{00000000-0005-0000-0000-0000BA1C0000}"/>
    <cellStyle name="Normal 14 3 2 2 3 2" xfId="4050" xr:uid="{00000000-0005-0000-0000-0000BB1C0000}"/>
    <cellStyle name="Normal 14 3 2 2 4" xfId="4051" xr:uid="{00000000-0005-0000-0000-0000BC1C0000}"/>
    <cellStyle name="Normal 14 3 2 2 4 2" xfId="4052" xr:uid="{00000000-0005-0000-0000-0000BD1C0000}"/>
    <cellStyle name="Normal 14 3 2 2 5" xfId="4053" xr:uid="{00000000-0005-0000-0000-0000BE1C0000}"/>
    <cellStyle name="Normal 14 3 2 3" xfId="4054" xr:uid="{00000000-0005-0000-0000-0000BF1C0000}"/>
    <cellStyle name="Normal 14 3 2 3 2" xfId="4055" xr:uid="{00000000-0005-0000-0000-0000C01C0000}"/>
    <cellStyle name="Normal 14 3 2 3 2 2" xfId="4056" xr:uid="{00000000-0005-0000-0000-0000C11C0000}"/>
    <cellStyle name="Normal 14 3 2 3 3" xfId="4057" xr:uid="{00000000-0005-0000-0000-0000C21C0000}"/>
    <cellStyle name="Normal 14 3 2 3 3 2" xfId="4058" xr:uid="{00000000-0005-0000-0000-0000C31C0000}"/>
    <cellStyle name="Normal 14 3 2 3 4" xfId="4059" xr:uid="{00000000-0005-0000-0000-0000C41C0000}"/>
    <cellStyle name="Normal 14 3 2 4" xfId="4060" xr:uid="{00000000-0005-0000-0000-0000C51C0000}"/>
    <cellStyle name="Normal 14 3 2 4 2" xfId="4061" xr:uid="{00000000-0005-0000-0000-0000C61C0000}"/>
    <cellStyle name="Normal 14 3 2 5" xfId="4062" xr:uid="{00000000-0005-0000-0000-0000C71C0000}"/>
    <cellStyle name="Normal 14 3 2 5 2" xfId="4063" xr:uid="{00000000-0005-0000-0000-0000C81C0000}"/>
    <cellStyle name="Normal 14 3 2 6" xfId="4064" xr:uid="{00000000-0005-0000-0000-0000C91C0000}"/>
    <cellStyle name="Normal 14 3 3" xfId="4065" xr:uid="{00000000-0005-0000-0000-0000CA1C0000}"/>
    <cellStyle name="Normal 14 3 3 2" xfId="4066" xr:uid="{00000000-0005-0000-0000-0000CB1C0000}"/>
    <cellStyle name="Normal 14 3 3 2 2" xfId="4067" xr:uid="{00000000-0005-0000-0000-0000CC1C0000}"/>
    <cellStyle name="Normal 14 3 3 2 2 2" xfId="4068" xr:uid="{00000000-0005-0000-0000-0000CD1C0000}"/>
    <cellStyle name="Normal 14 3 3 2 3" xfId="4069" xr:uid="{00000000-0005-0000-0000-0000CE1C0000}"/>
    <cellStyle name="Normal 14 3 3 2 3 2" xfId="4070" xr:uid="{00000000-0005-0000-0000-0000CF1C0000}"/>
    <cellStyle name="Normal 14 3 3 2 4" xfId="4071" xr:uid="{00000000-0005-0000-0000-0000D01C0000}"/>
    <cellStyle name="Normal 14 3 3 3" xfId="4072" xr:uid="{00000000-0005-0000-0000-0000D11C0000}"/>
    <cellStyle name="Normal 14 3 3 3 2" xfId="4073" xr:uid="{00000000-0005-0000-0000-0000D21C0000}"/>
    <cellStyle name="Normal 14 3 3 4" xfId="4074" xr:uid="{00000000-0005-0000-0000-0000D31C0000}"/>
    <cellStyle name="Normal 14 3 3 4 2" xfId="4075" xr:uid="{00000000-0005-0000-0000-0000D41C0000}"/>
    <cellStyle name="Normal 14 3 3 5" xfId="4076" xr:uid="{00000000-0005-0000-0000-0000D51C0000}"/>
    <cellStyle name="Normal 14 3 4" xfId="4077" xr:uid="{00000000-0005-0000-0000-0000D61C0000}"/>
    <cellStyle name="Normal 14 3 4 2" xfId="4078" xr:uid="{00000000-0005-0000-0000-0000D71C0000}"/>
    <cellStyle name="Normal 14 3 4 2 2" xfId="4079" xr:uid="{00000000-0005-0000-0000-0000D81C0000}"/>
    <cellStyle name="Normal 14 3 4 3" xfId="4080" xr:uid="{00000000-0005-0000-0000-0000D91C0000}"/>
    <cellStyle name="Normal 14 3 4 3 2" xfId="4081" xr:uid="{00000000-0005-0000-0000-0000DA1C0000}"/>
    <cellStyle name="Normal 14 3 4 4" xfId="4082" xr:uid="{00000000-0005-0000-0000-0000DB1C0000}"/>
    <cellStyle name="Normal 14 3 5" xfId="4083" xr:uid="{00000000-0005-0000-0000-0000DC1C0000}"/>
    <cellStyle name="Normal 14 3 5 2" xfId="4084" xr:uid="{00000000-0005-0000-0000-0000DD1C0000}"/>
    <cellStyle name="Normal 14 3 6" xfId="4085" xr:uid="{00000000-0005-0000-0000-0000DE1C0000}"/>
    <cellStyle name="Normal 14 3 6 2" xfId="4086" xr:uid="{00000000-0005-0000-0000-0000DF1C0000}"/>
    <cellStyle name="Normal 14 3 7" xfId="4087" xr:uid="{00000000-0005-0000-0000-0000E01C0000}"/>
    <cellStyle name="Normal 14 3 8" xfId="4088" xr:uid="{00000000-0005-0000-0000-0000E11C0000}"/>
    <cellStyle name="Normal 14 4" xfId="4089" xr:uid="{00000000-0005-0000-0000-0000E21C0000}"/>
    <cellStyle name="Normal 14 4 2" xfId="4090" xr:uid="{00000000-0005-0000-0000-0000E31C0000}"/>
    <cellStyle name="Normal 14 4 2 2" xfId="4091" xr:uid="{00000000-0005-0000-0000-0000E41C0000}"/>
    <cellStyle name="Normal 14 4 2 2 2" xfId="4092" xr:uid="{00000000-0005-0000-0000-0000E51C0000}"/>
    <cellStyle name="Normal 14 4 2 2 2 2" xfId="4093" xr:uid="{00000000-0005-0000-0000-0000E61C0000}"/>
    <cellStyle name="Normal 14 4 2 2 3" xfId="4094" xr:uid="{00000000-0005-0000-0000-0000E71C0000}"/>
    <cellStyle name="Normal 14 4 2 2 3 2" xfId="4095" xr:uid="{00000000-0005-0000-0000-0000E81C0000}"/>
    <cellStyle name="Normal 14 4 2 2 4" xfId="4096" xr:uid="{00000000-0005-0000-0000-0000E91C0000}"/>
    <cellStyle name="Normal 14 4 2 3" xfId="4097" xr:uid="{00000000-0005-0000-0000-0000EA1C0000}"/>
    <cellStyle name="Normal 14 4 2 3 2" xfId="4098" xr:uid="{00000000-0005-0000-0000-0000EB1C0000}"/>
    <cellStyle name="Normal 14 4 2 4" xfId="4099" xr:uid="{00000000-0005-0000-0000-0000EC1C0000}"/>
    <cellStyle name="Normal 14 4 2 4 2" xfId="4100" xr:uid="{00000000-0005-0000-0000-0000ED1C0000}"/>
    <cellStyle name="Normal 14 4 2 5" xfId="4101" xr:uid="{00000000-0005-0000-0000-0000EE1C0000}"/>
    <cellStyle name="Normal 14 4 3" xfId="4102" xr:uid="{00000000-0005-0000-0000-0000EF1C0000}"/>
    <cellStyle name="Normal 14 4 3 2" xfId="4103" xr:uid="{00000000-0005-0000-0000-0000F01C0000}"/>
    <cellStyle name="Normal 14 4 3 2 2" xfId="4104" xr:uid="{00000000-0005-0000-0000-0000F11C0000}"/>
    <cellStyle name="Normal 14 4 3 3" xfId="4105" xr:uid="{00000000-0005-0000-0000-0000F21C0000}"/>
    <cellStyle name="Normal 14 4 3 3 2" xfId="4106" xr:uid="{00000000-0005-0000-0000-0000F31C0000}"/>
    <cellStyle name="Normal 14 4 3 4" xfId="4107" xr:uid="{00000000-0005-0000-0000-0000F41C0000}"/>
    <cellStyle name="Normal 14 4 4" xfId="4108" xr:uid="{00000000-0005-0000-0000-0000F51C0000}"/>
    <cellStyle name="Normal 14 4 4 2" xfId="4109" xr:uid="{00000000-0005-0000-0000-0000F61C0000}"/>
    <cellStyle name="Normal 14 4 5" xfId="4110" xr:uid="{00000000-0005-0000-0000-0000F71C0000}"/>
    <cellStyle name="Normal 14 4 5 2" xfId="4111" xr:uid="{00000000-0005-0000-0000-0000F81C0000}"/>
    <cellStyle name="Normal 14 4 6" xfId="4112" xr:uid="{00000000-0005-0000-0000-0000F91C0000}"/>
    <cellStyle name="Normal 14 5" xfId="4113" xr:uid="{00000000-0005-0000-0000-0000FA1C0000}"/>
    <cellStyle name="Normal 14 5 2" xfId="4114" xr:uid="{00000000-0005-0000-0000-0000FB1C0000}"/>
    <cellStyle name="Normal 14 5 2 2" xfId="4115" xr:uid="{00000000-0005-0000-0000-0000FC1C0000}"/>
    <cellStyle name="Normal 14 5 2 2 2" xfId="4116" xr:uid="{00000000-0005-0000-0000-0000FD1C0000}"/>
    <cellStyle name="Normal 14 5 2 3" xfId="4117" xr:uid="{00000000-0005-0000-0000-0000FE1C0000}"/>
    <cellStyle name="Normal 14 5 2 3 2" xfId="4118" xr:uid="{00000000-0005-0000-0000-0000FF1C0000}"/>
    <cellStyle name="Normal 14 5 2 4" xfId="4119" xr:uid="{00000000-0005-0000-0000-0000001D0000}"/>
    <cellStyle name="Normal 14 5 3" xfId="4120" xr:uid="{00000000-0005-0000-0000-0000011D0000}"/>
    <cellStyle name="Normal 14 5 3 2" xfId="4121" xr:uid="{00000000-0005-0000-0000-0000021D0000}"/>
    <cellStyle name="Normal 14 5 4" xfId="4122" xr:uid="{00000000-0005-0000-0000-0000031D0000}"/>
    <cellStyle name="Normal 14 5 4 2" xfId="4123" xr:uid="{00000000-0005-0000-0000-0000041D0000}"/>
    <cellStyle name="Normal 14 5 5" xfId="4124" xr:uid="{00000000-0005-0000-0000-0000051D0000}"/>
    <cellStyle name="Normal 14 6" xfId="4125" xr:uid="{00000000-0005-0000-0000-0000061D0000}"/>
    <cellStyle name="Normal 14 6 2" xfId="4126" xr:uid="{00000000-0005-0000-0000-0000071D0000}"/>
    <cellStyle name="Normal 14 6 2 2" xfId="4127" xr:uid="{00000000-0005-0000-0000-0000081D0000}"/>
    <cellStyle name="Normal 14 6 3" xfId="4128" xr:uid="{00000000-0005-0000-0000-0000091D0000}"/>
    <cellStyle name="Normal 14 6 3 2" xfId="4129" xr:uid="{00000000-0005-0000-0000-00000A1D0000}"/>
    <cellStyle name="Normal 14 6 4" xfId="4130" xr:uid="{00000000-0005-0000-0000-00000B1D0000}"/>
    <cellStyle name="Normal 14 7" xfId="4131" xr:uid="{00000000-0005-0000-0000-00000C1D0000}"/>
    <cellStyle name="Normal 14 7 2" xfId="4132" xr:uid="{00000000-0005-0000-0000-00000D1D0000}"/>
    <cellStyle name="Normal 14 8" xfId="4133" xr:uid="{00000000-0005-0000-0000-00000E1D0000}"/>
    <cellStyle name="Normal 14 8 2" xfId="4134" xr:uid="{00000000-0005-0000-0000-00000F1D0000}"/>
    <cellStyle name="Normal 14 9" xfId="4135" xr:uid="{00000000-0005-0000-0000-0000101D0000}"/>
    <cellStyle name="Normal 14_Recycling Tons" xfId="4136" xr:uid="{00000000-0005-0000-0000-0000111D0000}"/>
    <cellStyle name="Normal 140" xfId="12189" xr:uid="{B5DD86E4-DDE5-4F27-8F6E-5343CE86B48B}"/>
    <cellStyle name="Normal 141" xfId="12194" xr:uid="{CB2AAF1E-3B19-4A6A-8AD5-BA23AA06B4B4}"/>
    <cellStyle name="Normal 142" xfId="12196" xr:uid="{1CAED6A5-4F38-46F5-8426-BA1002898EED}"/>
    <cellStyle name="Normal 15" xfId="4137" xr:uid="{00000000-0005-0000-0000-0000121D0000}"/>
    <cellStyle name="Normal 15 2" xfId="4138" xr:uid="{00000000-0005-0000-0000-0000131D0000}"/>
    <cellStyle name="Normal 15 2 2" xfId="4139" xr:uid="{00000000-0005-0000-0000-0000141D0000}"/>
    <cellStyle name="Normal 15 2 2 2" xfId="4140" xr:uid="{00000000-0005-0000-0000-0000151D0000}"/>
    <cellStyle name="Normal 15 2 3" xfId="4141" xr:uid="{00000000-0005-0000-0000-0000161D0000}"/>
    <cellStyle name="Normal 15 3" xfId="4142" xr:uid="{00000000-0005-0000-0000-0000171D0000}"/>
    <cellStyle name="Normal 15 3 2" xfId="4143" xr:uid="{00000000-0005-0000-0000-0000181D0000}"/>
    <cellStyle name="Normal 15 3 3" xfId="4144" xr:uid="{00000000-0005-0000-0000-0000191D0000}"/>
    <cellStyle name="Normal 15 4" xfId="4145" xr:uid="{00000000-0005-0000-0000-00001A1D0000}"/>
    <cellStyle name="Normal 15 4 2" xfId="4146" xr:uid="{00000000-0005-0000-0000-00001B1D0000}"/>
    <cellStyle name="Normal 15 5" xfId="4147" xr:uid="{00000000-0005-0000-0000-00001C1D0000}"/>
    <cellStyle name="Normal 15_Recycling Tons" xfId="4148" xr:uid="{00000000-0005-0000-0000-00001D1D0000}"/>
    <cellStyle name="Normal 154" xfId="12186" xr:uid="{00000000-0005-0000-0000-00001E1D0000}"/>
    <cellStyle name="Normal 16" xfId="4149" xr:uid="{00000000-0005-0000-0000-00001F1D0000}"/>
    <cellStyle name="Normal 16 2" xfId="4150" xr:uid="{00000000-0005-0000-0000-0000201D0000}"/>
    <cellStyle name="Normal 16 2 2" xfId="4151" xr:uid="{00000000-0005-0000-0000-0000211D0000}"/>
    <cellStyle name="Normal 16 2 2 2" xfId="4152" xr:uid="{00000000-0005-0000-0000-0000221D0000}"/>
    <cellStyle name="Normal 16 2 3" xfId="4153" xr:uid="{00000000-0005-0000-0000-0000231D0000}"/>
    <cellStyle name="Normal 16 3" xfId="4154" xr:uid="{00000000-0005-0000-0000-0000241D0000}"/>
    <cellStyle name="Normal 16 3 2" xfId="4155" xr:uid="{00000000-0005-0000-0000-0000251D0000}"/>
    <cellStyle name="Normal 16 3 2 2" xfId="4156" xr:uid="{00000000-0005-0000-0000-0000261D0000}"/>
    <cellStyle name="Normal 16 3 2 2 2" xfId="4157" xr:uid="{00000000-0005-0000-0000-0000271D0000}"/>
    <cellStyle name="Normal 16 3 2 2 2 2" xfId="4158" xr:uid="{00000000-0005-0000-0000-0000281D0000}"/>
    <cellStyle name="Normal 16 3 2 2 2 2 2" xfId="4159" xr:uid="{00000000-0005-0000-0000-0000291D0000}"/>
    <cellStyle name="Normal 16 3 2 2 2 3" xfId="4160" xr:uid="{00000000-0005-0000-0000-00002A1D0000}"/>
    <cellStyle name="Normal 16 3 2 2 2 3 2" xfId="4161" xr:uid="{00000000-0005-0000-0000-00002B1D0000}"/>
    <cellStyle name="Normal 16 3 2 2 2 4" xfId="4162" xr:uid="{00000000-0005-0000-0000-00002C1D0000}"/>
    <cellStyle name="Normal 16 3 2 2 3" xfId="4163" xr:uid="{00000000-0005-0000-0000-00002D1D0000}"/>
    <cellStyle name="Normal 16 3 2 2 3 2" xfId="4164" xr:uid="{00000000-0005-0000-0000-00002E1D0000}"/>
    <cellStyle name="Normal 16 3 2 2 4" xfId="4165" xr:uid="{00000000-0005-0000-0000-00002F1D0000}"/>
    <cellStyle name="Normal 16 3 2 2 4 2" xfId="4166" xr:uid="{00000000-0005-0000-0000-0000301D0000}"/>
    <cellStyle name="Normal 16 3 2 2 5" xfId="4167" xr:uid="{00000000-0005-0000-0000-0000311D0000}"/>
    <cellStyle name="Normal 16 3 2 3" xfId="4168" xr:uid="{00000000-0005-0000-0000-0000321D0000}"/>
    <cellStyle name="Normal 16 3 2 3 2" xfId="4169" xr:uid="{00000000-0005-0000-0000-0000331D0000}"/>
    <cellStyle name="Normal 16 3 2 3 2 2" xfId="4170" xr:uid="{00000000-0005-0000-0000-0000341D0000}"/>
    <cellStyle name="Normal 16 3 2 3 3" xfId="4171" xr:uid="{00000000-0005-0000-0000-0000351D0000}"/>
    <cellStyle name="Normal 16 3 2 3 3 2" xfId="4172" xr:uid="{00000000-0005-0000-0000-0000361D0000}"/>
    <cellStyle name="Normal 16 3 2 3 4" xfId="4173" xr:uid="{00000000-0005-0000-0000-0000371D0000}"/>
    <cellStyle name="Normal 16 3 2 4" xfId="4174" xr:uid="{00000000-0005-0000-0000-0000381D0000}"/>
    <cellStyle name="Normal 16 3 2 4 2" xfId="4175" xr:uid="{00000000-0005-0000-0000-0000391D0000}"/>
    <cellStyle name="Normal 16 3 2 5" xfId="4176" xr:uid="{00000000-0005-0000-0000-00003A1D0000}"/>
    <cellStyle name="Normal 16 3 2 5 2" xfId="4177" xr:uid="{00000000-0005-0000-0000-00003B1D0000}"/>
    <cellStyle name="Normal 16 3 2 6" xfId="4178" xr:uid="{00000000-0005-0000-0000-00003C1D0000}"/>
    <cellStyle name="Normal 16 3 3" xfId="4179" xr:uid="{00000000-0005-0000-0000-00003D1D0000}"/>
    <cellStyle name="Normal 16 3 3 2" xfId="4180" xr:uid="{00000000-0005-0000-0000-00003E1D0000}"/>
    <cellStyle name="Normal 16 3 3 2 2" xfId="4181" xr:uid="{00000000-0005-0000-0000-00003F1D0000}"/>
    <cellStyle name="Normal 16 3 3 2 2 2" xfId="4182" xr:uid="{00000000-0005-0000-0000-0000401D0000}"/>
    <cellStyle name="Normal 16 3 3 2 3" xfId="4183" xr:uid="{00000000-0005-0000-0000-0000411D0000}"/>
    <cellStyle name="Normal 16 3 3 2 3 2" xfId="4184" xr:uid="{00000000-0005-0000-0000-0000421D0000}"/>
    <cellStyle name="Normal 16 3 3 2 4" xfId="4185" xr:uid="{00000000-0005-0000-0000-0000431D0000}"/>
    <cellStyle name="Normal 16 3 3 3" xfId="4186" xr:uid="{00000000-0005-0000-0000-0000441D0000}"/>
    <cellStyle name="Normal 16 3 3 3 2" xfId="4187" xr:uid="{00000000-0005-0000-0000-0000451D0000}"/>
    <cellStyle name="Normal 16 3 3 4" xfId="4188" xr:uid="{00000000-0005-0000-0000-0000461D0000}"/>
    <cellStyle name="Normal 16 3 3 4 2" xfId="4189" xr:uid="{00000000-0005-0000-0000-0000471D0000}"/>
    <cellStyle name="Normal 16 3 3 5" xfId="4190" xr:uid="{00000000-0005-0000-0000-0000481D0000}"/>
    <cellStyle name="Normal 16 3 4" xfId="4191" xr:uid="{00000000-0005-0000-0000-0000491D0000}"/>
    <cellStyle name="Normal 16 3 4 2" xfId="4192" xr:uid="{00000000-0005-0000-0000-00004A1D0000}"/>
    <cellStyle name="Normal 16 3 4 2 2" xfId="4193" xr:uid="{00000000-0005-0000-0000-00004B1D0000}"/>
    <cellStyle name="Normal 16 3 4 3" xfId="4194" xr:uid="{00000000-0005-0000-0000-00004C1D0000}"/>
    <cellStyle name="Normal 16 3 4 3 2" xfId="4195" xr:uid="{00000000-0005-0000-0000-00004D1D0000}"/>
    <cellStyle name="Normal 16 3 4 4" xfId="4196" xr:uid="{00000000-0005-0000-0000-00004E1D0000}"/>
    <cellStyle name="Normal 16 3 5" xfId="4197" xr:uid="{00000000-0005-0000-0000-00004F1D0000}"/>
    <cellStyle name="Normal 16 3 5 2" xfId="4198" xr:uid="{00000000-0005-0000-0000-0000501D0000}"/>
    <cellStyle name="Normal 16 3 6" xfId="4199" xr:uid="{00000000-0005-0000-0000-0000511D0000}"/>
    <cellStyle name="Normal 16 3 6 2" xfId="4200" xr:uid="{00000000-0005-0000-0000-0000521D0000}"/>
    <cellStyle name="Normal 16 3 7" xfId="4201" xr:uid="{00000000-0005-0000-0000-0000531D0000}"/>
    <cellStyle name="Normal 16 3 8" xfId="4202" xr:uid="{00000000-0005-0000-0000-0000541D0000}"/>
    <cellStyle name="Normal 16 4" xfId="4203" xr:uid="{00000000-0005-0000-0000-0000551D0000}"/>
    <cellStyle name="Normal 16 4 2" xfId="4204" xr:uid="{00000000-0005-0000-0000-0000561D0000}"/>
    <cellStyle name="Normal 16 4 2 2" xfId="4205" xr:uid="{00000000-0005-0000-0000-0000571D0000}"/>
    <cellStyle name="Normal 16 4 2 2 2" xfId="4206" xr:uid="{00000000-0005-0000-0000-0000581D0000}"/>
    <cellStyle name="Normal 16 4 2 2 2 2" xfId="4207" xr:uid="{00000000-0005-0000-0000-0000591D0000}"/>
    <cellStyle name="Normal 16 4 2 2 3" xfId="4208" xr:uid="{00000000-0005-0000-0000-00005A1D0000}"/>
    <cellStyle name="Normal 16 4 2 2 3 2" xfId="4209" xr:uid="{00000000-0005-0000-0000-00005B1D0000}"/>
    <cellStyle name="Normal 16 4 2 2 4" xfId="4210" xr:uid="{00000000-0005-0000-0000-00005C1D0000}"/>
    <cellStyle name="Normal 16 4 2 3" xfId="4211" xr:uid="{00000000-0005-0000-0000-00005D1D0000}"/>
    <cellStyle name="Normal 16 4 2 3 2" xfId="4212" xr:uid="{00000000-0005-0000-0000-00005E1D0000}"/>
    <cellStyle name="Normal 16 4 2 4" xfId="4213" xr:uid="{00000000-0005-0000-0000-00005F1D0000}"/>
    <cellStyle name="Normal 16 4 2 4 2" xfId="4214" xr:uid="{00000000-0005-0000-0000-0000601D0000}"/>
    <cellStyle name="Normal 16 4 2 5" xfId="4215" xr:uid="{00000000-0005-0000-0000-0000611D0000}"/>
    <cellStyle name="Normal 16 4 3" xfId="4216" xr:uid="{00000000-0005-0000-0000-0000621D0000}"/>
    <cellStyle name="Normal 16 4 3 2" xfId="4217" xr:uid="{00000000-0005-0000-0000-0000631D0000}"/>
    <cellStyle name="Normal 16 4 3 2 2" xfId="4218" xr:uid="{00000000-0005-0000-0000-0000641D0000}"/>
    <cellStyle name="Normal 16 4 3 3" xfId="4219" xr:uid="{00000000-0005-0000-0000-0000651D0000}"/>
    <cellStyle name="Normal 16 4 3 3 2" xfId="4220" xr:uid="{00000000-0005-0000-0000-0000661D0000}"/>
    <cellStyle name="Normal 16 4 3 4" xfId="4221" xr:uid="{00000000-0005-0000-0000-0000671D0000}"/>
    <cellStyle name="Normal 16 4 4" xfId="4222" xr:uid="{00000000-0005-0000-0000-0000681D0000}"/>
    <cellStyle name="Normal 16 4 4 2" xfId="4223" xr:uid="{00000000-0005-0000-0000-0000691D0000}"/>
    <cellStyle name="Normal 16 4 5" xfId="4224" xr:uid="{00000000-0005-0000-0000-00006A1D0000}"/>
    <cellStyle name="Normal 16 4 5 2" xfId="4225" xr:uid="{00000000-0005-0000-0000-00006B1D0000}"/>
    <cellStyle name="Normal 16 4 6" xfId="4226" xr:uid="{00000000-0005-0000-0000-00006C1D0000}"/>
    <cellStyle name="Normal 16 5" xfId="4227" xr:uid="{00000000-0005-0000-0000-00006D1D0000}"/>
    <cellStyle name="Normal 16 5 2" xfId="4228" xr:uid="{00000000-0005-0000-0000-00006E1D0000}"/>
    <cellStyle name="Normal 16 5 2 2" xfId="4229" xr:uid="{00000000-0005-0000-0000-00006F1D0000}"/>
    <cellStyle name="Normal 16 5 2 2 2" xfId="4230" xr:uid="{00000000-0005-0000-0000-0000701D0000}"/>
    <cellStyle name="Normal 16 5 2 3" xfId="4231" xr:uid="{00000000-0005-0000-0000-0000711D0000}"/>
    <cellStyle name="Normal 16 5 2 3 2" xfId="4232" xr:uid="{00000000-0005-0000-0000-0000721D0000}"/>
    <cellStyle name="Normal 16 5 2 4" xfId="4233" xr:uid="{00000000-0005-0000-0000-0000731D0000}"/>
    <cellStyle name="Normal 16 5 3" xfId="4234" xr:uid="{00000000-0005-0000-0000-0000741D0000}"/>
    <cellStyle name="Normal 16 5 3 2" xfId="4235" xr:uid="{00000000-0005-0000-0000-0000751D0000}"/>
    <cellStyle name="Normal 16 5 4" xfId="4236" xr:uid="{00000000-0005-0000-0000-0000761D0000}"/>
    <cellStyle name="Normal 16 5 4 2" xfId="4237" xr:uid="{00000000-0005-0000-0000-0000771D0000}"/>
    <cellStyle name="Normal 16 5 5" xfId="4238" xr:uid="{00000000-0005-0000-0000-0000781D0000}"/>
    <cellStyle name="Normal 16 6" xfId="4239" xr:uid="{00000000-0005-0000-0000-0000791D0000}"/>
    <cellStyle name="Normal 16 6 2" xfId="4240" xr:uid="{00000000-0005-0000-0000-00007A1D0000}"/>
    <cellStyle name="Normal 16 6 2 2" xfId="4241" xr:uid="{00000000-0005-0000-0000-00007B1D0000}"/>
    <cellStyle name="Normal 16 6 3" xfId="4242" xr:uid="{00000000-0005-0000-0000-00007C1D0000}"/>
    <cellStyle name="Normal 16 6 3 2" xfId="4243" xr:uid="{00000000-0005-0000-0000-00007D1D0000}"/>
    <cellStyle name="Normal 16 6 4" xfId="4244" xr:uid="{00000000-0005-0000-0000-00007E1D0000}"/>
    <cellStyle name="Normal 16 7" xfId="4245" xr:uid="{00000000-0005-0000-0000-00007F1D0000}"/>
    <cellStyle name="Normal 16 7 2" xfId="4246" xr:uid="{00000000-0005-0000-0000-0000801D0000}"/>
    <cellStyle name="Normal 16 8" xfId="4247" xr:uid="{00000000-0005-0000-0000-0000811D0000}"/>
    <cellStyle name="Normal 16 8 2" xfId="4248" xr:uid="{00000000-0005-0000-0000-0000821D0000}"/>
    <cellStyle name="Normal 16 9" xfId="4249" xr:uid="{00000000-0005-0000-0000-0000831D0000}"/>
    <cellStyle name="Normal 17" xfId="4250" xr:uid="{00000000-0005-0000-0000-0000841D0000}"/>
    <cellStyle name="Normal 17 2" xfId="4251" xr:uid="{00000000-0005-0000-0000-0000851D0000}"/>
    <cellStyle name="Normal 17 2 2" xfId="4252" xr:uid="{00000000-0005-0000-0000-0000861D0000}"/>
    <cellStyle name="Normal 17 2 2 2" xfId="4253" xr:uid="{00000000-0005-0000-0000-0000871D0000}"/>
    <cellStyle name="Normal 17 2 3" xfId="4254" xr:uid="{00000000-0005-0000-0000-0000881D0000}"/>
    <cellStyle name="Normal 17 3" xfId="4255" xr:uid="{00000000-0005-0000-0000-0000891D0000}"/>
    <cellStyle name="Normal 17 3 2" xfId="4256" xr:uid="{00000000-0005-0000-0000-00008A1D0000}"/>
    <cellStyle name="Normal 17 3 3" xfId="4257" xr:uid="{00000000-0005-0000-0000-00008B1D0000}"/>
    <cellStyle name="Normal 17 4" xfId="4258" xr:uid="{00000000-0005-0000-0000-00008C1D0000}"/>
    <cellStyle name="Normal 18" xfId="4259" xr:uid="{00000000-0005-0000-0000-00008D1D0000}"/>
    <cellStyle name="Normal 18 10" xfId="4260" xr:uid="{00000000-0005-0000-0000-00008E1D0000}"/>
    <cellStyle name="Normal 18 2" xfId="4261" xr:uid="{00000000-0005-0000-0000-00008F1D0000}"/>
    <cellStyle name="Normal 18 2 2" xfId="4262" xr:uid="{00000000-0005-0000-0000-0000901D0000}"/>
    <cellStyle name="Normal 18 2 2 2" xfId="4263" xr:uid="{00000000-0005-0000-0000-0000911D0000}"/>
    <cellStyle name="Normal 18 2 2 2 2" xfId="4264" xr:uid="{00000000-0005-0000-0000-0000921D0000}"/>
    <cellStyle name="Normal 18 2 2 2 2 2" xfId="4265" xr:uid="{00000000-0005-0000-0000-0000931D0000}"/>
    <cellStyle name="Normal 18 2 2 2 2 2 2" xfId="4266" xr:uid="{00000000-0005-0000-0000-0000941D0000}"/>
    <cellStyle name="Normal 18 2 2 2 2 3" xfId="4267" xr:uid="{00000000-0005-0000-0000-0000951D0000}"/>
    <cellStyle name="Normal 18 2 2 2 2 3 2" xfId="4268" xr:uid="{00000000-0005-0000-0000-0000961D0000}"/>
    <cellStyle name="Normal 18 2 2 2 2 4" xfId="4269" xr:uid="{00000000-0005-0000-0000-0000971D0000}"/>
    <cellStyle name="Normal 18 2 2 2 3" xfId="4270" xr:uid="{00000000-0005-0000-0000-0000981D0000}"/>
    <cellStyle name="Normal 18 2 2 2 3 2" xfId="4271" xr:uid="{00000000-0005-0000-0000-0000991D0000}"/>
    <cellStyle name="Normal 18 2 2 2 4" xfId="4272" xr:uid="{00000000-0005-0000-0000-00009A1D0000}"/>
    <cellStyle name="Normal 18 2 2 2 4 2" xfId="4273" xr:uid="{00000000-0005-0000-0000-00009B1D0000}"/>
    <cellStyle name="Normal 18 2 2 2 5" xfId="4274" xr:uid="{00000000-0005-0000-0000-00009C1D0000}"/>
    <cellStyle name="Normal 18 2 2 3" xfId="4275" xr:uid="{00000000-0005-0000-0000-00009D1D0000}"/>
    <cellStyle name="Normal 18 2 2 3 2" xfId="4276" xr:uid="{00000000-0005-0000-0000-00009E1D0000}"/>
    <cellStyle name="Normal 18 2 2 3 2 2" xfId="4277" xr:uid="{00000000-0005-0000-0000-00009F1D0000}"/>
    <cellStyle name="Normal 18 2 2 3 3" xfId="4278" xr:uid="{00000000-0005-0000-0000-0000A01D0000}"/>
    <cellStyle name="Normal 18 2 2 3 3 2" xfId="4279" xr:uid="{00000000-0005-0000-0000-0000A11D0000}"/>
    <cellStyle name="Normal 18 2 2 3 4" xfId="4280" xr:uid="{00000000-0005-0000-0000-0000A21D0000}"/>
    <cellStyle name="Normal 18 2 2 4" xfId="4281" xr:uid="{00000000-0005-0000-0000-0000A31D0000}"/>
    <cellStyle name="Normal 18 2 2 4 2" xfId="4282" xr:uid="{00000000-0005-0000-0000-0000A41D0000}"/>
    <cellStyle name="Normal 18 2 2 5" xfId="4283" xr:uid="{00000000-0005-0000-0000-0000A51D0000}"/>
    <cellStyle name="Normal 18 2 2 5 2" xfId="4284" xr:uid="{00000000-0005-0000-0000-0000A61D0000}"/>
    <cellStyle name="Normal 18 2 2 6" xfId="4285" xr:uid="{00000000-0005-0000-0000-0000A71D0000}"/>
    <cellStyle name="Normal 18 2 3" xfId="4286" xr:uid="{00000000-0005-0000-0000-0000A81D0000}"/>
    <cellStyle name="Normal 18 2 3 2" xfId="4287" xr:uid="{00000000-0005-0000-0000-0000A91D0000}"/>
    <cellStyle name="Normal 18 2 3 2 2" xfId="4288" xr:uid="{00000000-0005-0000-0000-0000AA1D0000}"/>
    <cellStyle name="Normal 18 2 3 2 2 2" xfId="4289" xr:uid="{00000000-0005-0000-0000-0000AB1D0000}"/>
    <cellStyle name="Normal 18 2 3 2 3" xfId="4290" xr:uid="{00000000-0005-0000-0000-0000AC1D0000}"/>
    <cellStyle name="Normal 18 2 3 2 3 2" xfId="4291" xr:uid="{00000000-0005-0000-0000-0000AD1D0000}"/>
    <cellStyle name="Normal 18 2 3 2 4" xfId="4292" xr:uid="{00000000-0005-0000-0000-0000AE1D0000}"/>
    <cellStyle name="Normal 18 2 3 3" xfId="4293" xr:uid="{00000000-0005-0000-0000-0000AF1D0000}"/>
    <cellStyle name="Normal 18 2 3 3 2" xfId="4294" xr:uid="{00000000-0005-0000-0000-0000B01D0000}"/>
    <cellStyle name="Normal 18 2 3 4" xfId="4295" xr:uid="{00000000-0005-0000-0000-0000B11D0000}"/>
    <cellStyle name="Normal 18 2 3 4 2" xfId="4296" xr:uid="{00000000-0005-0000-0000-0000B21D0000}"/>
    <cellStyle name="Normal 18 2 3 5" xfId="4297" xr:uid="{00000000-0005-0000-0000-0000B31D0000}"/>
    <cellStyle name="Normal 18 2 4" xfId="4298" xr:uid="{00000000-0005-0000-0000-0000B41D0000}"/>
    <cellStyle name="Normal 18 2 4 2" xfId="4299" xr:uid="{00000000-0005-0000-0000-0000B51D0000}"/>
    <cellStyle name="Normal 18 2 4 2 2" xfId="4300" xr:uid="{00000000-0005-0000-0000-0000B61D0000}"/>
    <cellStyle name="Normal 18 2 4 3" xfId="4301" xr:uid="{00000000-0005-0000-0000-0000B71D0000}"/>
    <cellStyle name="Normal 18 2 4 3 2" xfId="4302" xr:uid="{00000000-0005-0000-0000-0000B81D0000}"/>
    <cellStyle name="Normal 18 2 4 4" xfId="4303" xr:uid="{00000000-0005-0000-0000-0000B91D0000}"/>
    <cellStyle name="Normal 18 2 5" xfId="4304" xr:uid="{00000000-0005-0000-0000-0000BA1D0000}"/>
    <cellStyle name="Normal 18 2 5 2" xfId="4305" xr:uid="{00000000-0005-0000-0000-0000BB1D0000}"/>
    <cellStyle name="Normal 18 2 6" xfId="4306" xr:uid="{00000000-0005-0000-0000-0000BC1D0000}"/>
    <cellStyle name="Normal 18 2 6 2" xfId="4307" xr:uid="{00000000-0005-0000-0000-0000BD1D0000}"/>
    <cellStyle name="Normal 18 2 7" xfId="4308" xr:uid="{00000000-0005-0000-0000-0000BE1D0000}"/>
    <cellStyle name="Normal 18 3" xfId="4309" xr:uid="{00000000-0005-0000-0000-0000BF1D0000}"/>
    <cellStyle name="Normal 18 3 2" xfId="4310" xr:uid="{00000000-0005-0000-0000-0000C01D0000}"/>
    <cellStyle name="Normal 18 3 2 2" xfId="4311" xr:uid="{00000000-0005-0000-0000-0000C11D0000}"/>
    <cellStyle name="Normal 18 3 2 2 2" xfId="4312" xr:uid="{00000000-0005-0000-0000-0000C21D0000}"/>
    <cellStyle name="Normal 18 3 2 2 2 2" xfId="4313" xr:uid="{00000000-0005-0000-0000-0000C31D0000}"/>
    <cellStyle name="Normal 18 3 2 2 2 2 2" xfId="4314" xr:uid="{00000000-0005-0000-0000-0000C41D0000}"/>
    <cellStyle name="Normal 18 3 2 2 2 3" xfId="4315" xr:uid="{00000000-0005-0000-0000-0000C51D0000}"/>
    <cellStyle name="Normal 18 3 2 2 2 3 2" xfId="4316" xr:uid="{00000000-0005-0000-0000-0000C61D0000}"/>
    <cellStyle name="Normal 18 3 2 2 2 4" xfId="4317" xr:uid="{00000000-0005-0000-0000-0000C71D0000}"/>
    <cellStyle name="Normal 18 3 2 2 3" xfId="4318" xr:uid="{00000000-0005-0000-0000-0000C81D0000}"/>
    <cellStyle name="Normal 18 3 2 2 3 2" xfId="4319" xr:uid="{00000000-0005-0000-0000-0000C91D0000}"/>
    <cellStyle name="Normal 18 3 2 2 4" xfId="4320" xr:uid="{00000000-0005-0000-0000-0000CA1D0000}"/>
    <cellStyle name="Normal 18 3 2 2 4 2" xfId="4321" xr:uid="{00000000-0005-0000-0000-0000CB1D0000}"/>
    <cellStyle name="Normal 18 3 2 2 5" xfId="4322" xr:uid="{00000000-0005-0000-0000-0000CC1D0000}"/>
    <cellStyle name="Normal 18 3 2 3" xfId="4323" xr:uid="{00000000-0005-0000-0000-0000CD1D0000}"/>
    <cellStyle name="Normal 18 3 2 3 2" xfId="4324" xr:uid="{00000000-0005-0000-0000-0000CE1D0000}"/>
    <cellStyle name="Normal 18 3 2 3 2 2" xfId="4325" xr:uid="{00000000-0005-0000-0000-0000CF1D0000}"/>
    <cellStyle name="Normal 18 3 2 3 3" xfId="4326" xr:uid="{00000000-0005-0000-0000-0000D01D0000}"/>
    <cellStyle name="Normal 18 3 2 3 3 2" xfId="4327" xr:uid="{00000000-0005-0000-0000-0000D11D0000}"/>
    <cellStyle name="Normal 18 3 2 3 4" xfId="4328" xr:uid="{00000000-0005-0000-0000-0000D21D0000}"/>
    <cellStyle name="Normal 18 3 2 4" xfId="4329" xr:uid="{00000000-0005-0000-0000-0000D31D0000}"/>
    <cellStyle name="Normal 18 3 2 4 2" xfId="4330" xr:uid="{00000000-0005-0000-0000-0000D41D0000}"/>
    <cellStyle name="Normal 18 3 2 5" xfId="4331" xr:uid="{00000000-0005-0000-0000-0000D51D0000}"/>
    <cellStyle name="Normal 18 3 2 5 2" xfId="4332" xr:uid="{00000000-0005-0000-0000-0000D61D0000}"/>
    <cellStyle name="Normal 18 3 2 6" xfId="4333" xr:uid="{00000000-0005-0000-0000-0000D71D0000}"/>
    <cellStyle name="Normal 18 3 3" xfId="4334" xr:uid="{00000000-0005-0000-0000-0000D81D0000}"/>
    <cellStyle name="Normal 18 3 3 2" xfId="4335" xr:uid="{00000000-0005-0000-0000-0000D91D0000}"/>
    <cellStyle name="Normal 18 3 3 2 2" xfId="4336" xr:uid="{00000000-0005-0000-0000-0000DA1D0000}"/>
    <cellStyle name="Normal 18 3 3 2 2 2" xfId="4337" xr:uid="{00000000-0005-0000-0000-0000DB1D0000}"/>
    <cellStyle name="Normal 18 3 3 2 3" xfId="4338" xr:uid="{00000000-0005-0000-0000-0000DC1D0000}"/>
    <cellStyle name="Normal 18 3 3 2 3 2" xfId="4339" xr:uid="{00000000-0005-0000-0000-0000DD1D0000}"/>
    <cellStyle name="Normal 18 3 3 2 4" xfId="4340" xr:uid="{00000000-0005-0000-0000-0000DE1D0000}"/>
    <cellStyle name="Normal 18 3 3 3" xfId="4341" xr:uid="{00000000-0005-0000-0000-0000DF1D0000}"/>
    <cellStyle name="Normal 18 3 3 3 2" xfId="4342" xr:uid="{00000000-0005-0000-0000-0000E01D0000}"/>
    <cellStyle name="Normal 18 3 3 4" xfId="4343" xr:uid="{00000000-0005-0000-0000-0000E11D0000}"/>
    <cellStyle name="Normal 18 3 3 4 2" xfId="4344" xr:uid="{00000000-0005-0000-0000-0000E21D0000}"/>
    <cellStyle name="Normal 18 3 3 5" xfId="4345" xr:uid="{00000000-0005-0000-0000-0000E31D0000}"/>
    <cellStyle name="Normal 18 3 4" xfId="4346" xr:uid="{00000000-0005-0000-0000-0000E41D0000}"/>
    <cellStyle name="Normal 18 3 4 2" xfId="4347" xr:uid="{00000000-0005-0000-0000-0000E51D0000}"/>
    <cellStyle name="Normal 18 3 4 2 2" xfId="4348" xr:uid="{00000000-0005-0000-0000-0000E61D0000}"/>
    <cellStyle name="Normal 18 3 4 3" xfId="4349" xr:uid="{00000000-0005-0000-0000-0000E71D0000}"/>
    <cellStyle name="Normal 18 3 4 3 2" xfId="4350" xr:uid="{00000000-0005-0000-0000-0000E81D0000}"/>
    <cellStyle name="Normal 18 3 4 4" xfId="4351" xr:uid="{00000000-0005-0000-0000-0000E91D0000}"/>
    <cellStyle name="Normal 18 3 5" xfId="4352" xr:uid="{00000000-0005-0000-0000-0000EA1D0000}"/>
    <cellStyle name="Normal 18 3 5 2" xfId="4353" xr:uid="{00000000-0005-0000-0000-0000EB1D0000}"/>
    <cellStyle name="Normal 18 3 6" xfId="4354" xr:uid="{00000000-0005-0000-0000-0000EC1D0000}"/>
    <cellStyle name="Normal 18 3 6 2" xfId="4355" xr:uid="{00000000-0005-0000-0000-0000ED1D0000}"/>
    <cellStyle name="Normal 18 3 7" xfId="4356" xr:uid="{00000000-0005-0000-0000-0000EE1D0000}"/>
    <cellStyle name="Normal 18 3 8" xfId="4357" xr:uid="{00000000-0005-0000-0000-0000EF1D0000}"/>
    <cellStyle name="Normal 18 4" xfId="4358" xr:uid="{00000000-0005-0000-0000-0000F01D0000}"/>
    <cellStyle name="Normal 18 4 2" xfId="4359" xr:uid="{00000000-0005-0000-0000-0000F11D0000}"/>
    <cellStyle name="Normal 18 5" xfId="4360" xr:uid="{00000000-0005-0000-0000-0000F21D0000}"/>
    <cellStyle name="Normal 18 5 2" xfId="4361" xr:uid="{00000000-0005-0000-0000-0000F31D0000}"/>
    <cellStyle name="Normal 18 5 2 2" xfId="4362" xr:uid="{00000000-0005-0000-0000-0000F41D0000}"/>
    <cellStyle name="Normal 18 5 2 2 2" xfId="4363" xr:uid="{00000000-0005-0000-0000-0000F51D0000}"/>
    <cellStyle name="Normal 18 5 2 2 2 2" xfId="4364" xr:uid="{00000000-0005-0000-0000-0000F61D0000}"/>
    <cellStyle name="Normal 18 5 2 2 3" xfId="4365" xr:uid="{00000000-0005-0000-0000-0000F71D0000}"/>
    <cellStyle name="Normal 18 5 2 2 3 2" xfId="4366" xr:uid="{00000000-0005-0000-0000-0000F81D0000}"/>
    <cellStyle name="Normal 18 5 2 2 4" xfId="4367" xr:uid="{00000000-0005-0000-0000-0000F91D0000}"/>
    <cellStyle name="Normal 18 5 2 3" xfId="4368" xr:uid="{00000000-0005-0000-0000-0000FA1D0000}"/>
    <cellStyle name="Normal 18 5 2 3 2" xfId="4369" xr:uid="{00000000-0005-0000-0000-0000FB1D0000}"/>
    <cellStyle name="Normal 18 5 2 4" xfId="4370" xr:uid="{00000000-0005-0000-0000-0000FC1D0000}"/>
    <cellStyle name="Normal 18 5 2 4 2" xfId="4371" xr:uid="{00000000-0005-0000-0000-0000FD1D0000}"/>
    <cellStyle name="Normal 18 5 2 5" xfId="4372" xr:uid="{00000000-0005-0000-0000-0000FE1D0000}"/>
    <cellStyle name="Normal 18 5 3" xfId="4373" xr:uid="{00000000-0005-0000-0000-0000FF1D0000}"/>
    <cellStyle name="Normal 18 5 3 2" xfId="4374" xr:uid="{00000000-0005-0000-0000-0000001E0000}"/>
    <cellStyle name="Normal 18 5 3 2 2" xfId="4375" xr:uid="{00000000-0005-0000-0000-0000011E0000}"/>
    <cellStyle name="Normal 18 5 3 3" xfId="4376" xr:uid="{00000000-0005-0000-0000-0000021E0000}"/>
    <cellStyle name="Normal 18 5 3 3 2" xfId="4377" xr:uid="{00000000-0005-0000-0000-0000031E0000}"/>
    <cellStyle name="Normal 18 5 3 4" xfId="4378" xr:uid="{00000000-0005-0000-0000-0000041E0000}"/>
    <cellStyle name="Normal 18 5 4" xfId="4379" xr:uid="{00000000-0005-0000-0000-0000051E0000}"/>
    <cellStyle name="Normal 18 5 4 2" xfId="4380" xr:uid="{00000000-0005-0000-0000-0000061E0000}"/>
    <cellStyle name="Normal 18 5 5" xfId="4381" xr:uid="{00000000-0005-0000-0000-0000071E0000}"/>
    <cellStyle name="Normal 18 5 5 2" xfId="4382" xr:uid="{00000000-0005-0000-0000-0000081E0000}"/>
    <cellStyle name="Normal 18 5 6" xfId="4383" xr:uid="{00000000-0005-0000-0000-0000091E0000}"/>
    <cellStyle name="Normal 18 6" xfId="4384" xr:uid="{00000000-0005-0000-0000-00000A1E0000}"/>
    <cellStyle name="Normal 18 6 2" xfId="4385" xr:uid="{00000000-0005-0000-0000-00000B1E0000}"/>
    <cellStyle name="Normal 18 6 2 2" xfId="4386" xr:uid="{00000000-0005-0000-0000-00000C1E0000}"/>
    <cellStyle name="Normal 18 6 2 2 2" xfId="4387" xr:uid="{00000000-0005-0000-0000-00000D1E0000}"/>
    <cellStyle name="Normal 18 6 2 3" xfId="4388" xr:uid="{00000000-0005-0000-0000-00000E1E0000}"/>
    <cellStyle name="Normal 18 6 2 3 2" xfId="4389" xr:uid="{00000000-0005-0000-0000-00000F1E0000}"/>
    <cellStyle name="Normal 18 6 2 4" xfId="4390" xr:uid="{00000000-0005-0000-0000-0000101E0000}"/>
    <cellStyle name="Normal 18 6 3" xfId="4391" xr:uid="{00000000-0005-0000-0000-0000111E0000}"/>
    <cellStyle name="Normal 18 6 3 2" xfId="4392" xr:uid="{00000000-0005-0000-0000-0000121E0000}"/>
    <cellStyle name="Normal 18 6 4" xfId="4393" xr:uid="{00000000-0005-0000-0000-0000131E0000}"/>
    <cellStyle name="Normal 18 6 4 2" xfId="4394" xr:uid="{00000000-0005-0000-0000-0000141E0000}"/>
    <cellStyle name="Normal 18 6 5" xfId="4395" xr:uid="{00000000-0005-0000-0000-0000151E0000}"/>
    <cellStyle name="Normal 18 7" xfId="4396" xr:uid="{00000000-0005-0000-0000-0000161E0000}"/>
    <cellStyle name="Normal 18 7 2" xfId="4397" xr:uid="{00000000-0005-0000-0000-0000171E0000}"/>
    <cellStyle name="Normal 18 7 2 2" xfId="4398" xr:uid="{00000000-0005-0000-0000-0000181E0000}"/>
    <cellStyle name="Normal 18 7 3" xfId="4399" xr:uid="{00000000-0005-0000-0000-0000191E0000}"/>
    <cellStyle name="Normal 18 7 3 2" xfId="4400" xr:uid="{00000000-0005-0000-0000-00001A1E0000}"/>
    <cellStyle name="Normal 18 7 4" xfId="4401" xr:uid="{00000000-0005-0000-0000-00001B1E0000}"/>
    <cellStyle name="Normal 18 8" xfId="4402" xr:uid="{00000000-0005-0000-0000-00001C1E0000}"/>
    <cellStyle name="Normal 18 8 2" xfId="4403" xr:uid="{00000000-0005-0000-0000-00001D1E0000}"/>
    <cellStyle name="Normal 18 9" xfId="4404" xr:uid="{00000000-0005-0000-0000-00001E1E0000}"/>
    <cellStyle name="Normal 18 9 2" xfId="4405" xr:uid="{00000000-0005-0000-0000-00001F1E0000}"/>
    <cellStyle name="Normal 19" xfId="4406" xr:uid="{00000000-0005-0000-0000-0000201E0000}"/>
    <cellStyle name="Normal 19 2" xfId="4407" xr:uid="{00000000-0005-0000-0000-0000211E0000}"/>
    <cellStyle name="Normal 19 2 2" xfId="4408" xr:uid="{00000000-0005-0000-0000-0000221E0000}"/>
    <cellStyle name="Normal 19 2 3" xfId="4409" xr:uid="{00000000-0005-0000-0000-0000231E0000}"/>
    <cellStyle name="Normal 19 3" xfId="4410" xr:uid="{00000000-0005-0000-0000-0000241E0000}"/>
    <cellStyle name="Normal 19 3 2" xfId="4411" xr:uid="{00000000-0005-0000-0000-0000251E0000}"/>
    <cellStyle name="Normal 19 3 3" xfId="4412" xr:uid="{00000000-0005-0000-0000-0000261E0000}"/>
    <cellStyle name="Normal 19 4" xfId="4413" xr:uid="{00000000-0005-0000-0000-0000271E0000}"/>
    <cellStyle name="Normal 19 5" xfId="4414" xr:uid="{00000000-0005-0000-0000-0000281E0000}"/>
    <cellStyle name="Normal 19 6" xfId="4415" xr:uid="{00000000-0005-0000-0000-0000291E0000}"/>
    <cellStyle name="Normal 2" xfId="4416" xr:uid="{00000000-0005-0000-0000-00002A1E0000}"/>
    <cellStyle name="Normal 2 10" xfId="4417" xr:uid="{00000000-0005-0000-0000-00002B1E0000}"/>
    <cellStyle name="Normal 2 10 2" xfId="4418" xr:uid="{00000000-0005-0000-0000-00002C1E0000}"/>
    <cellStyle name="Normal 2 10 2 2" xfId="4419" xr:uid="{00000000-0005-0000-0000-00002D1E0000}"/>
    <cellStyle name="Normal 2 10 3" xfId="4420" xr:uid="{00000000-0005-0000-0000-00002E1E0000}"/>
    <cellStyle name="Normal 2 10 4" xfId="4421" xr:uid="{00000000-0005-0000-0000-00002F1E0000}"/>
    <cellStyle name="Normal 2 10 5" xfId="4422" xr:uid="{00000000-0005-0000-0000-0000301E0000}"/>
    <cellStyle name="Normal 2 11" xfId="4423" xr:uid="{00000000-0005-0000-0000-0000311E0000}"/>
    <cellStyle name="Normal 2 11 2" xfId="4424" xr:uid="{00000000-0005-0000-0000-0000321E0000}"/>
    <cellStyle name="Normal 2 11 3" xfId="4425" xr:uid="{00000000-0005-0000-0000-0000331E0000}"/>
    <cellStyle name="Normal 2 12" xfId="4426" xr:uid="{00000000-0005-0000-0000-0000341E0000}"/>
    <cellStyle name="Normal 2 12 2" xfId="4427" xr:uid="{00000000-0005-0000-0000-0000351E0000}"/>
    <cellStyle name="Normal 2 13" xfId="4428" xr:uid="{00000000-0005-0000-0000-0000361E0000}"/>
    <cellStyle name="Normal 2 14" xfId="4429" xr:uid="{00000000-0005-0000-0000-0000371E0000}"/>
    <cellStyle name="Normal 2 15" xfId="4430" xr:uid="{00000000-0005-0000-0000-0000381E0000}"/>
    <cellStyle name="Normal 2 16" xfId="4431" xr:uid="{00000000-0005-0000-0000-0000391E0000}"/>
    <cellStyle name="Normal 2 17" xfId="4432" xr:uid="{00000000-0005-0000-0000-00003A1E0000}"/>
    <cellStyle name="Normal 2 18" xfId="12174" xr:uid="{00000000-0005-0000-0000-00003B1E0000}"/>
    <cellStyle name="Normal 2 2" xfId="4433" xr:uid="{00000000-0005-0000-0000-00003C1E0000}"/>
    <cellStyle name="Normal 2 2 10" xfId="4434" xr:uid="{00000000-0005-0000-0000-00003D1E0000}"/>
    <cellStyle name="Normal 2 2 11" xfId="4435" xr:uid="{00000000-0005-0000-0000-00003E1E0000}"/>
    <cellStyle name="Normal 2 2 2" xfId="4436" xr:uid="{00000000-0005-0000-0000-00003F1E0000}"/>
    <cellStyle name="Normal 2 2 2 2" xfId="4437" xr:uid="{00000000-0005-0000-0000-0000401E0000}"/>
    <cellStyle name="Normal 2 2 2 2 2" xfId="4438" xr:uid="{00000000-0005-0000-0000-0000411E0000}"/>
    <cellStyle name="Normal 2 2 2 2 2 2" xfId="4439" xr:uid="{00000000-0005-0000-0000-0000421E0000}"/>
    <cellStyle name="Normal 2 2 2 2 2 2 2" xfId="4440" xr:uid="{00000000-0005-0000-0000-0000431E0000}"/>
    <cellStyle name="Normal 2 2 2 2 2 2 3" xfId="4441" xr:uid="{00000000-0005-0000-0000-0000441E0000}"/>
    <cellStyle name="Normal 2 2 2 2 2 3" xfId="4442" xr:uid="{00000000-0005-0000-0000-0000451E0000}"/>
    <cellStyle name="Normal 2 2 2 2 2 3 2" xfId="4443" xr:uid="{00000000-0005-0000-0000-0000461E0000}"/>
    <cellStyle name="Normal 2 2 2 2 2 3 3" xfId="4444" xr:uid="{00000000-0005-0000-0000-0000471E0000}"/>
    <cellStyle name="Normal 2 2 2 2 2 4" xfId="4445" xr:uid="{00000000-0005-0000-0000-0000481E0000}"/>
    <cellStyle name="Normal 2 2 2 2 2 5" xfId="4446" xr:uid="{00000000-0005-0000-0000-0000491E0000}"/>
    <cellStyle name="Normal 2 2 2 2 3" xfId="4447" xr:uid="{00000000-0005-0000-0000-00004A1E0000}"/>
    <cellStyle name="Normal 2 2 2 2 3 2" xfId="4448" xr:uid="{00000000-0005-0000-0000-00004B1E0000}"/>
    <cellStyle name="Normal 2 2 2 2 3 3" xfId="4449" xr:uid="{00000000-0005-0000-0000-00004C1E0000}"/>
    <cellStyle name="Normal 2 2 2 2 3 4" xfId="4450" xr:uid="{00000000-0005-0000-0000-00004D1E0000}"/>
    <cellStyle name="Normal 2 2 2 2 3 5" xfId="4451" xr:uid="{00000000-0005-0000-0000-00004E1E0000}"/>
    <cellStyle name="Normal 2 2 2 2 4" xfId="4452" xr:uid="{00000000-0005-0000-0000-00004F1E0000}"/>
    <cellStyle name="Normal 2 2 2 2 4 2" xfId="4453" xr:uid="{00000000-0005-0000-0000-0000501E0000}"/>
    <cellStyle name="Normal 2 2 2 2 4 3" xfId="4454" xr:uid="{00000000-0005-0000-0000-0000511E0000}"/>
    <cellStyle name="Normal 2 2 2 2 5" xfId="4455" xr:uid="{00000000-0005-0000-0000-0000521E0000}"/>
    <cellStyle name="Normal 2 2 2 2 5 2" xfId="4456" xr:uid="{00000000-0005-0000-0000-0000531E0000}"/>
    <cellStyle name="Normal 2 2 2 2 5 3" xfId="4457" xr:uid="{00000000-0005-0000-0000-0000541E0000}"/>
    <cellStyle name="Normal 2 2 2 2 6" xfId="4458" xr:uid="{00000000-0005-0000-0000-0000551E0000}"/>
    <cellStyle name="Normal 2 2 2 2 7" xfId="4459" xr:uid="{00000000-0005-0000-0000-0000561E0000}"/>
    <cellStyle name="Normal 2 2 2 3" xfId="4460" xr:uid="{00000000-0005-0000-0000-0000571E0000}"/>
    <cellStyle name="Normal 2 2 2 3 2" xfId="4461" xr:uid="{00000000-0005-0000-0000-0000581E0000}"/>
    <cellStyle name="Normal 2 2 2 3 2 2" xfId="4462" xr:uid="{00000000-0005-0000-0000-0000591E0000}"/>
    <cellStyle name="Normal 2 2 2 3 2 3" xfId="4463" xr:uid="{00000000-0005-0000-0000-00005A1E0000}"/>
    <cellStyle name="Normal 2 2 2 3 3" xfId="4464" xr:uid="{00000000-0005-0000-0000-00005B1E0000}"/>
    <cellStyle name="Normal 2 2 2 3 3 2" xfId="4465" xr:uid="{00000000-0005-0000-0000-00005C1E0000}"/>
    <cellStyle name="Normal 2 2 2 3 3 3" xfId="4466" xr:uid="{00000000-0005-0000-0000-00005D1E0000}"/>
    <cellStyle name="Normal 2 2 2 3 4" xfId="4467" xr:uid="{00000000-0005-0000-0000-00005E1E0000}"/>
    <cellStyle name="Normal 2 2 2 3 5" xfId="4468" xr:uid="{00000000-0005-0000-0000-00005F1E0000}"/>
    <cellStyle name="Normal 2 2 2 4" xfId="4469" xr:uid="{00000000-0005-0000-0000-0000601E0000}"/>
    <cellStyle name="Normal 2 2 2 4 2" xfId="4470" xr:uid="{00000000-0005-0000-0000-0000611E0000}"/>
    <cellStyle name="Normal 2 2 2 4 3" xfId="4471" xr:uid="{00000000-0005-0000-0000-0000621E0000}"/>
    <cellStyle name="Normal 2 2 2 4 4" xfId="4472" xr:uid="{00000000-0005-0000-0000-0000631E0000}"/>
    <cellStyle name="Normal 2 2 2 4 5" xfId="4473" xr:uid="{00000000-0005-0000-0000-0000641E0000}"/>
    <cellStyle name="Normal 2 2 2 5" xfId="4474" xr:uid="{00000000-0005-0000-0000-0000651E0000}"/>
    <cellStyle name="Normal 2 2 2 5 2" xfId="4475" xr:uid="{00000000-0005-0000-0000-0000661E0000}"/>
    <cellStyle name="Normal 2 2 2 5 3" xfId="4476" xr:uid="{00000000-0005-0000-0000-0000671E0000}"/>
    <cellStyle name="Normal 2 2 2 6" xfId="4477" xr:uid="{00000000-0005-0000-0000-0000681E0000}"/>
    <cellStyle name="Normal 2 2 2 6 2" xfId="4478" xr:uid="{00000000-0005-0000-0000-0000691E0000}"/>
    <cellStyle name="Normal 2 2 2 6 3" xfId="4479" xr:uid="{00000000-0005-0000-0000-00006A1E0000}"/>
    <cellStyle name="Normal 2 2 2 7" xfId="4480" xr:uid="{00000000-0005-0000-0000-00006B1E0000}"/>
    <cellStyle name="Normal 2 2 2 8" xfId="4481" xr:uid="{00000000-0005-0000-0000-00006C1E0000}"/>
    <cellStyle name="Normal 2 2 2 9" xfId="4482" xr:uid="{00000000-0005-0000-0000-00006D1E0000}"/>
    <cellStyle name="Normal 2 2 2_Epicor" xfId="4483" xr:uid="{00000000-0005-0000-0000-00006E1E0000}"/>
    <cellStyle name="Normal 2 2 3" xfId="4484" xr:uid="{00000000-0005-0000-0000-00006F1E0000}"/>
    <cellStyle name="Normal 2 2 3 2" xfId="4485" xr:uid="{00000000-0005-0000-0000-0000701E0000}"/>
    <cellStyle name="Normal 2 2 3 2 2" xfId="4486" xr:uid="{00000000-0005-0000-0000-0000711E0000}"/>
    <cellStyle name="Normal 2 2 3 2 2 2" xfId="4487" xr:uid="{00000000-0005-0000-0000-0000721E0000}"/>
    <cellStyle name="Normal 2 2 3 2 2 3" xfId="4488" xr:uid="{00000000-0005-0000-0000-0000731E0000}"/>
    <cellStyle name="Normal 2 2 3 2 3" xfId="4489" xr:uid="{00000000-0005-0000-0000-0000741E0000}"/>
    <cellStyle name="Normal 2 2 3 2 3 2" xfId="4490" xr:uid="{00000000-0005-0000-0000-0000751E0000}"/>
    <cellStyle name="Normal 2 2 3 2 3 3" xfId="4491" xr:uid="{00000000-0005-0000-0000-0000761E0000}"/>
    <cellStyle name="Normal 2 2 3 2 4" xfId="4492" xr:uid="{00000000-0005-0000-0000-0000771E0000}"/>
    <cellStyle name="Normal 2 2 3 2 5" xfId="4493" xr:uid="{00000000-0005-0000-0000-0000781E0000}"/>
    <cellStyle name="Normal 2 2 3 3" xfId="4494" xr:uid="{00000000-0005-0000-0000-0000791E0000}"/>
    <cellStyle name="Normal 2 2 3 3 2" xfId="4495" xr:uid="{00000000-0005-0000-0000-00007A1E0000}"/>
    <cellStyle name="Normal 2 2 3 3 3" xfId="4496" xr:uid="{00000000-0005-0000-0000-00007B1E0000}"/>
    <cellStyle name="Normal 2 2 3 3 4" xfId="4497" xr:uid="{00000000-0005-0000-0000-00007C1E0000}"/>
    <cellStyle name="Normal 2 2 3 3 5" xfId="4498" xr:uid="{00000000-0005-0000-0000-00007D1E0000}"/>
    <cellStyle name="Normal 2 2 3 4" xfId="4499" xr:uid="{00000000-0005-0000-0000-00007E1E0000}"/>
    <cellStyle name="Normal 2 2 3 4 2" xfId="4500" xr:uid="{00000000-0005-0000-0000-00007F1E0000}"/>
    <cellStyle name="Normal 2 2 3 4 3" xfId="4501" xr:uid="{00000000-0005-0000-0000-0000801E0000}"/>
    <cellStyle name="Normal 2 2 3 5" xfId="4502" xr:uid="{00000000-0005-0000-0000-0000811E0000}"/>
    <cellStyle name="Normal 2 2 3 5 2" xfId="4503" xr:uid="{00000000-0005-0000-0000-0000821E0000}"/>
    <cellStyle name="Normal 2 2 3 5 3" xfId="4504" xr:uid="{00000000-0005-0000-0000-0000831E0000}"/>
    <cellStyle name="Normal 2 2 3 6" xfId="4505" xr:uid="{00000000-0005-0000-0000-0000841E0000}"/>
    <cellStyle name="Normal 2 2 3 7" xfId="4506" xr:uid="{00000000-0005-0000-0000-0000851E0000}"/>
    <cellStyle name="Normal 2 2 4" xfId="4507" xr:uid="{00000000-0005-0000-0000-0000861E0000}"/>
    <cellStyle name="Normal 2 2 4 2" xfId="4508" xr:uid="{00000000-0005-0000-0000-0000871E0000}"/>
    <cellStyle name="Normal 2 2 4 2 2" xfId="4509" xr:uid="{00000000-0005-0000-0000-0000881E0000}"/>
    <cellStyle name="Normal 2 2 4 2 3" xfId="4510" xr:uid="{00000000-0005-0000-0000-0000891E0000}"/>
    <cellStyle name="Normal 2 2 4 3" xfId="4511" xr:uid="{00000000-0005-0000-0000-00008A1E0000}"/>
    <cellStyle name="Normal 2 2 4 3 2" xfId="4512" xr:uid="{00000000-0005-0000-0000-00008B1E0000}"/>
    <cellStyle name="Normal 2 2 4 3 3" xfId="4513" xr:uid="{00000000-0005-0000-0000-00008C1E0000}"/>
    <cellStyle name="Normal 2 2 4 4" xfId="4514" xr:uid="{00000000-0005-0000-0000-00008D1E0000}"/>
    <cellStyle name="Normal 2 2 4 5" xfId="4515" xr:uid="{00000000-0005-0000-0000-00008E1E0000}"/>
    <cellStyle name="Normal 2 2 5" xfId="4516" xr:uid="{00000000-0005-0000-0000-00008F1E0000}"/>
    <cellStyle name="Normal 2 2 5 2" xfId="4517" xr:uid="{00000000-0005-0000-0000-0000901E0000}"/>
    <cellStyle name="Normal 2 2 5 3" xfId="4518" xr:uid="{00000000-0005-0000-0000-0000911E0000}"/>
    <cellStyle name="Normal 2 2 5 4" xfId="4519" xr:uid="{00000000-0005-0000-0000-0000921E0000}"/>
    <cellStyle name="Normal 2 2 5 5" xfId="4520" xr:uid="{00000000-0005-0000-0000-0000931E0000}"/>
    <cellStyle name="Normal 2 2 6" xfId="4521" xr:uid="{00000000-0005-0000-0000-0000941E0000}"/>
    <cellStyle name="Normal 2 2 6 2" xfId="4522" xr:uid="{00000000-0005-0000-0000-0000951E0000}"/>
    <cellStyle name="Normal 2 2 6 3" xfId="4523" xr:uid="{00000000-0005-0000-0000-0000961E0000}"/>
    <cellStyle name="Normal 2 2 7" xfId="4524" xr:uid="{00000000-0005-0000-0000-0000971E0000}"/>
    <cellStyle name="Normal 2 2 7 2" xfId="4525" xr:uid="{00000000-0005-0000-0000-0000981E0000}"/>
    <cellStyle name="Normal 2 2 7 3" xfId="4526" xr:uid="{00000000-0005-0000-0000-0000991E0000}"/>
    <cellStyle name="Normal 2 2 8" xfId="4527" xr:uid="{00000000-0005-0000-0000-00009A1E0000}"/>
    <cellStyle name="Normal 2 2 9" xfId="4528" xr:uid="{00000000-0005-0000-0000-00009B1E0000}"/>
    <cellStyle name="Normal 2 2_10051" xfId="4529" xr:uid="{00000000-0005-0000-0000-00009C1E0000}"/>
    <cellStyle name="Normal 2 3" xfId="4530" xr:uid="{00000000-0005-0000-0000-00009D1E0000}"/>
    <cellStyle name="Normal 2 3 2" xfId="4531" xr:uid="{00000000-0005-0000-0000-00009E1E0000}"/>
    <cellStyle name="Normal 2 3 2 2" xfId="4532" xr:uid="{00000000-0005-0000-0000-00009F1E0000}"/>
    <cellStyle name="Normal 2 3 2 3" xfId="4533" xr:uid="{00000000-0005-0000-0000-0000A01E0000}"/>
    <cellStyle name="Normal 2 3 2_Active emp List" xfId="4534" xr:uid="{00000000-0005-0000-0000-0000A11E0000}"/>
    <cellStyle name="Normal 2 3 3" xfId="4535" xr:uid="{00000000-0005-0000-0000-0000A21E0000}"/>
    <cellStyle name="Normal 2 3 3 2" xfId="4536" xr:uid="{00000000-0005-0000-0000-0000A31E0000}"/>
    <cellStyle name="Normal 2 3 3 2 2" xfId="4537" xr:uid="{00000000-0005-0000-0000-0000A41E0000}"/>
    <cellStyle name="Normal 2 3 3 3" xfId="4538" xr:uid="{00000000-0005-0000-0000-0000A51E0000}"/>
    <cellStyle name="Normal 2 3 4" xfId="4539" xr:uid="{00000000-0005-0000-0000-0000A61E0000}"/>
    <cellStyle name="Normal 2 3 4 2" xfId="4540" xr:uid="{00000000-0005-0000-0000-0000A71E0000}"/>
    <cellStyle name="Normal 2 3 5" xfId="4541" xr:uid="{00000000-0005-0000-0000-0000A81E0000}"/>
    <cellStyle name="Normal 2 3_2012 TV Budget" xfId="4542" xr:uid="{00000000-0005-0000-0000-0000A91E0000}"/>
    <cellStyle name="Normal 2 4" xfId="4543" xr:uid="{00000000-0005-0000-0000-0000AA1E0000}"/>
    <cellStyle name="Normal 2 4 2" xfId="4544" xr:uid="{00000000-0005-0000-0000-0000AB1E0000}"/>
    <cellStyle name="Normal 2 4 2 2" xfId="4545" xr:uid="{00000000-0005-0000-0000-0000AC1E0000}"/>
    <cellStyle name="Normal 2 4 2 2 2" xfId="4546" xr:uid="{00000000-0005-0000-0000-0000AD1E0000}"/>
    <cellStyle name="Normal 2 4 2 3" xfId="4547" xr:uid="{00000000-0005-0000-0000-0000AE1E0000}"/>
    <cellStyle name="Normal 2 4 2 4" xfId="4548" xr:uid="{00000000-0005-0000-0000-0000AF1E0000}"/>
    <cellStyle name="Normal 2 4 2 5" xfId="4549" xr:uid="{00000000-0005-0000-0000-0000B01E0000}"/>
    <cellStyle name="Normal 2 4 2 6" xfId="4550" xr:uid="{00000000-0005-0000-0000-0000B11E0000}"/>
    <cellStyle name="Normal 2 4 3" xfId="4551" xr:uid="{00000000-0005-0000-0000-0000B21E0000}"/>
    <cellStyle name="Normal 2 4 3 2" xfId="4552" xr:uid="{00000000-0005-0000-0000-0000B31E0000}"/>
    <cellStyle name="Normal 2 4 3 3" xfId="4553" xr:uid="{00000000-0005-0000-0000-0000B41E0000}"/>
    <cellStyle name="Normal 2 4 4" xfId="4554" xr:uid="{00000000-0005-0000-0000-0000B51E0000}"/>
    <cellStyle name="Normal 2 4 4 2" xfId="4555" xr:uid="{00000000-0005-0000-0000-0000B61E0000}"/>
    <cellStyle name="Normal 2 4 4 3" xfId="4556" xr:uid="{00000000-0005-0000-0000-0000B71E0000}"/>
    <cellStyle name="Normal 2 4 5" xfId="4557" xr:uid="{00000000-0005-0000-0000-0000B81E0000}"/>
    <cellStyle name="Normal 2 4 6" xfId="4558" xr:uid="{00000000-0005-0000-0000-0000B91E0000}"/>
    <cellStyle name="Normal 2 5" xfId="4559" xr:uid="{00000000-0005-0000-0000-0000BA1E0000}"/>
    <cellStyle name="Normal 2 5 2" xfId="4560" xr:uid="{00000000-0005-0000-0000-0000BB1E0000}"/>
    <cellStyle name="Normal 2 5 3" xfId="4561" xr:uid="{00000000-0005-0000-0000-0000BC1E0000}"/>
    <cellStyle name="Normal 2 6" xfId="4562" xr:uid="{00000000-0005-0000-0000-0000BD1E0000}"/>
    <cellStyle name="Normal 2 6 2" xfId="4563" xr:uid="{00000000-0005-0000-0000-0000BE1E0000}"/>
    <cellStyle name="Normal 2 6 2 2" xfId="4564" xr:uid="{00000000-0005-0000-0000-0000BF1E0000}"/>
    <cellStyle name="Normal 2 6 3" xfId="4565" xr:uid="{00000000-0005-0000-0000-0000C01E0000}"/>
    <cellStyle name="Normal 2 6 4" xfId="4566" xr:uid="{00000000-0005-0000-0000-0000C11E0000}"/>
    <cellStyle name="Normal 2 6 5" xfId="4567" xr:uid="{00000000-0005-0000-0000-0000C21E0000}"/>
    <cellStyle name="Normal 2 7" xfId="4568" xr:uid="{00000000-0005-0000-0000-0000C31E0000}"/>
    <cellStyle name="Normal 2 7 2" xfId="4569" xr:uid="{00000000-0005-0000-0000-0000C41E0000}"/>
    <cellStyle name="Normal 2 7 3" xfId="4570" xr:uid="{00000000-0005-0000-0000-0000C51E0000}"/>
    <cellStyle name="Normal 2 7 4" xfId="4571" xr:uid="{00000000-0005-0000-0000-0000C61E0000}"/>
    <cellStyle name="Normal 2 7 5" xfId="4572" xr:uid="{00000000-0005-0000-0000-0000C71E0000}"/>
    <cellStyle name="Normal 2 8" xfId="4573" xr:uid="{00000000-0005-0000-0000-0000C81E0000}"/>
    <cellStyle name="Normal 2 8 2" xfId="4574" xr:uid="{00000000-0005-0000-0000-0000C91E0000}"/>
    <cellStyle name="Normal 2 8 2 2" xfId="4575" xr:uid="{00000000-0005-0000-0000-0000CA1E0000}"/>
    <cellStyle name="Normal 2 8 3" xfId="4576" xr:uid="{00000000-0005-0000-0000-0000CB1E0000}"/>
    <cellStyle name="Normal 2 8 4" xfId="4577" xr:uid="{00000000-0005-0000-0000-0000CC1E0000}"/>
    <cellStyle name="Normal 2 8 5" xfId="4578" xr:uid="{00000000-0005-0000-0000-0000CD1E0000}"/>
    <cellStyle name="Normal 2 9" xfId="4579" xr:uid="{00000000-0005-0000-0000-0000CE1E0000}"/>
    <cellStyle name="Normal 2 9 2" xfId="4580" xr:uid="{00000000-0005-0000-0000-0000CF1E0000}"/>
    <cellStyle name="Normal 2 9 3" xfId="4581" xr:uid="{00000000-0005-0000-0000-0000D01E0000}"/>
    <cellStyle name="Normal 2 9 4" xfId="4582" xr:uid="{00000000-0005-0000-0000-0000D11E0000}"/>
    <cellStyle name="Normal 2 9 5" xfId="4583" xr:uid="{00000000-0005-0000-0000-0000D21E0000}"/>
    <cellStyle name="Normal 2_2009 Regulated Price Out" xfId="4584" xr:uid="{00000000-0005-0000-0000-0000D31E0000}"/>
    <cellStyle name="Normal 20" xfId="4585" xr:uid="{00000000-0005-0000-0000-0000D41E0000}"/>
    <cellStyle name="Normal 20 2" xfId="4586" xr:uid="{00000000-0005-0000-0000-0000D51E0000}"/>
    <cellStyle name="Normal 20 2 2" xfId="4587" xr:uid="{00000000-0005-0000-0000-0000D61E0000}"/>
    <cellStyle name="Normal 20 2 3" xfId="4588" xr:uid="{00000000-0005-0000-0000-0000D71E0000}"/>
    <cellStyle name="Normal 20 2 4" xfId="4589" xr:uid="{00000000-0005-0000-0000-0000D81E0000}"/>
    <cellStyle name="Normal 20 3" xfId="4590" xr:uid="{00000000-0005-0000-0000-0000D91E0000}"/>
    <cellStyle name="Normal 20 4" xfId="4591" xr:uid="{00000000-0005-0000-0000-0000DA1E0000}"/>
    <cellStyle name="Normal 20 4 2" xfId="4592" xr:uid="{00000000-0005-0000-0000-0000DB1E0000}"/>
    <cellStyle name="Normal 20 5" xfId="4593" xr:uid="{00000000-0005-0000-0000-0000DC1E0000}"/>
    <cellStyle name="Normal 20 6" xfId="4594" xr:uid="{00000000-0005-0000-0000-0000DD1E0000}"/>
    <cellStyle name="Normal 20 7" xfId="4595" xr:uid="{00000000-0005-0000-0000-0000DE1E0000}"/>
    <cellStyle name="Normal 21" xfId="4596" xr:uid="{00000000-0005-0000-0000-0000DF1E0000}"/>
    <cellStyle name="Normal 21 2" xfId="4597" xr:uid="{00000000-0005-0000-0000-0000E01E0000}"/>
    <cellStyle name="Normal 21 2 2" xfId="4598" xr:uid="{00000000-0005-0000-0000-0000E11E0000}"/>
    <cellStyle name="Normal 21 2 3" xfId="4599" xr:uid="{00000000-0005-0000-0000-0000E21E0000}"/>
    <cellStyle name="Normal 21 2 4" xfId="4600" xr:uid="{00000000-0005-0000-0000-0000E31E0000}"/>
    <cellStyle name="Normal 21 3" xfId="4601" xr:uid="{00000000-0005-0000-0000-0000E41E0000}"/>
    <cellStyle name="Normal 21 3 2" xfId="4602" xr:uid="{00000000-0005-0000-0000-0000E51E0000}"/>
    <cellStyle name="Normal 21 4" xfId="4603" xr:uid="{00000000-0005-0000-0000-0000E61E0000}"/>
    <cellStyle name="Normal 21 5" xfId="4604" xr:uid="{00000000-0005-0000-0000-0000E71E0000}"/>
    <cellStyle name="Normal 22" xfId="4605" xr:uid="{00000000-0005-0000-0000-0000E81E0000}"/>
    <cellStyle name="Normal 22 2" xfId="4606" xr:uid="{00000000-0005-0000-0000-0000E91E0000}"/>
    <cellStyle name="Normal 22 2 2" xfId="4607" xr:uid="{00000000-0005-0000-0000-0000EA1E0000}"/>
    <cellStyle name="Normal 22 2 3" xfId="4608" xr:uid="{00000000-0005-0000-0000-0000EB1E0000}"/>
    <cellStyle name="Normal 22 3" xfId="4609" xr:uid="{00000000-0005-0000-0000-0000EC1E0000}"/>
    <cellStyle name="Normal 22 3 2" xfId="4610" xr:uid="{00000000-0005-0000-0000-0000ED1E0000}"/>
    <cellStyle name="Normal 22 4" xfId="4611" xr:uid="{00000000-0005-0000-0000-0000EE1E0000}"/>
    <cellStyle name="Normal 22 5" xfId="4612" xr:uid="{00000000-0005-0000-0000-0000EF1E0000}"/>
    <cellStyle name="Normal 23" xfId="4613" xr:uid="{00000000-0005-0000-0000-0000F01E0000}"/>
    <cellStyle name="Normal 23 2" xfId="4614" xr:uid="{00000000-0005-0000-0000-0000F11E0000}"/>
    <cellStyle name="Normal 23 2 2" xfId="4615" xr:uid="{00000000-0005-0000-0000-0000F21E0000}"/>
    <cellStyle name="Normal 23 2 3" xfId="4616" xr:uid="{00000000-0005-0000-0000-0000F31E0000}"/>
    <cellStyle name="Normal 23 3" xfId="4617" xr:uid="{00000000-0005-0000-0000-0000F41E0000}"/>
    <cellStyle name="Normal 23 3 2" xfId="4618" xr:uid="{00000000-0005-0000-0000-0000F51E0000}"/>
    <cellStyle name="Normal 23 3 3" xfId="4619" xr:uid="{00000000-0005-0000-0000-0000F61E0000}"/>
    <cellStyle name="Normal 23 4" xfId="4620" xr:uid="{00000000-0005-0000-0000-0000F71E0000}"/>
    <cellStyle name="Normal 24" xfId="4621" xr:uid="{00000000-0005-0000-0000-0000F81E0000}"/>
    <cellStyle name="Normal 24 2" xfId="4622" xr:uid="{00000000-0005-0000-0000-0000F91E0000}"/>
    <cellStyle name="Normal 24 2 2" xfId="4623" xr:uid="{00000000-0005-0000-0000-0000FA1E0000}"/>
    <cellStyle name="Normal 24 2 3" xfId="4624" xr:uid="{00000000-0005-0000-0000-0000FB1E0000}"/>
    <cellStyle name="Normal 24 3" xfId="4625" xr:uid="{00000000-0005-0000-0000-0000FC1E0000}"/>
    <cellStyle name="Normal 24 3 2" xfId="4626" xr:uid="{00000000-0005-0000-0000-0000FD1E0000}"/>
    <cellStyle name="Normal 24 4" xfId="4627" xr:uid="{00000000-0005-0000-0000-0000FE1E0000}"/>
    <cellStyle name="Normal 24 5" xfId="4628" xr:uid="{00000000-0005-0000-0000-0000FF1E0000}"/>
    <cellStyle name="Normal 25" xfId="4629" xr:uid="{00000000-0005-0000-0000-0000001F0000}"/>
    <cellStyle name="Normal 25 2" xfId="4630" xr:uid="{00000000-0005-0000-0000-0000011F0000}"/>
    <cellStyle name="Normal 25 2 2" xfId="4631" xr:uid="{00000000-0005-0000-0000-0000021F0000}"/>
    <cellStyle name="Normal 25 2 3" xfId="4632" xr:uid="{00000000-0005-0000-0000-0000031F0000}"/>
    <cellStyle name="Normal 25 3" xfId="4633" xr:uid="{00000000-0005-0000-0000-0000041F0000}"/>
    <cellStyle name="Normal 25 3 2" xfId="4634" xr:uid="{00000000-0005-0000-0000-0000051F0000}"/>
    <cellStyle name="Normal 25 4" xfId="4635" xr:uid="{00000000-0005-0000-0000-0000061F0000}"/>
    <cellStyle name="Normal 26" xfId="4636" xr:uid="{00000000-0005-0000-0000-0000071F0000}"/>
    <cellStyle name="Normal 26 2" xfId="4637" xr:uid="{00000000-0005-0000-0000-0000081F0000}"/>
    <cellStyle name="Normal 26 2 2" xfId="4638" xr:uid="{00000000-0005-0000-0000-0000091F0000}"/>
    <cellStyle name="Normal 26 2 3" xfId="4639" xr:uid="{00000000-0005-0000-0000-00000A1F0000}"/>
    <cellStyle name="Normal 26 3" xfId="4640" xr:uid="{00000000-0005-0000-0000-00000B1F0000}"/>
    <cellStyle name="Normal 26 4" xfId="4641" xr:uid="{00000000-0005-0000-0000-00000C1F0000}"/>
    <cellStyle name="Normal 27" xfId="4642" xr:uid="{00000000-0005-0000-0000-00000D1F0000}"/>
    <cellStyle name="Normal 27 2" xfId="4643" xr:uid="{00000000-0005-0000-0000-00000E1F0000}"/>
    <cellStyle name="Normal 27 2 2" xfId="4644" xr:uid="{00000000-0005-0000-0000-00000F1F0000}"/>
    <cellStyle name="Normal 27 2 2 2" xfId="4645" xr:uid="{00000000-0005-0000-0000-0000101F0000}"/>
    <cellStyle name="Normal 27 3" xfId="4646" xr:uid="{00000000-0005-0000-0000-0000111F0000}"/>
    <cellStyle name="Normal 27 3 2" xfId="4647" xr:uid="{00000000-0005-0000-0000-0000121F0000}"/>
    <cellStyle name="Normal 27 3 3" xfId="4648" xr:uid="{00000000-0005-0000-0000-0000131F0000}"/>
    <cellStyle name="Normal 27 4" xfId="4649" xr:uid="{00000000-0005-0000-0000-0000141F0000}"/>
    <cellStyle name="Normal 27 5" xfId="4650" xr:uid="{00000000-0005-0000-0000-0000151F0000}"/>
    <cellStyle name="Normal 28" xfId="4651" xr:uid="{00000000-0005-0000-0000-0000161F0000}"/>
    <cellStyle name="Normal 28 2" xfId="4652" xr:uid="{00000000-0005-0000-0000-0000171F0000}"/>
    <cellStyle name="Normal 28 2 2" xfId="4653" xr:uid="{00000000-0005-0000-0000-0000181F0000}"/>
    <cellStyle name="Normal 28 2 3" xfId="4654" xr:uid="{00000000-0005-0000-0000-0000191F0000}"/>
    <cellStyle name="Normal 28 3" xfId="4655" xr:uid="{00000000-0005-0000-0000-00001A1F0000}"/>
    <cellStyle name="Normal 28 4" xfId="4656" xr:uid="{00000000-0005-0000-0000-00001B1F0000}"/>
    <cellStyle name="Normal 29" xfId="4657" xr:uid="{00000000-0005-0000-0000-00001C1F0000}"/>
    <cellStyle name="Normal 29 2" xfId="4658" xr:uid="{00000000-0005-0000-0000-00001D1F0000}"/>
    <cellStyle name="Normal 29 2 2" xfId="4659" xr:uid="{00000000-0005-0000-0000-00001E1F0000}"/>
    <cellStyle name="Normal 29 3" xfId="4660" xr:uid="{00000000-0005-0000-0000-00001F1F0000}"/>
    <cellStyle name="Normal 29 4" xfId="4661" xr:uid="{00000000-0005-0000-0000-0000201F0000}"/>
    <cellStyle name="Normal 3" xfId="4662" xr:uid="{00000000-0005-0000-0000-0000211F0000}"/>
    <cellStyle name="Normal 3 2" xfId="4663" xr:uid="{00000000-0005-0000-0000-0000221F0000}"/>
    <cellStyle name="Normal 3 2 2" xfId="4664" xr:uid="{00000000-0005-0000-0000-0000231F0000}"/>
    <cellStyle name="Normal 3 2 2 2" xfId="4665" xr:uid="{00000000-0005-0000-0000-0000241F0000}"/>
    <cellStyle name="Normal 3 2 2 2 2" xfId="4666" xr:uid="{00000000-0005-0000-0000-0000251F0000}"/>
    <cellStyle name="Normal 3 2 2 2 2 2" xfId="4667" xr:uid="{00000000-0005-0000-0000-0000261F0000}"/>
    <cellStyle name="Normal 3 2 2 2 3" xfId="4668" xr:uid="{00000000-0005-0000-0000-0000271F0000}"/>
    <cellStyle name="Normal 3 2 2 2 3 2" xfId="4669" xr:uid="{00000000-0005-0000-0000-0000281F0000}"/>
    <cellStyle name="Normal 3 2 2 2 4" xfId="4670" xr:uid="{00000000-0005-0000-0000-0000291F0000}"/>
    <cellStyle name="Normal 3 2 2 3" xfId="4671" xr:uid="{00000000-0005-0000-0000-00002A1F0000}"/>
    <cellStyle name="Normal 3 2 2 3 2" xfId="4672" xr:uid="{00000000-0005-0000-0000-00002B1F0000}"/>
    <cellStyle name="Normal 3 2 2 3 3" xfId="4673" xr:uid="{00000000-0005-0000-0000-00002C1F0000}"/>
    <cellStyle name="Normal 3 2 2 4" xfId="4674" xr:uid="{00000000-0005-0000-0000-00002D1F0000}"/>
    <cellStyle name="Normal 3 2 2 4 2" xfId="4675" xr:uid="{00000000-0005-0000-0000-00002E1F0000}"/>
    <cellStyle name="Normal 3 2 2 5" xfId="4676" xr:uid="{00000000-0005-0000-0000-00002F1F0000}"/>
    <cellStyle name="Normal 3 2 2 6" xfId="4677" xr:uid="{00000000-0005-0000-0000-0000301F0000}"/>
    <cellStyle name="Normal 3 2 2 7" xfId="4678" xr:uid="{00000000-0005-0000-0000-0000311F0000}"/>
    <cellStyle name="Normal 3 2 3" xfId="4679" xr:uid="{00000000-0005-0000-0000-0000321F0000}"/>
    <cellStyle name="Normal 3 2 3 2" xfId="4680" xr:uid="{00000000-0005-0000-0000-0000331F0000}"/>
    <cellStyle name="Normal 3 2 3 2 2" xfId="4681" xr:uid="{00000000-0005-0000-0000-0000341F0000}"/>
    <cellStyle name="Normal 3 2 3 3" xfId="4682" xr:uid="{00000000-0005-0000-0000-0000351F0000}"/>
    <cellStyle name="Normal 3 2 3 3 2" xfId="4683" xr:uid="{00000000-0005-0000-0000-0000361F0000}"/>
    <cellStyle name="Normal 3 2 3 4" xfId="4684" xr:uid="{00000000-0005-0000-0000-0000371F0000}"/>
    <cellStyle name="Normal 3 2 3 5" xfId="4685" xr:uid="{00000000-0005-0000-0000-0000381F0000}"/>
    <cellStyle name="Normal 3 2 4" xfId="4686" xr:uid="{00000000-0005-0000-0000-0000391F0000}"/>
    <cellStyle name="Normal 3 2 4 2" xfId="4687" xr:uid="{00000000-0005-0000-0000-00003A1F0000}"/>
    <cellStyle name="Normal 3 2 4 3" xfId="4688" xr:uid="{00000000-0005-0000-0000-00003B1F0000}"/>
    <cellStyle name="Normal 3 2 5" xfId="4689" xr:uid="{00000000-0005-0000-0000-00003C1F0000}"/>
    <cellStyle name="Normal 3 2 5 2" xfId="4690" xr:uid="{00000000-0005-0000-0000-00003D1F0000}"/>
    <cellStyle name="Normal 3 2 5 3" xfId="4691" xr:uid="{00000000-0005-0000-0000-00003E1F0000}"/>
    <cellStyle name="Normal 3 2 6" xfId="4692" xr:uid="{00000000-0005-0000-0000-00003F1F0000}"/>
    <cellStyle name="Normal 3 2 7" xfId="4693" xr:uid="{00000000-0005-0000-0000-0000401F0000}"/>
    <cellStyle name="Normal 3 2 8" xfId="4694" xr:uid="{00000000-0005-0000-0000-0000411F0000}"/>
    <cellStyle name="Normal 3 3" xfId="4695" xr:uid="{00000000-0005-0000-0000-0000421F0000}"/>
    <cellStyle name="Normal 3 3 2" xfId="4696" xr:uid="{00000000-0005-0000-0000-0000431F0000}"/>
    <cellStyle name="Normal 3 3 2 2" xfId="4697" xr:uid="{00000000-0005-0000-0000-0000441F0000}"/>
    <cellStyle name="Normal 3 3 3" xfId="4698" xr:uid="{00000000-0005-0000-0000-0000451F0000}"/>
    <cellStyle name="Normal 3 3 3 2" xfId="4699" xr:uid="{00000000-0005-0000-0000-0000461F0000}"/>
    <cellStyle name="Normal 3 3 4" xfId="4700" xr:uid="{00000000-0005-0000-0000-0000471F0000}"/>
    <cellStyle name="Normal 3 3 4 2" xfId="4701" xr:uid="{00000000-0005-0000-0000-0000481F0000}"/>
    <cellStyle name="Normal 3 3 5" xfId="4702" xr:uid="{00000000-0005-0000-0000-0000491F0000}"/>
    <cellStyle name="Normal 3 4" xfId="4703" xr:uid="{00000000-0005-0000-0000-00004A1F0000}"/>
    <cellStyle name="Normal 3 4 2" xfId="4704" xr:uid="{00000000-0005-0000-0000-00004B1F0000}"/>
    <cellStyle name="Normal 3 4 3" xfId="4705" xr:uid="{00000000-0005-0000-0000-00004C1F0000}"/>
    <cellStyle name="Normal 3 4 4" xfId="4706" xr:uid="{00000000-0005-0000-0000-00004D1F0000}"/>
    <cellStyle name="Normal 3 5" xfId="4707" xr:uid="{00000000-0005-0000-0000-00004E1F0000}"/>
    <cellStyle name="Normal 3 5 2" xfId="4708" xr:uid="{00000000-0005-0000-0000-00004F1F0000}"/>
    <cellStyle name="Normal 3 6" xfId="4709" xr:uid="{00000000-0005-0000-0000-0000501F0000}"/>
    <cellStyle name="Normal 3 7" xfId="4710" xr:uid="{00000000-0005-0000-0000-0000511F0000}"/>
    <cellStyle name="Normal 3 8" xfId="12175" xr:uid="{00000000-0005-0000-0000-0000521F0000}"/>
    <cellStyle name="Normal 3_10051" xfId="4711" xr:uid="{00000000-0005-0000-0000-0000531F0000}"/>
    <cellStyle name="Normal 30" xfId="4712" xr:uid="{00000000-0005-0000-0000-0000541F0000}"/>
    <cellStyle name="Normal 30 2" xfId="4713" xr:uid="{00000000-0005-0000-0000-0000551F0000}"/>
    <cellStyle name="Normal 30 3" xfId="4714" xr:uid="{00000000-0005-0000-0000-0000561F0000}"/>
    <cellStyle name="Normal 30 4" xfId="4715" xr:uid="{00000000-0005-0000-0000-0000571F0000}"/>
    <cellStyle name="Normal 31" xfId="4716" xr:uid="{00000000-0005-0000-0000-0000581F0000}"/>
    <cellStyle name="Normal 31 2" xfId="4717" xr:uid="{00000000-0005-0000-0000-0000591F0000}"/>
    <cellStyle name="Normal 31 2 2" xfId="4718" xr:uid="{00000000-0005-0000-0000-00005A1F0000}"/>
    <cellStyle name="Normal 31 2 2 2" xfId="4719" xr:uid="{00000000-0005-0000-0000-00005B1F0000}"/>
    <cellStyle name="Normal 31 2 2 2 2" xfId="4720" xr:uid="{00000000-0005-0000-0000-00005C1F0000}"/>
    <cellStyle name="Normal 31 2 2 2 2 2" xfId="4721" xr:uid="{00000000-0005-0000-0000-00005D1F0000}"/>
    <cellStyle name="Normal 31 2 2 2 2 2 2" xfId="4722" xr:uid="{00000000-0005-0000-0000-00005E1F0000}"/>
    <cellStyle name="Normal 31 2 2 2 2 3" xfId="4723" xr:uid="{00000000-0005-0000-0000-00005F1F0000}"/>
    <cellStyle name="Normal 31 2 2 2 2 3 2" xfId="4724" xr:uid="{00000000-0005-0000-0000-0000601F0000}"/>
    <cellStyle name="Normal 31 2 2 2 2 4" xfId="4725" xr:uid="{00000000-0005-0000-0000-0000611F0000}"/>
    <cellStyle name="Normal 31 2 2 2 3" xfId="4726" xr:uid="{00000000-0005-0000-0000-0000621F0000}"/>
    <cellStyle name="Normal 31 2 2 2 3 2" xfId="4727" xr:uid="{00000000-0005-0000-0000-0000631F0000}"/>
    <cellStyle name="Normal 31 2 2 2 4" xfId="4728" xr:uid="{00000000-0005-0000-0000-0000641F0000}"/>
    <cellStyle name="Normal 31 2 2 2 4 2" xfId="4729" xr:uid="{00000000-0005-0000-0000-0000651F0000}"/>
    <cellStyle name="Normal 31 2 2 2 5" xfId="4730" xr:uid="{00000000-0005-0000-0000-0000661F0000}"/>
    <cellStyle name="Normal 31 2 2 3" xfId="4731" xr:uid="{00000000-0005-0000-0000-0000671F0000}"/>
    <cellStyle name="Normal 31 2 2 3 2" xfId="4732" xr:uid="{00000000-0005-0000-0000-0000681F0000}"/>
    <cellStyle name="Normal 31 2 2 3 2 2" xfId="4733" xr:uid="{00000000-0005-0000-0000-0000691F0000}"/>
    <cellStyle name="Normal 31 2 2 3 3" xfId="4734" xr:uid="{00000000-0005-0000-0000-00006A1F0000}"/>
    <cellStyle name="Normal 31 2 2 3 3 2" xfId="4735" xr:uid="{00000000-0005-0000-0000-00006B1F0000}"/>
    <cellStyle name="Normal 31 2 2 3 4" xfId="4736" xr:uid="{00000000-0005-0000-0000-00006C1F0000}"/>
    <cellStyle name="Normal 31 2 2 4" xfId="4737" xr:uid="{00000000-0005-0000-0000-00006D1F0000}"/>
    <cellStyle name="Normal 31 2 2 4 2" xfId="4738" xr:uid="{00000000-0005-0000-0000-00006E1F0000}"/>
    <cellStyle name="Normal 31 2 2 5" xfId="4739" xr:uid="{00000000-0005-0000-0000-00006F1F0000}"/>
    <cellStyle name="Normal 31 2 2 5 2" xfId="4740" xr:uid="{00000000-0005-0000-0000-0000701F0000}"/>
    <cellStyle name="Normal 31 2 2 6" xfId="4741" xr:uid="{00000000-0005-0000-0000-0000711F0000}"/>
    <cellStyle name="Normal 31 2 3" xfId="4742" xr:uid="{00000000-0005-0000-0000-0000721F0000}"/>
    <cellStyle name="Normal 31 2 3 2" xfId="4743" xr:uid="{00000000-0005-0000-0000-0000731F0000}"/>
    <cellStyle name="Normal 31 2 3 2 2" xfId="4744" xr:uid="{00000000-0005-0000-0000-0000741F0000}"/>
    <cellStyle name="Normal 31 2 3 2 2 2" xfId="4745" xr:uid="{00000000-0005-0000-0000-0000751F0000}"/>
    <cellStyle name="Normal 31 2 3 2 3" xfId="4746" xr:uid="{00000000-0005-0000-0000-0000761F0000}"/>
    <cellStyle name="Normal 31 2 3 2 3 2" xfId="4747" xr:uid="{00000000-0005-0000-0000-0000771F0000}"/>
    <cellStyle name="Normal 31 2 3 2 4" xfId="4748" xr:uid="{00000000-0005-0000-0000-0000781F0000}"/>
    <cellStyle name="Normal 31 2 3 3" xfId="4749" xr:uid="{00000000-0005-0000-0000-0000791F0000}"/>
    <cellStyle name="Normal 31 2 3 3 2" xfId="4750" xr:uid="{00000000-0005-0000-0000-00007A1F0000}"/>
    <cellStyle name="Normal 31 2 3 4" xfId="4751" xr:uid="{00000000-0005-0000-0000-00007B1F0000}"/>
    <cellStyle name="Normal 31 2 3 4 2" xfId="4752" xr:uid="{00000000-0005-0000-0000-00007C1F0000}"/>
    <cellStyle name="Normal 31 2 3 5" xfId="4753" xr:uid="{00000000-0005-0000-0000-00007D1F0000}"/>
    <cellStyle name="Normal 31 2 4" xfId="4754" xr:uid="{00000000-0005-0000-0000-00007E1F0000}"/>
    <cellStyle name="Normal 31 2 4 2" xfId="4755" xr:uid="{00000000-0005-0000-0000-00007F1F0000}"/>
    <cellStyle name="Normal 31 2 4 2 2" xfId="4756" xr:uid="{00000000-0005-0000-0000-0000801F0000}"/>
    <cellStyle name="Normal 31 2 4 3" xfId="4757" xr:uid="{00000000-0005-0000-0000-0000811F0000}"/>
    <cellStyle name="Normal 31 2 4 3 2" xfId="4758" xr:uid="{00000000-0005-0000-0000-0000821F0000}"/>
    <cellStyle name="Normal 31 2 4 4" xfId="4759" xr:uid="{00000000-0005-0000-0000-0000831F0000}"/>
    <cellStyle name="Normal 31 2 5" xfId="4760" xr:uid="{00000000-0005-0000-0000-0000841F0000}"/>
    <cellStyle name="Normal 31 2 5 2" xfId="4761" xr:uid="{00000000-0005-0000-0000-0000851F0000}"/>
    <cellStyle name="Normal 31 2 6" xfId="4762" xr:uid="{00000000-0005-0000-0000-0000861F0000}"/>
    <cellStyle name="Normal 31 2 6 2" xfId="4763" xr:uid="{00000000-0005-0000-0000-0000871F0000}"/>
    <cellStyle name="Normal 31 2 7" xfId="4764" xr:uid="{00000000-0005-0000-0000-0000881F0000}"/>
    <cellStyle name="Normal 31 3" xfId="4765" xr:uid="{00000000-0005-0000-0000-0000891F0000}"/>
    <cellStyle name="Normal 31 3 2" xfId="4766" xr:uid="{00000000-0005-0000-0000-00008A1F0000}"/>
    <cellStyle name="Normal 31 3 2 2" xfId="4767" xr:uid="{00000000-0005-0000-0000-00008B1F0000}"/>
    <cellStyle name="Normal 31 3 2 2 2" xfId="4768" xr:uid="{00000000-0005-0000-0000-00008C1F0000}"/>
    <cellStyle name="Normal 31 3 2 2 2 2" xfId="4769" xr:uid="{00000000-0005-0000-0000-00008D1F0000}"/>
    <cellStyle name="Normal 31 3 2 2 3" xfId="4770" xr:uid="{00000000-0005-0000-0000-00008E1F0000}"/>
    <cellStyle name="Normal 31 3 2 2 3 2" xfId="4771" xr:uid="{00000000-0005-0000-0000-00008F1F0000}"/>
    <cellStyle name="Normal 31 3 2 2 4" xfId="4772" xr:uid="{00000000-0005-0000-0000-0000901F0000}"/>
    <cellStyle name="Normal 31 3 2 3" xfId="4773" xr:uid="{00000000-0005-0000-0000-0000911F0000}"/>
    <cellStyle name="Normal 31 3 2 3 2" xfId="4774" xr:uid="{00000000-0005-0000-0000-0000921F0000}"/>
    <cellStyle name="Normal 31 3 2 4" xfId="4775" xr:uid="{00000000-0005-0000-0000-0000931F0000}"/>
    <cellStyle name="Normal 31 3 2 4 2" xfId="4776" xr:uid="{00000000-0005-0000-0000-0000941F0000}"/>
    <cellStyle name="Normal 31 3 2 5" xfId="4777" xr:uid="{00000000-0005-0000-0000-0000951F0000}"/>
    <cellStyle name="Normal 31 3 3" xfId="4778" xr:uid="{00000000-0005-0000-0000-0000961F0000}"/>
    <cellStyle name="Normal 31 3 3 2" xfId="4779" xr:uid="{00000000-0005-0000-0000-0000971F0000}"/>
    <cellStyle name="Normal 31 3 3 2 2" xfId="4780" xr:uid="{00000000-0005-0000-0000-0000981F0000}"/>
    <cellStyle name="Normal 31 3 3 3" xfId="4781" xr:uid="{00000000-0005-0000-0000-0000991F0000}"/>
    <cellStyle name="Normal 31 3 3 3 2" xfId="4782" xr:uid="{00000000-0005-0000-0000-00009A1F0000}"/>
    <cellStyle name="Normal 31 3 3 4" xfId="4783" xr:uid="{00000000-0005-0000-0000-00009B1F0000}"/>
    <cellStyle name="Normal 31 3 4" xfId="4784" xr:uid="{00000000-0005-0000-0000-00009C1F0000}"/>
    <cellStyle name="Normal 31 3 4 2" xfId="4785" xr:uid="{00000000-0005-0000-0000-00009D1F0000}"/>
    <cellStyle name="Normal 31 3 5" xfId="4786" xr:uid="{00000000-0005-0000-0000-00009E1F0000}"/>
    <cellStyle name="Normal 31 3 5 2" xfId="4787" xr:uid="{00000000-0005-0000-0000-00009F1F0000}"/>
    <cellStyle name="Normal 31 3 6" xfId="4788" xr:uid="{00000000-0005-0000-0000-0000A01F0000}"/>
    <cellStyle name="Normal 31 4" xfId="4789" xr:uid="{00000000-0005-0000-0000-0000A11F0000}"/>
    <cellStyle name="Normal 31 4 2" xfId="4790" xr:uid="{00000000-0005-0000-0000-0000A21F0000}"/>
    <cellStyle name="Normal 31 4 2 2" xfId="4791" xr:uid="{00000000-0005-0000-0000-0000A31F0000}"/>
    <cellStyle name="Normal 31 4 2 2 2" xfId="4792" xr:uid="{00000000-0005-0000-0000-0000A41F0000}"/>
    <cellStyle name="Normal 31 4 2 3" xfId="4793" xr:uid="{00000000-0005-0000-0000-0000A51F0000}"/>
    <cellStyle name="Normal 31 4 2 3 2" xfId="4794" xr:uid="{00000000-0005-0000-0000-0000A61F0000}"/>
    <cellStyle name="Normal 31 4 2 4" xfId="4795" xr:uid="{00000000-0005-0000-0000-0000A71F0000}"/>
    <cellStyle name="Normal 31 4 3" xfId="4796" xr:uid="{00000000-0005-0000-0000-0000A81F0000}"/>
    <cellStyle name="Normal 31 4 3 2" xfId="4797" xr:uid="{00000000-0005-0000-0000-0000A91F0000}"/>
    <cellStyle name="Normal 31 4 4" xfId="4798" xr:uid="{00000000-0005-0000-0000-0000AA1F0000}"/>
    <cellStyle name="Normal 31 4 4 2" xfId="4799" xr:uid="{00000000-0005-0000-0000-0000AB1F0000}"/>
    <cellStyle name="Normal 31 4 5" xfId="4800" xr:uid="{00000000-0005-0000-0000-0000AC1F0000}"/>
    <cellStyle name="Normal 31 5" xfId="4801" xr:uid="{00000000-0005-0000-0000-0000AD1F0000}"/>
    <cellStyle name="Normal 31 5 2" xfId="4802" xr:uid="{00000000-0005-0000-0000-0000AE1F0000}"/>
    <cellStyle name="Normal 31 5 2 2" xfId="4803" xr:uid="{00000000-0005-0000-0000-0000AF1F0000}"/>
    <cellStyle name="Normal 31 5 3" xfId="4804" xr:uid="{00000000-0005-0000-0000-0000B01F0000}"/>
    <cellStyle name="Normal 31 5 3 2" xfId="4805" xr:uid="{00000000-0005-0000-0000-0000B11F0000}"/>
    <cellStyle name="Normal 31 5 4" xfId="4806" xr:uid="{00000000-0005-0000-0000-0000B21F0000}"/>
    <cellStyle name="Normal 31 6" xfId="4807" xr:uid="{00000000-0005-0000-0000-0000B31F0000}"/>
    <cellStyle name="Normal 31 6 2" xfId="4808" xr:uid="{00000000-0005-0000-0000-0000B41F0000}"/>
    <cellStyle name="Normal 31 7" xfId="4809" xr:uid="{00000000-0005-0000-0000-0000B51F0000}"/>
    <cellStyle name="Normal 31 7 2" xfId="4810" xr:uid="{00000000-0005-0000-0000-0000B61F0000}"/>
    <cellStyle name="Normal 31 8" xfId="4811" xr:uid="{00000000-0005-0000-0000-0000B71F0000}"/>
    <cellStyle name="Normal 32" xfId="4812" xr:uid="{00000000-0005-0000-0000-0000B81F0000}"/>
    <cellStyle name="Normal 32 2" xfId="4813" xr:uid="{00000000-0005-0000-0000-0000B91F0000}"/>
    <cellStyle name="Normal 32 2 2" xfId="4814" xr:uid="{00000000-0005-0000-0000-0000BA1F0000}"/>
    <cellStyle name="Normal 32 2 2 2" xfId="4815" xr:uid="{00000000-0005-0000-0000-0000BB1F0000}"/>
    <cellStyle name="Normal 32 2 2 2 2" xfId="4816" xr:uid="{00000000-0005-0000-0000-0000BC1F0000}"/>
    <cellStyle name="Normal 32 2 2 2 2 2" xfId="4817" xr:uid="{00000000-0005-0000-0000-0000BD1F0000}"/>
    <cellStyle name="Normal 32 2 2 2 2 2 2" xfId="4818" xr:uid="{00000000-0005-0000-0000-0000BE1F0000}"/>
    <cellStyle name="Normal 32 2 2 2 2 3" xfId="4819" xr:uid="{00000000-0005-0000-0000-0000BF1F0000}"/>
    <cellStyle name="Normal 32 2 2 2 2 3 2" xfId="4820" xr:uid="{00000000-0005-0000-0000-0000C01F0000}"/>
    <cellStyle name="Normal 32 2 2 2 2 4" xfId="4821" xr:uid="{00000000-0005-0000-0000-0000C11F0000}"/>
    <cellStyle name="Normal 32 2 2 2 3" xfId="4822" xr:uid="{00000000-0005-0000-0000-0000C21F0000}"/>
    <cellStyle name="Normal 32 2 2 2 3 2" xfId="4823" xr:uid="{00000000-0005-0000-0000-0000C31F0000}"/>
    <cellStyle name="Normal 32 2 2 2 4" xfId="4824" xr:uid="{00000000-0005-0000-0000-0000C41F0000}"/>
    <cellStyle name="Normal 32 2 2 2 4 2" xfId="4825" xr:uid="{00000000-0005-0000-0000-0000C51F0000}"/>
    <cellStyle name="Normal 32 2 2 2 5" xfId="4826" xr:uid="{00000000-0005-0000-0000-0000C61F0000}"/>
    <cellStyle name="Normal 32 2 2 3" xfId="4827" xr:uid="{00000000-0005-0000-0000-0000C71F0000}"/>
    <cellStyle name="Normal 32 2 2 3 2" xfId="4828" xr:uid="{00000000-0005-0000-0000-0000C81F0000}"/>
    <cellStyle name="Normal 32 2 2 3 2 2" xfId="4829" xr:uid="{00000000-0005-0000-0000-0000C91F0000}"/>
    <cellStyle name="Normal 32 2 2 3 3" xfId="4830" xr:uid="{00000000-0005-0000-0000-0000CA1F0000}"/>
    <cellStyle name="Normal 32 2 2 3 3 2" xfId="4831" xr:uid="{00000000-0005-0000-0000-0000CB1F0000}"/>
    <cellStyle name="Normal 32 2 2 3 4" xfId="4832" xr:uid="{00000000-0005-0000-0000-0000CC1F0000}"/>
    <cellStyle name="Normal 32 2 2 4" xfId="4833" xr:uid="{00000000-0005-0000-0000-0000CD1F0000}"/>
    <cellStyle name="Normal 32 2 2 4 2" xfId="4834" xr:uid="{00000000-0005-0000-0000-0000CE1F0000}"/>
    <cellStyle name="Normal 32 2 2 5" xfId="4835" xr:uid="{00000000-0005-0000-0000-0000CF1F0000}"/>
    <cellStyle name="Normal 32 2 2 5 2" xfId="4836" xr:uid="{00000000-0005-0000-0000-0000D01F0000}"/>
    <cellStyle name="Normal 32 2 2 6" xfId="4837" xr:uid="{00000000-0005-0000-0000-0000D11F0000}"/>
    <cellStyle name="Normal 32 2 3" xfId="4838" xr:uid="{00000000-0005-0000-0000-0000D21F0000}"/>
    <cellStyle name="Normal 32 2 3 2" xfId="4839" xr:uid="{00000000-0005-0000-0000-0000D31F0000}"/>
    <cellStyle name="Normal 32 2 3 2 2" xfId="4840" xr:uid="{00000000-0005-0000-0000-0000D41F0000}"/>
    <cellStyle name="Normal 32 2 3 2 2 2" xfId="4841" xr:uid="{00000000-0005-0000-0000-0000D51F0000}"/>
    <cellStyle name="Normal 32 2 3 2 3" xfId="4842" xr:uid="{00000000-0005-0000-0000-0000D61F0000}"/>
    <cellStyle name="Normal 32 2 3 2 3 2" xfId="4843" xr:uid="{00000000-0005-0000-0000-0000D71F0000}"/>
    <cellStyle name="Normal 32 2 3 2 4" xfId="4844" xr:uid="{00000000-0005-0000-0000-0000D81F0000}"/>
    <cellStyle name="Normal 32 2 3 3" xfId="4845" xr:uid="{00000000-0005-0000-0000-0000D91F0000}"/>
    <cellStyle name="Normal 32 2 3 3 2" xfId="4846" xr:uid="{00000000-0005-0000-0000-0000DA1F0000}"/>
    <cellStyle name="Normal 32 2 3 4" xfId="4847" xr:uid="{00000000-0005-0000-0000-0000DB1F0000}"/>
    <cellStyle name="Normal 32 2 3 4 2" xfId="4848" xr:uid="{00000000-0005-0000-0000-0000DC1F0000}"/>
    <cellStyle name="Normal 32 2 3 5" xfId="4849" xr:uid="{00000000-0005-0000-0000-0000DD1F0000}"/>
    <cellStyle name="Normal 32 2 4" xfId="4850" xr:uid="{00000000-0005-0000-0000-0000DE1F0000}"/>
    <cellStyle name="Normal 32 2 4 2" xfId="4851" xr:uid="{00000000-0005-0000-0000-0000DF1F0000}"/>
    <cellStyle name="Normal 32 2 4 2 2" xfId="4852" xr:uid="{00000000-0005-0000-0000-0000E01F0000}"/>
    <cellStyle name="Normal 32 2 4 3" xfId="4853" xr:uid="{00000000-0005-0000-0000-0000E11F0000}"/>
    <cellStyle name="Normal 32 2 4 3 2" xfId="4854" xr:uid="{00000000-0005-0000-0000-0000E21F0000}"/>
    <cellStyle name="Normal 32 2 4 4" xfId="4855" xr:uid="{00000000-0005-0000-0000-0000E31F0000}"/>
    <cellStyle name="Normal 32 2 5" xfId="4856" xr:uid="{00000000-0005-0000-0000-0000E41F0000}"/>
    <cellStyle name="Normal 32 2 5 2" xfId="4857" xr:uid="{00000000-0005-0000-0000-0000E51F0000}"/>
    <cellStyle name="Normal 32 2 6" xfId="4858" xr:uid="{00000000-0005-0000-0000-0000E61F0000}"/>
    <cellStyle name="Normal 32 2 6 2" xfId="4859" xr:uid="{00000000-0005-0000-0000-0000E71F0000}"/>
    <cellStyle name="Normal 32 2 7" xfId="4860" xr:uid="{00000000-0005-0000-0000-0000E81F0000}"/>
    <cellStyle name="Normal 32 3" xfId="4861" xr:uid="{00000000-0005-0000-0000-0000E91F0000}"/>
    <cellStyle name="Normal 32 3 2" xfId="4862" xr:uid="{00000000-0005-0000-0000-0000EA1F0000}"/>
    <cellStyle name="Normal 32 3 2 2" xfId="4863" xr:uid="{00000000-0005-0000-0000-0000EB1F0000}"/>
    <cellStyle name="Normal 32 3 2 2 2" xfId="4864" xr:uid="{00000000-0005-0000-0000-0000EC1F0000}"/>
    <cellStyle name="Normal 32 3 2 2 2 2" xfId="4865" xr:uid="{00000000-0005-0000-0000-0000ED1F0000}"/>
    <cellStyle name="Normal 32 3 2 2 3" xfId="4866" xr:uid="{00000000-0005-0000-0000-0000EE1F0000}"/>
    <cellStyle name="Normal 32 3 2 2 3 2" xfId="4867" xr:uid="{00000000-0005-0000-0000-0000EF1F0000}"/>
    <cellStyle name="Normal 32 3 2 2 4" xfId="4868" xr:uid="{00000000-0005-0000-0000-0000F01F0000}"/>
    <cellStyle name="Normal 32 3 2 3" xfId="4869" xr:uid="{00000000-0005-0000-0000-0000F11F0000}"/>
    <cellStyle name="Normal 32 3 2 3 2" xfId="4870" xr:uid="{00000000-0005-0000-0000-0000F21F0000}"/>
    <cellStyle name="Normal 32 3 2 4" xfId="4871" xr:uid="{00000000-0005-0000-0000-0000F31F0000}"/>
    <cellStyle name="Normal 32 3 2 4 2" xfId="4872" xr:uid="{00000000-0005-0000-0000-0000F41F0000}"/>
    <cellStyle name="Normal 32 3 2 5" xfId="4873" xr:uid="{00000000-0005-0000-0000-0000F51F0000}"/>
    <cellStyle name="Normal 32 3 3" xfId="4874" xr:uid="{00000000-0005-0000-0000-0000F61F0000}"/>
    <cellStyle name="Normal 32 3 3 2" xfId="4875" xr:uid="{00000000-0005-0000-0000-0000F71F0000}"/>
    <cellStyle name="Normal 32 3 3 2 2" xfId="4876" xr:uid="{00000000-0005-0000-0000-0000F81F0000}"/>
    <cellStyle name="Normal 32 3 3 3" xfId="4877" xr:uid="{00000000-0005-0000-0000-0000F91F0000}"/>
    <cellStyle name="Normal 32 3 3 3 2" xfId="4878" xr:uid="{00000000-0005-0000-0000-0000FA1F0000}"/>
    <cellStyle name="Normal 32 3 3 4" xfId="4879" xr:uid="{00000000-0005-0000-0000-0000FB1F0000}"/>
    <cellStyle name="Normal 32 3 4" xfId="4880" xr:uid="{00000000-0005-0000-0000-0000FC1F0000}"/>
    <cellStyle name="Normal 32 3 4 2" xfId="4881" xr:uid="{00000000-0005-0000-0000-0000FD1F0000}"/>
    <cellStyle name="Normal 32 3 5" xfId="4882" xr:uid="{00000000-0005-0000-0000-0000FE1F0000}"/>
    <cellStyle name="Normal 32 3 5 2" xfId="4883" xr:uid="{00000000-0005-0000-0000-0000FF1F0000}"/>
    <cellStyle name="Normal 32 3 6" xfId="4884" xr:uid="{00000000-0005-0000-0000-000000200000}"/>
    <cellStyle name="Normal 32 4" xfId="4885" xr:uid="{00000000-0005-0000-0000-000001200000}"/>
    <cellStyle name="Normal 32 4 2" xfId="4886" xr:uid="{00000000-0005-0000-0000-000002200000}"/>
    <cellStyle name="Normal 32 4 2 2" xfId="4887" xr:uid="{00000000-0005-0000-0000-000003200000}"/>
    <cellStyle name="Normal 32 4 2 2 2" xfId="4888" xr:uid="{00000000-0005-0000-0000-000004200000}"/>
    <cellStyle name="Normal 32 4 2 3" xfId="4889" xr:uid="{00000000-0005-0000-0000-000005200000}"/>
    <cellStyle name="Normal 32 4 2 3 2" xfId="4890" xr:uid="{00000000-0005-0000-0000-000006200000}"/>
    <cellStyle name="Normal 32 4 2 4" xfId="4891" xr:uid="{00000000-0005-0000-0000-000007200000}"/>
    <cellStyle name="Normal 32 4 3" xfId="4892" xr:uid="{00000000-0005-0000-0000-000008200000}"/>
    <cellStyle name="Normal 32 4 3 2" xfId="4893" xr:uid="{00000000-0005-0000-0000-000009200000}"/>
    <cellStyle name="Normal 32 4 4" xfId="4894" xr:uid="{00000000-0005-0000-0000-00000A200000}"/>
    <cellStyle name="Normal 32 4 4 2" xfId="4895" xr:uid="{00000000-0005-0000-0000-00000B200000}"/>
    <cellStyle name="Normal 32 4 5" xfId="4896" xr:uid="{00000000-0005-0000-0000-00000C200000}"/>
    <cellStyle name="Normal 32 5" xfId="4897" xr:uid="{00000000-0005-0000-0000-00000D200000}"/>
    <cellStyle name="Normal 32 5 2" xfId="4898" xr:uid="{00000000-0005-0000-0000-00000E200000}"/>
    <cellStyle name="Normal 32 5 2 2" xfId="4899" xr:uid="{00000000-0005-0000-0000-00000F200000}"/>
    <cellStyle name="Normal 32 5 3" xfId="4900" xr:uid="{00000000-0005-0000-0000-000010200000}"/>
    <cellStyle name="Normal 32 5 3 2" xfId="4901" xr:uid="{00000000-0005-0000-0000-000011200000}"/>
    <cellStyle name="Normal 32 5 4" xfId="4902" xr:uid="{00000000-0005-0000-0000-000012200000}"/>
    <cellStyle name="Normal 32 6" xfId="4903" xr:uid="{00000000-0005-0000-0000-000013200000}"/>
    <cellStyle name="Normal 32 6 2" xfId="4904" xr:uid="{00000000-0005-0000-0000-000014200000}"/>
    <cellStyle name="Normal 32 7" xfId="4905" xr:uid="{00000000-0005-0000-0000-000015200000}"/>
    <cellStyle name="Normal 32 7 2" xfId="4906" xr:uid="{00000000-0005-0000-0000-000016200000}"/>
    <cellStyle name="Normal 32 8" xfId="4907" xr:uid="{00000000-0005-0000-0000-000017200000}"/>
    <cellStyle name="Normal 33" xfId="4908" xr:uid="{00000000-0005-0000-0000-000018200000}"/>
    <cellStyle name="Normal 33 2" xfId="4909" xr:uid="{00000000-0005-0000-0000-000019200000}"/>
    <cellStyle name="Normal 33 3" xfId="4910" xr:uid="{00000000-0005-0000-0000-00001A200000}"/>
    <cellStyle name="Normal 34" xfId="4911" xr:uid="{00000000-0005-0000-0000-00001B200000}"/>
    <cellStyle name="Normal 34 2" xfId="4912" xr:uid="{00000000-0005-0000-0000-00001C200000}"/>
    <cellStyle name="Normal 34 3" xfId="4913" xr:uid="{00000000-0005-0000-0000-00001D200000}"/>
    <cellStyle name="Normal 35" xfId="4914" xr:uid="{00000000-0005-0000-0000-00001E200000}"/>
    <cellStyle name="Normal 35 2" xfId="4915" xr:uid="{00000000-0005-0000-0000-00001F200000}"/>
    <cellStyle name="Normal 35 2 2" xfId="4916" xr:uid="{00000000-0005-0000-0000-000020200000}"/>
    <cellStyle name="Normal 35 2 2 2" xfId="4917" xr:uid="{00000000-0005-0000-0000-000021200000}"/>
    <cellStyle name="Normal 35 2 2 2 2" xfId="4918" xr:uid="{00000000-0005-0000-0000-000022200000}"/>
    <cellStyle name="Normal 35 2 2 2 2 2" xfId="4919" xr:uid="{00000000-0005-0000-0000-000023200000}"/>
    <cellStyle name="Normal 35 2 2 2 3" xfId="4920" xr:uid="{00000000-0005-0000-0000-000024200000}"/>
    <cellStyle name="Normal 35 2 2 2 3 2" xfId="4921" xr:uid="{00000000-0005-0000-0000-000025200000}"/>
    <cellStyle name="Normal 35 2 2 2 4" xfId="4922" xr:uid="{00000000-0005-0000-0000-000026200000}"/>
    <cellStyle name="Normal 35 2 2 3" xfId="4923" xr:uid="{00000000-0005-0000-0000-000027200000}"/>
    <cellStyle name="Normal 35 2 2 3 2" xfId="4924" xr:uid="{00000000-0005-0000-0000-000028200000}"/>
    <cellStyle name="Normal 35 2 2 4" xfId="4925" xr:uid="{00000000-0005-0000-0000-000029200000}"/>
    <cellStyle name="Normal 35 2 2 4 2" xfId="4926" xr:uid="{00000000-0005-0000-0000-00002A200000}"/>
    <cellStyle name="Normal 35 2 2 5" xfId="4927" xr:uid="{00000000-0005-0000-0000-00002B200000}"/>
    <cellStyle name="Normal 35 2 3" xfId="4928" xr:uid="{00000000-0005-0000-0000-00002C200000}"/>
    <cellStyle name="Normal 35 2 3 2" xfId="4929" xr:uid="{00000000-0005-0000-0000-00002D200000}"/>
    <cellStyle name="Normal 35 2 3 2 2" xfId="4930" xr:uid="{00000000-0005-0000-0000-00002E200000}"/>
    <cellStyle name="Normal 35 2 3 3" xfId="4931" xr:uid="{00000000-0005-0000-0000-00002F200000}"/>
    <cellStyle name="Normal 35 2 3 3 2" xfId="4932" xr:uid="{00000000-0005-0000-0000-000030200000}"/>
    <cellStyle name="Normal 35 2 3 4" xfId="4933" xr:uid="{00000000-0005-0000-0000-000031200000}"/>
    <cellStyle name="Normal 35 2 4" xfId="4934" xr:uid="{00000000-0005-0000-0000-000032200000}"/>
    <cellStyle name="Normal 35 2 4 2" xfId="4935" xr:uid="{00000000-0005-0000-0000-000033200000}"/>
    <cellStyle name="Normal 35 2 5" xfId="4936" xr:uid="{00000000-0005-0000-0000-000034200000}"/>
    <cellStyle name="Normal 35 2 5 2" xfId="4937" xr:uid="{00000000-0005-0000-0000-000035200000}"/>
    <cellStyle name="Normal 35 2 6" xfId="4938" xr:uid="{00000000-0005-0000-0000-000036200000}"/>
    <cellStyle name="Normal 35 3" xfId="4939" xr:uid="{00000000-0005-0000-0000-000037200000}"/>
    <cellStyle name="Normal 35 3 2" xfId="4940" xr:uid="{00000000-0005-0000-0000-000038200000}"/>
    <cellStyle name="Normal 35 3 2 2" xfId="4941" xr:uid="{00000000-0005-0000-0000-000039200000}"/>
    <cellStyle name="Normal 35 3 2 2 2" xfId="4942" xr:uid="{00000000-0005-0000-0000-00003A200000}"/>
    <cellStyle name="Normal 35 3 2 3" xfId="4943" xr:uid="{00000000-0005-0000-0000-00003B200000}"/>
    <cellStyle name="Normal 35 3 2 3 2" xfId="4944" xr:uid="{00000000-0005-0000-0000-00003C200000}"/>
    <cellStyle name="Normal 35 3 2 4" xfId="4945" xr:uid="{00000000-0005-0000-0000-00003D200000}"/>
    <cellStyle name="Normal 35 3 3" xfId="4946" xr:uid="{00000000-0005-0000-0000-00003E200000}"/>
    <cellStyle name="Normal 35 3 3 2" xfId="4947" xr:uid="{00000000-0005-0000-0000-00003F200000}"/>
    <cellStyle name="Normal 35 3 4" xfId="4948" xr:uid="{00000000-0005-0000-0000-000040200000}"/>
    <cellStyle name="Normal 35 3 4 2" xfId="4949" xr:uid="{00000000-0005-0000-0000-000041200000}"/>
    <cellStyle name="Normal 35 3 5" xfId="4950" xr:uid="{00000000-0005-0000-0000-000042200000}"/>
    <cellStyle name="Normal 35 4" xfId="4951" xr:uid="{00000000-0005-0000-0000-000043200000}"/>
    <cellStyle name="Normal 35 4 2" xfId="4952" xr:uid="{00000000-0005-0000-0000-000044200000}"/>
    <cellStyle name="Normal 35 4 2 2" xfId="4953" xr:uid="{00000000-0005-0000-0000-000045200000}"/>
    <cellStyle name="Normal 35 4 3" xfId="4954" xr:uid="{00000000-0005-0000-0000-000046200000}"/>
    <cellStyle name="Normal 35 4 3 2" xfId="4955" xr:uid="{00000000-0005-0000-0000-000047200000}"/>
    <cellStyle name="Normal 35 4 4" xfId="4956" xr:uid="{00000000-0005-0000-0000-000048200000}"/>
    <cellStyle name="Normal 35 5" xfId="4957" xr:uid="{00000000-0005-0000-0000-000049200000}"/>
    <cellStyle name="Normal 35 5 2" xfId="4958" xr:uid="{00000000-0005-0000-0000-00004A200000}"/>
    <cellStyle name="Normal 35 6" xfId="4959" xr:uid="{00000000-0005-0000-0000-00004B200000}"/>
    <cellStyle name="Normal 35 6 2" xfId="4960" xr:uid="{00000000-0005-0000-0000-00004C200000}"/>
    <cellStyle name="Normal 35 7" xfId="4961" xr:uid="{00000000-0005-0000-0000-00004D200000}"/>
    <cellStyle name="Normal 36" xfId="4962" xr:uid="{00000000-0005-0000-0000-00004E200000}"/>
    <cellStyle name="Normal 36 2" xfId="4963" xr:uid="{00000000-0005-0000-0000-00004F200000}"/>
    <cellStyle name="Normal 36 2 2" xfId="4964" xr:uid="{00000000-0005-0000-0000-000050200000}"/>
    <cellStyle name="Normal 36 2 2 2" xfId="4965" xr:uid="{00000000-0005-0000-0000-000051200000}"/>
    <cellStyle name="Normal 36 2 2 2 2" xfId="4966" xr:uid="{00000000-0005-0000-0000-000052200000}"/>
    <cellStyle name="Normal 36 2 2 2 2 2" xfId="4967" xr:uid="{00000000-0005-0000-0000-000053200000}"/>
    <cellStyle name="Normal 36 2 2 2 3" xfId="4968" xr:uid="{00000000-0005-0000-0000-000054200000}"/>
    <cellStyle name="Normal 36 2 2 2 3 2" xfId="4969" xr:uid="{00000000-0005-0000-0000-000055200000}"/>
    <cellStyle name="Normal 36 2 2 2 4" xfId="4970" xr:uid="{00000000-0005-0000-0000-000056200000}"/>
    <cellStyle name="Normal 36 2 2 3" xfId="4971" xr:uid="{00000000-0005-0000-0000-000057200000}"/>
    <cellStyle name="Normal 36 2 2 3 2" xfId="4972" xr:uid="{00000000-0005-0000-0000-000058200000}"/>
    <cellStyle name="Normal 36 2 2 4" xfId="4973" xr:uid="{00000000-0005-0000-0000-000059200000}"/>
    <cellStyle name="Normal 36 2 2 4 2" xfId="4974" xr:uid="{00000000-0005-0000-0000-00005A200000}"/>
    <cellStyle name="Normal 36 2 2 5" xfId="4975" xr:uid="{00000000-0005-0000-0000-00005B200000}"/>
    <cellStyle name="Normal 36 2 3" xfId="4976" xr:uid="{00000000-0005-0000-0000-00005C200000}"/>
    <cellStyle name="Normal 36 2 3 2" xfId="4977" xr:uid="{00000000-0005-0000-0000-00005D200000}"/>
    <cellStyle name="Normal 36 2 3 2 2" xfId="4978" xr:uid="{00000000-0005-0000-0000-00005E200000}"/>
    <cellStyle name="Normal 36 2 3 3" xfId="4979" xr:uid="{00000000-0005-0000-0000-00005F200000}"/>
    <cellStyle name="Normal 36 2 3 3 2" xfId="4980" xr:uid="{00000000-0005-0000-0000-000060200000}"/>
    <cellStyle name="Normal 36 2 3 4" xfId="4981" xr:uid="{00000000-0005-0000-0000-000061200000}"/>
    <cellStyle name="Normal 36 2 4" xfId="4982" xr:uid="{00000000-0005-0000-0000-000062200000}"/>
    <cellStyle name="Normal 36 2 4 2" xfId="4983" xr:uid="{00000000-0005-0000-0000-000063200000}"/>
    <cellStyle name="Normal 36 2 5" xfId="4984" xr:uid="{00000000-0005-0000-0000-000064200000}"/>
    <cellStyle name="Normal 36 2 5 2" xfId="4985" xr:uid="{00000000-0005-0000-0000-000065200000}"/>
    <cellStyle name="Normal 36 2 6" xfId="4986" xr:uid="{00000000-0005-0000-0000-000066200000}"/>
    <cellStyle name="Normal 36 3" xfId="4987" xr:uid="{00000000-0005-0000-0000-000067200000}"/>
    <cellStyle name="Normal 36 3 2" xfId="4988" xr:uid="{00000000-0005-0000-0000-000068200000}"/>
    <cellStyle name="Normal 36 3 2 2" xfId="4989" xr:uid="{00000000-0005-0000-0000-000069200000}"/>
    <cellStyle name="Normal 36 3 2 2 2" xfId="4990" xr:uid="{00000000-0005-0000-0000-00006A200000}"/>
    <cellStyle name="Normal 36 3 2 3" xfId="4991" xr:uid="{00000000-0005-0000-0000-00006B200000}"/>
    <cellStyle name="Normal 36 3 2 3 2" xfId="4992" xr:uid="{00000000-0005-0000-0000-00006C200000}"/>
    <cellStyle name="Normal 36 3 2 4" xfId="4993" xr:uid="{00000000-0005-0000-0000-00006D200000}"/>
    <cellStyle name="Normal 36 3 3" xfId="4994" xr:uid="{00000000-0005-0000-0000-00006E200000}"/>
    <cellStyle name="Normal 36 3 3 2" xfId="4995" xr:uid="{00000000-0005-0000-0000-00006F200000}"/>
    <cellStyle name="Normal 36 3 4" xfId="4996" xr:uid="{00000000-0005-0000-0000-000070200000}"/>
    <cellStyle name="Normal 36 3 4 2" xfId="4997" xr:uid="{00000000-0005-0000-0000-000071200000}"/>
    <cellStyle name="Normal 36 3 5" xfId="4998" xr:uid="{00000000-0005-0000-0000-000072200000}"/>
    <cellStyle name="Normal 36 4" xfId="4999" xr:uid="{00000000-0005-0000-0000-000073200000}"/>
    <cellStyle name="Normal 36 4 2" xfId="5000" xr:uid="{00000000-0005-0000-0000-000074200000}"/>
    <cellStyle name="Normal 36 4 2 2" xfId="5001" xr:uid="{00000000-0005-0000-0000-000075200000}"/>
    <cellStyle name="Normal 36 4 3" xfId="5002" xr:uid="{00000000-0005-0000-0000-000076200000}"/>
    <cellStyle name="Normal 36 4 3 2" xfId="5003" xr:uid="{00000000-0005-0000-0000-000077200000}"/>
    <cellStyle name="Normal 36 4 4" xfId="5004" xr:uid="{00000000-0005-0000-0000-000078200000}"/>
    <cellStyle name="Normal 36 5" xfId="5005" xr:uid="{00000000-0005-0000-0000-000079200000}"/>
    <cellStyle name="Normal 36 5 2" xfId="5006" xr:uid="{00000000-0005-0000-0000-00007A200000}"/>
    <cellStyle name="Normal 36 6" xfId="5007" xr:uid="{00000000-0005-0000-0000-00007B200000}"/>
    <cellStyle name="Normal 36 6 2" xfId="5008" xr:uid="{00000000-0005-0000-0000-00007C200000}"/>
    <cellStyle name="Normal 36 7" xfId="5009" xr:uid="{00000000-0005-0000-0000-00007D200000}"/>
    <cellStyle name="Normal 37" xfId="5010" xr:uid="{00000000-0005-0000-0000-00007E200000}"/>
    <cellStyle name="Normal 37 2" xfId="5011" xr:uid="{00000000-0005-0000-0000-00007F200000}"/>
    <cellStyle name="Normal 37 2 2" xfId="5012" xr:uid="{00000000-0005-0000-0000-000080200000}"/>
    <cellStyle name="Normal 37 2 2 2" xfId="5013" xr:uid="{00000000-0005-0000-0000-000081200000}"/>
    <cellStyle name="Normal 37 2 2 2 2" xfId="5014" xr:uid="{00000000-0005-0000-0000-000082200000}"/>
    <cellStyle name="Normal 37 2 2 2 2 2" xfId="5015" xr:uid="{00000000-0005-0000-0000-000083200000}"/>
    <cellStyle name="Normal 37 2 2 2 3" xfId="5016" xr:uid="{00000000-0005-0000-0000-000084200000}"/>
    <cellStyle name="Normal 37 2 2 2 3 2" xfId="5017" xr:uid="{00000000-0005-0000-0000-000085200000}"/>
    <cellStyle name="Normal 37 2 2 2 4" xfId="5018" xr:uid="{00000000-0005-0000-0000-000086200000}"/>
    <cellStyle name="Normal 37 2 2 3" xfId="5019" xr:uid="{00000000-0005-0000-0000-000087200000}"/>
    <cellStyle name="Normal 37 2 2 3 2" xfId="5020" xr:uid="{00000000-0005-0000-0000-000088200000}"/>
    <cellStyle name="Normal 37 2 2 4" xfId="5021" xr:uid="{00000000-0005-0000-0000-000089200000}"/>
    <cellStyle name="Normal 37 2 2 4 2" xfId="5022" xr:uid="{00000000-0005-0000-0000-00008A200000}"/>
    <cellStyle name="Normal 37 2 2 5" xfId="5023" xr:uid="{00000000-0005-0000-0000-00008B200000}"/>
    <cellStyle name="Normal 37 2 3" xfId="5024" xr:uid="{00000000-0005-0000-0000-00008C200000}"/>
    <cellStyle name="Normal 37 2 3 2" xfId="5025" xr:uid="{00000000-0005-0000-0000-00008D200000}"/>
    <cellStyle name="Normal 37 2 3 2 2" xfId="5026" xr:uid="{00000000-0005-0000-0000-00008E200000}"/>
    <cellStyle name="Normal 37 2 3 3" xfId="5027" xr:uid="{00000000-0005-0000-0000-00008F200000}"/>
    <cellStyle name="Normal 37 2 3 3 2" xfId="5028" xr:uid="{00000000-0005-0000-0000-000090200000}"/>
    <cellStyle name="Normal 37 2 3 4" xfId="5029" xr:uid="{00000000-0005-0000-0000-000091200000}"/>
    <cellStyle name="Normal 37 2 4" xfId="5030" xr:uid="{00000000-0005-0000-0000-000092200000}"/>
    <cellStyle name="Normal 37 2 4 2" xfId="5031" xr:uid="{00000000-0005-0000-0000-000093200000}"/>
    <cellStyle name="Normal 37 2 5" xfId="5032" xr:uid="{00000000-0005-0000-0000-000094200000}"/>
    <cellStyle name="Normal 37 2 5 2" xfId="5033" xr:uid="{00000000-0005-0000-0000-000095200000}"/>
    <cellStyle name="Normal 37 2 6" xfId="5034" xr:uid="{00000000-0005-0000-0000-000096200000}"/>
    <cellStyle name="Normal 37 3" xfId="5035" xr:uid="{00000000-0005-0000-0000-000097200000}"/>
    <cellStyle name="Normal 37 3 2" xfId="5036" xr:uid="{00000000-0005-0000-0000-000098200000}"/>
    <cellStyle name="Normal 37 3 2 2" xfId="5037" xr:uid="{00000000-0005-0000-0000-000099200000}"/>
    <cellStyle name="Normal 37 3 2 2 2" xfId="5038" xr:uid="{00000000-0005-0000-0000-00009A200000}"/>
    <cellStyle name="Normal 37 3 2 3" xfId="5039" xr:uid="{00000000-0005-0000-0000-00009B200000}"/>
    <cellStyle name="Normal 37 3 2 3 2" xfId="5040" xr:uid="{00000000-0005-0000-0000-00009C200000}"/>
    <cellStyle name="Normal 37 3 2 4" xfId="5041" xr:uid="{00000000-0005-0000-0000-00009D200000}"/>
    <cellStyle name="Normal 37 3 3" xfId="5042" xr:uid="{00000000-0005-0000-0000-00009E200000}"/>
    <cellStyle name="Normal 37 3 3 2" xfId="5043" xr:uid="{00000000-0005-0000-0000-00009F200000}"/>
    <cellStyle name="Normal 37 3 4" xfId="5044" xr:uid="{00000000-0005-0000-0000-0000A0200000}"/>
    <cellStyle name="Normal 37 3 4 2" xfId="5045" xr:uid="{00000000-0005-0000-0000-0000A1200000}"/>
    <cellStyle name="Normal 37 3 5" xfId="5046" xr:uid="{00000000-0005-0000-0000-0000A2200000}"/>
    <cellStyle name="Normal 37 4" xfId="5047" xr:uid="{00000000-0005-0000-0000-0000A3200000}"/>
    <cellStyle name="Normal 37 4 2" xfId="5048" xr:uid="{00000000-0005-0000-0000-0000A4200000}"/>
    <cellStyle name="Normal 37 4 2 2" xfId="5049" xr:uid="{00000000-0005-0000-0000-0000A5200000}"/>
    <cellStyle name="Normal 37 4 3" xfId="5050" xr:uid="{00000000-0005-0000-0000-0000A6200000}"/>
    <cellStyle name="Normal 37 4 3 2" xfId="5051" xr:uid="{00000000-0005-0000-0000-0000A7200000}"/>
    <cellStyle name="Normal 37 4 4" xfId="5052" xr:uid="{00000000-0005-0000-0000-0000A8200000}"/>
    <cellStyle name="Normal 37 5" xfId="5053" xr:uid="{00000000-0005-0000-0000-0000A9200000}"/>
    <cellStyle name="Normal 37 5 2" xfId="5054" xr:uid="{00000000-0005-0000-0000-0000AA200000}"/>
    <cellStyle name="Normal 37 6" xfId="5055" xr:uid="{00000000-0005-0000-0000-0000AB200000}"/>
    <cellStyle name="Normal 37 6 2" xfId="5056" xr:uid="{00000000-0005-0000-0000-0000AC200000}"/>
    <cellStyle name="Normal 37 7" xfId="5057" xr:uid="{00000000-0005-0000-0000-0000AD200000}"/>
    <cellStyle name="Normal 38" xfId="5058" xr:uid="{00000000-0005-0000-0000-0000AE200000}"/>
    <cellStyle name="Normal 38 2" xfId="5059" xr:uid="{00000000-0005-0000-0000-0000AF200000}"/>
    <cellStyle name="Normal 38 2 2" xfId="5060" xr:uid="{00000000-0005-0000-0000-0000B0200000}"/>
    <cellStyle name="Normal 38 2 2 2" xfId="5061" xr:uid="{00000000-0005-0000-0000-0000B1200000}"/>
    <cellStyle name="Normal 38 2 2 2 2" xfId="5062" xr:uid="{00000000-0005-0000-0000-0000B2200000}"/>
    <cellStyle name="Normal 38 2 2 2 2 2" xfId="5063" xr:uid="{00000000-0005-0000-0000-0000B3200000}"/>
    <cellStyle name="Normal 38 2 2 2 3" xfId="5064" xr:uid="{00000000-0005-0000-0000-0000B4200000}"/>
    <cellStyle name="Normal 38 2 2 2 3 2" xfId="5065" xr:uid="{00000000-0005-0000-0000-0000B5200000}"/>
    <cellStyle name="Normal 38 2 2 2 4" xfId="5066" xr:uid="{00000000-0005-0000-0000-0000B6200000}"/>
    <cellStyle name="Normal 38 2 2 3" xfId="5067" xr:uid="{00000000-0005-0000-0000-0000B7200000}"/>
    <cellStyle name="Normal 38 2 2 3 2" xfId="5068" xr:uid="{00000000-0005-0000-0000-0000B8200000}"/>
    <cellStyle name="Normal 38 2 2 4" xfId="5069" xr:uid="{00000000-0005-0000-0000-0000B9200000}"/>
    <cellStyle name="Normal 38 2 2 4 2" xfId="5070" xr:uid="{00000000-0005-0000-0000-0000BA200000}"/>
    <cellStyle name="Normal 38 2 2 5" xfId="5071" xr:uid="{00000000-0005-0000-0000-0000BB200000}"/>
    <cellStyle name="Normal 38 2 3" xfId="5072" xr:uid="{00000000-0005-0000-0000-0000BC200000}"/>
    <cellStyle name="Normal 38 2 3 2" xfId="5073" xr:uid="{00000000-0005-0000-0000-0000BD200000}"/>
    <cellStyle name="Normal 38 2 3 2 2" xfId="5074" xr:uid="{00000000-0005-0000-0000-0000BE200000}"/>
    <cellStyle name="Normal 38 2 3 3" xfId="5075" xr:uid="{00000000-0005-0000-0000-0000BF200000}"/>
    <cellStyle name="Normal 38 2 3 3 2" xfId="5076" xr:uid="{00000000-0005-0000-0000-0000C0200000}"/>
    <cellStyle name="Normal 38 2 3 4" xfId="5077" xr:uid="{00000000-0005-0000-0000-0000C1200000}"/>
    <cellStyle name="Normal 38 2 4" xfId="5078" xr:uid="{00000000-0005-0000-0000-0000C2200000}"/>
    <cellStyle name="Normal 38 2 4 2" xfId="5079" xr:uid="{00000000-0005-0000-0000-0000C3200000}"/>
    <cellStyle name="Normal 38 2 5" xfId="5080" xr:uid="{00000000-0005-0000-0000-0000C4200000}"/>
    <cellStyle name="Normal 38 2 5 2" xfId="5081" xr:uid="{00000000-0005-0000-0000-0000C5200000}"/>
    <cellStyle name="Normal 38 2 6" xfId="5082" xr:uid="{00000000-0005-0000-0000-0000C6200000}"/>
    <cellStyle name="Normal 38 3" xfId="5083" xr:uid="{00000000-0005-0000-0000-0000C7200000}"/>
    <cellStyle name="Normal 38 3 2" xfId="5084" xr:uid="{00000000-0005-0000-0000-0000C8200000}"/>
    <cellStyle name="Normal 38 3 2 2" xfId="5085" xr:uid="{00000000-0005-0000-0000-0000C9200000}"/>
    <cellStyle name="Normal 38 3 2 2 2" xfId="5086" xr:uid="{00000000-0005-0000-0000-0000CA200000}"/>
    <cellStyle name="Normal 38 3 2 3" xfId="5087" xr:uid="{00000000-0005-0000-0000-0000CB200000}"/>
    <cellStyle name="Normal 38 3 2 3 2" xfId="5088" xr:uid="{00000000-0005-0000-0000-0000CC200000}"/>
    <cellStyle name="Normal 38 3 2 4" xfId="5089" xr:uid="{00000000-0005-0000-0000-0000CD200000}"/>
    <cellStyle name="Normal 38 3 3" xfId="5090" xr:uid="{00000000-0005-0000-0000-0000CE200000}"/>
    <cellStyle name="Normal 38 3 3 2" xfId="5091" xr:uid="{00000000-0005-0000-0000-0000CF200000}"/>
    <cellStyle name="Normal 38 3 4" xfId="5092" xr:uid="{00000000-0005-0000-0000-0000D0200000}"/>
    <cellStyle name="Normal 38 3 4 2" xfId="5093" xr:uid="{00000000-0005-0000-0000-0000D1200000}"/>
    <cellStyle name="Normal 38 3 5" xfId="5094" xr:uid="{00000000-0005-0000-0000-0000D2200000}"/>
    <cellStyle name="Normal 38 4" xfId="5095" xr:uid="{00000000-0005-0000-0000-0000D3200000}"/>
    <cellStyle name="Normal 38 4 2" xfId="5096" xr:uid="{00000000-0005-0000-0000-0000D4200000}"/>
    <cellStyle name="Normal 38 4 2 2" xfId="5097" xr:uid="{00000000-0005-0000-0000-0000D5200000}"/>
    <cellStyle name="Normal 38 4 3" xfId="5098" xr:uid="{00000000-0005-0000-0000-0000D6200000}"/>
    <cellStyle name="Normal 38 4 3 2" xfId="5099" xr:uid="{00000000-0005-0000-0000-0000D7200000}"/>
    <cellStyle name="Normal 38 4 4" xfId="5100" xr:uid="{00000000-0005-0000-0000-0000D8200000}"/>
    <cellStyle name="Normal 38 5" xfId="5101" xr:uid="{00000000-0005-0000-0000-0000D9200000}"/>
    <cellStyle name="Normal 38 5 2" xfId="5102" xr:uid="{00000000-0005-0000-0000-0000DA200000}"/>
    <cellStyle name="Normal 38 6" xfId="5103" xr:uid="{00000000-0005-0000-0000-0000DB200000}"/>
    <cellStyle name="Normal 38 6 2" xfId="5104" xr:uid="{00000000-0005-0000-0000-0000DC200000}"/>
    <cellStyle name="Normal 38 7" xfId="5105" xr:uid="{00000000-0005-0000-0000-0000DD200000}"/>
    <cellStyle name="Normal 39" xfId="5106" xr:uid="{00000000-0005-0000-0000-0000DE200000}"/>
    <cellStyle name="Normal 39 2" xfId="5107" xr:uid="{00000000-0005-0000-0000-0000DF200000}"/>
    <cellStyle name="Normal 39 2 2" xfId="5108" xr:uid="{00000000-0005-0000-0000-0000E0200000}"/>
    <cellStyle name="Normal 39 2 2 2" xfId="5109" xr:uid="{00000000-0005-0000-0000-0000E1200000}"/>
    <cellStyle name="Normal 39 2 2 2 2" xfId="5110" xr:uid="{00000000-0005-0000-0000-0000E2200000}"/>
    <cellStyle name="Normal 39 2 2 2 2 2" xfId="5111" xr:uid="{00000000-0005-0000-0000-0000E3200000}"/>
    <cellStyle name="Normal 39 2 2 2 3" xfId="5112" xr:uid="{00000000-0005-0000-0000-0000E4200000}"/>
    <cellStyle name="Normal 39 2 2 2 3 2" xfId="5113" xr:uid="{00000000-0005-0000-0000-0000E5200000}"/>
    <cellStyle name="Normal 39 2 2 2 4" xfId="5114" xr:uid="{00000000-0005-0000-0000-0000E6200000}"/>
    <cellStyle name="Normal 39 2 2 3" xfId="5115" xr:uid="{00000000-0005-0000-0000-0000E7200000}"/>
    <cellStyle name="Normal 39 2 2 3 2" xfId="5116" xr:uid="{00000000-0005-0000-0000-0000E8200000}"/>
    <cellStyle name="Normal 39 2 2 4" xfId="5117" xr:uid="{00000000-0005-0000-0000-0000E9200000}"/>
    <cellStyle name="Normal 39 2 2 4 2" xfId="5118" xr:uid="{00000000-0005-0000-0000-0000EA200000}"/>
    <cellStyle name="Normal 39 2 2 5" xfId="5119" xr:uid="{00000000-0005-0000-0000-0000EB200000}"/>
    <cellStyle name="Normal 39 2 3" xfId="5120" xr:uid="{00000000-0005-0000-0000-0000EC200000}"/>
    <cellStyle name="Normal 39 2 3 2" xfId="5121" xr:uid="{00000000-0005-0000-0000-0000ED200000}"/>
    <cellStyle name="Normal 39 2 3 2 2" xfId="5122" xr:uid="{00000000-0005-0000-0000-0000EE200000}"/>
    <cellStyle name="Normal 39 2 3 3" xfId="5123" xr:uid="{00000000-0005-0000-0000-0000EF200000}"/>
    <cellStyle name="Normal 39 2 3 3 2" xfId="5124" xr:uid="{00000000-0005-0000-0000-0000F0200000}"/>
    <cellStyle name="Normal 39 2 3 4" xfId="5125" xr:uid="{00000000-0005-0000-0000-0000F1200000}"/>
    <cellStyle name="Normal 39 2 4" xfId="5126" xr:uid="{00000000-0005-0000-0000-0000F2200000}"/>
    <cellStyle name="Normal 39 2 4 2" xfId="5127" xr:uid="{00000000-0005-0000-0000-0000F3200000}"/>
    <cellStyle name="Normal 39 2 5" xfId="5128" xr:uid="{00000000-0005-0000-0000-0000F4200000}"/>
    <cellStyle name="Normal 39 2 5 2" xfId="5129" xr:uid="{00000000-0005-0000-0000-0000F5200000}"/>
    <cellStyle name="Normal 39 2 6" xfId="5130" xr:uid="{00000000-0005-0000-0000-0000F6200000}"/>
    <cellStyle name="Normal 39 3" xfId="5131" xr:uid="{00000000-0005-0000-0000-0000F7200000}"/>
    <cellStyle name="Normal 39 3 2" xfId="5132" xr:uid="{00000000-0005-0000-0000-0000F8200000}"/>
    <cellStyle name="Normal 39 3 2 2" xfId="5133" xr:uid="{00000000-0005-0000-0000-0000F9200000}"/>
    <cellStyle name="Normal 39 3 2 2 2" xfId="5134" xr:uid="{00000000-0005-0000-0000-0000FA200000}"/>
    <cellStyle name="Normal 39 3 2 3" xfId="5135" xr:uid="{00000000-0005-0000-0000-0000FB200000}"/>
    <cellStyle name="Normal 39 3 2 3 2" xfId="5136" xr:uid="{00000000-0005-0000-0000-0000FC200000}"/>
    <cellStyle name="Normal 39 3 2 4" xfId="5137" xr:uid="{00000000-0005-0000-0000-0000FD200000}"/>
    <cellStyle name="Normal 39 3 3" xfId="5138" xr:uid="{00000000-0005-0000-0000-0000FE200000}"/>
    <cellStyle name="Normal 39 3 3 2" xfId="5139" xr:uid="{00000000-0005-0000-0000-0000FF200000}"/>
    <cellStyle name="Normal 39 3 4" xfId="5140" xr:uid="{00000000-0005-0000-0000-000000210000}"/>
    <cellStyle name="Normal 39 3 4 2" xfId="5141" xr:uid="{00000000-0005-0000-0000-000001210000}"/>
    <cellStyle name="Normal 39 3 5" xfId="5142" xr:uid="{00000000-0005-0000-0000-000002210000}"/>
    <cellStyle name="Normal 39 4" xfId="5143" xr:uid="{00000000-0005-0000-0000-000003210000}"/>
    <cellStyle name="Normal 39 4 2" xfId="5144" xr:uid="{00000000-0005-0000-0000-000004210000}"/>
    <cellStyle name="Normal 39 4 2 2" xfId="5145" xr:uid="{00000000-0005-0000-0000-000005210000}"/>
    <cellStyle name="Normal 39 4 3" xfId="5146" xr:uid="{00000000-0005-0000-0000-000006210000}"/>
    <cellStyle name="Normal 39 4 3 2" xfId="5147" xr:uid="{00000000-0005-0000-0000-000007210000}"/>
    <cellStyle name="Normal 39 4 4" xfId="5148" xr:uid="{00000000-0005-0000-0000-000008210000}"/>
    <cellStyle name="Normal 39 5" xfId="5149" xr:uid="{00000000-0005-0000-0000-000009210000}"/>
    <cellStyle name="Normal 39 5 2" xfId="5150" xr:uid="{00000000-0005-0000-0000-00000A210000}"/>
    <cellStyle name="Normal 39 6" xfId="5151" xr:uid="{00000000-0005-0000-0000-00000B210000}"/>
    <cellStyle name="Normal 39 6 2" xfId="5152" xr:uid="{00000000-0005-0000-0000-00000C210000}"/>
    <cellStyle name="Normal 39 7" xfId="5153" xr:uid="{00000000-0005-0000-0000-00000D210000}"/>
    <cellStyle name="Normal 4" xfId="5154" xr:uid="{00000000-0005-0000-0000-00000E210000}"/>
    <cellStyle name="Normal 4 2" xfId="5155" xr:uid="{00000000-0005-0000-0000-00000F210000}"/>
    <cellStyle name="Normal 4 2 2" xfId="5156" xr:uid="{00000000-0005-0000-0000-000010210000}"/>
    <cellStyle name="Normal 4 2 2 2" xfId="5157" xr:uid="{00000000-0005-0000-0000-000011210000}"/>
    <cellStyle name="Normal 4 2 2 2 2" xfId="5158" xr:uid="{00000000-0005-0000-0000-000012210000}"/>
    <cellStyle name="Normal 4 2 2 2 2 2" xfId="5159" xr:uid="{00000000-0005-0000-0000-000013210000}"/>
    <cellStyle name="Normal 4 2 2 2 3" xfId="5160" xr:uid="{00000000-0005-0000-0000-000014210000}"/>
    <cellStyle name="Normal 4 2 2 2 3 2" xfId="5161" xr:uid="{00000000-0005-0000-0000-000015210000}"/>
    <cellStyle name="Normal 4 2 2 2 4" xfId="5162" xr:uid="{00000000-0005-0000-0000-000016210000}"/>
    <cellStyle name="Normal 4 2 2 3" xfId="5163" xr:uid="{00000000-0005-0000-0000-000017210000}"/>
    <cellStyle name="Normal 4 2 2 3 2" xfId="5164" xr:uid="{00000000-0005-0000-0000-000018210000}"/>
    <cellStyle name="Normal 4 2 2 4" xfId="5165" xr:uid="{00000000-0005-0000-0000-000019210000}"/>
    <cellStyle name="Normal 4 2 2 4 2" xfId="5166" xr:uid="{00000000-0005-0000-0000-00001A210000}"/>
    <cellStyle name="Normal 4 2 2 5" xfId="5167" xr:uid="{00000000-0005-0000-0000-00001B210000}"/>
    <cellStyle name="Normal 4 2 3" xfId="5168" xr:uid="{00000000-0005-0000-0000-00001C210000}"/>
    <cellStyle name="Normal 4 2 3 2" xfId="5169" xr:uid="{00000000-0005-0000-0000-00001D210000}"/>
    <cellStyle name="Normal 4 2 3 2 2" xfId="5170" xr:uid="{00000000-0005-0000-0000-00001E210000}"/>
    <cellStyle name="Normal 4 2 3 3" xfId="5171" xr:uid="{00000000-0005-0000-0000-00001F210000}"/>
    <cellStyle name="Normal 4 2 3 3 2" xfId="5172" xr:uid="{00000000-0005-0000-0000-000020210000}"/>
    <cellStyle name="Normal 4 2 3 4" xfId="5173" xr:uid="{00000000-0005-0000-0000-000021210000}"/>
    <cellStyle name="Normal 4 2 4" xfId="5174" xr:uid="{00000000-0005-0000-0000-000022210000}"/>
    <cellStyle name="Normal 4 2 4 2" xfId="5175" xr:uid="{00000000-0005-0000-0000-000023210000}"/>
    <cellStyle name="Normal 4 2 5" xfId="5176" xr:uid="{00000000-0005-0000-0000-000024210000}"/>
    <cellStyle name="Normal 4 2 5 2" xfId="5177" xr:uid="{00000000-0005-0000-0000-000025210000}"/>
    <cellStyle name="Normal 4 2 6" xfId="5178" xr:uid="{00000000-0005-0000-0000-000026210000}"/>
    <cellStyle name="Normal 4 3" xfId="5179" xr:uid="{00000000-0005-0000-0000-000027210000}"/>
    <cellStyle name="Normal 4 3 2" xfId="5180" xr:uid="{00000000-0005-0000-0000-000028210000}"/>
    <cellStyle name="Normal 4 3 2 2" xfId="5181" xr:uid="{00000000-0005-0000-0000-000029210000}"/>
    <cellStyle name="Normal 4 3 2 3" xfId="5182" xr:uid="{00000000-0005-0000-0000-00002A210000}"/>
    <cellStyle name="Normal 4 3 3" xfId="5183" xr:uid="{00000000-0005-0000-0000-00002B210000}"/>
    <cellStyle name="Normal 4 3 4" xfId="5184" xr:uid="{00000000-0005-0000-0000-00002C210000}"/>
    <cellStyle name="Normal 4 3 5" xfId="5185" xr:uid="{00000000-0005-0000-0000-00002D210000}"/>
    <cellStyle name="Normal 4 4" xfId="5186" xr:uid="{00000000-0005-0000-0000-00002E210000}"/>
    <cellStyle name="Normal 4 4 2" xfId="5187" xr:uid="{00000000-0005-0000-0000-00002F210000}"/>
    <cellStyle name="Normal 4 5" xfId="5188" xr:uid="{00000000-0005-0000-0000-000030210000}"/>
    <cellStyle name="Normal 4_2180" xfId="5189" xr:uid="{00000000-0005-0000-0000-000031210000}"/>
    <cellStyle name="Normal 40" xfId="5190" xr:uid="{00000000-0005-0000-0000-000032210000}"/>
    <cellStyle name="Normal 40 2" xfId="5191" xr:uid="{00000000-0005-0000-0000-000033210000}"/>
    <cellStyle name="Normal 40 2 2" xfId="5192" xr:uid="{00000000-0005-0000-0000-000034210000}"/>
    <cellStyle name="Normal 40 2 2 2" xfId="5193" xr:uid="{00000000-0005-0000-0000-000035210000}"/>
    <cellStyle name="Normal 40 2 2 2 2" xfId="5194" xr:uid="{00000000-0005-0000-0000-000036210000}"/>
    <cellStyle name="Normal 40 2 2 2 2 2" xfId="5195" xr:uid="{00000000-0005-0000-0000-000037210000}"/>
    <cellStyle name="Normal 40 2 2 2 3" xfId="5196" xr:uid="{00000000-0005-0000-0000-000038210000}"/>
    <cellStyle name="Normal 40 2 2 2 3 2" xfId="5197" xr:uid="{00000000-0005-0000-0000-000039210000}"/>
    <cellStyle name="Normal 40 2 2 2 4" xfId="5198" xr:uid="{00000000-0005-0000-0000-00003A210000}"/>
    <cellStyle name="Normal 40 2 2 3" xfId="5199" xr:uid="{00000000-0005-0000-0000-00003B210000}"/>
    <cellStyle name="Normal 40 2 2 3 2" xfId="5200" xr:uid="{00000000-0005-0000-0000-00003C210000}"/>
    <cellStyle name="Normal 40 2 2 4" xfId="5201" xr:uid="{00000000-0005-0000-0000-00003D210000}"/>
    <cellStyle name="Normal 40 2 2 4 2" xfId="5202" xr:uid="{00000000-0005-0000-0000-00003E210000}"/>
    <cellStyle name="Normal 40 2 2 5" xfId="5203" xr:uid="{00000000-0005-0000-0000-00003F210000}"/>
    <cellStyle name="Normal 40 2 3" xfId="5204" xr:uid="{00000000-0005-0000-0000-000040210000}"/>
    <cellStyle name="Normal 40 2 3 2" xfId="5205" xr:uid="{00000000-0005-0000-0000-000041210000}"/>
    <cellStyle name="Normal 40 2 3 2 2" xfId="5206" xr:uid="{00000000-0005-0000-0000-000042210000}"/>
    <cellStyle name="Normal 40 2 3 3" xfId="5207" xr:uid="{00000000-0005-0000-0000-000043210000}"/>
    <cellStyle name="Normal 40 2 3 3 2" xfId="5208" xr:uid="{00000000-0005-0000-0000-000044210000}"/>
    <cellStyle name="Normal 40 2 3 4" xfId="5209" xr:uid="{00000000-0005-0000-0000-000045210000}"/>
    <cellStyle name="Normal 40 2 4" xfId="5210" xr:uid="{00000000-0005-0000-0000-000046210000}"/>
    <cellStyle name="Normal 40 2 4 2" xfId="5211" xr:uid="{00000000-0005-0000-0000-000047210000}"/>
    <cellStyle name="Normal 40 2 5" xfId="5212" xr:uid="{00000000-0005-0000-0000-000048210000}"/>
    <cellStyle name="Normal 40 2 5 2" xfId="5213" xr:uid="{00000000-0005-0000-0000-000049210000}"/>
    <cellStyle name="Normal 40 2 6" xfId="5214" xr:uid="{00000000-0005-0000-0000-00004A210000}"/>
    <cellStyle name="Normal 40 3" xfId="5215" xr:uid="{00000000-0005-0000-0000-00004B210000}"/>
    <cellStyle name="Normal 40 3 2" xfId="5216" xr:uid="{00000000-0005-0000-0000-00004C210000}"/>
    <cellStyle name="Normal 40 3 2 2" xfId="5217" xr:uid="{00000000-0005-0000-0000-00004D210000}"/>
    <cellStyle name="Normal 40 3 2 2 2" xfId="5218" xr:uid="{00000000-0005-0000-0000-00004E210000}"/>
    <cellStyle name="Normal 40 3 2 3" xfId="5219" xr:uid="{00000000-0005-0000-0000-00004F210000}"/>
    <cellStyle name="Normal 40 3 2 3 2" xfId="5220" xr:uid="{00000000-0005-0000-0000-000050210000}"/>
    <cellStyle name="Normal 40 3 2 4" xfId="5221" xr:uid="{00000000-0005-0000-0000-000051210000}"/>
    <cellStyle name="Normal 40 3 3" xfId="5222" xr:uid="{00000000-0005-0000-0000-000052210000}"/>
    <cellStyle name="Normal 40 3 3 2" xfId="5223" xr:uid="{00000000-0005-0000-0000-000053210000}"/>
    <cellStyle name="Normal 40 3 4" xfId="5224" xr:uid="{00000000-0005-0000-0000-000054210000}"/>
    <cellStyle name="Normal 40 3 4 2" xfId="5225" xr:uid="{00000000-0005-0000-0000-000055210000}"/>
    <cellStyle name="Normal 40 3 5" xfId="5226" xr:uid="{00000000-0005-0000-0000-000056210000}"/>
    <cellStyle name="Normal 40 4" xfId="5227" xr:uid="{00000000-0005-0000-0000-000057210000}"/>
    <cellStyle name="Normal 40 4 2" xfId="5228" xr:uid="{00000000-0005-0000-0000-000058210000}"/>
    <cellStyle name="Normal 40 4 2 2" xfId="5229" xr:uid="{00000000-0005-0000-0000-000059210000}"/>
    <cellStyle name="Normal 40 4 3" xfId="5230" xr:uid="{00000000-0005-0000-0000-00005A210000}"/>
    <cellStyle name="Normal 40 4 3 2" xfId="5231" xr:uid="{00000000-0005-0000-0000-00005B210000}"/>
    <cellStyle name="Normal 40 4 4" xfId="5232" xr:uid="{00000000-0005-0000-0000-00005C210000}"/>
    <cellStyle name="Normal 40 5" xfId="5233" xr:uid="{00000000-0005-0000-0000-00005D210000}"/>
    <cellStyle name="Normal 40 5 2" xfId="5234" xr:uid="{00000000-0005-0000-0000-00005E210000}"/>
    <cellStyle name="Normal 40 6" xfId="5235" xr:uid="{00000000-0005-0000-0000-00005F210000}"/>
    <cellStyle name="Normal 40 6 2" xfId="5236" xr:uid="{00000000-0005-0000-0000-000060210000}"/>
    <cellStyle name="Normal 40 7" xfId="5237" xr:uid="{00000000-0005-0000-0000-000061210000}"/>
    <cellStyle name="Normal 41" xfId="5238" xr:uid="{00000000-0005-0000-0000-000062210000}"/>
    <cellStyle name="Normal 41 2" xfId="5239" xr:uid="{00000000-0005-0000-0000-000063210000}"/>
    <cellStyle name="Normal 41 2 2" xfId="5240" xr:uid="{00000000-0005-0000-0000-000064210000}"/>
    <cellStyle name="Normal 41 2 2 2" xfId="5241" xr:uid="{00000000-0005-0000-0000-000065210000}"/>
    <cellStyle name="Normal 41 2 2 2 2" xfId="5242" xr:uid="{00000000-0005-0000-0000-000066210000}"/>
    <cellStyle name="Normal 41 2 2 2 2 2" xfId="5243" xr:uid="{00000000-0005-0000-0000-000067210000}"/>
    <cellStyle name="Normal 41 2 2 2 3" xfId="5244" xr:uid="{00000000-0005-0000-0000-000068210000}"/>
    <cellStyle name="Normal 41 2 2 2 3 2" xfId="5245" xr:uid="{00000000-0005-0000-0000-000069210000}"/>
    <cellStyle name="Normal 41 2 2 2 4" xfId="5246" xr:uid="{00000000-0005-0000-0000-00006A210000}"/>
    <cellStyle name="Normal 41 2 2 3" xfId="5247" xr:uid="{00000000-0005-0000-0000-00006B210000}"/>
    <cellStyle name="Normal 41 2 2 3 2" xfId="5248" xr:uid="{00000000-0005-0000-0000-00006C210000}"/>
    <cellStyle name="Normal 41 2 2 4" xfId="5249" xr:uid="{00000000-0005-0000-0000-00006D210000}"/>
    <cellStyle name="Normal 41 2 2 4 2" xfId="5250" xr:uid="{00000000-0005-0000-0000-00006E210000}"/>
    <cellStyle name="Normal 41 2 2 5" xfId="5251" xr:uid="{00000000-0005-0000-0000-00006F210000}"/>
    <cellStyle name="Normal 41 2 3" xfId="5252" xr:uid="{00000000-0005-0000-0000-000070210000}"/>
    <cellStyle name="Normal 41 2 3 2" xfId="5253" xr:uid="{00000000-0005-0000-0000-000071210000}"/>
    <cellStyle name="Normal 41 2 3 2 2" xfId="5254" xr:uid="{00000000-0005-0000-0000-000072210000}"/>
    <cellStyle name="Normal 41 2 3 3" xfId="5255" xr:uid="{00000000-0005-0000-0000-000073210000}"/>
    <cellStyle name="Normal 41 2 3 3 2" xfId="5256" xr:uid="{00000000-0005-0000-0000-000074210000}"/>
    <cellStyle name="Normal 41 2 3 4" xfId="5257" xr:uid="{00000000-0005-0000-0000-000075210000}"/>
    <cellStyle name="Normal 41 2 4" xfId="5258" xr:uid="{00000000-0005-0000-0000-000076210000}"/>
    <cellStyle name="Normal 41 2 4 2" xfId="5259" xr:uid="{00000000-0005-0000-0000-000077210000}"/>
    <cellStyle name="Normal 41 2 5" xfId="5260" xr:uid="{00000000-0005-0000-0000-000078210000}"/>
    <cellStyle name="Normal 41 2 5 2" xfId="5261" xr:uid="{00000000-0005-0000-0000-000079210000}"/>
    <cellStyle name="Normal 41 2 6" xfId="5262" xr:uid="{00000000-0005-0000-0000-00007A210000}"/>
    <cellStyle name="Normal 41 3" xfId="5263" xr:uid="{00000000-0005-0000-0000-00007B210000}"/>
    <cellStyle name="Normal 41 3 2" xfId="5264" xr:uid="{00000000-0005-0000-0000-00007C210000}"/>
    <cellStyle name="Normal 41 3 2 2" xfId="5265" xr:uid="{00000000-0005-0000-0000-00007D210000}"/>
    <cellStyle name="Normal 41 3 2 2 2" xfId="5266" xr:uid="{00000000-0005-0000-0000-00007E210000}"/>
    <cellStyle name="Normal 41 3 2 3" xfId="5267" xr:uid="{00000000-0005-0000-0000-00007F210000}"/>
    <cellStyle name="Normal 41 3 2 3 2" xfId="5268" xr:uid="{00000000-0005-0000-0000-000080210000}"/>
    <cellStyle name="Normal 41 3 2 4" xfId="5269" xr:uid="{00000000-0005-0000-0000-000081210000}"/>
    <cellStyle name="Normal 41 3 3" xfId="5270" xr:uid="{00000000-0005-0000-0000-000082210000}"/>
    <cellStyle name="Normal 41 3 3 2" xfId="5271" xr:uid="{00000000-0005-0000-0000-000083210000}"/>
    <cellStyle name="Normal 41 3 4" xfId="5272" xr:uid="{00000000-0005-0000-0000-000084210000}"/>
    <cellStyle name="Normal 41 3 4 2" xfId="5273" xr:uid="{00000000-0005-0000-0000-000085210000}"/>
    <cellStyle name="Normal 41 3 5" xfId="5274" xr:uid="{00000000-0005-0000-0000-000086210000}"/>
    <cellStyle name="Normal 41 4" xfId="5275" xr:uid="{00000000-0005-0000-0000-000087210000}"/>
    <cellStyle name="Normal 41 4 2" xfId="5276" xr:uid="{00000000-0005-0000-0000-000088210000}"/>
    <cellStyle name="Normal 41 4 2 2" xfId="5277" xr:uid="{00000000-0005-0000-0000-000089210000}"/>
    <cellStyle name="Normal 41 4 3" xfId="5278" xr:uid="{00000000-0005-0000-0000-00008A210000}"/>
    <cellStyle name="Normal 41 4 3 2" xfId="5279" xr:uid="{00000000-0005-0000-0000-00008B210000}"/>
    <cellStyle name="Normal 41 4 4" xfId="5280" xr:uid="{00000000-0005-0000-0000-00008C210000}"/>
    <cellStyle name="Normal 41 5" xfId="5281" xr:uid="{00000000-0005-0000-0000-00008D210000}"/>
    <cellStyle name="Normal 41 5 2" xfId="5282" xr:uid="{00000000-0005-0000-0000-00008E210000}"/>
    <cellStyle name="Normal 41 6" xfId="5283" xr:uid="{00000000-0005-0000-0000-00008F210000}"/>
    <cellStyle name="Normal 41 6 2" xfId="5284" xr:uid="{00000000-0005-0000-0000-000090210000}"/>
    <cellStyle name="Normal 41 7" xfId="5285" xr:uid="{00000000-0005-0000-0000-000091210000}"/>
    <cellStyle name="Normal 42" xfId="5286" xr:uid="{00000000-0005-0000-0000-000092210000}"/>
    <cellStyle name="Normal 42 2" xfId="5287" xr:uid="{00000000-0005-0000-0000-000093210000}"/>
    <cellStyle name="Normal 42 3" xfId="5288" xr:uid="{00000000-0005-0000-0000-000094210000}"/>
    <cellStyle name="Normal 43" xfId="5289" xr:uid="{00000000-0005-0000-0000-000095210000}"/>
    <cellStyle name="Normal 43 2" xfId="5290" xr:uid="{00000000-0005-0000-0000-000096210000}"/>
    <cellStyle name="Normal 43 2 2" xfId="5291" xr:uid="{00000000-0005-0000-0000-000097210000}"/>
    <cellStyle name="Normal 43 2 2 2" xfId="5292" xr:uid="{00000000-0005-0000-0000-000098210000}"/>
    <cellStyle name="Normal 43 2 2 2 2" xfId="5293" xr:uid="{00000000-0005-0000-0000-000099210000}"/>
    <cellStyle name="Normal 43 2 2 2 2 2" xfId="5294" xr:uid="{00000000-0005-0000-0000-00009A210000}"/>
    <cellStyle name="Normal 43 2 2 2 3" xfId="5295" xr:uid="{00000000-0005-0000-0000-00009B210000}"/>
    <cellStyle name="Normal 43 2 2 2 3 2" xfId="5296" xr:uid="{00000000-0005-0000-0000-00009C210000}"/>
    <cellStyle name="Normal 43 2 2 2 4" xfId="5297" xr:uid="{00000000-0005-0000-0000-00009D210000}"/>
    <cellStyle name="Normal 43 2 2 3" xfId="5298" xr:uid="{00000000-0005-0000-0000-00009E210000}"/>
    <cellStyle name="Normal 43 2 2 3 2" xfId="5299" xr:uid="{00000000-0005-0000-0000-00009F210000}"/>
    <cellStyle name="Normal 43 2 2 4" xfId="5300" xr:uid="{00000000-0005-0000-0000-0000A0210000}"/>
    <cellStyle name="Normal 43 2 2 4 2" xfId="5301" xr:uid="{00000000-0005-0000-0000-0000A1210000}"/>
    <cellStyle name="Normal 43 2 2 5" xfId="5302" xr:uid="{00000000-0005-0000-0000-0000A2210000}"/>
    <cellStyle name="Normal 43 2 3" xfId="5303" xr:uid="{00000000-0005-0000-0000-0000A3210000}"/>
    <cellStyle name="Normal 43 2 3 2" xfId="5304" xr:uid="{00000000-0005-0000-0000-0000A4210000}"/>
    <cellStyle name="Normal 43 2 3 2 2" xfId="5305" xr:uid="{00000000-0005-0000-0000-0000A5210000}"/>
    <cellStyle name="Normal 43 2 3 3" xfId="5306" xr:uid="{00000000-0005-0000-0000-0000A6210000}"/>
    <cellStyle name="Normal 43 2 3 3 2" xfId="5307" xr:uid="{00000000-0005-0000-0000-0000A7210000}"/>
    <cellStyle name="Normal 43 2 3 4" xfId="5308" xr:uid="{00000000-0005-0000-0000-0000A8210000}"/>
    <cellStyle name="Normal 43 2 4" xfId="5309" xr:uid="{00000000-0005-0000-0000-0000A9210000}"/>
    <cellStyle name="Normal 43 2 4 2" xfId="5310" xr:uid="{00000000-0005-0000-0000-0000AA210000}"/>
    <cellStyle name="Normal 43 2 5" xfId="5311" xr:uid="{00000000-0005-0000-0000-0000AB210000}"/>
    <cellStyle name="Normal 43 2 5 2" xfId="5312" xr:uid="{00000000-0005-0000-0000-0000AC210000}"/>
    <cellStyle name="Normal 43 2 6" xfId="5313" xr:uid="{00000000-0005-0000-0000-0000AD210000}"/>
    <cellStyle name="Normal 43 3" xfId="5314" xr:uid="{00000000-0005-0000-0000-0000AE210000}"/>
    <cellStyle name="Normal 44" xfId="5315" xr:uid="{00000000-0005-0000-0000-0000AF210000}"/>
    <cellStyle name="Normal 44 2" xfId="5316" xr:uid="{00000000-0005-0000-0000-0000B0210000}"/>
    <cellStyle name="Normal 44 2 2" xfId="5317" xr:uid="{00000000-0005-0000-0000-0000B1210000}"/>
    <cellStyle name="Normal 44 2 2 2" xfId="5318" xr:uid="{00000000-0005-0000-0000-0000B2210000}"/>
    <cellStyle name="Normal 44 2 2 2 2" xfId="5319" xr:uid="{00000000-0005-0000-0000-0000B3210000}"/>
    <cellStyle name="Normal 44 2 2 2 2 2" xfId="5320" xr:uid="{00000000-0005-0000-0000-0000B4210000}"/>
    <cellStyle name="Normal 44 2 2 2 3" xfId="5321" xr:uid="{00000000-0005-0000-0000-0000B5210000}"/>
    <cellStyle name="Normal 44 2 2 2 3 2" xfId="5322" xr:uid="{00000000-0005-0000-0000-0000B6210000}"/>
    <cellStyle name="Normal 44 2 2 2 4" xfId="5323" xr:uid="{00000000-0005-0000-0000-0000B7210000}"/>
    <cellStyle name="Normal 44 2 2 3" xfId="5324" xr:uid="{00000000-0005-0000-0000-0000B8210000}"/>
    <cellStyle name="Normal 44 2 2 3 2" xfId="5325" xr:uid="{00000000-0005-0000-0000-0000B9210000}"/>
    <cellStyle name="Normal 44 2 2 4" xfId="5326" xr:uid="{00000000-0005-0000-0000-0000BA210000}"/>
    <cellStyle name="Normal 44 2 2 4 2" xfId="5327" xr:uid="{00000000-0005-0000-0000-0000BB210000}"/>
    <cellStyle name="Normal 44 2 2 5" xfId="5328" xr:uid="{00000000-0005-0000-0000-0000BC210000}"/>
    <cellStyle name="Normal 44 2 3" xfId="5329" xr:uid="{00000000-0005-0000-0000-0000BD210000}"/>
    <cellStyle name="Normal 44 2 3 2" xfId="5330" xr:uid="{00000000-0005-0000-0000-0000BE210000}"/>
    <cellStyle name="Normal 44 2 3 2 2" xfId="5331" xr:uid="{00000000-0005-0000-0000-0000BF210000}"/>
    <cellStyle name="Normal 44 2 3 3" xfId="5332" xr:uid="{00000000-0005-0000-0000-0000C0210000}"/>
    <cellStyle name="Normal 44 2 3 3 2" xfId="5333" xr:uid="{00000000-0005-0000-0000-0000C1210000}"/>
    <cellStyle name="Normal 44 2 3 4" xfId="5334" xr:uid="{00000000-0005-0000-0000-0000C2210000}"/>
    <cellStyle name="Normal 44 2 4" xfId="5335" xr:uid="{00000000-0005-0000-0000-0000C3210000}"/>
    <cellStyle name="Normal 44 2 4 2" xfId="5336" xr:uid="{00000000-0005-0000-0000-0000C4210000}"/>
    <cellStyle name="Normal 44 2 5" xfId="5337" xr:uid="{00000000-0005-0000-0000-0000C5210000}"/>
    <cellStyle name="Normal 44 2 5 2" xfId="5338" xr:uid="{00000000-0005-0000-0000-0000C6210000}"/>
    <cellStyle name="Normal 44 2 6" xfId="5339" xr:uid="{00000000-0005-0000-0000-0000C7210000}"/>
    <cellStyle name="Normal 44 3" xfId="5340" xr:uid="{00000000-0005-0000-0000-0000C8210000}"/>
    <cellStyle name="Normal 44 3 2" xfId="5341" xr:uid="{00000000-0005-0000-0000-0000C9210000}"/>
    <cellStyle name="Normal 44 3 2 2" xfId="5342" xr:uid="{00000000-0005-0000-0000-0000CA210000}"/>
    <cellStyle name="Normal 44 3 2 2 2" xfId="5343" xr:uid="{00000000-0005-0000-0000-0000CB210000}"/>
    <cellStyle name="Normal 44 3 2 3" xfId="5344" xr:uid="{00000000-0005-0000-0000-0000CC210000}"/>
    <cellStyle name="Normal 44 3 2 3 2" xfId="5345" xr:uid="{00000000-0005-0000-0000-0000CD210000}"/>
    <cellStyle name="Normal 44 3 2 4" xfId="5346" xr:uid="{00000000-0005-0000-0000-0000CE210000}"/>
    <cellStyle name="Normal 44 3 3" xfId="5347" xr:uid="{00000000-0005-0000-0000-0000CF210000}"/>
    <cellStyle name="Normal 44 3 3 2" xfId="5348" xr:uid="{00000000-0005-0000-0000-0000D0210000}"/>
    <cellStyle name="Normal 44 3 4" xfId="5349" xr:uid="{00000000-0005-0000-0000-0000D1210000}"/>
    <cellStyle name="Normal 44 3 4 2" xfId="5350" xr:uid="{00000000-0005-0000-0000-0000D2210000}"/>
    <cellStyle name="Normal 44 3 5" xfId="5351" xr:uid="{00000000-0005-0000-0000-0000D3210000}"/>
    <cellStyle name="Normal 44 4" xfId="5352" xr:uid="{00000000-0005-0000-0000-0000D4210000}"/>
    <cellStyle name="Normal 44 4 2" xfId="5353" xr:uid="{00000000-0005-0000-0000-0000D5210000}"/>
    <cellStyle name="Normal 44 4 2 2" xfId="5354" xr:uid="{00000000-0005-0000-0000-0000D6210000}"/>
    <cellStyle name="Normal 44 4 3" xfId="5355" xr:uid="{00000000-0005-0000-0000-0000D7210000}"/>
    <cellStyle name="Normal 44 4 3 2" xfId="5356" xr:uid="{00000000-0005-0000-0000-0000D8210000}"/>
    <cellStyle name="Normal 44 4 4" xfId="5357" xr:uid="{00000000-0005-0000-0000-0000D9210000}"/>
    <cellStyle name="Normal 44 5" xfId="5358" xr:uid="{00000000-0005-0000-0000-0000DA210000}"/>
    <cellStyle name="Normal 44 5 2" xfId="5359" xr:uid="{00000000-0005-0000-0000-0000DB210000}"/>
    <cellStyle name="Normal 44 6" xfId="5360" xr:uid="{00000000-0005-0000-0000-0000DC210000}"/>
    <cellStyle name="Normal 44 6 2" xfId="5361" xr:uid="{00000000-0005-0000-0000-0000DD210000}"/>
    <cellStyle name="Normal 44 7" xfId="5362" xr:uid="{00000000-0005-0000-0000-0000DE210000}"/>
    <cellStyle name="Normal 45" xfId="5363" xr:uid="{00000000-0005-0000-0000-0000DF210000}"/>
    <cellStyle name="Normal 45 2" xfId="5364" xr:uid="{00000000-0005-0000-0000-0000E0210000}"/>
    <cellStyle name="Normal 45 2 2" xfId="5365" xr:uid="{00000000-0005-0000-0000-0000E1210000}"/>
    <cellStyle name="Normal 45 2 2 2" xfId="5366" xr:uid="{00000000-0005-0000-0000-0000E2210000}"/>
    <cellStyle name="Normal 45 2 2 2 2" xfId="5367" xr:uid="{00000000-0005-0000-0000-0000E3210000}"/>
    <cellStyle name="Normal 45 2 2 2 2 2" xfId="5368" xr:uid="{00000000-0005-0000-0000-0000E4210000}"/>
    <cellStyle name="Normal 45 2 2 2 3" xfId="5369" xr:uid="{00000000-0005-0000-0000-0000E5210000}"/>
    <cellStyle name="Normal 45 2 2 2 3 2" xfId="5370" xr:uid="{00000000-0005-0000-0000-0000E6210000}"/>
    <cellStyle name="Normal 45 2 2 2 4" xfId="5371" xr:uid="{00000000-0005-0000-0000-0000E7210000}"/>
    <cellStyle name="Normal 45 2 2 3" xfId="5372" xr:uid="{00000000-0005-0000-0000-0000E8210000}"/>
    <cellStyle name="Normal 45 2 2 3 2" xfId="5373" xr:uid="{00000000-0005-0000-0000-0000E9210000}"/>
    <cellStyle name="Normal 45 2 2 4" xfId="5374" xr:uid="{00000000-0005-0000-0000-0000EA210000}"/>
    <cellStyle name="Normal 45 2 2 4 2" xfId="5375" xr:uid="{00000000-0005-0000-0000-0000EB210000}"/>
    <cellStyle name="Normal 45 2 2 5" xfId="5376" xr:uid="{00000000-0005-0000-0000-0000EC210000}"/>
    <cellStyle name="Normal 45 2 3" xfId="5377" xr:uid="{00000000-0005-0000-0000-0000ED210000}"/>
    <cellStyle name="Normal 45 2 3 2" xfId="5378" xr:uid="{00000000-0005-0000-0000-0000EE210000}"/>
    <cellStyle name="Normal 45 2 3 2 2" xfId="5379" xr:uid="{00000000-0005-0000-0000-0000EF210000}"/>
    <cellStyle name="Normal 45 2 3 3" xfId="5380" xr:uid="{00000000-0005-0000-0000-0000F0210000}"/>
    <cellStyle name="Normal 45 2 3 3 2" xfId="5381" xr:uid="{00000000-0005-0000-0000-0000F1210000}"/>
    <cellStyle name="Normal 45 2 3 4" xfId="5382" xr:uid="{00000000-0005-0000-0000-0000F2210000}"/>
    <cellStyle name="Normal 45 2 4" xfId="5383" xr:uid="{00000000-0005-0000-0000-0000F3210000}"/>
    <cellStyle name="Normal 45 2 4 2" xfId="5384" xr:uid="{00000000-0005-0000-0000-0000F4210000}"/>
    <cellStyle name="Normal 45 2 5" xfId="5385" xr:uid="{00000000-0005-0000-0000-0000F5210000}"/>
    <cellStyle name="Normal 45 2 5 2" xfId="5386" xr:uid="{00000000-0005-0000-0000-0000F6210000}"/>
    <cellStyle name="Normal 45 2 6" xfId="5387" xr:uid="{00000000-0005-0000-0000-0000F7210000}"/>
    <cellStyle name="Normal 45 3" xfId="5388" xr:uid="{00000000-0005-0000-0000-0000F8210000}"/>
    <cellStyle name="Normal 46" xfId="5389" xr:uid="{00000000-0005-0000-0000-0000F9210000}"/>
    <cellStyle name="Normal 46 2" xfId="5390" xr:uid="{00000000-0005-0000-0000-0000FA210000}"/>
    <cellStyle name="Normal 46 2 2" xfId="5391" xr:uid="{00000000-0005-0000-0000-0000FB210000}"/>
    <cellStyle name="Normal 46 2 2 2" xfId="5392" xr:uid="{00000000-0005-0000-0000-0000FC210000}"/>
    <cellStyle name="Normal 46 2 2 2 2" xfId="5393" xr:uid="{00000000-0005-0000-0000-0000FD210000}"/>
    <cellStyle name="Normal 46 2 2 2 2 2" xfId="5394" xr:uid="{00000000-0005-0000-0000-0000FE210000}"/>
    <cellStyle name="Normal 46 2 2 2 3" xfId="5395" xr:uid="{00000000-0005-0000-0000-0000FF210000}"/>
    <cellStyle name="Normal 46 2 2 2 3 2" xfId="5396" xr:uid="{00000000-0005-0000-0000-000000220000}"/>
    <cellStyle name="Normal 46 2 2 2 4" xfId="5397" xr:uid="{00000000-0005-0000-0000-000001220000}"/>
    <cellStyle name="Normal 46 2 2 3" xfId="5398" xr:uid="{00000000-0005-0000-0000-000002220000}"/>
    <cellStyle name="Normal 46 2 2 3 2" xfId="5399" xr:uid="{00000000-0005-0000-0000-000003220000}"/>
    <cellStyle name="Normal 46 2 2 4" xfId="5400" xr:uid="{00000000-0005-0000-0000-000004220000}"/>
    <cellStyle name="Normal 46 2 2 4 2" xfId="5401" xr:uid="{00000000-0005-0000-0000-000005220000}"/>
    <cellStyle name="Normal 46 2 2 5" xfId="5402" xr:uid="{00000000-0005-0000-0000-000006220000}"/>
    <cellStyle name="Normal 46 2 3" xfId="5403" xr:uid="{00000000-0005-0000-0000-000007220000}"/>
    <cellStyle name="Normal 46 2 3 2" xfId="5404" xr:uid="{00000000-0005-0000-0000-000008220000}"/>
    <cellStyle name="Normal 46 2 3 2 2" xfId="5405" xr:uid="{00000000-0005-0000-0000-000009220000}"/>
    <cellStyle name="Normal 46 2 3 3" xfId="5406" xr:uid="{00000000-0005-0000-0000-00000A220000}"/>
    <cellStyle name="Normal 46 2 3 3 2" xfId="5407" xr:uid="{00000000-0005-0000-0000-00000B220000}"/>
    <cellStyle name="Normal 46 2 3 4" xfId="5408" xr:uid="{00000000-0005-0000-0000-00000C220000}"/>
    <cellStyle name="Normal 46 2 4" xfId="5409" xr:uid="{00000000-0005-0000-0000-00000D220000}"/>
    <cellStyle name="Normal 46 2 4 2" xfId="5410" xr:uid="{00000000-0005-0000-0000-00000E220000}"/>
    <cellStyle name="Normal 46 2 5" xfId="5411" xr:uid="{00000000-0005-0000-0000-00000F220000}"/>
    <cellStyle name="Normal 46 2 5 2" xfId="5412" xr:uid="{00000000-0005-0000-0000-000010220000}"/>
    <cellStyle name="Normal 46 2 6" xfId="5413" xr:uid="{00000000-0005-0000-0000-000011220000}"/>
    <cellStyle name="Normal 46 3" xfId="5414" xr:uid="{00000000-0005-0000-0000-000012220000}"/>
    <cellStyle name="Normal 47" xfId="5415" xr:uid="{00000000-0005-0000-0000-000013220000}"/>
    <cellStyle name="Normal 47 2" xfId="5416" xr:uid="{00000000-0005-0000-0000-000014220000}"/>
    <cellStyle name="Normal 47 2 2" xfId="5417" xr:uid="{00000000-0005-0000-0000-000015220000}"/>
    <cellStyle name="Normal 47 2 2 2" xfId="5418" xr:uid="{00000000-0005-0000-0000-000016220000}"/>
    <cellStyle name="Normal 47 2 2 2 2" xfId="5419" xr:uid="{00000000-0005-0000-0000-000017220000}"/>
    <cellStyle name="Normal 47 2 2 2 2 2" xfId="5420" xr:uid="{00000000-0005-0000-0000-000018220000}"/>
    <cellStyle name="Normal 47 2 2 2 3" xfId="5421" xr:uid="{00000000-0005-0000-0000-000019220000}"/>
    <cellStyle name="Normal 47 2 2 2 3 2" xfId="5422" xr:uid="{00000000-0005-0000-0000-00001A220000}"/>
    <cellStyle name="Normal 47 2 2 2 4" xfId="5423" xr:uid="{00000000-0005-0000-0000-00001B220000}"/>
    <cellStyle name="Normal 47 2 2 3" xfId="5424" xr:uid="{00000000-0005-0000-0000-00001C220000}"/>
    <cellStyle name="Normal 47 2 2 3 2" xfId="5425" xr:uid="{00000000-0005-0000-0000-00001D220000}"/>
    <cellStyle name="Normal 47 2 2 4" xfId="5426" xr:uid="{00000000-0005-0000-0000-00001E220000}"/>
    <cellStyle name="Normal 47 2 2 4 2" xfId="5427" xr:uid="{00000000-0005-0000-0000-00001F220000}"/>
    <cellStyle name="Normal 47 2 2 5" xfId="5428" xr:uid="{00000000-0005-0000-0000-000020220000}"/>
    <cellStyle name="Normal 47 2 3" xfId="5429" xr:uid="{00000000-0005-0000-0000-000021220000}"/>
    <cellStyle name="Normal 47 2 3 2" xfId="5430" xr:uid="{00000000-0005-0000-0000-000022220000}"/>
    <cellStyle name="Normal 47 2 3 2 2" xfId="5431" xr:uid="{00000000-0005-0000-0000-000023220000}"/>
    <cellStyle name="Normal 47 2 3 3" xfId="5432" xr:uid="{00000000-0005-0000-0000-000024220000}"/>
    <cellStyle name="Normal 47 2 3 3 2" xfId="5433" xr:uid="{00000000-0005-0000-0000-000025220000}"/>
    <cellStyle name="Normal 47 2 3 4" xfId="5434" xr:uid="{00000000-0005-0000-0000-000026220000}"/>
    <cellStyle name="Normal 47 2 4" xfId="5435" xr:uid="{00000000-0005-0000-0000-000027220000}"/>
    <cellStyle name="Normal 47 2 4 2" xfId="5436" xr:uid="{00000000-0005-0000-0000-000028220000}"/>
    <cellStyle name="Normal 47 2 5" xfId="5437" xr:uid="{00000000-0005-0000-0000-000029220000}"/>
    <cellStyle name="Normal 47 2 5 2" xfId="5438" xr:uid="{00000000-0005-0000-0000-00002A220000}"/>
    <cellStyle name="Normal 47 2 6" xfId="5439" xr:uid="{00000000-0005-0000-0000-00002B220000}"/>
    <cellStyle name="Normal 47 3" xfId="5440" xr:uid="{00000000-0005-0000-0000-00002C220000}"/>
    <cellStyle name="Normal 48" xfId="5441" xr:uid="{00000000-0005-0000-0000-00002D220000}"/>
    <cellStyle name="Normal 48 2" xfId="5442" xr:uid="{00000000-0005-0000-0000-00002E220000}"/>
    <cellStyle name="Normal 48 2 2" xfId="5443" xr:uid="{00000000-0005-0000-0000-00002F220000}"/>
    <cellStyle name="Normal 48 2 2 2" xfId="5444" xr:uid="{00000000-0005-0000-0000-000030220000}"/>
    <cellStyle name="Normal 48 2 2 2 2" xfId="5445" xr:uid="{00000000-0005-0000-0000-000031220000}"/>
    <cellStyle name="Normal 48 2 2 2 2 2" xfId="5446" xr:uid="{00000000-0005-0000-0000-000032220000}"/>
    <cellStyle name="Normal 48 2 2 2 3" xfId="5447" xr:uid="{00000000-0005-0000-0000-000033220000}"/>
    <cellStyle name="Normal 48 2 2 2 3 2" xfId="5448" xr:uid="{00000000-0005-0000-0000-000034220000}"/>
    <cellStyle name="Normal 48 2 2 2 4" xfId="5449" xr:uid="{00000000-0005-0000-0000-000035220000}"/>
    <cellStyle name="Normal 48 2 2 3" xfId="5450" xr:uid="{00000000-0005-0000-0000-000036220000}"/>
    <cellStyle name="Normal 48 2 2 3 2" xfId="5451" xr:uid="{00000000-0005-0000-0000-000037220000}"/>
    <cellStyle name="Normal 48 2 2 4" xfId="5452" xr:uid="{00000000-0005-0000-0000-000038220000}"/>
    <cellStyle name="Normal 48 2 2 4 2" xfId="5453" xr:uid="{00000000-0005-0000-0000-000039220000}"/>
    <cellStyle name="Normal 48 2 2 5" xfId="5454" xr:uid="{00000000-0005-0000-0000-00003A220000}"/>
    <cellStyle name="Normal 48 2 3" xfId="5455" xr:uid="{00000000-0005-0000-0000-00003B220000}"/>
    <cellStyle name="Normal 48 2 3 2" xfId="5456" xr:uid="{00000000-0005-0000-0000-00003C220000}"/>
    <cellStyle name="Normal 48 2 3 2 2" xfId="5457" xr:uid="{00000000-0005-0000-0000-00003D220000}"/>
    <cellStyle name="Normal 48 2 3 3" xfId="5458" xr:uid="{00000000-0005-0000-0000-00003E220000}"/>
    <cellStyle name="Normal 48 2 3 3 2" xfId="5459" xr:uid="{00000000-0005-0000-0000-00003F220000}"/>
    <cellStyle name="Normal 48 2 3 4" xfId="5460" xr:uid="{00000000-0005-0000-0000-000040220000}"/>
    <cellStyle name="Normal 48 2 4" xfId="5461" xr:uid="{00000000-0005-0000-0000-000041220000}"/>
    <cellStyle name="Normal 48 2 4 2" xfId="5462" xr:uid="{00000000-0005-0000-0000-000042220000}"/>
    <cellStyle name="Normal 48 2 5" xfId="5463" xr:uid="{00000000-0005-0000-0000-000043220000}"/>
    <cellStyle name="Normal 48 2 5 2" xfId="5464" xr:uid="{00000000-0005-0000-0000-000044220000}"/>
    <cellStyle name="Normal 48 2 6" xfId="5465" xr:uid="{00000000-0005-0000-0000-000045220000}"/>
    <cellStyle name="Normal 48 3" xfId="5466" xr:uid="{00000000-0005-0000-0000-000046220000}"/>
    <cellStyle name="Normal 48 3 2" xfId="5467" xr:uid="{00000000-0005-0000-0000-000047220000}"/>
    <cellStyle name="Normal 48 3 2 2" xfId="5468" xr:uid="{00000000-0005-0000-0000-000048220000}"/>
    <cellStyle name="Normal 48 3 2 2 2" xfId="5469" xr:uid="{00000000-0005-0000-0000-000049220000}"/>
    <cellStyle name="Normal 48 3 2 3" xfId="5470" xr:uid="{00000000-0005-0000-0000-00004A220000}"/>
    <cellStyle name="Normal 48 3 2 3 2" xfId="5471" xr:uid="{00000000-0005-0000-0000-00004B220000}"/>
    <cellStyle name="Normal 48 3 2 4" xfId="5472" xr:uid="{00000000-0005-0000-0000-00004C220000}"/>
    <cellStyle name="Normal 48 3 3" xfId="5473" xr:uid="{00000000-0005-0000-0000-00004D220000}"/>
    <cellStyle name="Normal 48 3 3 2" xfId="5474" xr:uid="{00000000-0005-0000-0000-00004E220000}"/>
    <cellStyle name="Normal 48 3 4" xfId="5475" xr:uid="{00000000-0005-0000-0000-00004F220000}"/>
    <cellStyle name="Normal 48 3 4 2" xfId="5476" xr:uid="{00000000-0005-0000-0000-000050220000}"/>
    <cellStyle name="Normal 48 3 5" xfId="5477" xr:uid="{00000000-0005-0000-0000-000051220000}"/>
    <cellStyle name="Normal 48 4" xfId="5478" xr:uid="{00000000-0005-0000-0000-000052220000}"/>
    <cellStyle name="Normal 48 4 2" xfId="5479" xr:uid="{00000000-0005-0000-0000-000053220000}"/>
    <cellStyle name="Normal 48 4 2 2" xfId="5480" xr:uid="{00000000-0005-0000-0000-000054220000}"/>
    <cellStyle name="Normal 48 4 3" xfId="5481" xr:uid="{00000000-0005-0000-0000-000055220000}"/>
    <cellStyle name="Normal 48 4 3 2" xfId="5482" xr:uid="{00000000-0005-0000-0000-000056220000}"/>
    <cellStyle name="Normal 48 4 4" xfId="5483" xr:uid="{00000000-0005-0000-0000-000057220000}"/>
    <cellStyle name="Normal 48 5" xfId="5484" xr:uid="{00000000-0005-0000-0000-000058220000}"/>
    <cellStyle name="Normal 48 5 2" xfId="5485" xr:uid="{00000000-0005-0000-0000-000059220000}"/>
    <cellStyle name="Normal 48 6" xfId="5486" xr:uid="{00000000-0005-0000-0000-00005A220000}"/>
    <cellStyle name="Normal 48 6 2" xfId="5487" xr:uid="{00000000-0005-0000-0000-00005B220000}"/>
    <cellStyle name="Normal 48 7" xfId="5488" xr:uid="{00000000-0005-0000-0000-00005C220000}"/>
    <cellStyle name="Normal 49" xfId="5489" xr:uid="{00000000-0005-0000-0000-00005D220000}"/>
    <cellStyle name="Normal 49 2" xfId="5490" xr:uid="{00000000-0005-0000-0000-00005E220000}"/>
    <cellStyle name="Normal 49 2 2" xfId="5491" xr:uid="{00000000-0005-0000-0000-00005F220000}"/>
    <cellStyle name="Normal 49 2 2 2" xfId="5492" xr:uid="{00000000-0005-0000-0000-000060220000}"/>
    <cellStyle name="Normal 49 2 2 2 2" xfId="5493" xr:uid="{00000000-0005-0000-0000-000061220000}"/>
    <cellStyle name="Normal 49 2 2 2 2 2" xfId="5494" xr:uid="{00000000-0005-0000-0000-000062220000}"/>
    <cellStyle name="Normal 49 2 2 2 3" xfId="5495" xr:uid="{00000000-0005-0000-0000-000063220000}"/>
    <cellStyle name="Normal 49 2 2 2 3 2" xfId="5496" xr:uid="{00000000-0005-0000-0000-000064220000}"/>
    <cellStyle name="Normal 49 2 2 2 4" xfId="5497" xr:uid="{00000000-0005-0000-0000-000065220000}"/>
    <cellStyle name="Normal 49 2 2 3" xfId="5498" xr:uid="{00000000-0005-0000-0000-000066220000}"/>
    <cellStyle name="Normal 49 2 2 3 2" xfId="5499" xr:uid="{00000000-0005-0000-0000-000067220000}"/>
    <cellStyle name="Normal 49 2 2 4" xfId="5500" xr:uid="{00000000-0005-0000-0000-000068220000}"/>
    <cellStyle name="Normal 49 2 2 4 2" xfId="5501" xr:uid="{00000000-0005-0000-0000-000069220000}"/>
    <cellStyle name="Normal 49 2 2 5" xfId="5502" xr:uid="{00000000-0005-0000-0000-00006A220000}"/>
    <cellStyle name="Normal 49 2 3" xfId="5503" xr:uid="{00000000-0005-0000-0000-00006B220000}"/>
    <cellStyle name="Normal 49 2 3 2" xfId="5504" xr:uid="{00000000-0005-0000-0000-00006C220000}"/>
    <cellStyle name="Normal 49 2 3 2 2" xfId="5505" xr:uid="{00000000-0005-0000-0000-00006D220000}"/>
    <cellStyle name="Normal 49 2 3 3" xfId="5506" xr:uid="{00000000-0005-0000-0000-00006E220000}"/>
    <cellStyle name="Normal 49 2 3 3 2" xfId="5507" xr:uid="{00000000-0005-0000-0000-00006F220000}"/>
    <cellStyle name="Normal 49 2 3 4" xfId="5508" xr:uid="{00000000-0005-0000-0000-000070220000}"/>
    <cellStyle name="Normal 49 2 4" xfId="5509" xr:uid="{00000000-0005-0000-0000-000071220000}"/>
    <cellStyle name="Normal 49 2 4 2" xfId="5510" xr:uid="{00000000-0005-0000-0000-000072220000}"/>
    <cellStyle name="Normal 49 2 5" xfId="5511" xr:uid="{00000000-0005-0000-0000-000073220000}"/>
    <cellStyle name="Normal 49 2 5 2" xfId="5512" xr:uid="{00000000-0005-0000-0000-000074220000}"/>
    <cellStyle name="Normal 49 2 6" xfId="5513" xr:uid="{00000000-0005-0000-0000-000075220000}"/>
    <cellStyle name="Normal 49 3" xfId="5514" xr:uid="{00000000-0005-0000-0000-000076220000}"/>
    <cellStyle name="Normal 49 3 2" xfId="5515" xr:uid="{00000000-0005-0000-0000-000077220000}"/>
    <cellStyle name="Normal 49 3 2 2" xfId="5516" xr:uid="{00000000-0005-0000-0000-000078220000}"/>
    <cellStyle name="Normal 49 3 2 2 2" xfId="5517" xr:uid="{00000000-0005-0000-0000-000079220000}"/>
    <cellStyle name="Normal 49 3 2 3" xfId="5518" xr:uid="{00000000-0005-0000-0000-00007A220000}"/>
    <cellStyle name="Normal 49 3 2 3 2" xfId="5519" xr:uid="{00000000-0005-0000-0000-00007B220000}"/>
    <cellStyle name="Normal 49 3 2 4" xfId="5520" xr:uid="{00000000-0005-0000-0000-00007C220000}"/>
    <cellStyle name="Normal 49 3 3" xfId="5521" xr:uid="{00000000-0005-0000-0000-00007D220000}"/>
    <cellStyle name="Normal 49 3 3 2" xfId="5522" xr:uid="{00000000-0005-0000-0000-00007E220000}"/>
    <cellStyle name="Normal 49 3 4" xfId="5523" xr:uid="{00000000-0005-0000-0000-00007F220000}"/>
    <cellStyle name="Normal 49 3 4 2" xfId="5524" xr:uid="{00000000-0005-0000-0000-000080220000}"/>
    <cellStyle name="Normal 49 3 5" xfId="5525" xr:uid="{00000000-0005-0000-0000-000081220000}"/>
    <cellStyle name="Normal 49 4" xfId="5526" xr:uid="{00000000-0005-0000-0000-000082220000}"/>
    <cellStyle name="Normal 49 4 2" xfId="5527" xr:uid="{00000000-0005-0000-0000-000083220000}"/>
    <cellStyle name="Normal 49 4 2 2" xfId="5528" xr:uid="{00000000-0005-0000-0000-000084220000}"/>
    <cellStyle name="Normal 49 4 3" xfId="5529" xr:uid="{00000000-0005-0000-0000-000085220000}"/>
    <cellStyle name="Normal 49 4 3 2" xfId="5530" xr:uid="{00000000-0005-0000-0000-000086220000}"/>
    <cellStyle name="Normal 49 4 4" xfId="5531" xr:uid="{00000000-0005-0000-0000-000087220000}"/>
    <cellStyle name="Normal 49 5" xfId="5532" xr:uid="{00000000-0005-0000-0000-000088220000}"/>
    <cellStyle name="Normal 49 5 2" xfId="5533" xr:uid="{00000000-0005-0000-0000-000089220000}"/>
    <cellStyle name="Normal 49 6" xfId="5534" xr:uid="{00000000-0005-0000-0000-00008A220000}"/>
    <cellStyle name="Normal 49 6 2" xfId="5535" xr:uid="{00000000-0005-0000-0000-00008B220000}"/>
    <cellStyle name="Normal 49 7" xfId="5536" xr:uid="{00000000-0005-0000-0000-00008C220000}"/>
    <cellStyle name="Normal 5" xfId="5537" xr:uid="{00000000-0005-0000-0000-00008D220000}"/>
    <cellStyle name="Normal 5 10" xfId="5538" xr:uid="{00000000-0005-0000-0000-00008E220000}"/>
    <cellStyle name="Normal 5 11" xfId="12191" xr:uid="{5C8E1899-228F-4DE3-9700-29E7E251F00F}"/>
    <cellStyle name="Normal 5 2" xfId="5539" xr:uid="{00000000-0005-0000-0000-00008F220000}"/>
    <cellStyle name="Normal 5 2 10" xfId="5540" xr:uid="{00000000-0005-0000-0000-000090220000}"/>
    <cellStyle name="Normal 5 2 11" xfId="5541" xr:uid="{00000000-0005-0000-0000-000091220000}"/>
    <cellStyle name="Normal 5 2 2" xfId="5542" xr:uid="{00000000-0005-0000-0000-000092220000}"/>
    <cellStyle name="Normal 5 2 2 2" xfId="5543" xr:uid="{00000000-0005-0000-0000-000093220000}"/>
    <cellStyle name="Normal 5 2 2 2 2" xfId="5544" xr:uid="{00000000-0005-0000-0000-000094220000}"/>
    <cellStyle name="Normal 5 2 2 2 2 2" xfId="5545" xr:uid="{00000000-0005-0000-0000-000095220000}"/>
    <cellStyle name="Normal 5 2 2 2 2 2 2" xfId="5546" xr:uid="{00000000-0005-0000-0000-000096220000}"/>
    <cellStyle name="Normal 5 2 2 2 2 2 2 2" xfId="5547" xr:uid="{00000000-0005-0000-0000-000097220000}"/>
    <cellStyle name="Normal 5 2 2 2 2 2 3" xfId="5548" xr:uid="{00000000-0005-0000-0000-000098220000}"/>
    <cellStyle name="Normal 5 2 2 2 2 2 3 2" xfId="5549" xr:uid="{00000000-0005-0000-0000-000099220000}"/>
    <cellStyle name="Normal 5 2 2 2 2 2 4" xfId="5550" xr:uid="{00000000-0005-0000-0000-00009A220000}"/>
    <cellStyle name="Normal 5 2 2 2 2 3" xfId="5551" xr:uid="{00000000-0005-0000-0000-00009B220000}"/>
    <cellStyle name="Normal 5 2 2 2 2 3 2" xfId="5552" xr:uid="{00000000-0005-0000-0000-00009C220000}"/>
    <cellStyle name="Normal 5 2 2 2 2 4" xfId="5553" xr:uid="{00000000-0005-0000-0000-00009D220000}"/>
    <cellStyle name="Normal 5 2 2 2 2 4 2" xfId="5554" xr:uid="{00000000-0005-0000-0000-00009E220000}"/>
    <cellStyle name="Normal 5 2 2 2 2 5" xfId="5555" xr:uid="{00000000-0005-0000-0000-00009F220000}"/>
    <cellStyle name="Normal 5 2 2 2 3" xfId="5556" xr:uid="{00000000-0005-0000-0000-0000A0220000}"/>
    <cellStyle name="Normal 5 2 2 2 3 2" xfId="5557" xr:uid="{00000000-0005-0000-0000-0000A1220000}"/>
    <cellStyle name="Normal 5 2 2 2 3 2 2" xfId="5558" xr:uid="{00000000-0005-0000-0000-0000A2220000}"/>
    <cellStyle name="Normal 5 2 2 2 3 3" xfId="5559" xr:uid="{00000000-0005-0000-0000-0000A3220000}"/>
    <cellStyle name="Normal 5 2 2 2 3 3 2" xfId="5560" xr:uid="{00000000-0005-0000-0000-0000A4220000}"/>
    <cellStyle name="Normal 5 2 2 2 3 4" xfId="5561" xr:uid="{00000000-0005-0000-0000-0000A5220000}"/>
    <cellStyle name="Normal 5 2 2 2 4" xfId="5562" xr:uid="{00000000-0005-0000-0000-0000A6220000}"/>
    <cellStyle name="Normal 5 2 2 2 4 2" xfId="5563" xr:uid="{00000000-0005-0000-0000-0000A7220000}"/>
    <cellStyle name="Normal 5 2 2 2 5" xfId="5564" xr:uid="{00000000-0005-0000-0000-0000A8220000}"/>
    <cellStyle name="Normal 5 2 2 2 5 2" xfId="5565" xr:uid="{00000000-0005-0000-0000-0000A9220000}"/>
    <cellStyle name="Normal 5 2 2 2 6" xfId="5566" xr:uid="{00000000-0005-0000-0000-0000AA220000}"/>
    <cellStyle name="Normal 5 2 2 3" xfId="5567" xr:uid="{00000000-0005-0000-0000-0000AB220000}"/>
    <cellStyle name="Normal 5 2 2 3 2" xfId="5568" xr:uid="{00000000-0005-0000-0000-0000AC220000}"/>
    <cellStyle name="Normal 5 2 2 3 2 2" xfId="5569" xr:uid="{00000000-0005-0000-0000-0000AD220000}"/>
    <cellStyle name="Normal 5 2 2 3 2 2 2" xfId="5570" xr:uid="{00000000-0005-0000-0000-0000AE220000}"/>
    <cellStyle name="Normal 5 2 2 3 2 3" xfId="5571" xr:uid="{00000000-0005-0000-0000-0000AF220000}"/>
    <cellStyle name="Normal 5 2 2 3 2 3 2" xfId="5572" xr:uid="{00000000-0005-0000-0000-0000B0220000}"/>
    <cellStyle name="Normal 5 2 2 3 2 4" xfId="5573" xr:uid="{00000000-0005-0000-0000-0000B1220000}"/>
    <cellStyle name="Normal 5 2 2 3 3" xfId="5574" xr:uid="{00000000-0005-0000-0000-0000B2220000}"/>
    <cellStyle name="Normal 5 2 2 3 3 2" xfId="5575" xr:uid="{00000000-0005-0000-0000-0000B3220000}"/>
    <cellStyle name="Normal 5 2 2 3 4" xfId="5576" xr:uid="{00000000-0005-0000-0000-0000B4220000}"/>
    <cellStyle name="Normal 5 2 2 3 4 2" xfId="5577" xr:uid="{00000000-0005-0000-0000-0000B5220000}"/>
    <cellStyle name="Normal 5 2 2 3 5" xfId="5578" xr:uid="{00000000-0005-0000-0000-0000B6220000}"/>
    <cellStyle name="Normal 5 2 2 4" xfId="5579" xr:uid="{00000000-0005-0000-0000-0000B7220000}"/>
    <cellStyle name="Normal 5 2 2 4 2" xfId="5580" xr:uid="{00000000-0005-0000-0000-0000B8220000}"/>
    <cellStyle name="Normal 5 2 2 4 2 2" xfId="5581" xr:uid="{00000000-0005-0000-0000-0000B9220000}"/>
    <cellStyle name="Normal 5 2 2 4 3" xfId="5582" xr:uid="{00000000-0005-0000-0000-0000BA220000}"/>
    <cellStyle name="Normal 5 2 2 4 3 2" xfId="5583" xr:uid="{00000000-0005-0000-0000-0000BB220000}"/>
    <cellStyle name="Normal 5 2 2 4 4" xfId="5584" xr:uid="{00000000-0005-0000-0000-0000BC220000}"/>
    <cellStyle name="Normal 5 2 2 5" xfId="5585" xr:uid="{00000000-0005-0000-0000-0000BD220000}"/>
    <cellStyle name="Normal 5 2 2 5 2" xfId="5586" xr:uid="{00000000-0005-0000-0000-0000BE220000}"/>
    <cellStyle name="Normal 5 2 2 6" xfId="5587" xr:uid="{00000000-0005-0000-0000-0000BF220000}"/>
    <cellStyle name="Normal 5 2 2 6 2" xfId="5588" xr:uid="{00000000-0005-0000-0000-0000C0220000}"/>
    <cellStyle name="Normal 5 2 2 7" xfId="5589" xr:uid="{00000000-0005-0000-0000-0000C1220000}"/>
    <cellStyle name="Normal 5 2 3" xfId="5590" xr:uid="{00000000-0005-0000-0000-0000C2220000}"/>
    <cellStyle name="Normal 5 2 3 2" xfId="5591" xr:uid="{00000000-0005-0000-0000-0000C3220000}"/>
    <cellStyle name="Normal 5 2 3 2 2" xfId="5592" xr:uid="{00000000-0005-0000-0000-0000C4220000}"/>
    <cellStyle name="Normal 5 2 3 2 2 2" xfId="5593" xr:uid="{00000000-0005-0000-0000-0000C5220000}"/>
    <cellStyle name="Normal 5 2 3 2 2 2 2" xfId="5594" xr:uid="{00000000-0005-0000-0000-0000C6220000}"/>
    <cellStyle name="Normal 5 2 3 2 2 3" xfId="5595" xr:uid="{00000000-0005-0000-0000-0000C7220000}"/>
    <cellStyle name="Normal 5 2 3 2 2 3 2" xfId="5596" xr:uid="{00000000-0005-0000-0000-0000C8220000}"/>
    <cellStyle name="Normal 5 2 3 2 2 4" xfId="5597" xr:uid="{00000000-0005-0000-0000-0000C9220000}"/>
    <cellStyle name="Normal 5 2 3 2 3" xfId="5598" xr:uid="{00000000-0005-0000-0000-0000CA220000}"/>
    <cellStyle name="Normal 5 2 3 2 3 2" xfId="5599" xr:uid="{00000000-0005-0000-0000-0000CB220000}"/>
    <cellStyle name="Normal 5 2 3 2 4" xfId="5600" xr:uid="{00000000-0005-0000-0000-0000CC220000}"/>
    <cellStyle name="Normal 5 2 3 2 4 2" xfId="5601" xr:uid="{00000000-0005-0000-0000-0000CD220000}"/>
    <cellStyle name="Normal 5 2 3 2 5" xfId="5602" xr:uid="{00000000-0005-0000-0000-0000CE220000}"/>
    <cellStyle name="Normal 5 2 3 3" xfId="5603" xr:uid="{00000000-0005-0000-0000-0000CF220000}"/>
    <cellStyle name="Normal 5 2 3 3 2" xfId="5604" xr:uid="{00000000-0005-0000-0000-0000D0220000}"/>
    <cellStyle name="Normal 5 2 3 3 2 2" xfId="5605" xr:uid="{00000000-0005-0000-0000-0000D1220000}"/>
    <cellStyle name="Normal 5 2 3 3 3" xfId="5606" xr:uid="{00000000-0005-0000-0000-0000D2220000}"/>
    <cellStyle name="Normal 5 2 3 3 3 2" xfId="5607" xr:uid="{00000000-0005-0000-0000-0000D3220000}"/>
    <cellStyle name="Normal 5 2 3 3 4" xfId="5608" xr:uid="{00000000-0005-0000-0000-0000D4220000}"/>
    <cellStyle name="Normal 5 2 3 4" xfId="5609" xr:uid="{00000000-0005-0000-0000-0000D5220000}"/>
    <cellStyle name="Normal 5 2 3 4 2" xfId="5610" xr:uid="{00000000-0005-0000-0000-0000D6220000}"/>
    <cellStyle name="Normal 5 2 3 4 3" xfId="5611" xr:uid="{00000000-0005-0000-0000-0000D7220000}"/>
    <cellStyle name="Normal 5 2 3 5" xfId="5612" xr:uid="{00000000-0005-0000-0000-0000D8220000}"/>
    <cellStyle name="Normal 5 2 3 5 2" xfId="5613" xr:uid="{00000000-0005-0000-0000-0000D9220000}"/>
    <cellStyle name="Normal 5 2 3 6" xfId="5614" xr:uid="{00000000-0005-0000-0000-0000DA220000}"/>
    <cellStyle name="Normal 5 2 4" xfId="5615" xr:uid="{00000000-0005-0000-0000-0000DB220000}"/>
    <cellStyle name="Normal 5 2 4 2" xfId="5616" xr:uid="{00000000-0005-0000-0000-0000DC220000}"/>
    <cellStyle name="Normal 5 2 4 2 2" xfId="5617" xr:uid="{00000000-0005-0000-0000-0000DD220000}"/>
    <cellStyle name="Normal 5 2 4 2 2 2" xfId="5618" xr:uid="{00000000-0005-0000-0000-0000DE220000}"/>
    <cellStyle name="Normal 5 2 4 2 3" xfId="5619" xr:uid="{00000000-0005-0000-0000-0000DF220000}"/>
    <cellStyle name="Normal 5 2 4 2 3 2" xfId="5620" xr:uid="{00000000-0005-0000-0000-0000E0220000}"/>
    <cellStyle name="Normal 5 2 4 2 4" xfId="5621" xr:uid="{00000000-0005-0000-0000-0000E1220000}"/>
    <cellStyle name="Normal 5 2 4 2 5" xfId="5622" xr:uid="{00000000-0005-0000-0000-0000E2220000}"/>
    <cellStyle name="Normal 5 2 4 3" xfId="5623" xr:uid="{00000000-0005-0000-0000-0000E3220000}"/>
    <cellStyle name="Normal 5 2 4 3 2" xfId="5624" xr:uid="{00000000-0005-0000-0000-0000E4220000}"/>
    <cellStyle name="Normal 5 2 4 3 3" xfId="5625" xr:uid="{00000000-0005-0000-0000-0000E5220000}"/>
    <cellStyle name="Normal 5 2 4 4" xfId="5626" xr:uid="{00000000-0005-0000-0000-0000E6220000}"/>
    <cellStyle name="Normal 5 2 4 4 2" xfId="5627" xr:uid="{00000000-0005-0000-0000-0000E7220000}"/>
    <cellStyle name="Normal 5 2 4 4 3" xfId="5628" xr:uid="{00000000-0005-0000-0000-0000E8220000}"/>
    <cellStyle name="Normal 5 2 4 5" xfId="5629" xr:uid="{00000000-0005-0000-0000-0000E9220000}"/>
    <cellStyle name="Normal 5 2 4 6" xfId="5630" xr:uid="{00000000-0005-0000-0000-0000EA220000}"/>
    <cellStyle name="Normal 5 2 5" xfId="5631" xr:uid="{00000000-0005-0000-0000-0000EB220000}"/>
    <cellStyle name="Normal 5 2 5 10" xfId="5632" xr:uid="{00000000-0005-0000-0000-0000EC220000}"/>
    <cellStyle name="Normal 5 2 5 10 2" xfId="5633" xr:uid="{00000000-0005-0000-0000-0000ED220000}"/>
    <cellStyle name="Normal 5 2 5 10 3" xfId="5634" xr:uid="{00000000-0005-0000-0000-0000EE220000}"/>
    <cellStyle name="Normal 5 2 5 11" xfId="5635" xr:uid="{00000000-0005-0000-0000-0000EF220000}"/>
    <cellStyle name="Normal 5 2 5 11 2" xfId="5636" xr:uid="{00000000-0005-0000-0000-0000F0220000}"/>
    <cellStyle name="Normal 5 2 5 12" xfId="5637" xr:uid="{00000000-0005-0000-0000-0000F1220000}"/>
    <cellStyle name="Normal 5 2 5 12 2" xfId="5638" xr:uid="{00000000-0005-0000-0000-0000F2220000}"/>
    <cellStyle name="Normal 5 2 5 13" xfId="5639" xr:uid="{00000000-0005-0000-0000-0000F3220000}"/>
    <cellStyle name="Normal 5 2 5 14" xfId="5640" xr:uid="{00000000-0005-0000-0000-0000F4220000}"/>
    <cellStyle name="Normal 5 2 5 15" xfId="5641" xr:uid="{00000000-0005-0000-0000-0000F5220000}"/>
    <cellStyle name="Normal 5 2 5 16" xfId="5642" xr:uid="{00000000-0005-0000-0000-0000F6220000}"/>
    <cellStyle name="Normal 5 2 5 17" xfId="5643" xr:uid="{00000000-0005-0000-0000-0000F7220000}"/>
    <cellStyle name="Normal 5 2 5 18" xfId="5644" xr:uid="{00000000-0005-0000-0000-0000F8220000}"/>
    <cellStyle name="Normal 5 2 5 19" xfId="5645" xr:uid="{00000000-0005-0000-0000-0000F9220000}"/>
    <cellStyle name="Normal 5 2 5 19 2" xfId="5646" xr:uid="{00000000-0005-0000-0000-0000FA220000}"/>
    <cellStyle name="Normal 5 2 5 19 3" xfId="5647" xr:uid="{00000000-0005-0000-0000-0000FB220000}"/>
    <cellStyle name="Normal 5 2 5 19 4" xfId="5648" xr:uid="{00000000-0005-0000-0000-0000FC220000}"/>
    <cellStyle name="Normal 5 2 5 19 5" xfId="5649" xr:uid="{00000000-0005-0000-0000-0000FD220000}"/>
    <cellStyle name="Normal 5 2 5 19 6" xfId="5650" xr:uid="{00000000-0005-0000-0000-0000FE220000}"/>
    <cellStyle name="Normal 5 2 5 19 7" xfId="5651" xr:uid="{00000000-0005-0000-0000-0000FF220000}"/>
    <cellStyle name="Normal 5 2 5 2" xfId="5652" xr:uid="{00000000-0005-0000-0000-000000230000}"/>
    <cellStyle name="Normal 5 2 5 2 2" xfId="5653" xr:uid="{00000000-0005-0000-0000-000001230000}"/>
    <cellStyle name="Normal 5 2 5 2 2 2" xfId="5654" xr:uid="{00000000-0005-0000-0000-000002230000}"/>
    <cellStyle name="Normal 5 2 5 2 2 3" xfId="5655" xr:uid="{00000000-0005-0000-0000-000003230000}"/>
    <cellStyle name="Normal 5 2 5 2 2 4" xfId="5656" xr:uid="{00000000-0005-0000-0000-000004230000}"/>
    <cellStyle name="Normal 5 2 5 2 2 5" xfId="5657" xr:uid="{00000000-0005-0000-0000-000005230000}"/>
    <cellStyle name="Normal 5 2 5 2 3" xfId="5658" xr:uid="{00000000-0005-0000-0000-000006230000}"/>
    <cellStyle name="Normal 5 2 5 2 3 2" xfId="5659" xr:uid="{00000000-0005-0000-0000-000007230000}"/>
    <cellStyle name="Normal 5 2 5 2 3 3" xfId="5660" xr:uid="{00000000-0005-0000-0000-000008230000}"/>
    <cellStyle name="Normal 5 2 5 2 4" xfId="5661" xr:uid="{00000000-0005-0000-0000-000009230000}"/>
    <cellStyle name="Normal 5 2 5 2 4 2" xfId="5662" xr:uid="{00000000-0005-0000-0000-00000A230000}"/>
    <cellStyle name="Normal 5 2 5 2 4 3" xfId="5663" xr:uid="{00000000-0005-0000-0000-00000B230000}"/>
    <cellStyle name="Normal 5 2 5 2 5" xfId="5664" xr:uid="{00000000-0005-0000-0000-00000C230000}"/>
    <cellStyle name="Normal 5 2 5 2 6" xfId="5665" xr:uid="{00000000-0005-0000-0000-00000D230000}"/>
    <cellStyle name="Normal 5 2 5 20" xfId="5666" xr:uid="{00000000-0005-0000-0000-00000E230000}"/>
    <cellStyle name="Normal 5 2 5 21" xfId="5667" xr:uid="{00000000-0005-0000-0000-00000F230000}"/>
    <cellStyle name="Normal 5 2 5 22" xfId="5668" xr:uid="{00000000-0005-0000-0000-000010230000}"/>
    <cellStyle name="Normal 5 2 5 23" xfId="5669" xr:uid="{00000000-0005-0000-0000-000011230000}"/>
    <cellStyle name="Normal 5 2 5 24" xfId="5670" xr:uid="{00000000-0005-0000-0000-000012230000}"/>
    <cellStyle name="Normal 5 2 5 25" xfId="5671" xr:uid="{00000000-0005-0000-0000-000013230000}"/>
    <cellStyle name="Normal 5 2 5 26" xfId="5672" xr:uid="{00000000-0005-0000-0000-000014230000}"/>
    <cellStyle name="Normal 5 2 5 27" xfId="5673" xr:uid="{00000000-0005-0000-0000-000015230000}"/>
    <cellStyle name="Normal 5 2 5 3" xfId="5674" xr:uid="{00000000-0005-0000-0000-000016230000}"/>
    <cellStyle name="Normal 5 2 5 3 10" xfId="5675" xr:uid="{00000000-0005-0000-0000-000017230000}"/>
    <cellStyle name="Normal 5 2 5 3 11" xfId="5676" xr:uid="{00000000-0005-0000-0000-000018230000}"/>
    <cellStyle name="Normal 5 2 5 3 12" xfId="5677" xr:uid="{00000000-0005-0000-0000-000019230000}"/>
    <cellStyle name="Normal 5 2 5 3 13" xfId="5678" xr:uid="{00000000-0005-0000-0000-00001A230000}"/>
    <cellStyle name="Normal 5 2 5 3 14" xfId="5679" xr:uid="{00000000-0005-0000-0000-00001B230000}"/>
    <cellStyle name="Normal 5 2 5 3 15" xfId="5680" xr:uid="{00000000-0005-0000-0000-00001C230000}"/>
    <cellStyle name="Normal 5 2 5 3 16" xfId="5681" xr:uid="{00000000-0005-0000-0000-00001D230000}"/>
    <cellStyle name="Normal 5 2 5 3 17" xfId="5682" xr:uid="{00000000-0005-0000-0000-00001E230000}"/>
    <cellStyle name="Normal 5 2 5 3 18" xfId="5683" xr:uid="{00000000-0005-0000-0000-00001F230000}"/>
    <cellStyle name="Normal 5 2 5 3 19" xfId="5684" xr:uid="{00000000-0005-0000-0000-000020230000}"/>
    <cellStyle name="Normal 5 2 5 3 2" xfId="5685" xr:uid="{00000000-0005-0000-0000-000021230000}"/>
    <cellStyle name="Normal 5 2 5 3 2 2" xfId="5686" xr:uid="{00000000-0005-0000-0000-000022230000}"/>
    <cellStyle name="Normal 5 2 5 3 2 2 2" xfId="5687" xr:uid="{00000000-0005-0000-0000-000023230000}"/>
    <cellStyle name="Normal 5 2 5 3 2 2 3" xfId="5688" xr:uid="{00000000-0005-0000-0000-000024230000}"/>
    <cellStyle name="Normal 5 2 5 3 2 3" xfId="5689" xr:uid="{00000000-0005-0000-0000-000025230000}"/>
    <cellStyle name="Normal 5 2 5 3 2 3 2" xfId="5690" xr:uid="{00000000-0005-0000-0000-000026230000}"/>
    <cellStyle name="Normal 5 2 5 3 2 3 3" xfId="5691" xr:uid="{00000000-0005-0000-0000-000027230000}"/>
    <cellStyle name="Normal 5 2 5 3 2 4" xfId="5692" xr:uid="{00000000-0005-0000-0000-000028230000}"/>
    <cellStyle name="Normal 5 2 5 3 2 5" xfId="5693" xr:uid="{00000000-0005-0000-0000-000029230000}"/>
    <cellStyle name="Normal 5 2 5 3 3" xfId="5694" xr:uid="{00000000-0005-0000-0000-00002A230000}"/>
    <cellStyle name="Normal 5 2 5 3 3 2" xfId="5695" xr:uid="{00000000-0005-0000-0000-00002B230000}"/>
    <cellStyle name="Normal 5 2 5 3 3 3" xfId="5696" xr:uid="{00000000-0005-0000-0000-00002C230000}"/>
    <cellStyle name="Normal 5 2 5 3 3 4" xfId="5697" xr:uid="{00000000-0005-0000-0000-00002D230000}"/>
    <cellStyle name="Normal 5 2 5 3 3 5" xfId="5698" xr:uid="{00000000-0005-0000-0000-00002E230000}"/>
    <cellStyle name="Normal 5 2 5 3 4" xfId="5699" xr:uid="{00000000-0005-0000-0000-00002F230000}"/>
    <cellStyle name="Normal 5 2 5 3 4 2" xfId="5700" xr:uid="{00000000-0005-0000-0000-000030230000}"/>
    <cellStyle name="Normal 5 2 5 3 4 3" xfId="5701" xr:uid="{00000000-0005-0000-0000-000031230000}"/>
    <cellStyle name="Normal 5 2 5 3 5" xfId="5702" xr:uid="{00000000-0005-0000-0000-000032230000}"/>
    <cellStyle name="Normal 5 2 5 3 5 2" xfId="5703" xr:uid="{00000000-0005-0000-0000-000033230000}"/>
    <cellStyle name="Normal 5 2 5 3 5 3" xfId="5704" xr:uid="{00000000-0005-0000-0000-000034230000}"/>
    <cellStyle name="Normal 5 2 5 3 6" xfId="5705" xr:uid="{00000000-0005-0000-0000-000035230000}"/>
    <cellStyle name="Normal 5 2 5 3 7" xfId="5706" xr:uid="{00000000-0005-0000-0000-000036230000}"/>
    <cellStyle name="Normal 5 2 5 3 8" xfId="5707" xr:uid="{00000000-0005-0000-0000-000037230000}"/>
    <cellStyle name="Normal 5 2 5 3 9" xfId="5708" xr:uid="{00000000-0005-0000-0000-000038230000}"/>
    <cellStyle name="Normal 5 2 5 4" xfId="5709" xr:uid="{00000000-0005-0000-0000-000039230000}"/>
    <cellStyle name="Normal 5 2 5 4 2" xfId="5710" xr:uid="{00000000-0005-0000-0000-00003A230000}"/>
    <cellStyle name="Normal 5 2 5 4 2 2" xfId="5711" xr:uid="{00000000-0005-0000-0000-00003B230000}"/>
    <cellStyle name="Normal 5 2 5 4 2 3" xfId="5712" xr:uid="{00000000-0005-0000-0000-00003C230000}"/>
    <cellStyle name="Normal 5 2 5 4 2 4" xfId="5713" xr:uid="{00000000-0005-0000-0000-00003D230000}"/>
    <cellStyle name="Normal 5 2 5 4 2 5" xfId="5714" xr:uid="{00000000-0005-0000-0000-00003E230000}"/>
    <cellStyle name="Normal 5 2 5 4 3" xfId="5715" xr:uid="{00000000-0005-0000-0000-00003F230000}"/>
    <cellStyle name="Normal 5 2 5 4 3 2" xfId="5716" xr:uid="{00000000-0005-0000-0000-000040230000}"/>
    <cellStyle name="Normal 5 2 5 4 3 3" xfId="5717" xr:uid="{00000000-0005-0000-0000-000041230000}"/>
    <cellStyle name="Normal 5 2 5 4 4" xfId="5718" xr:uid="{00000000-0005-0000-0000-000042230000}"/>
    <cellStyle name="Normal 5 2 5 4 4 2" xfId="5719" xr:uid="{00000000-0005-0000-0000-000043230000}"/>
    <cellStyle name="Normal 5 2 5 4 4 3" xfId="5720" xr:uid="{00000000-0005-0000-0000-000044230000}"/>
    <cellStyle name="Normal 5 2 5 4 5" xfId="5721" xr:uid="{00000000-0005-0000-0000-000045230000}"/>
    <cellStyle name="Normal 5 2 5 4 6" xfId="5722" xr:uid="{00000000-0005-0000-0000-000046230000}"/>
    <cellStyle name="Normal 5 2 5 5" xfId="5723" xr:uid="{00000000-0005-0000-0000-000047230000}"/>
    <cellStyle name="Normal 5 2 5 5 2" xfId="5724" xr:uid="{00000000-0005-0000-0000-000048230000}"/>
    <cellStyle name="Normal 5 2 5 5 2 2" xfId="5725" xr:uid="{00000000-0005-0000-0000-000049230000}"/>
    <cellStyle name="Normal 5 2 5 5 2 3" xfId="5726" xr:uid="{00000000-0005-0000-0000-00004A230000}"/>
    <cellStyle name="Normal 5 2 5 5 2 4" xfId="5727" xr:uid="{00000000-0005-0000-0000-00004B230000}"/>
    <cellStyle name="Normal 5 2 5 5 2 5" xfId="5728" xr:uid="{00000000-0005-0000-0000-00004C230000}"/>
    <cellStyle name="Normal 5 2 5 5 3" xfId="5729" xr:uid="{00000000-0005-0000-0000-00004D230000}"/>
    <cellStyle name="Normal 5 2 5 5 3 2" xfId="5730" xr:uid="{00000000-0005-0000-0000-00004E230000}"/>
    <cellStyle name="Normal 5 2 5 5 3 3" xfId="5731" xr:uid="{00000000-0005-0000-0000-00004F230000}"/>
    <cellStyle name="Normal 5 2 5 5 4" xfId="5732" xr:uid="{00000000-0005-0000-0000-000050230000}"/>
    <cellStyle name="Normal 5 2 5 5 4 2" xfId="5733" xr:uid="{00000000-0005-0000-0000-000051230000}"/>
    <cellStyle name="Normal 5 2 5 5 4 3" xfId="5734" xr:uid="{00000000-0005-0000-0000-000052230000}"/>
    <cellStyle name="Normal 5 2 5 5 5" xfId="5735" xr:uid="{00000000-0005-0000-0000-000053230000}"/>
    <cellStyle name="Normal 5 2 5 5 6" xfId="5736" xr:uid="{00000000-0005-0000-0000-000054230000}"/>
    <cellStyle name="Normal 5 2 5 6" xfId="5737" xr:uid="{00000000-0005-0000-0000-000055230000}"/>
    <cellStyle name="Normal 5 2 5 6 2" xfId="5738" xr:uid="{00000000-0005-0000-0000-000056230000}"/>
    <cellStyle name="Normal 5 2 5 6 2 2" xfId="5739" xr:uid="{00000000-0005-0000-0000-000057230000}"/>
    <cellStyle name="Normal 5 2 5 6 2 3" xfId="5740" xr:uid="{00000000-0005-0000-0000-000058230000}"/>
    <cellStyle name="Normal 5 2 5 6 2 4" xfId="5741" xr:uid="{00000000-0005-0000-0000-000059230000}"/>
    <cellStyle name="Normal 5 2 5 6 2 5" xfId="5742" xr:uid="{00000000-0005-0000-0000-00005A230000}"/>
    <cellStyle name="Normal 5 2 5 6 3" xfId="5743" xr:uid="{00000000-0005-0000-0000-00005B230000}"/>
    <cellStyle name="Normal 5 2 5 6 3 2" xfId="5744" xr:uid="{00000000-0005-0000-0000-00005C230000}"/>
    <cellStyle name="Normal 5 2 5 6 3 3" xfId="5745" xr:uid="{00000000-0005-0000-0000-00005D230000}"/>
    <cellStyle name="Normal 5 2 5 6 4" xfId="5746" xr:uid="{00000000-0005-0000-0000-00005E230000}"/>
    <cellStyle name="Normal 5 2 5 6 4 2" xfId="5747" xr:uid="{00000000-0005-0000-0000-00005F230000}"/>
    <cellStyle name="Normal 5 2 5 6 4 3" xfId="5748" xr:uid="{00000000-0005-0000-0000-000060230000}"/>
    <cellStyle name="Normal 5 2 5 6 5" xfId="5749" xr:uid="{00000000-0005-0000-0000-000061230000}"/>
    <cellStyle name="Normal 5 2 5 6 6" xfId="5750" xr:uid="{00000000-0005-0000-0000-000062230000}"/>
    <cellStyle name="Normal 5 2 5 7" xfId="5751" xr:uid="{00000000-0005-0000-0000-000063230000}"/>
    <cellStyle name="Normal 5 2 5 7 2" xfId="5752" xr:uid="{00000000-0005-0000-0000-000064230000}"/>
    <cellStyle name="Normal 5 2 5 7 2 2" xfId="5753" xr:uid="{00000000-0005-0000-0000-000065230000}"/>
    <cellStyle name="Normal 5 2 5 7 2 3" xfId="5754" xr:uid="{00000000-0005-0000-0000-000066230000}"/>
    <cellStyle name="Normal 5 2 5 7 3" xfId="5755" xr:uid="{00000000-0005-0000-0000-000067230000}"/>
    <cellStyle name="Normal 5 2 5 7 3 2" xfId="5756" xr:uid="{00000000-0005-0000-0000-000068230000}"/>
    <cellStyle name="Normal 5 2 5 7 3 3" xfId="5757" xr:uid="{00000000-0005-0000-0000-000069230000}"/>
    <cellStyle name="Normal 5 2 5 7 4" xfId="5758" xr:uid="{00000000-0005-0000-0000-00006A230000}"/>
    <cellStyle name="Normal 5 2 5 7 4 2" xfId="5759" xr:uid="{00000000-0005-0000-0000-00006B230000}"/>
    <cellStyle name="Normal 5 2 5 7 5" xfId="5760" xr:uid="{00000000-0005-0000-0000-00006C230000}"/>
    <cellStyle name="Normal 5 2 5 7 6" xfId="5761" xr:uid="{00000000-0005-0000-0000-00006D230000}"/>
    <cellStyle name="Normal 5 2 5 8" xfId="5762" xr:uid="{00000000-0005-0000-0000-00006E230000}"/>
    <cellStyle name="Normal 5 2 5 8 2" xfId="5763" xr:uid="{00000000-0005-0000-0000-00006F230000}"/>
    <cellStyle name="Normal 5 2 5 8 3" xfId="5764" xr:uid="{00000000-0005-0000-0000-000070230000}"/>
    <cellStyle name="Normal 5 2 5 8 4" xfId="5765" xr:uid="{00000000-0005-0000-0000-000071230000}"/>
    <cellStyle name="Normal 5 2 5 8 5" xfId="5766" xr:uid="{00000000-0005-0000-0000-000072230000}"/>
    <cellStyle name="Normal 5 2 5 9" xfId="5767" xr:uid="{00000000-0005-0000-0000-000073230000}"/>
    <cellStyle name="Normal 5 2 5 9 2" xfId="5768" xr:uid="{00000000-0005-0000-0000-000074230000}"/>
    <cellStyle name="Normal 5 2 5 9 3" xfId="5769" xr:uid="{00000000-0005-0000-0000-000075230000}"/>
    <cellStyle name="Normal 5 2 5_10070" xfId="5770" xr:uid="{00000000-0005-0000-0000-000076230000}"/>
    <cellStyle name="Normal 5 2 6" xfId="5771" xr:uid="{00000000-0005-0000-0000-000077230000}"/>
    <cellStyle name="Normal 5 2 6 2" xfId="5772" xr:uid="{00000000-0005-0000-0000-000078230000}"/>
    <cellStyle name="Normal 5 2 6 2 2" xfId="5773" xr:uid="{00000000-0005-0000-0000-000079230000}"/>
    <cellStyle name="Normal 5 2 6 2 3" xfId="5774" xr:uid="{00000000-0005-0000-0000-00007A230000}"/>
    <cellStyle name="Normal 5 2 6 3" xfId="5775" xr:uid="{00000000-0005-0000-0000-00007B230000}"/>
    <cellStyle name="Normal 5 2 6 3 2" xfId="5776" xr:uid="{00000000-0005-0000-0000-00007C230000}"/>
    <cellStyle name="Normal 5 2 6 3 3" xfId="5777" xr:uid="{00000000-0005-0000-0000-00007D230000}"/>
    <cellStyle name="Normal 5 2 6 4" xfId="5778" xr:uid="{00000000-0005-0000-0000-00007E230000}"/>
    <cellStyle name="Normal 5 2 6 5" xfId="5779" xr:uid="{00000000-0005-0000-0000-00007F230000}"/>
    <cellStyle name="Normal 5 2 7" xfId="5780" xr:uid="{00000000-0005-0000-0000-000080230000}"/>
    <cellStyle name="Normal 5 2 7 2" xfId="5781" xr:uid="{00000000-0005-0000-0000-000081230000}"/>
    <cellStyle name="Normal 5 2 7 3" xfId="5782" xr:uid="{00000000-0005-0000-0000-000082230000}"/>
    <cellStyle name="Normal 5 2 7 4" xfId="5783" xr:uid="{00000000-0005-0000-0000-000083230000}"/>
    <cellStyle name="Normal 5 2 7 5" xfId="5784" xr:uid="{00000000-0005-0000-0000-000084230000}"/>
    <cellStyle name="Normal 5 2 8" xfId="5785" xr:uid="{00000000-0005-0000-0000-000085230000}"/>
    <cellStyle name="Normal 5 2 9" xfId="5786" xr:uid="{00000000-0005-0000-0000-000086230000}"/>
    <cellStyle name="Normal 5 3" xfId="5787" xr:uid="{00000000-0005-0000-0000-000087230000}"/>
    <cellStyle name="Normal 5 3 2" xfId="5788" xr:uid="{00000000-0005-0000-0000-000088230000}"/>
    <cellStyle name="Normal 5 3 2 2" xfId="5789" xr:uid="{00000000-0005-0000-0000-000089230000}"/>
    <cellStyle name="Normal 5 3 2 2 2" xfId="5790" xr:uid="{00000000-0005-0000-0000-00008A230000}"/>
    <cellStyle name="Normal 5 3 2 2 2 2" xfId="5791" xr:uid="{00000000-0005-0000-0000-00008B230000}"/>
    <cellStyle name="Normal 5 3 2 2 2 2 2" xfId="5792" xr:uid="{00000000-0005-0000-0000-00008C230000}"/>
    <cellStyle name="Normal 5 3 2 2 2 3" xfId="5793" xr:uid="{00000000-0005-0000-0000-00008D230000}"/>
    <cellStyle name="Normal 5 3 2 2 2 3 2" xfId="5794" xr:uid="{00000000-0005-0000-0000-00008E230000}"/>
    <cellStyle name="Normal 5 3 2 2 2 4" xfId="5795" xr:uid="{00000000-0005-0000-0000-00008F230000}"/>
    <cellStyle name="Normal 5 3 2 2 3" xfId="5796" xr:uid="{00000000-0005-0000-0000-000090230000}"/>
    <cellStyle name="Normal 5 3 2 2 3 2" xfId="5797" xr:uid="{00000000-0005-0000-0000-000091230000}"/>
    <cellStyle name="Normal 5 3 2 2 4" xfId="5798" xr:uid="{00000000-0005-0000-0000-000092230000}"/>
    <cellStyle name="Normal 5 3 2 2 4 2" xfId="5799" xr:uid="{00000000-0005-0000-0000-000093230000}"/>
    <cellStyle name="Normal 5 3 2 2 5" xfId="5800" xr:uid="{00000000-0005-0000-0000-000094230000}"/>
    <cellStyle name="Normal 5 3 2 3" xfId="5801" xr:uid="{00000000-0005-0000-0000-000095230000}"/>
    <cellStyle name="Normal 5 3 2 3 2" xfId="5802" xr:uid="{00000000-0005-0000-0000-000096230000}"/>
    <cellStyle name="Normal 5 3 2 3 2 2" xfId="5803" xr:uid="{00000000-0005-0000-0000-000097230000}"/>
    <cellStyle name="Normal 5 3 2 3 3" xfId="5804" xr:uid="{00000000-0005-0000-0000-000098230000}"/>
    <cellStyle name="Normal 5 3 2 3 3 2" xfId="5805" xr:uid="{00000000-0005-0000-0000-000099230000}"/>
    <cellStyle name="Normal 5 3 2 3 4" xfId="5806" xr:uid="{00000000-0005-0000-0000-00009A230000}"/>
    <cellStyle name="Normal 5 3 2 4" xfId="5807" xr:uid="{00000000-0005-0000-0000-00009B230000}"/>
    <cellStyle name="Normal 5 3 2 4 2" xfId="5808" xr:uid="{00000000-0005-0000-0000-00009C230000}"/>
    <cellStyle name="Normal 5 3 2 5" xfId="5809" xr:uid="{00000000-0005-0000-0000-00009D230000}"/>
    <cellStyle name="Normal 5 3 2 5 2" xfId="5810" xr:uid="{00000000-0005-0000-0000-00009E230000}"/>
    <cellStyle name="Normal 5 3 2 6" xfId="5811" xr:uid="{00000000-0005-0000-0000-00009F230000}"/>
    <cellStyle name="Normal 5 3 3" xfId="5812" xr:uid="{00000000-0005-0000-0000-0000A0230000}"/>
    <cellStyle name="Normal 5 3 3 2" xfId="5813" xr:uid="{00000000-0005-0000-0000-0000A1230000}"/>
    <cellStyle name="Normal 5 3 3 2 2" xfId="5814" xr:uid="{00000000-0005-0000-0000-0000A2230000}"/>
    <cellStyle name="Normal 5 3 3 2 2 2" xfId="5815" xr:uid="{00000000-0005-0000-0000-0000A3230000}"/>
    <cellStyle name="Normal 5 3 3 2 3" xfId="5816" xr:uid="{00000000-0005-0000-0000-0000A4230000}"/>
    <cellStyle name="Normal 5 3 3 2 3 2" xfId="5817" xr:uid="{00000000-0005-0000-0000-0000A5230000}"/>
    <cellStyle name="Normal 5 3 3 2 4" xfId="5818" xr:uid="{00000000-0005-0000-0000-0000A6230000}"/>
    <cellStyle name="Normal 5 3 3 3" xfId="5819" xr:uid="{00000000-0005-0000-0000-0000A7230000}"/>
    <cellStyle name="Normal 5 3 3 3 2" xfId="5820" xr:uid="{00000000-0005-0000-0000-0000A8230000}"/>
    <cellStyle name="Normal 5 3 3 4" xfId="5821" xr:uid="{00000000-0005-0000-0000-0000A9230000}"/>
    <cellStyle name="Normal 5 3 3 4 2" xfId="5822" xr:uid="{00000000-0005-0000-0000-0000AA230000}"/>
    <cellStyle name="Normal 5 3 3 5" xfId="5823" xr:uid="{00000000-0005-0000-0000-0000AB230000}"/>
    <cellStyle name="Normal 5 3 4" xfId="5824" xr:uid="{00000000-0005-0000-0000-0000AC230000}"/>
    <cellStyle name="Normal 5 3 4 2" xfId="5825" xr:uid="{00000000-0005-0000-0000-0000AD230000}"/>
    <cellStyle name="Normal 5 3 4 2 2" xfId="5826" xr:uid="{00000000-0005-0000-0000-0000AE230000}"/>
    <cellStyle name="Normal 5 3 4 3" xfId="5827" xr:uid="{00000000-0005-0000-0000-0000AF230000}"/>
    <cellStyle name="Normal 5 3 4 3 2" xfId="5828" xr:uid="{00000000-0005-0000-0000-0000B0230000}"/>
    <cellStyle name="Normal 5 3 4 4" xfId="5829" xr:uid="{00000000-0005-0000-0000-0000B1230000}"/>
    <cellStyle name="Normal 5 3 5" xfId="5830" xr:uid="{00000000-0005-0000-0000-0000B2230000}"/>
    <cellStyle name="Normal 5 3 5 2" xfId="5831" xr:uid="{00000000-0005-0000-0000-0000B3230000}"/>
    <cellStyle name="Normal 5 3 6" xfId="5832" xr:uid="{00000000-0005-0000-0000-0000B4230000}"/>
    <cellStyle name="Normal 5 3 6 2" xfId="5833" xr:uid="{00000000-0005-0000-0000-0000B5230000}"/>
    <cellStyle name="Normal 5 3 7" xfId="5834" xr:uid="{00000000-0005-0000-0000-0000B6230000}"/>
    <cellStyle name="Normal 5 4" xfId="5835" xr:uid="{00000000-0005-0000-0000-0000B7230000}"/>
    <cellStyle name="Normal 5 4 2" xfId="5836" xr:uid="{00000000-0005-0000-0000-0000B8230000}"/>
    <cellStyle name="Normal 5 4 2 2" xfId="5837" xr:uid="{00000000-0005-0000-0000-0000B9230000}"/>
    <cellStyle name="Normal 5 4 2 2 2" xfId="5838" xr:uid="{00000000-0005-0000-0000-0000BA230000}"/>
    <cellStyle name="Normal 5 4 2 2 2 2" xfId="5839" xr:uid="{00000000-0005-0000-0000-0000BB230000}"/>
    <cellStyle name="Normal 5 4 2 2 2 2 2" xfId="5840" xr:uid="{00000000-0005-0000-0000-0000BC230000}"/>
    <cellStyle name="Normal 5 4 2 2 2 3" xfId="5841" xr:uid="{00000000-0005-0000-0000-0000BD230000}"/>
    <cellStyle name="Normal 5 4 2 2 2 3 2" xfId="5842" xr:uid="{00000000-0005-0000-0000-0000BE230000}"/>
    <cellStyle name="Normal 5 4 2 2 2 4" xfId="5843" xr:uid="{00000000-0005-0000-0000-0000BF230000}"/>
    <cellStyle name="Normal 5 4 2 2 3" xfId="5844" xr:uid="{00000000-0005-0000-0000-0000C0230000}"/>
    <cellStyle name="Normal 5 4 2 2 3 2" xfId="5845" xr:uid="{00000000-0005-0000-0000-0000C1230000}"/>
    <cellStyle name="Normal 5 4 2 2 4" xfId="5846" xr:uid="{00000000-0005-0000-0000-0000C2230000}"/>
    <cellStyle name="Normal 5 4 2 2 4 2" xfId="5847" xr:uid="{00000000-0005-0000-0000-0000C3230000}"/>
    <cellStyle name="Normal 5 4 2 2 5" xfId="5848" xr:uid="{00000000-0005-0000-0000-0000C4230000}"/>
    <cellStyle name="Normal 5 4 2 3" xfId="5849" xr:uid="{00000000-0005-0000-0000-0000C5230000}"/>
    <cellStyle name="Normal 5 4 2 3 2" xfId="5850" xr:uid="{00000000-0005-0000-0000-0000C6230000}"/>
    <cellStyle name="Normal 5 4 2 3 2 2" xfId="5851" xr:uid="{00000000-0005-0000-0000-0000C7230000}"/>
    <cellStyle name="Normal 5 4 2 3 3" xfId="5852" xr:uid="{00000000-0005-0000-0000-0000C8230000}"/>
    <cellStyle name="Normal 5 4 2 3 3 2" xfId="5853" xr:uid="{00000000-0005-0000-0000-0000C9230000}"/>
    <cellStyle name="Normal 5 4 2 3 4" xfId="5854" xr:uid="{00000000-0005-0000-0000-0000CA230000}"/>
    <cellStyle name="Normal 5 4 2 4" xfId="5855" xr:uid="{00000000-0005-0000-0000-0000CB230000}"/>
    <cellStyle name="Normal 5 4 2 4 2" xfId="5856" xr:uid="{00000000-0005-0000-0000-0000CC230000}"/>
    <cellStyle name="Normal 5 4 2 5" xfId="5857" xr:uid="{00000000-0005-0000-0000-0000CD230000}"/>
    <cellStyle name="Normal 5 4 2 5 2" xfId="5858" xr:uid="{00000000-0005-0000-0000-0000CE230000}"/>
    <cellStyle name="Normal 5 4 2 6" xfId="5859" xr:uid="{00000000-0005-0000-0000-0000CF230000}"/>
    <cellStyle name="Normal 5 4 3" xfId="5860" xr:uid="{00000000-0005-0000-0000-0000D0230000}"/>
    <cellStyle name="Normal 5 4 3 2" xfId="5861" xr:uid="{00000000-0005-0000-0000-0000D1230000}"/>
    <cellStyle name="Normal 5 4 3 2 2" xfId="5862" xr:uid="{00000000-0005-0000-0000-0000D2230000}"/>
    <cellStyle name="Normal 5 4 3 2 2 2" xfId="5863" xr:uid="{00000000-0005-0000-0000-0000D3230000}"/>
    <cellStyle name="Normal 5 4 3 2 3" xfId="5864" xr:uid="{00000000-0005-0000-0000-0000D4230000}"/>
    <cellStyle name="Normal 5 4 3 2 3 2" xfId="5865" xr:uid="{00000000-0005-0000-0000-0000D5230000}"/>
    <cellStyle name="Normal 5 4 3 2 4" xfId="5866" xr:uid="{00000000-0005-0000-0000-0000D6230000}"/>
    <cellStyle name="Normal 5 4 3 3" xfId="5867" xr:uid="{00000000-0005-0000-0000-0000D7230000}"/>
    <cellStyle name="Normal 5 4 3 3 2" xfId="5868" xr:uid="{00000000-0005-0000-0000-0000D8230000}"/>
    <cellStyle name="Normal 5 4 3 4" xfId="5869" xr:uid="{00000000-0005-0000-0000-0000D9230000}"/>
    <cellStyle name="Normal 5 4 3 4 2" xfId="5870" xr:uid="{00000000-0005-0000-0000-0000DA230000}"/>
    <cellStyle name="Normal 5 4 3 5" xfId="5871" xr:uid="{00000000-0005-0000-0000-0000DB230000}"/>
    <cellStyle name="Normal 5 4 4" xfId="5872" xr:uid="{00000000-0005-0000-0000-0000DC230000}"/>
    <cellStyle name="Normal 5 4 4 2" xfId="5873" xr:uid="{00000000-0005-0000-0000-0000DD230000}"/>
    <cellStyle name="Normal 5 4 4 2 2" xfId="5874" xr:uid="{00000000-0005-0000-0000-0000DE230000}"/>
    <cellStyle name="Normal 5 4 4 3" xfId="5875" xr:uid="{00000000-0005-0000-0000-0000DF230000}"/>
    <cellStyle name="Normal 5 4 4 3 2" xfId="5876" xr:uid="{00000000-0005-0000-0000-0000E0230000}"/>
    <cellStyle name="Normal 5 4 4 4" xfId="5877" xr:uid="{00000000-0005-0000-0000-0000E1230000}"/>
    <cellStyle name="Normal 5 4 5" xfId="5878" xr:uid="{00000000-0005-0000-0000-0000E2230000}"/>
    <cellStyle name="Normal 5 4 5 2" xfId="5879" xr:uid="{00000000-0005-0000-0000-0000E3230000}"/>
    <cellStyle name="Normal 5 4 6" xfId="5880" xr:uid="{00000000-0005-0000-0000-0000E4230000}"/>
    <cellStyle name="Normal 5 4 6 2" xfId="5881" xr:uid="{00000000-0005-0000-0000-0000E5230000}"/>
    <cellStyle name="Normal 5 4 7" xfId="5882" xr:uid="{00000000-0005-0000-0000-0000E6230000}"/>
    <cellStyle name="Normal 5 5" xfId="5883" xr:uid="{00000000-0005-0000-0000-0000E7230000}"/>
    <cellStyle name="Normal 5 5 2" xfId="5884" xr:uid="{00000000-0005-0000-0000-0000E8230000}"/>
    <cellStyle name="Normal 5 5 2 2" xfId="5885" xr:uid="{00000000-0005-0000-0000-0000E9230000}"/>
    <cellStyle name="Normal 5 5 2 2 2" xfId="5886" xr:uid="{00000000-0005-0000-0000-0000EA230000}"/>
    <cellStyle name="Normal 5 5 2 2 2 2" xfId="5887" xr:uid="{00000000-0005-0000-0000-0000EB230000}"/>
    <cellStyle name="Normal 5 5 2 2 3" xfId="5888" xr:uid="{00000000-0005-0000-0000-0000EC230000}"/>
    <cellStyle name="Normal 5 5 2 2 3 2" xfId="5889" xr:uid="{00000000-0005-0000-0000-0000ED230000}"/>
    <cellStyle name="Normal 5 5 2 2 4" xfId="5890" xr:uid="{00000000-0005-0000-0000-0000EE230000}"/>
    <cellStyle name="Normal 5 5 2 3" xfId="5891" xr:uid="{00000000-0005-0000-0000-0000EF230000}"/>
    <cellStyle name="Normal 5 5 2 3 2" xfId="5892" xr:uid="{00000000-0005-0000-0000-0000F0230000}"/>
    <cellStyle name="Normal 5 5 2 4" xfId="5893" xr:uid="{00000000-0005-0000-0000-0000F1230000}"/>
    <cellStyle name="Normal 5 5 2 4 2" xfId="5894" xr:uid="{00000000-0005-0000-0000-0000F2230000}"/>
    <cellStyle name="Normal 5 5 2 5" xfId="5895" xr:uid="{00000000-0005-0000-0000-0000F3230000}"/>
    <cellStyle name="Normal 5 5 3" xfId="5896" xr:uid="{00000000-0005-0000-0000-0000F4230000}"/>
    <cellStyle name="Normal 5 5 3 2" xfId="5897" xr:uid="{00000000-0005-0000-0000-0000F5230000}"/>
    <cellStyle name="Normal 5 5 3 2 2" xfId="5898" xr:uid="{00000000-0005-0000-0000-0000F6230000}"/>
    <cellStyle name="Normal 5 5 3 3" xfId="5899" xr:uid="{00000000-0005-0000-0000-0000F7230000}"/>
    <cellStyle name="Normal 5 5 3 3 2" xfId="5900" xr:uid="{00000000-0005-0000-0000-0000F8230000}"/>
    <cellStyle name="Normal 5 5 3 4" xfId="5901" xr:uid="{00000000-0005-0000-0000-0000F9230000}"/>
    <cellStyle name="Normal 5 5 4" xfId="5902" xr:uid="{00000000-0005-0000-0000-0000FA230000}"/>
    <cellStyle name="Normal 5 5 4 2" xfId="5903" xr:uid="{00000000-0005-0000-0000-0000FB230000}"/>
    <cellStyle name="Normal 5 5 5" xfId="5904" xr:uid="{00000000-0005-0000-0000-0000FC230000}"/>
    <cellStyle name="Normal 5 5 5 2" xfId="5905" xr:uid="{00000000-0005-0000-0000-0000FD230000}"/>
    <cellStyle name="Normal 5 5 6" xfId="5906" xr:uid="{00000000-0005-0000-0000-0000FE230000}"/>
    <cellStyle name="Normal 5 6" xfId="5907" xr:uid="{00000000-0005-0000-0000-0000FF230000}"/>
    <cellStyle name="Normal 5 6 2" xfId="5908" xr:uid="{00000000-0005-0000-0000-000000240000}"/>
    <cellStyle name="Normal 5 6 2 2" xfId="5909" xr:uid="{00000000-0005-0000-0000-000001240000}"/>
    <cellStyle name="Normal 5 6 2 2 2" xfId="5910" xr:uid="{00000000-0005-0000-0000-000002240000}"/>
    <cellStyle name="Normal 5 6 2 3" xfId="5911" xr:uid="{00000000-0005-0000-0000-000003240000}"/>
    <cellStyle name="Normal 5 6 2 3 2" xfId="5912" xr:uid="{00000000-0005-0000-0000-000004240000}"/>
    <cellStyle name="Normal 5 6 2 4" xfId="5913" xr:uid="{00000000-0005-0000-0000-000005240000}"/>
    <cellStyle name="Normal 5 6 3" xfId="5914" xr:uid="{00000000-0005-0000-0000-000006240000}"/>
    <cellStyle name="Normal 5 6 3 2" xfId="5915" xr:uid="{00000000-0005-0000-0000-000007240000}"/>
    <cellStyle name="Normal 5 6 4" xfId="5916" xr:uid="{00000000-0005-0000-0000-000008240000}"/>
    <cellStyle name="Normal 5 6 4 2" xfId="5917" xr:uid="{00000000-0005-0000-0000-000009240000}"/>
    <cellStyle name="Normal 5 6 5" xfId="5918" xr:uid="{00000000-0005-0000-0000-00000A240000}"/>
    <cellStyle name="Normal 5 7" xfId="5919" xr:uid="{00000000-0005-0000-0000-00000B240000}"/>
    <cellStyle name="Normal 5 7 2" xfId="5920" xr:uid="{00000000-0005-0000-0000-00000C240000}"/>
    <cellStyle name="Normal 5 7 2 2" xfId="5921" xr:uid="{00000000-0005-0000-0000-00000D240000}"/>
    <cellStyle name="Normal 5 7 3" xfId="5922" xr:uid="{00000000-0005-0000-0000-00000E240000}"/>
    <cellStyle name="Normal 5 7 3 2" xfId="5923" xr:uid="{00000000-0005-0000-0000-00000F240000}"/>
    <cellStyle name="Normal 5 7 4" xfId="5924" xr:uid="{00000000-0005-0000-0000-000010240000}"/>
    <cellStyle name="Normal 5 8" xfId="5925" xr:uid="{00000000-0005-0000-0000-000011240000}"/>
    <cellStyle name="Normal 5 8 2" xfId="5926" xr:uid="{00000000-0005-0000-0000-000012240000}"/>
    <cellStyle name="Normal 5 9" xfId="5927" xr:uid="{00000000-0005-0000-0000-000013240000}"/>
    <cellStyle name="Normal 5 9 2" xfId="5928" xr:uid="{00000000-0005-0000-0000-000014240000}"/>
    <cellStyle name="Normal 5_10051" xfId="5929" xr:uid="{00000000-0005-0000-0000-000015240000}"/>
    <cellStyle name="Normal 50" xfId="5930" xr:uid="{00000000-0005-0000-0000-000016240000}"/>
    <cellStyle name="Normal 50 2" xfId="5931" xr:uid="{00000000-0005-0000-0000-000017240000}"/>
    <cellStyle name="Normal 50 2 2" xfId="5932" xr:uid="{00000000-0005-0000-0000-000018240000}"/>
    <cellStyle name="Normal 50 2 2 2" xfId="5933" xr:uid="{00000000-0005-0000-0000-000019240000}"/>
    <cellStyle name="Normal 50 2 2 2 2" xfId="5934" xr:uid="{00000000-0005-0000-0000-00001A240000}"/>
    <cellStyle name="Normal 50 2 2 2 2 2" xfId="5935" xr:uid="{00000000-0005-0000-0000-00001B240000}"/>
    <cellStyle name="Normal 50 2 2 2 3" xfId="5936" xr:uid="{00000000-0005-0000-0000-00001C240000}"/>
    <cellStyle name="Normal 50 2 2 2 3 2" xfId="5937" xr:uid="{00000000-0005-0000-0000-00001D240000}"/>
    <cellStyle name="Normal 50 2 2 2 4" xfId="5938" xr:uid="{00000000-0005-0000-0000-00001E240000}"/>
    <cellStyle name="Normal 50 2 2 3" xfId="5939" xr:uid="{00000000-0005-0000-0000-00001F240000}"/>
    <cellStyle name="Normal 50 2 2 3 2" xfId="5940" xr:uid="{00000000-0005-0000-0000-000020240000}"/>
    <cellStyle name="Normal 50 2 2 4" xfId="5941" xr:uid="{00000000-0005-0000-0000-000021240000}"/>
    <cellStyle name="Normal 50 2 2 4 2" xfId="5942" xr:uid="{00000000-0005-0000-0000-000022240000}"/>
    <cellStyle name="Normal 50 2 2 5" xfId="5943" xr:uid="{00000000-0005-0000-0000-000023240000}"/>
    <cellStyle name="Normal 50 2 3" xfId="5944" xr:uid="{00000000-0005-0000-0000-000024240000}"/>
    <cellStyle name="Normal 50 2 3 2" xfId="5945" xr:uid="{00000000-0005-0000-0000-000025240000}"/>
    <cellStyle name="Normal 50 2 3 2 2" xfId="5946" xr:uid="{00000000-0005-0000-0000-000026240000}"/>
    <cellStyle name="Normal 50 2 3 3" xfId="5947" xr:uid="{00000000-0005-0000-0000-000027240000}"/>
    <cellStyle name="Normal 50 2 3 3 2" xfId="5948" xr:uid="{00000000-0005-0000-0000-000028240000}"/>
    <cellStyle name="Normal 50 2 3 4" xfId="5949" xr:uid="{00000000-0005-0000-0000-000029240000}"/>
    <cellStyle name="Normal 50 2 4" xfId="5950" xr:uid="{00000000-0005-0000-0000-00002A240000}"/>
    <cellStyle name="Normal 50 2 4 2" xfId="5951" xr:uid="{00000000-0005-0000-0000-00002B240000}"/>
    <cellStyle name="Normal 50 2 5" xfId="5952" xr:uid="{00000000-0005-0000-0000-00002C240000}"/>
    <cellStyle name="Normal 50 2 5 2" xfId="5953" xr:uid="{00000000-0005-0000-0000-00002D240000}"/>
    <cellStyle name="Normal 50 2 6" xfId="5954" xr:uid="{00000000-0005-0000-0000-00002E240000}"/>
    <cellStyle name="Normal 50 3" xfId="5955" xr:uid="{00000000-0005-0000-0000-00002F240000}"/>
    <cellStyle name="Normal 50 3 2" xfId="5956" xr:uid="{00000000-0005-0000-0000-000030240000}"/>
    <cellStyle name="Normal 50 3 2 2" xfId="5957" xr:uid="{00000000-0005-0000-0000-000031240000}"/>
    <cellStyle name="Normal 50 3 2 2 2" xfId="5958" xr:uid="{00000000-0005-0000-0000-000032240000}"/>
    <cellStyle name="Normal 50 3 2 3" xfId="5959" xr:uid="{00000000-0005-0000-0000-000033240000}"/>
    <cellStyle name="Normal 50 3 2 3 2" xfId="5960" xr:uid="{00000000-0005-0000-0000-000034240000}"/>
    <cellStyle name="Normal 50 3 2 4" xfId="5961" xr:uid="{00000000-0005-0000-0000-000035240000}"/>
    <cellStyle name="Normal 50 3 3" xfId="5962" xr:uid="{00000000-0005-0000-0000-000036240000}"/>
    <cellStyle name="Normal 50 3 3 2" xfId="5963" xr:uid="{00000000-0005-0000-0000-000037240000}"/>
    <cellStyle name="Normal 50 3 4" xfId="5964" xr:uid="{00000000-0005-0000-0000-000038240000}"/>
    <cellStyle name="Normal 50 3 4 2" xfId="5965" xr:uid="{00000000-0005-0000-0000-000039240000}"/>
    <cellStyle name="Normal 50 3 5" xfId="5966" xr:uid="{00000000-0005-0000-0000-00003A240000}"/>
    <cellStyle name="Normal 50 4" xfId="5967" xr:uid="{00000000-0005-0000-0000-00003B240000}"/>
    <cellStyle name="Normal 50 4 2" xfId="5968" xr:uid="{00000000-0005-0000-0000-00003C240000}"/>
    <cellStyle name="Normal 50 4 2 2" xfId="5969" xr:uid="{00000000-0005-0000-0000-00003D240000}"/>
    <cellStyle name="Normal 50 4 3" xfId="5970" xr:uid="{00000000-0005-0000-0000-00003E240000}"/>
    <cellStyle name="Normal 50 4 3 2" xfId="5971" xr:uid="{00000000-0005-0000-0000-00003F240000}"/>
    <cellStyle name="Normal 50 4 4" xfId="5972" xr:uid="{00000000-0005-0000-0000-000040240000}"/>
    <cellStyle name="Normal 50 5" xfId="5973" xr:uid="{00000000-0005-0000-0000-000041240000}"/>
    <cellStyle name="Normal 50 5 2" xfId="5974" xr:uid="{00000000-0005-0000-0000-000042240000}"/>
    <cellStyle name="Normal 50 6" xfId="5975" xr:uid="{00000000-0005-0000-0000-000043240000}"/>
    <cellStyle name="Normal 50 6 2" xfId="5976" xr:uid="{00000000-0005-0000-0000-000044240000}"/>
    <cellStyle name="Normal 50 7" xfId="5977" xr:uid="{00000000-0005-0000-0000-000045240000}"/>
    <cellStyle name="Normal 51" xfId="5978" xr:uid="{00000000-0005-0000-0000-000046240000}"/>
    <cellStyle name="Normal 51 2" xfId="5979" xr:uid="{00000000-0005-0000-0000-000047240000}"/>
    <cellStyle name="Normal 51 2 2" xfId="5980" xr:uid="{00000000-0005-0000-0000-000048240000}"/>
    <cellStyle name="Normal 51 2 2 2" xfId="5981" xr:uid="{00000000-0005-0000-0000-000049240000}"/>
    <cellStyle name="Normal 51 2 2 2 2" xfId="5982" xr:uid="{00000000-0005-0000-0000-00004A240000}"/>
    <cellStyle name="Normal 51 2 2 2 2 2" xfId="5983" xr:uid="{00000000-0005-0000-0000-00004B240000}"/>
    <cellStyle name="Normal 51 2 2 2 3" xfId="5984" xr:uid="{00000000-0005-0000-0000-00004C240000}"/>
    <cellStyle name="Normal 51 2 2 2 3 2" xfId="5985" xr:uid="{00000000-0005-0000-0000-00004D240000}"/>
    <cellStyle name="Normal 51 2 2 2 4" xfId="5986" xr:uid="{00000000-0005-0000-0000-00004E240000}"/>
    <cellStyle name="Normal 51 2 2 3" xfId="5987" xr:uid="{00000000-0005-0000-0000-00004F240000}"/>
    <cellStyle name="Normal 51 2 2 3 2" xfId="5988" xr:uid="{00000000-0005-0000-0000-000050240000}"/>
    <cellStyle name="Normal 51 2 2 4" xfId="5989" xr:uid="{00000000-0005-0000-0000-000051240000}"/>
    <cellStyle name="Normal 51 2 2 4 2" xfId="5990" xr:uid="{00000000-0005-0000-0000-000052240000}"/>
    <cellStyle name="Normal 51 2 2 5" xfId="5991" xr:uid="{00000000-0005-0000-0000-000053240000}"/>
    <cellStyle name="Normal 51 2 3" xfId="5992" xr:uid="{00000000-0005-0000-0000-000054240000}"/>
    <cellStyle name="Normal 51 2 3 2" xfId="5993" xr:uid="{00000000-0005-0000-0000-000055240000}"/>
    <cellStyle name="Normal 51 2 3 2 2" xfId="5994" xr:uid="{00000000-0005-0000-0000-000056240000}"/>
    <cellStyle name="Normal 51 2 3 3" xfId="5995" xr:uid="{00000000-0005-0000-0000-000057240000}"/>
    <cellStyle name="Normal 51 2 3 3 2" xfId="5996" xr:uid="{00000000-0005-0000-0000-000058240000}"/>
    <cellStyle name="Normal 51 2 3 4" xfId="5997" xr:uid="{00000000-0005-0000-0000-000059240000}"/>
    <cellStyle name="Normal 51 2 4" xfId="5998" xr:uid="{00000000-0005-0000-0000-00005A240000}"/>
    <cellStyle name="Normal 51 2 4 2" xfId="5999" xr:uid="{00000000-0005-0000-0000-00005B240000}"/>
    <cellStyle name="Normal 51 2 5" xfId="6000" xr:uid="{00000000-0005-0000-0000-00005C240000}"/>
    <cellStyle name="Normal 51 2 5 2" xfId="6001" xr:uid="{00000000-0005-0000-0000-00005D240000}"/>
    <cellStyle name="Normal 51 2 6" xfId="6002" xr:uid="{00000000-0005-0000-0000-00005E240000}"/>
    <cellStyle name="Normal 51 3" xfId="6003" xr:uid="{00000000-0005-0000-0000-00005F240000}"/>
    <cellStyle name="Normal 51 3 2" xfId="6004" xr:uid="{00000000-0005-0000-0000-000060240000}"/>
    <cellStyle name="Normal 51 3 2 2" xfId="6005" xr:uid="{00000000-0005-0000-0000-000061240000}"/>
    <cellStyle name="Normal 51 3 2 2 2" xfId="6006" xr:uid="{00000000-0005-0000-0000-000062240000}"/>
    <cellStyle name="Normal 51 3 2 3" xfId="6007" xr:uid="{00000000-0005-0000-0000-000063240000}"/>
    <cellStyle name="Normal 51 3 2 3 2" xfId="6008" xr:uid="{00000000-0005-0000-0000-000064240000}"/>
    <cellStyle name="Normal 51 3 2 4" xfId="6009" xr:uid="{00000000-0005-0000-0000-000065240000}"/>
    <cellStyle name="Normal 51 3 3" xfId="6010" xr:uid="{00000000-0005-0000-0000-000066240000}"/>
    <cellStyle name="Normal 51 3 3 2" xfId="6011" xr:uid="{00000000-0005-0000-0000-000067240000}"/>
    <cellStyle name="Normal 51 3 4" xfId="6012" xr:uid="{00000000-0005-0000-0000-000068240000}"/>
    <cellStyle name="Normal 51 3 4 2" xfId="6013" xr:uid="{00000000-0005-0000-0000-000069240000}"/>
    <cellStyle name="Normal 51 3 5" xfId="6014" xr:uid="{00000000-0005-0000-0000-00006A240000}"/>
    <cellStyle name="Normal 51 4" xfId="6015" xr:uid="{00000000-0005-0000-0000-00006B240000}"/>
    <cellStyle name="Normal 51 4 2" xfId="6016" xr:uid="{00000000-0005-0000-0000-00006C240000}"/>
    <cellStyle name="Normal 51 4 2 2" xfId="6017" xr:uid="{00000000-0005-0000-0000-00006D240000}"/>
    <cellStyle name="Normal 51 4 3" xfId="6018" xr:uid="{00000000-0005-0000-0000-00006E240000}"/>
    <cellStyle name="Normal 51 4 3 2" xfId="6019" xr:uid="{00000000-0005-0000-0000-00006F240000}"/>
    <cellStyle name="Normal 51 4 4" xfId="6020" xr:uid="{00000000-0005-0000-0000-000070240000}"/>
    <cellStyle name="Normal 51 5" xfId="6021" xr:uid="{00000000-0005-0000-0000-000071240000}"/>
    <cellStyle name="Normal 51 5 2" xfId="6022" xr:uid="{00000000-0005-0000-0000-000072240000}"/>
    <cellStyle name="Normal 51 6" xfId="6023" xr:uid="{00000000-0005-0000-0000-000073240000}"/>
    <cellStyle name="Normal 51 6 2" xfId="6024" xr:uid="{00000000-0005-0000-0000-000074240000}"/>
    <cellStyle name="Normal 51 7" xfId="6025" xr:uid="{00000000-0005-0000-0000-000075240000}"/>
    <cellStyle name="Normal 52" xfId="6026" xr:uid="{00000000-0005-0000-0000-000076240000}"/>
    <cellStyle name="Normal 52 2" xfId="6027" xr:uid="{00000000-0005-0000-0000-000077240000}"/>
    <cellStyle name="Normal 52 2 2" xfId="6028" xr:uid="{00000000-0005-0000-0000-000078240000}"/>
    <cellStyle name="Normal 52 2 2 2" xfId="6029" xr:uid="{00000000-0005-0000-0000-000079240000}"/>
    <cellStyle name="Normal 52 2 2 2 2" xfId="6030" xr:uid="{00000000-0005-0000-0000-00007A240000}"/>
    <cellStyle name="Normal 52 2 2 2 2 2" xfId="6031" xr:uid="{00000000-0005-0000-0000-00007B240000}"/>
    <cellStyle name="Normal 52 2 2 2 3" xfId="6032" xr:uid="{00000000-0005-0000-0000-00007C240000}"/>
    <cellStyle name="Normal 52 2 2 2 3 2" xfId="6033" xr:uid="{00000000-0005-0000-0000-00007D240000}"/>
    <cellStyle name="Normal 52 2 2 2 4" xfId="6034" xr:uid="{00000000-0005-0000-0000-00007E240000}"/>
    <cellStyle name="Normal 52 2 2 3" xfId="6035" xr:uid="{00000000-0005-0000-0000-00007F240000}"/>
    <cellStyle name="Normal 52 2 2 3 2" xfId="6036" xr:uid="{00000000-0005-0000-0000-000080240000}"/>
    <cellStyle name="Normal 52 2 2 4" xfId="6037" xr:uid="{00000000-0005-0000-0000-000081240000}"/>
    <cellStyle name="Normal 52 2 2 4 2" xfId="6038" xr:uid="{00000000-0005-0000-0000-000082240000}"/>
    <cellStyle name="Normal 52 2 2 5" xfId="6039" xr:uid="{00000000-0005-0000-0000-000083240000}"/>
    <cellStyle name="Normal 52 2 3" xfId="6040" xr:uid="{00000000-0005-0000-0000-000084240000}"/>
    <cellStyle name="Normal 52 2 3 2" xfId="6041" xr:uid="{00000000-0005-0000-0000-000085240000}"/>
    <cellStyle name="Normal 52 2 3 2 2" xfId="6042" xr:uid="{00000000-0005-0000-0000-000086240000}"/>
    <cellStyle name="Normal 52 2 3 3" xfId="6043" xr:uid="{00000000-0005-0000-0000-000087240000}"/>
    <cellStyle name="Normal 52 2 3 3 2" xfId="6044" xr:uid="{00000000-0005-0000-0000-000088240000}"/>
    <cellStyle name="Normal 52 2 3 4" xfId="6045" xr:uid="{00000000-0005-0000-0000-000089240000}"/>
    <cellStyle name="Normal 52 2 4" xfId="6046" xr:uid="{00000000-0005-0000-0000-00008A240000}"/>
    <cellStyle name="Normal 52 2 4 2" xfId="6047" xr:uid="{00000000-0005-0000-0000-00008B240000}"/>
    <cellStyle name="Normal 52 2 5" xfId="6048" xr:uid="{00000000-0005-0000-0000-00008C240000}"/>
    <cellStyle name="Normal 52 2 5 2" xfId="6049" xr:uid="{00000000-0005-0000-0000-00008D240000}"/>
    <cellStyle name="Normal 52 2 6" xfId="6050" xr:uid="{00000000-0005-0000-0000-00008E240000}"/>
    <cellStyle name="Normal 52 3" xfId="6051" xr:uid="{00000000-0005-0000-0000-00008F240000}"/>
    <cellStyle name="Normal 52 3 2" xfId="6052" xr:uid="{00000000-0005-0000-0000-000090240000}"/>
    <cellStyle name="Normal 52 3 2 2" xfId="6053" xr:uid="{00000000-0005-0000-0000-000091240000}"/>
    <cellStyle name="Normal 52 3 2 2 2" xfId="6054" xr:uid="{00000000-0005-0000-0000-000092240000}"/>
    <cellStyle name="Normal 52 3 2 3" xfId="6055" xr:uid="{00000000-0005-0000-0000-000093240000}"/>
    <cellStyle name="Normal 52 3 2 3 2" xfId="6056" xr:uid="{00000000-0005-0000-0000-000094240000}"/>
    <cellStyle name="Normal 52 3 2 4" xfId="6057" xr:uid="{00000000-0005-0000-0000-000095240000}"/>
    <cellStyle name="Normal 52 3 3" xfId="6058" xr:uid="{00000000-0005-0000-0000-000096240000}"/>
    <cellStyle name="Normal 52 3 3 2" xfId="6059" xr:uid="{00000000-0005-0000-0000-000097240000}"/>
    <cellStyle name="Normal 52 3 4" xfId="6060" xr:uid="{00000000-0005-0000-0000-000098240000}"/>
    <cellStyle name="Normal 52 3 4 2" xfId="6061" xr:uid="{00000000-0005-0000-0000-000099240000}"/>
    <cellStyle name="Normal 52 3 5" xfId="6062" xr:uid="{00000000-0005-0000-0000-00009A240000}"/>
    <cellStyle name="Normal 52 4" xfId="6063" xr:uid="{00000000-0005-0000-0000-00009B240000}"/>
    <cellStyle name="Normal 52 4 2" xfId="6064" xr:uid="{00000000-0005-0000-0000-00009C240000}"/>
    <cellStyle name="Normal 52 4 2 2" xfId="6065" xr:uid="{00000000-0005-0000-0000-00009D240000}"/>
    <cellStyle name="Normal 52 4 3" xfId="6066" xr:uid="{00000000-0005-0000-0000-00009E240000}"/>
    <cellStyle name="Normal 52 4 3 2" xfId="6067" xr:uid="{00000000-0005-0000-0000-00009F240000}"/>
    <cellStyle name="Normal 52 4 4" xfId="6068" xr:uid="{00000000-0005-0000-0000-0000A0240000}"/>
    <cellStyle name="Normal 52 5" xfId="6069" xr:uid="{00000000-0005-0000-0000-0000A1240000}"/>
    <cellStyle name="Normal 52 5 2" xfId="6070" xr:uid="{00000000-0005-0000-0000-0000A2240000}"/>
    <cellStyle name="Normal 52 6" xfId="6071" xr:uid="{00000000-0005-0000-0000-0000A3240000}"/>
    <cellStyle name="Normal 52 6 2" xfId="6072" xr:uid="{00000000-0005-0000-0000-0000A4240000}"/>
    <cellStyle name="Normal 52 7" xfId="6073" xr:uid="{00000000-0005-0000-0000-0000A5240000}"/>
    <cellStyle name="Normal 53" xfId="6074" xr:uid="{00000000-0005-0000-0000-0000A6240000}"/>
    <cellStyle name="Normal 53 2" xfId="6075" xr:uid="{00000000-0005-0000-0000-0000A7240000}"/>
    <cellStyle name="Normal 53 2 2" xfId="6076" xr:uid="{00000000-0005-0000-0000-0000A8240000}"/>
    <cellStyle name="Normal 53 2 2 2" xfId="6077" xr:uid="{00000000-0005-0000-0000-0000A9240000}"/>
    <cellStyle name="Normal 53 2 2 2 2" xfId="6078" xr:uid="{00000000-0005-0000-0000-0000AA240000}"/>
    <cellStyle name="Normal 53 2 2 2 2 2" xfId="6079" xr:uid="{00000000-0005-0000-0000-0000AB240000}"/>
    <cellStyle name="Normal 53 2 2 2 3" xfId="6080" xr:uid="{00000000-0005-0000-0000-0000AC240000}"/>
    <cellStyle name="Normal 53 2 2 2 3 2" xfId="6081" xr:uid="{00000000-0005-0000-0000-0000AD240000}"/>
    <cellStyle name="Normal 53 2 2 2 4" xfId="6082" xr:uid="{00000000-0005-0000-0000-0000AE240000}"/>
    <cellStyle name="Normal 53 2 2 3" xfId="6083" xr:uid="{00000000-0005-0000-0000-0000AF240000}"/>
    <cellStyle name="Normal 53 2 2 3 2" xfId="6084" xr:uid="{00000000-0005-0000-0000-0000B0240000}"/>
    <cellStyle name="Normal 53 2 2 4" xfId="6085" xr:uid="{00000000-0005-0000-0000-0000B1240000}"/>
    <cellStyle name="Normal 53 2 2 4 2" xfId="6086" xr:uid="{00000000-0005-0000-0000-0000B2240000}"/>
    <cellStyle name="Normal 53 2 2 5" xfId="6087" xr:uid="{00000000-0005-0000-0000-0000B3240000}"/>
    <cellStyle name="Normal 53 2 3" xfId="6088" xr:uid="{00000000-0005-0000-0000-0000B4240000}"/>
    <cellStyle name="Normal 53 2 3 2" xfId="6089" xr:uid="{00000000-0005-0000-0000-0000B5240000}"/>
    <cellStyle name="Normal 53 2 3 2 2" xfId="6090" xr:uid="{00000000-0005-0000-0000-0000B6240000}"/>
    <cellStyle name="Normal 53 2 3 3" xfId="6091" xr:uid="{00000000-0005-0000-0000-0000B7240000}"/>
    <cellStyle name="Normal 53 2 3 3 2" xfId="6092" xr:uid="{00000000-0005-0000-0000-0000B8240000}"/>
    <cellStyle name="Normal 53 2 3 4" xfId="6093" xr:uid="{00000000-0005-0000-0000-0000B9240000}"/>
    <cellStyle name="Normal 53 2 4" xfId="6094" xr:uid="{00000000-0005-0000-0000-0000BA240000}"/>
    <cellStyle name="Normal 53 2 4 2" xfId="6095" xr:uid="{00000000-0005-0000-0000-0000BB240000}"/>
    <cellStyle name="Normal 53 2 5" xfId="6096" xr:uid="{00000000-0005-0000-0000-0000BC240000}"/>
    <cellStyle name="Normal 53 2 5 2" xfId="6097" xr:uid="{00000000-0005-0000-0000-0000BD240000}"/>
    <cellStyle name="Normal 53 2 6" xfId="6098" xr:uid="{00000000-0005-0000-0000-0000BE240000}"/>
    <cellStyle name="Normal 53 3" xfId="6099" xr:uid="{00000000-0005-0000-0000-0000BF240000}"/>
    <cellStyle name="Normal 53 3 2" xfId="6100" xr:uid="{00000000-0005-0000-0000-0000C0240000}"/>
    <cellStyle name="Normal 53 3 2 2" xfId="6101" xr:uid="{00000000-0005-0000-0000-0000C1240000}"/>
    <cellStyle name="Normal 53 3 2 2 2" xfId="6102" xr:uid="{00000000-0005-0000-0000-0000C2240000}"/>
    <cellStyle name="Normal 53 3 2 3" xfId="6103" xr:uid="{00000000-0005-0000-0000-0000C3240000}"/>
    <cellStyle name="Normal 53 3 2 3 2" xfId="6104" xr:uid="{00000000-0005-0000-0000-0000C4240000}"/>
    <cellStyle name="Normal 53 3 2 4" xfId="6105" xr:uid="{00000000-0005-0000-0000-0000C5240000}"/>
    <cellStyle name="Normal 53 3 3" xfId="6106" xr:uid="{00000000-0005-0000-0000-0000C6240000}"/>
    <cellStyle name="Normal 53 3 3 2" xfId="6107" xr:uid="{00000000-0005-0000-0000-0000C7240000}"/>
    <cellStyle name="Normal 53 3 4" xfId="6108" xr:uid="{00000000-0005-0000-0000-0000C8240000}"/>
    <cellStyle name="Normal 53 3 4 2" xfId="6109" xr:uid="{00000000-0005-0000-0000-0000C9240000}"/>
    <cellStyle name="Normal 53 3 5" xfId="6110" xr:uid="{00000000-0005-0000-0000-0000CA240000}"/>
    <cellStyle name="Normal 53 4" xfId="6111" xr:uid="{00000000-0005-0000-0000-0000CB240000}"/>
    <cellStyle name="Normal 53 4 2" xfId="6112" xr:uid="{00000000-0005-0000-0000-0000CC240000}"/>
    <cellStyle name="Normal 53 4 2 2" xfId="6113" xr:uid="{00000000-0005-0000-0000-0000CD240000}"/>
    <cellStyle name="Normal 53 4 3" xfId="6114" xr:uid="{00000000-0005-0000-0000-0000CE240000}"/>
    <cellStyle name="Normal 53 4 3 2" xfId="6115" xr:uid="{00000000-0005-0000-0000-0000CF240000}"/>
    <cellStyle name="Normal 53 4 4" xfId="6116" xr:uid="{00000000-0005-0000-0000-0000D0240000}"/>
    <cellStyle name="Normal 53 5" xfId="6117" xr:uid="{00000000-0005-0000-0000-0000D1240000}"/>
    <cellStyle name="Normal 53 5 2" xfId="6118" xr:uid="{00000000-0005-0000-0000-0000D2240000}"/>
    <cellStyle name="Normal 53 6" xfId="6119" xr:uid="{00000000-0005-0000-0000-0000D3240000}"/>
    <cellStyle name="Normal 53 6 2" xfId="6120" xr:uid="{00000000-0005-0000-0000-0000D4240000}"/>
    <cellStyle name="Normal 53 7" xfId="6121" xr:uid="{00000000-0005-0000-0000-0000D5240000}"/>
    <cellStyle name="Normal 54" xfId="6122" xr:uid="{00000000-0005-0000-0000-0000D6240000}"/>
    <cellStyle name="Normal 54 2" xfId="6123" xr:uid="{00000000-0005-0000-0000-0000D7240000}"/>
    <cellStyle name="Normal 54 2 2" xfId="6124" xr:uid="{00000000-0005-0000-0000-0000D8240000}"/>
    <cellStyle name="Normal 54 2 2 2" xfId="6125" xr:uid="{00000000-0005-0000-0000-0000D9240000}"/>
    <cellStyle name="Normal 54 2 2 2 2" xfId="6126" xr:uid="{00000000-0005-0000-0000-0000DA240000}"/>
    <cellStyle name="Normal 54 2 2 2 2 2" xfId="6127" xr:uid="{00000000-0005-0000-0000-0000DB240000}"/>
    <cellStyle name="Normal 54 2 2 2 3" xfId="6128" xr:uid="{00000000-0005-0000-0000-0000DC240000}"/>
    <cellStyle name="Normal 54 2 2 2 3 2" xfId="6129" xr:uid="{00000000-0005-0000-0000-0000DD240000}"/>
    <cellStyle name="Normal 54 2 2 2 4" xfId="6130" xr:uid="{00000000-0005-0000-0000-0000DE240000}"/>
    <cellStyle name="Normal 54 2 2 3" xfId="6131" xr:uid="{00000000-0005-0000-0000-0000DF240000}"/>
    <cellStyle name="Normal 54 2 2 3 2" xfId="6132" xr:uid="{00000000-0005-0000-0000-0000E0240000}"/>
    <cellStyle name="Normal 54 2 2 4" xfId="6133" xr:uid="{00000000-0005-0000-0000-0000E1240000}"/>
    <cellStyle name="Normal 54 2 2 4 2" xfId="6134" xr:uid="{00000000-0005-0000-0000-0000E2240000}"/>
    <cellStyle name="Normal 54 2 2 5" xfId="6135" xr:uid="{00000000-0005-0000-0000-0000E3240000}"/>
    <cellStyle name="Normal 54 2 3" xfId="6136" xr:uid="{00000000-0005-0000-0000-0000E4240000}"/>
    <cellStyle name="Normal 54 2 3 2" xfId="6137" xr:uid="{00000000-0005-0000-0000-0000E5240000}"/>
    <cellStyle name="Normal 54 2 3 2 2" xfId="6138" xr:uid="{00000000-0005-0000-0000-0000E6240000}"/>
    <cellStyle name="Normal 54 2 3 3" xfId="6139" xr:uid="{00000000-0005-0000-0000-0000E7240000}"/>
    <cellStyle name="Normal 54 2 3 3 2" xfId="6140" xr:uid="{00000000-0005-0000-0000-0000E8240000}"/>
    <cellStyle name="Normal 54 2 3 4" xfId="6141" xr:uid="{00000000-0005-0000-0000-0000E9240000}"/>
    <cellStyle name="Normal 54 2 4" xfId="6142" xr:uid="{00000000-0005-0000-0000-0000EA240000}"/>
    <cellStyle name="Normal 54 2 4 2" xfId="6143" xr:uid="{00000000-0005-0000-0000-0000EB240000}"/>
    <cellStyle name="Normal 54 2 5" xfId="6144" xr:uid="{00000000-0005-0000-0000-0000EC240000}"/>
    <cellStyle name="Normal 54 2 5 2" xfId="6145" xr:uid="{00000000-0005-0000-0000-0000ED240000}"/>
    <cellStyle name="Normal 54 2 6" xfId="6146" xr:uid="{00000000-0005-0000-0000-0000EE240000}"/>
    <cellStyle name="Normal 54 3" xfId="6147" xr:uid="{00000000-0005-0000-0000-0000EF240000}"/>
    <cellStyle name="Normal 54 3 2" xfId="6148" xr:uid="{00000000-0005-0000-0000-0000F0240000}"/>
    <cellStyle name="Normal 54 3 2 2" xfId="6149" xr:uid="{00000000-0005-0000-0000-0000F1240000}"/>
    <cellStyle name="Normal 54 3 2 2 2" xfId="6150" xr:uid="{00000000-0005-0000-0000-0000F2240000}"/>
    <cellStyle name="Normal 54 3 2 3" xfId="6151" xr:uid="{00000000-0005-0000-0000-0000F3240000}"/>
    <cellStyle name="Normal 54 3 2 3 2" xfId="6152" xr:uid="{00000000-0005-0000-0000-0000F4240000}"/>
    <cellStyle name="Normal 54 3 2 4" xfId="6153" xr:uid="{00000000-0005-0000-0000-0000F5240000}"/>
    <cellStyle name="Normal 54 3 3" xfId="6154" xr:uid="{00000000-0005-0000-0000-0000F6240000}"/>
    <cellStyle name="Normal 54 3 3 2" xfId="6155" xr:uid="{00000000-0005-0000-0000-0000F7240000}"/>
    <cellStyle name="Normal 54 3 4" xfId="6156" xr:uid="{00000000-0005-0000-0000-0000F8240000}"/>
    <cellStyle name="Normal 54 3 4 2" xfId="6157" xr:uid="{00000000-0005-0000-0000-0000F9240000}"/>
    <cellStyle name="Normal 54 3 5" xfId="6158" xr:uid="{00000000-0005-0000-0000-0000FA240000}"/>
    <cellStyle name="Normal 54 4" xfId="6159" xr:uid="{00000000-0005-0000-0000-0000FB240000}"/>
    <cellStyle name="Normal 54 4 2" xfId="6160" xr:uid="{00000000-0005-0000-0000-0000FC240000}"/>
    <cellStyle name="Normal 54 4 2 2" xfId="6161" xr:uid="{00000000-0005-0000-0000-0000FD240000}"/>
    <cellStyle name="Normal 54 4 3" xfId="6162" xr:uid="{00000000-0005-0000-0000-0000FE240000}"/>
    <cellStyle name="Normal 54 4 3 2" xfId="6163" xr:uid="{00000000-0005-0000-0000-0000FF240000}"/>
    <cellStyle name="Normal 54 4 4" xfId="6164" xr:uid="{00000000-0005-0000-0000-000000250000}"/>
    <cellStyle name="Normal 54 5" xfId="6165" xr:uid="{00000000-0005-0000-0000-000001250000}"/>
    <cellStyle name="Normal 54 5 2" xfId="6166" xr:uid="{00000000-0005-0000-0000-000002250000}"/>
    <cellStyle name="Normal 54 6" xfId="6167" xr:uid="{00000000-0005-0000-0000-000003250000}"/>
    <cellStyle name="Normal 54 6 2" xfId="6168" xr:uid="{00000000-0005-0000-0000-000004250000}"/>
    <cellStyle name="Normal 54 7" xfId="6169" xr:uid="{00000000-0005-0000-0000-000005250000}"/>
    <cellStyle name="Normal 55" xfId="6170" xr:uid="{00000000-0005-0000-0000-000006250000}"/>
    <cellStyle name="Normal 55 2" xfId="6171" xr:uid="{00000000-0005-0000-0000-000007250000}"/>
    <cellStyle name="Normal 55 2 2" xfId="6172" xr:uid="{00000000-0005-0000-0000-000008250000}"/>
    <cellStyle name="Normal 55 2 2 2" xfId="6173" xr:uid="{00000000-0005-0000-0000-000009250000}"/>
    <cellStyle name="Normal 55 2 2 2 2" xfId="6174" xr:uid="{00000000-0005-0000-0000-00000A250000}"/>
    <cellStyle name="Normal 55 2 2 2 2 2" xfId="6175" xr:uid="{00000000-0005-0000-0000-00000B250000}"/>
    <cellStyle name="Normal 55 2 2 2 3" xfId="6176" xr:uid="{00000000-0005-0000-0000-00000C250000}"/>
    <cellStyle name="Normal 55 2 2 2 3 2" xfId="6177" xr:uid="{00000000-0005-0000-0000-00000D250000}"/>
    <cellStyle name="Normal 55 2 2 2 4" xfId="6178" xr:uid="{00000000-0005-0000-0000-00000E250000}"/>
    <cellStyle name="Normal 55 2 2 3" xfId="6179" xr:uid="{00000000-0005-0000-0000-00000F250000}"/>
    <cellStyle name="Normal 55 2 2 3 2" xfId="6180" xr:uid="{00000000-0005-0000-0000-000010250000}"/>
    <cellStyle name="Normal 55 2 2 4" xfId="6181" xr:uid="{00000000-0005-0000-0000-000011250000}"/>
    <cellStyle name="Normal 55 2 2 4 2" xfId="6182" xr:uid="{00000000-0005-0000-0000-000012250000}"/>
    <cellStyle name="Normal 55 2 2 5" xfId="6183" xr:uid="{00000000-0005-0000-0000-000013250000}"/>
    <cellStyle name="Normal 55 2 3" xfId="6184" xr:uid="{00000000-0005-0000-0000-000014250000}"/>
    <cellStyle name="Normal 55 2 3 2" xfId="6185" xr:uid="{00000000-0005-0000-0000-000015250000}"/>
    <cellStyle name="Normal 55 2 3 2 2" xfId="6186" xr:uid="{00000000-0005-0000-0000-000016250000}"/>
    <cellStyle name="Normal 55 2 3 3" xfId="6187" xr:uid="{00000000-0005-0000-0000-000017250000}"/>
    <cellStyle name="Normal 55 2 3 3 2" xfId="6188" xr:uid="{00000000-0005-0000-0000-000018250000}"/>
    <cellStyle name="Normal 55 2 3 4" xfId="6189" xr:uid="{00000000-0005-0000-0000-000019250000}"/>
    <cellStyle name="Normal 55 2 4" xfId="6190" xr:uid="{00000000-0005-0000-0000-00001A250000}"/>
    <cellStyle name="Normal 55 2 4 2" xfId="6191" xr:uid="{00000000-0005-0000-0000-00001B250000}"/>
    <cellStyle name="Normal 55 2 5" xfId="6192" xr:uid="{00000000-0005-0000-0000-00001C250000}"/>
    <cellStyle name="Normal 55 2 5 2" xfId="6193" xr:uid="{00000000-0005-0000-0000-00001D250000}"/>
    <cellStyle name="Normal 55 2 6" xfId="6194" xr:uid="{00000000-0005-0000-0000-00001E250000}"/>
    <cellStyle name="Normal 55 3" xfId="6195" xr:uid="{00000000-0005-0000-0000-00001F250000}"/>
    <cellStyle name="Normal 55 3 2" xfId="6196" xr:uid="{00000000-0005-0000-0000-000020250000}"/>
    <cellStyle name="Normal 55 3 2 2" xfId="6197" xr:uid="{00000000-0005-0000-0000-000021250000}"/>
    <cellStyle name="Normal 55 3 2 2 2" xfId="6198" xr:uid="{00000000-0005-0000-0000-000022250000}"/>
    <cellStyle name="Normal 55 3 2 3" xfId="6199" xr:uid="{00000000-0005-0000-0000-000023250000}"/>
    <cellStyle name="Normal 55 3 2 3 2" xfId="6200" xr:uid="{00000000-0005-0000-0000-000024250000}"/>
    <cellStyle name="Normal 55 3 2 4" xfId="6201" xr:uid="{00000000-0005-0000-0000-000025250000}"/>
    <cellStyle name="Normal 55 3 3" xfId="6202" xr:uid="{00000000-0005-0000-0000-000026250000}"/>
    <cellStyle name="Normal 55 3 3 2" xfId="6203" xr:uid="{00000000-0005-0000-0000-000027250000}"/>
    <cellStyle name="Normal 55 3 4" xfId="6204" xr:uid="{00000000-0005-0000-0000-000028250000}"/>
    <cellStyle name="Normal 55 3 4 2" xfId="6205" xr:uid="{00000000-0005-0000-0000-000029250000}"/>
    <cellStyle name="Normal 55 3 5" xfId="6206" xr:uid="{00000000-0005-0000-0000-00002A250000}"/>
    <cellStyle name="Normal 55 4" xfId="6207" xr:uid="{00000000-0005-0000-0000-00002B250000}"/>
    <cellStyle name="Normal 55 4 2" xfId="6208" xr:uid="{00000000-0005-0000-0000-00002C250000}"/>
    <cellStyle name="Normal 55 4 2 2" xfId="6209" xr:uid="{00000000-0005-0000-0000-00002D250000}"/>
    <cellStyle name="Normal 55 4 3" xfId="6210" xr:uid="{00000000-0005-0000-0000-00002E250000}"/>
    <cellStyle name="Normal 55 4 3 2" xfId="6211" xr:uid="{00000000-0005-0000-0000-00002F250000}"/>
    <cellStyle name="Normal 55 4 4" xfId="6212" xr:uid="{00000000-0005-0000-0000-000030250000}"/>
    <cellStyle name="Normal 55 5" xfId="6213" xr:uid="{00000000-0005-0000-0000-000031250000}"/>
    <cellStyle name="Normal 55 5 2" xfId="6214" xr:uid="{00000000-0005-0000-0000-000032250000}"/>
    <cellStyle name="Normal 55 6" xfId="6215" xr:uid="{00000000-0005-0000-0000-000033250000}"/>
    <cellStyle name="Normal 55 6 2" xfId="6216" xr:uid="{00000000-0005-0000-0000-000034250000}"/>
    <cellStyle name="Normal 55 7" xfId="6217" xr:uid="{00000000-0005-0000-0000-000035250000}"/>
    <cellStyle name="Normal 56" xfId="6218" xr:uid="{00000000-0005-0000-0000-000036250000}"/>
    <cellStyle name="Normal 56 2" xfId="6219" xr:uid="{00000000-0005-0000-0000-000037250000}"/>
    <cellStyle name="Normal 56 2 2" xfId="6220" xr:uid="{00000000-0005-0000-0000-000038250000}"/>
    <cellStyle name="Normal 56 2 2 2" xfId="6221" xr:uid="{00000000-0005-0000-0000-000039250000}"/>
    <cellStyle name="Normal 56 2 2 2 2" xfId="6222" xr:uid="{00000000-0005-0000-0000-00003A250000}"/>
    <cellStyle name="Normal 56 2 2 2 2 2" xfId="6223" xr:uid="{00000000-0005-0000-0000-00003B250000}"/>
    <cellStyle name="Normal 56 2 2 2 3" xfId="6224" xr:uid="{00000000-0005-0000-0000-00003C250000}"/>
    <cellStyle name="Normal 56 2 2 2 3 2" xfId="6225" xr:uid="{00000000-0005-0000-0000-00003D250000}"/>
    <cellStyle name="Normal 56 2 2 2 4" xfId="6226" xr:uid="{00000000-0005-0000-0000-00003E250000}"/>
    <cellStyle name="Normal 56 2 2 3" xfId="6227" xr:uid="{00000000-0005-0000-0000-00003F250000}"/>
    <cellStyle name="Normal 56 2 2 3 2" xfId="6228" xr:uid="{00000000-0005-0000-0000-000040250000}"/>
    <cellStyle name="Normal 56 2 2 4" xfId="6229" xr:uid="{00000000-0005-0000-0000-000041250000}"/>
    <cellStyle name="Normal 56 2 2 4 2" xfId="6230" xr:uid="{00000000-0005-0000-0000-000042250000}"/>
    <cellStyle name="Normal 56 2 2 5" xfId="6231" xr:uid="{00000000-0005-0000-0000-000043250000}"/>
    <cellStyle name="Normal 56 2 3" xfId="6232" xr:uid="{00000000-0005-0000-0000-000044250000}"/>
    <cellStyle name="Normal 56 2 3 2" xfId="6233" xr:uid="{00000000-0005-0000-0000-000045250000}"/>
    <cellStyle name="Normal 56 2 3 2 2" xfId="6234" xr:uid="{00000000-0005-0000-0000-000046250000}"/>
    <cellStyle name="Normal 56 2 3 3" xfId="6235" xr:uid="{00000000-0005-0000-0000-000047250000}"/>
    <cellStyle name="Normal 56 2 3 3 2" xfId="6236" xr:uid="{00000000-0005-0000-0000-000048250000}"/>
    <cellStyle name="Normal 56 2 3 4" xfId="6237" xr:uid="{00000000-0005-0000-0000-000049250000}"/>
    <cellStyle name="Normal 56 2 4" xfId="6238" xr:uid="{00000000-0005-0000-0000-00004A250000}"/>
    <cellStyle name="Normal 56 2 4 2" xfId="6239" xr:uid="{00000000-0005-0000-0000-00004B250000}"/>
    <cellStyle name="Normal 56 2 5" xfId="6240" xr:uid="{00000000-0005-0000-0000-00004C250000}"/>
    <cellStyle name="Normal 56 2 5 2" xfId="6241" xr:uid="{00000000-0005-0000-0000-00004D250000}"/>
    <cellStyle name="Normal 56 2 6" xfId="6242" xr:uid="{00000000-0005-0000-0000-00004E250000}"/>
    <cellStyle name="Normal 56 3" xfId="6243" xr:uid="{00000000-0005-0000-0000-00004F250000}"/>
    <cellStyle name="Normal 56 3 2" xfId="6244" xr:uid="{00000000-0005-0000-0000-000050250000}"/>
    <cellStyle name="Normal 56 3 2 2" xfId="6245" xr:uid="{00000000-0005-0000-0000-000051250000}"/>
    <cellStyle name="Normal 56 3 2 2 2" xfId="6246" xr:uid="{00000000-0005-0000-0000-000052250000}"/>
    <cellStyle name="Normal 56 3 2 3" xfId="6247" xr:uid="{00000000-0005-0000-0000-000053250000}"/>
    <cellStyle name="Normal 56 3 2 3 2" xfId="6248" xr:uid="{00000000-0005-0000-0000-000054250000}"/>
    <cellStyle name="Normal 56 3 2 4" xfId="6249" xr:uid="{00000000-0005-0000-0000-000055250000}"/>
    <cellStyle name="Normal 56 3 3" xfId="6250" xr:uid="{00000000-0005-0000-0000-000056250000}"/>
    <cellStyle name="Normal 56 3 3 2" xfId="6251" xr:uid="{00000000-0005-0000-0000-000057250000}"/>
    <cellStyle name="Normal 56 3 4" xfId="6252" xr:uid="{00000000-0005-0000-0000-000058250000}"/>
    <cellStyle name="Normal 56 3 4 2" xfId="6253" xr:uid="{00000000-0005-0000-0000-000059250000}"/>
    <cellStyle name="Normal 56 3 5" xfId="6254" xr:uid="{00000000-0005-0000-0000-00005A250000}"/>
    <cellStyle name="Normal 56 4" xfId="6255" xr:uid="{00000000-0005-0000-0000-00005B250000}"/>
    <cellStyle name="Normal 56 4 2" xfId="6256" xr:uid="{00000000-0005-0000-0000-00005C250000}"/>
    <cellStyle name="Normal 56 4 2 2" xfId="6257" xr:uid="{00000000-0005-0000-0000-00005D250000}"/>
    <cellStyle name="Normal 56 4 3" xfId="6258" xr:uid="{00000000-0005-0000-0000-00005E250000}"/>
    <cellStyle name="Normal 56 4 3 2" xfId="6259" xr:uid="{00000000-0005-0000-0000-00005F250000}"/>
    <cellStyle name="Normal 56 4 4" xfId="6260" xr:uid="{00000000-0005-0000-0000-000060250000}"/>
    <cellStyle name="Normal 56 5" xfId="6261" xr:uid="{00000000-0005-0000-0000-000061250000}"/>
    <cellStyle name="Normal 56 5 2" xfId="6262" xr:uid="{00000000-0005-0000-0000-000062250000}"/>
    <cellStyle name="Normal 56 6" xfId="6263" xr:uid="{00000000-0005-0000-0000-000063250000}"/>
    <cellStyle name="Normal 56 6 2" xfId="6264" xr:uid="{00000000-0005-0000-0000-000064250000}"/>
    <cellStyle name="Normal 56 7" xfId="6265" xr:uid="{00000000-0005-0000-0000-000065250000}"/>
    <cellStyle name="Normal 57" xfId="6266" xr:uid="{00000000-0005-0000-0000-000066250000}"/>
    <cellStyle name="Normal 57 2" xfId="6267" xr:uid="{00000000-0005-0000-0000-000067250000}"/>
    <cellStyle name="Normal 57 2 2" xfId="6268" xr:uid="{00000000-0005-0000-0000-000068250000}"/>
    <cellStyle name="Normal 57 2 2 2" xfId="6269" xr:uid="{00000000-0005-0000-0000-000069250000}"/>
    <cellStyle name="Normal 57 2 2 2 2" xfId="6270" xr:uid="{00000000-0005-0000-0000-00006A250000}"/>
    <cellStyle name="Normal 57 2 2 2 2 2" xfId="6271" xr:uid="{00000000-0005-0000-0000-00006B250000}"/>
    <cellStyle name="Normal 57 2 2 2 3" xfId="6272" xr:uid="{00000000-0005-0000-0000-00006C250000}"/>
    <cellStyle name="Normal 57 2 2 2 3 2" xfId="6273" xr:uid="{00000000-0005-0000-0000-00006D250000}"/>
    <cellStyle name="Normal 57 2 2 2 4" xfId="6274" xr:uid="{00000000-0005-0000-0000-00006E250000}"/>
    <cellStyle name="Normal 57 2 2 3" xfId="6275" xr:uid="{00000000-0005-0000-0000-00006F250000}"/>
    <cellStyle name="Normal 57 2 2 3 2" xfId="6276" xr:uid="{00000000-0005-0000-0000-000070250000}"/>
    <cellStyle name="Normal 57 2 2 4" xfId="6277" xr:uid="{00000000-0005-0000-0000-000071250000}"/>
    <cellStyle name="Normal 57 2 2 4 2" xfId="6278" xr:uid="{00000000-0005-0000-0000-000072250000}"/>
    <cellStyle name="Normal 57 2 2 5" xfId="6279" xr:uid="{00000000-0005-0000-0000-000073250000}"/>
    <cellStyle name="Normal 57 2 3" xfId="6280" xr:uid="{00000000-0005-0000-0000-000074250000}"/>
    <cellStyle name="Normal 57 2 3 2" xfId="6281" xr:uid="{00000000-0005-0000-0000-000075250000}"/>
    <cellStyle name="Normal 57 2 3 2 2" xfId="6282" xr:uid="{00000000-0005-0000-0000-000076250000}"/>
    <cellStyle name="Normal 57 2 3 3" xfId="6283" xr:uid="{00000000-0005-0000-0000-000077250000}"/>
    <cellStyle name="Normal 57 2 3 3 2" xfId="6284" xr:uid="{00000000-0005-0000-0000-000078250000}"/>
    <cellStyle name="Normal 57 2 3 4" xfId="6285" xr:uid="{00000000-0005-0000-0000-000079250000}"/>
    <cellStyle name="Normal 57 2 4" xfId="6286" xr:uid="{00000000-0005-0000-0000-00007A250000}"/>
    <cellStyle name="Normal 57 2 4 2" xfId="6287" xr:uid="{00000000-0005-0000-0000-00007B250000}"/>
    <cellStyle name="Normal 57 2 5" xfId="6288" xr:uid="{00000000-0005-0000-0000-00007C250000}"/>
    <cellStyle name="Normal 57 2 5 2" xfId="6289" xr:uid="{00000000-0005-0000-0000-00007D250000}"/>
    <cellStyle name="Normal 57 2 6" xfId="6290" xr:uid="{00000000-0005-0000-0000-00007E250000}"/>
    <cellStyle name="Normal 57 3" xfId="6291" xr:uid="{00000000-0005-0000-0000-00007F250000}"/>
    <cellStyle name="Normal 57 3 2" xfId="6292" xr:uid="{00000000-0005-0000-0000-000080250000}"/>
    <cellStyle name="Normal 57 3 2 2" xfId="6293" xr:uid="{00000000-0005-0000-0000-000081250000}"/>
    <cellStyle name="Normal 57 3 2 2 2" xfId="6294" xr:uid="{00000000-0005-0000-0000-000082250000}"/>
    <cellStyle name="Normal 57 3 2 3" xfId="6295" xr:uid="{00000000-0005-0000-0000-000083250000}"/>
    <cellStyle name="Normal 57 3 2 3 2" xfId="6296" xr:uid="{00000000-0005-0000-0000-000084250000}"/>
    <cellStyle name="Normal 57 3 2 4" xfId="6297" xr:uid="{00000000-0005-0000-0000-000085250000}"/>
    <cellStyle name="Normal 57 3 3" xfId="6298" xr:uid="{00000000-0005-0000-0000-000086250000}"/>
    <cellStyle name="Normal 57 3 3 2" xfId="6299" xr:uid="{00000000-0005-0000-0000-000087250000}"/>
    <cellStyle name="Normal 57 3 4" xfId="6300" xr:uid="{00000000-0005-0000-0000-000088250000}"/>
    <cellStyle name="Normal 57 3 4 2" xfId="6301" xr:uid="{00000000-0005-0000-0000-000089250000}"/>
    <cellStyle name="Normal 57 3 5" xfId="6302" xr:uid="{00000000-0005-0000-0000-00008A250000}"/>
    <cellStyle name="Normal 57 4" xfId="6303" xr:uid="{00000000-0005-0000-0000-00008B250000}"/>
    <cellStyle name="Normal 57 4 2" xfId="6304" xr:uid="{00000000-0005-0000-0000-00008C250000}"/>
    <cellStyle name="Normal 57 4 2 2" xfId="6305" xr:uid="{00000000-0005-0000-0000-00008D250000}"/>
    <cellStyle name="Normal 57 4 3" xfId="6306" xr:uid="{00000000-0005-0000-0000-00008E250000}"/>
    <cellStyle name="Normal 57 4 3 2" xfId="6307" xr:uid="{00000000-0005-0000-0000-00008F250000}"/>
    <cellStyle name="Normal 57 4 4" xfId="6308" xr:uid="{00000000-0005-0000-0000-000090250000}"/>
    <cellStyle name="Normal 57 5" xfId="6309" xr:uid="{00000000-0005-0000-0000-000091250000}"/>
    <cellStyle name="Normal 57 5 2" xfId="6310" xr:uid="{00000000-0005-0000-0000-000092250000}"/>
    <cellStyle name="Normal 57 6" xfId="6311" xr:uid="{00000000-0005-0000-0000-000093250000}"/>
    <cellStyle name="Normal 57 6 2" xfId="6312" xr:uid="{00000000-0005-0000-0000-000094250000}"/>
    <cellStyle name="Normal 57 7" xfId="6313" xr:uid="{00000000-0005-0000-0000-000095250000}"/>
    <cellStyle name="Normal 58" xfId="6314" xr:uid="{00000000-0005-0000-0000-000096250000}"/>
    <cellStyle name="Normal 58 2" xfId="6315" xr:uid="{00000000-0005-0000-0000-000097250000}"/>
    <cellStyle name="Normal 58 2 2" xfId="6316" xr:uid="{00000000-0005-0000-0000-000098250000}"/>
    <cellStyle name="Normal 58 2 2 2" xfId="6317" xr:uid="{00000000-0005-0000-0000-000099250000}"/>
    <cellStyle name="Normal 58 2 2 2 2" xfId="6318" xr:uid="{00000000-0005-0000-0000-00009A250000}"/>
    <cellStyle name="Normal 58 2 2 2 2 2" xfId="6319" xr:uid="{00000000-0005-0000-0000-00009B250000}"/>
    <cellStyle name="Normal 58 2 2 2 3" xfId="6320" xr:uid="{00000000-0005-0000-0000-00009C250000}"/>
    <cellStyle name="Normal 58 2 2 2 3 2" xfId="6321" xr:uid="{00000000-0005-0000-0000-00009D250000}"/>
    <cellStyle name="Normal 58 2 2 2 4" xfId="6322" xr:uid="{00000000-0005-0000-0000-00009E250000}"/>
    <cellStyle name="Normal 58 2 2 3" xfId="6323" xr:uid="{00000000-0005-0000-0000-00009F250000}"/>
    <cellStyle name="Normal 58 2 2 3 2" xfId="6324" xr:uid="{00000000-0005-0000-0000-0000A0250000}"/>
    <cellStyle name="Normal 58 2 2 4" xfId="6325" xr:uid="{00000000-0005-0000-0000-0000A1250000}"/>
    <cellStyle name="Normal 58 2 2 4 2" xfId="6326" xr:uid="{00000000-0005-0000-0000-0000A2250000}"/>
    <cellStyle name="Normal 58 2 2 5" xfId="6327" xr:uid="{00000000-0005-0000-0000-0000A3250000}"/>
    <cellStyle name="Normal 58 2 3" xfId="6328" xr:uid="{00000000-0005-0000-0000-0000A4250000}"/>
    <cellStyle name="Normal 58 2 3 2" xfId="6329" xr:uid="{00000000-0005-0000-0000-0000A5250000}"/>
    <cellStyle name="Normal 58 2 3 2 2" xfId="6330" xr:uid="{00000000-0005-0000-0000-0000A6250000}"/>
    <cellStyle name="Normal 58 2 3 3" xfId="6331" xr:uid="{00000000-0005-0000-0000-0000A7250000}"/>
    <cellStyle name="Normal 58 2 3 3 2" xfId="6332" xr:uid="{00000000-0005-0000-0000-0000A8250000}"/>
    <cellStyle name="Normal 58 2 3 4" xfId="6333" xr:uid="{00000000-0005-0000-0000-0000A9250000}"/>
    <cellStyle name="Normal 58 2 4" xfId="6334" xr:uid="{00000000-0005-0000-0000-0000AA250000}"/>
    <cellStyle name="Normal 58 2 4 2" xfId="6335" xr:uid="{00000000-0005-0000-0000-0000AB250000}"/>
    <cellStyle name="Normal 58 2 5" xfId="6336" xr:uid="{00000000-0005-0000-0000-0000AC250000}"/>
    <cellStyle name="Normal 58 2 5 2" xfId="6337" xr:uid="{00000000-0005-0000-0000-0000AD250000}"/>
    <cellStyle name="Normal 58 2 6" xfId="6338" xr:uid="{00000000-0005-0000-0000-0000AE250000}"/>
    <cellStyle name="Normal 58 3" xfId="6339" xr:uid="{00000000-0005-0000-0000-0000AF250000}"/>
    <cellStyle name="Normal 58 3 2" xfId="6340" xr:uid="{00000000-0005-0000-0000-0000B0250000}"/>
    <cellStyle name="Normal 58 3 2 2" xfId="6341" xr:uid="{00000000-0005-0000-0000-0000B1250000}"/>
    <cellStyle name="Normal 58 3 2 2 2" xfId="6342" xr:uid="{00000000-0005-0000-0000-0000B2250000}"/>
    <cellStyle name="Normal 58 3 2 3" xfId="6343" xr:uid="{00000000-0005-0000-0000-0000B3250000}"/>
    <cellStyle name="Normal 58 3 2 3 2" xfId="6344" xr:uid="{00000000-0005-0000-0000-0000B4250000}"/>
    <cellStyle name="Normal 58 3 2 4" xfId="6345" xr:uid="{00000000-0005-0000-0000-0000B5250000}"/>
    <cellStyle name="Normal 58 3 3" xfId="6346" xr:uid="{00000000-0005-0000-0000-0000B6250000}"/>
    <cellStyle name="Normal 58 3 3 2" xfId="6347" xr:uid="{00000000-0005-0000-0000-0000B7250000}"/>
    <cellStyle name="Normal 58 3 4" xfId="6348" xr:uid="{00000000-0005-0000-0000-0000B8250000}"/>
    <cellStyle name="Normal 58 3 4 2" xfId="6349" xr:uid="{00000000-0005-0000-0000-0000B9250000}"/>
    <cellStyle name="Normal 58 3 5" xfId="6350" xr:uid="{00000000-0005-0000-0000-0000BA250000}"/>
    <cellStyle name="Normal 58 4" xfId="6351" xr:uid="{00000000-0005-0000-0000-0000BB250000}"/>
    <cellStyle name="Normal 58 4 2" xfId="6352" xr:uid="{00000000-0005-0000-0000-0000BC250000}"/>
    <cellStyle name="Normal 58 4 2 2" xfId="6353" xr:uid="{00000000-0005-0000-0000-0000BD250000}"/>
    <cellStyle name="Normal 58 4 3" xfId="6354" xr:uid="{00000000-0005-0000-0000-0000BE250000}"/>
    <cellStyle name="Normal 58 4 3 2" xfId="6355" xr:uid="{00000000-0005-0000-0000-0000BF250000}"/>
    <cellStyle name="Normal 58 4 4" xfId="6356" xr:uid="{00000000-0005-0000-0000-0000C0250000}"/>
    <cellStyle name="Normal 58 5" xfId="6357" xr:uid="{00000000-0005-0000-0000-0000C1250000}"/>
    <cellStyle name="Normal 58 5 2" xfId="6358" xr:uid="{00000000-0005-0000-0000-0000C2250000}"/>
    <cellStyle name="Normal 58 6" xfId="6359" xr:uid="{00000000-0005-0000-0000-0000C3250000}"/>
    <cellStyle name="Normal 58 6 2" xfId="6360" xr:uid="{00000000-0005-0000-0000-0000C4250000}"/>
    <cellStyle name="Normal 58 7" xfId="6361" xr:uid="{00000000-0005-0000-0000-0000C5250000}"/>
    <cellStyle name="Normal 59" xfId="6362" xr:uid="{00000000-0005-0000-0000-0000C6250000}"/>
    <cellStyle name="Normal 59 2" xfId="6363" xr:uid="{00000000-0005-0000-0000-0000C7250000}"/>
    <cellStyle name="Normal 59 2 2" xfId="6364" xr:uid="{00000000-0005-0000-0000-0000C8250000}"/>
    <cellStyle name="Normal 59 2 2 2" xfId="6365" xr:uid="{00000000-0005-0000-0000-0000C9250000}"/>
    <cellStyle name="Normal 59 2 2 2 2" xfId="6366" xr:uid="{00000000-0005-0000-0000-0000CA250000}"/>
    <cellStyle name="Normal 59 2 2 2 2 2" xfId="6367" xr:uid="{00000000-0005-0000-0000-0000CB250000}"/>
    <cellStyle name="Normal 59 2 2 2 3" xfId="6368" xr:uid="{00000000-0005-0000-0000-0000CC250000}"/>
    <cellStyle name="Normal 59 2 2 2 3 2" xfId="6369" xr:uid="{00000000-0005-0000-0000-0000CD250000}"/>
    <cellStyle name="Normal 59 2 2 2 4" xfId="6370" xr:uid="{00000000-0005-0000-0000-0000CE250000}"/>
    <cellStyle name="Normal 59 2 2 3" xfId="6371" xr:uid="{00000000-0005-0000-0000-0000CF250000}"/>
    <cellStyle name="Normal 59 2 2 3 2" xfId="6372" xr:uid="{00000000-0005-0000-0000-0000D0250000}"/>
    <cellStyle name="Normal 59 2 2 4" xfId="6373" xr:uid="{00000000-0005-0000-0000-0000D1250000}"/>
    <cellStyle name="Normal 59 2 2 4 2" xfId="6374" xr:uid="{00000000-0005-0000-0000-0000D2250000}"/>
    <cellStyle name="Normal 59 2 2 5" xfId="6375" xr:uid="{00000000-0005-0000-0000-0000D3250000}"/>
    <cellStyle name="Normal 59 2 3" xfId="6376" xr:uid="{00000000-0005-0000-0000-0000D4250000}"/>
    <cellStyle name="Normal 59 2 3 2" xfId="6377" xr:uid="{00000000-0005-0000-0000-0000D5250000}"/>
    <cellStyle name="Normal 59 2 3 2 2" xfId="6378" xr:uid="{00000000-0005-0000-0000-0000D6250000}"/>
    <cellStyle name="Normal 59 2 3 3" xfId="6379" xr:uid="{00000000-0005-0000-0000-0000D7250000}"/>
    <cellStyle name="Normal 59 2 3 3 2" xfId="6380" xr:uid="{00000000-0005-0000-0000-0000D8250000}"/>
    <cellStyle name="Normal 59 2 3 4" xfId="6381" xr:uid="{00000000-0005-0000-0000-0000D9250000}"/>
    <cellStyle name="Normal 59 2 4" xfId="6382" xr:uid="{00000000-0005-0000-0000-0000DA250000}"/>
    <cellStyle name="Normal 59 2 4 2" xfId="6383" xr:uid="{00000000-0005-0000-0000-0000DB250000}"/>
    <cellStyle name="Normal 59 2 5" xfId="6384" xr:uid="{00000000-0005-0000-0000-0000DC250000}"/>
    <cellStyle name="Normal 59 2 5 2" xfId="6385" xr:uid="{00000000-0005-0000-0000-0000DD250000}"/>
    <cellStyle name="Normal 59 2 6" xfId="6386" xr:uid="{00000000-0005-0000-0000-0000DE250000}"/>
    <cellStyle name="Normal 59 3" xfId="6387" xr:uid="{00000000-0005-0000-0000-0000DF250000}"/>
    <cellStyle name="Normal 59 3 2" xfId="6388" xr:uid="{00000000-0005-0000-0000-0000E0250000}"/>
    <cellStyle name="Normal 59 3 2 2" xfId="6389" xr:uid="{00000000-0005-0000-0000-0000E1250000}"/>
    <cellStyle name="Normal 59 3 2 2 2" xfId="6390" xr:uid="{00000000-0005-0000-0000-0000E2250000}"/>
    <cellStyle name="Normal 59 3 2 3" xfId="6391" xr:uid="{00000000-0005-0000-0000-0000E3250000}"/>
    <cellStyle name="Normal 59 3 2 3 2" xfId="6392" xr:uid="{00000000-0005-0000-0000-0000E4250000}"/>
    <cellStyle name="Normal 59 3 2 4" xfId="6393" xr:uid="{00000000-0005-0000-0000-0000E5250000}"/>
    <cellStyle name="Normal 59 3 3" xfId="6394" xr:uid="{00000000-0005-0000-0000-0000E6250000}"/>
    <cellStyle name="Normal 59 3 3 2" xfId="6395" xr:uid="{00000000-0005-0000-0000-0000E7250000}"/>
    <cellStyle name="Normal 59 3 4" xfId="6396" xr:uid="{00000000-0005-0000-0000-0000E8250000}"/>
    <cellStyle name="Normal 59 3 4 2" xfId="6397" xr:uid="{00000000-0005-0000-0000-0000E9250000}"/>
    <cellStyle name="Normal 59 3 5" xfId="6398" xr:uid="{00000000-0005-0000-0000-0000EA250000}"/>
    <cellStyle name="Normal 59 4" xfId="6399" xr:uid="{00000000-0005-0000-0000-0000EB250000}"/>
    <cellStyle name="Normal 59 4 2" xfId="6400" xr:uid="{00000000-0005-0000-0000-0000EC250000}"/>
    <cellStyle name="Normal 59 4 2 2" xfId="6401" xr:uid="{00000000-0005-0000-0000-0000ED250000}"/>
    <cellStyle name="Normal 59 4 3" xfId="6402" xr:uid="{00000000-0005-0000-0000-0000EE250000}"/>
    <cellStyle name="Normal 59 4 3 2" xfId="6403" xr:uid="{00000000-0005-0000-0000-0000EF250000}"/>
    <cellStyle name="Normal 59 4 4" xfId="6404" xr:uid="{00000000-0005-0000-0000-0000F0250000}"/>
    <cellStyle name="Normal 59 5" xfId="6405" xr:uid="{00000000-0005-0000-0000-0000F1250000}"/>
    <cellStyle name="Normal 59 5 2" xfId="6406" xr:uid="{00000000-0005-0000-0000-0000F2250000}"/>
    <cellStyle name="Normal 59 6" xfId="6407" xr:uid="{00000000-0005-0000-0000-0000F3250000}"/>
    <cellStyle name="Normal 59 6 2" xfId="6408" xr:uid="{00000000-0005-0000-0000-0000F4250000}"/>
    <cellStyle name="Normal 59 7" xfId="6409" xr:uid="{00000000-0005-0000-0000-0000F5250000}"/>
    <cellStyle name="Normal 6" xfId="6410" xr:uid="{00000000-0005-0000-0000-0000F6250000}"/>
    <cellStyle name="Normal 6 10" xfId="6411" xr:uid="{00000000-0005-0000-0000-0000F7250000}"/>
    <cellStyle name="Normal 6 2" xfId="6412" xr:uid="{00000000-0005-0000-0000-0000F8250000}"/>
    <cellStyle name="Normal 6 2 2" xfId="6413" xr:uid="{00000000-0005-0000-0000-0000F9250000}"/>
    <cellStyle name="Normal 6 2 2 2" xfId="6414" xr:uid="{00000000-0005-0000-0000-0000FA250000}"/>
    <cellStyle name="Normal 6 2 2 2 2" xfId="6415" xr:uid="{00000000-0005-0000-0000-0000FB250000}"/>
    <cellStyle name="Normal 6 2 2 2 2 2" xfId="6416" xr:uid="{00000000-0005-0000-0000-0000FC250000}"/>
    <cellStyle name="Normal 6 2 2 2 2 2 2" xfId="6417" xr:uid="{00000000-0005-0000-0000-0000FD250000}"/>
    <cellStyle name="Normal 6 2 2 2 2 2 2 2" xfId="6418" xr:uid="{00000000-0005-0000-0000-0000FE250000}"/>
    <cellStyle name="Normal 6 2 2 2 2 2 3" xfId="6419" xr:uid="{00000000-0005-0000-0000-0000FF250000}"/>
    <cellStyle name="Normal 6 2 2 2 2 2 3 2" xfId="6420" xr:uid="{00000000-0005-0000-0000-000000260000}"/>
    <cellStyle name="Normal 6 2 2 2 2 2 4" xfId="6421" xr:uid="{00000000-0005-0000-0000-000001260000}"/>
    <cellStyle name="Normal 6 2 2 2 2 3" xfId="6422" xr:uid="{00000000-0005-0000-0000-000002260000}"/>
    <cellStyle name="Normal 6 2 2 2 2 3 2" xfId="6423" xr:uid="{00000000-0005-0000-0000-000003260000}"/>
    <cellStyle name="Normal 6 2 2 2 2 4" xfId="6424" xr:uid="{00000000-0005-0000-0000-000004260000}"/>
    <cellStyle name="Normal 6 2 2 2 2 4 2" xfId="6425" xr:uid="{00000000-0005-0000-0000-000005260000}"/>
    <cellStyle name="Normal 6 2 2 2 2 5" xfId="6426" xr:uid="{00000000-0005-0000-0000-000006260000}"/>
    <cellStyle name="Normal 6 2 2 2 3" xfId="6427" xr:uid="{00000000-0005-0000-0000-000007260000}"/>
    <cellStyle name="Normal 6 2 2 2 3 2" xfId="6428" xr:uid="{00000000-0005-0000-0000-000008260000}"/>
    <cellStyle name="Normal 6 2 2 2 3 2 2" xfId="6429" xr:uid="{00000000-0005-0000-0000-000009260000}"/>
    <cellStyle name="Normal 6 2 2 2 3 3" xfId="6430" xr:uid="{00000000-0005-0000-0000-00000A260000}"/>
    <cellStyle name="Normal 6 2 2 2 3 3 2" xfId="6431" xr:uid="{00000000-0005-0000-0000-00000B260000}"/>
    <cellStyle name="Normal 6 2 2 2 3 4" xfId="6432" xr:uid="{00000000-0005-0000-0000-00000C260000}"/>
    <cellStyle name="Normal 6 2 2 2 4" xfId="6433" xr:uid="{00000000-0005-0000-0000-00000D260000}"/>
    <cellStyle name="Normal 6 2 2 2 4 2" xfId="6434" xr:uid="{00000000-0005-0000-0000-00000E260000}"/>
    <cellStyle name="Normal 6 2 2 2 5" xfId="6435" xr:uid="{00000000-0005-0000-0000-00000F260000}"/>
    <cellStyle name="Normal 6 2 2 2 5 2" xfId="6436" xr:uid="{00000000-0005-0000-0000-000010260000}"/>
    <cellStyle name="Normal 6 2 2 2 6" xfId="6437" xr:uid="{00000000-0005-0000-0000-000011260000}"/>
    <cellStyle name="Normal 6 2 2 3" xfId="6438" xr:uid="{00000000-0005-0000-0000-000012260000}"/>
    <cellStyle name="Normal 6 2 2 3 2" xfId="6439" xr:uid="{00000000-0005-0000-0000-000013260000}"/>
    <cellStyle name="Normal 6 2 2 3 2 2" xfId="6440" xr:uid="{00000000-0005-0000-0000-000014260000}"/>
    <cellStyle name="Normal 6 2 2 3 2 2 2" xfId="6441" xr:uid="{00000000-0005-0000-0000-000015260000}"/>
    <cellStyle name="Normal 6 2 2 3 2 3" xfId="6442" xr:uid="{00000000-0005-0000-0000-000016260000}"/>
    <cellStyle name="Normal 6 2 2 3 2 3 2" xfId="6443" xr:uid="{00000000-0005-0000-0000-000017260000}"/>
    <cellStyle name="Normal 6 2 2 3 2 4" xfId="6444" xr:uid="{00000000-0005-0000-0000-000018260000}"/>
    <cellStyle name="Normal 6 2 2 3 3" xfId="6445" xr:uid="{00000000-0005-0000-0000-000019260000}"/>
    <cellStyle name="Normal 6 2 2 3 3 2" xfId="6446" xr:uid="{00000000-0005-0000-0000-00001A260000}"/>
    <cellStyle name="Normal 6 2 2 3 4" xfId="6447" xr:uid="{00000000-0005-0000-0000-00001B260000}"/>
    <cellStyle name="Normal 6 2 2 3 4 2" xfId="6448" xr:uid="{00000000-0005-0000-0000-00001C260000}"/>
    <cellStyle name="Normal 6 2 2 3 5" xfId="6449" xr:uid="{00000000-0005-0000-0000-00001D260000}"/>
    <cellStyle name="Normal 6 2 2 4" xfId="6450" xr:uid="{00000000-0005-0000-0000-00001E260000}"/>
    <cellStyle name="Normal 6 2 2 4 2" xfId="6451" xr:uid="{00000000-0005-0000-0000-00001F260000}"/>
    <cellStyle name="Normal 6 2 2 4 2 2" xfId="6452" xr:uid="{00000000-0005-0000-0000-000020260000}"/>
    <cellStyle name="Normal 6 2 2 4 3" xfId="6453" xr:uid="{00000000-0005-0000-0000-000021260000}"/>
    <cellStyle name="Normal 6 2 2 4 3 2" xfId="6454" xr:uid="{00000000-0005-0000-0000-000022260000}"/>
    <cellStyle name="Normal 6 2 2 4 4" xfId="6455" xr:uid="{00000000-0005-0000-0000-000023260000}"/>
    <cellStyle name="Normal 6 2 2 5" xfId="6456" xr:uid="{00000000-0005-0000-0000-000024260000}"/>
    <cellStyle name="Normal 6 2 2 5 2" xfId="6457" xr:uid="{00000000-0005-0000-0000-000025260000}"/>
    <cellStyle name="Normal 6 2 2 6" xfId="6458" xr:uid="{00000000-0005-0000-0000-000026260000}"/>
    <cellStyle name="Normal 6 2 2 6 2" xfId="6459" xr:uid="{00000000-0005-0000-0000-000027260000}"/>
    <cellStyle name="Normal 6 2 2 7" xfId="6460" xr:uid="{00000000-0005-0000-0000-000028260000}"/>
    <cellStyle name="Normal 6 2 3" xfId="6461" xr:uid="{00000000-0005-0000-0000-000029260000}"/>
    <cellStyle name="Normal 6 2 3 2" xfId="6462" xr:uid="{00000000-0005-0000-0000-00002A260000}"/>
    <cellStyle name="Normal 6 2 3 2 2" xfId="6463" xr:uid="{00000000-0005-0000-0000-00002B260000}"/>
    <cellStyle name="Normal 6 2 3 2 2 2" xfId="6464" xr:uid="{00000000-0005-0000-0000-00002C260000}"/>
    <cellStyle name="Normal 6 2 3 2 2 2 2" xfId="6465" xr:uid="{00000000-0005-0000-0000-00002D260000}"/>
    <cellStyle name="Normal 6 2 3 2 2 3" xfId="6466" xr:uid="{00000000-0005-0000-0000-00002E260000}"/>
    <cellStyle name="Normal 6 2 3 2 2 3 2" xfId="6467" xr:uid="{00000000-0005-0000-0000-00002F260000}"/>
    <cellStyle name="Normal 6 2 3 2 2 4" xfId="6468" xr:uid="{00000000-0005-0000-0000-000030260000}"/>
    <cellStyle name="Normal 6 2 3 2 3" xfId="6469" xr:uid="{00000000-0005-0000-0000-000031260000}"/>
    <cellStyle name="Normal 6 2 3 2 3 2" xfId="6470" xr:uid="{00000000-0005-0000-0000-000032260000}"/>
    <cellStyle name="Normal 6 2 3 2 4" xfId="6471" xr:uid="{00000000-0005-0000-0000-000033260000}"/>
    <cellStyle name="Normal 6 2 3 2 4 2" xfId="6472" xr:uid="{00000000-0005-0000-0000-000034260000}"/>
    <cellStyle name="Normal 6 2 3 2 5" xfId="6473" xr:uid="{00000000-0005-0000-0000-000035260000}"/>
    <cellStyle name="Normal 6 2 3 3" xfId="6474" xr:uid="{00000000-0005-0000-0000-000036260000}"/>
    <cellStyle name="Normal 6 2 3 3 2" xfId="6475" xr:uid="{00000000-0005-0000-0000-000037260000}"/>
    <cellStyle name="Normal 6 2 3 3 2 2" xfId="6476" xr:uid="{00000000-0005-0000-0000-000038260000}"/>
    <cellStyle name="Normal 6 2 3 3 3" xfId="6477" xr:uid="{00000000-0005-0000-0000-000039260000}"/>
    <cellStyle name="Normal 6 2 3 3 3 2" xfId="6478" xr:uid="{00000000-0005-0000-0000-00003A260000}"/>
    <cellStyle name="Normal 6 2 3 3 4" xfId="6479" xr:uid="{00000000-0005-0000-0000-00003B260000}"/>
    <cellStyle name="Normal 6 2 3 4" xfId="6480" xr:uid="{00000000-0005-0000-0000-00003C260000}"/>
    <cellStyle name="Normal 6 2 3 4 2" xfId="6481" xr:uid="{00000000-0005-0000-0000-00003D260000}"/>
    <cellStyle name="Normal 6 2 3 5" xfId="6482" xr:uid="{00000000-0005-0000-0000-00003E260000}"/>
    <cellStyle name="Normal 6 2 3 5 2" xfId="6483" xr:uid="{00000000-0005-0000-0000-00003F260000}"/>
    <cellStyle name="Normal 6 2 3 6" xfId="6484" xr:uid="{00000000-0005-0000-0000-000040260000}"/>
    <cellStyle name="Normal 6 2 4" xfId="6485" xr:uid="{00000000-0005-0000-0000-000041260000}"/>
    <cellStyle name="Normal 6 2 4 2" xfId="6486" xr:uid="{00000000-0005-0000-0000-000042260000}"/>
    <cellStyle name="Normal 6 2 4 2 2" xfId="6487" xr:uid="{00000000-0005-0000-0000-000043260000}"/>
    <cellStyle name="Normal 6 2 4 2 2 2" xfId="6488" xr:uid="{00000000-0005-0000-0000-000044260000}"/>
    <cellStyle name="Normal 6 2 4 2 3" xfId="6489" xr:uid="{00000000-0005-0000-0000-000045260000}"/>
    <cellStyle name="Normal 6 2 4 2 3 2" xfId="6490" xr:uid="{00000000-0005-0000-0000-000046260000}"/>
    <cellStyle name="Normal 6 2 4 2 4" xfId="6491" xr:uid="{00000000-0005-0000-0000-000047260000}"/>
    <cellStyle name="Normal 6 2 4 3" xfId="6492" xr:uid="{00000000-0005-0000-0000-000048260000}"/>
    <cellStyle name="Normal 6 2 4 3 2" xfId="6493" xr:uid="{00000000-0005-0000-0000-000049260000}"/>
    <cellStyle name="Normal 6 2 4 4" xfId="6494" xr:uid="{00000000-0005-0000-0000-00004A260000}"/>
    <cellStyle name="Normal 6 2 4 4 2" xfId="6495" xr:uid="{00000000-0005-0000-0000-00004B260000}"/>
    <cellStyle name="Normal 6 2 4 5" xfId="6496" xr:uid="{00000000-0005-0000-0000-00004C260000}"/>
    <cellStyle name="Normal 6 2 5" xfId="6497" xr:uid="{00000000-0005-0000-0000-00004D260000}"/>
    <cellStyle name="Normal 6 2 5 2" xfId="6498" xr:uid="{00000000-0005-0000-0000-00004E260000}"/>
    <cellStyle name="Normal 6 2 5 2 2" xfId="6499" xr:uid="{00000000-0005-0000-0000-00004F260000}"/>
    <cellStyle name="Normal 6 2 5 3" xfId="6500" xr:uid="{00000000-0005-0000-0000-000050260000}"/>
    <cellStyle name="Normal 6 2 5 3 2" xfId="6501" xr:uid="{00000000-0005-0000-0000-000051260000}"/>
    <cellStyle name="Normal 6 2 5 4" xfId="6502" xr:uid="{00000000-0005-0000-0000-000052260000}"/>
    <cellStyle name="Normal 6 2 6" xfId="6503" xr:uid="{00000000-0005-0000-0000-000053260000}"/>
    <cellStyle name="Normal 6 2 6 2" xfId="6504" xr:uid="{00000000-0005-0000-0000-000054260000}"/>
    <cellStyle name="Normal 6 2 7" xfId="6505" xr:uid="{00000000-0005-0000-0000-000055260000}"/>
    <cellStyle name="Normal 6 2 7 2" xfId="6506" xr:uid="{00000000-0005-0000-0000-000056260000}"/>
    <cellStyle name="Normal 6 2 8" xfId="6507" xr:uid="{00000000-0005-0000-0000-000057260000}"/>
    <cellStyle name="Normal 6 3" xfId="6508" xr:uid="{00000000-0005-0000-0000-000058260000}"/>
    <cellStyle name="Normal 6 3 2" xfId="6509" xr:uid="{00000000-0005-0000-0000-000059260000}"/>
    <cellStyle name="Normal 6 3 2 2" xfId="6510" xr:uid="{00000000-0005-0000-0000-00005A260000}"/>
    <cellStyle name="Normal 6 3 2 2 2" xfId="6511" xr:uid="{00000000-0005-0000-0000-00005B260000}"/>
    <cellStyle name="Normal 6 3 2 2 2 2" xfId="6512" xr:uid="{00000000-0005-0000-0000-00005C260000}"/>
    <cellStyle name="Normal 6 3 2 2 2 2 2" xfId="6513" xr:uid="{00000000-0005-0000-0000-00005D260000}"/>
    <cellStyle name="Normal 6 3 2 2 2 3" xfId="6514" xr:uid="{00000000-0005-0000-0000-00005E260000}"/>
    <cellStyle name="Normal 6 3 2 2 2 3 2" xfId="6515" xr:uid="{00000000-0005-0000-0000-00005F260000}"/>
    <cellStyle name="Normal 6 3 2 2 2 4" xfId="6516" xr:uid="{00000000-0005-0000-0000-000060260000}"/>
    <cellStyle name="Normal 6 3 2 2 3" xfId="6517" xr:uid="{00000000-0005-0000-0000-000061260000}"/>
    <cellStyle name="Normal 6 3 2 2 3 2" xfId="6518" xr:uid="{00000000-0005-0000-0000-000062260000}"/>
    <cellStyle name="Normal 6 3 2 2 4" xfId="6519" xr:uid="{00000000-0005-0000-0000-000063260000}"/>
    <cellStyle name="Normal 6 3 2 2 4 2" xfId="6520" xr:uid="{00000000-0005-0000-0000-000064260000}"/>
    <cellStyle name="Normal 6 3 2 2 5" xfId="6521" xr:uid="{00000000-0005-0000-0000-000065260000}"/>
    <cellStyle name="Normal 6 3 2 3" xfId="6522" xr:uid="{00000000-0005-0000-0000-000066260000}"/>
    <cellStyle name="Normal 6 3 2 3 2" xfId="6523" xr:uid="{00000000-0005-0000-0000-000067260000}"/>
    <cellStyle name="Normal 6 3 2 3 2 2" xfId="6524" xr:uid="{00000000-0005-0000-0000-000068260000}"/>
    <cellStyle name="Normal 6 3 2 3 3" xfId="6525" xr:uid="{00000000-0005-0000-0000-000069260000}"/>
    <cellStyle name="Normal 6 3 2 3 3 2" xfId="6526" xr:uid="{00000000-0005-0000-0000-00006A260000}"/>
    <cellStyle name="Normal 6 3 2 3 4" xfId="6527" xr:uid="{00000000-0005-0000-0000-00006B260000}"/>
    <cellStyle name="Normal 6 3 2 4" xfId="6528" xr:uid="{00000000-0005-0000-0000-00006C260000}"/>
    <cellStyle name="Normal 6 3 2 4 2" xfId="6529" xr:uid="{00000000-0005-0000-0000-00006D260000}"/>
    <cellStyle name="Normal 6 3 2 5" xfId="6530" xr:uid="{00000000-0005-0000-0000-00006E260000}"/>
    <cellStyle name="Normal 6 3 2 5 2" xfId="6531" xr:uid="{00000000-0005-0000-0000-00006F260000}"/>
    <cellStyle name="Normal 6 3 2 6" xfId="6532" xr:uid="{00000000-0005-0000-0000-000070260000}"/>
    <cellStyle name="Normal 6 3 3" xfId="6533" xr:uid="{00000000-0005-0000-0000-000071260000}"/>
    <cellStyle name="Normal 6 3 3 2" xfId="6534" xr:uid="{00000000-0005-0000-0000-000072260000}"/>
    <cellStyle name="Normal 6 3 3 2 2" xfId="6535" xr:uid="{00000000-0005-0000-0000-000073260000}"/>
    <cellStyle name="Normal 6 3 3 2 2 2" xfId="6536" xr:uid="{00000000-0005-0000-0000-000074260000}"/>
    <cellStyle name="Normal 6 3 3 2 3" xfId="6537" xr:uid="{00000000-0005-0000-0000-000075260000}"/>
    <cellStyle name="Normal 6 3 3 2 3 2" xfId="6538" xr:uid="{00000000-0005-0000-0000-000076260000}"/>
    <cellStyle name="Normal 6 3 3 2 4" xfId="6539" xr:uid="{00000000-0005-0000-0000-000077260000}"/>
    <cellStyle name="Normal 6 3 3 3" xfId="6540" xr:uid="{00000000-0005-0000-0000-000078260000}"/>
    <cellStyle name="Normal 6 3 3 3 2" xfId="6541" xr:uid="{00000000-0005-0000-0000-000079260000}"/>
    <cellStyle name="Normal 6 3 3 4" xfId="6542" xr:uid="{00000000-0005-0000-0000-00007A260000}"/>
    <cellStyle name="Normal 6 3 3 4 2" xfId="6543" xr:uid="{00000000-0005-0000-0000-00007B260000}"/>
    <cellStyle name="Normal 6 3 3 5" xfId="6544" xr:uid="{00000000-0005-0000-0000-00007C260000}"/>
    <cellStyle name="Normal 6 3 4" xfId="6545" xr:uid="{00000000-0005-0000-0000-00007D260000}"/>
    <cellStyle name="Normal 6 3 4 2" xfId="6546" xr:uid="{00000000-0005-0000-0000-00007E260000}"/>
    <cellStyle name="Normal 6 3 4 2 2" xfId="6547" xr:uid="{00000000-0005-0000-0000-00007F260000}"/>
    <cellStyle name="Normal 6 3 4 3" xfId="6548" xr:uid="{00000000-0005-0000-0000-000080260000}"/>
    <cellStyle name="Normal 6 3 4 3 2" xfId="6549" xr:uid="{00000000-0005-0000-0000-000081260000}"/>
    <cellStyle name="Normal 6 3 4 4" xfId="6550" xr:uid="{00000000-0005-0000-0000-000082260000}"/>
    <cellStyle name="Normal 6 3 5" xfId="6551" xr:uid="{00000000-0005-0000-0000-000083260000}"/>
    <cellStyle name="Normal 6 3 5 2" xfId="6552" xr:uid="{00000000-0005-0000-0000-000084260000}"/>
    <cellStyle name="Normal 6 3 6" xfId="6553" xr:uid="{00000000-0005-0000-0000-000085260000}"/>
    <cellStyle name="Normal 6 3 6 2" xfId="6554" xr:uid="{00000000-0005-0000-0000-000086260000}"/>
    <cellStyle name="Normal 6 3 7" xfId="6555" xr:uid="{00000000-0005-0000-0000-000087260000}"/>
    <cellStyle name="Normal 6 3 8" xfId="6556" xr:uid="{00000000-0005-0000-0000-000088260000}"/>
    <cellStyle name="Normal 6 4" xfId="6557" xr:uid="{00000000-0005-0000-0000-000089260000}"/>
    <cellStyle name="Normal 6 4 2" xfId="6558" xr:uid="{00000000-0005-0000-0000-00008A260000}"/>
    <cellStyle name="Normal 6 4 2 2" xfId="6559" xr:uid="{00000000-0005-0000-0000-00008B260000}"/>
    <cellStyle name="Normal 6 4 2 2 2" xfId="6560" xr:uid="{00000000-0005-0000-0000-00008C260000}"/>
    <cellStyle name="Normal 6 4 2 2 2 2" xfId="6561" xr:uid="{00000000-0005-0000-0000-00008D260000}"/>
    <cellStyle name="Normal 6 4 2 2 2 2 2" xfId="6562" xr:uid="{00000000-0005-0000-0000-00008E260000}"/>
    <cellStyle name="Normal 6 4 2 2 2 3" xfId="6563" xr:uid="{00000000-0005-0000-0000-00008F260000}"/>
    <cellStyle name="Normal 6 4 2 2 2 3 2" xfId="6564" xr:uid="{00000000-0005-0000-0000-000090260000}"/>
    <cellStyle name="Normal 6 4 2 2 2 4" xfId="6565" xr:uid="{00000000-0005-0000-0000-000091260000}"/>
    <cellStyle name="Normal 6 4 2 2 3" xfId="6566" xr:uid="{00000000-0005-0000-0000-000092260000}"/>
    <cellStyle name="Normal 6 4 2 2 3 2" xfId="6567" xr:uid="{00000000-0005-0000-0000-000093260000}"/>
    <cellStyle name="Normal 6 4 2 2 4" xfId="6568" xr:uid="{00000000-0005-0000-0000-000094260000}"/>
    <cellStyle name="Normal 6 4 2 2 4 2" xfId="6569" xr:uid="{00000000-0005-0000-0000-000095260000}"/>
    <cellStyle name="Normal 6 4 2 2 5" xfId="6570" xr:uid="{00000000-0005-0000-0000-000096260000}"/>
    <cellStyle name="Normal 6 4 2 3" xfId="6571" xr:uid="{00000000-0005-0000-0000-000097260000}"/>
    <cellStyle name="Normal 6 4 2 3 2" xfId="6572" xr:uid="{00000000-0005-0000-0000-000098260000}"/>
    <cellStyle name="Normal 6 4 2 3 2 2" xfId="6573" xr:uid="{00000000-0005-0000-0000-000099260000}"/>
    <cellStyle name="Normal 6 4 2 3 3" xfId="6574" xr:uid="{00000000-0005-0000-0000-00009A260000}"/>
    <cellStyle name="Normal 6 4 2 3 3 2" xfId="6575" xr:uid="{00000000-0005-0000-0000-00009B260000}"/>
    <cellStyle name="Normal 6 4 2 3 4" xfId="6576" xr:uid="{00000000-0005-0000-0000-00009C260000}"/>
    <cellStyle name="Normal 6 4 2 4" xfId="6577" xr:uid="{00000000-0005-0000-0000-00009D260000}"/>
    <cellStyle name="Normal 6 4 2 4 2" xfId="6578" xr:uid="{00000000-0005-0000-0000-00009E260000}"/>
    <cellStyle name="Normal 6 4 2 5" xfId="6579" xr:uid="{00000000-0005-0000-0000-00009F260000}"/>
    <cellStyle name="Normal 6 4 2 5 2" xfId="6580" xr:uid="{00000000-0005-0000-0000-0000A0260000}"/>
    <cellStyle name="Normal 6 4 2 6" xfId="6581" xr:uid="{00000000-0005-0000-0000-0000A1260000}"/>
    <cellStyle name="Normal 6 4 3" xfId="6582" xr:uid="{00000000-0005-0000-0000-0000A2260000}"/>
    <cellStyle name="Normal 6 4 3 2" xfId="6583" xr:uid="{00000000-0005-0000-0000-0000A3260000}"/>
    <cellStyle name="Normal 6 4 3 2 2" xfId="6584" xr:uid="{00000000-0005-0000-0000-0000A4260000}"/>
    <cellStyle name="Normal 6 4 3 2 2 2" xfId="6585" xr:uid="{00000000-0005-0000-0000-0000A5260000}"/>
    <cellStyle name="Normal 6 4 3 2 3" xfId="6586" xr:uid="{00000000-0005-0000-0000-0000A6260000}"/>
    <cellStyle name="Normal 6 4 3 2 3 2" xfId="6587" xr:uid="{00000000-0005-0000-0000-0000A7260000}"/>
    <cellStyle name="Normal 6 4 3 2 4" xfId="6588" xr:uid="{00000000-0005-0000-0000-0000A8260000}"/>
    <cellStyle name="Normal 6 4 3 3" xfId="6589" xr:uid="{00000000-0005-0000-0000-0000A9260000}"/>
    <cellStyle name="Normal 6 4 3 3 2" xfId="6590" xr:uid="{00000000-0005-0000-0000-0000AA260000}"/>
    <cellStyle name="Normal 6 4 3 4" xfId="6591" xr:uid="{00000000-0005-0000-0000-0000AB260000}"/>
    <cellStyle name="Normal 6 4 3 4 2" xfId="6592" xr:uid="{00000000-0005-0000-0000-0000AC260000}"/>
    <cellStyle name="Normal 6 4 3 5" xfId="6593" xr:uid="{00000000-0005-0000-0000-0000AD260000}"/>
    <cellStyle name="Normal 6 4 4" xfId="6594" xr:uid="{00000000-0005-0000-0000-0000AE260000}"/>
    <cellStyle name="Normal 6 4 4 2" xfId="6595" xr:uid="{00000000-0005-0000-0000-0000AF260000}"/>
    <cellStyle name="Normal 6 4 4 2 2" xfId="6596" xr:uid="{00000000-0005-0000-0000-0000B0260000}"/>
    <cellStyle name="Normal 6 4 4 3" xfId="6597" xr:uid="{00000000-0005-0000-0000-0000B1260000}"/>
    <cellStyle name="Normal 6 4 4 3 2" xfId="6598" xr:uid="{00000000-0005-0000-0000-0000B2260000}"/>
    <cellStyle name="Normal 6 4 4 4" xfId="6599" xr:uid="{00000000-0005-0000-0000-0000B3260000}"/>
    <cellStyle name="Normal 6 4 5" xfId="6600" xr:uid="{00000000-0005-0000-0000-0000B4260000}"/>
    <cellStyle name="Normal 6 4 5 2" xfId="6601" xr:uid="{00000000-0005-0000-0000-0000B5260000}"/>
    <cellStyle name="Normal 6 4 6" xfId="6602" xr:uid="{00000000-0005-0000-0000-0000B6260000}"/>
    <cellStyle name="Normal 6 4 6 2" xfId="6603" xr:uid="{00000000-0005-0000-0000-0000B7260000}"/>
    <cellStyle name="Normal 6 4 7" xfId="6604" xr:uid="{00000000-0005-0000-0000-0000B8260000}"/>
    <cellStyle name="Normal 6 5" xfId="6605" xr:uid="{00000000-0005-0000-0000-0000B9260000}"/>
    <cellStyle name="Normal 6 5 2" xfId="6606" xr:uid="{00000000-0005-0000-0000-0000BA260000}"/>
    <cellStyle name="Normal 6 5 2 2" xfId="6607" xr:uid="{00000000-0005-0000-0000-0000BB260000}"/>
    <cellStyle name="Normal 6 5 2 2 2" xfId="6608" xr:uid="{00000000-0005-0000-0000-0000BC260000}"/>
    <cellStyle name="Normal 6 5 2 2 2 2" xfId="6609" xr:uid="{00000000-0005-0000-0000-0000BD260000}"/>
    <cellStyle name="Normal 6 5 2 2 3" xfId="6610" xr:uid="{00000000-0005-0000-0000-0000BE260000}"/>
    <cellStyle name="Normal 6 5 2 2 3 2" xfId="6611" xr:uid="{00000000-0005-0000-0000-0000BF260000}"/>
    <cellStyle name="Normal 6 5 2 2 4" xfId="6612" xr:uid="{00000000-0005-0000-0000-0000C0260000}"/>
    <cellStyle name="Normal 6 5 2 3" xfId="6613" xr:uid="{00000000-0005-0000-0000-0000C1260000}"/>
    <cellStyle name="Normal 6 5 2 3 2" xfId="6614" xr:uid="{00000000-0005-0000-0000-0000C2260000}"/>
    <cellStyle name="Normal 6 5 2 4" xfId="6615" xr:uid="{00000000-0005-0000-0000-0000C3260000}"/>
    <cellStyle name="Normal 6 5 2 4 2" xfId="6616" xr:uid="{00000000-0005-0000-0000-0000C4260000}"/>
    <cellStyle name="Normal 6 5 2 5" xfId="6617" xr:uid="{00000000-0005-0000-0000-0000C5260000}"/>
    <cellStyle name="Normal 6 5 3" xfId="6618" xr:uid="{00000000-0005-0000-0000-0000C6260000}"/>
    <cellStyle name="Normal 6 5 3 2" xfId="6619" xr:uid="{00000000-0005-0000-0000-0000C7260000}"/>
    <cellStyle name="Normal 6 5 3 2 2" xfId="6620" xr:uid="{00000000-0005-0000-0000-0000C8260000}"/>
    <cellStyle name="Normal 6 5 3 3" xfId="6621" xr:uid="{00000000-0005-0000-0000-0000C9260000}"/>
    <cellStyle name="Normal 6 5 3 3 2" xfId="6622" xr:uid="{00000000-0005-0000-0000-0000CA260000}"/>
    <cellStyle name="Normal 6 5 3 4" xfId="6623" xr:uid="{00000000-0005-0000-0000-0000CB260000}"/>
    <cellStyle name="Normal 6 5 4" xfId="6624" xr:uid="{00000000-0005-0000-0000-0000CC260000}"/>
    <cellStyle name="Normal 6 5 4 2" xfId="6625" xr:uid="{00000000-0005-0000-0000-0000CD260000}"/>
    <cellStyle name="Normal 6 5 5" xfId="6626" xr:uid="{00000000-0005-0000-0000-0000CE260000}"/>
    <cellStyle name="Normal 6 5 5 2" xfId="6627" xr:uid="{00000000-0005-0000-0000-0000CF260000}"/>
    <cellStyle name="Normal 6 5 6" xfId="6628" xr:uid="{00000000-0005-0000-0000-0000D0260000}"/>
    <cellStyle name="Normal 6 6" xfId="6629" xr:uid="{00000000-0005-0000-0000-0000D1260000}"/>
    <cellStyle name="Normal 6 6 2" xfId="6630" xr:uid="{00000000-0005-0000-0000-0000D2260000}"/>
    <cellStyle name="Normal 6 6 2 2" xfId="6631" xr:uid="{00000000-0005-0000-0000-0000D3260000}"/>
    <cellStyle name="Normal 6 6 2 2 2" xfId="6632" xr:uid="{00000000-0005-0000-0000-0000D4260000}"/>
    <cellStyle name="Normal 6 6 2 3" xfId="6633" xr:uid="{00000000-0005-0000-0000-0000D5260000}"/>
    <cellStyle name="Normal 6 6 2 3 2" xfId="6634" xr:uid="{00000000-0005-0000-0000-0000D6260000}"/>
    <cellStyle name="Normal 6 6 2 4" xfId="6635" xr:uid="{00000000-0005-0000-0000-0000D7260000}"/>
    <cellStyle name="Normal 6 6 3" xfId="6636" xr:uid="{00000000-0005-0000-0000-0000D8260000}"/>
    <cellStyle name="Normal 6 6 3 2" xfId="6637" xr:uid="{00000000-0005-0000-0000-0000D9260000}"/>
    <cellStyle name="Normal 6 6 4" xfId="6638" xr:uid="{00000000-0005-0000-0000-0000DA260000}"/>
    <cellStyle name="Normal 6 6 4 2" xfId="6639" xr:uid="{00000000-0005-0000-0000-0000DB260000}"/>
    <cellStyle name="Normal 6 6 5" xfId="6640" xr:uid="{00000000-0005-0000-0000-0000DC260000}"/>
    <cellStyle name="Normal 6 7" xfId="6641" xr:uid="{00000000-0005-0000-0000-0000DD260000}"/>
    <cellStyle name="Normal 6 7 2" xfId="6642" xr:uid="{00000000-0005-0000-0000-0000DE260000}"/>
    <cellStyle name="Normal 6 7 2 2" xfId="6643" xr:uid="{00000000-0005-0000-0000-0000DF260000}"/>
    <cellStyle name="Normal 6 7 3" xfId="6644" xr:uid="{00000000-0005-0000-0000-0000E0260000}"/>
    <cellStyle name="Normal 6 7 3 2" xfId="6645" xr:uid="{00000000-0005-0000-0000-0000E1260000}"/>
    <cellStyle name="Normal 6 7 4" xfId="6646" xr:uid="{00000000-0005-0000-0000-0000E2260000}"/>
    <cellStyle name="Normal 6 8" xfId="6647" xr:uid="{00000000-0005-0000-0000-0000E3260000}"/>
    <cellStyle name="Normal 6 8 2" xfId="6648" xr:uid="{00000000-0005-0000-0000-0000E4260000}"/>
    <cellStyle name="Normal 6 9" xfId="6649" xr:uid="{00000000-0005-0000-0000-0000E5260000}"/>
    <cellStyle name="Normal 6 9 2" xfId="6650" xr:uid="{00000000-0005-0000-0000-0000E6260000}"/>
    <cellStyle name="Normal 6_2180" xfId="6651" xr:uid="{00000000-0005-0000-0000-0000E7260000}"/>
    <cellStyle name="Normal 60" xfId="6652" xr:uid="{00000000-0005-0000-0000-0000E8260000}"/>
    <cellStyle name="Normal 60 2" xfId="6653" xr:uid="{00000000-0005-0000-0000-0000E9260000}"/>
    <cellStyle name="Normal 60 2 2" xfId="6654" xr:uid="{00000000-0005-0000-0000-0000EA260000}"/>
    <cellStyle name="Normal 60 2 2 2" xfId="6655" xr:uid="{00000000-0005-0000-0000-0000EB260000}"/>
    <cellStyle name="Normal 60 2 2 2 2" xfId="6656" xr:uid="{00000000-0005-0000-0000-0000EC260000}"/>
    <cellStyle name="Normal 60 2 2 2 2 2" xfId="6657" xr:uid="{00000000-0005-0000-0000-0000ED260000}"/>
    <cellStyle name="Normal 60 2 2 2 3" xfId="6658" xr:uid="{00000000-0005-0000-0000-0000EE260000}"/>
    <cellStyle name="Normal 60 2 2 2 3 2" xfId="6659" xr:uid="{00000000-0005-0000-0000-0000EF260000}"/>
    <cellStyle name="Normal 60 2 2 2 4" xfId="6660" xr:uid="{00000000-0005-0000-0000-0000F0260000}"/>
    <cellStyle name="Normal 60 2 2 3" xfId="6661" xr:uid="{00000000-0005-0000-0000-0000F1260000}"/>
    <cellStyle name="Normal 60 2 2 3 2" xfId="6662" xr:uid="{00000000-0005-0000-0000-0000F2260000}"/>
    <cellStyle name="Normal 60 2 2 4" xfId="6663" xr:uid="{00000000-0005-0000-0000-0000F3260000}"/>
    <cellStyle name="Normal 60 2 2 4 2" xfId="6664" xr:uid="{00000000-0005-0000-0000-0000F4260000}"/>
    <cellStyle name="Normal 60 2 2 5" xfId="6665" xr:uid="{00000000-0005-0000-0000-0000F5260000}"/>
    <cellStyle name="Normal 60 2 3" xfId="6666" xr:uid="{00000000-0005-0000-0000-0000F6260000}"/>
    <cellStyle name="Normal 60 2 3 2" xfId="6667" xr:uid="{00000000-0005-0000-0000-0000F7260000}"/>
    <cellStyle name="Normal 60 2 3 2 2" xfId="6668" xr:uid="{00000000-0005-0000-0000-0000F8260000}"/>
    <cellStyle name="Normal 60 2 3 3" xfId="6669" xr:uid="{00000000-0005-0000-0000-0000F9260000}"/>
    <cellStyle name="Normal 60 2 3 3 2" xfId="6670" xr:uid="{00000000-0005-0000-0000-0000FA260000}"/>
    <cellStyle name="Normal 60 2 3 4" xfId="6671" xr:uid="{00000000-0005-0000-0000-0000FB260000}"/>
    <cellStyle name="Normal 60 2 4" xfId="6672" xr:uid="{00000000-0005-0000-0000-0000FC260000}"/>
    <cellStyle name="Normal 60 2 4 2" xfId="6673" xr:uid="{00000000-0005-0000-0000-0000FD260000}"/>
    <cellStyle name="Normal 60 2 5" xfId="6674" xr:uid="{00000000-0005-0000-0000-0000FE260000}"/>
    <cellStyle name="Normal 60 2 5 2" xfId="6675" xr:uid="{00000000-0005-0000-0000-0000FF260000}"/>
    <cellStyle name="Normal 60 2 6" xfId="6676" xr:uid="{00000000-0005-0000-0000-000000270000}"/>
    <cellStyle name="Normal 60 3" xfId="6677" xr:uid="{00000000-0005-0000-0000-000001270000}"/>
    <cellStyle name="Normal 60 3 2" xfId="6678" xr:uid="{00000000-0005-0000-0000-000002270000}"/>
    <cellStyle name="Normal 60 3 2 2" xfId="6679" xr:uid="{00000000-0005-0000-0000-000003270000}"/>
    <cellStyle name="Normal 60 3 2 2 2" xfId="6680" xr:uid="{00000000-0005-0000-0000-000004270000}"/>
    <cellStyle name="Normal 60 3 2 3" xfId="6681" xr:uid="{00000000-0005-0000-0000-000005270000}"/>
    <cellStyle name="Normal 60 3 2 3 2" xfId="6682" xr:uid="{00000000-0005-0000-0000-000006270000}"/>
    <cellStyle name="Normal 60 3 2 4" xfId="6683" xr:uid="{00000000-0005-0000-0000-000007270000}"/>
    <cellStyle name="Normal 60 3 3" xfId="6684" xr:uid="{00000000-0005-0000-0000-000008270000}"/>
    <cellStyle name="Normal 60 3 3 2" xfId="6685" xr:uid="{00000000-0005-0000-0000-000009270000}"/>
    <cellStyle name="Normal 60 3 4" xfId="6686" xr:uid="{00000000-0005-0000-0000-00000A270000}"/>
    <cellStyle name="Normal 60 3 4 2" xfId="6687" xr:uid="{00000000-0005-0000-0000-00000B270000}"/>
    <cellStyle name="Normal 60 3 5" xfId="6688" xr:uid="{00000000-0005-0000-0000-00000C270000}"/>
    <cellStyle name="Normal 60 4" xfId="6689" xr:uid="{00000000-0005-0000-0000-00000D270000}"/>
    <cellStyle name="Normal 60 4 2" xfId="6690" xr:uid="{00000000-0005-0000-0000-00000E270000}"/>
    <cellStyle name="Normal 60 4 2 2" xfId="6691" xr:uid="{00000000-0005-0000-0000-00000F270000}"/>
    <cellStyle name="Normal 60 4 3" xfId="6692" xr:uid="{00000000-0005-0000-0000-000010270000}"/>
    <cellStyle name="Normal 60 4 3 2" xfId="6693" xr:uid="{00000000-0005-0000-0000-000011270000}"/>
    <cellStyle name="Normal 60 4 4" xfId="6694" xr:uid="{00000000-0005-0000-0000-000012270000}"/>
    <cellStyle name="Normal 60 5" xfId="6695" xr:uid="{00000000-0005-0000-0000-000013270000}"/>
    <cellStyle name="Normal 60 5 2" xfId="6696" xr:uid="{00000000-0005-0000-0000-000014270000}"/>
    <cellStyle name="Normal 60 6" xfId="6697" xr:uid="{00000000-0005-0000-0000-000015270000}"/>
    <cellStyle name="Normal 60 6 2" xfId="6698" xr:uid="{00000000-0005-0000-0000-000016270000}"/>
    <cellStyle name="Normal 60 7" xfId="6699" xr:uid="{00000000-0005-0000-0000-000017270000}"/>
    <cellStyle name="Normal 61" xfId="6700" xr:uid="{00000000-0005-0000-0000-000018270000}"/>
    <cellStyle name="Normal 61 2" xfId="6701" xr:uid="{00000000-0005-0000-0000-000019270000}"/>
    <cellStyle name="Normal 61 2 2" xfId="6702" xr:uid="{00000000-0005-0000-0000-00001A270000}"/>
    <cellStyle name="Normal 61 2 2 2" xfId="6703" xr:uid="{00000000-0005-0000-0000-00001B270000}"/>
    <cellStyle name="Normal 61 2 2 2 2" xfId="6704" xr:uid="{00000000-0005-0000-0000-00001C270000}"/>
    <cellStyle name="Normal 61 2 2 2 2 2" xfId="6705" xr:uid="{00000000-0005-0000-0000-00001D270000}"/>
    <cellStyle name="Normal 61 2 2 2 3" xfId="6706" xr:uid="{00000000-0005-0000-0000-00001E270000}"/>
    <cellStyle name="Normal 61 2 2 2 3 2" xfId="6707" xr:uid="{00000000-0005-0000-0000-00001F270000}"/>
    <cellStyle name="Normal 61 2 2 2 4" xfId="6708" xr:uid="{00000000-0005-0000-0000-000020270000}"/>
    <cellStyle name="Normal 61 2 2 3" xfId="6709" xr:uid="{00000000-0005-0000-0000-000021270000}"/>
    <cellStyle name="Normal 61 2 2 3 2" xfId="6710" xr:uid="{00000000-0005-0000-0000-000022270000}"/>
    <cellStyle name="Normal 61 2 2 4" xfId="6711" xr:uid="{00000000-0005-0000-0000-000023270000}"/>
    <cellStyle name="Normal 61 2 2 4 2" xfId="6712" xr:uid="{00000000-0005-0000-0000-000024270000}"/>
    <cellStyle name="Normal 61 2 2 5" xfId="6713" xr:uid="{00000000-0005-0000-0000-000025270000}"/>
    <cellStyle name="Normal 61 2 3" xfId="6714" xr:uid="{00000000-0005-0000-0000-000026270000}"/>
    <cellStyle name="Normal 61 2 3 2" xfId="6715" xr:uid="{00000000-0005-0000-0000-000027270000}"/>
    <cellStyle name="Normal 61 2 3 2 2" xfId="6716" xr:uid="{00000000-0005-0000-0000-000028270000}"/>
    <cellStyle name="Normal 61 2 3 3" xfId="6717" xr:uid="{00000000-0005-0000-0000-000029270000}"/>
    <cellStyle name="Normal 61 2 3 3 2" xfId="6718" xr:uid="{00000000-0005-0000-0000-00002A270000}"/>
    <cellStyle name="Normal 61 2 3 4" xfId="6719" xr:uid="{00000000-0005-0000-0000-00002B270000}"/>
    <cellStyle name="Normal 61 2 4" xfId="6720" xr:uid="{00000000-0005-0000-0000-00002C270000}"/>
    <cellStyle name="Normal 61 2 4 2" xfId="6721" xr:uid="{00000000-0005-0000-0000-00002D270000}"/>
    <cellStyle name="Normal 61 2 5" xfId="6722" xr:uid="{00000000-0005-0000-0000-00002E270000}"/>
    <cellStyle name="Normal 61 2 5 2" xfId="6723" xr:uid="{00000000-0005-0000-0000-00002F270000}"/>
    <cellStyle name="Normal 61 2 6" xfId="6724" xr:uid="{00000000-0005-0000-0000-000030270000}"/>
    <cellStyle name="Normal 61 3" xfId="6725" xr:uid="{00000000-0005-0000-0000-000031270000}"/>
    <cellStyle name="Normal 61 3 2" xfId="6726" xr:uid="{00000000-0005-0000-0000-000032270000}"/>
    <cellStyle name="Normal 61 3 2 2" xfId="6727" xr:uid="{00000000-0005-0000-0000-000033270000}"/>
    <cellStyle name="Normal 61 3 2 2 2" xfId="6728" xr:uid="{00000000-0005-0000-0000-000034270000}"/>
    <cellStyle name="Normal 61 3 2 3" xfId="6729" xr:uid="{00000000-0005-0000-0000-000035270000}"/>
    <cellStyle name="Normal 61 3 2 3 2" xfId="6730" xr:uid="{00000000-0005-0000-0000-000036270000}"/>
    <cellStyle name="Normal 61 3 2 4" xfId="6731" xr:uid="{00000000-0005-0000-0000-000037270000}"/>
    <cellStyle name="Normal 61 3 3" xfId="6732" xr:uid="{00000000-0005-0000-0000-000038270000}"/>
    <cellStyle name="Normal 61 3 3 2" xfId="6733" xr:uid="{00000000-0005-0000-0000-000039270000}"/>
    <cellStyle name="Normal 61 3 4" xfId="6734" xr:uid="{00000000-0005-0000-0000-00003A270000}"/>
    <cellStyle name="Normal 61 3 4 2" xfId="6735" xr:uid="{00000000-0005-0000-0000-00003B270000}"/>
    <cellStyle name="Normal 61 3 5" xfId="6736" xr:uid="{00000000-0005-0000-0000-00003C270000}"/>
    <cellStyle name="Normal 61 4" xfId="6737" xr:uid="{00000000-0005-0000-0000-00003D270000}"/>
    <cellStyle name="Normal 61 4 2" xfId="6738" xr:uid="{00000000-0005-0000-0000-00003E270000}"/>
    <cellStyle name="Normal 61 4 2 2" xfId="6739" xr:uid="{00000000-0005-0000-0000-00003F270000}"/>
    <cellStyle name="Normal 61 4 3" xfId="6740" xr:uid="{00000000-0005-0000-0000-000040270000}"/>
    <cellStyle name="Normal 61 4 3 2" xfId="6741" xr:uid="{00000000-0005-0000-0000-000041270000}"/>
    <cellStyle name="Normal 61 4 4" xfId="6742" xr:uid="{00000000-0005-0000-0000-000042270000}"/>
    <cellStyle name="Normal 61 5" xfId="6743" xr:uid="{00000000-0005-0000-0000-000043270000}"/>
    <cellStyle name="Normal 61 5 2" xfId="6744" xr:uid="{00000000-0005-0000-0000-000044270000}"/>
    <cellStyle name="Normal 61 6" xfId="6745" xr:uid="{00000000-0005-0000-0000-000045270000}"/>
    <cellStyle name="Normal 61 6 2" xfId="6746" xr:uid="{00000000-0005-0000-0000-000046270000}"/>
    <cellStyle name="Normal 61 7" xfId="6747" xr:uid="{00000000-0005-0000-0000-000047270000}"/>
    <cellStyle name="Normal 62" xfId="6748" xr:uid="{00000000-0005-0000-0000-000048270000}"/>
    <cellStyle name="Normal 62 2" xfId="6749" xr:uid="{00000000-0005-0000-0000-000049270000}"/>
    <cellStyle name="Normal 62 2 2" xfId="6750" xr:uid="{00000000-0005-0000-0000-00004A270000}"/>
    <cellStyle name="Normal 62 2 2 2" xfId="6751" xr:uid="{00000000-0005-0000-0000-00004B270000}"/>
    <cellStyle name="Normal 62 2 2 2 2" xfId="6752" xr:uid="{00000000-0005-0000-0000-00004C270000}"/>
    <cellStyle name="Normal 62 2 2 2 2 2" xfId="6753" xr:uid="{00000000-0005-0000-0000-00004D270000}"/>
    <cellStyle name="Normal 62 2 2 2 3" xfId="6754" xr:uid="{00000000-0005-0000-0000-00004E270000}"/>
    <cellStyle name="Normal 62 2 2 2 3 2" xfId="6755" xr:uid="{00000000-0005-0000-0000-00004F270000}"/>
    <cellStyle name="Normal 62 2 2 2 4" xfId="6756" xr:uid="{00000000-0005-0000-0000-000050270000}"/>
    <cellStyle name="Normal 62 2 2 3" xfId="6757" xr:uid="{00000000-0005-0000-0000-000051270000}"/>
    <cellStyle name="Normal 62 2 2 3 2" xfId="6758" xr:uid="{00000000-0005-0000-0000-000052270000}"/>
    <cellStyle name="Normal 62 2 2 4" xfId="6759" xr:uid="{00000000-0005-0000-0000-000053270000}"/>
    <cellStyle name="Normal 62 2 2 4 2" xfId="6760" xr:uid="{00000000-0005-0000-0000-000054270000}"/>
    <cellStyle name="Normal 62 2 2 5" xfId="6761" xr:uid="{00000000-0005-0000-0000-000055270000}"/>
    <cellStyle name="Normal 62 2 3" xfId="6762" xr:uid="{00000000-0005-0000-0000-000056270000}"/>
    <cellStyle name="Normal 62 2 3 2" xfId="6763" xr:uid="{00000000-0005-0000-0000-000057270000}"/>
    <cellStyle name="Normal 62 2 3 2 2" xfId="6764" xr:uid="{00000000-0005-0000-0000-000058270000}"/>
    <cellStyle name="Normal 62 2 3 3" xfId="6765" xr:uid="{00000000-0005-0000-0000-000059270000}"/>
    <cellStyle name="Normal 62 2 3 3 2" xfId="6766" xr:uid="{00000000-0005-0000-0000-00005A270000}"/>
    <cellStyle name="Normal 62 2 3 4" xfId="6767" xr:uid="{00000000-0005-0000-0000-00005B270000}"/>
    <cellStyle name="Normal 62 2 4" xfId="6768" xr:uid="{00000000-0005-0000-0000-00005C270000}"/>
    <cellStyle name="Normal 62 2 4 2" xfId="6769" xr:uid="{00000000-0005-0000-0000-00005D270000}"/>
    <cellStyle name="Normal 62 2 5" xfId="6770" xr:uid="{00000000-0005-0000-0000-00005E270000}"/>
    <cellStyle name="Normal 62 2 5 2" xfId="6771" xr:uid="{00000000-0005-0000-0000-00005F270000}"/>
    <cellStyle name="Normal 62 2 6" xfId="6772" xr:uid="{00000000-0005-0000-0000-000060270000}"/>
    <cellStyle name="Normal 62 3" xfId="6773" xr:uid="{00000000-0005-0000-0000-000061270000}"/>
    <cellStyle name="Normal 62 3 2" xfId="6774" xr:uid="{00000000-0005-0000-0000-000062270000}"/>
    <cellStyle name="Normal 62 3 2 2" xfId="6775" xr:uid="{00000000-0005-0000-0000-000063270000}"/>
    <cellStyle name="Normal 62 3 2 2 2" xfId="6776" xr:uid="{00000000-0005-0000-0000-000064270000}"/>
    <cellStyle name="Normal 62 3 2 3" xfId="6777" xr:uid="{00000000-0005-0000-0000-000065270000}"/>
    <cellStyle name="Normal 62 3 2 3 2" xfId="6778" xr:uid="{00000000-0005-0000-0000-000066270000}"/>
    <cellStyle name="Normal 62 3 2 4" xfId="6779" xr:uid="{00000000-0005-0000-0000-000067270000}"/>
    <cellStyle name="Normal 62 3 3" xfId="6780" xr:uid="{00000000-0005-0000-0000-000068270000}"/>
    <cellStyle name="Normal 62 3 3 2" xfId="6781" xr:uid="{00000000-0005-0000-0000-000069270000}"/>
    <cellStyle name="Normal 62 3 4" xfId="6782" xr:uid="{00000000-0005-0000-0000-00006A270000}"/>
    <cellStyle name="Normal 62 3 4 2" xfId="6783" xr:uid="{00000000-0005-0000-0000-00006B270000}"/>
    <cellStyle name="Normal 62 3 5" xfId="6784" xr:uid="{00000000-0005-0000-0000-00006C270000}"/>
    <cellStyle name="Normal 62 4" xfId="6785" xr:uid="{00000000-0005-0000-0000-00006D270000}"/>
    <cellStyle name="Normal 62 4 2" xfId="6786" xr:uid="{00000000-0005-0000-0000-00006E270000}"/>
    <cellStyle name="Normal 62 4 2 2" xfId="6787" xr:uid="{00000000-0005-0000-0000-00006F270000}"/>
    <cellStyle name="Normal 62 4 3" xfId="6788" xr:uid="{00000000-0005-0000-0000-000070270000}"/>
    <cellStyle name="Normal 62 4 3 2" xfId="6789" xr:uid="{00000000-0005-0000-0000-000071270000}"/>
    <cellStyle name="Normal 62 4 4" xfId="6790" xr:uid="{00000000-0005-0000-0000-000072270000}"/>
    <cellStyle name="Normal 62 5" xfId="6791" xr:uid="{00000000-0005-0000-0000-000073270000}"/>
    <cellStyle name="Normal 62 5 2" xfId="6792" xr:uid="{00000000-0005-0000-0000-000074270000}"/>
    <cellStyle name="Normal 62 6" xfId="6793" xr:uid="{00000000-0005-0000-0000-000075270000}"/>
    <cellStyle name="Normal 62 6 2" xfId="6794" xr:uid="{00000000-0005-0000-0000-000076270000}"/>
    <cellStyle name="Normal 62 7" xfId="6795" xr:uid="{00000000-0005-0000-0000-000077270000}"/>
    <cellStyle name="Normal 63" xfId="6796" xr:uid="{00000000-0005-0000-0000-000078270000}"/>
    <cellStyle name="Normal 63 2" xfId="6797" xr:uid="{00000000-0005-0000-0000-000079270000}"/>
    <cellStyle name="Normal 63 2 2" xfId="6798" xr:uid="{00000000-0005-0000-0000-00007A270000}"/>
    <cellStyle name="Normal 63 2 2 2" xfId="6799" xr:uid="{00000000-0005-0000-0000-00007B270000}"/>
    <cellStyle name="Normal 63 2 2 2 2" xfId="6800" xr:uid="{00000000-0005-0000-0000-00007C270000}"/>
    <cellStyle name="Normal 63 2 2 2 2 2" xfId="6801" xr:uid="{00000000-0005-0000-0000-00007D270000}"/>
    <cellStyle name="Normal 63 2 2 2 3" xfId="6802" xr:uid="{00000000-0005-0000-0000-00007E270000}"/>
    <cellStyle name="Normal 63 2 2 2 3 2" xfId="6803" xr:uid="{00000000-0005-0000-0000-00007F270000}"/>
    <cellStyle name="Normal 63 2 2 2 4" xfId="6804" xr:uid="{00000000-0005-0000-0000-000080270000}"/>
    <cellStyle name="Normal 63 2 2 3" xfId="6805" xr:uid="{00000000-0005-0000-0000-000081270000}"/>
    <cellStyle name="Normal 63 2 2 3 2" xfId="6806" xr:uid="{00000000-0005-0000-0000-000082270000}"/>
    <cellStyle name="Normal 63 2 2 4" xfId="6807" xr:uid="{00000000-0005-0000-0000-000083270000}"/>
    <cellStyle name="Normal 63 2 2 4 2" xfId="6808" xr:uid="{00000000-0005-0000-0000-000084270000}"/>
    <cellStyle name="Normal 63 2 2 5" xfId="6809" xr:uid="{00000000-0005-0000-0000-000085270000}"/>
    <cellStyle name="Normal 63 2 3" xfId="6810" xr:uid="{00000000-0005-0000-0000-000086270000}"/>
    <cellStyle name="Normal 63 2 3 2" xfId="6811" xr:uid="{00000000-0005-0000-0000-000087270000}"/>
    <cellStyle name="Normal 63 2 3 2 2" xfId="6812" xr:uid="{00000000-0005-0000-0000-000088270000}"/>
    <cellStyle name="Normal 63 2 3 3" xfId="6813" xr:uid="{00000000-0005-0000-0000-000089270000}"/>
    <cellStyle name="Normal 63 2 3 3 2" xfId="6814" xr:uid="{00000000-0005-0000-0000-00008A270000}"/>
    <cellStyle name="Normal 63 2 3 4" xfId="6815" xr:uid="{00000000-0005-0000-0000-00008B270000}"/>
    <cellStyle name="Normal 63 2 4" xfId="6816" xr:uid="{00000000-0005-0000-0000-00008C270000}"/>
    <cellStyle name="Normal 63 2 4 2" xfId="6817" xr:uid="{00000000-0005-0000-0000-00008D270000}"/>
    <cellStyle name="Normal 63 2 5" xfId="6818" xr:uid="{00000000-0005-0000-0000-00008E270000}"/>
    <cellStyle name="Normal 63 2 5 2" xfId="6819" xr:uid="{00000000-0005-0000-0000-00008F270000}"/>
    <cellStyle name="Normal 63 2 6" xfId="6820" xr:uid="{00000000-0005-0000-0000-000090270000}"/>
    <cellStyle name="Normal 63 3" xfId="6821" xr:uid="{00000000-0005-0000-0000-000091270000}"/>
    <cellStyle name="Normal 63 3 2" xfId="6822" xr:uid="{00000000-0005-0000-0000-000092270000}"/>
    <cellStyle name="Normal 63 3 2 2" xfId="6823" xr:uid="{00000000-0005-0000-0000-000093270000}"/>
    <cellStyle name="Normal 63 3 2 2 2" xfId="6824" xr:uid="{00000000-0005-0000-0000-000094270000}"/>
    <cellStyle name="Normal 63 3 2 3" xfId="6825" xr:uid="{00000000-0005-0000-0000-000095270000}"/>
    <cellStyle name="Normal 63 3 2 3 2" xfId="6826" xr:uid="{00000000-0005-0000-0000-000096270000}"/>
    <cellStyle name="Normal 63 3 2 4" xfId="6827" xr:uid="{00000000-0005-0000-0000-000097270000}"/>
    <cellStyle name="Normal 63 3 3" xfId="6828" xr:uid="{00000000-0005-0000-0000-000098270000}"/>
    <cellStyle name="Normal 63 3 3 2" xfId="6829" xr:uid="{00000000-0005-0000-0000-000099270000}"/>
    <cellStyle name="Normal 63 3 4" xfId="6830" xr:uid="{00000000-0005-0000-0000-00009A270000}"/>
    <cellStyle name="Normal 63 3 4 2" xfId="6831" xr:uid="{00000000-0005-0000-0000-00009B270000}"/>
    <cellStyle name="Normal 63 3 5" xfId="6832" xr:uid="{00000000-0005-0000-0000-00009C270000}"/>
    <cellStyle name="Normal 63 4" xfId="6833" xr:uid="{00000000-0005-0000-0000-00009D270000}"/>
    <cellStyle name="Normal 63 4 2" xfId="6834" xr:uid="{00000000-0005-0000-0000-00009E270000}"/>
    <cellStyle name="Normal 63 4 2 2" xfId="6835" xr:uid="{00000000-0005-0000-0000-00009F270000}"/>
    <cellStyle name="Normal 63 4 3" xfId="6836" xr:uid="{00000000-0005-0000-0000-0000A0270000}"/>
    <cellStyle name="Normal 63 4 3 2" xfId="6837" xr:uid="{00000000-0005-0000-0000-0000A1270000}"/>
    <cellStyle name="Normal 63 4 4" xfId="6838" xr:uid="{00000000-0005-0000-0000-0000A2270000}"/>
    <cellStyle name="Normal 63 5" xfId="6839" xr:uid="{00000000-0005-0000-0000-0000A3270000}"/>
    <cellStyle name="Normal 63 5 2" xfId="6840" xr:uid="{00000000-0005-0000-0000-0000A4270000}"/>
    <cellStyle name="Normal 63 6" xfId="6841" xr:uid="{00000000-0005-0000-0000-0000A5270000}"/>
    <cellStyle name="Normal 63 6 2" xfId="6842" xr:uid="{00000000-0005-0000-0000-0000A6270000}"/>
    <cellStyle name="Normal 63 7" xfId="6843" xr:uid="{00000000-0005-0000-0000-0000A7270000}"/>
    <cellStyle name="Normal 64" xfId="6844" xr:uid="{00000000-0005-0000-0000-0000A8270000}"/>
    <cellStyle name="Normal 64 2" xfId="6845" xr:uid="{00000000-0005-0000-0000-0000A9270000}"/>
    <cellStyle name="Normal 64 3" xfId="6846" xr:uid="{00000000-0005-0000-0000-0000AA270000}"/>
    <cellStyle name="Normal 65" xfId="6847" xr:uid="{00000000-0005-0000-0000-0000AB270000}"/>
    <cellStyle name="Normal 65 2" xfId="6848" xr:uid="{00000000-0005-0000-0000-0000AC270000}"/>
    <cellStyle name="Normal 65 2 2" xfId="6849" xr:uid="{00000000-0005-0000-0000-0000AD270000}"/>
    <cellStyle name="Normal 65 2 2 2" xfId="6850" xr:uid="{00000000-0005-0000-0000-0000AE270000}"/>
    <cellStyle name="Normal 65 2 2 2 2" xfId="6851" xr:uid="{00000000-0005-0000-0000-0000AF270000}"/>
    <cellStyle name="Normal 65 2 2 2 2 2" xfId="6852" xr:uid="{00000000-0005-0000-0000-0000B0270000}"/>
    <cellStyle name="Normal 65 2 2 2 3" xfId="6853" xr:uid="{00000000-0005-0000-0000-0000B1270000}"/>
    <cellStyle name="Normal 65 2 2 2 3 2" xfId="6854" xr:uid="{00000000-0005-0000-0000-0000B2270000}"/>
    <cellStyle name="Normal 65 2 2 2 4" xfId="6855" xr:uid="{00000000-0005-0000-0000-0000B3270000}"/>
    <cellStyle name="Normal 65 2 2 3" xfId="6856" xr:uid="{00000000-0005-0000-0000-0000B4270000}"/>
    <cellStyle name="Normal 65 2 2 3 2" xfId="6857" xr:uid="{00000000-0005-0000-0000-0000B5270000}"/>
    <cellStyle name="Normal 65 2 2 4" xfId="6858" xr:uid="{00000000-0005-0000-0000-0000B6270000}"/>
    <cellStyle name="Normal 65 2 2 4 2" xfId="6859" xr:uid="{00000000-0005-0000-0000-0000B7270000}"/>
    <cellStyle name="Normal 65 2 2 5" xfId="6860" xr:uid="{00000000-0005-0000-0000-0000B8270000}"/>
    <cellStyle name="Normal 65 2 3" xfId="6861" xr:uid="{00000000-0005-0000-0000-0000B9270000}"/>
    <cellStyle name="Normal 65 2 3 2" xfId="6862" xr:uid="{00000000-0005-0000-0000-0000BA270000}"/>
    <cellStyle name="Normal 65 2 3 2 2" xfId="6863" xr:uid="{00000000-0005-0000-0000-0000BB270000}"/>
    <cellStyle name="Normal 65 2 3 3" xfId="6864" xr:uid="{00000000-0005-0000-0000-0000BC270000}"/>
    <cellStyle name="Normal 65 2 3 3 2" xfId="6865" xr:uid="{00000000-0005-0000-0000-0000BD270000}"/>
    <cellStyle name="Normal 65 2 3 4" xfId="6866" xr:uid="{00000000-0005-0000-0000-0000BE270000}"/>
    <cellStyle name="Normal 65 2 4" xfId="6867" xr:uid="{00000000-0005-0000-0000-0000BF270000}"/>
    <cellStyle name="Normal 65 2 4 2" xfId="6868" xr:uid="{00000000-0005-0000-0000-0000C0270000}"/>
    <cellStyle name="Normal 65 2 5" xfId="6869" xr:uid="{00000000-0005-0000-0000-0000C1270000}"/>
    <cellStyle name="Normal 65 2 5 2" xfId="6870" xr:uid="{00000000-0005-0000-0000-0000C2270000}"/>
    <cellStyle name="Normal 65 2 6" xfId="6871" xr:uid="{00000000-0005-0000-0000-0000C3270000}"/>
    <cellStyle name="Normal 65 3" xfId="6872" xr:uid="{00000000-0005-0000-0000-0000C4270000}"/>
    <cellStyle name="Normal 65 3 2" xfId="6873" xr:uid="{00000000-0005-0000-0000-0000C5270000}"/>
    <cellStyle name="Normal 65 3 2 2" xfId="6874" xr:uid="{00000000-0005-0000-0000-0000C6270000}"/>
    <cellStyle name="Normal 65 3 2 2 2" xfId="6875" xr:uid="{00000000-0005-0000-0000-0000C7270000}"/>
    <cellStyle name="Normal 65 3 2 3" xfId="6876" xr:uid="{00000000-0005-0000-0000-0000C8270000}"/>
    <cellStyle name="Normal 65 3 2 3 2" xfId="6877" xr:uid="{00000000-0005-0000-0000-0000C9270000}"/>
    <cellStyle name="Normal 65 3 2 4" xfId="6878" xr:uid="{00000000-0005-0000-0000-0000CA270000}"/>
    <cellStyle name="Normal 65 3 3" xfId="6879" xr:uid="{00000000-0005-0000-0000-0000CB270000}"/>
    <cellStyle name="Normal 65 3 3 2" xfId="6880" xr:uid="{00000000-0005-0000-0000-0000CC270000}"/>
    <cellStyle name="Normal 65 3 4" xfId="6881" xr:uid="{00000000-0005-0000-0000-0000CD270000}"/>
    <cellStyle name="Normal 65 3 4 2" xfId="6882" xr:uid="{00000000-0005-0000-0000-0000CE270000}"/>
    <cellStyle name="Normal 65 3 5" xfId="6883" xr:uid="{00000000-0005-0000-0000-0000CF270000}"/>
    <cellStyle name="Normal 65 4" xfId="6884" xr:uid="{00000000-0005-0000-0000-0000D0270000}"/>
    <cellStyle name="Normal 65 4 2" xfId="6885" xr:uid="{00000000-0005-0000-0000-0000D1270000}"/>
    <cellStyle name="Normal 65 4 2 2" xfId="6886" xr:uid="{00000000-0005-0000-0000-0000D2270000}"/>
    <cellStyle name="Normal 65 4 3" xfId="6887" xr:uid="{00000000-0005-0000-0000-0000D3270000}"/>
    <cellStyle name="Normal 65 4 3 2" xfId="6888" xr:uid="{00000000-0005-0000-0000-0000D4270000}"/>
    <cellStyle name="Normal 65 4 4" xfId="6889" xr:uid="{00000000-0005-0000-0000-0000D5270000}"/>
    <cellStyle name="Normal 65 5" xfId="6890" xr:uid="{00000000-0005-0000-0000-0000D6270000}"/>
    <cellStyle name="Normal 65 5 2" xfId="6891" xr:uid="{00000000-0005-0000-0000-0000D7270000}"/>
    <cellStyle name="Normal 65 6" xfId="6892" xr:uid="{00000000-0005-0000-0000-0000D8270000}"/>
    <cellStyle name="Normal 65 6 2" xfId="6893" xr:uid="{00000000-0005-0000-0000-0000D9270000}"/>
    <cellStyle name="Normal 65 7" xfId="6894" xr:uid="{00000000-0005-0000-0000-0000DA270000}"/>
    <cellStyle name="Normal 66" xfId="6895" xr:uid="{00000000-0005-0000-0000-0000DB270000}"/>
    <cellStyle name="Normal 66 2" xfId="6896" xr:uid="{00000000-0005-0000-0000-0000DC270000}"/>
    <cellStyle name="Normal 66 3" xfId="6897" xr:uid="{00000000-0005-0000-0000-0000DD270000}"/>
    <cellStyle name="Normal 67" xfId="6898" xr:uid="{00000000-0005-0000-0000-0000DE270000}"/>
    <cellStyle name="Normal 67 2" xfId="6899" xr:uid="{00000000-0005-0000-0000-0000DF270000}"/>
    <cellStyle name="Normal 67 3" xfId="6900" xr:uid="{00000000-0005-0000-0000-0000E0270000}"/>
    <cellStyle name="Normal 68" xfId="6901" xr:uid="{00000000-0005-0000-0000-0000E1270000}"/>
    <cellStyle name="Normal 68 2" xfId="6902" xr:uid="{00000000-0005-0000-0000-0000E2270000}"/>
    <cellStyle name="Normal 68 3" xfId="6903" xr:uid="{00000000-0005-0000-0000-0000E3270000}"/>
    <cellStyle name="Normal 69" xfId="6904" xr:uid="{00000000-0005-0000-0000-0000E4270000}"/>
    <cellStyle name="Normal 69 2" xfId="6905" xr:uid="{00000000-0005-0000-0000-0000E5270000}"/>
    <cellStyle name="Normal 69 3" xfId="6906" xr:uid="{00000000-0005-0000-0000-0000E6270000}"/>
    <cellStyle name="Normal 7" xfId="6907" xr:uid="{00000000-0005-0000-0000-0000E7270000}"/>
    <cellStyle name="Normal 7 10" xfId="6908" xr:uid="{00000000-0005-0000-0000-0000E8270000}"/>
    <cellStyle name="Normal 7 10 2" xfId="6909" xr:uid="{00000000-0005-0000-0000-0000E9270000}"/>
    <cellStyle name="Normal 7 11" xfId="6910" xr:uid="{00000000-0005-0000-0000-0000EA270000}"/>
    <cellStyle name="Normal 7 2" xfId="6911" xr:uid="{00000000-0005-0000-0000-0000EB270000}"/>
    <cellStyle name="Normal 7 2 10" xfId="6912" xr:uid="{00000000-0005-0000-0000-0000EC270000}"/>
    <cellStyle name="Normal 7 2 2" xfId="6913" xr:uid="{00000000-0005-0000-0000-0000ED270000}"/>
    <cellStyle name="Normal 7 2 2 2" xfId="6914" xr:uid="{00000000-0005-0000-0000-0000EE270000}"/>
    <cellStyle name="Normal 7 2 2 2 2" xfId="6915" xr:uid="{00000000-0005-0000-0000-0000EF270000}"/>
    <cellStyle name="Normal 7 2 2 2 2 2" xfId="6916" xr:uid="{00000000-0005-0000-0000-0000F0270000}"/>
    <cellStyle name="Normal 7 2 2 2 2 2 2" xfId="6917" xr:uid="{00000000-0005-0000-0000-0000F1270000}"/>
    <cellStyle name="Normal 7 2 2 2 2 2 2 2" xfId="6918" xr:uid="{00000000-0005-0000-0000-0000F2270000}"/>
    <cellStyle name="Normal 7 2 2 2 2 2 2 2 2" xfId="6919" xr:uid="{00000000-0005-0000-0000-0000F3270000}"/>
    <cellStyle name="Normal 7 2 2 2 2 2 2 3" xfId="6920" xr:uid="{00000000-0005-0000-0000-0000F4270000}"/>
    <cellStyle name="Normal 7 2 2 2 2 2 2 3 2" xfId="6921" xr:uid="{00000000-0005-0000-0000-0000F5270000}"/>
    <cellStyle name="Normal 7 2 2 2 2 2 2 4" xfId="6922" xr:uid="{00000000-0005-0000-0000-0000F6270000}"/>
    <cellStyle name="Normal 7 2 2 2 2 2 3" xfId="6923" xr:uid="{00000000-0005-0000-0000-0000F7270000}"/>
    <cellStyle name="Normal 7 2 2 2 2 2 3 2" xfId="6924" xr:uid="{00000000-0005-0000-0000-0000F8270000}"/>
    <cellStyle name="Normal 7 2 2 2 2 2 4" xfId="6925" xr:uid="{00000000-0005-0000-0000-0000F9270000}"/>
    <cellStyle name="Normal 7 2 2 2 2 2 4 2" xfId="6926" xr:uid="{00000000-0005-0000-0000-0000FA270000}"/>
    <cellStyle name="Normal 7 2 2 2 2 2 5" xfId="6927" xr:uid="{00000000-0005-0000-0000-0000FB270000}"/>
    <cellStyle name="Normal 7 2 2 2 2 3" xfId="6928" xr:uid="{00000000-0005-0000-0000-0000FC270000}"/>
    <cellStyle name="Normal 7 2 2 2 2 3 2" xfId="6929" xr:uid="{00000000-0005-0000-0000-0000FD270000}"/>
    <cellStyle name="Normal 7 2 2 2 2 3 2 2" xfId="6930" xr:uid="{00000000-0005-0000-0000-0000FE270000}"/>
    <cellStyle name="Normal 7 2 2 2 2 3 3" xfId="6931" xr:uid="{00000000-0005-0000-0000-0000FF270000}"/>
    <cellStyle name="Normal 7 2 2 2 2 3 3 2" xfId="6932" xr:uid="{00000000-0005-0000-0000-000000280000}"/>
    <cellStyle name="Normal 7 2 2 2 2 3 4" xfId="6933" xr:uid="{00000000-0005-0000-0000-000001280000}"/>
    <cellStyle name="Normal 7 2 2 2 2 4" xfId="6934" xr:uid="{00000000-0005-0000-0000-000002280000}"/>
    <cellStyle name="Normal 7 2 2 2 2 4 2" xfId="6935" xr:uid="{00000000-0005-0000-0000-000003280000}"/>
    <cellStyle name="Normal 7 2 2 2 2 5" xfId="6936" xr:uid="{00000000-0005-0000-0000-000004280000}"/>
    <cellStyle name="Normal 7 2 2 2 2 5 2" xfId="6937" xr:uid="{00000000-0005-0000-0000-000005280000}"/>
    <cellStyle name="Normal 7 2 2 2 2 6" xfId="6938" xr:uid="{00000000-0005-0000-0000-000006280000}"/>
    <cellStyle name="Normal 7 2 2 2 3" xfId="6939" xr:uid="{00000000-0005-0000-0000-000007280000}"/>
    <cellStyle name="Normal 7 2 2 2 3 2" xfId="6940" xr:uid="{00000000-0005-0000-0000-000008280000}"/>
    <cellStyle name="Normal 7 2 2 2 3 2 2" xfId="6941" xr:uid="{00000000-0005-0000-0000-000009280000}"/>
    <cellStyle name="Normal 7 2 2 2 3 2 2 2" xfId="6942" xr:uid="{00000000-0005-0000-0000-00000A280000}"/>
    <cellStyle name="Normal 7 2 2 2 3 2 3" xfId="6943" xr:uid="{00000000-0005-0000-0000-00000B280000}"/>
    <cellStyle name="Normal 7 2 2 2 3 2 3 2" xfId="6944" xr:uid="{00000000-0005-0000-0000-00000C280000}"/>
    <cellStyle name="Normal 7 2 2 2 3 2 4" xfId="6945" xr:uid="{00000000-0005-0000-0000-00000D280000}"/>
    <cellStyle name="Normal 7 2 2 2 3 3" xfId="6946" xr:uid="{00000000-0005-0000-0000-00000E280000}"/>
    <cellStyle name="Normal 7 2 2 2 3 3 2" xfId="6947" xr:uid="{00000000-0005-0000-0000-00000F280000}"/>
    <cellStyle name="Normal 7 2 2 2 3 4" xfId="6948" xr:uid="{00000000-0005-0000-0000-000010280000}"/>
    <cellStyle name="Normal 7 2 2 2 3 4 2" xfId="6949" xr:uid="{00000000-0005-0000-0000-000011280000}"/>
    <cellStyle name="Normal 7 2 2 2 3 5" xfId="6950" xr:uid="{00000000-0005-0000-0000-000012280000}"/>
    <cellStyle name="Normal 7 2 2 2 4" xfId="6951" xr:uid="{00000000-0005-0000-0000-000013280000}"/>
    <cellStyle name="Normal 7 2 2 2 4 2" xfId="6952" xr:uid="{00000000-0005-0000-0000-000014280000}"/>
    <cellStyle name="Normal 7 2 2 2 4 2 2" xfId="6953" xr:uid="{00000000-0005-0000-0000-000015280000}"/>
    <cellStyle name="Normal 7 2 2 2 4 3" xfId="6954" xr:uid="{00000000-0005-0000-0000-000016280000}"/>
    <cellStyle name="Normal 7 2 2 2 4 3 2" xfId="6955" xr:uid="{00000000-0005-0000-0000-000017280000}"/>
    <cellStyle name="Normal 7 2 2 2 4 4" xfId="6956" xr:uid="{00000000-0005-0000-0000-000018280000}"/>
    <cellStyle name="Normal 7 2 2 2 5" xfId="6957" xr:uid="{00000000-0005-0000-0000-000019280000}"/>
    <cellStyle name="Normal 7 2 2 2 5 2" xfId="6958" xr:uid="{00000000-0005-0000-0000-00001A280000}"/>
    <cellStyle name="Normal 7 2 2 2 6" xfId="6959" xr:uid="{00000000-0005-0000-0000-00001B280000}"/>
    <cellStyle name="Normal 7 2 2 2 6 2" xfId="6960" xr:uid="{00000000-0005-0000-0000-00001C280000}"/>
    <cellStyle name="Normal 7 2 2 2 7" xfId="6961" xr:uid="{00000000-0005-0000-0000-00001D280000}"/>
    <cellStyle name="Normal 7 2 2 3" xfId="6962" xr:uid="{00000000-0005-0000-0000-00001E280000}"/>
    <cellStyle name="Normal 7 2 2 3 2" xfId="6963" xr:uid="{00000000-0005-0000-0000-00001F280000}"/>
    <cellStyle name="Normal 7 2 2 3 2 2" xfId="6964" xr:uid="{00000000-0005-0000-0000-000020280000}"/>
    <cellStyle name="Normal 7 2 2 3 2 2 2" xfId="6965" xr:uid="{00000000-0005-0000-0000-000021280000}"/>
    <cellStyle name="Normal 7 2 2 3 2 2 2 2" xfId="6966" xr:uid="{00000000-0005-0000-0000-000022280000}"/>
    <cellStyle name="Normal 7 2 2 3 2 2 3" xfId="6967" xr:uid="{00000000-0005-0000-0000-000023280000}"/>
    <cellStyle name="Normal 7 2 2 3 2 2 3 2" xfId="6968" xr:uid="{00000000-0005-0000-0000-000024280000}"/>
    <cellStyle name="Normal 7 2 2 3 2 2 4" xfId="6969" xr:uid="{00000000-0005-0000-0000-000025280000}"/>
    <cellStyle name="Normal 7 2 2 3 2 3" xfId="6970" xr:uid="{00000000-0005-0000-0000-000026280000}"/>
    <cellStyle name="Normal 7 2 2 3 2 3 2" xfId="6971" xr:uid="{00000000-0005-0000-0000-000027280000}"/>
    <cellStyle name="Normal 7 2 2 3 2 4" xfId="6972" xr:uid="{00000000-0005-0000-0000-000028280000}"/>
    <cellStyle name="Normal 7 2 2 3 2 4 2" xfId="6973" xr:uid="{00000000-0005-0000-0000-000029280000}"/>
    <cellStyle name="Normal 7 2 2 3 2 5" xfId="6974" xr:uid="{00000000-0005-0000-0000-00002A280000}"/>
    <cellStyle name="Normal 7 2 2 3 3" xfId="6975" xr:uid="{00000000-0005-0000-0000-00002B280000}"/>
    <cellStyle name="Normal 7 2 2 3 3 2" xfId="6976" xr:uid="{00000000-0005-0000-0000-00002C280000}"/>
    <cellStyle name="Normal 7 2 2 3 3 2 2" xfId="6977" xr:uid="{00000000-0005-0000-0000-00002D280000}"/>
    <cellStyle name="Normal 7 2 2 3 3 3" xfId="6978" xr:uid="{00000000-0005-0000-0000-00002E280000}"/>
    <cellStyle name="Normal 7 2 2 3 3 3 2" xfId="6979" xr:uid="{00000000-0005-0000-0000-00002F280000}"/>
    <cellStyle name="Normal 7 2 2 3 3 4" xfId="6980" xr:uid="{00000000-0005-0000-0000-000030280000}"/>
    <cellStyle name="Normal 7 2 2 3 4" xfId="6981" xr:uid="{00000000-0005-0000-0000-000031280000}"/>
    <cellStyle name="Normal 7 2 2 3 4 2" xfId="6982" xr:uid="{00000000-0005-0000-0000-000032280000}"/>
    <cellStyle name="Normal 7 2 2 3 5" xfId="6983" xr:uid="{00000000-0005-0000-0000-000033280000}"/>
    <cellStyle name="Normal 7 2 2 3 5 2" xfId="6984" xr:uid="{00000000-0005-0000-0000-000034280000}"/>
    <cellStyle name="Normal 7 2 2 3 6" xfId="6985" xr:uid="{00000000-0005-0000-0000-000035280000}"/>
    <cellStyle name="Normal 7 2 2 4" xfId="6986" xr:uid="{00000000-0005-0000-0000-000036280000}"/>
    <cellStyle name="Normal 7 2 2 4 2" xfId="6987" xr:uid="{00000000-0005-0000-0000-000037280000}"/>
    <cellStyle name="Normal 7 2 2 4 2 2" xfId="6988" xr:uid="{00000000-0005-0000-0000-000038280000}"/>
    <cellStyle name="Normal 7 2 2 4 2 2 2" xfId="6989" xr:uid="{00000000-0005-0000-0000-000039280000}"/>
    <cellStyle name="Normal 7 2 2 4 2 3" xfId="6990" xr:uid="{00000000-0005-0000-0000-00003A280000}"/>
    <cellStyle name="Normal 7 2 2 4 2 3 2" xfId="6991" xr:uid="{00000000-0005-0000-0000-00003B280000}"/>
    <cellStyle name="Normal 7 2 2 4 2 4" xfId="6992" xr:uid="{00000000-0005-0000-0000-00003C280000}"/>
    <cellStyle name="Normal 7 2 2 4 3" xfId="6993" xr:uid="{00000000-0005-0000-0000-00003D280000}"/>
    <cellStyle name="Normal 7 2 2 4 3 2" xfId="6994" xr:uid="{00000000-0005-0000-0000-00003E280000}"/>
    <cellStyle name="Normal 7 2 2 4 4" xfId="6995" xr:uid="{00000000-0005-0000-0000-00003F280000}"/>
    <cellStyle name="Normal 7 2 2 4 4 2" xfId="6996" xr:uid="{00000000-0005-0000-0000-000040280000}"/>
    <cellStyle name="Normal 7 2 2 4 5" xfId="6997" xr:uid="{00000000-0005-0000-0000-000041280000}"/>
    <cellStyle name="Normal 7 2 2 5" xfId="6998" xr:uid="{00000000-0005-0000-0000-000042280000}"/>
    <cellStyle name="Normal 7 2 2 5 2" xfId="6999" xr:uid="{00000000-0005-0000-0000-000043280000}"/>
    <cellStyle name="Normal 7 2 2 5 2 2" xfId="7000" xr:uid="{00000000-0005-0000-0000-000044280000}"/>
    <cellStyle name="Normal 7 2 2 5 3" xfId="7001" xr:uid="{00000000-0005-0000-0000-000045280000}"/>
    <cellStyle name="Normal 7 2 2 5 3 2" xfId="7002" xr:uid="{00000000-0005-0000-0000-000046280000}"/>
    <cellStyle name="Normal 7 2 2 5 4" xfId="7003" xr:uid="{00000000-0005-0000-0000-000047280000}"/>
    <cellStyle name="Normal 7 2 2 6" xfId="7004" xr:uid="{00000000-0005-0000-0000-000048280000}"/>
    <cellStyle name="Normal 7 2 2 6 2" xfId="7005" xr:uid="{00000000-0005-0000-0000-000049280000}"/>
    <cellStyle name="Normal 7 2 2 7" xfId="7006" xr:uid="{00000000-0005-0000-0000-00004A280000}"/>
    <cellStyle name="Normal 7 2 2 7 2" xfId="7007" xr:uid="{00000000-0005-0000-0000-00004B280000}"/>
    <cellStyle name="Normal 7 2 2 8" xfId="7008" xr:uid="{00000000-0005-0000-0000-00004C280000}"/>
    <cellStyle name="Normal 7 2 3" xfId="7009" xr:uid="{00000000-0005-0000-0000-00004D280000}"/>
    <cellStyle name="Normal 7 2 3 2" xfId="7010" xr:uid="{00000000-0005-0000-0000-00004E280000}"/>
    <cellStyle name="Normal 7 2 3 2 2" xfId="7011" xr:uid="{00000000-0005-0000-0000-00004F280000}"/>
    <cellStyle name="Normal 7 2 3 2 2 2" xfId="7012" xr:uid="{00000000-0005-0000-0000-000050280000}"/>
    <cellStyle name="Normal 7 2 3 2 2 2 2" xfId="7013" xr:uid="{00000000-0005-0000-0000-000051280000}"/>
    <cellStyle name="Normal 7 2 3 2 2 2 2 2" xfId="7014" xr:uid="{00000000-0005-0000-0000-000052280000}"/>
    <cellStyle name="Normal 7 2 3 2 2 2 3" xfId="7015" xr:uid="{00000000-0005-0000-0000-000053280000}"/>
    <cellStyle name="Normal 7 2 3 2 2 2 3 2" xfId="7016" xr:uid="{00000000-0005-0000-0000-000054280000}"/>
    <cellStyle name="Normal 7 2 3 2 2 2 4" xfId="7017" xr:uid="{00000000-0005-0000-0000-000055280000}"/>
    <cellStyle name="Normal 7 2 3 2 2 3" xfId="7018" xr:uid="{00000000-0005-0000-0000-000056280000}"/>
    <cellStyle name="Normal 7 2 3 2 2 3 2" xfId="7019" xr:uid="{00000000-0005-0000-0000-000057280000}"/>
    <cellStyle name="Normal 7 2 3 2 2 4" xfId="7020" xr:uid="{00000000-0005-0000-0000-000058280000}"/>
    <cellStyle name="Normal 7 2 3 2 2 4 2" xfId="7021" xr:uid="{00000000-0005-0000-0000-000059280000}"/>
    <cellStyle name="Normal 7 2 3 2 2 5" xfId="7022" xr:uid="{00000000-0005-0000-0000-00005A280000}"/>
    <cellStyle name="Normal 7 2 3 2 3" xfId="7023" xr:uid="{00000000-0005-0000-0000-00005B280000}"/>
    <cellStyle name="Normal 7 2 3 2 3 2" xfId="7024" xr:uid="{00000000-0005-0000-0000-00005C280000}"/>
    <cellStyle name="Normal 7 2 3 2 3 2 2" xfId="7025" xr:uid="{00000000-0005-0000-0000-00005D280000}"/>
    <cellStyle name="Normal 7 2 3 2 3 3" xfId="7026" xr:uid="{00000000-0005-0000-0000-00005E280000}"/>
    <cellStyle name="Normal 7 2 3 2 3 3 2" xfId="7027" xr:uid="{00000000-0005-0000-0000-00005F280000}"/>
    <cellStyle name="Normal 7 2 3 2 3 4" xfId="7028" xr:uid="{00000000-0005-0000-0000-000060280000}"/>
    <cellStyle name="Normal 7 2 3 2 4" xfId="7029" xr:uid="{00000000-0005-0000-0000-000061280000}"/>
    <cellStyle name="Normal 7 2 3 2 4 2" xfId="7030" xr:uid="{00000000-0005-0000-0000-000062280000}"/>
    <cellStyle name="Normal 7 2 3 2 5" xfId="7031" xr:uid="{00000000-0005-0000-0000-000063280000}"/>
    <cellStyle name="Normal 7 2 3 2 5 2" xfId="7032" xr:uid="{00000000-0005-0000-0000-000064280000}"/>
    <cellStyle name="Normal 7 2 3 2 6" xfId="7033" xr:uid="{00000000-0005-0000-0000-000065280000}"/>
    <cellStyle name="Normal 7 2 3 3" xfId="7034" xr:uid="{00000000-0005-0000-0000-000066280000}"/>
    <cellStyle name="Normal 7 2 3 3 2" xfId="7035" xr:uid="{00000000-0005-0000-0000-000067280000}"/>
    <cellStyle name="Normal 7 2 3 3 2 2" xfId="7036" xr:uid="{00000000-0005-0000-0000-000068280000}"/>
    <cellStyle name="Normal 7 2 3 3 2 2 2" xfId="7037" xr:uid="{00000000-0005-0000-0000-000069280000}"/>
    <cellStyle name="Normal 7 2 3 3 2 3" xfId="7038" xr:uid="{00000000-0005-0000-0000-00006A280000}"/>
    <cellStyle name="Normal 7 2 3 3 2 3 2" xfId="7039" xr:uid="{00000000-0005-0000-0000-00006B280000}"/>
    <cellStyle name="Normal 7 2 3 3 2 4" xfId="7040" xr:uid="{00000000-0005-0000-0000-00006C280000}"/>
    <cellStyle name="Normal 7 2 3 3 3" xfId="7041" xr:uid="{00000000-0005-0000-0000-00006D280000}"/>
    <cellStyle name="Normal 7 2 3 3 3 2" xfId="7042" xr:uid="{00000000-0005-0000-0000-00006E280000}"/>
    <cellStyle name="Normal 7 2 3 3 4" xfId="7043" xr:uid="{00000000-0005-0000-0000-00006F280000}"/>
    <cellStyle name="Normal 7 2 3 3 4 2" xfId="7044" xr:uid="{00000000-0005-0000-0000-000070280000}"/>
    <cellStyle name="Normal 7 2 3 3 5" xfId="7045" xr:uid="{00000000-0005-0000-0000-000071280000}"/>
    <cellStyle name="Normal 7 2 3 4" xfId="7046" xr:uid="{00000000-0005-0000-0000-000072280000}"/>
    <cellStyle name="Normal 7 2 3 4 2" xfId="7047" xr:uid="{00000000-0005-0000-0000-000073280000}"/>
    <cellStyle name="Normal 7 2 3 4 2 2" xfId="7048" xr:uid="{00000000-0005-0000-0000-000074280000}"/>
    <cellStyle name="Normal 7 2 3 4 3" xfId="7049" xr:uid="{00000000-0005-0000-0000-000075280000}"/>
    <cellStyle name="Normal 7 2 3 4 3 2" xfId="7050" xr:uid="{00000000-0005-0000-0000-000076280000}"/>
    <cellStyle name="Normal 7 2 3 4 4" xfId="7051" xr:uid="{00000000-0005-0000-0000-000077280000}"/>
    <cellStyle name="Normal 7 2 3 5" xfId="7052" xr:uid="{00000000-0005-0000-0000-000078280000}"/>
    <cellStyle name="Normal 7 2 3 5 2" xfId="7053" xr:uid="{00000000-0005-0000-0000-000079280000}"/>
    <cellStyle name="Normal 7 2 3 6" xfId="7054" xr:uid="{00000000-0005-0000-0000-00007A280000}"/>
    <cellStyle name="Normal 7 2 3 6 2" xfId="7055" xr:uid="{00000000-0005-0000-0000-00007B280000}"/>
    <cellStyle name="Normal 7 2 3 7" xfId="7056" xr:uid="{00000000-0005-0000-0000-00007C280000}"/>
    <cellStyle name="Normal 7 2 4" xfId="7057" xr:uid="{00000000-0005-0000-0000-00007D280000}"/>
    <cellStyle name="Normal 7 2 4 2" xfId="7058" xr:uid="{00000000-0005-0000-0000-00007E280000}"/>
    <cellStyle name="Normal 7 2 4 2 2" xfId="7059" xr:uid="{00000000-0005-0000-0000-00007F280000}"/>
    <cellStyle name="Normal 7 2 4 2 2 2" xfId="7060" xr:uid="{00000000-0005-0000-0000-000080280000}"/>
    <cellStyle name="Normal 7 2 4 2 2 2 2" xfId="7061" xr:uid="{00000000-0005-0000-0000-000081280000}"/>
    <cellStyle name="Normal 7 2 4 2 2 2 2 2" xfId="7062" xr:uid="{00000000-0005-0000-0000-000082280000}"/>
    <cellStyle name="Normal 7 2 4 2 2 2 3" xfId="7063" xr:uid="{00000000-0005-0000-0000-000083280000}"/>
    <cellStyle name="Normal 7 2 4 2 2 2 3 2" xfId="7064" xr:uid="{00000000-0005-0000-0000-000084280000}"/>
    <cellStyle name="Normal 7 2 4 2 2 2 4" xfId="7065" xr:uid="{00000000-0005-0000-0000-000085280000}"/>
    <cellStyle name="Normal 7 2 4 2 2 3" xfId="7066" xr:uid="{00000000-0005-0000-0000-000086280000}"/>
    <cellStyle name="Normal 7 2 4 2 2 3 2" xfId="7067" xr:uid="{00000000-0005-0000-0000-000087280000}"/>
    <cellStyle name="Normal 7 2 4 2 2 4" xfId="7068" xr:uid="{00000000-0005-0000-0000-000088280000}"/>
    <cellStyle name="Normal 7 2 4 2 2 4 2" xfId="7069" xr:uid="{00000000-0005-0000-0000-000089280000}"/>
    <cellStyle name="Normal 7 2 4 2 2 5" xfId="7070" xr:uid="{00000000-0005-0000-0000-00008A280000}"/>
    <cellStyle name="Normal 7 2 4 2 3" xfId="7071" xr:uid="{00000000-0005-0000-0000-00008B280000}"/>
    <cellStyle name="Normal 7 2 4 2 3 2" xfId="7072" xr:uid="{00000000-0005-0000-0000-00008C280000}"/>
    <cellStyle name="Normal 7 2 4 2 3 2 2" xfId="7073" xr:uid="{00000000-0005-0000-0000-00008D280000}"/>
    <cellStyle name="Normal 7 2 4 2 3 3" xfId="7074" xr:uid="{00000000-0005-0000-0000-00008E280000}"/>
    <cellStyle name="Normal 7 2 4 2 3 3 2" xfId="7075" xr:uid="{00000000-0005-0000-0000-00008F280000}"/>
    <cellStyle name="Normal 7 2 4 2 3 4" xfId="7076" xr:uid="{00000000-0005-0000-0000-000090280000}"/>
    <cellStyle name="Normal 7 2 4 2 4" xfId="7077" xr:uid="{00000000-0005-0000-0000-000091280000}"/>
    <cellStyle name="Normal 7 2 4 2 4 2" xfId="7078" xr:uid="{00000000-0005-0000-0000-000092280000}"/>
    <cellStyle name="Normal 7 2 4 2 5" xfId="7079" xr:uid="{00000000-0005-0000-0000-000093280000}"/>
    <cellStyle name="Normal 7 2 4 2 5 2" xfId="7080" xr:uid="{00000000-0005-0000-0000-000094280000}"/>
    <cellStyle name="Normal 7 2 4 2 6" xfId="7081" xr:uid="{00000000-0005-0000-0000-000095280000}"/>
    <cellStyle name="Normal 7 2 4 3" xfId="7082" xr:uid="{00000000-0005-0000-0000-000096280000}"/>
    <cellStyle name="Normal 7 2 4 3 2" xfId="7083" xr:uid="{00000000-0005-0000-0000-000097280000}"/>
    <cellStyle name="Normal 7 2 4 3 2 2" xfId="7084" xr:uid="{00000000-0005-0000-0000-000098280000}"/>
    <cellStyle name="Normal 7 2 4 3 2 2 2" xfId="7085" xr:uid="{00000000-0005-0000-0000-000099280000}"/>
    <cellStyle name="Normal 7 2 4 3 2 3" xfId="7086" xr:uid="{00000000-0005-0000-0000-00009A280000}"/>
    <cellStyle name="Normal 7 2 4 3 2 3 2" xfId="7087" xr:uid="{00000000-0005-0000-0000-00009B280000}"/>
    <cellStyle name="Normal 7 2 4 3 2 4" xfId="7088" xr:uid="{00000000-0005-0000-0000-00009C280000}"/>
    <cellStyle name="Normal 7 2 4 3 3" xfId="7089" xr:uid="{00000000-0005-0000-0000-00009D280000}"/>
    <cellStyle name="Normal 7 2 4 3 3 2" xfId="7090" xr:uid="{00000000-0005-0000-0000-00009E280000}"/>
    <cellStyle name="Normal 7 2 4 3 4" xfId="7091" xr:uid="{00000000-0005-0000-0000-00009F280000}"/>
    <cellStyle name="Normal 7 2 4 3 4 2" xfId="7092" xr:uid="{00000000-0005-0000-0000-0000A0280000}"/>
    <cellStyle name="Normal 7 2 4 3 5" xfId="7093" xr:uid="{00000000-0005-0000-0000-0000A1280000}"/>
    <cellStyle name="Normal 7 2 4 4" xfId="7094" xr:uid="{00000000-0005-0000-0000-0000A2280000}"/>
    <cellStyle name="Normal 7 2 4 4 2" xfId="7095" xr:uid="{00000000-0005-0000-0000-0000A3280000}"/>
    <cellStyle name="Normal 7 2 4 4 2 2" xfId="7096" xr:uid="{00000000-0005-0000-0000-0000A4280000}"/>
    <cellStyle name="Normal 7 2 4 4 3" xfId="7097" xr:uid="{00000000-0005-0000-0000-0000A5280000}"/>
    <cellStyle name="Normal 7 2 4 4 3 2" xfId="7098" xr:uid="{00000000-0005-0000-0000-0000A6280000}"/>
    <cellStyle name="Normal 7 2 4 4 4" xfId="7099" xr:uid="{00000000-0005-0000-0000-0000A7280000}"/>
    <cellStyle name="Normal 7 2 4 5" xfId="7100" xr:uid="{00000000-0005-0000-0000-0000A8280000}"/>
    <cellStyle name="Normal 7 2 4 5 2" xfId="7101" xr:uid="{00000000-0005-0000-0000-0000A9280000}"/>
    <cellStyle name="Normal 7 2 4 6" xfId="7102" xr:uid="{00000000-0005-0000-0000-0000AA280000}"/>
    <cellStyle name="Normal 7 2 4 6 2" xfId="7103" xr:uid="{00000000-0005-0000-0000-0000AB280000}"/>
    <cellStyle name="Normal 7 2 4 7" xfId="7104" xr:uid="{00000000-0005-0000-0000-0000AC280000}"/>
    <cellStyle name="Normal 7 2 5" xfId="7105" xr:uid="{00000000-0005-0000-0000-0000AD280000}"/>
    <cellStyle name="Normal 7 2 5 2" xfId="7106" xr:uid="{00000000-0005-0000-0000-0000AE280000}"/>
    <cellStyle name="Normal 7 2 5 2 2" xfId="7107" xr:uid="{00000000-0005-0000-0000-0000AF280000}"/>
    <cellStyle name="Normal 7 2 5 2 2 2" xfId="7108" xr:uid="{00000000-0005-0000-0000-0000B0280000}"/>
    <cellStyle name="Normal 7 2 5 2 2 2 2" xfId="7109" xr:uid="{00000000-0005-0000-0000-0000B1280000}"/>
    <cellStyle name="Normal 7 2 5 2 2 3" xfId="7110" xr:uid="{00000000-0005-0000-0000-0000B2280000}"/>
    <cellStyle name="Normal 7 2 5 2 2 3 2" xfId="7111" xr:uid="{00000000-0005-0000-0000-0000B3280000}"/>
    <cellStyle name="Normal 7 2 5 2 2 4" xfId="7112" xr:uid="{00000000-0005-0000-0000-0000B4280000}"/>
    <cellStyle name="Normal 7 2 5 2 3" xfId="7113" xr:uid="{00000000-0005-0000-0000-0000B5280000}"/>
    <cellStyle name="Normal 7 2 5 2 3 2" xfId="7114" xr:uid="{00000000-0005-0000-0000-0000B6280000}"/>
    <cellStyle name="Normal 7 2 5 2 4" xfId="7115" xr:uid="{00000000-0005-0000-0000-0000B7280000}"/>
    <cellStyle name="Normal 7 2 5 2 4 2" xfId="7116" xr:uid="{00000000-0005-0000-0000-0000B8280000}"/>
    <cellStyle name="Normal 7 2 5 2 5" xfId="7117" xr:uid="{00000000-0005-0000-0000-0000B9280000}"/>
    <cellStyle name="Normal 7 2 5 3" xfId="7118" xr:uid="{00000000-0005-0000-0000-0000BA280000}"/>
    <cellStyle name="Normal 7 2 5 3 2" xfId="7119" xr:uid="{00000000-0005-0000-0000-0000BB280000}"/>
    <cellStyle name="Normal 7 2 5 3 2 2" xfId="7120" xr:uid="{00000000-0005-0000-0000-0000BC280000}"/>
    <cellStyle name="Normal 7 2 5 3 3" xfId="7121" xr:uid="{00000000-0005-0000-0000-0000BD280000}"/>
    <cellStyle name="Normal 7 2 5 3 3 2" xfId="7122" xr:uid="{00000000-0005-0000-0000-0000BE280000}"/>
    <cellStyle name="Normal 7 2 5 3 4" xfId="7123" xr:uid="{00000000-0005-0000-0000-0000BF280000}"/>
    <cellStyle name="Normal 7 2 5 4" xfId="7124" xr:uid="{00000000-0005-0000-0000-0000C0280000}"/>
    <cellStyle name="Normal 7 2 5 4 2" xfId="7125" xr:uid="{00000000-0005-0000-0000-0000C1280000}"/>
    <cellStyle name="Normal 7 2 5 5" xfId="7126" xr:uid="{00000000-0005-0000-0000-0000C2280000}"/>
    <cellStyle name="Normal 7 2 5 5 2" xfId="7127" xr:uid="{00000000-0005-0000-0000-0000C3280000}"/>
    <cellStyle name="Normal 7 2 5 6" xfId="7128" xr:uid="{00000000-0005-0000-0000-0000C4280000}"/>
    <cellStyle name="Normal 7 2 6" xfId="7129" xr:uid="{00000000-0005-0000-0000-0000C5280000}"/>
    <cellStyle name="Normal 7 2 6 2" xfId="7130" xr:uid="{00000000-0005-0000-0000-0000C6280000}"/>
    <cellStyle name="Normal 7 2 6 2 2" xfId="7131" xr:uid="{00000000-0005-0000-0000-0000C7280000}"/>
    <cellStyle name="Normal 7 2 6 2 2 2" xfId="7132" xr:uid="{00000000-0005-0000-0000-0000C8280000}"/>
    <cellStyle name="Normal 7 2 6 2 3" xfId="7133" xr:uid="{00000000-0005-0000-0000-0000C9280000}"/>
    <cellStyle name="Normal 7 2 6 2 3 2" xfId="7134" xr:uid="{00000000-0005-0000-0000-0000CA280000}"/>
    <cellStyle name="Normal 7 2 6 2 4" xfId="7135" xr:uid="{00000000-0005-0000-0000-0000CB280000}"/>
    <cellStyle name="Normal 7 2 6 3" xfId="7136" xr:uid="{00000000-0005-0000-0000-0000CC280000}"/>
    <cellStyle name="Normal 7 2 6 3 2" xfId="7137" xr:uid="{00000000-0005-0000-0000-0000CD280000}"/>
    <cellStyle name="Normal 7 2 6 4" xfId="7138" xr:uid="{00000000-0005-0000-0000-0000CE280000}"/>
    <cellStyle name="Normal 7 2 6 4 2" xfId="7139" xr:uid="{00000000-0005-0000-0000-0000CF280000}"/>
    <cellStyle name="Normal 7 2 6 5" xfId="7140" xr:uid="{00000000-0005-0000-0000-0000D0280000}"/>
    <cellStyle name="Normal 7 2 7" xfId="7141" xr:uid="{00000000-0005-0000-0000-0000D1280000}"/>
    <cellStyle name="Normal 7 2 7 2" xfId="7142" xr:uid="{00000000-0005-0000-0000-0000D2280000}"/>
    <cellStyle name="Normal 7 2 7 2 2" xfId="7143" xr:uid="{00000000-0005-0000-0000-0000D3280000}"/>
    <cellStyle name="Normal 7 2 7 3" xfId="7144" xr:uid="{00000000-0005-0000-0000-0000D4280000}"/>
    <cellStyle name="Normal 7 2 7 3 2" xfId="7145" xr:uid="{00000000-0005-0000-0000-0000D5280000}"/>
    <cellStyle name="Normal 7 2 7 4" xfId="7146" xr:uid="{00000000-0005-0000-0000-0000D6280000}"/>
    <cellStyle name="Normal 7 2 8" xfId="7147" xr:uid="{00000000-0005-0000-0000-0000D7280000}"/>
    <cellStyle name="Normal 7 2 8 2" xfId="7148" xr:uid="{00000000-0005-0000-0000-0000D8280000}"/>
    <cellStyle name="Normal 7 2 9" xfId="7149" xr:uid="{00000000-0005-0000-0000-0000D9280000}"/>
    <cellStyle name="Normal 7 2 9 2" xfId="7150" xr:uid="{00000000-0005-0000-0000-0000DA280000}"/>
    <cellStyle name="Normal 7 3" xfId="7151" xr:uid="{00000000-0005-0000-0000-0000DB280000}"/>
    <cellStyle name="Normal 7 3 2" xfId="7152" xr:uid="{00000000-0005-0000-0000-0000DC280000}"/>
    <cellStyle name="Normal 7 3 2 2" xfId="7153" xr:uid="{00000000-0005-0000-0000-0000DD280000}"/>
    <cellStyle name="Normal 7 3 2 2 2" xfId="7154" xr:uid="{00000000-0005-0000-0000-0000DE280000}"/>
    <cellStyle name="Normal 7 3 2 2 2 2" xfId="7155" xr:uid="{00000000-0005-0000-0000-0000DF280000}"/>
    <cellStyle name="Normal 7 3 2 2 2 2 2" xfId="7156" xr:uid="{00000000-0005-0000-0000-0000E0280000}"/>
    <cellStyle name="Normal 7 3 2 2 2 2 2 2" xfId="7157" xr:uid="{00000000-0005-0000-0000-0000E1280000}"/>
    <cellStyle name="Normal 7 3 2 2 2 2 3" xfId="7158" xr:uid="{00000000-0005-0000-0000-0000E2280000}"/>
    <cellStyle name="Normal 7 3 2 2 2 2 3 2" xfId="7159" xr:uid="{00000000-0005-0000-0000-0000E3280000}"/>
    <cellStyle name="Normal 7 3 2 2 2 2 4" xfId="7160" xr:uid="{00000000-0005-0000-0000-0000E4280000}"/>
    <cellStyle name="Normal 7 3 2 2 2 3" xfId="7161" xr:uid="{00000000-0005-0000-0000-0000E5280000}"/>
    <cellStyle name="Normal 7 3 2 2 2 3 2" xfId="7162" xr:uid="{00000000-0005-0000-0000-0000E6280000}"/>
    <cellStyle name="Normal 7 3 2 2 2 4" xfId="7163" xr:uid="{00000000-0005-0000-0000-0000E7280000}"/>
    <cellStyle name="Normal 7 3 2 2 2 4 2" xfId="7164" xr:uid="{00000000-0005-0000-0000-0000E8280000}"/>
    <cellStyle name="Normal 7 3 2 2 2 5" xfId="7165" xr:uid="{00000000-0005-0000-0000-0000E9280000}"/>
    <cellStyle name="Normal 7 3 2 2 3" xfId="7166" xr:uid="{00000000-0005-0000-0000-0000EA280000}"/>
    <cellStyle name="Normal 7 3 2 2 3 2" xfId="7167" xr:uid="{00000000-0005-0000-0000-0000EB280000}"/>
    <cellStyle name="Normal 7 3 2 2 3 2 2" xfId="7168" xr:uid="{00000000-0005-0000-0000-0000EC280000}"/>
    <cellStyle name="Normal 7 3 2 2 3 3" xfId="7169" xr:uid="{00000000-0005-0000-0000-0000ED280000}"/>
    <cellStyle name="Normal 7 3 2 2 3 3 2" xfId="7170" xr:uid="{00000000-0005-0000-0000-0000EE280000}"/>
    <cellStyle name="Normal 7 3 2 2 3 4" xfId="7171" xr:uid="{00000000-0005-0000-0000-0000EF280000}"/>
    <cellStyle name="Normal 7 3 2 2 4" xfId="7172" xr:uid="{00000000-0005-0000-0000-0000F0280000}"/>
    <cellStyle name="Normal 7 3 2 2 4 2" xfId="7173" xr:uid="{00000000-0005-0000-0000-0000F1280000}"/>
    <cellStyle name="Normal 7 3 2 2 5" xfId="7174" xr:uid="{00000000-0005-0000-0000-0000F2280000}"/>
    <cellStyle name="Normal 7 3 2 2 5 2" xfId="7175" xr:uid="{00000000-0005-0000-0000-0000F3280000}"/>
    <cellStyle name="Normal 7 3 2 2 6" xfId="7176" xr:uid="{00000000-0005-0000-0000-0000F4280000}"/>
    <cellStyle name="Normal 7 3 2 3" xfId="7177" xr:uid="{00000000-0005-0000-0000-0000F5280000}"/>
    <cellStyle name="Normal 7 3 2 3 2" xfId="7178" xr:uid="{00000000-0005-0000-0000-0000F6280000}"/>
    <cellStyle name="Normal 7 3 2 3 2 2" xfId="7179" xr:uid="{00000000-0005-0000-0000-0000F7280000}"/>
    <cellStyle name="Normal 7 3 2 3 2 2 2" xfId="7180" xr:uid="{00000000-0005-0000-0000-0000F8280000}"/>
    <cellStyle name="Normal 7 3 2 3 2 3" xfId="7181" xr:uid="{00000000-0005-0000-0000-0000F9280000}"/>
    <cellStyle name="Normal 7 3 2 3 2 3 2" xfId="7182" xr:uid="{00000000-0005-0000-0000-0000FA280000}"/>
    <cellStyle name="Normal 7 3 2 3 2 4" xfId="7183" xr:uid="{00000000-0005-0000-0000-0000FB280000}"/>
    <cellStyle name="Normal 7 3 2 3 3" xfId="7184" xr:uid="{00000000-0005-0000-0000-0000FC280000}"/>
    <cellStyle name="Normal 7 3 2 3 3 2" xfId="7185" xr:uid="{00000000-0005-0000-0000-0000FD280000}"/>
    <cellStyle name="Normal 7 3 2 3 4" xfId="7186" xr:uid="{00000000-0005-0000-0000-0000FE280000}"/>
    <cellStyle name="Normal 7 3 2 3 4 2" xfId="7187" xr:uid="{00000000-0005-0000-0000-0000FF280000}"/>
    <cellStyle name="Normal 7 3 2 3 5" xfId="7188" xr:uid="{00000000-0005-0000-0000-000000290000}"/>
    <cellStyle name="Normal 7 3 2 4" xfId="7189" xr:uid="{00000000-0005-0000-0000-000001290000}"/>
    <cellStyle name="Normal 7 3 2 4 2" xfId="7190" xr:uid="{00000000-0005-0000-0000-000002290000}"/>
    <cellStyle name="Normal 7 3 2 4 2 2" xfId="7191" xr:uid="{00000000-0005-0000-0000-000003290000}"/>
    <cellStyle name="Normal 7 3 2 4 3" xfId="7192" xr:uid="{00000000-0005-0000-0000-000004290000}"/>
    <cellStyle name="Normal 7 3 2 4 3 2" xfId="7193" xr:uid="{00000000-0005-0000-0000-000005290000}"/>
    <cellStyle name="Normal 7 3 2 4 4" xfId="7194" xr:uid="{00000000-0005-0000-0000-000006290000}"/>
    <cellStyle name="Normal 7 3 2 5" xfId="7195" xr:uid="{00000000-0005-0000-0000-000007290000}"/>
    <cellStyle name="Normal 7 3 2 5 2" xfId="7196" xr:uid="{00000000-0005-0000-0000-000008290000}"/>
    <cellStyle name="Normal 7 3 2 6" xfId="7197" xr:uid="{00000000-0005-0000-0000-000009290000}"/>
    <cellStyle name="Normal 7 3 2 6 2" xfId="7198" xr:uid="{00000000-0005-0000-0000-00000A290000}"/>
    <cellStyle name="Normal 7 3 2 7" xfId="7199" xr:uid="{00000000-0005-0000-0000-00000B290000}"/>
    <cellStyle name="Normal 7 3 3" xfId="7200" xr:uid="{00000000-0005-0000-0000-00000C290000}"/>
    <cellStyle name="Normal 7 3 3 2" xfId="7201" xr:uid="{00000000-0005-0000-0000-00000D290000}"/>
    <cellStyle name="Normal 7 3 3 2 2" xfId="7202" xr:uid="{00000000-0005-0000-0000-00000E290000}"/>
    <cellStyle name="Normal 7 3 3 2 2 2" xfId="7203" xr:uid="{00000000-0005-0000-0000-00000F290000}"/>
    <cellStyle name="Normal 7 3 3 2 2 2 2" xfId="7204" xr:uid="{00000000-0005-0000-0000-000010290000}"/>
    <cellStyle name="Normal 7 3 3 2 2 3" xfId="7205" xr:uid="{00000000-0005-0000-0000-000011290000}"/>
    <cellStyle name="Normal 7 3 3 2 2 3 2" xfId="7206" xr:uid="{00000000-0005-0000-0000-000012290000}"/>
    <cellStyle name="Normal 7 3 3 2 2 4" xfId="7207" xr:uid="{00000000-0005-0000-0000-000013290000}"/>
    <cellStyle name="Normal 7 3 3 2 3" xfId="7208" xr:uid="{00000000-0005-0000-0000-000014290000}"/>
    <cellStyle name="Normal 7 3 3 2 3 2" xfId="7209" xr:uid="{00000000-0005-0000-0000-000015290000}"/>
    <cellStyle name="Normal 7 3 3 2 4" xfId="7210" xr:uid="{00000000-0005-0000-0000-000016290000}"/>
    <cellStyle name="Normal 7 3 3 2 4 2" xfId="7211" xr:uid="{00000000-0005-0000-0000-000017290000}"/>
    <cellStyle name="Normal 7 3 3 2 5" xfId="7212" xr:uid="{00000000-0005-0000-0000-000018290000}"/>
    <cellStyle name="Normal 7 3 3 3" xfId="7213" xr:uid="{00000000-0005-0000-0000-000019290000}"/>
    <cellStyle name="Normal 7 3 3 3 2" xfId="7214" xr:uid="{00000000-0005-0000-0000-00001A290000}"/>
    <cellStyle name="Normal 7 3 3 3 2 2" xfId="7215" xr:uid="{00000000-0005-0000-0000-00001B290000}"/>
    <cellStyle name="Normal 7 3 3 3 3" xfId="7216" xr:uid="{00000000-0005-0000-0000-00001C290000}"/>
    <cellStyle name="Normal 7 3 3 3 3 2" xfId="7217" xr:uid="{00000000-0005-0000-0000-00001D290000}"/>
    <cellStyle name="Normal 7 3 3 3 4" xfId="7218" xr:uid="{00000000-0005-0000-0000-00001E290000}"/>
    <cellStyle name="Normal 7 3 3 4" xfId="7219" xr:uid="{00000000-0005-0000-0000-00001F290000}"/>
    <cellStyle name="Normal 7 3 3 4 2" xfId="7220" xr:uid="{00000000-0005-0000-0000-000020290000}"/>
    <cellStyle name="Normal 7 3 3 5" xfId="7221" xr:uid="{00000000-0005-0000-0000-000021290000}"/>
    <cellStyle name="Normal 7 3 3 5 2" xfId="7222" xr:uid="{00000000-0005-0000-0000-000022290000}"/>
    <cellStyle name="Normal 7 3 3 6" xfId="7223" xr:uid="{00000000-0005-0000-0000-000023290000}"/>
    <cellStyle name="Normal 7 3 4" xfId="7224" xr:uid="{00000000-0005-0000-0000-000024290000}"/>
    <cellStyle name="Normal 7 3 4 2" xfId="7225" xr:uid="{00000000-0005-0000-0000-000025290000}"/>
    <cellStyle name="Normal 7 3 4 2 2" xfId="7226" xr:uid="{00000000-0005-0000-0000-000026290000}"/>
    <cellStyle name="Normal 7 3 4 2 2 2" xfId="7227" xr:uid="{00000000-0005-0000-0000-000027290000}"/>
    <cellStyle name="Normal 7 3 4 2 3" xfId="7228" xr:uid="{00000000-0005-0000-0000-000028290000}"/>
    <cellStyle name="Normal 7 3 4 2 3 2" xfId="7229" xr:uid="{00000000-0005-0000-0000-000029290000}"/>
    <cellStyle name="Normal 7 3 4 2 4" xfId="7230" xr:uid="{00000000-0005-0000-0000-00002A290000}"/>
    <cellStyle name="Normal 7 3 4 3" xfId="7231" xr:uid="{00000000-0005-0000-0000-00002B290000}"/>
    <cellStyle name="Normal 7 3 4 3 2" xfId="7232" xr:uid="{00000000-0005-0000-0000-00002C290000}"/>
    <cellStyle name="Normal 7 3 4 4" xfId="7233" xr:uid="{00000000-0005-0000-0000-00002D290000}"/>
    <cellStyle name="Normal 7 3 4 4 2" xfId="7234" xr:uid="{00000000-0005-0000-0000-00002E290000}"/>
    <cellStyle name="Normal 7 3 4 5" xfId="7235" xr:uid="{00000000-0005-0000-0000-00002F290000}"/>
    <cellStyle name="Normal 7 3 5" xfId="7236" xr:uid="{00000000-0005-0000-0000-000030290000}"/>
    <cellStyle name="Normal 7 3 5 2" xfId="7237" xr:uid="{00000000-0005-0000-0000-000031290000}"/>
    <cellStyle name="Normal 7 3 5 2 2" xfId="7238" xr:uid="{00000000-0005-0000-0000-000032290000}"/>
    <cellStyle name="Normal 7 3 5 3" xfId="7239" xr:uid="{00000000-0005-0000-0000-000033290000}"/>
    <cellStyle name="Normal 7 3 5 3 2" xfId="7240" xr:uid="{00000000-0005-0000-0000-000034290000}"/>
    <cellStyle name="Normal 7 3 5 4" xfId="7241" xr:uid="{00000000-0005-0000-0000-000035290000}"/>
    <cellStyle name="Normal 7 3 6" xfId="7242" xr:uid="{00000000-0005-0000-0000-000036290000}"/>
    <cellStyle name="Normal 7 3 6 2" xfId="7243" xr:uid="{00000000-0005-0000-0000-000037290000}"/>
    <cellStyle name="Normal 7 3 7" xfId="7244" xr:uid="{00000000-0005-0000-0000-000038290000}"/>
    <cellStyle name="Normal 7 3 7 2" xfId="7245" xr:uid="{00000000-0005-0000-0000-000039290000}"/>
    <cellStyle name="Normal 7 3 8" xfId="7246" xr:uid="{00000000-0005-0000-0000-00003A290000}"/>
    <cellStyle name="Normal 7 3 9" xfId="7247" xr:uid="{00000000-0005-0000-0000-00003B290000}"/>
    <cellStyle name="Normal 7 4" xfId="7248" xr:uid="{00000000-0005-0000-0000-00003C290000}"/>
    <cellStyle name="Normal 7 4 2" xfId="7249" xr:uid="{00000000-0005-0000-0000-00003D290000}"/>
    <cellStyle name="Normal 7 4 2 2" xfId="7250" xr:uid="{00000000-0005-0000-0000-00003E290000}"/>
    <cellStyle name="Normal 7 4 2 2 2" xfId="7251" xr:uid="{00000000-0005-0000-0000-00003F290000}"/>
    <cellStyle name="Normal 7 4 2 2 2 2" xfId="7252" xr:uid="{00000000-0005-0000-0000-000040290000}"/>
    <cellStyle name="Normal 7 4 2 2 2 2 2" xfId="7253" xr:uid="{00000000-0005-0000-0000-000041290000}"/>
    <cellStyle name="Normal 7 4 2 2 2 3" xfId="7254" xr:uid="{00000000-0005-0000-0000-000042290000}"/>
    <cellStyle name="Normal 7 4 2 2 2 3 2" xfId="7255" xr:uid="{00000000-0005-0000-0000-000043290000}"/>
    <cellStyle name="Normal 7 4 2 2 2 4" xfId="7256" xr:uid="{00000000-0005-0000-0000-000044290000}"/>
    <cellStyle name="Normal 7 4 2 2 3" xfId="7257" xr:uid="{00000000-0005-0000-0000-000045290000}"/>
    <cellStyle name="Normal 7 4 2 2 3 2" xfId="7258" xr:uid="{00000000-0005-0000-0000-000046290000}"/>
    <cellStyle name="Normal 7 4 2 2 4" xfId="7259" xr:uid="{00000000-0005-0000-0000-000047290000}"/>
    <cellStyle name="Normal 7 4 2 2 4 2" xfId="7260" xr:uid="{00000000-0005-0000-0000-000048290000}"/>
    <cellStyle name="Normal 7 4 2 2 5" xfId="7261" xr:uid="{00000000-0005-0000-0000-000049290000}"/>
    <cellStyle name="Normal 7 4 2 3" xfId="7262" xr:uid="{00000000-0005-0000-0000-00004A290000}"/>
    <cellStyle name="Normal 7 4 2 3 2" xfId="7263" xr:uid="{00000000-0005-0000-0000-00004B290000}"/>
    <cellStyle name="Normal 7 4 2 3 2 2" xfId="7264" xr:uid="{00000000-0005-0000-0000-00004C290000}"/>
    <cellStyle name="Normal 7 4 2 3 3" xfId="7265" xr:uid="{00000000-0005-0000-0000-00004D290000}"/>
    <cellStyle name="Normal 7 4 2 3 3 2" xfId="7266" xr:uid="{00000000-0005-0000-0000-00004E290000}"/>
    <cellStyle name="Normal 7 4 2 3 4" xfId="7267" xr:uid="{00000000-0005-0000-0000-00004F290000}"/>
    <cellStyle name="Normal 7 4 2 4" xfId="7268" xr:uid="{00000000-0005-0000-0000-000050290000}"/>
    <cellStyle name="Normal 7 4 2 4 2" xfId="7269" xr:uid="{00000000-0005-0000-0000-000051290000}"/>
    <cellStyle name="Normal 7 4 2 5" xfId="7270" xr:uid="{00000000-0005-0000-0000-000052290000}"/>
    <cellStyle name="Normal 7 4 2 5 2" xfId="7271" xr:uid="{00000000-0005-0000-0000-000053290000}"/>
    <cellStyle name="Normal 7 4 2 6" xfId="7272" xr:uid="{00000000-0005-0000-0000-000054290000}"/>
    <cellStyle name="Normal 7 4 3" xfId="7273" xr:uid="{00000000-0005-0000-0000-000055290000}"/>
    <cellStyle name="Normal 7 4 3 2" xfId="7274" xr:uid="{00000000-0005-0000-0000-000056290000}"/>
    <cellStyle name="Normal 7 4 3 2 2" xfId="7275" xr:uid="{00000000-0005-0000-0000-000057290000}"/>
    <cellStyle name="Normal 7 4 3 2 2 2" xfId="7276" xr:uid="{00000000-0005-0000-0000-000058290000}"/>
    <cellStyle name="Normal 7 4 3 2 3" xfId="7277" xr:uid="{00000000-0005-0000-0000-000059290000}"/>
    <cellStyle name="Normal 7 4 3 2 3 2" xfId="7278" xr:uid="{00000000-0005-0000-0000-00005A290000}"/>
    <cellStyle name="Normal 7 4 3 2 4" xfId="7279" xr:uid="{00000000-0005-0000-0000-00005B290000}"/>
    <cellStyle name="Normal 7 4 3 3" xfId="7280" xr:uid="{00000000-0005-0000-0000-00005C290000}"/>
    <cellStyle name="Normal 7 4 3 3 2" xfId="7281" xr:uid="{00000000-0005-0000-0000-00005D290000}"/>
    <cellStyle name="Normal 7 4 3 4" xfId="7282" xr:uid="{00000000-0005-0000-0000-00005E290000}"/>
    <cellStyle name="Normal 7 4 3 4 2" xfId="7283" xr:uid="{00000000-0005-0000-0000-00005F290000}"/>
    <cellStyle name="Normal 7 4 3 5" xfId="7284" xr:uid="{00000000-0005-0000-0000-000060290000}"/>
    <cellStyle name="Normal 7 4 4" xfId="7285" xr:uid="{00000000-0005-0000-0000-000061290000}"/>
    <cellStyle name="Normal 7 4 4 2" xfId="7286" xr:uid="{00000000-0005-0000-0000-000062290000}"/>
    <cellStyle name="Normal 7 4 4 2 2" xfId="7287" xr:uid="{00000000-0005-0000-0000-000063290000}"/>
    <cellStyle name="Normal 7 4 4 3" xfId="7288" xr:uid="{00000000-0005-0000-0000-000064290000}"/>
    <cellStyle name="Normal 7 4 4 3 2" xfId="7289" xr:uid="{00000000-0005-0000-0000-000065290000}"/>
    <cellStyle name="Normal 7 4 4 4" xfId="7290" xr:uid="{00000000-0005-0000-0000-000066290000}"/>
    <cellStyle name="Normal 7 4 5" xfId="7291" xr:uid="{00000000-0005-0000-0000-000067290000}"/>
    <cellStyle name="Normal 7 4 5 2" xfId="7292" xr:uid="{00000000-0005-0000-0000-000068290000}"/>
    <cellStyle name="Normal 7 4 6" xfId="7293" xr:uid="{00000000-0005-0000-0000-000069290000}"/>
    <cellStyle name="Normal 7 4 6 2" xfId="7294" xr:uid="{00000000-0005-0000-0000-00006A290000}"/>
    <cellStyle name="Normal 7 4 7" xfId="7295" xr:uid="{00000000-0005-0000-0000-00006B290000}"/>
    <cellStyle name="Normal 7 5" xfId="7296" xr:uid="{00000000-0005-0000-0000-00006C290000}"/>
    <cellStyle name="Normal 7 5 2" xfId="7297" xr:uid="{00000000-0005-0000-0000-00006D290000}"/>
    <cellStyle name="Normal 7 5 2 2" xfId="7298" xr:uid="{00000000-0005-0000-0000-00006E290000}"/>
    <cellStyle name="Normal 7 5 2 2 2" xfId="7299" xr:uid="{00000000-0005-0000-0000-00006F290000}"/>
    <cellStyle name="Normal 7 5 2 2 2 2" xfId="7300" xr:uid="{00000000-0005-0000-0000-000070290000}"/>
    <cellStyle name="Normal 7 5 2 2 2 2 2" xfId="7301" xr:uid="{00000000-0005-0000-0000-000071290000}"/>
    <cellStyle name="Normal 7 5 2 2 2 3" xfId="7302" xr:uid="{00000000-0005-0000-0000-000072290000}"/>
    <cellStyle name="Normal 7 5 2 2 2 3 2" xfId="7303" xr:uid="{00000000-0005-0000-0000-000073290000}"/>
    <cellStyle name="Normal 7 5 2 2 2 4" xfId="7304" xr:uid="{00000000-0005-0000-0000-000074290000}"/>
    <cellStyle name="Normal 7 5 2 2 3" xfId="7305" xr:uid="{00000000-0005-0000-0000-000075290000}"/>
    <cellStyle name="Normal 7 5 2 2 3 2" xfId="7306" xr:uid="{00000000-0005-0000-0000-000076290000}"/>
    <cellStyle name="Normal 7 5 2 2 4" xfId="7307" xr:uid="{00000000-0005-0000-0000-000077290000}"/>
    <cellStyle name="Normal 7 5 2 2 4 2" xfId="7308" xr:uid="{00000000-0005-0000-0000-000078290000}"/>
    <cellStyle name="Normal 7 5 2 2 5" xfId="7309" xr:uid="{00000000-0005-0000-0000-000079290000}"/>
    <cellStyle name="Normal 7 5 2 3" xfId="7310" xr:uid="{00000000-0005-0000-0000-00007A290000}"/>
    <cellStyle name="Normal 7 5 2 3 2" xfId="7311" xr:uid="{00000000-0005-0000-0000-00007B290000}"/>
    <cellStyle name="Normal 7 5 2 3 2 2" xfId="7312" xr:uid="{00000000-0005-0000-0000-00007C290000}"/>
    <cellStyle name="Normal 7 5 2 3 3" xfId="7313" xr:uid="{00000000-0005-0000-0000-00007D290000}"/>
    <cellStyle name="Normal 7 5 2 3 3 2" xfId="7314" xr:uid="{00000000-0005-0000-0000-00007E290000}"/>
    <cellStyle name="Normal 7 5 2 3 4" xfId="7315" xr:uid="{00000000-0005-0000-0000-00007F290000}"/>
    <cellStyle name="Normal 7 5 2 4" xfId="7316" xr:uid="{00000000-0005-0000-0000-000080290000}"/>
    <cellStyle name="Normal 7 5 2 4 2" xfId="7317" xr:uid="{00000000-0005-0000-0000-000081290000}"/>
    <cellStyle name="Normal 7 5 2 5" xfId="7318" xr:uid="{00000000-0005-0000-0000-000082290000}"/>
    <cellStyle name="Normal 7 5 2 5 2" xfId="7319" xr:uid="{00000000-0005-0000-0000-000083290000}"/>
    <cellStyle name="Normal 7 5 2 6" xfId="7320" xr:uid="{00000000-0005-0000-0000-000084290000}"/>
    <cellStyle name="Normal 7 5 3" xfId="7321" xr:uid="{00000000-0005-0000-0000-000085290000}"/>
    <cellStyle name="Normal 7 5 3 2" xfId="7322" xr:uid="{00000000-0005-0000-0000-000086290000}"/>
    <cellStyle name="Normal 7 5 3 2 2" xfId="7323" xr:uid="{00000000-0005-0000-0000-000087290000}"/>
    <cellStyle name="Normal 7 5 3 2 2 2" xfId="7324" xr:uid="{00000000-0005-0000-0000-000088290000}"/>
    <cellStyle name="Normal 7 5 3 2 3" xfId="7325" xr:uid="{00000000-0005-0000-0000-000089290000}"/>
    <cellStyle name="Normal 7 5 3 2 3 2" xfId="7326" xr:uid="{00000000-0005-0000-0000-00008A290000}"/>
    <cellStyle name="Normal 7 5 3 2 4" xfId="7327" xr:uid="{00000000-0005-0000-0000-00008B290000}"/>
    <cellStyle name="Normal 7 5 3 3" xfId="7328" xr:uid="{00000000-0005-0000-0000-00008C290000}"/>
    <cellStyle name="Normal 7 5 3 3 2" xfId="7329" xr:uid="{00000000-0005-0000-0000-00008D290000}"/>
    <cellStyle name="Normal 7 5 3 4" xfId="7330" xr:uid="{00000000-0005-0000-0000-00008E290000}"/>
    <cellStyle name="Normal 7 5 3 4 2" xfId="7331" xr:uid="{00000000-0005-0000-0000-00008F290000}"/>
    <cellStyle name="Normal 7 5 3 5" xfId="7332" xr:uid="{00000000-0005-0000-0000-000090290000}"/>
    <cellStyle name="Normal 7 5 4" xfId="7333" xr:uid="{00000000-0005-0000-0000-000091290000}"/>
    <cellStyle name="Normal 7 5 4 2" xfId="7334" xr:uid="{00000000-0005-0000-0000-000092290000}"/>
    <cellStyle name="Normal 7 5 4 2 2" xfId="7335" xr:uid="{00000000-0005-0000-0000-000093290000}"/>
    <cellStyle name="Normal 7 5 4 3" xfId="7336" xr:uid="{00000000-0005-0000-0000-000094290000}"/>
    <cellStyle name="Normal 7 5 4 3 2" xfId="7337" xr:uid="{00000000-0005-0000-0000-000095290000}"/>
    <cellStyle name="Normal 7 5 4 4" xfId="7338" xr:uid="{00000000-0005-0000-0000-000096290000}"/>
    <cellStyle name="Normal 7 5 5" xfId="7339" xr:uid="{00000000-0005-0000-0000-000097290000}"/>
    <cellStyle name="Normal 7 5 5 2" xfId="7340" xr:uid="{00000000-0005-0000-0000-000098290000}"/>
    <cellStyle name="Normal 7 5 6" xfId="7341" xr:uid="{00000000-0005-0000-0000-000099290000}"/>
    <cellStyle name="Normal 7 5 6 2" xfId="7342" xr:uid="{00000000-0005-0000-0000-00009A290000}"/>
    <cellStyle name="Normal 7 5 7" xfId="7343" xr:uid="{00000000-0005-0000-0000-00009B290000}"/>
    <cellStyle name="Normal 7 6" xfId="7344" xr:uid="{00000000-0005-0000-0000-00009C290000}"/>
    <cellStyle name="Normal 7 6 2" xfId="7345" xr:uid="{00000000-0005-0000-0000-00009D290000}"/>
    <cellStyle name="Normal 7 6 2 2" xfId="7346" xr:uid="{00000000-0005-0000-0000-00009E290000}"/>
    <cellStyle name="Normal 7 6 2 2 2" xfId="7347" xr:uid="{00000000-0005-0000-0000-00009F290000}"/>
    <cellStyle name="Normal 7 6 2 2 2 2" xfId="7348" xr:uid="{00000000-0005-0000-0000-0000A0290000}"/>
    <cellStyle name="Normal 7 6 2 2 3" xfId="7349" xr:uid="{00000000-0005-0000-0000-0000A1290000}"/>
    <cellStyle name="Normal 7 6 2 2 3 2" xfId="7350" xr:uid="{00000000-0005-0000-0000-0000A2290000}"/>
    <cellStyle name="Normal 7 6 2 2 4" xfId="7351" xr:uid="{00000000-0005-0000-0000-0000A3290000}"/>
    <cellStyle name="Normal 7 6 2 3" xfId="7352" xr:uid="{00000000-0005-0000-0000-0000A4290000}"/>
    <cellStyle name="Normal 7 6 2 3 2" xfId="7353" xr:uid="{00000000-0005-0000-0000-0000A5290000}"/>
    <cellStyle name="Normal 7 6 2 4" xfId="7354" xr:uid="{00000000-0005-0000-0000-0000A6290000}"/>
    <cellStyle name="Normal 7 6 2 4 2" xfId="7355" xr:uid="{00000000-0005-0000-0000-0000A7290000}"/>
    <cellStyle name="Normal 7 6 2 5" xfId="7356" xr:uid="{00000000-0005-0000-0000-0000A8290000}"/>
    <cellStyle name="Normal 7 6 3" xfId="7357" xr:uid="{00000000-0005-0000-0000-0000A9290000}"/>
    <cellStyle name="Normal 7 6 3 2" xfId="7358" xr:uid="{00000000-0005-0000-0000-0000AA290000}"/>
    <cellStyle name="Normal 7 6 3 2 2" xfId="7359" xr:uid="{00000000-0005-0000-0000-0000AB290000}"/>
    <cellStyle name="Normal 7 6 3 3" xfId="7360" xr:uid="{00000000-0005-0000-0000-0000AC290000}"/>
    <cellStyle name="Normal 7 6 3 3 2" xfId="7361" xr:uid="{00000000-0005-0000-0000-0000AD290000}"/>
    <cellStyle name="Normal 7 6 3 4" xfId="7362" xr:uid="{00000000-0005-0000-0000-0000AE290000}"/>
    <cellStyle name="Normal 7 6 4" xfId="7363" xr:uid="{00000000-0005-0000-0000-0000AF290000}"/>
    <cellStyle name="Normal 7 6 4 2" xfId="7364" xr:uid="{00000000-0005-0000-0000-0000B0290000}"/>
    <cellStyle name="Normal 7 6 5" xfId="7365" xr:uid="{00000000-0005-0000-0000-0000B1290000}"/>
    <cellStyle name="Normal 7 6 5 2" xfId="7366" xr:uid="{00000000-0005-0000-0000-0000B2290000}"/>
    <cellStyle name="Normal 7 6 6" xfId="7367" xr:uid="{00000000-0005-0000-0000-0000B3290000}"/>
    <cellStyle name="Normal 7 7" xfId="7368" xr:uid="{00000000-0005-0000-0000-0000B4290000}"/>
    <cellStyle name="Normal 7 7 2" xfId="7369" xr:uid="{00000000-0005-0000-0000-0000B5290000}"/>
    <cellStyle name="Normal 7 7 2 2" xfId="7370" xr:uid="{00000000-0005-0000-0000-0000B6290000}"/>
    <cellStyle name="Normal 7 7 2 2 2" xfId="7371" xr:uid="{00000000-0005-0000-0000-0000B7290000}"/>
    <cellStyle name="Normal 7 7 2 3" xfId="7372" xr:uid="{00000000-0005-0000-0000-0000B8290000}"/>
    <cellStyle name="Normal 7 7 2 3 2" xfId="7373" xr:uid="{00000000-0005-0000-0000-0000B9290000}"/>
    <cellStyle name="Normal 7 7 2 4" xfId="7374" xr:uid="{00000000-0005-0000-0000-0000BA290000}"/>
    <cellStyle name="Normal 7 7 3" xfId="7375" xr:uid="{00000000-0005-0000-0000-0000BB290000}"/>
    <cellStyle name="Normal 7 7 3 2" xfId="7376" xr:uid="{00000000-0005-0000-0000-0000BC290000}"/>
    <cellStyle name="Normal 7 7 4" xfId="7377" xr:uid="{00000000-0005-0000-0000-0000BD290000}"/>
    <cellStyle name="Normal 7 7 4 2" xfId="7378" xr:uid="{00000000-0005-0000-0000-0000BE290000}"/>
    <cellStyle name="Normal 7 7 5" xfId="7379" xr:uid="{00000000-0005-0000-0000-0000BF290000}"/>
    <cellStyle name="Normal 7 8" xfId="7380" xr:uid="{00000000-0005-0000-0000-0000C0290000}"/>
    <cellStyle name="Normal 7 8 2" xfId="7381" xr:uid="{00000000-0005-0000-0000-0000C1290000}"/>
    <cellStyle name="Normal 7 8 2 2" xfId="7382" xr:uid="{00000000-0005-0000-0000-0000C2290000}"/>
    <cellStyle name="Normal 7 8 3" xfId="7383" xr:uid="{00000000-0005-0000-0000-0000C3290000}"/>
    <cellStyle name="Normal 7 8 3 2" xfId="7384" xr:uid="{00000000-0005-0000-0000-0000C4290000}"/>
    <cellStyle name="Normal 7 8 4" xfId="7385" xr:uid="{00000000-0005-0000-0000-0000C5290000}"/>
    <cellStyle name="Normal 7 9" xfId="7386" xr:uid="{00000000-0005-0000-0000-0000C6290000}"/>
    <cellStyle name="Normal 7 9 2" xfId="7387" xr:uid="{00000000-0005-0000-0000-0000C7290000}"/>
    <cellStyle name="Normal 7_2180" xfId="7388" xr:uid="{00000000-0005-0000-0000-0000C8290000}"/>
    <cellStyle name="Normal 70" xfId="7389" xr:uid="{00000000-0005-0000-0000-0000C9290000}"/>
    <cellStyle name="Normal 70 2" xfId="7390" xr:uid="{00000000-0005-0000-0000-0000CA290000}"/>
    <cellStyle name="Normal 70 3" xfId="7391" xr:uid="{00000000-0005-0000-0000-0000CB290000}"/>
    <cellStyle name="Normal 71" xfId="7392" xr:uid="{00000000-0005-0000-0000-0000CC290000}"/>
    <cellStyle name="Normal 72" xfId="7393" xr:uid="{00000000-0005-0000-0000-0000CD290000}"/>
    <cellStyle name="Normal 72 2" xfId="7394" xr:uid="{00000000-0005-0000-0000-0000CE290000}"/>
    <cellStyle name="Normal 72 2 2" xfId="7395" xr:uid="{00000000-0005-0000-0000-0000CF290000}"/>
    <cellStyle name="Normal 72 2 2 2" xfId="7396" xr:uid="{00000000-0005-0000-0000-0000D0290000}"/>
    <cellStyle name="Normal 72 2 2 2 2" xfId="7397" xr:uid="{00000000-0005-0000-0000-0000D1290000}"/>
    <cellStyle name="Normal 72 2 2 3" xfId="7398" xr:uid="{00000000-0005-0000-0000-0000D2290000}"/>
    <cellStyle name="Normal 72 2 2 3 2" xfId="7399" xr:uid="{00000000-0005-0000-0000-0000D3290000}"/>
    <cellStyle name="Normal 72 2 2 4" xfId="7400" xr:uid="{00000000-0005-0000-0000-0000D4290000}"/>
    <cellStyle name="Normal 72 2 3" xfId="7401" xr:uid="{00000000-0005-0000-0000-0000D5290000}"/>
    <cellStyle name="Normal 72 2 3 2" xfId="7402" xr:uid="{00000000-0005-0000-0000-0000D6290000}"/>
    <cellStyle name="Normal 72 2 4" xfId="7403" xr:uid="{00000000-0005-0000-0000-0000D7290000}"/>
    <cellStyle name="Normal 72 2 4 2" xfId="7404" xr:uid="{00000000-0005-0000-0000-0000D8290000}"/>
    <cellStyle name="Normal 72 2 5" xfId="7405" xr:uid="{00000000-0005-0000-0000-0000D9290000}"/>
    <cellStyle name="Normal 72 3" xfId="7406" xr:uid="{00000000-0005-0000-0000-0000DA290000}"/>
    <cellStyle name="Normal 72 3 2" xfId="7407" xr:uid="{00000000-0005-0000-0000-0000DB290000}"/>
    <cellStyle name="Normal 72 3 2 2" xfId="7408" xr:uid="{00000000-0005-0000-0000-0000DC290000}"/>
    <cellStyle name="Normal 72 3 3" xfId="7409" xr:uid="{00000000-0005-0000-0000-0000DD290000}"/>
    <cellStyle name="Normal 72 3 3 2" xfId="7410" xr:uid="{00000000-0005-0000-0000-0000DE290000}"/>
    <cellStyle name="Normal 72 3 4" xfId="7411" xr:uid="{00000000-0005-0000-0000-0000DF290000}"/>
    <cellStyle name="Normal 72 4" xfId="7412" xr:uid="{00000000-0005-0000-0000-0000E0290000}"/>
    <cellStyle name="Normal 72 4 2" xfId="7413" xr:uid="{00000000-0005-0000-0000-0000E1290000}"/>
    <cellStyle name="Normal 72 5" xfId="7414" xr:uid="{00000000-0005-0000-0000-0000E2290000}"/>
    <cellStyle name="Normal 72 5 2" xfId="7415" xr:uid="{00000000-0005-0000-0000-0000E3290000}"/>
    <cellStyle name="Normal 72 6" xfId="7416" xr:uid="{00000000-0005-0000-0000-0000E4290000}"/>
    <cellStyle name="Normal 73" xfId="7417" xr:uid="{00000000-0005-0000-0000-0000E5290000}"/>
    <cellStyle name="Normal 73 2" xfId="7418" xr:uid="{00000000-0005-0000-0000-0000E6290000}"/>
    <cellStyle name="Normal 74" xfId="7419" xr:uid="{00000000-0005-0000-0000-0000E7290000}"/>
    <cellStyle name="Normal 75" xfId="7420" xr:uid="{00000000-0005-0000-0000-0000E8290000}"/>
    <cellStyle name="Normal 76" xfId="7421" xr:uid="{00000000-0005-0000-0000-0000E9290000}"/>
    <cellStyle name="Normal 77" xfId="7422" xr:uid="{00000000-0005-0000-0000-0000EA290000}"/>
    <cellStyle name="Normal 78" xfId="7423" xr:uid="{00000000-0005-0000-0000-0000EB290000}"/>
    <cellStyle name="Normal 79" xfId="7424" xr:uid="{00000000-0005-0000-0000-0000EC290000}"/>
    <cellStyle name="Normal 8" xfId="7425" xr:uid="{00000000-0005-0000-0000-0000ED290000}"/>
    <cellStyle name="Normal 8 10" xfId="7426" xr:uid="{00000000-0005-0000-0000-0000EE290000}"/>
    <cellStyle name="Normal 8 2" xfId="7427" xr:uid="{00000000-0005-0000-0000-0000EF290000}"/>
    <cellStyle name="Normal 8 2 2" xfId="7428" xr:uid="{00000000-0005-0000-0000-0000F0290000}"/>
    <cellStyle name="Normal 8 2 2 2" xfId="7429" xr:uid="{00000000-0005-0000-0000-0000F1290000}"/>
    <cellStyle name="Normal 8 2 2 2 2" xfId="7430" xr:uid="{00000000-0005-0000-0000-0000F2290000}"/>
    <cellStyle name="Normal 8 2 2 2 2 2" xfId="7431" xr:uid="{00000000-0005-0000-0000-0000F3290000}"/>
    <cellStyle name="Normal 8 2 2 2 2 2 2" xfId="7432" xr:uid="{00000000-0005-0000-0000-0000F4290000}"/>
    <cellStyle name="Normal 8 2 2 2 2 2 2 2" xfId="7433" xr:uid="{00000000-0005-0000-0000-0000F5290000}"/>
    <cellStyle name="Normal 8 2 2 2 2 2 3" xfId="7434" xr:uid="{00000000-0005-0000-0000-0000F6290000}"/>
    <cellStyle name="Normal 8 2 2 2 2 2 3 2" xfId="7435" xr:uid="{00000000-0005-0000-0000-0000F7290000}"/>
    <cellStyle name="Normal 8 2 2 2 2 2 4" xfId="7436" xr:uid="{00000000-0005-0000-0000-0000F8290000}"/>
    <cellStyle name="Normal 8 2 2 2 2 3" xfId="7437" xr:uid="{00000000-0005-0000-0000-0000F9290000}"/>
    <cellStyle name="Normal 8 2 2 2 2 3 2" xfId="7438" xr:uid="{00000000-0005-0000-0000-0000FA290000}"/>
    <cellStyle name="Normal 8 2 2 2 2 4" xfId="7439" xr:uid="{00000000-0005-0000-0000-0000FB290000}"/>
    <cellStyle name="Normal 8 2 2 2 2 4 2" xfId="7440" xr:uid="{00000000-0005-0000-0000-0000FC290000}"/>
    <cellStyle name="Normal 8 2 2 2 2 5" xfId="7441" xr:uid="{00000000-0005-0000-0000-0000FD290000}"/>
    <cellStyle name="Normal 8 2 2 2 3" xfId="7442" xr:uid="{00000000-0005-0000-0000-0000FE290000}"/>
    <cellStyle name="Normal 8 2 2 2 3 2" xfId="7443" xr:uid="{00000000-0005-0000-0000-0000FF290000}"/>
    <cellStyle name="Normal 8 2 2 2 3 2 2" xfId="7444" xr:uid="{00000000-0005-0000-0000-0000002A0000}"/>
    <cellStyle name="Normal 8 2 2 2 3 3" xfId="7445" xr:uid="{00000000-0005-0000-0000-0000012A0000}"/>
    <cellStyle name="Normal 8 2 2 2 3 3 2" xfId="7446" xr:uid="{00000000-0005-0000-0000-0000022A0000}"/>
    <cellStyle name="Normal 8 2 2 2 3 4" xfId="7447" xr:uid="{00000000-0005-0000-0000-0000032A0000}"/>
    <cellStyle name="Normal 8 2 2 2 4" xfId="7448" xr:uid="{00000000-0005-0000-0000-0000042A0000}"/>
    <cellStyle name="Normal 8 2 2 2 4 2" xfId="7449" xr:uid="{00000000-0005-0000-0000-0000052A0000}"/>
    <cellStyle name="Normal 8 2 2 2 5" xfId="7450" xr:uid="{00000000-0005-0000-0000-0000062A0000}"/>
    <cellStyle name="Normal 8 2 2 2 5 2" xfId="7451" xr:uid="{00000000-0005-0000-0000-0000072A0000}"/>
    <cellStyle name="Normal 8 2 2 2 6" xfId="7452" xr:uid="{00000000-0005-0000-0000-0000082A0000}"/>
    <cellStyle name="Normal 8 2 2 3" xfId="7453" xr:uid="{00000000-0005-0000-0000-0000092A0000}"/>
    <cellStyle name="Normal 8 2 2 3 2" xfId="7454" xr:uid="{00000000-0005-0000-0000-00000A2A0000}"/>
    <cellStyle name="Normal 8 2 2 3 2 2" xfId="7455" xr:uid="{00000000-0005-0000-0000-00000B2A0000}"/>
    <cellStyle name="Normal 8 2 2 3 2 2 2" xfId="7456" xr:uid="{00000000-0005-0000-0000-00000C2A0000}"/>
    <cellStyle name="Normal 8 2 2 3 2 3" xfId="7457" xr:uid="{00000000-0005-0000-0000-00000D2A0000}"/>
    <cellStyle name="Normal 8 2 2 3 2 3 2" xfId="7458" xr:uid="{00000000-0005-0000-0000-00000E2A0000}"/>
    <cellStyle name="Normal 8 2 2 3 2 4" xfId="7459" xr:uid="{00000000-0005-0000-0000-00000F2A0000}"/>
    <cellStyle name="Normal 8 2 2 3 3" xfId="7460" xr:uid="{00000000-0005-0000-0000-0000102A0000}"/>
    <cellStyle name="Normal 8 2 2 3 3 2" xfId="7461" xr:uid="{00000000-0005-0000-0000-0000112A0000}"/>
    <cellStyle name="Normal 8 2 2 3 4" xfId="7462" xr:uid="{00000000-0005-0000-0000-0000122A0000}"/>
    <cellStyle name="Normal 8 2 2 3 4 2" xfId="7463" xr:uid="{00000000-0005-0000-0000-0000132A0000}"/>
    <cellStyle name="Normal 8 2 2 3 5" xfId="7464" xr:uid="{00000000-0005-0000-0000-0000142A0000}"/>
    <cellStyle name="Normal 8 2 2 4" xfId="7465" xr:uid="{00000000-0005-0000-0000-0000152A0000}"/>
    <cellStyle name="Normal 8 2 2 4 2" xfId="7466" xr:uid="{00000000-0005-0000-0000-0000162A0000}"/>
    <cellStyle name="Normal 8 2 2 4 2 2" xfId="7467" xr:uid="{00000000-0005-0000-0000-0000172A0000}"/>
    <cellStyle name="Normal 8 2 2 4 3" xfId="7468" xr:uid="{00000000-0005-0000-0000-0000182A0000}"/>
    <cellStyle name="Normal 8 2 2 4 3 2" xfId="7469" xr:uid="{00000000-0005-0000-0000-0000192A0000}"/>
    <cellStyle name="Normal 8 2 2 4 4" xfId="7470" xr:uid="{00000000-0005-0000-0000-00001A2A0000}"/>
    <cellStyle name="Normal 8 2 2 5" xfId="7471" xr:uid="{00000000-0005-0000-0000-00001B2A0000}"/>
    <cellStyle name="Normal 8 2 2 5 2" xfId="7472" xr:uid="{00000000-0005-0000-0000-00001C2A0000}"/>
    <cellStyle name="Normal 8 2 2 6" xfId="7473" xr:uid="{00000000-0005-0000-0000-00001D2A0000}"/>
    <cellStyle name="Normal 8 2 2 6 2" xfId="7474" xr:uid="{00000000-0005-0000-0000-00001E2A0000}"/>
    <cellStyle name="Normal 8 2 2 7" xfId="7475" xr:uid="{00000000-0005-0000-0000-00001F2A0000}"/>
    <cellStyle name="Normal 8 2 3" xfId="7476" xr:uid="{00000000-0005-0000-0000-0000202A0000}"/>
    <cellStyle name="Normal 8 2 3 2" xfId="7477" xr:uid="{00000000-0005-0000-0000-0000212A0000}"/>
    <cellStyle name="Normal 8 2 3 2 2" xfId="7478" xr:uid="{00000000-0005-0000-0000-0000222A0000}"/>
    <cellStyle name="Normal 8 2 3 2 2 2" xfId="7479" xr:uid="{00000000-0005-0000-0000-0000232A0000}"/>
    <cellStyle name="Normal 8 2 3 2 2 2 2" xfId="7480" xr:uid="{00000000-0005-0000-0000-0000242A0000}"/>
    <cellStyle name="Normal 8 2 3 2 2 3" xfId="7481" xr:uid="{00000000-0005-0000-0000-0000252A0000}"/>
    <cellStyle name="Normal 8 2 3 2 2 3 2" xfId="7482" xr:uid="{00000000-0005-0000-0000-0000262A0000}"/>
    <cellStyle name="Normal 8 2 3 2 2 4" xfId="7483" xr:uid="{00000000-0005-0000-0000-0000272A0000}"/>
    <cellStyle name="Normal 8 2 3 2 3" xfId="7484" xr:uid="{00000000-0005-0000-0000-0000282A0000}"/>
    <cellStyle name="Normal 8 2 3 2 3 2" xfId="7485" xr:uid="{00000000-0005-0000-0000-0000292A0000}"/>
    <cellStyle name="Normal 8 2 3 2 4" xfId="7486" xr:uid="{00000000-0005-0000-0000-00002A2A0000}"/>
    <cellStyle name="Normal 8 2 3 2 4 2" xfId="7487" xr:uid="{00000000-0005-0000-0000-00002B2A0000}"/>
    <cellStyle name="Normal 8 2 3 2 5" xfId="7488" xr:uid="{00000000-0005-0000-0000-00002C2A0000}"/>
    <cellStyle name="Normal 8 2 3 3" xfId="7489" xr:uid="{00000000-0005-0000-0000-00002D2A0000}"/>
    <cellStyle name="Normal 8 2 3 3 2" xfId="7490" xr:uid="{00000000-0005-0000-0000-00002E2A0000}"/>
    <cellStyle name="Normal 8 2 3 3 2 2" xfId="7491" xr:uid="{00000000-0005-0000-0000-00002F2A0000}"/>
    <cellStyle name="Normal 8 2 3 3 3" xfId="7492" xr:uid="{00000000-0005-0000-0000-0000302A0000}"/>
    <cellStyle name="Normal 8 2 3 3 3 2" xfId="7493" xr:uid="{00000000-0005-0000-0000-0000312A0000}"/>
    <cellStyle name="Normal 8 2 3 3 4" xfId="7494" xr:uid="{00000000-0005-0000-0000-0000322A0000}"/>
    <cellStyle name="Normal 8 2 3 4" xfId="7495" xr:uid="{00000000-0005-0000-0000-0000332A0000}"/>
    <cellStyle name="Normal 8 2 3 4 2" xfId="7496" xr:uid="{00000000-0005-0000-0000-0000342A0000}"/>
    <cellStyle name="Normal 8 2 3 5" xfId="7497" xr:uid="{00000000-0005-0000-0000-0000352A0000}"/>
    <cellStyle name="Normal 8 2 3 5 2" xfId="7498" xr:uid="{00000000-0005-0000-0000-0000362A0000}"/>
    <cellStyle name="Normal 8 2 3 6" xfId="7499" xr:uid="{00000000-0005-0000-0000-0000372A0000}"/>
    <cellStyle name="Normal 8 2 4" xfId="7500" xr:uid="{00000000-0005-0000-0000-0000382A0000}"/>
    <cellStyle name="Normal 8 2 4 2" xfId="7501" xr:uid="{00000000-0005-0000-0000-0000392A0000}"/>
    <cellStyle name="Normal 8 2 4 2 2" xfId="7502" xr:uid="{00000000-0005-0000-0000-00003A2A0000}"/>
    <cellStyle name="Normal 8 2 4 2 2 2" xfId="7503" xr:uid="{00000000-0005-0000-0000-00003B2A0000}"/>
    <cellStyle name="Normal 8 2 4 2 3" xfId="7504" xr:uid="{00000000-0005-0000-0000-00003C2A0000}"/>
    <cellStyle name="Normal 8 2 4 2 3 2" xfId="7505" xr:uid="{00000000-0005-0000-0000-00003D2A0000}"/>
    <cellStyle name="Normal 8 2 4 2 4" xfId="7506" xr:uid="{00000000-0005-0000-0000-00003E2A0000}"/>
    <cellStyle name="Normal 8 2 4 3" xfId="7507" xr:uid="{00000000-0005-0000-0000-00003F2A0000}"/>
    <cellStyle name="Normal 8 2 4 3 2" xfId="7508" xr:uid="{00000000-0005-0000-0000-0000402A0000}"/>
    <cellStyle name="Normal 8 2 4 4" xfId="7509" xr:uid="{00000000-0005-0000-0000-0000412A0000}"/>
    <cellStyle name="Normal 8 2 4 4 2" xfId="7510" xr:uid="{00000000-0005-0000-0000-0000422A0000}"/>
    <cellStyle name="Normal 8 2 4 5" xfId="7511" xr:uid="{00000000-0005-0000-0000-0000432A0000}"/>
    <cellStyle name="Normal 8 2 5" xfId="7512" xr:uid="{00000000-0005-0000-0000-0000442A0000}"/>
    <cellStyle name="Normal 8 2 5 2" xfId="7513" xr:uid="{00000000-0005-0000-0000-0000452A0000}"/>
    <cellStyle name="Normal 8 2 5 2 2" xfId="7514" xr:uid="{00000000-0005-0000-0000-0000462A0000}"/>
    <cellStyle name="Normal 8 2 5 3" xfId="7515" xr:uid="{00000000-0005-0000-0000-0000472A0000}"/>
    <cellStyle name="Normal 8 2 5 3 2" xfId="7516" xr:uid="{00000000-0005-0000-0000-0000482A0000}"/>
    <cellStyle name="Normal 8 2 5 4" xfId="7517" xr:uid="{00000000-0005-0000-0000-0000492A0000}"/>
    <cellStyle name="Normal 8 2 6" xfId="7518" xr:uid="{00000000-0005-0000-0000-00004A2A0000}"/>
    <cellStyle name="Normal 8 2 6 2" xfId="7519" xr:uid="{00000000-0005-0000-0000-00004B2A0000}"/>
    <cellStyle name="Normal 8 2 7" xfId="7520" xr:uid="{00000000-0005-0000-0000-00004C2A0000}"/>
    <cellStyle name="Normal 8 2 7 2" xfId="7521" xr:uid="{00000000-0005-0000-0000-00004D2A0000}"/>
    <cellStyle name="Normal 8 2 8" xfId="7522" xr:uid="{00000000-0005-0000-0000-00004E2A0000}"/>
    <cellStyle name="Normal 8 2 9" xfId="7523" xr:uid="{00000000-0005-0000-0000-00004F2A0000}"/>
    <cellStyle name="Normal 8 3" xfId="7524" xr:uid="{00000000-0005-0000-0000-0000502A0000}"/>
    <cellStyle name="Normal 8 3 2" xfId="7525" xr:uid="{00000000-0005-0000-0000-0000512A0000}"/>
    <cellStyle name="Normal 8 3 2 2" xfId="7526" xr:uid="{00000000-0005-0000-0000-0000522A0000}"/>
    <cellStyle name="Normal 8 3 2 2 2" xfId="7527" xr:uid="{00000000-0005-0000-0000-0000532A0000}"/>
    <cellStyle name="Normal 8 3 2 2 2 2" xfId="7528" xr:uid="{00000000-0005-0000-0000-0000542A0000}"/>
    <cellStyle name="Normal 8 3 2 2 2 2 2" xfId="7529" xr:uid="{00000000-0005-0000-0000-0000552A0000}"/>
    <cellStyle name="Normal 8 3 2 2 2 3" xfId="7530" xr:uid="{00000000-0005-0000-0000-0000562A0000}"/>
    <cellStyle name="Normal 8 3 2 2 2 3 2" xfId="7531" xr:uid="{00000000-0005-0000-0000-0000572A0000}"/>
    <cellStyle name="Normal 8 3 2 2 2 4" xfId="7532" xr:uid="{00000000-0005-0000-0000-0000582A0000}"/>
    <cellStyle name="Normal 8 3 2 2 3" xfId="7533" xr:uid="{00000000-0005-0000-0000-0000592A0000}"/>
    <cellStyle name="Normal 8 3 2 2 3 2" xfId="7534" xr:uid="{00000000-0005-0000-0000-00005A2A0000}"/>
    <cellStyle name="Normal 8 3 2 2 4" xfId="7535" xr:uid="{00000000-0005-0000-0000-00005B2A0000}"/>
    <cellStyle name="Normal 8 3 2 2 4 2" xfId="7536" xr:uid="{00000000-0005-0000-0000-00005C2A0000}"/>
    <cellStyle name="Normal 8 3 2 2 5" xfId="7537" xr:uid="{00000000-0005-0000-0000-00005D2A0000}"/>
    <cellStyle name="Normal 8 3 2 3" xfId="7538" xr:uid="{00000000-0005-0000-0000-00005E2A0000}"/>
    <cellStyle name="Normal 8 3 2 3 2" xfId="7539" xr:uid="{00000000-0005-0000-0000-00005F2A0000}"/>
    <cellStyle name="Normal 8 3 2 3 2 2" xfId="7540" xr:uid="{00000000-0005-0000-0000-0000602A0000}"/>
    <cellStyle name="Normal 8 3 2 3 3" xfId="7541" xr:uid="{00000000-0005-0000-0000-0000612A0000}"/>
    <cellStyle name="Normal 8 3 2 3 3 2" xfId="7542" xr:uid="{00000000-0005-0000-0000-0000622A0000}"/>
    <cellStyle name="Normal 8 3 2 3 4" xfId="7543" xr:uid="{00000000-0005-0000-0000-0000632A0000}"/>
    <cellStyle name="Normal 8 3 2 4" xfId="7544" xr:uid="{00000000-0005-0000-0000-0000642A0000}"/>
    <cellStyle name="Normal 8 3 2 4 2" xfId="7545" xr:uid="{00000000-0005-0000-0000-0000652A0000}"/>
    <cellStyle name="Normal 8 3 2 5" xfId="7546" xr:uid="{00000000-0005-0000-0000-0000662A0000}"/>
    <cellStyle name="Normal 8 3 2 5 2" xfId="7547" xr:uid="{00000000-0005-0000-0000-0000672A0000}"/>
    <cellStyle name="Normal 8 3 2 6" xfId="7548" xr:uid="{00000000-0005-0000-0000-0000682A0000}"/>
    <cellStyle name="Normal 8 3 3" xfId="7549" xr:uid="{00000000-0005-0000-0000-0000692A0000}"/>
    <cellStyle name="Normal 8 3 3 2" xfId="7550" xr:uid="{00000000-0005-0000-0000-00006A2A0000}"/>
    <cellStyle name="Normal 8 3 3 2 2" xfId="7551" xr:uid="{00000000-0005-0000-0000-00006B2A0000}"/>
    <cellStyle name="Normal 8 3 3 2 2 2" xfId="7552" xr:uid="{00000000-0005-0000-0000-00006C2A0000}"/>
    <cellStyle name="Normal 8 3 3 2 3" xfId="7553" xr:uid="{00000000-0005-0000-0000-00006D2A0000}"/>
    <cellStyle name="Normal 8 3 3 2 3 2" xfId="7554" xr:uid="{00000000-0005-0000-0000-00006E2A0000}"/>
    <cellStyle name="Normal 8 3 3 2 4" xfId="7555" xr:uid="{00000000-0005-0000-0000-00006F2A0000}"/>
    <cellStyle name="Normal 8 3 3 3" xfId="7556" xr:uid="{00000000-0005-0000-0000-0000702A0000}"/>
    <cellStyle name="Normal 8 3 3 3 2" xfId="7557" xr:uid="{00000000-0005-0000-0000-0000712A0000}"/>
    <cellStyle name="Normal 8 3 3 4" xfId="7558" xr:uid="{00000000-0005-0000-0000-0000722A0000}"/>
    <cellStyle name="Normal 8 3 3 4 2" xfId="7559" xr:uid="{00000000-0005-0000-0000-0000732A0000}"/>
    <cellStyle name="Normal 8 3 3 5" xfId="7560" xr:uid="{00000000-0005-0000-0000-0000742A0000}"/>
    <cellStyle name="Normal 8 3 4" xfId="7561" xr:uid="{00000000-0005-0000-0000-0000752A0000}"/>
    <cellStyle name="Normal 8 3 4 2" xfId="7562" xr:uid="{00000000-0005-0000-0000-0000762A0000}"/>
    <cellStyle name="Normal 8 3 4 2 2" xfId="7563" xr:uid="{00000000-0005-0000-0000-0000772A0000}"/>
    <cellStyle name="Normal 8 3 4 3" xfId="7564" xr:uid="{00000000-0005-0000-0000-0000782A0000}"/>
    <cellStyle name="Normal 8 3 4 3 2" xfId="7565" xr:uid="{00000000-0005-0000-0000-0000792A0000}"/>
    <cellStyle name="Normal 8 3 4 4" xfId="7566" xr:uid="{00000000-0005-0000-0000-00007A2A0000}"/>
    <cellStyle name="Normal 8 3 5" xfId="7567" xr:uid="{00000000-0005-0000-0000-00007B2A0000}"/>
    <cellStyle name="Normal 8 3 5 2" xfId="7568" xr:uid="{00000000-0005-0000-0000-00007C2A0000}"/>
    <cellStyle name="Normal 8 3 6" xfId="7569" xr:uid="{00000000-0005-0000-0000-00007D2A0000}"/>
    <cellStyle name="Normal 8 3 6 2" xfId="7570" xr:uid="{00000000-0005-0000-0000-00007E2A0000}"/>
    <cellStyle name="Normal 8 3 7" xfId="7571" xr:uid="{00000000-0005-0000-0000-00007F2A0000}"/>
    <cellStyle name="Normal 8 4" xfId="7572" xr:uid="{00000000-0005-0000-0000-0000802A0000}"/>
    <cellStyle name="Normal 8 4 2" xfId="7573" xr:uid="{00000000-0005-0000-0000-0000812A0000}"/>
    <cellStyle name="Normal 8 4 2 2" xfId="7574" xr:uid="{00000000-0005-0000-0000-0000822A0000}"/>
    <cellStyle name="Normal 8 4 2 2 2" xfId="7575" xr:uid="{00000000-0005-0000-0000-0000832A0000}"/>
    <cellStyle name="Normal 8 4 2 2 2 2" xfId="7576" xr:uid="{00000000-0005-0000-0000-0000842A0000}"/>
    <cellStyle name="Normal 8 4 2 2 2 2 2" xfId="7577" xr:uid="{00000000-0005-0000-0000-0000852A0000}"/>
    <cellStyle name="Normal 8 4 2 2 2 3" xfId="7578" xr:uid="{00000000-0005-0000-0000-0000862A0000}"/>
    <cellStyle name="Normal 8 4 2 2 2 3 2" xfId="7579" xr:uid="{00000000-0005-0000-0000-0000872A0000}"/>
    <cellStyle name="Normal 8 4 2 2 2 4" xfId="7580" xr:uid="{00000000-0005-0000-0000-0000882A0000}"/>
    <cellStyle name="Normal 8 4 2 2 3" xfId="7581" xr:uid="{00000000-0005-0000-0000-0000892A0000}"/>
    <cellStyle name="Normal 8 4 2 2 3 2" xfId="7582" xr:uid="{00000000-0005-0000-0000-00008A2A0000}"/>
    <cellStyle name="Normal 8 4 2 2 4" xfId="7583" xr:uid="{00000000-0005-0000-0000-00008B2A0000}"/>
    <cellStyle name="Normal 8 4 2 2 4 2" xfId="7584" xr:uid="{00000000-0005-0000-0000-00008C2A0000}"/>
    <cellStyle name="Normal 8 4 2 2 5" xfId="7585" xr:uid="{00000000-0005-0000-0000-00008D2A0000}"/>
    <cellStyle name="Normal 8 4 2 3" xfId="7586" xr:uid="{00000000-0005-0000-0000-00008E2A0000}"/>
    <cellStyle name="Normal 8 4 2 3 2" xfId="7587" xr:uid="{00000000-0005-0000-0000-00008F2A0000}"/>
    <cellStyle name="Normal 8 4 2 3 2 2" xfId="7588" xr:uid="{00000000-0005-0000-0000-0000902A0000}"/>
    <cellStyle name="Normal 8 4 2 3 3" xfId="7589" xr:uid="{00000000-0005-0000-0000-0000912A0000}"/>
    <cellStyle name="Normal 8 4 2 3 3 2" xfId="7590" xr:uid="{00000000-0005-0000-0000-0000922A0000}"/>
    <cellStyle name="Normal 8 4 2 3 4" xfId="7591" xr:uid="{00000000-0005-0000-0000-0000932A0000}"/>
    <cellStyle name="Normal 8 4 2 4" xfId="7592" xr:uid="{00000000-0005-0000-0000-0000942A0000}"/>
    <cellStyle name="Normal 8 4 2 4 2" xfId="7593" xr:uid="{00000000-0005-0000-0000-0000952A0000}"/>
    <cellStyle name="Normal 8 4 2 5" xfId="7594" xr:uid="{00000000-0005-0000-0000-0000962A0000}"/>
    <cellStyle name="Normal 8 4 2 5 2" xfId="7595" xr:uid="{00000000-0005-0000-0000-0000972A0000}"/>
    <cellStyle name="Normal 8 4 2 6" xfId="7596" xr:uid="{00000000-0005-0000-0000-0000982A0000}"/>
    <cellStyle name="Normal 8 4 3" xfId="7597" xr:uid="{00000000-0005-0000-0000-0000992A0000}"/>
    <cellStyle name="Normal 8 4 3 2" xfId="7598" xr:uid="{00000000-0005-0000-0000-00009A2A0000}"/>
    <cellStyle name="Normal 8 4 3 2 2" xfId="7599" xr:uid="{00000000-0005-0000-0000-00009B2A0000}"/>
    <cellStyle name="Normal 8 4 3 2 2 2" xfId="7600" xr:uid="{00000000-0005-0000-0000-00009C2A0000}"/>
    <cellStyle name="Normal 8 4 3 2 3" xfId="7601" xr:uid="{00000000-0005-0000-0000-00009D2A0000}"/>
    <cellStyle name="Normal 8 4 3 2 3 2" xfId="7602" xr:uid="{00000000-0005-0000-0000-00009E2A0000}"/>
    <cellStyle name="Normal 8 4 3 2 4" xfId="7603" xr:uid="{00000000-0005-0000-0000-00009F2A0000}"/>
    <cellStyle name="Normal 8 4 3 3" xfId="7604" xr:uid="{00000000-0005-0000-0000-0000A02A0000}"/>
    <cellStyle name="Normal 8 4 3 3 2" xfId="7605" xr:uid="{00000000-0005-0000-0000-0000A12A0000}"/>
    <cellStyle name="Normal 8 4 3 4" xfId="7606" xr:uid="{00000000-0005-0000-0000-0000A22A0000}"/>
    <cellStyle name="Normal 8 4 3 4 2" xfId="7607" xr:uid="{00000000-0005-0000-0000-0000A32A0000}"/>
    <cellStyle name="Normal 8 4 3 5" xfId="7608" xr:uid="{00000000-0005-0000-0000-0000A42A0000}"/>
    <cellStyle name="Normal 8 4 4" xfId="7609" xr:uid="{00000000-0005-0000-0000-0000A52A0000}"/>
    <cellStyle name="Normal 8 4 4 2" xfId="7610" xr:uid="{00000000-0005-0000-0000-0000A62A0000}"/>
    <cellStyle name="Normal 8 4 4 2 2" xfId="7611" xr:uid="{00000000-0005-0000-0000-0000A72A0000}"/>
    <cellStyle name="Normal 8 4 4 3" xfId="7612" xr:uid="{00000000-0005-0000-0000-0000A82A0000}"/>
    <cellStyle name="Normal 8 4 4 3 2" xfId="7613" xr:uid="{00000000-0005-0000-0000-0000A92A0000}"/>
    <cellStyle name="Normal 8 4 4 4" xfId="7614" xr:uid="{00000000-0005-0000-0000-0000AA2A0000}"/>
    <cellStyle name="Normal 8 4 5" xfId="7615" xr:uid="{00000000-0005-0000-0000-0000AB2A0000}"/>
    <cellStyle name="Normal 8 4 5 2" xfId="7616" xr:uid="{00000000-0005-0000-0000-0000AC2A0000}"/>
    <cellStyle name="Normal 8 4 6" xfId="7617" xr:uid="{00000000-0005-0000-0000-0000AD2A0000}"/>
    <cellStyle name="Normal 8 4 6 2" xfId="7618" xr:uid="{00000000-0005-0000-0000-0000AE2A0000}"/>
    <cellStyle name="Normal 8 4 7" xfId="7619" xr:uid="{00000000-0005-0000-0000-0000AF2A0000}"/>
    <cellStyle name="Normal 8 5" xfId="7620" xr:uid="{00000000-0005-0000-0000-0000B02A0000}"/>
    <cellStyle name="Normal 8 5 2" xfId="7621" xr:uid="{00000000-0005-0000-0000-0000B12A0000}"/>
    <cellStyle name="Normal 8 5 2 2" xfId="7622" xr:uid="{00000000-0005-0000-0000-0000B22A0000}"/>
    <cellStyle name="Normal 8 5 2 2 2" xfId="7623" xr:uid="{00000000-0005-0000-0000-0000B32A0000}"/>
    <cellStyle name="Normal 8 5 2 2 2 2" xfId="7624" xr:uid="{00000000-0005-0000-0000-0000B42A0000}"/>
    <cellStyle name="Normal 8 5 2 2 3" xfId="7625" xr:uid="{00000000-0005-0000-0000-0000B52A0000}"/>
    <cellStyle name="Normal 8 5 2 2 3 2" xfId="7626" xr:uid="{00000000-0005-0000-0000-0000B62A0000}"/>
    <cellStyle name="Normal 8 5 2 2 4" xfId="7627" xr:uid="{00000000-0005-0000-0000-0000B72A0000}"/>
    <cellStyle name="Normal 8 5 2 3" xfId="7628" xr:uid="{00000000-0005-0000-0000-0000B82A0000}"/>
    <cellStyle name="Normal 8 5 2 3 2" xfId="7629" xr:uid="{00000000-0005-0000-0000-0000B92A0000}"/>
    <cellStyle name="Normal 8 5 2 4" xfId="7630" xr:uid="{00000000-0005-0000-0000-0000BA2A0000}"/>
    <cellStyle name="Normal 8 5 2 4 2" xfId="7631" xr:uid="{00000000-0005-0000-0000-0000BB2A0000}"/>
    <cellStyle name="Normal 8 5 2 5" xfId="7632" xr:uid="{00000000-0005-0000-0000-0000BC2A0000}"/>
    <cellStyle name="Normal 8 5 3" xfId="7633" xr:uid="{00000000-0005-0000-0000-0000BD2A0000}"/>
    <cellStyle name="Normal 8 5 3 2" xfId="7634" xr:uid="{00000000-0005-0000-0000-0000BE2A0000}"/>
    <cellStyle name="Normal 8 5 3 2 2" xfId="7635" xr:uid="{00000000-0005-0000-0000-0000BF2A0000}"/>
    <cellStyle name="Normal 8 5 3 3" xfId="7636" xr:uid="{00000000-0005-0000-0000-0000C02A0000}"/>
    <cellStyle name="Normal 8 5 3 3 2" xfId="7637" xr:uid="{00000000-0005-0000-0000-0000C12A0000}"/>
    <cellStyle name="Normal 8 5 3 4" xfId="7638" xr:uid="{00000000-0005-0000-0000-0000C22A0000}"/>
    <cellStyle name="Normal 8 5 4" xfId="7639" xr:uid="{00000000-0005-0000-0000-0000C32A0000}"/>
    <cellStyle name="Normal 8 5 4 2" xfId="7640" xr:uid="{00000000-0005-0000-0000-0000C42A0000}"/>
    <cellStyle name="Normal 8 5 5" xfId="7641" xr:uid="{00000000-0005-0000-0000-0000C52A0000}"/>
    <cellStyle name="Normal 8 5 5 2" xfId="7642" xr:uid="{00000000-0005-0000-0000-0000C62A0000}"/>
    <cellStyle name="Normal 8 5 6" xfId="7643" xr:uid="{00000000-0005-0000-0000-0000C72A0000}"/>
    <cellStyle name="Normal 8 6" xfId="7644" xr:uid="{00000000-0005-0000-0000-0000C82A0000}"/>
    <cellStyle name="Normal 8 6 2" xfId="7645" xr:uid="{00000000-0005-0000-0000-0000C92A0000}"/>
    <cellStyle name="Normal 8 6 2 2" xfId="7646" xr:uid="{00000000-0005-0000-0000-0000CA2A0000}"/>
    <cellStyle name="Normal 8 6 2 2 2" xfId="7647" xr:uid="{00000000-0005-0000-0000-0000CB2A0000}"/>
    <cellStyle name="Normal 8 6 2 3" xfId="7648" xr:uid="{00000000-0005-0000-0000-0000CC2A0000}"/>
    <cellStyle name="Normal 8 6 2 3 2" xfId="7649" xr:uid="{00000000-0005-0000-0000-0000CD2A0000}"/>
    <cellStyle name="Normal 8 6 2 4" xfId="7650" xr:uid="{00000000-0005-0000-0000-0000CE2A0000}"/>
    <cellStyle name="Normal 8 6 3" xfId="7651" xr:uid="{00000000-0005-0000-0000-0000CF2A0000}"/>
    <cellStyle name="Normal 8 6 3 2" xfId="7652" xr:uid="{00000000-0005-0000-0000-0000D02A0000}"/>
    <cellStyle name="Normal 8 6 4" xfId="7653" xr:uid="{00000000-0005-0000-0000-0000D12A0000}"/>
    <cellStyle name="Normal 8 6 4 2" xfId="7654" xr:uid="{00000000-0005-0000-0000-0000D22A0000}"/>
    <cellStyle name="Normal 8 6 5" xfId="7655" xr:uid="{00000000-0005-0000-0000-0000D32A0000}"/>
    <cellStyle name="Normal 8 7" xfId="7656" xr:uid="{00000000-0005-0000-0000-0000D42A0000}"/>
    <cellStyle name="Normal 8 7 2" xfId="7657" xr:uid="{00000000-0005-0000-0000-0000D52A0000}"/>
    <cellStyle name="Normal 8 7 2 2" xfId="7658" xr:uid="{00000000-0005-0000-0000-0000D62A0000}"/>
    <cellStyle name="Normal 8 7 3" xfId="7659" xr:uid="{00000000-0005-0000-0000-0000D72A0000}"/>
    <cellStyle name="Normal 8 7 3 2" xfId="7660" xr:uid="{00000000-0005-0000-0000-0000D82A0000}"/>
    <cellStyle name="Normal 8 7 4" xfId="7661" xr:uid="{00000000-0005-0000-0000-0000D92A0000}"/>
    <cellStyle name="Normal 8 8" xfId="7662" xr:uid="{00000000-0005-0000-0000-0000DA2A0000}"/>
    <cellStyle name="Normal 8 8 2" xfId="7663" xr:uid="{00000000-0005-0000-0000-0000DB2A0000}"/>
    <cellStyle name="Normal 8 9" xfId="7664" xr:uid="{00000000-0005-0000-0000-0000DC2A0000}"/>
    <cellStyle name="Normal 8 9 2" xfId="7665" xr:uid="{00000000-0005-0000-0000-0000DD2A0000}"/>
    <cellStyle name="Normal 8_2180" xfId="7666" xr:uid="{00000000-0005-0000-0000-0000DE2A0000}"/>
    <cellStyle name="Normal 80" xfId="7667" xr:uid="{00000000-0005-0000-0000-0000DF2A0000}"/>
    <cellStyle name="Normal 81" xfId="7668" xr:uid="{00000000-0005-0000-0000-0000E02A0000}"/>
    <cellStyle name="Normal 81 2" xfId="7669" xr:uid="{00000000-0005-0000-0000-0000E12A0000}"/>
    <cellStyle name="Normal 81 2 2" xfId="7670" xr:uid="{00000000-0005-0000-0000-0000E22A0000}"/>
    <cellStyle name="Normal 81 2 2 2" xfId="7671" xr:uid="{00000000-0005-0000-0000-0000E32A0000}"/>
    <cellStyle name="Normal 81 2 3" xfId="7672" xr:uid="{00000000-0005-0000-0000-0000E42A0000}"/>
    <cellStyle name="Normal 81 2 3 2" xfId="7673" xr:uid="{00000000-0005-0000-0000-0000E52A0000}"/>
    <cellStyle name="Normal 81 2 4" xfId="7674" xr:uid="{00000000-0005-0000-0000-0000E62A0000}"/>
    <cellStyle name="Normal 81 3" xfId="7675" xr:uid="{00000000-0005-0000-0000-0000E72A0000}"/>
    <cellStyle name="Normal 81 3 2" xfId="7676" xr:uid="{00000000-0005-0000-0000-0000E82A0000}"/>
    <cellStyle name="Normal 81 4" xfId="7677" xr:uid="{00000000-0005-0000-0000-0000E92A0000}"/>
    <cellStyle name="Normal 81 4 2" xfId="7678" xr:uid="{00000000-0005-0000-0000-0000EA2A0000}"/>
    <cellStyle name="Normal 81 5" xfId="7679" xr:uid="{00000000-0005-0000-0000-0000EB2A0000}"/>
    <cellStyle name="Normal 82" xfId="7680" xr:uid="{00000000-0005-0000-0000-0000EC2A0000}"/>
    <cellStyle name="Normal 82 2" xfId="7681" xr:uid="{00000000-0005-0000-0000-0000ED2A0000}"/>
    <cellStyle name="Normal 82 2 2" xfId="7682" xr:uid="{00000000-0005-0000-0000-0000EE2A0000}"/>
    <cellStyle name="Normal 82 2 2 2" xfId="7683" xr:uid="{00000000-0005-0000-0000-0000EF2A0000}"/>
    <cellStyle name="Normal 82 2 3" xfId="7684" xr:uid="{00000000-0005-0000-0000-0000F02A0000}"/>
    <cellStyle name="Normal 82 2 3 2" xfId="7685" xr:uid="{00000000-0005-0000-0000-0000F12A0000}"/>
    <cellStyle name="Normal 82 2 4" xfId="7686" xr:uid="{00000000-0005-0000-0000-0000F22A0000}"/>
    <cellStyle name="Normal 82 3" xfId="7687" xr:uid="{00000000-0005-0000-0000-0000F32A0000}"/>
    <cellStyle name="Normal 82 3 2" xfId="7688" xr:uid="{00000000-0005-0000-0000-0000F42A0000}"/>
    <cellStyle name="Normal 82 4" xfId="7689" xr:uid="{00000000-0005-0000-0000-0000F52A0000}"/>
    <cellStyle name="Normal 82 4 2" xfId="7690" xr:uid="{00000000-0005-0000-0000-0000F62A0000}"/>
    <cellStyle name="Normal 82 5" xfId="7691" xr:uid="{00000000-0005-0000-0000-0000F72A0000}"/>
    <cellStyle name="Normal 83" xfId="7692" xr:uid="{00000000-0005-0000-0000-0000F82A0000}"/>
    <cellStyle name="Normal 84" xfId="7693" xr:uid="{00000000-0005-0000-0000-0000F92A0000}"/>
    <cellStyle name="Normal 84 2" xfId="7694" xr:uid="{00000000-0005-0000-0000-0000FA2A0000}"/>
    <cellStyle name="Normal 84 2 2" xfId="7695" xr:uid="{00000000-0005-0000-0000-0000FB2A0000}"/>
    <cellStyle name="Normal 84 2 2 2" xfId="7696" xr:uid="{00000000-0005-0000-0000-0000FC2A0000}"/>
    <cellStyle name="Normal 84 2 3" xfId="7697" xr:uid="{00000000-0005-0000-0000-0000FD2A0000}"/>
    <cellStyle name="Normal 84 2 3 2" xfId="7698" xr:uid="{00000000-0005-0000-0000-0000FE2A0000}"/>
    <cellStyle name="Normal 84 2 4" xfId="7699" xr:uid="{00000000-0005-0000-0000-0000FF2A0000}"/>
    <cellStyle name="Normal 84 3" xfId="7700" xr:uid="{00000000-0005-0000-0000-0000002B0000}"/>
    <cellStyle name="Normal 84 3 2" xfId="7701" xr:uid="{00000000-0005-0000-0000-0000012B0000}"/>
    <cellStyle name="Normal 84 4" xfId="7702" xr:uid="{00000000-0005-0000-0000-0000022B0000}"/>
    <cellStyle name="Normal 84 4 2" xfId="7703" xr:uid="{00000000-0005-0000-0000-0000032B0000}"/>
    <cellStyle name="Normal 84 5" xfId="7704" xr:uid="{00000000-0005-0000-0000-0000042B0000}"/>
    <cellStyle name="Normal 85" xfId="7705" xr:uid="{00000000-0005-0000-0000-0000052B0000}"/>
    <cellStyle name="Normal 85 2" xfId="7706" xr:uid="{00000000-0005-0000-0000-0000062B0000}"/>
    <cellStyle name="Normal 85 2 2" xfId="7707" xr:uid="{00000000-0005-0000-0000-0000072B0000}"/>
    <cellStyle name="Normal 85 3" xfId="7708" xr:uid="{00000000-0005-0000-0000-0000082B0000}"/>
    <cellStyle name="Normal 85 3 2" xfId="7709" xr:uid="{00000000-0005-0000-0000-0000092B0000}"/>
    <cellStyle name="Normal 85 4" xfId="7710" xr:uid="{00000000-0005-0000-0000-00000A2B0000}"/>
    <cellStyle name="Normal 86" xfId="7711" xr:uid="{00000000-0005-0000-0000-00000B2B0000}"/>
    <cellStyle name="Normal 86 2" xfId="7712" xr:uid="{00000000-0005-0000-0000-00000C2B0000}"/>
    <cellStyle name="Normal 86 3" xfId="7713" xr:uid="{00000000-0005-0000-0000-00000D2B0000}"/>
    <cellStyle name="Normal 87" xfId="7714" xr:uid="{00000000-0005-0000-0000-00000E2B0000}"/>
    <cellStyle name="Normal 87 2" xfId="7715" xr:uid="{00000000-0005-0000-0000-00000F2B0000}"/>
    <cellStyle name="Normal 88" xfId="7716" xr:uid="{00000000-0005-0000-0000-0000102B0000}"/>
    <cellStyle name="Normal 88 2" xfId="7717" xr:uid="{00000000-0005-0000-0000-0000112B0000}"/>
    <cellStyle name="Normal 89" xfId="7718" xr:uid="{00000000-0005-0000-0000-0000122B0000}"/>
    <cellStyle name="Normal 9" xfId="7719" xr:uid="{00000000-0005-0000-0000-0000132B0000}"/>
    <cellStyle name="Normal 9 10" xfId="7720" xr:uid="{00000000-0005-0000-0000-0000142B0000}"/>
    <cellStyle name="Normal 9 11" xfId="7721" xr:uid="{00000000-0005-0000-0000-0000152B0000}"/>
    <cellStyle name="Normal 9 12" xfId="7722" xr:uid="{00000000-0005-0000-0000-0000162B0000}"/>
    <cellStyle name="Normal 9 13" xfId="7723" xr:uid="{00000000-0005-0000-0000-0000172B0000}"/>
    <cellStyle name="Normal 9 2" xfId="7724" xr:uid="{00000000-0005-0000-0000-0000182B0000}"/>
    <cellStyle name="Normal 9 2 10" xfId="7725" xr:uid="{00000000-0005-0000-0000-0000192B0000}"/>
    <cellStyle name="Normal 9 2 11" xfId="7726" xr:uid="{00000000-0005-0000-0000-00001A2B0000}"/>
    <cellStyle name="Normal 9 2 12" xfId="7727" xr:uid="{00000000-0005-0000-0000-00001B2B0000}"/>
    <cellStyle name="Normal 9 2 2" xfId="7728" xr:uid="{00000000-0005-0000-0000-00001C2B0000}"/>
    <cellStyle name="Normal 9 2 2 2" xfId="7729" xr:uid="{00000000-0005-0000-0000-00001D2B0000}"/>
    <cellStyle name="Normal 9 2 2 2 2" xfId="7730" xr:uid="{00000000-0005-0000-0000-00001E2B0000}"/>
    <cellStyle name="Normal 9 2 2 2 2 2" xfId="7731" xr:uid="{00000000-0005-0000-0000-00001F2B0000}"/>
    <cellStyle name="Normal 9 2 2 2 2 2 2" xfId="7732" xr:uid="{00000000-0005-0000-0000-0000202B0000}"/>
    <cellStyle name="Normal 9 2 2 2 2 2 2 2" xfId="7733" xr:uid="{00000000-0005-0000-0000-0000212B0000}"/>
    <cellStyle name="Normal 9 2 2 2 2 2 3" xfId="7734" xr:uid="{00000000-0005-0000-0000-0000222B0000}"/>
    <cellStyle name="Normal 9 2 2 2 2 2 3 2" xfId="7735" xr:uid="{00000000-0005-0000-0000-0000232B0000}"/>
    <cellStyle name="Normal 9 2 2 2 2 2 4" xfId="7736" xr:uid="{00000000-0005-0000-0000-0000242B0000}"/>
    <cellStyle name="Normal 9 2 2 2 2 3" xfId="7737" xr:uid="{00000000-0005-0000-0000-0000252B0000}"/>
    <cellStyle name="Normal 9 2 2 2 2 3 2" xfId="7738" xr:uid="{00000000-0005-0000-0000-0000262B0000}"/>
    <cellStyle name="Normal 9 2 2 2 2 4" xfId="7739" xr:uid="{00000000-0005-0000-0000-0000272B0000}"/>
    <cellStyle name="Normal 9 2 2 2 2 4 2" xfId="7740" xr:uid="{00000000-0005-0000-0000-0000282B0000}"/>
    <cellStyle name="Normal 9 2 2 2 2 5" xfId="7741" xr:uid="{00000000-0005-0000-0000-0000292B0000}"/>
    <cellStyle name="Normal 9 2 2 2 3" xfId="7742" xr:uid="{00000000-0005-0000-0000-00002A2B0000}"/>
    <cellStyle name="Normal 9 2 2 2 3 2" xfId="7743" xr:uid="{00000000-0005-0000-0000-00002B2B0000}"/>
    <cellStyle name="Normal 9 2 2 2 3 2 2" xfId="7744" xr:uid="{00000000-0005-0000-0000-00002C2B0000}"/>
    <cellStyle name="Normal 9 2 2 2 3 3" xfId="7745" xr:uid="{00000000-0005-0000-0000-00002D2B0000}"/>
    <cellStyle name="Normal 9 2 2 2 3 3 2" xfId="7746" xr:uid="{00000000-0005-0000-0000-00002E2B0000}"/>
    <cellStyle name="Normal 9 2 2 2 3 4" xfId="7747" xr:uid="{00000000-0005-0000-0000-00002F2B0000}"/>
    <cellStyle name="Normal 9 2 2 2 4" xfId="7748" xr:uid="{00000000-0005-0000-0000-0000302B0000}"/>
    <cellStyle name="Normal 9 2 2 2 4 2" xfId="7749" xr:uid="{00000000-0005-0000-0000-0000312B0000}"/>
    <cellStyle name="Normal 9 2 2 2 5" xfId="7750" xr:uid="{00000000-0005-0000-0000-0000322B0000}"/>
    <cellStyle name="Normal 9 2 2 2 5 2" xfId="7751" xr:uid="{00000000-0005-0000-0000-0000332B0000}"/>
    <cellStyle name="Normal 9 2 2 2 6" xfId="7752" xr:uid="{00000000-0005-0000-0000-0000342B0000}"/>
    <cellStyle name="Normal 9 2 2 3" xfId="7753" xr:uid="{00000000-0005-0000-0000-0000352B0000}"/>
    <cellStyle name="Normal 9 2 2 3 2" xfId="7754" xr:uid="{00000000-0005-0000-0000-0000362B0000}"/>
    <cellStyle name="Normal 9 2 2 3 2 2" xfId="7755" xr:uid="{00000000-0005-0000-0000-0000372B0000}"/>
    <cellStyle name="Normal 9 2 2 3 2 2 2" xfId="7756" xr:uid="{00000000-0005-0000-0000-0000382B0000}"/>
    <cellStyle name="Normal 9 2 2 3 2 3" xfId="7757" xr:uid="{00000000-0005-0000-0000-0000392B0000}"/>
    <cellStyle name="Normal 9 2 2 3 2 3 2" xfId="7758" xr:uid="{00000000-0005-0000-0000-00003A2B0000}"/>
    <cellStyle name="Normal 9 2 2 3 2 4" xfId="7759" xr:uid="{00000000-0005-0000-0000-00003B2B0000}"/>
    <cellStyle name="Normal 9 2 2 3 3" xfId="7760" xr:uid="{00000000-0005-0000-0000-00003C2B0000}"/>
    <cellStyle name="Normal 9 2 2 3 3 2" xfId="7761" xr:uid="{00000000-0005-0000-0000-00003D2B0000}"/>
    <cellStyle name="Normal 9 2 2 3 4" xfId="7762" xr:uid="{00000000-0005-0000-0000-00003E2B0000}"/>
    <cellStyle name="Normal 9 2 2 3 4 2" xfId="7763" xr:uid="{00000000-0005-0000-0000-00003F2B0000}"/>
    <cellStyle name="Normal 9 2 2 3 5" xfId="7764" xr:uid="{00000000-0005-0000-0000-0000402B0000}"/>
    <cellStyle name="Normal 9 2 2 4" xfId="7765" xr:uid="{00000000-0005-0000-0000-0000412B0000}"/>
    <cellStyle name="Normal 9 2 2 4 2" xfId="7766" xr:uid="{00000000-0005-0000-0000-0000422B0000}"/>
    <cellStyle name="Normal 9 2 2 4 2 2" xfId="7767" xr:uid="{00000000-0005-0000-0000-0000432B0000}"/>
    <cellStyle name="Normal 9 2 2 4 3" xfId="7768" xr:uid="{00000000-0005-0000-0000-0000442B0000}"/>
    <cellStyle name="Normal 9 2 2 4 3 2" xfId="7769" xr:uid="{00000000-0005-0000-0000-0000452B0000}"/>
    <cellStyle name="Normal 9 2 2 4 4" xfId="7770" xr:uid="{00000000-0005-0000-0000-0000462B0000}"/>
    <cellStyle name="Normal 9 2 2 5" xfId="7771" xr:uid="{00000000-0005-0000-0000-0000472B0000}"/>
    <cellStyle name="Normal 9 2 2 5 2" xfId="7772" xr:uid="{00000000-0005-0000-0000-0000482B0000}"/>
    <cellStyle name="Normal 9 2 2 6" xfId="7773" xr:uid="{00000000-0005-0000-0000-0000492B0000}"/>
    <cellStyle name="Normal 9 2 2 6 2" xfId="7774" xr:uid="{00000000-0005-0000-0000-00004A2B0000}"/>
    <cellStyle name="Normal 9 2 2 7" xfId="7775" xr:uid="{00000000-0005-0000-0000-00004B2B0000}"/>
    <cellStyle name="Normal 9 2 3" xfId="7776" xr:uid="{00000000-0005-0000-0000-00004C2B0000}"/>
    <cellStyle name="Normal 9 2 3 2" xfId="7777" xr:uid="{00000000-0005-0000-0000-00004D2B0000}"/>
    <cellStyle name="Normal 9 2 3 2 2" xfId="7778" xr:uid="{00000000-0005-0000-0000-00004E2B0000}"/>
    <cellStyle name="Normal 9 2 3 2 2 2" xfId="7779" xr:uid="{00000000-0005-0000-0000-00004F2B0000}"/>
    <cellStyle name="Normal 9 2 3 2 2 2 2" xfId="7780" xr:uid="{00000000-0005-0000-0000-0000502B0000}"/>
    <cellStyle name="Normal 9 2 3 2 2 3" xfId="7781" xr:uid="{00000000-0005-0000-0000-0000512B0000}"/>
    <cellStyle name="Normal 9 2 3 2 2 3 2" xfId="7782" xr:uid="{00000000-0005-0000-0000-0000522B0000}"/>
    <cellStyle name="Normal 9 2 3 2 2 4" xfId="7783" xr:uid="{00000000-0005-0000-0000-0000532B0000}"/>
    <cellStyle name="Normal 9 2 3 2 3" xfId="7784" xr:uid="{00000000-0005-0000-0000-0000542B0000}"/>
    <cellStyle name="Normal 9 2 3 2 3 2" xfId="7785" xr:uid="{00000000-0005-0000-0000-0000552B0000}"/>
    <cellStyle name="Normal 9 2 3 2 4" xfId="7786" xr:uid="{00000000-0005-0000-0000-0000562B0000}"/>
    <cellStyle name="Normal 9 2 3 2 4 2" xfId="7787" xr:uid="{00000000-0005-0000-0000-0000572B0000}"/>
    <cellStyle name="Normal 9 2 3 2 5" xfId="7788" xr:uid="{00000000-0005-0000-0000-0000582B0000}"/>
    <cellStyle name="Normal 9 2 3 3" xfId="7789" xr:uid="{00000000-0005-0000-0000-0000592B0000}"/>
    <cellStyle name="Normal 9 2 3 3 2" xfId="7790" xr:uid="{00000000-0005-0000-0000-00005A2B0000}"/>
    <cellStyle name="Normal 9 2 3 3 2 2" xfId="7791" xr:uid="{00000000-0005-0000-0000-00005B2B0000}"/>
    <cellStyle name="Normal 9 2 3 3 3" xfId="7792" xr:uid="{00000000-0005-0000-0000-00005C2B0000}"/>
    <cellStyle name="Normal 9 2 3 3 3 2" xfId="7793" xr:uid="{00000000-0005-0000-0000-00005D2B0000}"/>
    <cellStyle name="Normal 9 2 3 3 4" xfId="7794" xr:uid="{00000000-0005-0000-0000-00005E2B0000}"/>
    <cellStyle name="Normal 9 2 3 4" xfId="7795" xr:uid="{00000000-0005-0000-0000-00005F2B0000}"/>
    <cellStyle name="Normal 9 2 3 4 2" xfId="7796" xr:uid="{00000000-0005-0000-0000-0000602B0000}"/>
    <cellStyle name="Normal 9 2 3 4 3" xfId="7797" xr:uid="{00000000-0005-0000-0000-0000612B0000}"/>
    <cellStyle name="Normal 9 2 3 5" xfId="7798" xr:uid="{00000000-0005-0000-0000-0000622B0000}"/>
    <cellStyle name="Normal 9 2 3 5 2" xfId="7799" xr:uid="{00000000-0005-0000-0000-0000632B0000}"/>
    <cellStyle name="Normal 9 2 3 6" xfId="7800" xr:uid="{00000000-0005-0000-0000-0000642B0000}"/>
    <cellStyle name="Normal 9 2 4" xfId="7801" xr:uid="{00000000-0005-0000-0000-0000652B0000}"/>
    <cellStyle name="Normal 9 2 4 2" xfId="7802" xr:uid="{00000000-0005-0000-0000-0000662B0000}"/>
    <cellStyle name="Normal 9 2 4 2 2" xfId="7803" xr:uid="{00000000-0005-0000-0000-0000672B0000}"/>
    <cellStyle name="Normal 9 2 4 2 2 2" xfId="7804" xr:uid="{00000000-0005-0000-0000-0000682B0000}"/>
    <cellStyle name="Normal 9 2 4 2 3" xfId="7805" xr:uid="{00000000-0005-0000-0000-0000692B0000}"/>
    <cellStyle name="Normal 9 2 4 2 3 2" xfId="7806" xr:uid="{00000000-0005-0000-0000-00006A2B0000}"/>
    <cellStyle name="Normal 9 2 4 2 4" xfId="7807" xr:uid="{00000000-0005-0000-0000-00006B2B0000}"/>
    <cellStyle name="Normal 9 2 4 2 5" xfId="7808" xr:uid="{00000000-0005-0000-0000-00006C2B0000}"/>
    <cellStyle name="Normal 9 2 4 3" xfId="7809" xr:uid="{00000000-0005-0000-0000-00006D2B0000}"/>
    <cellStyle name="Normal 9 2 4 3 2" xfId="7810" xr:uid="{00000000-0005-0000-0000-00006E2B0000}"/>
    <cellStyle name="Normal 9 2 4 3 3" xfId="7811" xr:uid="{00000000-0005-0000-0000-00006F2B0000}"/>
    <cellStyle name="Normal 9 2 4 4" xfId="7812" xr:uid="{00000000-0005-0000-0000-0000702B0000}"/>
    <cellStyle name="Normal 9 2 4 4 2" xfId="7813" xr:uid="{00000000-0005-0000-0000-0000712B0000}"/>
    <cellStyle name="Normal 9 2 4 4 3" xfId="7814" xr:uid="{00000000-0005-0000-0000-0000722B0000}"/>
    <cellStyle name="Normal 9 2 4 5" xfId="7815" xr:uid="{00000000-0005-0000-0000-0000732B0000}"/>
    <cellStyle name="Normal 9 2 4 6" xfId="7816" xr:uid="{00000000-0005-0000-0000-0000742B0000}"/>
    <cellStyle name="Normal 9 2 5" xfId="7817" xr:uid="{00000000-0005-0000-0000-0000752B0000}"/>
    <cellStyle name="Normal 9 2 5 2" xfId="7818" xr:uid="{00000000-0005-0000-0000-0000762B0000}"/>
    <cellStyle name="Normal 9 2 5 2 2" xfId="7819" xr:uid="{00000000-0005-0000-0000-0000772B0000}"/>
    <cellStyle name="Normal 9 2 5 2 2 2" xfId="7820" xr:uid="{00000000-0005-0000-0000-0000782B0000}"/>
    <cellStyle name="Normal 9 2 5 2 2 3" xfId="7821" xr:uid="{00000000-0005-0000-0000-0000792B0000}"/>
    <cellStyle name="Normal 9 2 5 2 2 4" xfId="7822" xr:uid="{00000000-0005-0000-0000-00007A2B0000}"/>
    <cellStyle name="Normal 9 2 5 2 2 5" xfId="7823" xr:uid="{00000000-0005-0000-0000-00007B2B0000}"/>
    <cellStyle name="Normal 9 2 5 2 3" xfId="7824" xr:uid="{00000000-0005-0000-0000-00007C2B0000}"/>
    <cellStyle name="Normal 9 2 5 2 3 2" xfId="7825" xr:uid="{00000000-0005-0000-0000-00007D2B0000}"/>
    <cellStyle name="Normal 9 2 5 2 3 3" xfId="7826" xr:uid="{00000000-0005-0000-0000-00007E2B0000}"/>
    <cellStyle name="Normal 9 2 5 2 4" xfId="7827" xr:uid="{00000000-0005-0000-0000-00007F2B0000}"/>
    <cellStyle name="Normal 9 2 5 2 4 2" xfId="7828" xr:uid="{00000000-0005-0000-0000-0000802B0000}"/>
    <cellStyle name="Normal 9 2 5 2 4 3" xfId="7829" xr:uid="{00000000-0005-0000-0000-0000812B0000}"/>
    <cellStyle name="Normal 9 2 5 2 5" xfId="7830" xr:uid="{00000000-0005-0000-0000-0000822B0000}"/>
    <cellStyle name="Normal 9 2 5 2 6" xfId="7831" xr:uid="{00000000-0005-0000-0000-0000832B0000}"/>
    <cellStyle name="Normal 9 2 5 3" xfId="7832" xr:uid="{00000000-0005-0000-0000-0000842B0000}"/>
    <cellStyle name="Normal 9 2 5 3 2" xfId="7833" xr:uid="{00000000-0005-0000-0000-0000852B0000}"/>
    <cellStyle name="Normal 9 2 5 3 2 2" xfId="7834" xr:uid="{00000000-0005-0000-0000-0000862B0000}"/>
    <cellStyle name="Normal 9 2 5 3 2 2 2" xfId="7835" xr:uid="{00000000-0005-0000-0000-0000872B0000}"/>
    <cellStyle name="Normal 9 2 5 3 2 2 3" xfId="7836" xr:uid="{00000000-0005-0000-0000-0000882B0000}"/>
    <cellStyle name="Normal 9 2 5 3 2 3" xfId="7837" xr:uid="{00000000-0005-0000-0000-0000892B0000}"/>
    <cellStyle name="Normal 9 2 5 3 2 3 2" xfId="7838" xr:uid="{00000000-0005-0000-0000-00008A2B0000}"/>
    <cellStyle name="Normal 9 2 5 3 2 3 3" xfId="7839" xr:uid="{00000000-0005-0000-0000-00008B2B0000}"/>
    <cellStyle name="Normal 9 2 5 3 2 4" xfId="7840" xr:uid="{00000000-0005-0000-0000-00008C2B0000}"/>
    <cellStyle name="Normal 9 2 5 3 2 5" xfId="7841" xr:uid="{00000000-0005-0000-0000-00008D2B0000}"/>
    <cellStyle name="Normal 9 2 5 3 3" xfId="7842" xr:uid="{00000000-0005-0000-0000-00008E2B0000}"/>
    <cellStyle name="Normal 9 2 5 3 3 2" xfId="7843" xr:uid="{00000000-0005-0000-0000-00008F2B0000}"/>
    <cellStyle name="Normal 9 2 5 3 3 3" xfId="7844" xr:uid="{00000000-0005-0000-0000-0000902B0000}"/>
    <cellStyle name="Normal 9 2 5 3 3 4" xfId="7845" xr:uid="{00000000-0005-0000-0000-0000912B0000}"/>
    <cellStyle name="Normal 9 2 5 3 3 5" xfId="7846" xr:uid="{00000000-0005-0000-0000-0000922B0000}"/>
    <cellStyle name="Normal 9 2 5 3 4" xfId="7847" xr:uid="{00000000-0005-0000-0000-0000932B0000}"/>
    <cellStyle name="Normal 9 2 5 3 4 2" xfId="7848" xr:uid="{00000000-0005-0000-0000-0000942B0000}"/>
    <cellStyle name="Normal 9 2 5 3 4 3" xfId="7849" xr:uid="{00000000-0005-0000-0000-0000952B0000}"/>
    <cellStyle name="Normal 9 2 5 3 5" xfId="7850" xr:uid="{00000000-0005-0000-0000-0000962B0000}"/>
    <cellStyle name="Normal 9 2 5 3 5 2" xfId="7851" xr:uid="{00000000-0005-0000-0000-0000972B0000}"/>
    <cellStyle name="Normal 9 2 5 3 5 3" xfId="7852" xr:uid="{00000000-0005-0000-0000-0000982B0000}"/>
    <cellStyle name="Normal 9 2 5 3 6" xfId="7853" xr:uid="{00000000-0005-0000-0000-0000992B0000}"/>
    <cellStyle name="Normal 9 2 5 3 7" xfId="7854" xr:uid="{00000000-0005-0000-0000-00009A2B0000}"/>
    <cellStyle name="Normal 9 2 5 4" xfId="7855" xr:uid="{00000000-0005-0000-0000-00009B2B0000}"/>
    <cellStyle name="Normal 9 2 5 4 2" xfId="7856" xr:uid="{00000000-0005-0000-0000-00009C2B0000}"/>
    <cellStyle name="Normal 9 2 5 4 2 2" xfId="7857" xr:uid="{00000000-0005-0000-0000-00009D2B0000}"/>
    <cellStyle name="Normal 9 2 5 4 2 3" xfId="7858" xr:uid="{00000000-0005-0000-0000-00009E2B0000}"/>
    <cellStyle name="Normal 9 2 5 4 3" xfId="7859" xr:uid="{00000000-0005-0000-0000-00009F2B0000}"/>
    <cellStyle name="Normal 9 2 5 4 3 2" xfId="7860" xr:uid="{00000000-0005-0000-0000-0000A02B0000}"/>
    <cellStyle name="Normal 9 2 5 4 3 3" xfId="7861" xr:uid="{00000000-0005-0000-0000-0000A12B0000}"/>
    <cellStyle name="Normal 9 2 5 4 4" xfId="7862" xr:uid="{00000000-0005-0000-0000-0000A22B0000}"/>
    <cellStyle name="Normal 9 2 5 4 5" xfId="7863" xr:uid="{00000000-0005-0000-0000-0000A32B0000}"/>
    <cellStyle name="Normal 9 2 5 5" xfId="7864" xr:uid="{00000000-0005-0000-0000-0000A42B0000}"/>
    <cellStyle name="Normal 9 2 5 5 2" xfId="7865" xr:uid="{00000000-0005-0000-0000-0000A52B0000}"/>
    <cellStyle name="Normal 9 2 5 5 3" xfId="7866" xr:uid="{00000000-0005-0000-0000-0000A62B0000}"/>
    <cellStyle name="Normal 9 2 5 5 4" xfId="7867" xr:uid="{00000000-0005-0000-0000-0000A72B0000}"/>
    <cellStyle name="Normal 9 2 5 5 5" xfId="7868" xr:uid="{00000000-0005-0000-0000-0000A82B0000}"/>
    <cellStyle name="Normal 9 2 5 6" xfId="7869" xr:uid="{00000000-0005-0000-0000-0000A92B0000}"/>
    <cellStyle name="Normal 9 2 5 6 2" xfId="7870" xr:uid="{00000000-0005-0000-0000-0000AA2B0000}"/>
    <cellStyle name="Normal 9 2 5 6 3" xfId="7871" xr:uid="{00000000-0005-0000-0000-0000AB2B0000}"/>
    <cellStyle name="Normal 9 2 5 7" xfId="7872" xr:uid="{00000000-0005-0000-0000-0000AC2B0000}"/>
    <cellStyle name="Normal 9 2 5 7 2" xfId="7873" xr:uid="{00000000-0005-0000-0000-0000AD2B0000}"/>
    <cellStyle name="Normal 9 2 5 7 3" xfId="7874" xr:uid="{00000000-0005-0000-0000-0000AE2B0000}"/>
    <cellStyle name="Normal 9 2 5 8" xfId="7875" xr:uid="{00000000-0005-0000-0000-0000AF2B0000}"/>
    <cellStyle name="Normal 9 2 5 9" xfId="7876" xr:uid="{00000000-0005-0000-0000-0000B02B0000}"/>
    <cellStyle name="Normal 9 2 5_10070" xfId="7877" xr:uid="{00000000-0005-0000-0000-0000B12B0000}"/>
    <cellStyle name="Normal 9 2 6" xfId="7878" xr:uid="{00000000-0005-0000-0000-0000B22B0000}"/>
    <cellStyle name="Normal 9 2 6 2" xfId="7879" xr:uid="{00000000-0005-0000-0000-0000B32B0000}"/>
    <cellStyle name="Normal 9 2 6 3" xfId="7880" xr:uid="{00000000-0005-0000-0000-0000B42B0000}"/>
    <cellStyle name="Normal 9 2 6 4" xfId="7881" xr:uid="{00000000-0005-0000-0000-0000B52B0000}"/>
    <cellStyle name="Normal 9 2 6 5" xfId="7882" xr:uid="{00000000-0005-0000-0000-0000B62B0000}"/>
    <cellStyle name="Normal 9 2 7" xfId="7883" xr:uid="{00000000-0005-0000-0000-0000B72B0000}"/>
    <cellStyle name="Normal 9 2 7 2" xfId="7884" xr:uid="{00000000-0005-0000-0000-0000B82B0000}"/>
    <cellStyle name="Normal 9 2 7 3" xfId="7885" xr:uid="{00000000-0005-0000-0000-0000B92B0000}"/>
    <cellStyle name="Normal 9 2 8" xfId="7886" xr:uid="{00000000-0005-0000-0000-0000BA2B0000}"/>
    <cellStyle name="Normal 9 2 8 2" xfId="7887" xr:uid="{00000000-0005-0000-0000-0000BB2B0000}"/>
    <cellStyle name="Normal 9 2 8 3" xfId="7888" xr:uid="{00000000-0005-0000-0000-0000BC2B0000}"/>
    <cellStyle name="Normal 9 2 9" xfId="7889" xr:uid="{00000000-0005-0000-0000-0000BD2B0000}"/>
    <cellStyle name="Normal 9 3" xfId="7890" xr:uid="{00000000-0005-0000-0000-0000BE2B0000}"/>
    <cellStyle name="Normal 9 3 2" xfId="7891" xr:uid="{00000000-0005-0000-0000-0000BF2B0000}"/>
    <cellStyle name="Normal 9 3 2 2" xfId="7892" xr:uid="{00000000-0005-0000-0000-0000C02B0000}"/>
    <cellStyle name="Normal 9 3 2 2 2" xfId="7893" xr:uid="{00000000-0005-0000-0000-0000C12B0000}"/>
    <cellStyle name="Normal 9 3 2 2 2 2" xfId="7894" xr:uid="{00000000-0005-0000-0000-0000C22B0000}"/>
    <cellStyle name="Normal 9 3 2 2 2 2 2" xfId="7895" xr:uid="{00000000-0005-0000-0000-0000C32B0000}"/>
    <cellStyle name="Normal 9 3 2 2 2 3" xfId="7896" xr:uid="{00000000-0005-0000-0000-0000C42B0000}"/>
    <cellStyle name="Normal 9 3 2 2 2 3 2" xfId="7897" xr:uid="{00000000-0005-0000-0000-0000C52B0000}"/>
    <cellStyle name="Normal 9 3 2 2 2 4" xfId="7898" xr:uid="{00000000-0005-0000-0000-0000C62B0000}"/>
    <cellStyle name="Normal 9 3 2 2 3" xfId="7899" xr:uid="{00000000-0005-0000-0000-0000C72B0000}"/>
    <cellStyle name="Normal 9 3 2 2 3 2" xfId="7900" xr:uid="{00000000-0005-0000-0000-0000C82B0000}"/>
    <cellStyle name="Normal 9 3 2 2 4" xfId="7901" xr:uid="{00000000-0005-0000-0000-0000C92B0000}"/>
    <cellStyle name="Normal 9 3 2 2 4 2" xfId="7902" xr:uid="{00000000-0005-0000-0000-0000CA2B0000}"/>
    <cellStyle name="Normal 9 3 2 2 5" xfId="7903" xr:uid="{00000000-0005-0000-0000-0000CB2B0000}"/>
    <cellStyle name="Normal 9 3 2 3" xfId="7904" xr:uid="{00000000-0005-0000-0000-0000CC2B0000}"/>
    <cellStyle name="Normal 9 3 2 3 2" xfId="7905" xr:uid="{00000000-0005-0000-0000-0000CD2B0000}"/>
    <cellStyle name="Normal 9 3 2 3 2 2" xfId="7906" xr:uid="{00000000-0005-0000-0000-0000CE2B0000}"/>
    <cellStyle name="Normal 9 3 2 3 3" xfId="7907" xr:uid="{00000000-0005-0000-0000-0000CF2B0000}"/>
    <cellStyle name="Normal 9 3 2 3 3 2" xfId="7908" xr:uid="{00000000-0005-0000-0000-0000D02B0000}"/>
    <cellStyle name="Normal 9 3 2 3 4" xfId="7909" xr:uid="{00000000-0005-0000-0000-0000D12B0000}"/>
    <cellStyle name="Normal 9 3 2 4" xfId="7910" xr:uid="{00000000-0005-0000-0000-0000D22B0000}"/>
    <cellStyle name="Normal 9 3 2 4 2" xfId="7911" xr:uid="{00000000-0005-0000-0000-0000D32B0000}"/>
    <cellStyle name="Normal 9 3 2 5" xfId="7912" xr:uid="{00000000-0005-0000-0000-0000D42B0000}"/>
    <cellStyle name="Normal 9 3 2 5 2" xfId="7913" xr:uid="{00000000-0005-0000-0000-0000D52B0000}"/>
    <cellStyle name="Normal 9 3 2 6" xfId="7914" xr:uid="{00000000-0005-0000-0000-0000D62B0000}"/>
    <cellStyle name="Normal 9 3 3" xfId="7915" xr:uid="{00000000-0005-0000-0000-0000D72B0000}"/>
    <cellStyle name="Normal 9 3 3 2" xfId="7916" xr:uid="{00000000-0005-0000-0000-0000D82B0000}"/>
    <cellStyle name="Normal 9 3 3 2 2" xfId="7917" xr:uid="{00000000-0005-0000-0000-0000D92B0000}"/>
    <cellStyle name="Normal 9 3 3 2 2 2" xfId="7918" xr:uid="{00000000-0005-0000-0000-0000DA2B0000}"/>
    <cellStyle name="Normal 9 3 3 2 3" xfId="7919" xr:uid="{00000000-0005-0000-0000-0000DB2B0000}"/>
    <cellStyle name="Normal 9 3 3 2 3 2" xfId="7920" xr:uid="{00000000-0005-0000-0000-0000DC2B0000}"/>
    <cellStyle name="Normal 9 3 3 2 4" xfId="7921" xr:uid="{00000000-0005-0000-0000-0000DD2B0000}"/>
    <cellStyle name="Normal 9 3 3 3" xfId="7922" xr:uid="{00000000-0005-0000-0000-0000DE2B0000}"/>
    <cellStyle name="Normal 9 3 3 3 2" xfId="7923" xr:uid="{00000000-0005-0000-0000-0000DF2B0000}"/>
    <cellStyle name="Normal 9 3 3 4" xfId="7924" xr:uid="{00000000-0005-0000-0000-0000E02B0000}"/>
    <cellStyle name="Normal 9 3 3 4 2" xfId="7925" xr:uid="{00000000-0005-0000-0000-0000E12B0000}"/>
    <cellStyle name="Normal 9 3 3 5" xfId="7926" xr:uid="{00000000-0005-0000-0000-0000E22B0000}"/>
    <cellStyle name="Normal 9 3 4" xfId="7927" xr:uid="{00000000-0005-0000-0000-0000E32B0000}"/>
    <cellStyle name="Normal 9 3 4 2" xfId="7928" xr:uid="{00000000-0005-0000-0000-0000E42B0000}"/>
    <cellStyle name="Normal 9 3 4 2 2" xfId="7929" xr:uid="{00000000-0005-0000-0000-0000E52B0000}"/>
    <cellStyle name="Normal 9 3 4 3" xfId="7930" xr:uid="{00000000-0005-0000-0000-0000E62B0000}"/>
    <cellStyle name="Normal 9 3 4 3 2" xfId="7931" xr:uid="{00000000-0005-0000-0000-0000E72B0000}"/>
    <cellStyle name="Normal 9 3 4 4" xfId="7932" xr:uid="{00000000-0005-0000-0000-0000E82B0000}"/>
    <cellStyle name="Normal 9 3 5" xfId="7933" xr:uid="{00000000-0005-0000-0000-0000E92B0000}"/>
    <cellStyle name="Normal 9 3 5 2" xfId="7934" xr:uid="{00000000-0005-0000-0000-0000EA2B0000}"/>
    <cellStyle name="Normal 9 3 6" xfId="7935" xr:uid="{00000000-0005-0000-0000-0000EB2B0000}"/>
    <cellStyle name="Normal 9 3 6 2" xfId="7936" xr:uid="{00000000-0005-0000-0000-0000EC2B0000}"/>
    <cellStyle name="Normal 9 3 7" xfId="7937" xr:uid="{00000000-0005-0000-0000-0000ED2B0000}"/>
    <cellStyle name="Normal 9 4" xfId="7938" xr:uid="{00000000-0005-0000-0000-0000EE2B0000}"/>
    <cellStyle name="Normal 9 4 2" xfId="7939" xr:uid="{00000000-0005-0000-0000-0000EF2B0000}"/>
    <cellStyle name="Normal 9 4 2 2" xfId="7940" xr:uid="{00000000-0005-0000-0000-0000F02B0000}"/>
    <cellStyle name="Normal 9 4 2 2 2" xfId="7941" xr:uid="{00000000-0005-0000-0000-0000F12B0000}"/>
    <cellStyle name="Normal 9 4 2 2 2 2" xfId="7942" xr:uid="{00000000-0005-0000-0000-0000F22B0000}"/>
    <cellStyle name="Normal 9 4 2 2 2 2 2" xfId="7943" xr:uid="{00000000-0005-0000-0000-0000F32B0000}"/>
    <cellStyle name="Normal 9 4 2 2 2 3" xfId="7944" xr:uid="{00000000-0005-0000-0000-0000F42B0000}"/>
    <cellStyle name="Normal 9 4 2 2 2 3 2" xfId="7945" xr:uid="{00000000-0005-0000-0000-0000F52B0000}"/>
    <cellStyle name="Normal 9 4 2 2 2 4" xfId="7946" xr:uid="{00000000-0005-0000-0000-0000F62B0000}"/>
    <cellStyle name="Normal 9 4 2 2 3" xfId="7947" xr:uid="{00000000-0005-0000-0000-0000F72B0000}"/>
    <cellStyle name="Normal 9 4 2 2 3 2" xfId="7948" xr:uid="{00000000-0005-0000-0000-0000F82B0000}"/>
    <cellStyle name="Normal 9 4 2 2 4" xfId="7949" xr:uid="{00000000-0005-0000-0000-0000F92B0000}"/>
    <cellStyle name="Normal 9 4 2 2 4 2" xfId="7950" xr:uid="{00000000-0005-0000-0000-0000FA2B0000}"/>
    <cellStyle name="Normal 9 4 2 2 5" xfId="7951" xr:uid="{00000000-0005-0000-0000-0000FB2B0000}"/>
    <cellStyle name="Normal 9 4 2 3" xfId="7952" xr:uid="{00000000-0005-0000-0000-0000FC2B0000}"/>
    <cellStyle name="Normal 9 4 2 3 2" xfId="7953" xr:uid="{00000000-0005-0000-0000-0000FD2B0000}"/>
    <cellStyle name="Normal 9 4 2 3 2 2" xfId="7954" xr:uid="{00000000-0005-0000-0000-0000FE2B0000}"/>
    <cellStyle name="Normal 9 4 2 3 3" xfId="7955" xr:uid="{00000000-0005-0000-0000-0000FF2B0000}"/>
    <cellStyle name="Normal 9 4 2 3 3 2" xfId="7956" xr:uid="{00000000-0005-0000-0000-0000002C0000}"/>
    <cellStyle name="Normal 9 4 2 3 4" xfId="7957" xr:uid="{00000000-0005-0000-0000-0000012C0000}"/>
    <cellStyle name="Normal 9 4 2 4" xfId="7958" xr:uid="{00000000-0005-0000-0000-0000022C0000}"/>
    <cellStyle name="Normal 9 4 2 4 2" xfId="7959" xr:uid="{00000000-0005-0000-0000-0000032C0000}"/>
    <cellStyle name="Normal 9 4 2 5" xfId="7960" xr:uid="{00000000-0005-0000-0000-0000042C0000}"/>
    <cellStyle name="Normal 9 4 2 5 2" xfId="7961" xr:uid="{00000000-0005-0000-0000-0000052C0000}"/>
    <cellStyle name="Normal 9 4 2 6" xfId="7962" xr:uid="{00000000-0005-0000-0000-0000062C0000}"/>
    <cellStyle name="Normal 9 4 3" xfId="7963" xr:uid="{00000000-0005-0000-0000-0000072C0000}"/>
    <cellStyle name="Normal 9 4 3 2" xfId="7964" xr:uid="{00000000-0005-0000-0000-0000082C0000}"/>
    <cellStyle name="Normal 9 4 3 2 2" xfId="7965" xr:uid="{00000000-0005-0000-0000-0000092C0000}"/>
    <cellStyle name="Normal 9 4 3 2 2 2" xfId="7966" xr:uid="{00000000-0005-0000-0000-00000A2C0000}"/>
    <cellStyle name="Normal 9 4 3 2 3" xfId="7967" xr:uid="{00000000-0005-0000-0000-00000B2C0000}"/>
    <cellStyle name="Normal 9 4 3 2 3 2" xfId="7968" xr:uid="{00000000-0005-0000-0000-00000C2C0000}"/>
    <cellStyle name="Normal 9 4 3 2 4" xfId="7969" xr:uid="{00000000-0005-0000-0000-00000D2C0000}"/>
    <cellStyle name="Normal 9 4 3 3" xfId="7970" xr:uid="{00000000-0005-0000-0000-00000E2C0000}"/>
    <cellStyle name="Normal 9 4 3 3 2" xfId="7971" xr:uid="{00000000-0005-0000-0000-00000F2C0000}"/>
    <cellStyle name="Normal 9 4 3 4" xfId="7972" xr:uid="{00000000-0005-0000-0000-0000102C0000}"/>
    <cellStyle name="Normal 9 4 3 4 2" xfId="7973" xr:uid="{00000000-0005-0000-0000-0000112C0000}"/>
    <cellStyle name="Normal 9 4 3 5" xfId="7974" xr:uid="{00000000-0005-0000-0000-0000122C0000}"/>
    <cellStyle name="Normal 9 4 4" xfId="7975" xr:uid="{00000000-0005-0000-0000-0000132C0000}"/>
    <cellStyle name="Normal 9 4 4 2" xfId="7976" xr:uid="{00000000-0005-0000-0000-0000142C0000}"/>
    <cellStyle name="Normal 9 4 4 2 2" xfId="7977" xr:uid="{00000000-0005-0000-0000-0000152C0000}"/>
    <cellStyle name="Normal 9 4 4 3" xfId="7978" xr:uid="{00000000-0005-0000-0000-0000162C0000}"/>
    <cellStyle name="Normal 9 4 4 3 2" xfId="7979" xr:uid="{00000000-0005-0000-0000-0000172C0000}"/>
    <cellStyle name="Normal 9 4 4 4" xfId="7980" xr:uid="{00000000-0005-0000-0000-0000182C0000}"/>
    <cellStyle name="Normal 9 4 5" xfId="7981" xr:uid="{00000000-0005-0000-0000-0000192C0000}"/>
    <cellStyle name="Normal 9 4 5 2" xfId="7982" xr:uid="{00000000-0005-0000-0000-00001A2C0000}"/>
    <cellStyle name="Normal 9 4 6" xfId="7983" xr:uid="{00000000-0005-0000-0000-00001B2C0000}"/>
    <cellStyle name="Normal 9 4 6 2" xfId="7984" xr:uid="{00000000-0005-0000-0000-00001C2C0000}"/>
    <cellStyle name="Normal 9 4 7" xfId="7985" xr:uid="{00000000-0005-0000-0000-00001D2C0000}"/>
    <cellStyle name="Normal 9 5" xfId="7986" xr:uid="{00000000-0005-0000-0000-00001E2C0000}"/>
    <cellStyle name="Normal 9 5 2" xfId="7987" xr:uid="{00000000-0005-0000-0000-00001F2C0000}"/>
    <cellStyle name="Normal 9 5 2 2" xfId="7988" xr:uid="{00000000-0005-0000-0000-0000202C0000}"/>
    <cellStyle name="Normal 9 5 2 2 2" xfId="7989" xr:uid="{00000000-0005-0000-0000-0000212C0000}"/>
    <cellStyle name="Normal 9 5 2 2 2 2" xfId="7990" xr:uid="{00000000-0005-0000-0000-0000222C0000}"/>
    <cellStyle name="Normal 9 5 2 2 3" xfId="7991" xr:uid="{00000000-0005-0000-0000-0000232C0000}"/>
    <cellStyle name="Normal 9 5 2 2 3 2" xfId="7992" xr:uid="{00000000-0005-0000-0000-0000242C0000}"/>
    <cellStyle name="Normal 9 5 2 2 4" xfId="7993" xr:uid="{00000000-0005-0000-0000-0000252C0000}"/>
    <cellStyle name="Normal 9 5 2 2 5" xfId="7994" xr:uid="{00000000-0005-0000-0000-0000262C0000}"/>
    <cellStyle name="Normal 9 5 2 3" xfId="7995" xr:uid="{00000000-0005-0000-0000-0000272C0000}"/>
    <cellStyle name="Normal 9 5 2 3 2" xfId="7996" xr:uid="{00000000-0005-0000-0000-0000282C0000}"/>
    <cellStyle name="Normal 9 5 2 3 3" xfId="7997" xr:uid="{00000000-0005-0000-0000-0000292C0000}"/>
    <cellStyle name="Normal 9 5 2 4" xfId="7998" xr:uid="{00000000-0005-0000-0000-00002A2C0000}"/>
    <cellStyle name="Normal 9 5 2 4 2" xfId="7999" xr:uid="{00000000-0005-0000-0000-00002B2C0000}"/>
    <cellStyle name="Normal 9 5 2 4 3" xfId="8000" xr:uid="{00000000-0005-0000-0000-00002C2C0000}"/>
    <cellStyle name="Normal 9 5 2 5" xfId="8001" xr:uid="{00000000-0005-0000-0000-00002D2C0000}"/>
    <cellStyle name="Normal 9 5 2 6" xfId="8002" xr:uid="{00000000-0005-0000-0000-00002E2C0000}"/>
    <cellStyle name="Normal 9 5 3" xfId="8003" xr:uid="{00000000-0005-0000-0000-00002F2C0000}"/>
    <cellStyle name="Normal 9 5 3 2" xfId="8004" xr:uid="{00000000-0005-0000-0000-0000302C0000}"/>
    <cellStyle name="Normal 9 5 3 2 2" xfId="8005" xr:uid="{00000000-0005-0000-0000-0000312C0000}"/>
    <cellStyle name="Normal 9 5 3 2 2 2" xfId="8006" xr:uid="{00000000-0005-0000-0000-0000322C0000}"/>
    <cellStyle name="Normal 9 5 3 2 2 3" xfId="8007" xr:uid="{00000000-0005-0000-0000-0000332C0000}"/>
    <cellStyle name="Normal 9 5 3 2 3" xfId="8008" xr:uid="{00000000-0005-0000-0000-0000342C0000}"/>
    <cellStyle name="Normal 9 5 3 2 3 2" xfId="8009" xr:uid="{00000000-0005-0000-0000-0000352C0000}"/>
    <cellStyle name="Normal 9 5 3 2 3 3" xfId="8010" xr:uid="{00000000-0005-0000-0000-0000362C0000}"/>
    <cellStyle name="Normal 9 5 3 2 4" xfId="8011" xr:uid="{00000000-0005-0000-0000-0000372C0000}"/>
    <cellStyle name="Normal 9 5 3 2 5" xfId="8012" xr:uid="{00000000-0005-0000-0000-0000382C0000}"/>
    <cellStyle name="Normal 9 5 3 3" xfId="8013" xr:uid="{00000000-0005-0000-0000-0000392C0000}"/>
    <cellStyle name="Normal 9 5 3 3 2" xfId="8014" xr:uid="{00000000-0005-0000-0000-00003A2C0000}"/>
    <cellStyle name="Normal 9 5 3 3 3" xfId="8015" xr:uid="{00000000-0005-0000-0000-00003B2C0000}"/>
    <cellStyle name="Normal 9 5 3 3 4" xfId="8016" xr:uid="{00000000-0005-0000-0000-00003C2C0000}"/>
    <cellStyle name="Normal 9 5 3 3 5" xfId="8017" xr:uid="{00000000-0005-0000-0000-00003D2C0000}"/>
    <cellStyle name="Normal 9 5 3 4" xfId="8018" xr:uid="{00000000-0005-0000-0000-00003E2C0000}"/>
    <cellStyle name="Normal 9 5 3 4 2" xfId="8019" xr:uid="{00000000-0005-0000-0000-00003F2C0000}"/>
    <cellStyle name="Normal 9 5 3 4 3" xfId="8020" xr:uid="{00000000-0005-0000-0000-0000402C0000}"/>
    <cellStyle name="Normal 9 5 3 5" xfId="8021" xr:uid="{00000000-0005-0000-0000-0000412C0000}"/>
    <cellStyle name="Normal 9 5 3 5 2" xfId="8022" xr:uid="{00000000-0005-0000-0000-0000422C0000}"/>
    <cellStyle name="Normal 9 5 3 5 3" xfId="8023" xr:uid="{00000000-0005-0000-0000-0000432C0000}"/>
    <cellStyle name="Normal 9 5 3 6" xfId="8024" xr:uid="{00000000-0005-0000-0000-0000442C0000}"/>
    <cellStyle name="Normal 9 5 3 7" xfId="8025" xr:uid="{00000000-0005-0000-0000-0000452C0000}"/>
    <cellStyle name="Normal 9 5 4" xfId="8026" xr:uid="{00000000-0005-0000-0000-0000462C0000}"/>
    <cellStyle name="Normal 9 5 4 2" xfId="8027" xr:uid="{00000000-0005-0000-0000-0000472C0000}"/>
    <cellStyle name="Normal 9 5 4 2 2" xfId="8028" xr:uid="{00000000-0005-0000-0000-0000482C0000}"/>
    <cellStyle name="Normal 9 5 4 2 3" xfId="8029" xr:uid="{00000000-0005-0000-0000-0000492C0000}"/>
    <cellStyle name="Normal 9 5 4 3" xfId="8030" xr:uid="{00000000-0005-0000-0000-00004A2C0000}"/>
    <cellStyle name="Normal 9 5 4 3 2" xfId="8031" xr:uid="{00000000-0005-0000-0000-00004B2C0000}"/>
    <cellStyle name="Normal 9 5 4 3 3" xfId="8032" xr:uid="{00000000-0005-0000-0000-00004C2C0000}"/>
    <cellStyle name="Normal 9 5 4 4" xfId="8033" xr:uid="{00000000-0005-0000-0000-00004D2C0000}"/>
    <cellStyle name="Normal 9 5 4 5" xfId="8034" xr:uid="{00000000-0005-0000-0000-00004E2C0000}"/>
    <cellStyle name="Normal 9 5 5" xfId="8035" xr:uid="{00000000-0005-0000-0000-00004F2C0000}"/>
    <cellStyle name="Normal 9 5 5 2" xfId="8036" xr:uid="{00000000-0005-0000-0000-0000502C0000}"/>
    <cellStyle name="Normal 9 5 5 3" xfId="8037" xr:uid="{00000000-0005-0000-0000-0000512C0000}"/>
    <cellStyle name="Normal 9 5 5 4" xfId="8038" xr:uid="{00000000-0005-0000-0000-0000522C0000}"/>
    <cellStyle name="Normal 9 5 5 5" xfId="8039" xr:uid="{00000000-0005-0000-0000-0000532C0000}"/>
    <cellStyle name="Normal 9 5 6" xfId="8040" xr:uid="{00000000-0005-0000-0000-0000542C0000}"/>
    <cellStyle name="Normal 9 5 6 2" xfId="8041" xr:uid="{00000000-0005-0000-0000-0000552C0000}"/>
    <cellStyle name="Normal 9 5 6 3" xfId="8042" xr:uid="{00000000-0005-0000-0000-0000562C0000}"/>
    <cellStyle name="Normal 9 5 7" xfId="8043" xr:uid="{00000000-0005-0000-0000-0000572C0000}"/>
    <cellStyle name="Normal 9 5 7 2" xfId="8044" xr:uid="{00000000-0005-0000-0000-0000582C0000}"/>
    <cellStyle name="Normal 9 5 7 3" xfId="8045" xr:uid="{00000000-0005-0000-0000-0000592C0000}"/>
    <cellStyle name="Normal 9 5 8" xfId="8046" xr:uid="{00000000-0005-0000-0000-00005A2C0000}"/>
    <cellStyle name="Normal 9 5 9" xfId="8047" xr:uid="{00000000-0005-0000-0000-00005B2C0000}"/>
    <cellStyle name="Normal 9 5_10070" xfId="8048" xr:uid="{00000000-0005-0000-0000-00005C2C0000}"/>
    <cellStyle name="Normal 9 6" xfId="8049" xr:uid="{00000000-0005-0000-0000-00005D2C0000}"/>
    <cellStyle name="Normal 9 6 2" xfId="8050" xr:uid="{00000000-0005-0000-0000-00005E2C0000}"/>
    <cellStyle name="Normal 9 6 2 2" xfId="8051" xr:uid="{00000000-0005-0000-0000-00005F2C0000}"/>
    <cellStyle name="Normal 9 6 2 2 2" xfId="8052" xr:uid="{00000000-0005-0000-0000-0000602C0000}"/>
    <cellStyle name="Normal 9 6 2 3" xfId="8053" xr:uid="{00000000-0005-0000-0000-0000612C0000}"/>
    <cellStyle name="Normal 9 6 2 3 2" xfId="8054" xr:uid="{00000000-0005-0000-0000-0000622C0000}"/>
    <cellStyle name="Normal 9 6 2 4" xfId="8055" xr:uid="{00000000-0005-0000-0000-0000632C0000}"/>
    <cellStyle name="Normal 9 6 3" xfId="8056" xr:uid="{00000000-0005-0000-0000-0000642C0000}"/>
    <cellStyle name="Normal 9 6 3 2" xfId="8057" xr:uid="{00000000-0005-0000-0000-0000652C0000}"/>
    <cellStyle name="Normal 9 6 3 3" xfId="8058" xr:uid="{00000000-0005-0000-0000-0000662C0000}"/>
    <cellStyle name="Normal 9 6 4" xfId="8059" xr:uid="{00000000-0005-0000-0000-0000672C0000}"/>
    <cellStyle name="Normal 9 6 4 2" xfId="8060" xr:uid="{00000000-0005-0000-0000-0000682C0000}"/>
    <cellStyle name="Normal 9 6 5" xfId="8061" xr:uid="{00000000-0005-0000-0000-0000692C0000}"/>
    <cellStyle name="Normal 9 7" xfId="8062" xr:uid="{00000000-0005-0000-0000-00006A2C0000}"/>
    <cellStyle name="Normal 9 7 2" xfId="8063" xr:uid="{00000000-0005-0000-0000-00006B2C0000}"/>
    <cellStyle name="Normal 9 7 2 2" xfId="8064" xr:uid="{00000000-0005-0000-0000-00006C2C0000}"/>
    <cellStyle name="Normal 9 7 3" xfId="8065" xr:uid="{00000000-0005-0000-0000-00006D2C0000}"/>
    <cellStyle name="Normal 9 7 3 2" xfId="8066" xr:uid="{00000000-0005-0000-0000-00006E2C0000}"/>
    <cellStyle name="Normal 9 7 4" xfId="8067" xr:uid="{00000000-0005-0000-0000-00006F2C0000}"/>
    <cellStyle name="Normal 9 7 5" xfId="8068" xr:uid="{00000000-0005-0000-0000-0000702C0000}"/>
    <cellStyle name="Normal 9 8" xfId="8069" xr:uid="{00000000-0005-0000-0000-0000712C0000}"/>
    <cellStyle name="Normal 9 8 2" xfId="8070" xr:uid="{00000000-0005-0000-0000-0000722C0000}"/>
    <cellStyle name="Normal 9 8 3" xfId="8071" xr:uid="{00000000-0005-0000-0000-0000732C0000}"/>
    <cellStyle name="Normal 9 9" xfId="8072" xr:uid="{00000000-0005-0000-0000-0000742C0000}"/>
    <cellStyle name="Normal 9 9 2" xfId="8073" xr:uid="{00000000-0005-0000-0000-0000752C0000}"/>
    <cellStyle name="Normal 9 9 3" xfId="8074" xr:uid="{00000000-0005-0000-0000-0000762C0000}"/>
    <cellStyle name="Normal 9_2180" xfId="8075" xr:uid="{00000000-0005-0000-0000-0000772C0000}"/>
    <cellStyle name="Normal 90" xfId="8076" xr:uid="{00000000-0005-0000-0000-0000782C0000}"/>
    <cellStyle name="Normal 90 2" xfId="8077" xr:uid="{00000000-0005-0000-0000-0000792C0000}"/>
    <cellStyle name="Normal 91" xfId="8078" xr:uid="{00000000-0005-0000-0000-00007A2C0000}"/>
    <cellStyle name="Normal 92" xfId="8079" xr:uid="{00000000-0005-0000-0000-00007B2C0000}"/>
    <cellStyle name="Normal 92 2" xfId="8080" xr:uid="{00000000-0005-0000-0000-00007C2C0000}"/>
    <cellStyle name="Normal 92 2 2" xfId="8081" xr:uid="{00000000-0005-0000-0000-00007D2C0000}"/>
    <cellStyle name="Normal 93" xfId="8082" xr:uid="{00000000-0005-0000-0000-00007E2C0000}"/>
    <cellStyle name="Normal 93 2" xfId="8083" xr:uid="{00000000-0005-0000-0000-00007F2C0000}"/>
    <cellStyle name="Normal 93 3" xfId="8084" xr:uid="{00000000-0005-0000-0000-0000802C0000}"/>
    <cellStyle name="Normal 94" xfId="8085" xr:uid="{00000000-0005-0000-0000-0000812C0000}"/>
    <cellStyle name="Normal 94 2" xfId="8086" xr:uid="{00000000-0005-0000-0000-0000822C0000}"/>
    <cellStyle name="Normal 94 3" xfId="8087" xr:uid="{00000000-0005-0000-0000-0000832C0000}"/>
    <cellStyle name="Normal 95" xfId="8088" xr:uid="{00000000-0005-0000-0000-0000842C0000}"/>
    <cellStyle name="Normal 95 2" xfId="8089" xr:uid="{00000000-0005-0000-0000-0000852C0000}"/>
    <cellStyle name="Normal 95 3" xfId="8090" xr:uid="{00000000-0005-0000-0000-0000862C0000}"/>
    <cellStyle name="Normal 96" xfId="8091" xr:uid="{00000000-0005-0000-0000-0000872C0000}"/>
    <cellStyle name="Normal 96 2" xfId="8092" xr:uid="{00000000-0005-0000-0000-0000882C0000}"/>
    <cellStyle name="Normal 96 3" xfId="8093" xr:uid="{00000000-0005-0000-0000-0000892C0000}"/>
    <cellStyle name="Normal 97" xfId="8094" xr:uid="{00000000-0005-0000-0000-00008A2C0000}"/>
    <cellStyle name="Normal 97 2" xfId="8095" xr:uid="{00000000-0005-0000-0000-00008B2C0000}"/>
    <cellStyle name="Normal 97 3" xfId="8096" xr:uid="{00000000-0005-0000-0000-00008C2C0000}"/>
    <cellStyle name="Normal 98" xfId="8097" xr:uid="{00000000-0005-0000-0000-00008D2C0000}"/>
    <cellStyle name="Normal 98 2" xfId="8098" xr:uid="{00000000-0005-0000-0000-00008E2C0000}"/>
    <cellStyle name="Normal 98 2 2" xfId="8099" xr:uid="{00000000-0005-0000-0000-00008F2C0000}"/>
    <cellStyle name="Normal 99" xfId="8100" xr:uid="{00000000-0005-0000-0000-0000902C0000}"/>
    <cellStyle name="Normal 99 2" xfId="8101" xr:uid="{00000000-0005-0000-0000-0000912C0000}"/>
    <cellStyle name="Normal 99 3" xfId="8102" xr:uid="{00000000-0005-0000-0000-0000922C0000}"/>
    <cellStyle name="Normal 99 4" xfId="8103" xr:uid="{00000000-0005-0000-0000-0000932C0000}"/>
    <cellStyle name="Normal_Clark County Depr 12-31-10 R" xfId="12187" xr:uid="{30AD10F3-695E-4399-A1B4-C4E628C4B4C3}"/>
    <cellStyle name="Normal_Depr 2144 3-31-12" xfId="12188" xr:uid="{4E5BFBF6-2FC3-4F56-B886-002A6798D02D}"/>
    <cellStyle name="Normal_Depreciation 6-30-10" xfId="12178" xr:uid="{00000000-0005-0000-0000-0000942C0000}"/>
    <cellStyle name="Normal_Report" xfId="12197" xr:uid="{436F7C6E-2D38-4342-BFE4-C6721E4158A2}"/>
    <cellStyle name="Note 2" xfId="8104" xr:uid="{00000000-0005-0000-0000-0000962C0000}"/>
    <cellStyle name="Note 2 2" xfId="8105" xr:uid="{00000000-0005-0000-0000-0000972C0000}"/>
    <cellStyle name="Note 2 2 2" xfId="8106" xr:uid="{00000000-0005-0000-0000-0000982C0000}"/>
    <cellStyle name="Note 2 2 2 2" xfId="8107" xr:uid="{00000000-0005-0000-0000-0000992C0000}"/>
    <cellStyle name="Note 2 2 2 3" xfId="8108" xr:uid="{00000000-0005-0000-0000-00009A2C0000}"/>
    <cellStyle name="Note 2 2 2 4" xfId="8109" xr:uid="{00000000-0005-0000-0000-00009B2C0000}"/>
    <cellStyle name="Note 2 2 2 5" xfId="8110" xr:uid="{00000000-0005-0000-0000-00009C2C0000}"/>
    <cellStyle name="Note 2 2 3" xfId="8111" xr:uid="{00000000-0005-0000-0000-00009D2C0000}"/>
    <cellStyle name="Note 2 2 3 2" xfId="8112" xr:uid="{00000000-0005-0000-0000-00009E2C0000}"/>
    <cellStyle name="Note 2 2 3 3" xfId="8113" xr:uid="{00000000-0005-0000-0000-00009F2C0000}"/>
    <cellStyle name="Note 2 2 3 4" xfId="8114" xr:uid="{00000000-0005-0000-0000-0000A02C0000}"/>
    <cellStyle name="Note 2 2 3 5" xfId="8115" xr:uid="{00000000-0005-0000-0000-0000A12C0000}"/>
    <cellStyle name="Note 2 3" xfId="8116" xr:uid="{00000000-0005-0000-0000-0000A22C0000}"/>
    <cellStyle name="Note 2 3 2" xfId="8117" xr:uid="{00000000-0005-0000-0000-0000A32C0000}"/>
    <cellStyle name="Note 2 3 2 2" xfId="8118" xr:uid="{00000000-0005-0000-0000-0000A42C0000}"/>
    <cellStyle name="Note 2 3 2 3" xfId="8119" xr:uid="{00000000-0005-0000-0000-0000A52C0000}"/>
    <cellStyle name="Note 2 3 2 4" xfId="8120" xr:uid="{00000000-0005-0000-0000-0000A62C0000}"/>
    <cellStyle name="Note 2 3 2 5" xfId="8121" xr:uid="{00000000-0005-0000-0000-0000A72C0000}"/>
    <cellStyle name="Note 2 3 3" xfId="8122" xr:uid="{00000000-0005-0000-0000-0000A82C0000}"/>
    <cellStyle name="Note 2 4" xfId="8123" xr:uid="{00000000-0005-0000-0000-0000A92C0000}"/>
    <cellStyle name="Note 2 4 2" xfId="8124" xr:uid="{00000000-0005-0000-0000-0000AA2C0000}"/>
    <cellStyle name="Note 2 4 2 2" xfId="8125" xr:uid="{00000000-0005-0000-0000-0000AB2C0000}"/>
    <cellStyle name="Note 2 4 2 3" xfId="8126" xr:uid="{00000000-0005-0000-0000-0000AC2C0000}"/>
    <cellStyle name="Note 2 4 2 4" xfId="8127" xr:uid="{00000000-0005-0000-0000-0000AD2C0000}"/>
    <cellStyle name="Note 2 4 2 5" xfId="8128" xr:uid="{00000000-0005-0000-0000-0000AE2C0000}"/>
    <cellStyle name="Note 2 4 3" xfId="8129" xr:uid="{00000000-0005-0000-0000-0000AF2C0000}"/>
    <cellStyle name="Note 2 5" xfId="8130" xr:uid="{00000000-0005-0000-0000-0000B02C0000}"/>
    <cellStyle name="Note 2 5 2" xfId="8131" xr:uid="{00000000-0005-0000-0000-0000B12C0000}"/>
    <cellStyle name="Note 2 5 3" xfId="8132" xr:uid="{00000000-0005-0000-0000-0000B22C0000}"/>
    <cellStyle name="Note 2 5 4" xfId="8133" xr:uid="{00000000-0005-0000-0000-0000B32C0000}"/>
    <cellStyle name="Note 2 5 5" xfId="8134" xr:uid="{00000000-0005-0000-0000-0000B42C0000}"/>
    <cellStyle name="Note 2 6" xfId="8135" xr:uid="{00000000-0005-0000-0000-0000B52C0000}"/>
    <cellStyle name="Note 3" xfId="8136" xr:uid="{00000000-0005-0000-0000-0000B62C0000}"/>
    <cellStyle name="Note 3 2" xfId="8137" xr:uid="{00000000-0005-0000-0000-0000B72C0000}"/>
    <cellStyle name="Note 3 2 2" xfId="8138" xr:uid="{00000000-0005-0000-0000-0000B82C0000}"/>
    <cellStyle name="Note 3 2 2 2" xfId="8139" xr:uid="{00000000-0005-0000-0000-0000B92C0000}"/>
    <cellStyle name="Note 3 2 2 3" xfId="8140" xr:uid="{00000000-0005-0000-0000-0000BA2C0000}"/>
    <cellStyle name="Note 3 2 2 4" xfId="8141" xr:uid="{00000000-0005-0000-0000-0000BB2C0000}"/>
    <cellStyle name="Note 3 2 2 5" xfId="8142" xr:uid="{00000000-0005-0000-0000-0000BC2C0000}"/>
    <cellStyle name="Note 3 2 3" xfId="8143" xr:uid="{00000000-0005-0000-0000-0000BD2C0000}"/>
    <cellStyle name="Note 3 2 3 2" xfId="8144" xr:uid="{00000000-0005-0000-0000-0000BE2C0000}"/>
    <cellStyle name="Note 3 2 3 3" xfId="8145" xr:uid="{00000000-0005-0000-0000-0000BF2C0000}"/>
    <cellStyle name="Note 3 2 3 4" xfId="8146" xr:uid="{00000000-0005-0000-0000-0000C02C0000}"/>
    <cellStyle name="Note 3 2 3 5" xfId="8147" xr:uid="{00000000-0005-0000-0000-0000C12C0000}"/>
    <cellStyle name="Note 3 3" xfId="8148" xr:uid="{00000000-0005-0000-0000-0000C22C0000}"/>
    <cellStyle name="Note 3 3 2" xfId="8149" xr:uid="{00000000-0005-0000-0000-0000C32C0000}"/>
    <cellStyle name="Note 3 3 2 2" xfId="8150" xr:uid="{00000000-0005-0000-0000-0000C42C0000}"/>
    <cellStyle name="Note 3 3 2 3" xfId="8151" xr:uid="{00000000-0005-0000-0000-0000C52C0000}"/>
    <cellStyle name="Note 3 3 2 4" xfId="8152" xr:uid="{00000000-0005-0000-0000-0000C62C0000}"/>
    <cellStyle name="Note 3 3 2 5" xfId="8153" xr:uid="{00000000-0005-0000-0000-0000C72C0000}"/>
    <cellStyle name="Note 3 3 3" xfId="8154" xr:uid="{00000000-0005-0000-0000-0000C82C0000}"/>
    <cellStyle name="Note 3 4" xfId="8155" xr:uid="{00000000-0005-0000-0000-0000C92C0000}"/>
    <cellStyle name="Note 3 4 2" xfId="8156" xr:uid="{00000000-0005-0000-0000-0000CA2C0000}"/>
    <cellStyle name="Note 3 4 2 2" xfId="8157" xr:uid="{00000000-0005-0000-0000-0000CB2C0000}"/>
    <cellStyle name="Note 3 4 2 3" xfId="8158" xr:uid="{00000000-0005-0000-0000-0000CC2C0000}"/>
    <cellStyle name="Note 3 4 2 4" xfId="8159" xr:uid="{00000000-0005-0000-0000-0000CD2C0000}"/>
    <cellStyle name="Note 3 4 2 5" xfId="8160" xr:uid="{00000000-0005-0000-0000-0000CE2C0000}"/>
    <cellStyle name="Note 3 4 3" xfId="8161" xr:uid="{00000000-0005-0000-0000-0000CF2C0000}"/>
    <cellStyle name="Note 3 5" xfId="8162" xr:uid="{00000000-0005-0000-0000-0000D02C0000}"/>
    <cellStyle name="Note 3 5 2" xfId="8163" xr:uid="{00000000-0005-0000-0000-0000D12C0000}"/>
    <cellStyle name="Note 3 5 3" xfId="8164" xr:uid="{00000000-0005-0000-0000-0000D22C0000}"/>
    <cellStyle name="Note 3 5 4" xfId="8165" xr:uid="{00000000-0005-0000-0000-0000D32C0000}"/>
    <cellStyle name="Note 3 5 5" xfId="8166" xr:uid="{00000000-0005-0000-0000-0000D42C0000}"/>
    <cellStyle name="Note 3 6" xfId="8167" xr:uid="{00000000-0005-0000-0000-0000D52C0000}"/>
    <cellStyle name="Note 4" xfId="8168" xr:uid="{00000000-0005-0000-0000-0000D62C0000}"/>
    <cellStyle name="Note 4 2" xfId="8169" xr:uid="{00000000-0005-0000-0000-0000D72C0000}"/>
    <cellStyle name="Note 4 3" xfId="8170" xr:uid="{00000000-0005-0000-0000-0000D82C0000}"/>
    <cellStyle name="Note 4 3 2" xfId="8171" xr:uid="{00000000-0005-0000-0000-0000D92C0000}"/>
    <cellStyle name="Note 4 3 3" xfId="8172" xr:uid="{00000000-0005-0000-0000-0000DA2C0000}"/>
    <cellStyle name="Note 4 3 4" xfId="8173" xr:uid="{00000000-0005-0000-0000-0000DB2C0000}"/>
    <cellStyle name="Note 4 3 5" xfId="8174" xr:uid="{00000000-0005-0000-0000-0000DC2C0000}"/>
    <cellStyle name="Note 4 4" xfId="8175" xr:uid="{00000000-0005-0000-0000-0000DD2C0000}"/>
    <cellStyle name="Note 4 5" xfId="8176" xr:uid="{00000000-0005-0000-0000-0000DE2C0000}"/>
    <cellStyle name="Note 5" xfId="8177" xr:uid="{00000000-0005-0000-0000-0000DF2C0000}"/>
    <cellStyle name="Note 5 2" xfId="8178" xr:uid="{00000000-0005-0000-0000-0000E02C0000}"/>
    <cellStyle name="Note 5 2 2" xfId="8179" xr:uid="{00000000-0005-0000-0000-0000E12C0000}"/>
    <cellStyle name="Note 5 2 3" xfId="8180" xr:uid="{00000000-0005-0000-0000-0000E22C0000}"/>
    <cellStyle name="Note 5 2 4" xfId="8181" xr:uid="{00000000-0005-0000-0000-0000E32C0000}"/>
    <cellStyle name="Note 5 2 5" xfId="8182" xr:uid="{00000000-0005-0000-0000-0000E42C0000}"/>
    <cellStyle name="Note 6" xfId="8183" xr:uid="{00000000-0005-0000-0000-0000E52C0000}"/>
    <cellStyle name="Notes" xfId="8184" xr:uid="{00000000-0005-0000-0000-0000E62C0000}"/>
    <cellStyle name="Output" xfId="8185" builtinId="21" customBuiltin="1"/>
    <cellStyle name="Output 2" xfId="8186" xr:uid="{00000000-0005-0000-0000-0000E82C0000}"/>
    <cellStyle name="Output 2 2" xfId="8187" xr:uid="{00000000-0005-0000-0000-0000E92C0000}"/>
    <cellStyle name="Output 2 2 2" xfId="8188" xr:uid="{00000000-0005-0000-0000-0000EA2C0000}"/>
    <cellStyle name="Output 2 2 2 2" xfId="8189" xr:uid="{00000000-0005-0000-0000-0000EB2C0000}"/>
    <cellStyle name="Output 2 2 2 2 2" xfId="8190" xr:uid="{00000000-0005-0000-0000-0000EC2C0000}"/>
    <cellStyle name="Output 2 2 2 2 3" xfId="8191" xr:uid="{00000000-0005-0000-0000-0000ED2C0000}"/>
    <cellStyle name="Output 2 2 2 2 4" xfId="8192" xr:uid="{00000000-0005-0000-0000-0000EE2C0000}"/>
    <cellStyle name="Output 2 2 2 2 5" xfId="8193" xr:uid="{00000000-0005-0000-0000-0000EF2C0000}"/>
    <cellStyle name="Output 2 2 2 3" xfId="8194" xr:uid="{00000000-0005-0000-0000-0000F02C0000}"/>
    <cellStyle name="Output 2 2 3" xfId="8195" xr:uid="{00000000-0005-0000-0000-0000F12C0000}"/>
    <cellStyle name="Output 2 2 3 2" xfId="8196" xr:uid="{00000000-0005-0000-0000-0000F22C0000}"/>
    <cellStyle name="Output 2 2 3 3" xfId="8197" xr:uid="{00000000-0005-0000-0000-0000F32C0000}"/>
    <cellStyle name="Output 2 2 3 4" xfId="8198" xr:uid="{00000000-0005-0000-0000-0000F42C0000}"/>
    <cellStyle name="Output 2 2 3 5" xfId="8199" xr:uid="{00000000-0005-0000-0000-0000F52C0000}"/>
    <cellStyle name="Output 2 2 4" xfId="8200" xr:uid="{00000000-0005-0000-0000-0000F62C0000}"/>
    <cellStyle name="Output 2 3" xfId="8201" xr:uid="{00000000-0005-0000-0000-0000F72C0000}"/>
    <cellStyle name="Output 2 3 2" xfId="8202" xr:uid="{00000000-0005-0000-0000-0000F82C0000}"/>
    <cellStyle name="Output 2 3 2 2" xfId="8203" xr:uid="{00000000-0005-0000-0000-0000F92C0000}"/>
    <cellStyle name="Output 2 3 2 3" xfId="8204" xr:uid="{00000000-0005-0000-0000-0000FA2C0000}"/>
    <cellStyle name="Output 2 3 2 4" xfId="8205" xr:uid="{00000000-0005-0000-0000-0000FB2C0000}"/>
    <cellStyle name="Output 2 3 2 5" xfId="8206" xr:uid="{00000000-0005-0000-0000-0000FC2C0000}"/>
    <cellStyle name="Output 2 3 3" xfId="8207" xr:uid="{00000000-0005-0000-0000-0000FD2C0000}"/>
    <cellStyle name="Output 2 4" xfId="8208" xr:uid="{00000000-0005-0000-0000-0000FE2C0000}"/>
    <cellStyle name="Output 2 4 2" xfId="8209" xr:uid="{00000000-0005-0000-0000-0000FF2C0000}"/>
    <cellStyle name="Output 2 4 3" xfId="8210" xr:uid="{00000000-0005-0000-0000-0000002D0000}"/>
    <cellStyle name="Output 2 4 4" xfId="8211" xr:uid="{00000000-0005-0000-0000-0000012D0000}"/>
    <cellStyle name="Output 2 4 5" xfId="8212" xr:uid="{00000000-0005-0000-0000-0000022D0000}"/>
    <cellStyle name="Output 2 5" xfId="8213" xr:uid="{00000000-0005-0000-0000-0000032D0000}"/>
    <cellStyle name="Output 3" xfId="8214" xr:uid="{00000000-0005-0000-0000-0000042D0000}"/>
    <cellStyle name="Output 3 2" xfId="8215" xr:uid="{00000000-0005-0000-0000-0000052D0000}"/>
    <cellStyle name="Output 3 2 2" xfId="8216" xr:uid="{00000000-0005-0000-0000-0000062D0000}"/>
    <cellStyle name="Output 3 2 2 2" xfId="8217" xr:uid="{00000000-0005-0000-0000-0000072D0000}"/>
    <cellStyle name="Output 3 2 2 3" xfId="8218" xr:uid="{00000000-0005-0000-0000-0000082D0000}"/>
    <cellStyle name="Output 3 2 2 4" xfId="8219" xr:uid="{00000000-0005-0000-0000-0000092D0000}"/>
    <cellStyle name="Output 3 2 2 5" xfId="8220" xr:uid="{00000000-0005-0000-0000-00000A2D0000}"/>
    <cellStyle name="Output 3 2 3" xfId="8221" xr:uid="{00000000-0005-0000-0000-00000B2D0000}"/>
    <cellStyle name="Output 3 3" xfId="8222" xr:uid="{00000000-0005-0000-0000-00000C2D0000}"/>
    <cellStyle name="Output 3 3 2" xfId="8223" xr:uid="{00000000-0005-0000-0000-00000D2D0000}"/>
    <cellStyle name="Output 3 3 3" xfId="8224" xr:uid="{00000000-0005-0000-0000-00000E2D0000}"/>
    <cellStyle name="Output 3 3 4" xfId="8225" xr:uid="{00000000-0005-0000-0000-00000F2D0000}"/>
    <cellStyle name="Output 3 3 5" xfId="8226" xr:uid="{00000000-0005-0000-0000-0000102D0000}"/>
    <cellStyle name="Output 3 4" xfId="8227" xr:uid="{00000000-0005-0000-0000-0000112D0000}"/>
    <cellStyle name="Output 3 4 2" xfId="8228" xr:uid="{00000000-0005-0000-0000-0000122D0000}"/>
    <cellStyle name="Output 3 4 3" xfId="8229" xr:uid="{00000000-0005-0000-0000-0000132D0000}"/>
    <cellStyle name="Output 3 4 4" xfId="8230" xr:uid="{00000000-0005-0000-0000-0000142D0000}"/>
    <cellStyle name="Output 3 4 5" xfId="8231" xr:uid="{00000000-0005-0000-0000-0000152D0000}"/>
    <cellStyle name="Output 3 5" xfId="8232" xr:uid="{00000000-0005-0000-0000-0000162D0000}"/>
    <cellStyle name="Output 4" xfId="8233" xr:uid="{00000000-0005-0000-0000-0000172D0000}"/>
    <cellStyle name="Percent" xfId="8877" builtinId="5"/>
    <cellStyle name="Percent 10" xfId="8234" xr:uid="{00000000-0005-0000-0000-0000192D0000}"/>
    <cellStyle name="Percent 10 2" xfId="8235" xr:uid="{00000000-0005-0000-0000-00001A2D0000}"/>
    <cellStyle name="Percent 10 3" xfId="8236" xr:uid="{00000000-0005-0000-0000-00001B2D0000}"/>
    <cellStyle name="Percent 10 4" xfId="8237" xr:uid="{00000000-0005-0000-0000-00001C2D0000}"/>
    <cellStyle name="Percent 11" xfId="8238" xr:uid="{00000000-0005-0000-0000-00001D2D0000}"/>
    <cellStyle name="Percent 11 2" xfId="8239" xr:uid="{00000000-0005-0000-0000-00001E2D0000}"/>
    <cellStyle name="Percent 11 2 2" xfId="8240" xr:uid="{00000000-0005-0000-0000-00001F2D0000}"/>
    <cellStyle name="Percent 11 3" xfId="8241" xr:uid="{00000000-0005-0000-0000-0000202D0000}"/>
    <cellStyle name="Percent 11 3 2" xfId="8242" xr:uid="{00000000-0005-0000-0000-0000212D0000}"/>
    <cellStyle name="Percent 11 4" xfId="8243" xr:uid="{00000000-0005-0000-0000-0000222D0000}"/>
    <cellStyle name="Percent 12" xfId="8244" xr:uid="{00000000-0005-0000-0000-0000232D0000}"/>
    <cellStyle name="Percent 13" xfId="8245" xr:uid="{00000000-0005-0000-0000-0000242D0000}"/>
    <cellStyle name="Percent 14" xfId="8246" xr:uid="{00000000-0005-0000-0000-0000252D0000}"/>
    <cellStyle name="Percent 14 2" xfId="8247" xr:uid="{00000000-0005-0000-0000-0000262D0000}"/>
    <cellStyle name="Percent 14 2 2" xfId="8248" xr:uid="{00000000-0005-0000-0000-0000272D0000}"/>
    <cellStyle name="Percent 16 2" xfId="8249" xr:uid="{00000000-0005-0000-0000-0000282D0000}"/>
    <cellStyle name="Percent 16 2 2" xfId="8250" xr:uid="{00000000-0005-0000-0000-0000292D0000}"/>
    <cellStyle name="Percent 2" xfId="8251" xr:uid="{00000000-0005-0000-0000-00002A2D0000}"/>
    <cellStyle name="Percent 2 2" xfId="8252" xr:uid="{00000000-0005-0000-0000-00002B2D0000}"/>
    <cellStyle name="Percent 2 2 2" xfId="8253" xr:uid="{00000000-0005-0000-0000-00002C2D0000}"/>
    <cellStyle name="Percent 2 2 3" xfId="8254" xr:uid="{00000000-0005-0000-0000-00002D2D0000}"/>
    <cellStyle name="Percent 2 2 3 2" xfId="8255" xr:uid="{00000000-0005-0000-0000-00002E2D0000}"/>
    <cellStyle name="Percent 2 3" xfId="8256" xr:uid="{00000000-0005-0000-0000-00002F2D0000}"/>
    <cellStyle name="Percent 2 3 2" xfId="8257" xr:uid="{00000000-0005-0000-0000-0000302D0000}"/>
    <cellStyle name="Percent 2 3 3" xfId="8258" xr:uid="{00000000-0005-0000-0000-0000312D0000}"/>
    <cellStyle name="Percent 2 4" xfId="8259" xr:uid="{00000000-0005-0000-0000-0000322D0000}"/>
    <cellStyle name="Percent 2 4 2" xfId="8260" xr:uid="{00000000-0005-0000-0000-0000332D0000}"/>
    <cellStyle name="Percent 2 4 3" xfId="8261" xr:uid="{00000000-0005-0000-0000-0000342D0000}"/>
    <cellStyle name="Percent 2 5" xfId="8262" xr:uid="{00000000-0005-0000-0000-0000352D0000}"/>
    <cellStyle name="Percent 2 6" xfId="8263" xr:uid="{00000000-0005-0000-0000-0000362D0000}"/>
    <cellStyle name="Percent 3" xfId="8264" xr:uid="{00000000-0005-0000-0000-0000372D0000}"/>
    <cellStyle name="Percent 3 10" xfId="8265" xr:uid="{00000000-0005-0000-0000-0000382D0000}"/>
    <cellStyle name="Percent 3 2" xfId="8266" xr:uid="{00000000-0005-0000-0000-0000392D0000}"/>
    <cellStyle name="Percent 3 2 2" xfId="8267" xr:uid="{00000000-0005-0000-0000-00003A2D0000}"/>
    <cellStyle name="Percent 3 2 2 2" xfId="8268" xr:uid="{00000000-0005-0000-0000-00003B2D0000}"/>
    <cellStyle name="Percent 3 2 2 2 2" xfId="8269" xr:uid="{00000000-0005-0000-0000-00003C2D0000}"/>
    <cellStyle name="Percent 3 2 2 2 2 2" xfId="8270" xr:uid="{00000000-0005-0000-0000-00003D2D0000}"/>
    <cellStyle name="Percent 3 2 2 2 2 2 2" xfId="8271" xr:uid="{00000000-0005-0000-0000-00003E2D0000}"/>
    <cellStyle name="Percent 3 2 2 2 2 2 2 2" xfId="8272" xr:uid="{00000000-0005-0000-0000-00003F2D0000}"/>
    <cellStyle name="Percent 3 2 2 2 2 2 3" xfId="8273" xr:uid="{00000000-0005-0000-0000-0000402D0000}"/>
    <cellStyle name="Percent 3 2 2 2 2 2 3 2" xfId="8274" xr:uid="{00000000-0005-0000-0000-0000412D0000}"/>
    <cellStyle name="Percent 3 2 2 2 2 2 4" xfId="8275" xr:uid="{00000000-0005-0000-0000-0000422D0000}"/>
    <cellStyle name="Percent 3 2 2 2 2 3" xfId="8276" xr:uid="{00000000-0005-0000-0000-0000432D0000}"/>
    <cellStyle name="Percent 3 2 2 2 2 3 2" xfId="8277" xr:uid="{00000000-0005-0000-0000-0000442D0000}"/>
    <cellStyle name="Percent 3 2 2 2 2 4" xfId="8278" xr:uid="{00000000-0005-0000-0000-0000452D0000}"/>
    <cellStyle name="Percent 3 2 2 2 2 4 2" xfId="8279" xr:uid="{00000000-0005-0000-0000-0000462D0000}"/>
    <cellStyle name="Percent 3 2 2 2 2 5" xfId="8280" xr:uid="{00000000-0005-0000-0000-0000472D0000}"/>
    <cellStyle name="Percent 3 2 2 2 3" xfId="8281" xr:uid="{00000000-0005-0000-0000-0000482D0000}"/>
    <cellStyle name="Percent 3 2 2 2 3 2" xfId="8282" xr:uid="{00000000-0005-0000-0000-0000492D0000}"/>
    <cellStyle name="Percent 3 2 2 2 3 2 2" xfId="8283" xr:uid="{00000000-0005-0000-0000-00004A2D0000}"/>
    <cellStyle name="Percent 3 2 2 2 3 3" xfId="8284" xr:uid="{00000000-0005-0000-0000-00004B2D0000}"/>
    <cellStyle name="Percent 3 2 2 2 3 3 2" xfId="8285" xr:uid="{00000000-0005-0000-0000-00004C2D0000}"/>
    <cellStyle name="Percent 3 2 2 2 3 4" xfId="8286" xr:uid="{00000000-0005-0000-0000-00004D2D0000}"/>
    <cellStyle name="Percent 3 2 2 2 4" xfId="8287" xr:uid="{00000000-0005-0000-0000-00004E2D0000}"/>
    <cellStyle name="Percent 3 2 2 2 4 2" xfId="8288" xr:uid="{00000000-0005-0000-0000-00004F2D0000}"/>
    <cellStyle name="Percent 3 2 2 2 5" xfId="8289" xr:uid="{00000000-0005-0000-0000-0000502D0000}"/>
    <cellStyle name="Percent 3 2 2 2 5 2" xfId="8290" xr:uid="{00000000-0005-0000-0000-0000512D0000}"/>
    <cellStyle name="Percent 3 2 2 2 6" xfId="8291" xr:uid="{00000000-0005-0000-0000-0000522D0000}"/>
    <cellStyle name="Percent 3 2 2 3" xfId="8292" xr:uid="{00000000-0005-0000-0000-0000532D0000}"/>
    <cellStyle name="Percent 3 2 2 3 2" xfId="8293" xr:uid="{00000000-0005-0000-0000-0000542D0000}"/>
    <cellStyle name="Percent 3 2 2 3 2 2" xfId="8294" xr:uid="{00000000-0005-0000-0000-0000552D0000}"/>
    <cellStyle name="Percent 3 2 2 3 2 2 2" xfId="8295" xr:uid="{00000000-0005-0000-0000-0000562D0000}"/>
    <cellStyle name="Percent 3 2 2 3 2 3" xfId="8296" xr:uid="{00000000-0005-0000-0000-0000572D0000}"/>
    <cellStyle name="Percent 3 2 2 3 2 3 2" xfId="8297" xr:uid="{00000000-0005-0000-0000-0000582D0000}"/>
    <cellStyle name="Percent 3 2 2 3 2 4" xfId="8298" xr:uid="{00000000-0005-0000-0000-0000592D0000}"/>
    <cellStyle name="Percent 3 2 2 3 3" xfId="8299" xr:uid="{00000000-0005-0000-0000-00005A2D0000}"/>
    <cellStyle name="Percent 3 2 2 3 3 2" xfId="8300" xr:uid="{00000000-0005-0000-0000-00005B2D0000}"/>
    <cellStyle name="Percent 3 2 2 3 4" xfId="8301" xr:uid="{00000000-0005-0000-0000-00005C2D0000}"/>
    <cellStyle name="Percent 3 2 2 3 4 2" xfId="8302" xr:uid="{00000000-0005-0000-0000-00005D2D0000}"/>
    <cellStyle name="Percent 3 2 2 3 5" xfId="8303" xr:uid="{00000000-0005-0000-0000-00005E2D0000}"/>
    <cellStyle name="Percent 3 2 2 4" xfId="8304" xr:uid="{00000000-0005-0000-0000-00005F2D0000}"/>
    <cellStyle name="Percent 3 2 2 4 2" xfId="8305" xr:uid="{00000000-0005-0000-0000-0000602D0000}"/>
    <cellStyle name="Percent 3 2 2 4 2 2" xfId="8306" xr:uid="{00000000-0005-0000-0000-0000612D0000}"/>
    <cellStyle name="Percent 3 2 2 4 3" xfId="8307" xr:uid="{00000000-0005-0000-0000-0000622D0000}"/>
    <cellStyle name="Percent 3 2 2 4 3 2" xfId="8308" xr:uid="{00000000-0005-0000-0000-0000632D0000}"/>
    <cellStyle name="Percent 3 2 2 4 4" xfId="8309" xr:uid="{00000000-0005-0000-0000-0000642D0000}"/>
    <cellStyle name="Percent 3 2 2 5" xfId="8310" xr:uid="{00000000-0005-0000-0000-0000652D0000}"/>
    <cellStyle name="Percent 3 2 2 5 2" xfId="8311" xr:uid="{00000000-0005-0000-0000-0000662D0000}"/>
    <cellStyle name="Percent 3 2 2 6" xfId="8312" xr:uid="{00000000-0005-0000-0000-0000672D0000}"/>
    <cellStyle name="Percent 3 2 2 6 2" xfId="8313" xr:uid="{00000000-0005-0000-0000-0000682D0000}"/>
    <cellStyle name="Percent 3 2 2 7" xfId="8314" xr:uid="{00000000-0005-0000-0000-0000692D0000}"/>
    <cellStyle name="Percent 3 2 3" xfId="8315" xr:uid="{00000000-0005-0000-0000-00006A2D0000}"/>
    <cellStyle name="Percent 3 2 3 2" xfId="8316" xr:uid="{00000000-0005-0000-0000-00006B2D0000}"/>
    <cellStyle name="Percent 3 2 3 2 2" xfId="8317" xr:uid="{00000000-0005-0000-0000-00006C2D0000}"/>
    <cellStyle name="Percent 3 2 3 2 2 2" xfId="8318" xr:uid="{00000000-0005-0000-0000-00006D2D0000}"/>
    <cellStyle name="Percent 3 2 3 2 2 2 2" xfId="8319" xr:uid="{00000000-0005-0000-0000-00006E2D0000}"/>
    <cellStyle name="Percent 3 2 3 2 2 3" xfId="8320" xr:uid="{00000000-0005-0000-0000-00006F2D0000}"/>
    <cellStyle name="Percent 3 2 3 2 2 3 2" xfId="8321" xr:uid="{00000000-0005-0000-0000-0000702D0000}"/>
    <cellStyle name="Percent 3 2 3 2 2 4" xfId="8322" xr:uid="{00000000-0005-0000-0000-0000712D0000}"/>
    <cellStyle name="Percent 3 2 3 2 3" xfId="8323" xr:uid="{00000000-0005-0000-0000-0000722D0000}"/>
    <cellStyle name="Percent 3 2 3 2 3 2" xfId="8324" xr:uid="{00000000-0005-0000-0000-0000732D0000}"/>
    <cellStyle name="Percent 3 2 3 2 4" xfId="8325" xr:uid="{00000000-0005-0000-0000-0000742D0000}"/>
    <cellStyle name="Percent 3 2 3 2 4 2" xfId="8326" xr:uid="{00000000-0005-0000-0000-0000752D0000}"/>
    <cellStyle name="Percent 3 2 3 2 5" xfId="8327" xr:uid="{00000000-0005-0000-0000-0000762D0000}"/>
    <cellStyle name="Percent 3 2 3 3" xfId="8328" xr:uid="{00000000-0005-0000-0000-0000772D0000}"/>
    <cellStyle name="Percent 3 2 3 3 2" xfId="8329" xr:uid="{00000000-0005-0000-0000-0000782D0000}"/>
    <cellStyle name="Percent 3 2 3 3 2 2" xfId="8330" xr:uid="{00000000-0005-0000-0000-0000792D0000}"/>
    <cellStyle name="Percent 3 2 3 3 3" xfId="8331" xr:uid="{00000000-0005-0000-0000-00007A2D0000}"/>
    <cellStyle name="Percent 3 2 3 3 3 2" xfId="8332" xr:uid="{00000000-0005-0000-0000-00007B2D0000}"/>
    <cellStyle name="Percent 3 2 3 3 4" xfId="8333" xr:uid="{00000000-0005-0000-0000-00007C2D0000}"/>
    <cellStyle name="Percent 3 2 3 4" xfId="8334" xr:uid="{00000000-0005-0000-0000-00007D2D0000}"/>
    <cellStyle name="Percent 3 2 3 4 2" xfId="8335" xr:uid="{00000000-0005-0000-0000-00007E2D0000}"/>
    <cellStyle name="Percent 3 2 3 5" xfId="8336" xr:uid="{00000000-0005-0000-0000-00007F2D0000}"/>
    <cellStyle name="Percent 3 2 3 5 2" xfId="8337" xr:uid="{00000000-0005-0000-0000-0000802D0000}"/>
    <cellStyle name="Percent 3 2 3 6" xfId="8338" xr:uid="{00000000-0005-0000-0000-0000812D0000}"/>
    <cellStyle name="Percent 3 2 4" xfId="8339" xr:uid="{00000000-0005-0000-0000-0000822D0000}"/>
    <cellStyle name="Percent 3 2 4 2" xfId="8340" xr:uid="{00000000-0005-0000-0000-0000832D0000}"/>
    <cellStyle name="Percent 3 2 4 2 2" xfId="8341" xr:uid="{00000000-0005-0000-0000-0000842D0000}"/>
    <cellStyle name="Percent 3 2 4 2 2 2" xfId="8342" xr:uid="{00000000-0005-0000-0000-0000852D0000}"/>
    <cellStyle name="Percent 3 2 4 2 3" xfId="8343" xr:uid="{00000000-0005-0000-0000-0000862D0000}"/>
    <cellStyle name="Percent 3 2 4 2 3 2" xfId="8344" xr:uid="{00000000-0005-0000-0000-0000872D0000}"/>
    <cellStyle name="Percent 3 2 4 2 4" xfId="8345" xr:uid="{00000000-0005-0000-0000-0000882D0000}"/>
    <cellStyle name="Percent 3 2 4 3" xfId="8346" xr:uid="{00000000-0005-0000-0000-0000892D0000}"/>
    <cellStyle name="Percent 3 2 4 3 2" xfId="8347" xr:uid="{00000000-0005-0000-0000-00008A2D0000}"/>
    <cellStyle name="Percent 3 2 4 4" xfId="8348" xr:uid="{00000000-0005-0000-0000-00008B2D0000}"/>
    <cellStyle name="Percent 3 2 4 4 2" xfId="8349" xr:uid="{00000000-0005-0000-0000-00008C2D0000}"/>
    <cellStyle name="Percent 3 2 4 5" xfId="8350" xr:uid="{00000000-0005-0000-0000-00008D2D0000}"/>
    <cellStyle name="Percent 3 2 5" xfId="8351" xr:uid="{00000000-0005-0000-0000-00008E2D0000}"/>
    <cellStyle name="Percent 3 2 5 2" xfId="8352" xr:uid="{00000000-0005-0000-0000-00008F2D0000}"/>
    <cellStyle name="Percent 3 2 5 2 2" xfId="8353" xr:uid="{00000000-0005-0000-0000-0000902D0000}"/>
    <cellStyle name="Percent 3 2 5 3" xfId="8354" xr:uid="{00000000-0005-0000-0000-0000912D0000}"/>
    <cellStyle name="Percent 3 2 5 3 2" xfId="8355" xr:uid="{00000000-0005-0000-0000-0000922D0000}"/>
    <cellStyle name="Percent 3 2 5 4" xfId="8356" xr:uid="{00000000-0005-0000-0000-0000932D0000}"/>
    <cellStyle name="Percent 3 2 6" xfId="8357" xr:uid="{00000000-0005-0000-0000-0000942D0000}"/>
    <cellStyle name="Percent 3 2 6 2" xfId="8358" xr:uid="{00000000-0005-0000-0000-0000952D0000}"/>
    <cellStyle name="Percent 3 2 7" xfId="8359" xr:uid="{00000000-0005-0000-0000-0000962D0000}"/>
    <cellStyle name="Percent 3 2 7 2" xfId="8360" xr:uid="{00000000-0005-0000-0000-0000972D0000}"/>
    <cellStyle name="Percent 3 2 8" xfId="8361" xr:uid="{00000000-0005-0000-0000-0000982D0000}"/>
    <cellStyle name="Percent 3 3" xfId="8362" xr:uid="{00000000-0005-0000-0000-0000992D0000}"/>
    <cellStyle name="Percent 3 3 2" xfId="8363" xr:uid="{00000000-0005-0000-0000-00009A2D0000}"/>
    <cellStyle name="Percent 3 3 2 2" xfId="8364" xr:uid="{00000000-0005-0000-0000-00009B2D0000}"/>
    <cellStyle name="Percent 3 3 2 2 2" xfId="8365" xr:uid="{00000000-0005-0000-0000-00009C2D0000}"/>
    <cellStyle name="Percent 3 3 2 2 2 2" xfId="8366" xr:uid="{00000000-0005-0000-0000-00009D2D0000}"/>
    <cellStyle name="Percent 3 3 2 2 2 2 2" xfId="8367" xr:uid="{00000000-0005-0000-0000-00009E2D0000}"/>
    <cellStyle name="Percent 3 3 2 2 2 3" xfId="8368" xr:uid="{00000000-0005-0000-0000-00009F2D0000}"/>
    <cellStyle name="Percent 3 3 2 2 2 3 2" xfId="8369" xr:uid="{00000000-0005-0000-0000-0000A02D0000}"/>
    <cellStyle name="Percent 3 3 2 2 2 4" xfId="8370" xr:uid="{00000000-0005-0000-0000-0000A12D0000}"/>
    <cellStyle name="Percent 3 3 2 2 3" xfId="8371" xr:uid="{00000000-0005-0000-0000-0000A22D0000}"/>
    <cellStyle name="Percent 3 3 2 2 3 2" xfId="8372" xr:uid="{00000000-0005-0000-0000-0000A32D0000}"/>
    <cellStyle name="Percent 3 3 2 2 4" xfId="8373" xr:uid="{00000000-0005-0000-0000-0000A42D0000}"/>
    <cellStyle name="Percent 3 3 2 2 4 2" xfId="8374" xr:uid="{00000000-0005-0000-0000-0000A52D0000}"/>
    <cellStyle name="Percent 3 3 2 2 5" xfId="8375" xr:uid="{00000000-0005-0000-0000-0000A62D0000}"/>
    <cellStyle name="Percent 3 3 2 3" xfId="8376" xr:uid="{00000000-0005-0000-0000-0000A72D0000}"/>
    <cellStyle name="Percent 3 3 2 3 2" xfId="8377" xr:uid="{00000000-0005-0000-0000-0000A82D0000}"/>
    <cellStyle name="Percent 3 3 2 3 2 2" xfId="8378" xr:uid="{00000000-0005-0000-0000-0000A92D0000}"/>
    <cellStyle name="Percent 3 3 2 3 3" xfId="8379" xr:uid="{00000000-0005-0000-0000-0000AA2D0000}"/>
    <cellStyle name="Percent 3 3 2 3 3 2" xfId="8380" xr:uid="{00000000-0005-0000-0000-0000AB2D0000}"/>
    <cellStyle name="Percent 3 3 2 3 4" xfId="8381" xr:uid="{00000000-0005-0000-0000-0000AC2D0000}"/>
    <cellStyle name="Percent 3 3 2 4" xfId="8382" xr:uid="{00000000-0005-0000-0000-0000AD2D0000}"/>
    <cellStyle name="Percent 3 3 2 4 2" xfId="8383" xr:uid="{00000000-0005-0000-0000-0000AE2D0000}"/>
    <cellStyle name="Percent 3 3 2 5" xfId="8384" xr:uid="{00000000-0005-0000-0000-0000AF2D0000}"/>
    <cellStyle name="Percent 3 3 2 5 2" xfId="8385" xr:uid="{00000000-0005-0000-0000-0000B02D0000}"/>
    <cellStyle name="Percent 3 3 2 6" xfId="8386" xr:uid="{00000000-0005-0000-0000-0000B12D0000}"/>
    <cellStyle name="Percent 3 3 3" xfId="8387" xr:uid="{00000000-0005-0000-0000-0000B22D0000}"/>
    <cellStyle name="Percent 3 3 3 2" xfId="8388" xr:uid="{00000000-0005-0000-0000-0000B32D0000}"/>
    <cellStyle name="Percent 3 3 3 2 2" xfId="8389" xr:uid="{00000000-0005-0000-0000-0000B42D0000}"/>
    <cellStyle name="Percent 3 3 3 2 2 2" xfId="8390" xr:uid="{00000000-0005-0000-0000-0000B52D0000}"/>
    <cellStyle name="Percent 3 3 3 2 3" xfId="8391" xr:uid="{00000000-0005-0000-0000-0000B62D0000}"/>
    <cellStyle name="Percent 3 3 3 2 3 2" xfId="8392" xr:uid="{00000000-0005-0000-0000-0000B72D0000}"/>
    <cellStyle name="Percent 3 3 3 2 4" xfId="8393" xr:uid="{00000000-0005-0000-0000-0000B82D0000}"/>
    <cellStyle name="Percent 3 3 3 3" xfId="8394" xr:uid="{00000000-0005-0000-0000-0000B92D0000}"/>
    <cellStyle name="Percent 3 3 3 3 2" xfId="8395" xr:uid="{00000000-0005-0000-0000-0000BA2D0000}"/>
    <cellStyle name="Percent 3 3 3 4" xfId="8396" xr:uid="{00000000-0005-0000-0000-0000BB2D0000}"/>
    <cellStyle name="Percent 3 3 3 4 2" xfId="8397" xr:uid="{00000000-0005-0000-0000-0000BC2D0000}"/>
    <cellStyle name="Percent 3 3 3 5" xfId="8398" xr:uid="{00000000-0005-0000-0000-0000BD2D0000}"/>
    <cellStyle name="Percent 3 3 4" xfId="8399" xr:uid="{00000000-0005-0000-0000-0000BE2D0000}"/>
    <cellStyle name="Percent 3 3 4 2" xfId="8400" xr:uid="{00000000-0005-0000-0000-0000BF2D0000}"/>
    <cellStyle name="Percent 3 3 4 2 2" xfId="8401" xr:uid="{00000000-0005-0000-0000-0000C02D0000}"/>
    <cellStyle name="Percent 3 3 4 3" xfId="8402" xr:uid="{00000000-0005-0000-0000-0000C12D0000}"/>
    <cellStyle name="Percent 3 3 4 3 2" xfId="8403" xr:uid="{00000000-0005-0000-0000-0000C22D0000}"/>
    <cellStyle name="Percent 3 3 4 4" xfId="8404" xr:uid="{00000000-0005-0000-0000-0000C32D0000}"/>
    <cellStyle name="Percent 3 3 5" xfId="8405" xr:uid="{00000000-0005-0000-0000-0000C42D0000}"/>
    <cellStyle name="Percent 3 3 5 2" xfId="8406" xr:uid="{00000000-0005-0000-0000-0000C52D0000}"/>
    <cellStyle name="Percent 3 3 6" xfId="8407" xr:uid="{00000000-0005-0000-0000-0000C62D0000}"/>
    <cellStyle name="Percent 3 3 6 2" xfId="8408" xr:uid="{00000000-0005-0000-0000-0000C72D0000}"/>
    <cellStyle name="Percent 3 3 7" xfId="8409" xr:uid="{00000000-0005-0000-0000-0000C82D0000}"/>
    <cellStyle name="Percent 3 4" xfId="8410" xr:uid="{00000000-0005-0000-0000-0000C92D0000}"/>
    <cellStyle name="Percent 3 4 2" xfId="8411" xr:uid="{00000000-0005-0000-0000-0000CA2D0000}"/>
    <cellStyle name="Percent 3 4 2 2" xfId="8412" xr:uid="{00000000-0005-0000-0000-0000CB2D0000}"/>
    <cellStyle name="Percent 3 4 2 2 2" xfId="8413" xr:uid="{00000000-0005-0000-0000-0000CC2D0000}"/>
    <cellStyle name="Percent 3 4 2 2 2 2" xfId="8414" xr:uid="{00000000-0005-0000-0000-0000CD2D0000}"/>
    <cellStyle name="Percent 3 4 2 2 2 2 2" xfId="8415" xr:uid="{00000000-0005-0000-0000-0000CE2D0000}"/>
    <cellStyle name="Percent 3 4 2 2 2 3" xfId="8416" xr:uid="{00000000-0005-0000-0000-0000CF2D0000}"/>
    <cellStyle name="Percent 3 4 2 2 2 3 2" xfId="8417" xr:uid="{00000000-0005-0000-0000-0000D02D0000}"/>
    <cellStyle name="Percent 3 4 2 2 2 4" xfId="8418" xr:uid="{00000000-0005-0000-0000-0000D12D0000}"/>
    <cellStyle name="Percent 3 4 2 2 3" xfId="8419" xr:uid="{00000000-0005-0000-0000-0000D22D0000}"/>
    <cellStyle name="Percent 3 4 2 2 3 2" xfId="8420" xr:uid="{00000000-0005-0000-0000-0000D32D0000}"/>
    <cellStyle name="Percent 3 4 2 2 4" xfId="8421" xr:uid="{00000000-0005-0000-0000-0000D42D0000}"/>
    <cellStyle name="Percent 3 4 2 2 4 2" xfId="8422" xr:uid="{00000000-0005-0000-0000-0000D52D0000}"/>
    <cellStyle name="Percent 3 4 2 2 5" xfId="8423" xr:uid="{00000000-0005-0000-0000-0000D62D0000}"/>
    <cellStyle name="Percent 3 4 2 3" xfId="8424" xr:uid="{00000000-0005-0000-0000-0000D72D0000}"/>
    <cellStyle name="Percent 3 4 2 3 2" xfId="8425" xr:uid="{00000000-0005-0000-0000-0000D82D0000}"/>
    <cellStyle name="Percent 3 4 2 3 2 2" xfId="8426" xr:uid="{00000000-0005-0000-0000-0000D92D0000}"/>
    <cellStyle name="Percent 3 4 2 3 3" xfId="8427" xr:uid="{00000000-0005-0000-0000-0000DA2D0000}"/>
    <cellStyle name="Percent 3 4 2 3 3 2" xfId="8428" xr:uid="{00000000-0005-0000-0000-0000DB2D0000}"/>
    <cellStyle name="Percent 3 4 2 3 4" xfId="8429" xr:uid="{00000000-0005-0000-0000-0000DC2D0000}"/>
    <cellStyle name="Percent 3 4 2 4" xfId="8430" xr:uid="{00000000-0005-0000-0000-0000DD2D0000}"/>
    <cellStyle name="Percent 3 4 2 4 2" xfId="8431" xr:uid="{00000000-0005-0000-0000-0000DE2D0000}"/>
    <cellStyle name="Percent 3 4 2 5" xfId="8432" xr:uid="{00000000-0005-0000-0000-0000DF2D0000}"/>
    <cellStyle name="Percent 3 4 2 5 2" xfId="8433" xr:uid="{00000000-0005-0000-0000-0000E02D0000}"/>
    <cellStyle name="Percent 3 4 2 6" xfId="8434" xr:uid="{00000000-0005-0000-0000-0000E12D0000}"/>
    <cellStyle name="Percent 3 4 3" xfId="8435" xr:uid="{00000000-0005-0000-0000-0000E22D0000}"/>
    <cellStyle name="Percent 3 4 3 2" xfId="8436" xr:uid="{00000000-0005-0000-0000-0000E32D0000}"/>
    <cellStyle name="Percent 3 4 3 2 2" xfId="8437" xr:uid="{00000000-0005-0000-0000-0000E42D0000}"/>
    <cellStyle name="Percent 3 4 3 2 2 2" xfId="8438" xr:uid="{00000000-0005-0000-0000-0000E52D0000}"/>
    <cellStyle name="Percent 3 4 3 2 3" xfId="8439" xr:uid="{00000000-0005-0000-0000-0000E62D0000}"/>
    <cellStyle name="Percent 3 4 3 2 3 2" xfId="8440" xr:uid="{00000000-0005-0000-0000-0000E72D0000}"/>
    <cellStyle name="Percent 3 4 3 2 4" xfId="8441" xr:uid="{00000000-0005-0000-0000-0000E82D0000}"/>
    <cellStyle name="Percent 3 4 3 3" xfId="8442" xr:uid="{00000000-0005-0000-0000-0000E92D0000}"/>
    <cellStyle name="Percent 3 4 3 3 2" xfId="8443" xr:uid="{00000000-0005-0000-0000-0000EA2D0000}"/>
    <cellStyle name="Percent 3 4 3 4" xfId="8444" xr:uid="{00000000-0005-0000-0000-0000EB2D0000}"/>
    <cellStyle name="Percent 3 4 3 4 2" xfId="8445" xr:uid="{00000000-0005-0000-0000-0000EC2D0000}"/>
    <cellStyle name="Percent 3 4 3 5" xfId="8446" xr:uid="{00000000-0005-0000-0000-0000ED2D0000}"/>
    <cellStyle name="Percent 3 4 4" xfId="8447" xr:uid="{00000000-0005-0000-0000-0000EE2D0000}"/>
    <cellStyle name="Percent 3 4 4 2" xfId="8448" xr:uid="{00000000-0005-0000-0000-0000EF2D0000}"/>
    <cellStyle name="Percent 3 4 4 2 2" xfId="8449" xr:uid="{00000000-0005-0000-0000-0000F02D0000}"/>
    <cellStyle name="Percent 3 4 4 3" xfId="8450" xr:uid="{00000000-0005-0000-0000-0000F12D0000}"/>
    <cellStyle name="Percent 3 4 4 3 2" xfId="8451" xr:uid="{00000000-0005-0000-0000-0000F22D0000}"/>
    <cellStyle name="Percent 3 4 4 4" xfId="8452" xr:uid="{00000000-0005-0000-0000-0000F32D0000}"/>
    <cellStyle name="Percent 3 4 5" xfId="8453" xr:uid="{00000000-0005-0000-0000-0000F42D0000}"/>
    <cellStyle name="Percent 3 4 5 2" xfId="8454" xr:uid="{00000000-0005-0000-0000-0000F52D0000}"/>
    <cellStyle name="Percent 3 4 6" xfId="8455" xr:uid="{00000000-0005-0000-0000-0000F62D0000}"/>
    <cellStyle name="Percent 3 4 6 2" xfId="8456" xr:uid="{00000000-0005-0000-0000-0000F72D0000}"/>
    <cellStyle name="Percent 3 4 7" xfId="8457" xr:uid="{00000000-0005-0000-0000-0000F82D0000}"/>
    <cellStyle name="Percent 3 5" xfId="8458" xr:uid="{00000000-0005-0000-0000-0000F92D0000}"/>
    <cellStyle name="Percent 3 5 2" xfId="8459" xr:uid="{00000000-0005-0000-0000-0000FA2D0000}"/>
    <cellStyle name="Percent 3 6" xfId="8460" xr:uid="{00000000-0005-0000-0000-0000FB2D0000}"/>
    <cellStyle name="Percent 3 6 2" xfId="8461" xr:uid="{00000000-0005-0000-0000-0000FC2D0000}"/>
    <cellStyle name="Percent 3 6 2 2" xfId="8462" xr:uid="{00000000-0005-0000-0000-0000FD2D0000}"/>
    <cellStyle name="Percent 3 6 2 2 2" xfId="8463" xr:uid="{00000000-0005-0000-0000-0000FE2D0000}"/>
    <cellStyle name="Percent 3 6 2 3" xfId="8464" xr:uid="{00000000-0005-0000-0000-0000FF2D0000}"/>
    <cellStyle name="Percent 3 6 2 3 2" xfId="8465" xr:uid="{00000000-0005-0000-0000-0000002E0000}"/>
    <cellStyle name="Percent 3 6 2 4" xfId="8466" xr:uid="{00000000-0005-0000-0000-0000012E0000}"/>
    <cellStyle name="Percent 3 6 3" xfId="8467" xr:uid="{00000000-0005-0000-0000-0000022E0000}"/>
    <cellStyle name="Percent 3 6 3 2" xfId="8468" xr:uid="{00000000-0005-0000-0000-0000032E0000}"/>
    <cellStyle name="Percent 3 6 4" xfId="8469" xr:uid="{00000000-0005-0000-0000-0000042E0000}"/>
    <cellStyle name="Percent 3 6 4 2" xfId="8470" xr:uid="{00000000-0005-0000-0000-0000052E0000}"/>
    <cellStyle name="Percent 3 6 5" xfId="8471" xr:uid="{00000000-0005-0000-0000-0000062E0000}"/>
    <cellStyle name="Percent 3 7" xfId="8472" xr:uid="{00000000-0005-0000-0000-0000072E0000}"/>
    <cellStyle name="Percent 3 7 2" xfId="8473" xr:uid="{00000000-0005-0000-0000-0000082E0000}"/>
    <cellStyle name="Percent 3 7 2 2" xfId="8474" xr:uid="{00000000-0005-0000-0000-0000092E0000}"/>
    <cellStyle name="Percent 3 7 3" xfId="8475" xr:uid="{00000000-0005-0000-0000-00000A2E0000}"/>
    <cellStyle name="Percent 3 7 3 2" xfId="8476" xr:uid="{00000000-0005-0000-0000-00000B2E0000}"/>
    <cellStyle name="Percent 3 7 4" xfId="8477" xr:uid="{00000000-0005-0000-0000-00000C2E0000}"/>
    <cellStyle name="Percent 3 8" xfId="8478" xr:uid="{00000000-0005-0000-0000-00000D2E0000}"/>
    <cellStyle name="Percent 3 8 2" xfId="8479" xr:uid="{00000000-0005-0000-0000-00000E2E0000}"/>
    <cellStyle name="Percent 3 9" xfId="8480" xr:uid="{00000000-0005-0000-0000-00000F2E0000}"/>
    <cellStyle name="Percent 3 9 2" xfId="8481" xr:uid="{00000000-0005-0000-0000-0000102E0000}"/>
    <cellStyle name="Percent 4" xfId="8482" xr:uid="{00000000-0005-0000-0000-0000112E0000}"/>
    <cellStyle name="Percent 4 2" xfId="8483" xr:uid="{00000000-0005-0000-0000-0000122E0000}"/>
    <cellStyle name="Percent 4 2 2" xfId="8484" xr:uid="{00000000-0005-0000-0000-0000132E0000}"/>
    <cellStyle name="Percent 4 3" xfId="8485" xr:uid="{00000000-0005-0000-0000-0000142E0000}"/>
    <cellStyle name="Percent 4 3 2" xfId="8486" xr:uid="{00000000-0005-0000-0000-0000152E0000}"/>
    <cellStyle name="Percent 4 4" xfId="8487" xr:uid="{00000000-0005-0000-0000-0000162E0000}"/>
    <cellStyle name="Percent 4 4 2" xfId="8488" xr:uid="{00000000-0005-0000-0000-0000172E0000}"/>
    <cellStyle name="Percent 4 4 2 2" xfId="8489" xr:uid="{00000000-0005-0000-0000-0000182E0000}"/>
    <cellStyle name="Percent 4 4 3" xfId="8490" xr:uid="{00000000-0005-0000-0000-0000192E0000}"/>
    <cellStyle name="Percent 4 5" xfId="8491" xr:uid="{00000000-0005-0000-0000-00001A2E0000}"/>
    <cellStyle name="Percent 5" xfId="8492" xr:uid="{00000000-0005-0000-0000-00001B2E0000}"/>
    <cellStyle name="Percent 5 2" xfId="8493" xr:uid="{00000000-0005-0000-0000-00001C2E0000}"/>
    <cellStyle name="Percent 5 2 2" xfId="8494" xr:uid="{00000000-0005-0000-0000-00001D2E0000}"/>
    <cellStyle name="Percent 5 2 2 2" xfId="8495" xr:uid="{00000000-0005-0000-0000-00001E2E0000}"/>
    <cellStyle name="Percent 5 2 2 2 2" xfId="8496" xr:uid="{00000000-0005-0000-0000-00001F2E0000}"/>
    <cellStyle name="Percent 5 2 2 2 2 2" xfId="8497" xr:uid="{00000000-0005-0000-0000-0000202E0000}"/>
    <cellStyle name="Percent 5 2 2 2 2 2 2" xfId="8498" xr:uid="{00000000-0005-0000-0000-0000212E0000}"/>
    <cellStyle name="Percent 5 2 2 2 2 3" xfId="8499" xr:uid="{00000000-0005-0000-0000-0000222E0000}"/>
    <cellStyle name="Percent 5 2 2 2 2 3 2" xfId="8500" xr:uid="{00000000-0005-0000-0000-0000232E0000}"/>
    <cellStyle name="Percent 5 2 2 2 2 4" xfId="8501" xr:uid="{00000000-0005-0000-0000-0000242E0000}"/>
    <cellStyle name="Percent 5 2 2 2 3" xfId="8502" xr:uid="{00000000-0005-0000-0000-0000252E0000}"/>
    <cellStyle name="Percent 5 2 2 2 3 2" xfId="8503" xr:uid="{00000000-0005-0000-0000-0000262E0000}"/>
    <cellStyle name="Percent 5 2 2 2 4" xfId="8504" xr:uid="{00000000-0005-0000-0000-0000272E0000}"/>
    <cellStyle name="Percent 5 2 2 2 4 2" xfId="8505" xr:uid="{00000000-0005-0000-0000-0000282E0000}"/>
    <cellStyle name="Percent 5 2 2 2 5" xfId="8506" xr:uid="{00000000-0005-0000-0000-0000292E0000}"/>
    <cellStyle name="Percent 5 2 2 3" xfId="8507" xr:uid="{00000000-0005-0000-0000-00002A2E0000}"/>
    <cellStyle name="Percent 5 2 2 3 2" xfId="8508" xr:uid="{00000000-0005-0000-0000-00002B2E0000}"/>
    <cellStyle name="Percent 5 2 2 3 2 2" xfId="8509" xr:uid="{00000000-0005-0000-0000-00002C2E0000}"/>
    <cellStyle name="Percent 5 2 2 3 3" xfId="8510" xr:uid="{00000000-0005-0000-0000-00002D2E0000}"/>
    <cellStyle name="Percent 5 2 2 3 3 2" xfId="8511" xr:uid="{00000000-0005-0000-0000-00002E2E0000}"/>
    <cellStyle name="Percent 5 2 2 3 4" xfId="8512" xr:uid="{00000000-0005-0000-0000-00002F2E0000}"/>
    <cellStyle name="Percent 5 2 2 4" xfId="8513" xr:uid="{00000000-0005-0000-0000-0000302E0000}"/>
    <cellStyle name="Percent 5 2 2 4 2" xfId="8514" xr:uid="{00000000-0005-0000-0000-0000312E0000}"/>
    <cellStyle name="Percent 5 2 2 5" xfId="8515" xr:uid="{00000000-0005-0000-0000-0000322E0000}"/>
    <cellStyle name="Percent 5 2 2 5 2" xfId="8516" xr:uid="{00000000-0005-0000-0000-0000332E0000}"/>
    <cellStyle name="Percent 5 2 2 6" xfId="8517" xr:uid="{00000000-0005-0000-0000-0000342E0000}"/>
    <cellStyle name="Percent 5 2 3" xfId="8518" xr:uid="{00000000-0005-0000-0000-0000352E0000}"/>
    <cellStyle name="Percent 5 2 3 2" xfId="8519" xr:uid="{00000000-0005-0000-0000-0000362E0000}"/>
    <cellStyle name="Percent 5 2 3 2 2" xfId="8520" xr:uid="{00000000-0005-0000-0000-0000372E0000}"/>
    <cellStyle name="Percent 5 2 3 2 2 2" xfId="8521" xr:uid="{00000000-0005-0000-0000-0000382E0000}"/>
    <cellStyle name="Percent 5 2 3 2 3" xfId="8522" xr:uid="{00000000-0005-0000-0000-0000392E0000}"/>
    <cellStyle name="Percent 5 2 3 2 3 2" xfId="8523" xr:uid="{00000000-0005-0000-0000-00003A2E0000}"/>
    <cellStyle name="Percent 5 2 3 2 4" xfId="8524" xr:uid="{00000000-0005-0000-0000-00003B2E0000}"/>
    <cellStyle name="Percent 5 2 3 3" xfId="8525" xr:uid="{00000000-0005-0000-0000-00003C2E0000}"/>
    <cellStyle name="Percent 5 2 3 3 2" xfId="8526" xr:uid="{00000000-0005-0000-0000-00003D2E0000}"/>
    <cellStyle name="Percent 5 2 3 4" xfId="8527" xr:uid="{00000000-0005-0000-0000-00003E2E0000}"/>
    <cellStyle name="Percent 5 2 3 4 2" xfId="8528" xr:uid="{00000000-0005-0000-0000-00003F2E0000}"/>
    <cellStyle name="Percent 5 2 3 5" xfId="8529" xr:uid="{00000000-0005-0000-0000-0000402E0000}"/>
    <cellStyle name="Percent 5 2 4" xfId="8530" xr:uid="{00000000-0005-0000-0000-0000412E0000}"/>
    <cellStyle name="Percent 5 2 4 2" xfId="8531" xr:uid="{00000000-0005-0000-0000-0000422E0000}"/>
    <cellStyle name="Percent 5 2 4 2 2" xfId="8532" xr:uid="{00000000-0005-0000-0000-0000432E0000}"/>
    <cellStyle name="Percent 5 2 4 3" xfId="8533" xr:uid="{00000000-0005-0000-0000-0000442E0000}"/>
    <cellStyle name="Percent 5 2 4 3 2" xfId="8534" xr:uid="{00000000-0005-0000-0000-0000452E0000}"/>
    <cellStyle name="Percent 5 2 4 4" xfId="8535" xr:uid="{00000000-0005-0000-0000-0000462E0000}"/>
    <cellStyle name="Percent 5 2 5" xfId="8536" xr:uid="{00000000-0005-0000-0000-0000472E0000}"/>
    <cellStyle name="Percent 5 2 5 2" xfId="8537" xr:uid="{00000000-0005-0000-0000-0000482E0000}"/>
    <cellStyle name="Percent 5 2 6" xfId="8538" xr:uid="{00000000-0005-0000-0000-0000492E0000}"/>
    <cellStyle name="Percent 5 2 6 2" xfId="8539" xr:uid="{00000000-0005-0000-0000-00004A2E0000}"/>
    <cellStyle name="Percent 5 2 7" xfId="8540" xr:uid="{00000000-0005-0000-0000-00004B2E0000}"/>
    <cellStyle name="Percent 5 3" xfId="8541" xr:uid="{00000000-0005-0000-0000-00004C2E0000}"/>
    <cellStyle name="Percent 5 3 2" xfId="8542" xr:uid="{00000000-0005-0000-0000-00004D2E0000}"/>
    <cellStyle name="Percent 5 3 2 2" xfId="8543" xr:uid="{00000000-0005-0000-0000-00004E2E0000}"/>
    <cellStyle name="Percent 5 3 2 2 2" xfId="8544" xr:uid="{00000000-0005-0000-0000-00004F2E0000}"/>
    <cellStyle name="Percent 5 3 2 2 2 2" xfId="8545" xr:uid="{00000000-0005-0000-0000-0000502E0000}"/>
    <cellStyle name="Percent 5 3 2 2 3" xfId="8546" xr:uid="{00000000-0005-0000-0000-0000512E0000}"/>
    <cellStyle name="Percent 5 3 2 2 3 2" xfId="8547" xr:uid="{00000000-0005-0000-0000-0000522E0000}"/>
    <cellStyle name="Percent 5 3 2 2 4" xfId="8548" xr:uid="{00000000-0005-0000-0000-0000532E0000}"/>
    <cellStyle name="Percent 5 3 2 3" xfId="8549" xr:uid="{00000000-0005-0000-0000-0000542E0000}"/>
    <cellStyle name="Percent 5 3 2 3 2" xfId="8550" xr:uid="{00000000-0005-0000-0000-0000552E0000}"/>
    <cellStyle name="Percent 5 3 2 4" xfId="8551" xr:uid="{00000000-0005-0000-0000-0000562E0000}"/>
    <cellStyle name="Percent 5 3 2 4 2" xfId="8552" xr:uid="{00000000-0005-0000-0000-0000572E0000}"/>
    <cellStyle name="Percent 5 3 2 5" xfId="8553" xr:uid="{00000000-0005-0000-0000-0000582E0000}"/>
    <cellStyle name="Percent 5 3 3" xfId="8554" xr:uid="{00000000-0005-0000-0000-0000592E0000}"/>
    <cellStyle name="Percent 5 3 3 2" xfId="8555" xr:uid="{00000000-0005-0000-0000-00005A2E0000}"/>
    <cellStyle name="Percent 5 3 3 2 2" xfId="8556" xr:uid="{00000000-0005-0000-0000-00005B2E0000}"/>
    <cellStyle name="Percent 5 3 3 3" xfId="8557" xr:uid="{00000000-0005-0000-0000-00005C2E0000}"/>
    <cellStyle name="Percent 5 3 3 3 2" xfId="8558" xr:uid="{00000000-0005-0000-0000-00005D2E0000}"/>
    <cellStyle name="Percent 5 3 3 4" xfId="8559" xr:uid="{00000000-0005-0000-0000-00005E2E0000}"/>
    <cellStyle name="Percent 5 3 4" xfId="8560" xr:uid="{00000000-0005-0000-0000-00005F2E0000}"/>
    <cellStyle name="Percent 5 3 4 2" xfId="8561" xr:uid="{00000000-0005-0000-0000-0000602E0000}"/>
    <cellStyle name="Percent 5 3 5" xfId="8562" xr:uid="{00000000-0005-0000-0000-0000612E0000}"/>
    <cellStyle name="Percent 5 3 5 2" xfId="8563" xr:uid="{00000000-0005-0000-0000-0000622E0000}"/>
    <cellStyle name="Percent 5 3 6" xfId="8564" xr:uid="{00000000-0005-0000-0000-0000632E0000}"/>
    <cellStyle name="Percent 5 4" xfId="8565" xr:uid="{00000000-0005-0000-0000-0000642E0000}"/>
    <cellStyle name="Percent 5 4 2" xfId="8566" xr:uid="{00000000-0005-0000-0000-0000652E0000}"/>
    <cellStyle name="Percent 5 4 2 2" xfId="8567" xr:uid="{00000000-0005-0000-0000-0000662E0000}"/>
    <cellStyle name="Percent 5 4 2 2 2" xfId="8568" xr:uid="{00000000-0005-0000-0000-0000672E0000}"/>
    <cellStyle name="Percent 5 4 2 3" xfId="8569" xr:uid="{00000000-0005-0000-0000-0000682E0000}"/>
    <cellStyle name="Percent 5 4 2 3 2" xfId="8570" xr:uid="{00000000-0005-0000-0000-0000692E0000}"/>
    <cellStyle name="Percent 5 4 2 4" xfId="8571" xr:uid="{00000000-0005-0000-0000-00006A2E0000}"/>
    <cellStyle name="Percent 5 4 3" xfId="8572" xr:uid="{00000000-0005-0000-0000-00006B2E0000}"/>
    <cellStyle name="Percent 5 4 3 2" xfId="8573" xr:uid="{00000000-0005-0000-0000-00006C2E0000}"/>
    <cellStyle name="Percent 5 4 4" xfId="8574" xr:uid="{00000000-0005-0000-0000-00006D2E0000}"/>
    <cellStyle name="Percent 5 4 4 2" xfId="8575" xr:uid="{00000000-0005-0000-0000-00006E2E0000}"/>
    <cellStyle name="Percent 5 4 5" xfId="8576" xr:uid="{00000000-0005-0000-0000-00006F2E0000}"/>
    <cellStyle name="Percent 5 5" xfId="8577" xr:uid="{00000000-0005-0000-0000-0000702E0000}"/>
    <cellStyle name="Percent 5 5 2" xfId="8578" xr:uid="{00000000-0005-0000-0000-0000712E0000}"/>
    <cellStyle name="Percent 5 5 2 2" xfId="8579" xr:uid="{00000000-0005-0000-0000-0000722E0000}"/>
    <cellStyle name="Percent 5 5 3" xfId="8580" xr:uid="{00000000-0005-0000-0000-0000732E0000}"/>
    <cellStyle name="Percent 5 5 3 2" xfId="8581" xr:uid="{00000000-0005-0000-0000-0000742E0000}"/>
    <cellStyle name="Percent 5 5 4" xfId="8582" xr:uid="{00000000-0005-0000-0000-0000752E0000}"/>
    <cellStyle name="Percent 5 6" xfId="8583" xr:uid="{00000000-0005-0000-0000-0000762E0000}"/>
    <cellStyle name="Percent 5 6 2" xfId="8584" xr:uid="{00000000-0005-0000-0000-0000772E0000}"/>
    <cellStyle name="Percent 5 7" xfId="8585" xr:uid="{00000000-0005-0000-0000-0000782E0000}"/>
    <cellStyle name="Percent 5 7 2" xfId="8586" xr:uid="{00000000-0005-0000-0000-0000792E0000}"/>
    <cellStyle name="Percent 5 8" xfId="8587" xr:uid="{00000000-0005-0000-0000-00007A2E0000}"/>
    <cellStyle name="Percent 6" xfId="8588" xr:uid="{00000000-0005-0000-0000-00007B2E0000}"/>
    <cellStyle name="Percent 6 2" xfId="8589" xr:uid="{00000000-0005-0000-0000-00007C2E0000}"/>
    <cellStyle name="Percent 6 2 2" xfId="8590" xr:uid="{00000000-0005-0000-0000-00007D2E0000}"/>
    <cellStyle name="Percent 6 2 2 2" xfId="8591" xr:uid="{00000000-0005-0000-0000-00007E2E0000}"/>
    <cellStyle name="Percent 6 2 2 2 2" xfId="8592" xr:uid="{00000000-0005-0000-0000-00007F2E0000}"/>
    <cellStyle name="Percent 6 2 2 2 2 2" xfId="8593" xr:uid="{00000000-0005-0000-0000-0000802E0000}"/>
    <cellStyle name="Percent 6 2 2 2 3" xfId="8594" xr:uid="{00000000-0005-0000-0000-0000812E0000}"/>
    <cellStyle name="Percent 6 2 2 2 3 2" xfId="8595" xr:uid="{00000000-0005-0000-0000-0000822E0000}"/>
    <cellStyle name="Percent 6 2 2 2 4" xfId="8596" xr:uid="{00000000-0005-0000-0000-0000832E0000}"/>
    <cellStyle name="Percent 6 2 2 3" xfId="8597" xr:uid="{00000000-0005-0000-0000-0000842E0000}"/>
    <cellStyle name="Percent 6 2 2 3 2" xfId="8598" xr:uid="{00000000-0005-0000-0000-0000852E0000}"/>
    <cellStyle name="Percent 6 2 2 4" xfId="8599" xr:uid="{00000000-0005-0000-0000-0000862E0000}"/>
    <cellStyle name="Percent 6 2 2 4 2" xfId="8600" xr:uid="{00000000-0005-0000-0000-0000872E0000}"/>
    <cellStyle name="Percent 6 2 2 5" xfId="8601" xr:uid="{00000000-0005-0000-0000-0000882E0000}"/>
    <cellStyle name="Percent 6 2 3" xfId="8602" xr:uid="{00000000-0005-0000-0000-0000892E0000}"/>
    <cellStyle name="Percent 6 2 3 2" xfId="8603" xr:uid="{00000000-0005-0000-0000-00008A2E0000}"/>
    <cellStyle name="Percent 6 2 3 2 2" xfId="8604" xr:uid="{00000000-0005-0000-0000-00008B2E0000}"/>
    <cellStyle name="Percent 6 2 3 3" xfId="8605" xr:uid="{00000000-0005-0000-0000-00008C2E0000}"/>
    <cellStyle name="Percent 6 2 3 3 2" xfId="8606" xr:uid="{00000000-0005-0000-0000-00008D2E0000}"/>
    <cellStyle name="Percent 6 2 3 4" xfId="8607" xr:uid="{00000000-0005-0000-0000-00008E2E0000}"/>
    <cellStyle name="Percent 6 2 4" xfId="8608" xr:uid="{00000000-0005-0000-0000-00008F2E0000}"/>
    <cellStyle name="Percent 6 2 4 2" xfId="8609" xr:uid="{00000000-0005-0000-0000-0000902E0000}"/>
    <cellStyle name="Percent 6 2 5" xfId="8610" xr:uid="{00000000-0005-0000-0000-0000912E0000}"/>
    <cellStyle name="Percent 6 2 5 2" xfId="8611" xr:uid="{00000000-0005-0000-0000-0000922E0000}"/>
    <cellStyle name="Percent 6 2 6" xfId="8612" xr:uid="{00000000-0005-0000-0000-0000932E0000}"/>
    <cellStyle name="Percent 6 3" xfId="8613" xr:uid="{00000000-0005-0000-0000-0000942E0000}"/>
    <cellStyle name="Percent 6 3 2" xfId="8614" xr:uid="{00000000-0005-0000-0000-0000952E0000}"/>
    <cellStyle name="Percent 6 3 2 2" xfId="8615" xr:uid="{00000000-0005-0000-0000-0000962E0000}"/>
    <cellStyle name="Percent 6 3 2 2 2" xfId="8616" xr:uid="{00000000-0005-0000-0000-0000972E0000}"/>
    <cellStyle name="Percent 6 3 2 3" xfId="8617" xr:uid="{00000000-0005-0000-0000-0000982E0000}"/>
    <cellStyle name="Percent 6 3 2 3 2" xfId="8618" xr:uid="{00000000-0005-0000-0000-0000992E0000}"/>
    <cellStyle name="Percent 6 3 2 4" xfId="8619" xr:uid="{00000000-0005-0000-0000-00009A2E0000}"/>
    <cellStyle name="Percent 6 3 3" xfId="8620" xr:uid="{00000000-0005-0000-0000-00009B2E0000}"/>
    <cellStyle name="Percent 6 3 3 2" xfId="8621" xr:uid="{00000000-0005-0000-0000-00009C2E0000}"/>
    <cellStyle name="Percent 6 3 4" xfId="8622" xr:uid="{00000000-0005-0000-0000-00009D2E0000}"/>
    <cellStyle name="Percent 6 3 4 2" xfId="8623" xr:uid="{00000000-0005-0000-0000-00009E2E0000}"/>
    <cellStyle name="Percent 6 3 5" xfId="8624" xr:uid="{00000000-0005-0000-0000-00009F2E0000}"/>
    <cellStyle name="Percent 6 4" xfId="8625" xr:uid="{00000000-0005-0000-0000-0000A02E0000}"/>
    <cellStyle name="Percent 6 4 2" xfId="8626" xr:uid="{00000000-0005-0000-0000-0000A12E0000}"/>
    <cellStyle name="Percent 6 4 2 2" xfId="8627" xr:uid="{00000000-0005-0000-0000-0000A22E0000}"/>
    <cellStyle name="Percent 6 4 3" xfId="8628" xr:uid="{00000000-0005-0000-0000-0000A32E0000}"/>
    <cellStyle name="Percent 6 4 3 2" xfId="8629" xr:uid="{00000000-0005-0000-0000-0000A42E0000}"/>
    <cellStyle name="Percent 6 4 4" xfId="8630" xr:uid="{00000000-0005-0000-0000-0000A52E0000}"/>
    <cellStyle name="Percent 6 5" xfId="8631" xr:uid="{00000000-0005-0000-0000-0000A62E0000}"/>
    <cellStyle name="Percent 6 5 2" xfId="8632" xr:uid="{00000000-0005-0000-0000-0000A72E0000}"/>
    <cellStyle name="Percent 6 6" xfId="8633" xr:uid="{00000000-0005-0000-0000-0000A82E0000}"/>
    <cellStyle name="Percent 6 6 2" xfId="8634" xr:uid="{00000000-0005-0000-0000-0000A92E0000}"/>
    <cellStyle name="Percent 6 7" xfId="8635" xr:uid="{00000000-0005-0000-0000-0000AA2E0000}"/>
    <cellStyle name="Percent 7" xfId="8636" xr:uid="{00000000-0005-0000-0000-0000AB2E0000}"/>
    <cellStyle name="Percent 7 2" xfId="8637" xr:uid="{00000000-0005-0000-0000-0000AC2E0000}"/>
    <cellStyle name="Percent 7 2 2" xfId="8638" xr:uid="{00000000-0005-0000-0000-0000AD2E0000}"/>
    <cellStyle name="Percent 7 2 2 2" xfId="8639" xr:uid="{00000000-0005-0000-0000-0000AE2E0000}"/>
    <cellStyle name="Percent 7 2 2 2 2" xfId="8640" xr:uid="{00000000-0005-0000-0000-0000AF2E0000}"/>
    <cellStyle name="Percent 7 2 2 2 2 2" xfId="8641" xr:uid="{00000000-0005-0000-0000-0000B02E0000}"/>
    <cellStyle name="Percent 7 2 2 2 3" xfId="8642" xr:uid="{00000000-0005-0000-0000-0000B12E0000}"/>
    <cellStyle name="Percent 7 2 2 2 3 2" xfId="8643" xr:uid="{00000000-0005-0000-0000-0000B22E0000}"/>
    <cellStyle name="Percent 7 2 2 2 4" xfId="8644" xr:uid="{00000000-0005-0000-0000-0000B32E0000}"/>
    <cellStyle name="Percent 7 2 2 3" xfId="8645" xr:uid="{00000000-0005-0000-0000-0000B42E0000}"/>
    <cellStyle name="Percent 7 2 2 3 2" xfId="8646" xr:uid="{00000000-0005-0000-0000-0000B52E0000}"/>
    <cellStyle name="Percent 7 2 2 4" xfId="8647" xr:uid="{00000000-0005-0000-0000-0000B62E0000}"/>
    <cellStyle name="Percent 7 2 2 4 2" xfId="8648" xr:uid="{00000000-0005-0000-0000-0000B72E0000}"/>
    <cellStyle name="Percent 7 2 2 5" xfId="8649" xr:uid="{00000000-0005-0000-0000-0000B82E0000}"/>
    <cellStyle name="Percent 7 2 3" xfId="8650" xr:uid="{00000000-0005-0000-0000-0000B92E0000}"/>
    <cellStyle name="Percent 7 2 3 2" xfId="8651" xr:uid="{00000000-0005-0000-0000-0000BA2E0000}"/>
    <cellStyle name="Percent 7 2 3 2 2" xfId="8652" xr:uid="{00000000-0005-0000-0000-0000BB2E0000}"/>
    <cellStyle name="Percent 7 2 3 3" xfId="8653" xr:uid="{00000000-0005-0000-0000-0000BC2E0000}"/>
    <cellStyle name="Percent 7 2 3 3 2" xfId="8654" xr:uid="{00000000-0005-0000-0000-0000BD2E0000}"/>
    <cellStyle name="Percent 7 2 3 4" xfId="8655" xr:uid="{00000000-0005-0000-0000-0000BE2E0000}"/>
    <cellStyle name="Percent 7 2 4" xfId="8656" xr:uid="{00000000-0005-0000-0000-0000BF2E0000}"/>
    <cellStyle name="Percent 7 2 4 2" xfId="8657" xr:uid="{00000000-0005-0000-0000-0000C02E0000}"/>
    <cellStyle name="Percent 7 2 5" xfId="8658" xr:uid="{00000000-0005-0000-0000-0000C12E0000}"/>
    <cellStyle name="Percent 7 2 5 2" xfId="8659" xr:uid="{00000000-0005-0000-0000-0000C22E0000}"/>
    <cellStyle name="Percent 7 2 6" xfId="8660" xr:uid="{00000000-0005-0000-0000-0000C32E0000}"/>
    <cellStyle name="Percent 7 3" xfId="8661" xr:uid="{00000000-0005-0000-0000-0000C42E0000}"/>
    <cellStyle name="Percent 7 3 2" xfId="8662" xr:uid="{00000000-0005-0000-0000-0000C52E0000}"/>
    <cellStyle name="Percent 7 3 2 2" xfId="8663" xr:uid="{00000000-0005-0000-0000-0000C62E0000}"/>
    <cellStyle name="Percent 7 3 2 2 2" xfId="8664" xr:uid="{00000000-0005-0000-0000-0000C72E0000}"/>
    <cellStyle name="Percent 7 3 2 3" xfId="8665" xr:uid="{00000000-0005-0000-0000-0000C82E0000}"/>
    <cellStyle name="Percent 7 3 2 3 2" xfId="8666" xr:uid="{00000000-0005-0000-0000-0000C92E0000}"/>
    <cellStyle name="Percent 7 3 2 4" xfId="8667" xr:uid="{00000000-0005-0000-0000-0000CA2E0000}"/>
    <cellStyle name="Percent 7 3 3" xfId="8668" xr:uid="{00000000-0005-0000-0000-0000CB2E0000}"/>
    <cellStyle name="Percent 7 3 3 2" xfId="8669" xr:uid="{00000000-0005-0000-0000-0000CC2E0000}"/>
    <cellStyle name="Percent 7 3 4" xfId="8670" xr:uid="{00000000-0005-0000-0000-0000CD2E0000}"/>
    <cellStyle name="Percent 7 3 4 2" xfId="8671" xr:uid="{00000000-0005-0000-0000-0000CE2E0000}"/>
    <cellStyle name="Percent 7 3 5" xfId="8672" xr:uid="{00000000-0005-0000-0000-0000CF2E0000}"/>
    <cellStyle name="Percent 7 4" xfId="8673" xr:uid="{00000000-0005-0000-0000-0000D02E0000}"/>
    <cellStyle name="Percent 7 4 2" xfId="8674" xr:uid="{00000000-0005-0000-0000-0000D12E0000}"/>
    <cellStyle name="Percent 7 4 2 2" xfId="8675" xr:uid="{00000000-0005-0000-0000-0000D22E0000}"/>
    <cellStyle name="Percent 7 4 3" xfId="8676" xr:uid="{00000000-0005-0000-0000-0000D32E0000}"/>
    <cellStyle name="Percent 7 4 3 2" xfId="8677" xr:uid="{00000000-0005-0000-0000-0000D42E0000}"/>
    <cellStyle name="Percent 7 4 4" xfId="8678" xr:uid="{00000000-0005-0000-0000-0000D52E0000}"/>
    <cellStyle name="Percent 7 5" xfId="8679" xr:uid="{00000000-0005-0000-0000-0000D62E0000}"/>
    <cellStyle name="Percent 7 5 2" xfId="8680" xr:uid="{00000000-0005-0000-0000-0000D72E0000}"/>
    <cellStyle name="Percent 7 6" xfId="8681" xr:uid="{00000000-0005-0000-0000-0000D82E0000}"/>
    <cellStyle name="Percent 7 6 2" xfId="8682" xr:uid="{00000000-0005-0000-0000-0000D92E0000}"/>
    <cellStyle name="Percent 7 7" xfId="8683" xr:uid="{00000000-0005-0000-0000-0000DA2E0000}"/>
    <cellStyle name="Percent 8" xfId="8684" xr:uid="{00000000-0005-0000-0000-0000DB2E0000}"/>
    <cellStyle name="Percent 8 2" xfId="8685" xr:uid="{00000000-0005-0000-0000-0000DC2E0000}"/>
    <cellStyle name="Percent 8 2 2" xfId="8686" xr:uid="{00000000-0005-0000-0000-0000DD2E0000}"/>
    <cellStyle name="Percent 8 2 2 2" xfId="8687" xr:uid="{00000000-0005-0000-0000-0000DE2E0000}"/>
    <cellStyle name="Percent 8 2 2 2 2" xfId="8688" xr:uid="{00000000-0005-0000-0000-0000DF2E0000}"/>
    <cellStyle name="Percent 8 2 2 3" xfId="8689" xr:uid="{00000000-0005-0000-0000-0000E02E0000}"/>
    <cellStyle name="Percent 8 2 2 3 2" xfId="8690" xr:uid="{00000000-0005-0000-0000-0000E12E0000}"/>
    <cellStyle name="Percent 8 2 2 4" xfId="8691" xr:uid="{00000000-0005-0000-0000-0000E22E0000}"/>
    <cellStyle name="Percent 8 2 3" xfId="8692" xr:uid="{00000000-0005-0000-0000-0000E32E0000}"/>
    <cellStyle name="Percent 8 2 3 2" xfId="8693" xr:uid="{00000000-0005-0000-0000-0000E42E0000}"/>
    <cellStyle name="Percent 8 2 4" xfId="8694" xr:uid="{00000000-0005-0000-0000-0000E52E0000}"/>
    <cellStyle name="Percent 8 2 4 2" xfId="8695" xr:uid="{00000000-0005-0000-0000-0000E62E0000}"/>
    <cellStyle name="Percent 8 2 5" xfId="8696" xr:uid="{00000000-0005-0000-0000-0000E72E0000}"/>
    <cellStyle name="Percent 8 3" xfId="8697" xr:uid="{00000000-0005-0000-0000-0000E82E0000}"/>
    <cellStyle name="Percent 8 3 2" xfId="8698" xr:uid="{00000000-0005-0000-0000-0000E92E0000}"/>
    <cellStyle name="Percent 8 3 2 2" xfId="8699" xr:uid="{00000000-0005-0000-0000-0000EA2E0000}"/>
    <cellStyle name="Percent 8 3 3" xfId="8700" xr:uid="{00000000-0005-0000-0000-0000EB2E0000}"/>
    <cellStyle name="Percent 8 3 3 2" xfId="8701" xr:uid="{00000000-0005-0000-0000-0000EC2E0000}"/>
    <cellStyle name="Percent 8 3 4" xfId="8702" xr:uid="{00000000-0005-0000-0000-0000ED2E0000}"/>
    <cellStyle name="Percent 8 4" xfId="8703" xr:uid="{00000000-0005-0000-0000-0000EE2E0000}"/>
    <cellStyle name="Percent 8 4 2" xfId="8704" xr:uid="{00000000-0005-0000-0000-0000EF2E0000}"/>
    <cellStyle name="Percent 8 5" xfId="8705" xr:uid="{00000000-0005-0000-0000-0000F02E0000}"/>
    <cellStyle name="Percent 8 5 2" xfId="8706" xr:uid="{00000000-0005-0000-0000-0000F12E0000}"/>
    <cellStyle name="Percent 8 6" xfId="8707" xr:uid="{00000000-0005-0000-0000-0000F22E0000}"/>
    <cellStyle name="Percent 8 7" xfId="8708" xr:uid="{00000000-0005-0000-0000-0000F32E0000}"/>
    <cellStyle name="Percent 9" xfId="8709" xr:uid="{00000000-0005-0000-0000-0000F42E0000}"/>
    <cellStyle name="Percent 9 2" xfId="8710" xr:uid="{00000000-0005-0000-0000-0000F52E0000}"/>
    <cellStyle name="Percent 9 3" xfId="8711" xr:uid="{00000000-0005-0000-0000-0000F62E0000}"/>
    <cellStyle name="Percent 9 4" xfId="8712" xr:uid="{00000000-0005-0000-0000-0000F72E0000}"/>
    <cellStyle name="Percent(1)" xfId="8713" xr:uid="{00000000-0005-0000-0000-0000F82E0000}"/>
    <cellStyle name="Percent(2)" xfId="8714" xr:uid="{00000000-0005-0000-0000-0000F92E0000}"/>
    <cellStyle name="Posting_Period" xfId="8715" xr:uid="{00000000-0005-0000-0000-0000FA2E0000}"/>
    <cellStyle name="PRM" xfId="8716" xr:uid="{00000000-0005-0000-0000-0000FB2E0000}"/>
    <cellStyle name="PRM 2" xfId="8717" xr:uid="{00000000-0005-0000-0000-0000FC2E0000}"/>
    <cellStyle name="PRM 3" xfId="8718" xr:uid="{00000000-0005-0000-0000-0000FD2E0000}"/>
    <cellStyle name="PRM_2011-11" xfId="8719" xr:uid="{00000000-0005-0000-0000-0000FE2E0000}"/>
    <cellStyle name="PS_Comma" xfId="8720" xr:uid="{00000000-0005-0000-0000-0000FF2E0000}"/>
    <cellStyle name="PSChar" xfId="8721" xr:uid="{00000000-0005-0000-0000-0000002F0000}"/>
    <cellStyle name="PSDate" xfId="8722" xr:uid="{00000000-0005-0000-0000-0000012F0000}"/>
    <cellStyle name="PSDec" xfId="8723" xr:uid="{00000000-0005-0000-0000-0000022F0000}"/>
    <cellStyle name="PSHeading" xfId="8724" xr:uid="{00000000-0005-0000-0000-0000032F0000}"/>
    <cellStyle name="PSHeading 2" xfId="8725" xr:uid="{00000000-0005-0000-0000-0000042F0000}"/>
    <cellStyle name="PSHeading 2 2" xfId="8726" xr:uid="{00000000-0005-0000-0000-0000052F0000}"/>
    <cellStyle name="PSInt" xfId="8727" xr:uid="{00000000-0005-0000-0000-0000062F0000}"/>
    <cellStyle name="PSSpacer" xfId="8728" xr:uid="{00000000-0005-0000-0000-0000072F0000}"/>
    <cellStyle name="Reset  - Style4" xfId="8729" xr:uid="{00000000-0005-0000-0000-0000082F0000}"/>
    <cellStyle name="Reset  - Style7" xfId="8730" xr:uid="{00000000-0005-0000-0000-0000092F0000}"/>
    <cellStyle name="STYL0 - Style1" xfId="8731" xr:uid="{00000000-0005-0000-0000-00000A2F0000}"/>
    <cellStyle name="STYL1 - Style2" xfId="8732" xr:uid="{00000000-0005-0000-0000-00000B2F0000}"/>
    <cellStyle name="STYL2 - Style3" xfId="8733" xr:uid="{00000000-0005-0000-0000-00000C2F0000}"/>
    <cellStyle name="STYL3 - Style4" xfId="8734" xr:uid="{00000000-0005-0000-0000-00000D2F0000}"/>
    <cellStyle name="STYL4 - Style5" xfId="8735" xr:uid="{00000000-0005-0000-0000-00000E2F0000}"/>
    <cellStyle name="STYL5 - Style6" xfId="8736" xr:uid="{00000000-0005-0000-0000-00000F2F0000}"/>
    <cellStyle name="STYL6 - Style7" xfId="8737" xr:uid="{00000000-0005-0000-0000-0000102F0000}"/>
    <cellStyle name="STYL7 - Style8" xfId="8738" xr:uid="{00000000-0005-0000-0000-0000112F0000}"/>
    <cellStyle name="Style 1" xfId="8739" xr:uid="{00000000-0005-0000-0000-0000122F0000}"/>
    <cellStyle name="Style 1 2" xfId="8740" xr:uid="{00000000-0005-0000-0000-0000132F0000}"/>
    <cellStyle name="Style 1 2 2" xfId="8741" xr:uid="{00000000-0005-0000-0000-0000142F0000}"/>
    <cellStyle name="Style 1 3" xfId="8742" xr:uid="{00000000-0005-0000-0000-0000152F0000}"/>
    <cellStyle name="Style 1 4" xfId="8743" xr:uid="{00000000-0005-0000-0000-0000162F0000}"/>
    <cellStyle name="Style 1_Recycle Center Commodities MRF" xfId="8744" xr:uid="{00000000-0005-0000-0000-0000172F0000}"/>
    <cellStyle name="STYLE1" xfId="8745" xr:uid="{00000000-0005-0000-0000-0000182F0000}"/>
    <cellStyle name="STYLE1 2" xfId="8746" xr:uid="{00000000-0005-0000-0000-0000192F0000}"/>
    <cellStyle name="sub heading" xfId="8747" xr:uid="{00000000-0005-0000-0000-00001A2F0000}"/>
    <cellStyle name="Table  - Style5" xfId="8748" xr:uid="{00000000-0005-0000-0000-00001B2F0000}"/>
    <cellStyle name="Table  - Style5 2" xfId="8749" xr:uid="{00000000-0005-0000-0000-00001C2F0000}"/>
    <cellStyle name="Table  - Style5 3" xfId="8750" xr:uid="{00000000-0005-0000-0000-00001D2F0000}"/>
    <cellStyle name="Table  - Style5 4" xfId="8751" xr:uid="{00000000-0005-0000-0000-00001E2F0000}"/>
    <cellStyle name="Table  - Style5 5" xfId="8752" xr:uid="{00000000-0005-0000-0000-00001F2F0000}"/>
    <cellStyle name="Table  - Style6" xfId="8753" xr:uid="{00000000-0005-0000-0000-0000202F0000}"/>
    <cellStyle name="Table  - Style6 2" xfId="8754" xr:uid="{00000000-0005-0000-0000-0000212F0000}"/>
    <cellStyle name="Table  - Style6 3" xfId="8755" xr:uid="{00000000-0005-0000-0000-0000222F0000}"/>
    <cellStyle name="Table  - Style6 4" xfId="8756" xr:uid="{00000000-0005-0000-0000-0000232F0000}"/>
    <cellStyle name="Table  - Style6 5" xfId="8757" xr:uid="{00000000-0005-0000-0000-0000242F0000}"/>
    <cellStyle name="Tax_Rate" xfId="8758" xr:uid="{00000000-0005-0000-0000-0000252F0000}"/>
    <cellStyle name="Title" xfId="8759" builtinId="15" customBuiltin="1"/>
    <cellStyle name="Title  - Style1" xfId="8760" xr:uid="{00000000-0005-0000-0000-0000272F0000}"/>
    <cellStyle name="Title  - Style6" xfId="8761" xr:uid="{00000000-0005-0000-0000-0000282F0000}"/>
    <cellStyle name="Title 10" xfId="8762" xr:uid="{00000000-0005-0000-0000-0000292F0000}"/>
    <cellStyle name="Title 11" xfId="8763" xr:uid="{00000000-0005-0000-0000-00002A2F0000}"/>
    <cellStyle name="Title 12" xfId="8764" xr:uid="{00000000-0005-0000-0000-00002B2F0000}"/>
    <cellStyle name="Title 2" xfId="8765" xr:uid="{00000000-0005-0000-0000-00002C2F0000}"/>
    <cellStyle name="Title 2 2" xfId="8766" xr:uid="{00000000-0005-0000-0000-00002D2F0000}"/>
    <cellStyle name="Title 2 2 2" xfId="8767" xr:uid="{00000000-0005-0000-0000-00002E2F0000}"/>
    <cellStyle name="Title 2 3" xfId="8768" xr:uid="{00000000-0005-0000-0000-00002F2F0000}"/>
    <cellStyle name="Title 3" xfId="8769" xr:uid="{00000000-0005-0000-0000-0000302F0000}"/>
    <cellStyle name="Title 3 2" xfId="8770" xr:uid="{00000000-0005-0000-0000-0000312F0000}"/>
    <cellStyle name="Title 4" xfId="8771" xr:uid="{00000000-0005-0000-0000-0000322F0000}"/>
    <cellStyle name="Title 5" xfId="8772" xr:uid="{00000000-0005-0000-0000-0000332F0000}"/>
    <cellStyle name="Title 6" xfId="8773" xr:uid="{00000000-0005-0000-0000-0000342F0000}"/>
    <cellStyle name="Title 7" xfId="8774" xr:uid="{00000000-0005-0000-0000-0000352F0000}"/>
    <cellStyle name="Title 8" xfId="8775" xr:uid="{00000000-0005-0000-0000-0000362F0000}"/>
    <cellStyle name="Title 9" xfId="8776" xr:uid="{00000000-0005-0000-0000-0000372F0000}"/>
    <cellStyle name="Total" xfId="8777" builtinId="25" customBuiltin="1"/>
    <cellStyle name="Total 2" xfId="8778" xr:uid="{00000000-0005-0000-0000-0000392F0000}"/>
    <cellStyle name="Total 2 2" xfId="8779" xr:uid="{00000000-0005-0000-0000-00003A2F0000}"/>
    <cellStyle name="Total 2 2 2" xfId="8780" xr:uid="{00000000-0005-0000-0000-00003B2F0000}"/>
    <cellStyle name="Total 2 2 2 2" xfId="8781" xr:uid="{00000000-0005-0000-0000-00003C2F0000}"/>
    <cellStyle name="Total 2 2 2 3" xfId="8782" xr:uid="{00000000-0005-0000-0000-00003D2F0000}"/>
    <cellStyle name="Total 2 2 2 4" xfId="8783" xr:uid="{00000000-0005-0000-0000-00003E2F0000}"/>
    <cellStyle name="Total 2 2 2 5" xfId="8784" xr:uid="{00000000-0005-0000-0000-00003F2F0000}"/>
    <cellStyle name="Total 2 2 3" xfId="8785" xr:uid="{00000000-0005-0000-0000-0000402F0000}"/>
    <cellStyle name="Total 2 2 3 2" xfId="8786" xr:uid="{00000000-0005-0000-0000-0000412F0000}"/>
    <cellStyle name="Total 2 2 3 3" xfId="8787" xr:uid="{00000000-0005-0000-0000-0000422F0000}"/>
    <cellStyle name="Total 2 2 3 4" xfId="8788" xr:uid="{00000000-0005-0000-0000-0000432F0000}"/>
    <cellStyle name="Total 2 2 3 5" xfId="8789" xr:uid="{00000000-0005-0000-0000-0000442F0000}"/>
    <cellStyle name="Total 2 3" xfId="8790" xr:uid="{00000000-0005-0000-0000-0000452F0000}"/>
    <cellStyle name="Total 2 3 2" xfId="8791" xr:uid="{00000000-0005-0000-0000-0000462F0000}"/>
    <cellStyle name="Total 2 3 2 2" xfId="8792" xr:uid="{00000000-0005-0000-0000-0000472F0000}"/>
    <cellStyle name="Total 2 3 2 3" xfId="8793" xr:uid="{00000000-0005-0000-0000-0000482F0000}"/>
    <cellStyle name="Total 2 3 2 4" xfId="8794" xr:uid="{00000000-0005-0000-0000-0000492F0000}"/>
    <cellStyle name="Total 2 3 2 5" xfId="8795" xr:uid="{00000000-0005-0000-0000-00004A2F0000}"/>
    <cellStyle name="Total 2 3 3" xfId="8796" xr:uid="{00000000-0005-0000-0000-00004B2F0000}"/>
    <cellStyle name="Total 2 3 4" xfId="8797" xr:uid="{00000000-0005-0000-0000-00004C2F0000}"/>
    <cellStyle name="Total 2 3 5" xfId="8798" xr:uid="{00000000-0005-0000-0000-00004D2F0000}"/>
    <cellStyle name="Total 2 3 6" xfId="8799" xr:uid="{00000000-0005-0000-0000-00004E2F0000}"/>
    <cellStyle name="Total 2 4" xfId="8800" xr:uid="{00000000-0005-0000-0000-00004F2F0000}"/>
    <cellStyle name="Total 2 4 2" xfId="8801" xr:uid="{00000000-0005-0000-0000-0000502F0000}"/>
    <cellStyle name="Total 2 4 2 2" xfId="8802" xr:uid="{00000000-0005-0000-0000-0000512F0000}"/>
    <cellStyle name="Total 2 4 2 3" xfId="8803" xr:uid="{00000000-0005-0000-0000-0000522F0000}"/>
    <cellStyle name="Total 2 4 2 4" xfId="8804" xr:uid="{00000000-0005-0000-0000-0000532F0000}"/>
    <cellStyle name="Total 2 4 2 5" xfId="8805" xr:uid="{00000000-0005-0000-0000-0000542F0000}"/>
    <cellStyle name="Total 2 4 3" xfId="8806" xr:uid="{00000000-0005-0000-0000-0000552F0000}"/>
    <cellStyle name="Total 2 4 4" xfId="8807" xr:uid="{00000000-0005-0000-0000-0000562F0000}"/>
    <cellStyle name="Total 2 4 5" xfId="8808" xr:uid="{00000000-0005-0000-0000-0000572F0000}"/>
    <cellStyle name="Total 2 4 6" xfId="8809" xr:uid="{00000000-0005-0000-0000-0000582F0000}"/>
    <cellStyle name="Total 2 5" xfId="8810" xr:uid="{00000000-0005-0000-0000-0000592F0000}"/>
    <cellStyle name="Total 2 5 2" xfId="8811" xr:uid="{00000000-0005-0000-0000-00005A2F0000}"/>
    <cellStyle name="Total 2 5 3" xfId="8812" xr:uid="{00000000-0005-0000-0000-00005B2F0000}"/>
    <cellStyle name="Total 2 5 4" xfId="8813" xr:uid="{00000000-0005-0000-0000-00005C2F0000}"/>
    <cellStyle name="Total 2 5 5" xfId="8814" xr:uid="{00000000-0005-0000-0000-00005D2F0000}"/>
    <cellStyle name="Total 2 6" xfId="8815" xr:uid="{00000000-0005-0000-0000-00005E2F0000}"/>
    <cellStyle name="Total 3" xfId="8816" xr:uid="{00000000-0005-0000-0000-00005F2F0000}"/>
    <cellStyle name="Total 3 2" xfId="8817" xr:uid="{00000000-0005-0000-0000-0000602F0000}"/>
    <cellStyle name="Total 3 2 2" xfId="8818" xr:uid="{00000000-0005-0000-0000-0000612F0000}"/>
    <cellStyle name="Total 3 2 2 2" xfId="8819" xr:uid="{00000000-0005-0000-0000-0000622F0000}"/>
    <cellStyle name="Total 3 2 2 3" xfId="8820" xr:uid="{00000000-0005-0000-0000-0000632F0000}"/>
    <cellStyle name="Total 3 2 2 4" xfId="8821" xr:uid="{00000000-0005-0000-0000-0000642F0000}"/>
    <cellStyle name="Total 3 2 2 5" xfId="8822" xr:uid="{00000000-0005-0000-0000-0000652F0000}"/>
    <cellStyle name="Total 3 2 3" xfId="8823" xr:uid="{00000000-0005-0000-0000-0000662F0000}"/>
    <cellStyle name="Total 3 2 3 2" xfId="8824" xr:uid="{00000000-0005-0000-0000-0000672F0000}"/>
    <cellStyle name="Total 3 2 3 3" xfId="8825" xr:uid="{00000000-0005-0000-0000-0000682F0000}"/>
    <cellStyle name="Total 3 2 3 4" xfId="8826" xr:uid="{00000000-0005-0000-0000-0000692F0000}"/>
    <cellStyle name="Total 3 2 3 5" xfId="8827" xr:uid="{00000000-0005-0000-0000-00006A2F0000}"/>
    <cellStyle name="Total 3 3" xfId="8828" xr:uid="{00000000-0005-0000-0000-00006B2F0000}"/>
    <cellStyle name="Total 3 3 2" xfId="8829" xr:uid="{00000000-0005-0000-0000-00006C2F0000}"/>
    <cellStyle name="Total 3 3 2 2" xfId="8830" xr:uid="{00000000-0005-0000-0000-00006D2F0000}"/>
    <cellStyle name="Total 3 3 2 3" xfId="8831" xr:uid="{00000000-0005-0000-0000-00006E2F0000}"/>
    <cellStyle name="Total 3 3 2 4" xfId="8832" xr:uid="{00000000-0005-0000-0000-00006F2F0000}"/>
    <cellStyle name="Total 3 3 2 5" xfId="8833" xr:uid="{00000000-0005-0000-0000-0000702F0000}"/>
    <cellStyle name="Total 3 3 3" xfId="8834" xr:uid="{00000000-0005-0000-0000-0000712F0000}"/>
    <cellStyle name="Total 3 3 4" xfId="8835" xr:uid="{00000000-0005-0000-0000-0000722F0000}"/>
    <cellStyle name="Total 3 3 5" xfId="8836" xr:uid="{00000000-0005-0000-0000-0000732F0000}"/>
    <cellStyle name="Total 3 3 6" xfId="8837" xr:uid="{00000000-0005-0000-0000-0000742F0000}"/>
    <cellStyle name="Total 3 4" xfId="8838" xr:uid="{00000000-0005-0000-0000-0000752F0000}"/>
    <cellStyle name="Total 3 4 2" xfId="8839" xr:uid="{00000000-0005-0000-0000-0000762F0000}"/>
    <cellStyle name="Total 3 4 3" xfId="8840" xr:uid="{00000000-0005-0000-0000-0000772F0000}"/>
    <cellStyle name="Total 3 4 4" xfId="8841" xr:uid="{00000000-0005-0000-0000-0000782F0000}"/>
    <cellStyle name="Total 3 4 5" xfId="8842" xr:uid="{00000000-0005-0000-0000-0000792F0000}"/>
    <cellStyle name="Total 3 5" xfId="8843" xr:uid="{00000000-0005-0000-0000-00007A2F0000}"/>
    <cellStyle name="Total 3 5 2" xfId="8844" xr:uid="{00000000-0005-0000-0000-00007B2F0000}"/>
    <cellStyle name="Total 3 5 3" xfId="8845" xr:uid="{00000000-0005-0000-0000-00007C2F0000}"/>
    <cellStyle name="Total 3 5 4" xfId="8846" xr:uid="{00000000-0005-0000-0000-00007D2F0000}"/>
    <cellStyle name="Total 3 5 5" xfId="8847" xr:uid="{00000000-0005-0000-0000-00007E2F0000}"/>
    <cellStyle name="Total 4" xfId="8848" xr:uid="{00000000-0005-0000-0000-00007F2F0000}"/>
    <cellStyle name="Total 4 2" xfId="8849" xr:uid="{00000000-0005-0000-0000-0000802F0000}"/>
    <cellStyle name="Total 4 3" xfId="8850" xr:uid="{00000000-0005-0000-0000-0000812F0000}"/>
    <cellStyle name="Total 4 3 2" xfId="8851" xr:uid="{00000000-0005-0000-0000-0000822F0000}"/>
    <cellStyle name="Total 4 3 3" xfId="8852" xr:uid="{00000000-0005-0000-0000-0000832F0000}"/>
    <cellStyle name="Total 4 3 4" xfId="8853" xr:uid="{00000000-0005-0000-0000-0000842F0000}"/>
    <cellStyle name="Total 4 3 5" xfId="8854" xr:uid="{00000000-0005-0000-0000-0000852F0000}"/>
    <cellStyle name="Total 4 4" xfId="8855" xr:uid="{00000000-0005-0000-0000-0000862F0000}"/>
    <cellStyle name="Total 4 5" xfId="8856" xr:uid="{00000000-0005-0000-0000-0000872F0000}"/>
    <cellStyle name="Total 4 6" xfId="8857" xr:uid="{00000000-0005-0000-0000-0000882F0000}"/>
    <cellStyle name="Total 4 7" xfId="8858" xr:uid="{00000000-0005-0000-0000-0000892F0000}"/>
    <cellStyle name="TotCol - Style5" xfId="8859" xr:uid="{00000000-0005-0000-0000-00008A2F0000}"/>
    <cellStyle name="TotCol - Style7" xfId="8860" xr:uid="{00000000-0005-0000-0000-00008B2F0000}"/>
    <cellStyle name="TotRow - Style4" xfId="8861" xr:uid="{00000000-0005-0000-0000-00008C2F0000}"/>
    <cellStyle name="TotRow - Style4 2" xfId="8862" xr:uid="{00000000-0005-0000-0000-00008D2F0000}"/>
    <cellStyle name="TotRow - Style4 3" xfId="8863" xr:uid="{00000000-0005-0000-0000-00008E2F0000}"/>
    <cellStyle name="TotRow - Style4 4" xfId="8864" xr:uid="{00000000-0005-0000-0000-00008F2F0000}"/>
    <cellStyle name="TotRow - Style4 5" xfId="8865" xr:uid="{00000000-0005-0000-0000-0000902F0000}"/>
    <cellStyle name="TotRow - Style8" xfId="8866" xr:uid="{00000000-0005-0000-0000-0000912F0000}"/>
    <cellStyle name="TotRow - Style8 2" xfId="8867" xr:uid="{00000000-0005-0000-0000-0000922F0000}"/>
    <cellStyle name="TotRow - Style8 3" xfId="8868" xr:uid="{00000000-0005-0000-0000-0000932F0000}"/>
    <cellStyle name="TotRow - Style8 4" xfId="8869" xr:uid="{00000000-0005-0000-0000-0000942F0000}"/>
    <cellStyle name="TotRow - Style8 5" xfId="8870" xr:uid="{00000000-0005-0000-0000-0000952F0000}"/>
    <cellStyle name="Transcript_Date" xfId="8871" xr:uid="{00000000-0005-0000-0000-0000962F0000}"/>
    <cellStyle name="Warning Text" xfId="8872" builtinId="11" customBuiltin="1"/>
    <cellStyle name="Warning Text 2" xfId="8873" xr:uid="{00000000-0005-0000-0000-0000982F0000}"/>
    <cellStyle name="Warning Text 3" xfId="8874" xr:uid="{00000000-0005-0000-0000-0000992F0000}"/>
    <cellStyle name="Warning Text 4" xfId="8875" xr:uid="{00000000-0005-0000-0000-00009A2F0000}"/>
    <cellStyle name="WM_STANDARD" xfId="8876" xr:uid="{00000000-0005-0000-0000-00009B2F0000}"/>
  </cellStyles>
  <dxfs count="16">
    <dxf>
      <font>
        <color rgb="FF9C0006"/>
      </font>
      <fill>
        <patternFill>
          <bgColor rgb="FFFFC7CE"/>
        </patternFill>
      </fill>
    </dxf>
    <dxf>
      <font>
        <color rgb="FF9C0006"/>
      </font>
      <fill>
        <patternFill>
          <bgColor rgb="FFFFC7CE"/>
        </patternFill>
      </fill>
    </dxf>
    <dxf>
      <font>
        <b/>
        <i val="0"/>
        <color rgb="FFFF0000"/>
      </font>
    </dxf>
    <dxf>
      <font>
        <b/>
        <i val="0"/>
        <color theme="9" tint="-0.24994659260841701"/>
      </font>
    </dxf>
    <dxf>
      <font>
        <b/>
        <i val="0"/>
        <color rgb="FFFF0000"/>
      </font>
    </dxf>
    <dxf>
      <font>
        <b/>
        <i val="0"/>
        <color theme="9" tint="-0.24994659260841701"/>
      </font>
    </dxf>
    <dxf>
      <font>
        <b/>
        <i val="0"/>
        <color rgb="FFFF0000"/>
      </font>
    </dxf>
    <dxf>
      <font>
        <b/>
        <i val="0"/>
        <color rgb="FFFF0000"/>
      </font>
    </dxf>
    <dxf>
      <font>
        <b/>
        <i val="0"/>
        <color rgb="FFFF0000"/>
      </font>
    </dxf>
    <dxf>
      <font>
        <b/>
        <i val="0"/>
        <color rgb="FFFF0000"/>
      </font>
    </dxf>
    <dxf>
      <font>
        <b/>
        <i val="0"/>
        <color theme="9" tint="-0.24994659260841701"/>
      </font>
    </dxf>
    <dxf>
      <font>
        <b/>
        <i val="0"/>
        <color theme="9" tint="-0.24994659260841701"/>
      </font>
    </dxf>
    <dxf>
      <font>
        <color rgb="FF9C0006"/>
      </font>
      <fill>
        <patternFill>
          <bgColor rgb="FFFFC7CE"/>
        </patternFill>
      </fill>
    </dxf>
    <dxf>
      <font>
        <color rgb="FF9C0006"/>
      </font>
      <fill>
        <patternFill>
          <bgColor rgb="FFFFC7CE"/>
        </patternFill>
      </fill>
    </dxf>
    <dxf>
      <numFmt numFmtId="164" formatCode="_(* #,##0_);_(* \(#,##0\);_(* &quot;-&quot;??_);_(@_)"/>
    </dxf>
    <dxf>
      <numFmt numFmtId="178" formatCode="_(* #,##0.0_);_(* \(#,##0.0\);_(* &quot;-&quot;??_);_(@_)"/>
    </dxf>
  </dxfs>
  <tableStyles count="0" defaultTableStyle="TableStyleMedium9" defaultPivotStyle="PivotStyleLight16"/>
  <colors>
    <mruColors>
      <color rgb="FFCCFFCC"/>
      <color rgb="FF0000CC"/>
      <color rgb="FFFF99FF"/>
      <color rgb="FFFF66FF"/>
      <color rgb="FFFFFFCC"/>
      <color rgb="FFE7B9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customXml" Target="../customXml/item2.xml"/><Relationship Id="rId21" Type="http://schemas.openxmlformats.org/officeDocument/2006/relationships/externalLink" Target="externalLinks/externalLink5.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pivotCacheDefinition" Target="pivotCache/pivotCacheDefinition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theme" Target="theme/theme1.xml"/><Relationship Id="rId38"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24</xdr:col>
      <xdr:colOff>0</xdr:colOff>
      <xdr:row>164</xdr:row>
      <xdr:rowOff>0</xdr:rowOff>
    </xdr:from>
    <xdr:to>
      <xdr:col>24</xdr:col>
      <xdr:colOff>437030</xdr:colOff>
      <xdr:row>167</xdr:row>
      <xdr:rowOff>0</xdr:rowOff>
    </xdr:to>
    <xdr:sp macro="" textlink="">
      <xdr:nvSpPr>
        <xdr:cNvPr id="3" name="Right Brace 2">
          <a:extLst>
            <a:ext uri="{FF2B5EF4-FFF2-40B4-BE49-F238E27FC236}">
              <a16:creationId xmlns:a16="http://schemas.microsoft.com/office/drawing/2014/main" id="{00000000-0008-0000-0600-000003000000}"/>
            </a:ext>
          </a:extLst>
        </xdr:cNvPr>
        <xdr:cNvSpPr/>
      </xdr:nvSpPr>
      <xdr:spPr>
        <a:xfrm>
          <a:off x="21033441" y="32530676"/>
          <a:ext cx="437030" cy="144555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24</xdr:col>
      <xdr:colOff>0</xdr:colOff>
      <xdr:row>134</xdr:row>
      <xdr:rowOff>0</xdr:rowOff>
    </xdr:from>
    <xdr:to>
      <xdr:col>24</xdr:col>
      <xdr:colOff>246530</xdr:colOff>
      <xdr:row>136</xdr:row>
      <xdr:rowOff>0</xdr:rowOff>
    </xdr:to>
    <xdr:sp macro="" textlink="">
      <xdr:nvSpPr>
        <xdr:cNvPr id="4" name="Right Brace 3">
          <a:extLst>
            <a:ext uri="{FF2B5EF4-FFF2-40B4-BE49-F238E27FC236}">
              <a16:creationId xmlns:a16="http://schemas.microsoft.com/office/drawing/2014/main" id="{00000000-0008-0000-0600-000004000000}"/>
            </a:ext>
          </a:extLst>
        </xdr:cNvPr>
        <xdr:cNvSpPr/>
      </xdr:nvSpPr>
      <xdr:spPr>
        <a:xfrm>
          <a:off x="21033441" y="26289001"/>
          <a:ext cx="246530" cy="89647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2</xdr:col>
      <xdr:colOff>4562475</xdr:colOff>
      <xdr:row>115</xdr:row>
      <xdr:rowOff>47625</xdr:rowOff>
    </xdr:to>
    <xdr:pic>
      <xdr:nvPicPr>
        <xdr:cNvPr id="9660" name="Picture 4">
          <a:extLst>
            <a:ext uri="{FF2B5EF4-FFF2-40B4-BE49-F238E27FC236}">
              <a16:creationId xmlns:a16="http://schemas.microsoft.com/office/drawing/2014/main" id="{00000000-0008-0000-0A00-0000BC2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401925"/>
          <a:ext cx="7543800" cy="764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2</xdr:col>
          <xdr:colOff>7477125</xdr:colOff>
          <xdr:row>75</xdr:row>
          <xdr:rowOff>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4857750</xdr:colOff>
          <xdr:row>77</xdr:row>
          <xdr:rowOff>38100</xdr:rowOff>
        </xdr:from>
        <xdr:to>
          <xdr:col>8</xdr:col>
          <xdr:colOff>695325</xdr:colOff>
          <xdr:row>115</xdr:row>
          <xdr:rowOff>85725</xdr:rowOff>
        </xdr:to>
        <xdr:sp macro="" textlink="">
          <xdr:nvSpPr>
            <xdr:cNvPr id="9221" name="Object 5" hidden="1">
              <a:extLst>
                <a:ext uri="{63B3BB69-23CF-44E3-9099-C40C66FF867C}">
                  <a14:compatExt spid="_x0000_s9221"/>
                </a:ext>
                <a:ext uri="{FF2B5EF4-FFF2-40B4-BE49-F238E27FC236}">
                  <a16:creationId xmlns:a16="http://schemas.microsoft.com/office/drawing/2014/main" id="{00000000-0008-0000-0A00-000005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vandenburg\AppData\Local\Interject\FileCache\Capital%20-%20Budget%20Input%20v1.1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cnx.org\Regions\Western%20Region\2000%20Western%20Region%20Office\WUTC\WIP%20Files\2111%20Murrey's\Depreciation\2020\FAR%208.31.2020.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cnx.org\Regions\Western%20Region\WUTC\WIP%20Files\2111%20Murrey's\2018\General%20Rate%20Filing\CIP.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cnx.org\Regions\Western%20Region\WUTC\WIP%20Files\2111%20Murrey's\Depreciation\2017\staff%20T-Stn,%20Retention%20Pond%20Detai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cnx.org\Regions\Western%20Region\WUTC\WIP%20Files\2131%20American\Depreciation\2017\2131%20Depr%2012-31-201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cnx.org\Regions\Western%20Region\WUTC\WIP%20Files\2131%20American\Depreciation\2017\staff%20Guerrero%20Tracking%20Lo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uhuang\AppData\Local\Interject\FileCache\Capital%20-%20Budget%20Input%20v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cnx.org\Regions\Western%20Region\WUTC\WIP%20Files\2111%20Murrey's\2021\General%20Rate%20Filing\.Murrey's%20Proforma%206.3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cnx.org\Regions\Western%20Region\WUTC\WIP%20Files\2111%20Murrey's\2018\General%20Rate%20Filing\.Murrey's%20Proforma%209.3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cnx.org\Regions\Western%20Region\WUTC\WIP%20Files\2132%20Vashon\Depreciation\2021\Vashon%20Depreciation%206.3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cnx.org\Regions\Western%20Region\WUTC\WIP%20Files\2111%20Murrey's\2021\General%20Rate%20Filing\RTA%20Anaysi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aleffler\AppData\Local\Interject\FileCache\FAR_v3d_v1.0.8.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bvandenburg\AppData\Local\Interject\FileCache\FAR_v3d_v1.0.9.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feldhacker\AppData\Local\Microsoft\Windows\INetCache\Content.Outlook\6286Z2EA\Vehicle%20Fleet%20Detail%20(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ud Capital Input"/>
      <sheetName val="Capital Summary By PO Type"/>
      <sheetName val="PO vs Garage Recon"/>
      <sheetName val="Garage Summary"/>
      <sheetName val="Bud Closure Input"/>
      <sheetName val="Closure Summary By PO Type"/>
      <sheetName val="TruckCenterReference"/>
      <sheetName val="AssetTypeList"/>
      <sheetName val="Reference"/>
      <sheetName val="ClosureReference"/>
    </sheetNames>
    <sheetDataSet>
      <sheetData sheetId="0" refreshError="1"/>
      <sheetData sheetId="1"/>
      <sheetData sheetId="2" refreshError="1"/>
      <sheetData sheetId="3" refreshError="1"/>
      <sheetData sheetId="4" refreshError="1"/>
      <sheetData sheetId="5" refreshError="1"/>
      <sheetData sheetId="6" refreshError="1"/>
      <sheetData sheetId="7">
        <row r="19">
          <cell r="F19" t="str">
            <v>OK!: ReportRange Formula OK [jAction{}]</v>
          </cell>
        </row>
        <row r="26">
          <cell r="C26">
            <v>20800</v>
          </cell>
          <cell r="D26">
            <v>2132</v>
          </cell>
          <cell r="E26" t="str">
            <v>New Peterbilt/Labrie ASL Resi Dump Body</v>
          </cell>
          <cell r="F26" t="str">
            <v>N</v>
          </cell>
          <cell r="G26" t="str">
            <v>Automated Sideloader</v>
          </cell>
          <cell r="H26" t="str">
            <v>Automated Sideloader</v>
          </cell>
          <cell r="I26">
            <v>504973</v>
          </cell>
        </row>
        <row r="27">
          <cell r="C27">
            <v>20801</v>
          </cell>
          <cell r="D27">
            <v>2132</v>
          </cell>
          <cell r="E27" t="str">
            <v>New Peterbilt/Labrie ASL Resi Dump Body</v>
          </cell>
          <cell r="F27" t="str">
            <v>N</v>
          </cell>
          <cell r="G27" t="str">
            <v>Automated Sideloader</v>
          </cell>
          <cell r="H27" t="str">
            <v>Automated Sideloader</v>
          </cell>
          <cell r="I27">
            <v>504973</v>
          </cell>
        </row>
        <row r="33">
          <cell r="C33" t="str">
            <v>PO Subtype</v>
          </cell>
          <cell r="D33" t="str">
            <v>Truck Center System Type</v>
          </cell>
        </row>
        <row r="34">
          <cell r="C34" t="str">
            <v>Automated</v>
          </cell>
          <cell r="D34" t="str">
            <v>Automated Sideloader</v>
          </cell>
        </row>
        <row r="35">
          <cell r="C35" t="str">
            <v>Container Delivery Truck</v>
          </cell>
          <cell r="D35" t="str">
            <v>Container Delivery</v>
          </cell>
        </row>
        <row r="36">
          <cell r="C36" t="str">
            <v>Front Load</v>
          </cell>
          <cell r="D36" t="str">
            <v>Front Loader</v>
          </cell>
        </row>
        <row r="37">
          <cell r="C37" t="str">
            <v>Grapple Brush Truck</v>
          </cell>
          <cell r="D37" t="str">
            <v>Grapple Truck</v>
          </cell>
        </row>
        <row r="38">
          <cell r="C38" t="str">
            <v>Hook Lift</v>
          </cell>
          <cell r="D38" t="str">
            <v>Hook Lift</v>
          </cell>
        </row>
        <row r="39">
          <cell r="C39" t="str">
            <v>Sideloader</v>
          </cell>
          <cell r="D39" t="str">
            <v>Sideloader</v>
          </cell>
        </row>
        <row r="40">
          <cell r="C40" t="str">
            <v>Sideloader</v>
          </cell>
          <cell r="D40" t="str">
            <v>Sideloader</v>
          </cell>
        </row>
        <row r="41">
          <cell r="C41" t="str">
            <v>Other Truck</v>
          </cell>
          <cell r="D41" t="str">
            <v>Other</v>
          </cell>
        </row>
        <row r="42">
          <cell r="C42" t="str">
            <v>Passenger Car</v>
          </cell>
          <cell r="D42" t="str">
            <v>Other</v>
          </cell>
        </row>
        <row r="43">
          <cell r="C43" t="str">
            <v>Pickup</v>
          </cell>
          <cell r="D43" t="str">
            <v>Pickup</v>
          </cell>
        </row>
        <row r="44">
          <cell r="C44" t="str">
            <v>Pumper Truck</v>
          </cell>
          <cell r="D44" t="str">
            <v>Pumper Truck</v>
          </cell>
        </row>
        <row r="45">
          <cell r="C45" t="str">
            <v>Rear Load</v>
          </cell>
          <cell r="D45" t="str">
            <v>Rear Loader</v>
          </cell>
        </row>
        <row r="46">
          <cell r="C46" t="str">
            <v>Recycle Truck</v>
          </cell>
          <cell r="D46" t="str">
            <v>Recycle</v>
          </cell>
        </row>
        <row r="47">
          <cell r="C47" t="str">
            <v>Retriever</v>
          </cell>
          <cell r="D47" t="str">
            <v>Retriever</v>
          </cell>
        </row>
        <row r="48">
          <cell r="C48" t="str">
            <v>Roll Off</v>
          </cell>
          <cell r="D48" t="str">
            <v>Roll Off</v>
          </cell>
        </row>
        <row r="49">
          <cell r="C49" t="str">
            <v>Service Truck</v>
          </cell>
          <cell r="D49" t="str">
            <v>Service Truck</v>
          </cell>
        </row>
        <row r="50">
          <cell r="C50" t="str">
            <v>Service Truck</v>
          </cell>
          <cell r="D50" t="str">
            <v>Service Truck</v>
          </cell>
        </row>
        <row r="51">
          <cell r="C51" t="str">
            <v>Tipper Trailer</v>
          </cell>
          <cell r="D51" t="str">
            <v>Trailer</v>
          </cell>
        </row>
        <row r="52">
          <cell r="C52" t="str">
            <v>Walking Floor Trailer</v>
          </cell>
          <cell r="D52" t="str">
            <v>Trailer</v>
          </cell>
        </row>
        <row r="53">
          <cell r="C53" t="str">
            <v>Roll Off Pup Trailer</v>
          </cell>
          <cell r="D53" t="str">
            <v>Trailer</v>
          </cell>
        </row>
        <row r="54">
          <cell r="C54" t="str">
            <v>Other Trailer</v>
          </cell>
          <cell r="D54" t="str">
            <v>Trailer</v>
          </cell>
        </row>
        <row r="55">
          <cell r="C55" t="str">
            <v>Container Delivery Trailer</v>
          </cell>
          <cell r="D55" t="str">
            <v>Trailer</v>
          </cell>
        </row>
        <row r="56">
          <cell r="C56" t="str">
            <v>Railroad Cars</v>
          </cell>
          <cell r="D56" t="str">
            <v>Trailer</v>
          </cell>
        </row>
        <row r="57">
          <cell r="C57" t="str">
            <v>Barge</v>
          </cell>
          <cell r="D57" t="str">
            <v>Trailer</v>
          </cell>
        </row>
        <row r="58">
          <cell r="C58" t="str">
            <v>Transfer Tractor</v>
          </cell>
          <cell r="D58" t="str">
            <v>Transfer Tractor</v>
          </cell>
        </row>
        <row r="59">
          <cell r="C59" t="str">
            <v>ATV/Gator</v>
          </cell>
          <cell r="D59" t="str">
            <v>UTV</v>
          </cell>
        </row>
        <row r="60">
          <cell r="C60" t="str">
            <v>Yard Mule</v>
          </cell>
          <cell r="D60" t="str">
            <v>Yard Mule</v>
          </cell>
        </row>
        <row r="61">
          <cell r="C61" t="str">
            <v>Automated</v>
          </cell>
          <cell r="D61" t="str">
            <v>Automated Sideloader</v>
          </cell>
        </row>
        <row r="62">
          <cell r="C62" t="str">
            <v>Container Delivery Truck</v>
          </cell>
          <cell r="D62" t="str">
            <v>Container Delivery</v>
          </cell>
        </row>
        <row r="63">
          <cell r="C63" t="str">
            <v>Front Load</v>
          </cell>
          <cell r="D63" t="str">
            <v>Front Loader</v>
          </cell>
        </row>
        <row r="64">
          <cell r="C64" t="str">
            <v>Grapple Brush Truck</v>
          </cell>
          <cell r="D64" t="str">
            <v>Grapple Truck</v>
          </cell>
        </row>
        <row r="65">
          <cell r="C65" t="str">
            <v>Hook Lift</v>
          </cell>
          <cell r="D65" t="str">
            <v>Hook Lift</v>
          </cell>
        </row>
        <row r="66">
          <cell r="C66" t="str">
            <v>Sideloader</v>
          </cell>
          <cell r="D66" t="str">
            <v>Manual Sideloader</v>
          </cell>
        </row>
        <row r="67">
          <cell r="C67" t="str">
            <v>Other Truck</v>
          </cell>
          <cell r="D67" t="str">
            <v>Other</v>
          </cell>
        </row>
        <row r="68">
          <cell r="C68" t="str">
            <v>Pickup</v>
          </cell>
          <cell r="D68" t="str">
            <v>Pickup</v>
          </cell>
        </row>
        <row r="69">
          <cell r="C69" t="str">
            <v>Pumper Truck</v>
          </cell>
          <cell r="D69" t="str">
            <v>Pumper Truck</v>
          </cell>
        </row>
        <row r="70">
          <cell r="C70" t="str">
            <v>Rear Load</v>
          </cell>
          <cell r="D70" t="str">
            <v>Rear Loader</v>
          </cell>
        </row>
        <row r="71">
          <cell r="C71" t="str">
            <v>Recycle Truck</v>
          </cell>
          <cell r="D71" t="str">
            <v>Recycle</v>
          </cell>
        </row>
        <row r="72">
          <cell r="C72" t="str">
            <v>Retriever</v>
          </cell>
          <cell r="D72" t="str">
            <v>Retriever</v>
          </cell>
        </row>
        <row r="73">
          <cell r="C73" t="str">
            <v>Roll Off</v>
          </cell>
          <cell r="D73" t="str">
            <v>Roll Off</v>
          </cell>
        </row>
        <row r="74">
          <cell r="C74" t="str">
            <v>Service Truck</v>
          </cell>
          <cell r="D74" t="str">
            <v>Serv Trk-Complete</v>
          </cell>
        </row>
        <row r="75">
          <cell r="C75" t="str">
            <v>Tipper Trailer</v>
          </cell>
          <cell r="D75" t="str">
            <v>Trailer</v>
          </cell>
        </row>
        <row r="76">
          <cell r="C76" t="str">
            <v>Walking Floor Trailer</v>
          </cell>
          <cell r="D76" t="str">
            <v>Trailer</v>
          </cell>
        </row>
        <row r="77">
          <cell r="C77" t="str">
            <v>Roll Off Pup Trailer</v>
          </cell>
          <cell r="D77" t="str">
            <v>Trailer</v>
          </cell>
        </row>
        <row r="78">
          <cell r="C78" t="str">
            <v>Barge</v>
          </cell>
          <cell r="D78" t="str">
            <v>Trailer</v>
          </cell>
        </row>
        <row r="79">
          <cell r="C79" t="str">
            <v>Railroad Cars</v>
          </cell>
          <cell r="D79" t="str">
            <v>Trailer</v>
          </cell>
        </row>
        <row r="80">
          <cell r="C80" t="str">
            <v>Container Delivery Trailer</v>
          </cell>
          <cell r="D80" t="str">
            <v>Trailer</v>
          </cell>
        </row>
        <row r="81">
          <cell r="C81" t="str">
            <v>Other Trailer</v>
          </cell>
          <cell r="D81" t="str">
            <v>Trailer</v>
          </cell>
        </row>
        <row r="82">
          <cell r="C82" t="str">
            <v>Transfer Tractor</v>
          </cell>
          <cell r="D82" t="str">
            <v>Transfer Tractor</v>
          </cell>
        </row>
        <row r="83">
          <cell r="C83" t="str">
            <v>Yard Mule</v>
          </cell>
          <cell r="D83" t="str">
            <v>Yard Mule</v>
          </cell>
        </row>
        <row r="84">
          <cell r="C84" t="str">
            <v>ATV/Gator</v>
          </cell>
          <cell r="D84" t="str">
            <v>UTV</v>
          </cell>
        </row>
      </sheetData>
      <sheetData sheetId="8">
        <row r="7">
          <cell r="C7" t="str">
            <v>OK!: ReportRange Formula OK [jAction{}]</v>
          </cell>
        </row>
      </sheetData>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ject_LastPulledValues"/>
      <sheetName val="Assets"/>
      <sheetName val="ProjDepr"/>
      <sheetName val="District Summary"/>
      <sheetName val="Invoice"/>
    </sheetNames>
    <sheetDataSet>
      <sheetData sheetId="0"/>
      <sheetData sheetId="1">
        <row r="51">
          <cell r="S51">
            <v>9561.2999999999993</v>
          </cell>
        </row>
        <row r="52">
          <cell r="S52">
            <v>8572.2000000000007</v>
          </cell>
        </row>
        <row r="53">
          <cell r="S53">
            <v>6758.85</v>
          </cell>
        </row>
      </sheetData>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rorNote"/>
      <sheetName val="Summary"/>
      <sheetName val="JE Query"/>
      <sheetName val="JE Lookup"/>
      <sheetName val="ControlPanel"/>
    </sheetNames>
    <sheetDataSet>
      <sheetData sheetId="0"/>
      <sheetData sheetId="1">
        <row r="1">
          <cell r="D1">
            <v>1707081.73</v>
          </cell>
        </row>
        <row r="2">
          <cell r="D2">
            <v>710636.12999999989</v>
          </cell>
        </row>
        <row r="5">
          <cell r="D5">
            <v>75626.34</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ention Pond"/>
      <sheetName val="Transfer Station"/>
      <sheetName val="Paving"/>
      <sheetName val="Reconciliation"/>
    </sheetNames>
    <sheetDataSet>
      <sheetData sheetId="0" refreshError="1"/>
      <sheetData sheetId="1" refreshError="1"/>
      <sheetData sheetId="2" refreshError="1"/>
      <sheetData sheetId="3" refreshError="1">
        <row r="8">
          <cell r="F8">
            <v>734487.29999999993</v>
          </cell>
        </row>
        <row r="9">
          <cell r="F9">
            <v>1306485.8600000001</v>
          </cell>
        </row>
        <row r="10">
          <cell r="F10">
            <v>226036.81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2131 Trks"/>
      <sheetName val="2131 Cont, DB"/>
      <sheetName val="2131 YW"/>
      <sheetName val="2131 Other"/>
      <sheetName val="Container Recon"/>
    </sheetNames>
    <sheetDataSet>
      <sheetData sheetId="0">
        <row r="5">
          <cell r="F5">
            <v>42370</v>
          </cell>
          <cell r="H5">
            <v>42735</v>
          </cell>
        </row>
      </sheetData>
      <sheetData sheetId="1"/>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y"/>
    </sheetNames>
    <sheetDataSet>
      <sheetData sheetId="0">
        <row r="121">
          <cell r="B121">
            <v>0.27102803738317754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ud Capital Input"/>
      <sheetName val="Capital Summary By PO Type"/>
      <sheetName val="PO vs Truck Center Recon"/>
      <sheetName val="Truck Center Summary"/>
      <sheetName val="Bud Closure Input"/>
      <sheetName val="Closure Summary By PO Type"/>
      <sheetName val="TruckCenterReference"/>
      <sheetName val="AssetTypeList"/>
      <sheetName val="Reference"/>
      <sheetName val="ClosureReference"/>
    </sheetNames>
    <sheetDataSet>
      <sheetData sheetId="0"/>
      <sheetData sheetId="1"/>
      <sheetData sheetId="2"/>
      <sheetData sheetId="3"/>
      <sheetData sheetId="4"/>
      <sheetData sheetId="5"/>
      <sheetData sheetId="6"/>
      <sheetData sheetId="7">
        <row r="16">
          <cell r="F16" t="str">
            <v>OK!: ReportRange Formula OK [jAction{}]</v>
          </cell>
        </row>
        <row r="45">
          <cell r="C45" t="str">
            <v>Automated</v>
          </cell>
          <cell r="D45" t="str">
            <v>Automated Sideloader</v>
          </cell>
        </row>
        <row r="46">
          <cell r="C46" t="str">
            <v>Container Delivery Truck</v>
          </cell>
          <cell r="D46" t="str">
            <v>Container Delivery</v>
          </cell>
        </row>
        <row r="47">
          <cell r="C47" t="str">
            <v>Front Load</v>
          </cell>
          <cell r="D47" t="str">
            <v>Front Loader</v>
          </cell>
        </row>
        <row r="48">
          <cell r="C48" t="str">
            <v>Grapple Brush Truck</v>
          </cell>
          <cell r="D48" t="str">
            <v>Grapple Truck</v>
          </cell>
        </row>
        <row r="49">
          <cell r="C49" t="str">
            <v>Hook Lift</v>
          </cell>
          <cell r="D49" t="str">
            <v>Hook Lift</v>
          </cell>
        </row>
        <row r="50">
          <cell r="C50" t="str">
            <v>Sideloader</v>
          </cell>
          <cell r="D50" t="str">
            <v>Sideloader</v>
          </cell>
        </row>
        <row r="51">
          <cell r="C51" t="str">
            <v>Sideloader</v>
          </cell>
          <cell r="D51" t="str">
            <v>Sideloader</v>
          </cell>
        </row>
        <row r="52">
          <cell r="C52" t="str">
            <v>Other Truck</v>
          </cell>
          <cell r="D52" t="str">
            <v>Other</v>
          </cell>
        </row>
        <row r="53">
          <cell r="C53" t="str">
            <v>Passenger Car</v>
          </cell>
          <cell r="D53" t="str">
            <v>Other</v>
          </cell>
        </row>
        <row r="54">
          <cell r="C54" t="str">
            <v>Pickup</v>
          </cell>
          <cell r="D54" t="str">
            <v>Pickup</v>
          </cell>
        </row>
        <row r="55">
          <cell r="C55" t="str">
            <v>Pumper Truck</v>
          </cell>
          <cell r="D55" t="str">
            <v>Pumper Truck</v>
          </cell>
        </row>
        <row r="56">
          <cell r="C56" t="str">
            <v>Rear Load</v>
          </cell>
          <cell r="D56" t="str">
            <v>Rear Loader</v>
          </cell>
        </row>
        <row r="57">
          <cell r="C57" t="str">
            <v>Recycle Truck</v>
          </cell>
          <cell r="D57" t="str">
            <v>Recycle</v>
          </cell>
        </row>
        <row r="58">
          <cell r="C58" t="str">
            <v>Retriever</v>
          </cell>
          <cell r="D58" t="str">
            <v>Retriever</v>
          </cell>
        </row>
        <row r="59">
          <cell r="C59" t="str">
            <v>Roll Off</v>
          </cell>
          <cell r="D59" t="str">
            <v>Roll Off</v>
          </cell>
        </row>
        <row r="60">
          <cell r="C60" t="str">
            <v>Service Truck</v>
          </cell>
          <cell r="D60" t="str">
            <v>Service Truck</v>
          </cell>
        </row>
        <row r="61">
          <cell r="C61" t="str">
            <v>Service Truck</v>
          </cell>
          <cell r="D61" t="str">
            <v>Service Truck</v>
          </cell>
        </row>
        <row r="62">
          <cell r="C62" t="str">
            <v>Tipper Trailer</v>
          </cell>
          <cell r="D62" t="str">
            <v>Trailer</v>
          </cell>
        </row>
        <row r="63">
          <cell r="C63" t="str">
            <v>Walking Floor Trailer</v>
          </cell>
          <cell r="D63" t="str">
            <v>Trailer</v>
          </cell>
        </row>
        <row r="64">
          <cell r="C64" t="str">
            <v>Roll Off Pup Trailer</v>
          </cell>
          <cell r="D64" t="str">
            <v>Trailer</v>
          </cell>
        </row>
        <row r="65">
          <cell r="C65" t="str">
            <v>Other Trailer</v>
          </cell>
          <cell r="D65" t="str">
            <v>Trailer</v>
          </cell>
        </row>
        <row r="66">
          <cell r="C66" t="str">
            <v>Container Delivery Trailer</v>
          </cell>
          <cell r="D66" t="str">
            <v>Trailer</v>
          </cell>
        </row>
        <row r="67">
          <cell r="C67" t="str">
            <v>Railroad Cars</v>
          </cell>
          <cell r="D67" t="str">
            <v>Trailer</v>
          </cell>
        </row>
        <row r="68">
          <cell r="C68" t="str">
            <v>Barge</v>
          </cell>
          <cell r="D68" t="str">
            <v>Trailer</v>
          </cell>
        </row>
        <row r="69">
          <cell r="C69" t="str">
            <v>Transfer Tractor</v>
          </cell>
          <cell r="D69" t="str">
            <v>Transfer Tractor</v>
          </cell>
        </row>
        <row r="70">
          <cell r="C70" t="str">
            <v>ATV/Gator</v>
          </cell>
          <cell r="D70" t="str">
            <v>UTV</v>
          </cell>
        </row>
        <row r="71">
          <cell r="C71" t="str">
            <v>Yard Mule</v>
          </cell>
          <cell r="D71" t="str">
            <v>Yard Mule</v>
          </cell>
        </row>
        <row r="72">
          <cell r="C72" t="str">
            <v>Automated</v>
          </cell>
          <cell r="D72" t="str">
            <v>Automated Sideloader</v>
          </cell>
        </row>
        <row r="73">
          <cell r="C73" t="str">
            <v>Container Delivery Truck</v>
          </cell>
          <cell r="D73" t="str">
            <v>Container Delivery</v>
          </cell>
        </row>
        <row r="74">
          <cell r="C74" t="str">
            <v>Front Load</v>
          </cell>
          <cell r="D74" t="str">
            <v>Front Loader</v>
          </cell>
        </row>
        <row r="75">
          <cell r="C75" t="str">
            <v>Grapple Brush Truck</v>
          </cell>
          <cell r="D75" t="str">
            <v>Grapple Truck</v>
          </cell>
        </row>
        <row r="76">
          <cell r="C76" t="str">
            <v>Hook Lift</v>
          </cell>
          <cell r="D76" t="str">
            <v>Hook Lift</v>
          </cell>
        </row>
        <row r="77">
          <cell r="C77" t="str">
            <v>Sideloader</v>
          </cell>
          <cell r="D77" t="str">
            <v>Manual Sideloader</v>
          </cell>
        </row>
        <row r="78">
          <cell r="C78" t="str">
            <v>Other Truck</v>
          </cell>
          <cell r="D78" t="str">
            <v>Other</v>
          </cell>
        </row>
        <row r="79">
          <cell r="C79" t="str">
            <v>Pickup</v>
          </cell>
          <cell r="D79" t="str">
            <v>Pickup</v>
          </cell>
        </row>
        <row r="80">
          <cell r="C80" t="str">
            <v>Pumper Truck</v>
          </cell>
          <cell r="D80" t="str">
            <v>Pumper Truck</v>
          </cell>
        </row>
        <row r="81">
          <cell r="C81" t="str">
            <v>Rear Load</v>
          </cell>
          <cell r="D81" t="str">
            <v>Rear Loader</v>
          </cell>
        </row>
        <row r="82">
          <cell r="C82" t="str">
            <v>Recycle Truck</v>
          </cell>
          <cell r="D82" t="str">
            <v>Recycle</v>
          </cell>
        </row>
        <row r="83">
          <cell r="C83" t="str">
            <v>Retriever</v>
          </cell>
          <cell r="D83" t="str">
            <v>Retriever</v>
          </cell>
        </row>
        <row r="84">
          <cell r="C84" t="str">
            <v>Roll Off</v>
          </cell>
          <cell r="D84" t="str">
            <v>Roll Off</v>
          </cell>
        </row>
        <row r="85">
          <cell r="C85" t="str">
            <v>Service Truck</v>
          </cell>
          <cell r="D85" t="str">
            <v>Serv Trk-Complete</v>
          </cell>
        </row>
        <row r="86">
          <cell r="C86" t="str">
            <v>Tipper Trailer</v>
          </cell>
          <cell r="D86" t="str">
            <v>Trailer</v>
          </cell>
        </row>
        <row r="87">
          <cell r="C87" t="str">
            <v>Walking Floor Trailer</v>
          </cell>
          <cell r="D87" t="str">
            <v>Trailer</v>
          </cell>
        </row>
        <row r="88">
          <cell r="C88" t="str">
            <v>Roll Off Pup Trailer</v>
          </cell>
          <cell r="D88" t="str">
            <v>Trailer</v>
          </cell>
        </row>
        <row r="89">
          <cell r="C89" t="str">
            <v>Barge</v>
          </cell>
          <cell r="D89" t="str">
            <v>Trailer</v>
          </cell>
        </row>
        <row r="90">
          <cell r="C90" t="str">
            <v>Railroad Cars</v>
          </cell>
          <cell r="D90" t="str">
            <v>Trailer</v>
          </cell>
        </row>
        <row r="91">
          <cell r="C91" t="str">
            <v>Container Delivery Trailer</v>
          </cell>
          <cell r="D91" t="str">
            <v>Trailer</v>
          </cell>
        </row>
        <row r="92">
          <cell r="C92" t="str">
            <v>Other Trailer</v>
          </cell>
          <cell r="D92" t="str">
            <v>Trailer</v>
          </cell>
        </row>
        <row r="93">
          <cell r="C93" t="str">
            <v>Transfer Tractor</v>
          </cell>
          <cell r="D93" t="str">
            <v>Transfer Tractor</v>
          </cell>
        </row>
        <row r="94">
          <cell r="C94" t="str">
            <v>Yard Mule</v>
          </cell>
          <cell r="D94" t="str">
            <v>Yard Mule</v>
          </cell>
        </row>
        <row r="95">
          <cell r="C95" t="str">
            <v>ATV/Gator</v>
          </cell>
          <cell r="D95" t="str">
            <v>UTV</v>
          </cell>
        </row>
      </sheetData>
      <sheetData sheetId="8">
        <row r="7">
          <cell r="C7" t="str">
            <v>OK!: ReportRange Formula OK [jAction{}]</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urrey's IS"/>
      <sheetName val="Vashon IS"/>
      <sheetName val="DMR IS"/>
      <sheetName val="Consolidated IS"/>
      <sheetName val="Murrey's LOB"/>
      <sheetName val="Vashon LOB"/>
      <sheetName val="Allocators (C)"/>
      <sheetName val="Hours+Tons"/>
      <sheetName val="Shop Hours 2020"/>
      <sheetName val="Revenue+Cust"/>
      <sheetName val="Restating ADJ's"/>
      <sheetName val="Pro forma Adj"/>
      <sheetName val="LG BRG - Murrey's Total"/>
      <sheetName val="LG BRG -Vashon Total"/>
      <sheetName val="Payroll Summary"/>
      <sheetName val="Murrey's COVID EXPENSES"/>
      <sheetName val="Vashon Price Out"/>
      <sheetName val="Murrey's Price Out"/>
      <sheetName val="Customers UTC-City %"/>
      <sheetName val="Shop Hours"/>
      <sheetName val="Murrey's Rate Sheet"/>
      <sheetName val="Vashon Rate Sheet"/>
      <sheetName val="2111_BS_06.30.21"/>
      <sheetName val="2111_BS_06.30.20"/>
      <sheetName val="2132_BS_06.30.21"/>
      <sheetName val="2132_BS_06.30.20"/>
      <sheetName val="2140_BS_06.30.21"/>
      <sheetName val="2021 Budget Adds"/>
      <sheetName val="Vashon Deprec"/>
      <sheetName val="M-A Deprec"/>
      <sheetName val="2111 Region OH"/>
      <sheetName val="2132 Region OH"/>
      <sheetName val="2140 Region OH"/>
      <sheetName val="Corp-OH (C)"/>
      <sheetName val="Corp IS-BS -2020"/>
      <sheetName val="Explanations"/>
      <sheetName val="Interject_LastPulledValues"/>
      <sheetName val="DVP-DivCon Allocs  (C)"/>
      <sheetName val="Fuel Adjustment"/>
      <sheetName val="Disposal"/>
      <sheetName val="401k Accts JE Query"/>
      <sheetName val="43001 JE Query"/>
      <sheetName val="70148 JE Query"/>
      <sheetName val="70195 JE Query"/>
      <sheetName val="70255 JE Query"/>
      <sheetName val="70235 JE Query"/>
      <sheetName val="91010 JE Query"/>
    </sheetNames>
    <sheetDataSet>
      <sheetData sheetId="0"/>
      <sheetData sheetId="1"/>
      <sheetData sheetId="2"/>
      <sheetData sheetId="3"/>
      <sheetData sheetId="4">
        <row r="6">
          <cell r="AB6">
            <v>0.69781701405488739</v>
          </cell>
        </row>
        <row r="143">
          <cell r="T143">
            <v>2666906.71</v>
          </cell>
          <cell r="X143">
            <v>57051.489999999991</v>
          </cell>
        </row>
      </sheetData>
      <sheetData sheetId="5"/>
      <sheetData sheetId="6"/>
      <sheetData sheetId="7">
        <row r="28">
          <cell r="H28">
            <v>0.67169131603971599</v>
          </cell>
          <cell r="I28">
            <v>0.32830868396028401</v>
          </cell>
        </row>
        <row r="29">
          <cell r="H29">
            <v>0.6940251868406232</v>
          </cell>
          <cell r="I29">
            <v>0.30597481315937686</v>
          </cell>
        </row>
        <row r="31">
          <cell r="H31">
            <v>0.67548710503588516</v>
          </cell>
          <cell r="I31">
            <v>0.32451289496411495</v>
          </cell>
        </row>
        <row r="34">
          <cell r="H34">
            <v>0.63919113868508726</v>
          </cell>
          <cell r="I34">
            <v>0.36080886131491274</v>
          </cell>
        </row>
        <row r="35">
          <cell r="H35">
            <v>0.79831102118136155</v>
          </cell>
          <cell r="I35">
            <v>0.20168897881863845</v>
          </cell>
        </row>
        <row r="39">
          <cell r="C39">
            <v>0.97264489228519369</v>
          </cell>
          <cell r="D39">
            <v>1.4907321538104043E-2</v>
          </cell>
          <cell r="E39">
            <v>1.2447786176702232E-2</v>
          </cell>
        </row>
        <row r="40">
          <cell r="D40">
            <v>1.4974401713128017E-2</v>
          </cell>
          <cell r="E40">
            <v>1.2503798899930873E-2</v>
          </cell>
          <cell r="H40">
            <v>0.67620614807894575</v>
          </cell>
          <cell r="I40">
            <v>0.32379385192105425</v>
          </cell>
        </row>
        <row r="78">
          <cell r="H78">
            <v>0.75517898136210559</v>
          </cell>
          <cell r="I78">
            <v>0.24482101863789443</v>
          </cell>
        </row>
        <row r="89">
          <cell r="C89">
            <v>0.61933657109696827</v>
          </cell>
          <cell r="D89">
            <v>1.7937189679095297E-2</v>
          </cell>
          <cell r="E89">
            <v>0.36272623922393649</v>
          </cell>
          <cell r="H89">
            <v>0.69781701405488739</v>
          </cell>
          <cell r="I89">
            <v>0.30218298594511245</v>
          </cell>
        </row>
        <row r="90">
          <cell r="M90">
            <v>0.73034562821840243</v>
          </cell>
          <cell r="N90">
            <v>0.26965437178159751</v>
          </cell>
        </row>
        <row r="91">
          <cell r="H91">
            <v>0.63919113868508726</v>
          </cell>
          <cell r="I91">
            <v>0.36080886131491274</v>
          </cell>
        </row>
        <row r="93">
          <cell r="H93">
            <v>0.70268080508500586</v>
          </cell>
          <cell r="I93">
            <v>0.29731919491499409</v>
          </cell>
        </row>
        <row r="168">
          <cell r="E168">
            <v>0.28148083141193464</v>
          </cell>
          <cell r="H168">
            <v>0.67343349808912867</v>
          </cell>
          <cell r="I168">
            <v>0.32656650191087128</v>
          </cell>
        </row>
        <row r="170">
          <cell r="C170">
            <v>0.94633089864794495</v>
          </cell>
          <cell r="E170">
            <v>5.3669101352055076E-2</v>
          </cell>
          <cell r="H170">
            <v>0.62934628915625257</v>
          </cell>
          <cell r="I170">
            <v>0.37065371084374743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rrey's-American IS"/>
      <sheetName val="Vashon IS"/>
      <sheetName val="DM IS"/>
      <sheetName val="Consolidated IS"/>
      <sheetName val="Murrey's LOB"/>
      <sheetName val="Vashon LOB"/>
      <sheetName val="Hours+Tons"/>
      <sheetName val="Revenue+Cust"/>
      <sheetName val="Shop Hours"/>
      <sheetName val="Restating - Mur-Amer"/>
      <sheetName val="Restating - Vashon"/>
      <sheetName val="Restating Expl"/>
      <sheetName val="Pro forma Adj"/>
      <sheetName val="Murrey's Rate Sheet"/>
      <sheetName val="Vashon Rate Sheet"/>
      <sheetName val="Murrey's Price Out"/>
      <sheetName val="American Price Out"/>
      <sheetName val="Vashon Price Out"/>
      <sheetName val="LG Summary"/>
      <sheetName val="LG Total Company 2111"/>
      <sheetName val="LG Med Waste 2111"/>
      <sheetName val="LG MSW 2111"/>
      <sheetName val="LG ALL GARBAGE 2111"/>
      <sheetName val="LG Recycling 2111"/>
      <sheetName val="LG YW 2111"/>
      <sheetName val="LG Roll Off 2111"/>
      <sheetName val="LG Total Company 2132"/>
      <sheetName val="LG MSW 2132"/>
      <sheetName val="LG Recycle 2132"/>
      <sheetName val="Vashon Deprec"/>
      <sheetName val="M-A Deprec"/>
      <sheetName val="Corp OH"/>
      <sheetName val="M-A Reg OH"/>
      <sheetName val="Vashon Reg OH"/>
      <sheetName val="DM Region OH"/>
      <sheetName val="Explanations"/>
      <sheetName val="DVP-DivCon Allocs"/>
      <sheetName val="Fuel Adjustment"/>
      <sheetName val="Disposal"/>
      <sheetName val="M-A Payroll Schedule"/>
      <sheetName val="Vashon Payroll Schedule"/>
      <sheetName val="DM Payroll Schedule"/>
      <sheetName val="70095"/>
      <sheetName val="70195"/>
      <sheetName val="70255"/>
      <sheetName val="2111_BS_09.30.18"/>
      <sheetName val="2111_BS_09.30.17"/>
      <sheetName val="2132_BS_09.30.18"/>
      <sheetName val="2132_BS_09.30.17"/>
      <sheetName val="2140_BS_9.30.18"/>
      <sheetName val="YoY"/>
      <sheetName val="Murrey's"/>
      <sheetName val="Vashon"/>
      <sheetName val="Deprec"/>
      <sheetName val="Rate Schedule"/>
    </sheetNames>
    <sheetDataSet>
      <sheetData sheetId="0"/>
      <sheetData sheetId="1"/>
      <sheetData sheetId="2"/>
      <sheetData sheetId="3"/>
      <sheetData sheetId="4"/>
      <sheetData sheetId="5"/>
      <sheetData sheetId="6">
        <row r="6">
          <cell r="C6">
            <v>22764.041170611297</v>
          </cell>
        </row>
        <row r="31">
          <cell r="D31">
            <v>1.5331197013057766E-3</v>
          </cell>
        </row>
        <row r="32">
          <cell r="D32">
            <v>0.62988351543325505</v>
          </cell>
        </row>
        <row r="33">
          <cell r="D33">
            <v>0.22510999035417509</v>
          </cell>
        </row>
        <row r="34">
          <cell r="D34">
            <v>2.4862896519915283E-2</v>
          </cell>
        </row>
        <row r="35">
          <cell r="D35">
            <v>0.11861047799134868</v>
          </cell>
        </row>
        <row r="43">
          <cell r="D43">
            <v>0.3939010217212951</v>
          </cell>
        </row>
        <row r="45">
          <cell r="D45">
            <v>0.11489393538648313</v>
          </cell>
        </row>
        <row r="49">
          <cell r="D49">
            <v>9.3343051378777186E-2</v>
          </cell>
        </row>
        <row r="50">
          <cell r="D50">
            <v>5.3089287850130423E-2</v>
          </cell>
        </row>
        <row r="53">
          <cell r="D53">
            <v>0.1725849255654574</v>
          </cell>
        </row>
        <row r="54">
          <cell r="D54">
            <v>6.2304015448210126E-2</v>
          </cell>
        </row>
        <row r="55">
          <cell r="D55">
            <v>0</v>
          </cell>
        </row>
        <row r="56">
          <cell r="D56">
            <v>0</v>
          </cell>
        </row>
        <row r="57">
          <cell r="D57">
            <v>4.6366349132930303E-3</v>
          </cell>
        </row>
        <row r="59">
          <cell r="D59">
            <v>9.8433007735275857E-2</v>
          </cell>
        </row>
        <row r="61">
          <cell r="D61">
            <v>6.8141200010778417E-3</v>
          </cell>
        </row>
        <row r="77">
          <cell r="C77">
            <v>28979.45</v>
          </cell>
          <cell r="D77">
            <v>0.26433933568932422</v>
          </cell>
          <cell r="F77">
            <v>0.46605726405362946</v>
          </cell>
        </row>
        <row r="78">
          <cell r="C78">
            <v>20805.900000000078</v>
          </cell>
          <cell r="D78">
            <v>0.18978337354292546</v>
          </cell>
          <cell r="F78">
            <v>0.33460748323979389</v>
          </cell>
        </row>
        <row r="79">
          <cell r="C79">
            <v>12394.670000000007</v>
          </cell>
          <cell r="D79">
            <v>0.11305938635441315</v>
          </cell>
          <cell r="F79">
            <v>0.19933525270657662</v>
          </cell>
        </row>
        <row r="80">
          <cell r="D80">
            <v>0.32772506144090635</v>
          </cell>
        </row>
      </sheetData>
      <sheetData sheetId="7">
        <row r="23">
          <cell r="AA23">
            <v>0.67965605092830006</v>
          </cell>
        </row>
        <row r="26">
          <cell r="F26">
            <v>0.21028172077893018</v>
          </cell>
        </row>
        <row r="27">
          <cell r="F27">
            <v>7.9972694601259092E-4</v>
          </cell>
        </row>
        <row r="32">
          <cell r="F32">
            <v>1.7293214458168318E-3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62">
          <cell r="K62">
            <v>3224953.5440228637</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r-Summary"/>
      <sheetName val="2132 Trks"/>
      <sheetName val="2132 Cont, DB"/>
      <sheetName val="2132 Other"/>
    </sheetNames>
    <sheetDataSet>
      <sheetData sheetId="0"/>
      <sheetData sheetId="1"/>
      <sheetData sheetId="2">
        <row r="45">
          <cell r="Q45">
            <v>12735.399014778326</v>
          </cell>
          <cell r="U45">
            <v>39352.382955665016</v>
          </cell>
        </row>
      </sheetData>
      <sheetData sheetId="3">
        <row r="15">
          <cell r="Q15">
            <v>2140.8679999999999</v>
          </cell>
          <cell r="U15">
            <v>8563.4720000000016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Vehicle Cost Report"/>
      <sheetName val="2111 Trks"/>
    </sheetNames>
    <sheetDataSet>
      <sheetData sheetId="0" refreshError="1"/>
      <sheetData sheetId="1">
        <row r="4">
          <cell r="U4">
            <v>99</v>
          </cell>
        </row>
        <row r="6">
          <cell r="U6">
            <v>7</v>
          </cell>
        </row>
        <row r="7">
          <cell r="U7">
            <v>2</v>
          </cell>
        </row>
        <row r="8">
          <cell r="U8">
            <v>77</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ject_LastPulledValues"/>
      <sheetName val="ProjDepr"/>
      <sheetName val="District Summary"/>
      <sheetName val="Invoice"/>
      <sheetName val="Assets"/>
      <sheetName val="2021.12 FAR"/>
    </sheetNames>
    <sheetDataSet>
      <sheetData sheetId="0"/>
      <sheetData sheetId="1">
        <row r="3">
          <cell r="D3" t="str">
            <v>OK!: ReportRange Formula OK [jAction{}]</v>
          </cell>
        </row>
        <row r="19">
          <cell r="D19" t="str">
            <v>2021-08</v>
          </cell>
        </row>
        <row r="20">
          <cell r="D20"/>
        </row>
        <row r="21">
          <cell r="D21"/>
        </row>
        <row r="22">
          <cell r="D22"/>
        </row>
      </sheetData>
      <sheetData sheetId="2"/>
      <sheetData sheetId="3">
        <row r="2">
          <cell r="C2" t="str">
            <v>OK!: ReportRange Formula OK [jAction{}]</v>
          </cell>
        </row>
        <row r="7">
          <cell r="E7"/>
        </row>
        <row r="8">
          <cell r="E8" t="str">
            <v/>
          </cell>
        </row>
        <row r="9">
          <cell r="E9" t="str">
            <v/>
          </cell>
        </row>
      </sheetData>
      <sheetData sheetId="4"/>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ject_LastPulledValues"/>
      <sheetName val="FAR 12.2023"/>
      <sheetName val="ProjDepr"/>
      <sheetName val="District Summary"/>
      <sheetName val="Invoice"/>
      <sheetName val="Assets"/>
    </sheetNames>
    <sheetDataSet>
      <sheetData sheetId="0"/>
      <sheetData sheetId="1"/>
      <sheetData sheetId="2">
        <row r="3">
          <cell r="D3" t="str">
            <v>OK!: ReportRange Formula OK [jAction{}]</v>
          </cell>
        </row>
        <row r="19">
          <cell r="D19" t="str">
            <v>2023-12</v>
          </cell>
        </row>
        <row r="20">
          <cell r="D20">
            <v>2010</v>
          </cell>
        </row>
        <row r="21">
          <cell r="D21">
            <v>1098</v>
          </cell>
        </row>
        <row r="22">
          <cell r="D22">
            <v>14110</v>
          </cell>
        </row>
      </sheetData>
      <sheetData sheetId="3"/>
      <sheetData sheetId="4">
        <row r="2">
          <cell r="C2" t="str">
            <v>OK!: ReportRange Formula OK [jAction{}]</v>
          </cell>
        </row>
        <row r="7">
          <cell r="E7" t="str">
            <v>x</v>
          </cell>
        </row>
        <row r="8">
          <cell r="E8" t="str">
            <v/>
          </cell>
        </row>
        <row r="9">
          <cell r="E9" t="str">
            <v>A</v>
          </cell>
        </row>
      </sheetData>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hicle Fleet Detail"/>
    </sheetNames>
    <sheetDataSet>
      <sheetData sheetId="0">
        <row r="5">
          <cell r="B5" t="str">
            <v>Automated</v>
          </cell>
          <cell r="C5" t="str">
            <v>18665</v>
          </cell>
        </row>
        <row r="6">
          <cell r="B6" t="str">
            <v>Automated</v>
          </cell>
          <cell r="C6" t="str">
            <v>18680</v>
          </cell>
        </row>
        <row r="7">
          <cell r="B7" t="str">
            <v>Automated</v>
          </cell>
          <cell r="C7" t="str">
            <v>18681</v>
          </cell>
        </row>
        <row r="8">
          <cell r="B8" t="str">
            <v>Automated</v>
          </cell>
          <cell r="C8" t="str">
            <v>18808</v>
          </cell>
        </row>
        <row r="9">
          <cell r="A9">
            <v>61124</v>
          </cell>
          <cell r="B9" t="str">
            <v>Automated</v>
          </cell>
          <cell r="C9" t="str">
            <v>3615</v>
          </cell>
        </row>
        <row r="10">
          <cell r="A10">
            <v>61128</v>
          </cell>
          <cell r="B10" t="str">
            <v>Automated</v>
          </cell>
          <cell r="C10" t="str">
            <v>3621</v>
          </cell>
        </row>
        <row r="11">
          <cell r="A11">
            <v>278083</v>
          </cell>
          <cell r="B11" t="str">
            <v>Automated</v>
          </cell>
          <cell r="C11" t="str">
            <v>811</v>
          </cell>
        </row>
        <row r="12">
          <cell r="A12">
            <v>173263</v>
          </cell>
          <cell r="B12" t="str">
            <v>Automated</v>
          </cell>
          <cell r="C12" t="str">
            <v>816</v>
          </cell>
        </row>
        <row r="13">
          <cell r="A13">
            <v>173323</v>
          </cell>
          <cell r="B13" t="str">
            <v>Automated</v>
          </cell>
          <cell r="C13" t="str">
            <v>818</v>
          </cell>
        </row>
        <row r="14">
          <cell r="A14">
            <v>278078</v>
          </cell>
          <cell r="B14" t="str">
            <v>Automated</v>
          </cell>
          <cell r="C14" t="str">
            <v>819</v>
          </cell>
        </row>
        <row r="15">
          <cell r="A15">
            <v>278081</v>
          </cell>
          <cell r="B15" t="str">
            <v>Automated</v>
          </cell>
          <cell r="C15" t="str">
            <v>821</v>
          </cell>
        </row>
        <row r="16">
          <cell r="A16">
            <v>99657</v>
          </cell>
          <cell r="B16" t="str">
            <v>Automated</v>
          </cell>
          <cell r="C16" t="str">
            <v>822</v>
          </cell>
        </row>
        <row r="17">
          <cell r="A17">
            <v>173300</v>
          </cell>
          <cell r="B17" t="str">
            <v>Automated</v>
          </cell>
          <cell r="C17" t="str">
            <v>823</v>
          </cell>
        </row>
        <row r="18">
          <cell r="A18">
            <v>278086</v>
          </cell>
          <cell r="B18" t="str">
            <v>Automated</v>
          </cell>
          <cell r="C18" t="str">
            <v>824</v>
          </cell>
        </row>
        <row r="19">
          <cell r="A19">
            <v>110968</v>
          </cell>
          <cell r="B19" t="str">
            <v>Automated</v>
          </cell>
          <cell r="C19" t="str">
            <v>825</v>
          </cell>
        </row>
        <row r="20">
          <cell r="A20">
            <v>116566</v>
          </cell>
          <cell r="B20" t="str">
            <v>Automated</v>
          </cell>
          <cell r="C20" t="str">
            <v>826</v>
          </cell>
        </row>
        <row r="21">
          <cell r="A21">
            <v>278088</v>
          </cell>
          <cell r="B21" t="str">
            <v>Automated</v>
          </cell>
          <cell r="C21" t="str">
            <v>827</v>
          </cell>
        </row>
        <row r="22">
          <cell r="A22">
            <v>278087</v>
          </cell>
          <cell r="B22" t="str">
            <v>Automated</v>
          </cell>
          <cell r="C22" t="str">
            <v>828</v>
          </cell>
        </row>
        <row r="23">
          <cell r="A23">
            <v>173307</v>
          </cell>
          <cell r="B23" t="str">
            <v>Automated</v>
          </cell>
          <cell r="C23" t="str">
            <v>829</v>
          </cell>
        </row>
        <row r="24">
          <cell r="A24">
            <v>278090</v>
          </cell>
          <cell r="B24" t="str">
            <v>Automated</v>
          </cell>
          <cell r="C24" t="str">
            <v>830</v>
          </cell>
        </row>
        <row r="25">
          <cell r="A25">
            <v>122580</v>
          </cell>
          <cell r="B25" t="str">
            <v>Automated</v>
          </cell>
          <cell r="C25" t="str">
            <v>831</v>
          </cell>
        </row>
        <row r="26">
          <cell r="A26">
            <v>173308</v>
          </cell>
          <cell r="B26" t="str">
            <v>Automated</v>
          </cell>
          <cell r="C26" t="str">
            <v>832</v>
          </cell>
        </row>
        <row r="27">
          <cell r="A27">
            <v>278091</v>
          </cell>
          <cell r="B27" t="str">
            <v>Automated</v>
          </cell>
          <cell r="C27" t="str">
            <v>833</v>
          </cell>
        </row>
        <row r="28">
          <cell r="A28">
            <v>278092</v>
          </cell>
          <cell r="B28" t="str">
            <v>Automated</v>
          </cell>
          <cell r="C28" t="str">
            <v>834</v>
          </cell>
        </row>
        <row r="29">
          <cell r="A29">
            <v>278093</v>
          </cell>
          <cell r="B29" t="str">
            <v>Automated</v>
          </cell>
          <cell r="C29" t="str">
            <v>835</v>
          </cell>
        </row>
        <row r="30">
          <cell r="A30">
            <v>173318</v>
          </cell>
          <cell r="B30" t="str">
            <v>Automated</v>
          </cell>
          <cell r="C30" t="str">
            <v>836</v>
          </cell>
        </row>
        <row r="31">
          <cell r="A31">
            <v>132074</v>
          </cell>
          <cell r="B31" t="str">
            <v>Automated</v>
          </cell>
          <cell r="C31" t="str">
            <v>837</v>
          </cell>
        </row>
        <row r="32">
          <cell r="A32">
            <v>198526</v>
          </cell>
          <cell r="B32" t="str">
            <v>Automated</v>
          </cell>
          <cell r="C32" t="str">
            <v>838</v>
          </cell>
        </row>
        <row r="33">
          <cell r="A33">
            <v>178938</v>
          </cell>
          <cell r="B33" t="str">
            <v>Automated</v>
          </cell>
          <cell r="C33" t="str">
            <v>839</v>
          </cell>
        </row>
        <row r="34">
          <cell r="A34">
            <v>178935</v>
          </cell>
          <cell r="B34" t="str">
            <v>Automated</v>
          </cell>
          <cell r="C34" t="str">
            <v>840</v>
          </cell>
        </row>
        <row r="35">
          <cell r="A35">
            <v>178933</v>
          </cell>
          <cell r="B35" t="str">
            <v>Automated</v>
          </cell>
          <cell r="C35" t="str">
            <v>841</v>
          </cell>
        </row>
        <row r="36">
          <cell r="A36">
            <v>178936</v>
          </cell>
          <cell r="B36" t="str">
            <v>Automated</v>
          </cell>
          <cell r="C36" t="str">
            <v>842</v>
          </cell>
        </row>
        <row r="37">
          <cell r="A37">
            <v>178932</v>
          </cell>
          <cell r="B37" t="str">
            <v>Automated</v>
          </cell>
          <cell r="C37" t="str">
            <v>843</v>
          </cell>
        </row>
        <row r="38">
          <cell r="A38">
            <v>178934</v>
          </cell>
          <cell r="B38" t="str">
            <v>Automated</v>
          </cell>
          <cell r="C38" t="str">
            <v>844</v>
          </cell>
        </row>
        <row r="39">
          <cell r="A39">
            <v>178928</v>
          </cell>
          <cell r="B39" t="str">
            <v>Automated</v>
          </cell>
          <cell r="C39" t="str">
            <v>845</v>
          </cell>
        </row>
        <row r="40">
          <cell r="A40">
            <v>178930</v>
          </cell>
          <cell r="B40" t="str">
            <v>Automated</v>
          </cell>
          <cell r="C40" t="str">
            <v>846</v>
          </cell>
        </row>
        <row r="41">
          <cell r="A41">
            <v>178929</v>
          </cell>
          <cell r="B41" t="str">
            <v>Automated</v>
          </cell>
          <cell r="C41" t="str">
            <v>847</v>
          </cell>
        </row>
        <row r="42">
          <cell r="A42">
            <v>178927</v>
          </cell>
          <cell r="B42" t="str">
            <v>Automated</v>
          </cell>
          <cell r="C42" t="str">
            <v>848</v>
          </cell>
        </row>
        <row r="43">
          <cell r="A43">
            <v>178937</v>
          </cell>
          <cell r="B43" t="str">
            <v>Automated</v>
          </cell>
          <cell r="C43" t="str">
            <v>849</v>
          </cell>
        </row>
        <row r="44">
          <cell r="A44">
            <v>180338</v>
          </cell>
          <cell r="B44" t="str">
            <v>Automated</v>
          </cell>
          <cell r="C44" t="str">
            <v>850</v>
          </cell>
        </row>
        <row r="45">
          <cell r="A45">
            <v>183277</v>
          </cell>
          <cell r="B45" t="str">
            <v>Automated</v>
          </cell>
          <cell r="C45" t="str">
            <v>851</v>
          </cell>
        </row>
        <row r="46">
          <cell r="A46">
            <v>183278</v>
          </cell>
          <cell r="B46" t="str">
            <v>Automated</v>
          </cell>
          <cell r="C46" t="str">
            <v>852</v>
          </cell>
        </row>
        <row r="47">
          <cell r="A47">
            <v>183279</v>
          </cell>
          <cell r="B47" t="str">
            <v>Automated</v>
          </cell>
          <cell r="C47" t="str">
            <v>853</v>
          </cell>
        </row>
        <row r="48">
          <cell r="A48">
            <v>199164</v>
          </cell>
          <cell r="B48" t="str">
            <v>Automated</v>
          </cell>
          <cell r="C48" t="str">
            <v>854</v>
          </cell>
        </row>
        <row r="49">
          <cell r="A49">
            <v>199165</v>
          </cell>
          <cell r="B49" t="str">
            <v>Automated</v>
          </cell>
          <cell r="C49" t="str">
            <v>855</v>
          </cell>
        </row>
        <row r="50">
          <cell r="A50">
            <v>203867</v>
          </cell>
          <cell r="B50" t="str">
            <v>Automated</v>
          </cell>
          <cell r="C50" t="str">
            <v>856</v>
          </cell>
        </row>
        <row r="51">
          <cell r="A51">
            <v>221745</v>
          </cell>
          <cell r="B51" t="str">
            <v>Automated</v>
          </cell>
          <cell r="C51" t="str">
            <v>857</v>
          </cell>
        </row>
        <row r="52">
          <cell r="A52">
            <v>224757</v>
          </cell>
          <cell r="B52" t="str">
            <v>Automated</v>
          </cell>
          <cell r="C52" t="str">
            <v>858</v>
          </cell>
        </row>
        <row r="53">
          <cell r="A53">
            <v>225267</v>
          </cell>
          <cell r="B53" t="str">
            <v>Automated</v>
          </cell>
          <cell r="C53" t="str">
            <v>859</v>
          </cell>
        </row>
        <row r="54">
          <cell r="A54">
            <v>228781</v>
          </cell>
          <cell r="B54" t="str">
            <v>Automated</v>
          </cell>
          <cell r="C54" t="str">
            <v>862</v>
          </cell>
        </row>
        <row r="55">
          <cell r="A55">
            <v>235097</v>
          </cell>
          <cell r="B55" t="str">
            <v>Automated</v>
          </cell>
          <cell r="C55" t="str">
            <v>863</v>
          </cell>
        </row>
        <row r="56">
          <cell r="A56">
            <v>236403</v>
          </cell>
          <cell r="B56" t="str">
            <v>Automated</v>
          </cell>
          <cell r="C56" t="str">
            <v>864</v>
          </cell>
        </row>
        <row r="57">
          <cell r="A57">
            <v>241232</v>
          </cell>
          <cell r="B57" t="str">
            <v>Automated</v>
          </cell>
          <cell r="C57" t="str">
            <v>867</v>
          </cell>
        </row>
        <row r="58">
          <cell r="A58">
            <v>255407</v>
          </cell>
          <cell r="B58" t="str">
            <v>Automated</v>
          </cell>
          <cell r="C58" t="str">
            <v>868</v>
          </cell>
        </row>
        <row r="59">
          <cell r="A59">
            <v>259732</v>
          </cell>
          <cell r="B59" t="str">
            <v>Automated</v>
          </cell>
          <cell r="C59" t="str">
            <v>869</v>
          </cell>
        </row>
        <row r="60">
          <cell r="A60">
            <v>264428</v>
          </cell>
          <cell r="B60" t="str">
            <v>Automated</v>
          </cell>
          <cell r="C60" t="str">
            <v>870</v>
          </cell>
        </row>
        <row r="61">
          <cell r="A61">
            <v>264430</v>
          </cell>
          <cell r="B61" t="str">
            <v>Automated</v>
          </cell>
          <cell r="C61" t="str">
            <v>871</v>
          </cell>
        </row>
        <row r="62">
          <cell r="A62">
            <v>264429</v>
          </cell>
          <cell r="B62" t="str">
            <v>Automated</v>
          </cell>
          <cell r="C62" t="str">
            <v>872</v>
          </cell>
        </row>
        <row r="63">
          <cell r="A63">
            <v>290429</v>
          </cell>
          <cell r="B63" t="str">
            <v>Automated</v>
          </cell>
          <cell r="C63" t="str">
            <v>873</v>
          </cell>
        </row>
        <row r="64">
          <cell r="A64">
            <v>296257</v>
          </cell>
          <cell r="B64" t="str">
            <v>Automated</v>
          </cell>
          <cell r="C64" t="str">
            <v>874</v>
          </cell>
        </row>
        <row r="65">
          <cell r="A65">
            <v>299121</v>
          </cell>
          <cell r="B65" t="str">
            <v>Automated</v>
          </cell>
          <cell r="C65" t="str">
            <v>875</v>
          </cell>
        </row>
        <row r="66">
          <cell r="A66">
            <v>298243</v>
          </cell>
          <cell r="B66" t="str">
            <v>Automated</v>
          </cell>
          <cell r="C66" t="str">
            <v>876</v>
          </cell>
        </row>
        <row r="67">
          <cell r="A67">
            <v>319562</v>
          </cell>
          <cell r="B67" t="str">
            <v>Automated</v>
          </cell>
          <cell r="C67" t="str">
            <v>877</v>
          </cell>
        </row>
        <row r="68">
          <cell r="A68">
            <v>319563</v>
          </cell>
          <cell r="B68" t="str">
            <v>Automated</v>
          </cell>
          <cell r="C68" t="str">
            <v>878</v>
          </cell>
        </row>
        <row r="69">
          <cell r="A69">
            <v>319316</v>
          </cell>
          <cell r="B69" t="str">
            <v>Automated</v>
          </cell>
          <cell r="C69" t="str">
            <v>879</v>
          </cell>
        </row>
        <row r="70">
          <cell r="A70">
            <v>401747</v>
          </cell>
          <cell r="B70" t="str">
            <v>Automated</v>
          </cell>
          <cell r="C70" t="str">
            <v>880</v>
          </cell>
        </row>
        <row r="71">
          <cell r="A71">
            <v>319564</v>
          </cell>
          <cell r="B71" t="str">
            <v>Automated</v>
          </cell>
          <cell r="C71" t="str">
            <v>881</v>
          </cell>
        </row>
        <row r="72">
          <cell r="B72" t="str">
            <v>Automated</v>
          </cell>
          <cell r="C72" t="str">
            <v>882</v>
          </cell>
        </row>
        <row r="73">
          <cell r="A73">
            <v>400287</v>
          </cell>
          <cell r="B73" t="str">
            <v>Automated</v>
          </cell>
          <cell r="C73" t="str">
            <v>883</v>
          </cell>
        </row>
        <row r="74">
          <cell r="A74">
            <v>409083</v>
          </cell>
          <cell r="B74" t="str">
            <v>Automated</v>
          </cell>
          <cell r="C74" t="str">
            <v>884</v>
          </cell>
        </row>
        <row r="75">
          <cell r="B75" t="str">
            <v>Cont. Del</v>
          </cell>
          <cell r="C75" t="str">
            <v/>
          </cell>
        </row>
        <row r="76">
          <cell r="A76">
            <v>258058</v>
          </cell>
          <cell r="B76" t="str">
            <v>Cont. Del</v>
          </cell>
          <cell r="C76" t="str">
            <v>C-10</v>
          </cell>
        </row>
        <row r="77">
          <cell r="A77">
            <v>282634</v>
          </cell>
          <cell r="B77" t="str">
            <v>Cont. Del</v>
          </cell>
          <cell r="C77" t="str">
            <v>C-11</v>
          </cell>
        </row>
        <row r="78">
          <cell r="B78" t="str">
            <v>Cont. Del</v>
          </cell>
          <cell r="C78" t="str">
            <v>C-13</v>
          </cell>
        </row>
        <row r="79">
          <cell r="A79">
            <v>413706</v>
          </cell>
          <cell r="B79" t="str">
            <v>Cont. Del</v>
          </cell>
          <cell r="C79" t="str">
            <v>C-16</v>
          </cell>
        </row>
        <row r="80">
          <cell r="A80">
            <v>73243</v>
          </cell>
          <cell r="B80" t="str">
            <v>Cont. Del</v>
          </cell>
          <cell r="C80" t="str">
            <v>C-2</v>
          </cell>
        </row>
        <row r="81">
          <cell r="A81">
            <v>75741</v>
          </cell>
          <cell r="B81" t="str">
            <v>Cont. Del</v>
          </cell>
          <cell r="C81" t="str">
            <v>C-3</v>
          </cell>
        </row>
        <row r="82">
          <cell r="A82">
            <v>281811</v>
          </cell>
          <cell r="B82" t="str">
            <v>Cont. Del</v>
          </cell>
          <cell r="C82" t="str">
            <v>C-4</v>
          </cell>
        </row>
        <row r="83">
          <cell r="A83">
            <v>281812</v>
          </cell>
          <cell r="B83" t="str">
            <v>Cont. Del</v>
          </cell>
          <cell r="C83" t="str">
            <v>C-5</v>
          </cell>
        </row>
        <row r="84">
          <cell r="A84">
            <v>169996</v>
          </cell>
          <cell r="B84" t="str">
            <v>Cont. Del</v>
          </cell>
          <cell r="C84" t="str">
            <v>C-6</v>
          </cell>
        </row>
        <row r="85">
          <cell r="A85">
            <v>180339</v>
          </cell>
          <cell r="B85" t="str">
            <v>Cont. Del</v>
          </cell>
          <cell r="C85" t="str">
            <v>C-8</v>
          </cell>
        </row>
        <row r="86">
          <cell r="A86">
            <v>202939</v>
          </cell>
          <cell r="B86" t="str">
            <v>Cont. Del</v>
          </cell>
          <cell r="C86" t="str">
            <v>C-9</v>
          </cell>
        </row>
        <row r="87">
          <cell r="A87">
            <v>298302</v>
          </cell>
          <cell r="B87" t="str">
            <v>Cont. Del</v>
          </cell>
          <cell r="C87" t="str">
            <v>C15</v>
          </cell>
        </row>
        <row r="88">
          <cell r="A88">
            <v>73638</v>
          </cell>
          <cell r="B88" t="str">
            <v>Cont. Del</v>
          </cell>
          <cell r="C88" t="str">
            <v>m-1</v>
          </cell>
        </row>
        <row r="89">
          <cell r="B89" t="str">
            <v>Dump Truck</v>
          </cell>
          <cell r="C89" t="str">
            <v/>
          </cell>
        </row>
        <row r="90">
          <cell r="A90">
            <v>232971</v>
          </cell>
          <cell r="B90" t="str">
            <v>Dump Truck</v>
          </cell>
          <cell r="C90" t="str">
            <v>9182</v>
          </cell>
        </row>
        <row r="91">
          <cell r="A91">
            <v>222108</v>
          </cell>
          <cell r="B91" t="str">
            <v>Dump Truck</v>
          </cell>
          <cell r="C91" t="str">
            <v>9184</v>
          </cell>
        </row>
        <row r="92">
          <cell r="B92" t="str">
            <v>Front Load</v>
          </cell>
          <cell r="C92" t="str">
            <v/>
          </cell>
        </row>
        <row r="93">
          <cell r="A93">
            <v>62296</v>
          </cell>
          <cell r="B93" t="str">
            <v>Front Load</v>
          </cell>
          <cell r="C93" t="str">
            <v>907</v>
          </cell>
        </row>
        <row r="94">
          <cell r="A94">
            <v>89625</v>
          </cell>
          <cell r="B94" t="str">
            <v>Front Load</v>
          </cell>
          <cell r="C94" t="str">
            <v>908</v>
          </cell>
        </row>
        <row r="95">
          <cell r="A95">
            <v>120152</v>
          </cell>
          <cell r="B95" t="str">
            <v>Front Load</v>
          </cell>
          <cell r="C95" t="str">
            <v>910</v>
          </cell>
        </row>
        <row r="96">
          <cell r="A96">
            <v>202832</v>
          </cell>
          <cell r="B96" t="str">
            <v>Front Load</v>
          </cell>
          <cell r="C96" t="str">
            <v>912</v>
          </cell>
        </row>
        <row r="97">
          <cell r="A97">
            <v>202833</v>
          </cell>
          <cell r="B97" t="str">
            <v>Front Load</v>
          </cell>
          <cell r="C97" t="str">
            <v>913</v>
          </cell>
        </row>
        <row r="98">
          <cell r="A98">
            <v>219747</v>
          </cell>
          <cell r="B98" t="str">
            <v>Front Load</v>
          </cell>
          <cell r="C98" t="str">
            <v>914</v>
          </cell>
        </row>
        <row r="99">
          <cell r="A99">
            <v>223824</v>
          </cell>
          <cell r="B99" t="str">
            <v>Front Load</v>
          </cell>
          <cell r="C99" t="str">
            <v>915</v>
          </cell>
        </row>
        <row r="100">
          <cell r="A100">
            <v>252176</v>
          </cell>
          <cell r="B100" t="str">
            <v>Front Load</v>
          </cell>
          <cell r="C100" t="str">
            <v>916</v>
          </cell>
        </row>
        <row r="101">
          <cell r="A101">
            <v>252175</v>
          </cell>
          <cell r="B101" t="str">
            <v>Front Load</v>
          </cell>
          <cell r="C101" t="str">
            <v>917</v>
          </cell>
        </row>
        <row r="102">
          <cell r="A102">
            <v>283285</v>
          </cell>
          <cell r="B102" t="str">
            <v>Front Load</v>
          </cell>
          <cell r="C102" t="str">
            <v>918</v>
          </cell>
        </row>
        <row r="103">
          <cell r="A103">
            <v>315529</v>
          </cell>
          <cell r="B103" t="str">
            <v>Front Load</v>
          </cell>
          <cell r="C103" t="str">
            <v>919</v>
          </cell>
        </row>
        <row r="104">
          <cell r="A104">
            <v>319318</v>
          </cell>
          <cell r="B104" t="str">
            <v>Front Load</v>
          </cell>
          <cell r="C104" t="str">
            <v>920</v>
          </cell>
        </row>
        <row r="105">
          <cell r="A105">
            <v>406463</v>
          </cell>
          <cell r="B105" t="str">
            <v>Front Load</v>
          </cell>
          <cell r="C105" t="str">
            <v>921</v>
          </cell>
        </row>
        <row r="106">
          <cell r="B106" t="str">
            <v>Hook Lift</v>
          </cell>
          <cell r="C106" t="str">
            <v/>
          </cell>
        </row>
        <row r="107">
          <cell r="A107">
            <v>282796</v>
          </cell>
          <cell r="B107" t="str">
            <v>Hook Lift</v>
          </cell>
          <cell r="C107" t="str">
            <v>C-12</v>
          </cell>
        </row>
        <row r="108">
          <cell r="A108">
            <v>298521</v>
          </cell>
          <cell r="B108" t="str">
            <v>Hook Lift</v>
          </cell>
          <cell r="C108" t="str">
            <v>C-14</v>
          </cell>
        </row>
        <row r="109">
          <cell r="B109" t="str">
            <v>Non-RTA Fac</v>
          </cell>
          <cell r="C109" t="str">
            <v/>
          </cell>
        </row>
        <row r="110">
          <cell r="B110" t="str">
            <v>Non-RTA Fac</v>
          </cell>
          <cell r="C110" t="str">
            <v>CTPAINT</v>
          </cell>
        </row>
        <row r="111">
          <cell r="B111" t="str">
            <v>Non-RTA Fac</v>
          </cell>
          <cell r="C111" t="str">
            <v>DPREPAIR</v>
          </cell>
        </row>
        <row r="112">
          <cell r="B112" t="str">
            <v>Non-RTA Fac</v>
          </cell>
          <cell r="C112" t="str">
            <v>ROREPAIR</v>
          </cell>
        </row>
        <row r="113">
          <cell r="B113" t="str">
            <v>Non-RTA Fac</v>
          </cell>
          <cell r="C113" t="str">
            <v>TIRE</v>
          </cell>
        </row>
        <row r="114">
          <cell r="B114" t="str">
            <v>Non-RTA Fac</v>
          </cell>
          <cell r="C114" t="str">
            <v>YARD</v>
          </cell>
        </row>
        <row r="115">
          <cell r="B115" t="str">
            <v>Non-RTA Fac</v>
          </cell>
          <cell r="C115" t="str">
            <v>YELLOW</v>
          </cell>
        </row>
        <row r="116">
          <cell r="B116" t="str">
            <v>Pick Up</v>
          </cell>
          <cell r="C116" t="str">
            <v/>
          </cell>
        </row>
        <row r="117">
          <cell r="A117">
            <v>205635</v>
          </cell>
          <cell r="B117" t="str">
            <v>Pick Up</v>
          </cell>
          <cell r="C117" t="str">
            <v>15</v>
          </cell>
        </row>
        <row r="118">
          <cell r="B118" t="str">
            <v>Pick Up</v>
          </cell>
          <cell r="C118" t="str">
            <v>17</v>
          </cell>
        </row>
        <row r="119">
          <cell r="A119">
            <v>283319</v>
          </cell>
          <cell r="B119" t="str">
            <v>Pick Up</v>
          </cell>
          <cell r="C119" t="str">
            <v>2</v>
          </cell>
        </row>
        <row r="120">
          <cell r="A120">
            <v>75142</v>
          </cell>
          <cell r="B120" t="str">
            <v>Pick Up</v>
          </cell>
          <cell r="C120" t="str">
            <v>3</v>
          </cell>
        </row>
        <row r="121">
          <cell r="A121">
            <v>281814</v>
          </cell>
          <cell r="B121" t="str">
            <v>Pick Up</v>
          </cell>
          <cell r="C121" t="str">
            <v>4</v>
          </cell>
        </row>
        <row r="122">
          <cell r="A122">
            <v>48345</v>
          </cell>
          <cell r="B122" t="str">
            <v>Pick Up</v>
          </cell>
          <cell r="C122" t="str">
            <v>5</v>
          </cell>
        </row>
        <row r="123">
          <cell r="A123">
            <v>204027</v>
          </cell>
          <cell r="B123" t="str">
            <v>Pick Up</v>
          </cell>
          <cell r="C123" t="str">
            <v>6052</v>
          </cell>
        </row>
        <row r="124">
          <cell r="A124">
            <v>281809</v>
          </cell>
          <cell r="B124" t="str">
            <v>Pick Up</v>
          </cell>
          <cell r="C124" t="str">
            <v>7</v>
          </cell>
        </row>
        <row r="125">
          <cell r="A125">
            <v>114877</v>
          </cell>
          <cell r="B125" t="str">
            <v>Pick Up</v>
          </cell>
          <cell r="C125" t="str">
            <v>8</v>
          </cell>
        </row>
        <row r="126">
          <cell r="A126">
            <v>173288</v>
          </cell>
          <cell r="B126" t="str">
            <v>Pick Up</v>
          </cell>
          <cell r="C126" t="str">
            <v>9</v>
          </cell>
        </row>
        <row r="127">
          <cell r="B127" t="str">
            <v>Rear Load</v>
          </cell>
          <cell r="C127" t="str">
            <v/>
          </cell>
        </row>
        <row r="128">
          <cell r="A128">
            <v>173078</v>
          </cell>
          <cell r="B128" t="str">
            <v>Rear Load</v>
          </cell>
          <cell r="C128" t="str">
            <v>152</v>
          </cell>
        </row>
        <row r="129">
          <cell r="A129">
            <v>173079</v>
          </cell>
          <cell r="B129" t="str">
            <v>Rear Load</v>
          </cell>
          <cell r="C129" t="str">
            <v>153</v>
          </cell>
        </row>
        <row r="130">
          <cell r="A130">
            <v>225256</v>
          </cell>
          <cell r="B130" t="str">
            <v>Rear Load</v>
          </cell>
          <cell r="C130" t="str">
            <v>600</v>
          </cell>
        </row>
        <row r="131">
          <cell r="A131">
            <v>278098</v>
          </cell>
          <cell r="B131" t="str">
            <v>Rear Load</v>
          </cell>
          <cell r="C131" t="str">
            <v>603</v>
          </cell>
        </row>
        <row r="132">
          <cell r="A132">
            <v>278097</v>
          </cell>
          <cell r="B132" t="str">
            <v>Rear Load</v>
          </cell>
          <cell r="C132" t="str">
            <v>605</v>
          </cell>
        </row>
        <row r="133">
          <cell r="A133">
            <v>19647</v>
          </cell>
          <cell r="B133" t="str">
            <v>Rear Load</v>
          </cell>
          <cell r="C133" t="str">
            <v>606</v>
          </cell>
        </row>
        <row r="134">
          <cell r="A134">
            <v>278095</v>
          </cell>
          <cell r="B134" t="str">
            <v>Rear Load</v>
          </cell>
          <cell r="C134" t="str">
            <v>607</v>
          </cell>
        </row>
        <row r="135">
          <cell r="A135">
            <v>173166</v>
          </cell>
          <cell r="B135" t="str">
            <v>Rear Load</v>
          </cell>
          <cell r="C135" t="str">
            <v>609</v>
          </cell>
        </row>
        <row r="136">
          <cell r="A136">
            <v>173231</v>
          </cell>
          <cell r="B136" t="str">
            <v>Rear Load</v>
          </cell>
          <cell r="C136" t="str">
            <v>612</v>
          </cell>
        </row>
        <row r="137">
          <cell r="A137">
            <v>102159</v>
          </cell>
          <cell r="B137" t="str">
            <v>Rear Load</v>
          </cell>
          <cell r="C137" t="str">
            <v>613</v>
          </cell>
        </row>
        <row r="138">
          <cell r="A138">
            <v>54079</v>
          </cell>
          <cell r="B138" t="str">
            <v>Rear Load</v>
          </cell>
          <cell r="C138" t="str">
            <v>614</v>
          </cell>
        </row>
        <row r="139">
          <cell r="A139">
            <v>53798</v>
          </cell>
          <cell r="B139" t="str">
            <v>Rear Load</v>
          </cell>
          <cell r="C139" t="str">
            <v>615</v>
          </cell>
        </row>
        <row r="140">
          <cell r="A140">
            <v>173247</v>
          </cell>
          <cell r="B140" t="str">
            <v>Rear Load</v>
          </cell>
          <cell r="C140" t="str">
            <v>616</v>
          </cell>
        </row>
        <row r="141">
          <cell r="A141">
            <v>225260</v>
          </cell>
          <cell r="B141" t="str">
            <v>Rear Load</v>
          </cell>
          <cell r="C141" t="str">
            <v>623</v>
          </cell>
        </row>
        <row r="142">
          <cell r="A142">
            <v>173290</v>
          </cell>
          <cell r="B142" t="str">
            <v>Rear Load</v>
          </cell>
          <cell r="C142" t="str">
            <v>628</v>
          </cell>
        </row>
        <row r="143">
          <cell r="A143">
            <v>173296</v>
          </cell>
          <cell r="B143" t="str">
            <v>Rear Load</v>
          </cell>
          <cell r="C143" t="str">
            <v>629</v>
          </cell>
        </row>
        <row r="144">
          <cell r="A144">
            <v>132075</v>
          </cell>
          <cell r="B144" t="str">
            <v>Rear Load</v>
          </cell>
          <cell r="C144" t="str">
            <v>630</v>
          </cell>
        </row>
        <row r="145">
          <cell r="A145">
            <v>303699</v>
          </cell>
          <cell r="B145" t="str">
            <v>Rear Load</v>
          </cell>
          <cell r="C145" t="str">
            <v>631</v>
          </cell>
        </row>
        <row r="146">
          <cell r="A146">
            <v>303990</v>
          </cell>
          <cell r="B146" t="str">
            <v>Rear Load</v>
          </cell>
          <cell r="C146" t="str">
            <v>632</v>
          </cell>
        </row>
        <row r="147">
          <cell r="A147">
            <v>291321</v>
          </cell>
          <cell r="B147" t="str">
            <v>Rear Load</v>
          </cell>
          <cell r="C147" t="str">
            <v>633</v>
          </cell>
        </row>
        <row r="148">
          <cell r="A148">
            <v>305425</v>
          </cell>
          <cell r="B148" t="str">
            <v>Rear Load</v>
          </cell>
          <cell r="C148" t="str">
            <v>634</v>
          </cell>
        </row>
        <row r="149">
          <cell r="A149">
            <v>309969</v>
          </cell>
          <cell r="B149" t="str">
            <v>Rear Load</v>
          </cell>
          <cell r="C149" t="str">
            <v>635</v>
          </cell>
        </row>
        <row r="150">
          <cell r="A150">
            <v>320999</v>
          </cell>
          <cell r="B150" t="str">
            <v>Rear Load</v>
          </cell>
          <cell r="C150" t="str">
            <v>636</v>
          </cell>
        </row>
        <row r="151">
          <cell r="B151" t="str">
            <v>Retriever</v>
          </cell>
          <cell r="C151" t="str">
            <v/>
          </cell>
        </row>
        <row r="152">
          <cell r="A152">
            <v>173284</v>
          </cell>
          <cell r="B152" t="str">
            <v>Retriever</v>
          </cell>
          <cell r="C152" t="str">
            <v>139</v>
          </cell>
        </row>
        <row r="153">
          <cell r="A153">
            <v>200783</v>
          </cell>
          <cell r="B153" t="str">
            <v>Retriever</v>
          </cell>
          <cell r="C153" t="str">
            <v>150</v>
          </cell>
        </row>
        <row r="154">
          <cell r="A154">
            <v>88717</v>
          </cell>
          <cell r="B154" t="str">
            <v>Retriever</v>
          </cell>
          <cell r="C154" t="str">
            <v>151</v>
          </cell>
        </row>
        <row r="155">
          <cell r="A155">
            <v>178931</v>
          </cell>
          <cell r="B155" t="str">
            <v>Retriever</v>
          </cell>
          <cell r="C155" t="str">
            <v>304</v>
          </cell>
        </row>
        <row r="156">
          <cell r="A156">
            <v>272354</v>
          </cell>
          <cell r="B156" t="str">
            <v>Retriever</v>
          </cell>
          <cell r="C156" t="str">
            <v>305</v>
          </cell>
        </row>
        <row r="157">
          <cell r="B157" t="str">
            <v>Retriever</v>
          </cell>
          <cell r="C157" t="str">
            <v>306</v>
          </cell>
        </row>
        <row r="158">
          <cell r="B158" t="str">
            <v>Roll Off</v>
          </cell>
          <cell r="C158" t="str">
            <v/>
          </cell>
        </row>
        <row r="159">
          <cell r="A159">
            <v>102175</v>
          </cell>
          <cell r="B159" t="str">
            <v>Roll Off</v>
          </cell>
          <cell r="C159" t="str">
            <v>154</v>
          </cell>
        </row>
        <row r="160">
          <cell r="B160" t="str">
            <v>Roll Off</v>
          </cell>
          <cell r="C160" t="str">
            <v>18831</v>
          </cell>
        </row>
        <row r="161">
          <cell r="A161">
            <v>133302</v>
          </cell>
          <cell r="B161" t="str">
            <v>Roll Off</v>
          </cell>
          <cell r="C161" t="str">
            <v>401</v>
          </cell>
        </row>
        <row r="162">
          <cell r="A162">
            <v>133315</v>
          </cell>
          <cell r="B162" t="str">
            <v>Roll Off</v>
          </cell>
          <cell r="C162" t="str">
            <v>405</v>
          </cell>
        </row>
        <row r="163">
          <cell r="A163">
            <v>25020</v>
          </cell>
          <cell r="B163" t="str">
            <v>Roll Off</v>
          </cell>
          <cell r="C163" t="str">
            <v>406</v>
          </cell>
        </row>
        <row r="164">
          <cell r="A164">
            <v>25019</v>
          </cell>
          <cell r="B164" t="str">
            <v>Roll Off</v>
          </cell>
          <cell r="C164" t="str">
            <v>407</v>
          </cell>
        </row>
        <row r="165">
          <cell r="A165">
            <v>25363</v>
          </cell>
          <cell r="B165" t="str">
            <v>Roll Off</v>
          </cell>
          <cell r="C165" t="str">
            <v>408</v>
          </cell>
        </row>
        <row r="166">
          <cell r="A166">
            <v>173291</v>
          </cell>
          <cell r="B166" t="str">
            <v>Roll Off</v>
          </cell>
          <cell r="C166" t="str">
            <v>409</v>
          </cell>
        </row>
        <row r="167">
          <cell r="A167">
            <v>28103</v>
          </cell>
          <cell r="B167" t="str">
            <v>Roll Off</v>
          </cell>
          <cell r="C167" t="str">
            <v>410</v>
          </cell>
        </row>
        <row r="168">
          <cell r="A168">
            <v>118203</v>
          </cell>
          <cell r="B168" t="str">
            <v>Roll Off</v>
          </cell>
          <cell r="C168" t="str">
            <v>411</v>
          </cell>
        </row>
        <row r="169">
          <cell r="A169">
            <v>133319</v>
          </cell>
          <cell r="B169" t="str">
            <v>Roll Off</v>
          </cell>
          <cell r="C169" t="str">
            <v>412</v>
          </cell>
        </row>
        <row r="170">
          <cell r="A170">
            <v>173403</v>
          </cell>
          <cell r="B170" t="str">
            <v>Roll Off</v>
          </cell>
          <cell r="C170" t="str">
            <v>413</v>
          </cell>
        </row>
        <row r="171">
          <cell r="A171">
            <v>133323</v>
          </cell>
          <cell r="B171" t="str">
            <v>Roll Off</v>
          </cell>
          <cell r="C171" t="str">
            <v>414</v>
          </cell>
        </row>
        <row r="172">
          <cell r="A172">
            <v>133327</v>
          </cell>
          <cell r="B172" t="str">
            <v>Roll Off</v>
          </cell>
          <cell r="C172" t="str">
            <v>415</v>
          </cell>
        </row>
        <row r="173">
          <cell r="A173">
            <v>133329</v>
          </cell>
          <cell r="B173" t="str">
            <v>Roll Off</v>
          </cell>
          <cell r="C173" t="str">
            <v>416</v>
          </cell>
        </row>
        <row r="174">
          <cell r="A174">
            <v>133347</v>
          </cell>
          <cell r="B174" t="str">
            <v>Roll Off</v>
          </cell>
          <cell r="C174" t="str">
            <v>417</v>
          </cell>
        </row>
        <row r="175">
          <cell r="A175">
            <v>173397</v>
          </cell>
          <cell r="B175" t="str">
            <v>Roll Off</v>
          </cell>
          <cell r="C175" t="str">
            <v>418</v>
          </cell>
        </row>
        <row r="176">
          <cell r="A176">
            <v>133332</v>
          </cell>
          <cell r="B176" t="str">
            <v>Roll Off</v>
          </cell>
          <cell r="C176" t="str">
            <v>419</v>
          </cell>
        </row>
        <row r="177">
          <cell r="A177">
            <v>67924</v>
          </cell>
          <cell r="B177" t="str">
            <v>Roll Off</v>
          </cell>
          <cell r="C177" t="str">
            <v>420</v>
          </cell>
        </row>
        <row r="178">
          <cell r="A178">
            <v>133337</v>
          </cell>
          <cell r="B178" t="str">
            <v>Roll Off</v>
          </cell>
          <cell r="C178" t="str">
            <v>421</v>
          </cell>
        </row>
        <row r="179">
          <cell r="A179">
            <v>118206</v>
          </cell>
          <cell r="B179" t="str">
            <v>Roll Off</v>
          </cell>
          <cell r="C179" t="str">
            <v>422</v>
          </cell>
        </row>
        <row r="180">
          <cell r="A180">
            <v>118192</v>
          </cell>
          <cell r="B180" t="str">
            <v>Roll Off</v>
          </cell>
          <cell r="C180" t="str">
            <v>423</v>
          </cell>
        </row>
        <row r="181">
          <cell r="A181">
            <v>133336</v>
          </cell>
          <cell r="B181" t="str">
            <v>Roll Off</v>
          </cell>
          <cell r="C181" t="str">
            <v>424</v>
          </cell>
        </row>
        <row r="182">
          <cell r="A182">
            <v>118201</v>
          </cell>
          <cell r="B182" t="str">
            <v>Roll Off</v>
          </cell>
          <cell r="C182" t="str">
            <v>425</v>
          </cell>
        </row>
        <row r="183">
          <cell r="A183">
            <v>173322</v>
          </cell>
          <cell r="B183" t="str">
            <v>Roll Off</v>
          </cell>
          <cell r="C183" t="str">
            <v>426</v>
          </cell>
        </row>
        <row r="184">
          <cell r="A184">
            <v>166340</v>
          </cell>
          <cell r="B184" t="str">
            <v>Roll Off</v>
          </cell>
          <cell r="C184" t="str">
            <v>427</v>
          </cell>
        </row>
        <row r="185">
          <cell r="A185">
            <v>207232</v>
          </cell>
          <cell r="B185" t="str">
            <v>Roll Off</v>
          </cell>
          <cell r="C185" t="str">
            <v>428</v>
          </cell>
        </row>
        <row r="186">
          <cell r="A186">
            <v>207233</v>
          </cell>
          <cell r="B186" t="str">
            <v>Roll Off</v>
          </cell>
          <cell r="C186" t="str">
            <v>429</v>
          </cell>
        </row>
        <row r="187">
          <cell r="A187">
            <v>218211</v>
          </cell>
          <cell r="B187" t="str">
            <v>Roll Off</v>
          </cell>
          <cell r="C187" t="str">
            <v>434</v>
          </cell>
        </row>
        <row r="188">
          <cell r="A188">
            <v>200446</v>
          </cell>
          <cell r="B188" t="str">
            <v>Roll Off</v>
          </cell>
          <cell r="C188" t="str">
            <v>437</v>
          </cell>
        </row>
        <row r="189">
          <cell r="A189">
            <v>181722</v>
          </cell>
          <cell r="B189" t="str">
            <v>Roll Off</v>
          </cell>
          <cell r="C189" t="str">
            <v>438</v>
          </cell>
        </row>
        <row r="190">
          <cell r="A190">
            <v>186152</v>
          </cell>
          <cell r="B190" t="str">
            <v>Roll Off</v>
          </cell>
          <cell r="C190" t="str">
            <v>439</v>
          </cell>
        </row>
        <row r="191">
          <cell r="A191">
            <v>198055</v>
          </cell>
          <cell r="B191" t="str">
            <v>Roll Off</v>
          </cell>
          <cell r="C191" t="str">
            <v>440</v>
          </cell>
        </row>
        <row r="192">
          <cell r="A192">
            <v>186153</v>
          </cell>
          <cell r="B192" t="str">
            <v>Roll Off</v>
          </cell>
          <cell r="C192" t="str">
            <v>441</v>
          </cell>
        </row>
        <row r="193">
          <cell r="A193">
            <v>189840</v>
          </cell>
          <cell r="B193" t="str">
            <v>Roll Off</v>
          </cell>
          <cell r="C193" t="str">
            <v>442</v>
          </cell>
        </row>
        <row r="194">
          <cell r="A194">
            <v>202085</v>
          </cell>
          <cell r="B194" t="str">
            <v>Roll Off</v>
          </cell>
          <cell r="C194" t="str">
            <v>443</v>
          </cell>
        </row>
        <row r="195">
          <cell r="A195">
            <v>221748</v>
          </cell>
          <cell r="B195" t="str">
            <v>Roll Off</v>
          </cell>
          <cell r="C195" t="str">
            <v>444</v>
          </cell>
        </row>
        <row r="196">
          <cell r="A196">
            <v>225229</v>
          </cell>
          <cell r="B196" t="str">
            <v>Roll Off</v>
          </cell>
          <cell r="C196" t="str">
            <v>445</v>
          </cell>
        </row>
        <row r="197">
          <cell r="A197">
            <v>232993</v>
          </cell>
          <cell r="B197" t="str">
            <v>Roll Off</v>
          </cell>
          <cell r="C197" t="str">
            <v>446</v>
          </cell>
        </row>
        <row r="198">
          <cell r="A198">
            <v>232600</v>
          </cell>
          <cell r="B198" t="str">
            <v>Roll Off</v>
          </cell>
          <cell r="C198" t="str">
            <v>447</v>
          </cell>
        </row>
        <row r="199">
          <cell r="A199">
            <v>235098</v>
          </cell>
          <cell r="B199" t="str">
            <v>Roll Off</v>
          </cell>
          <cell r="C199" t="str">
            <v>448</v>
          </cell>
        </row>
        <row r="200">
          <cell r="A200">
            <v>235328</v>
          </cell>
          <cell r="B200" t="str">
            <v>Roll Off</v>
          </cell>
          <cell r="C200" t="str">
            <v>449</v>
          </cell>
        </row>
        <row r="201">
          <cell r="A201">
            <v>291164</v>
          </cell>
          <cell r="B201" t="str">
            <v>Roll Off</v>
          </cell>
          <cell r="C201" t="str">
            <v>450</v>
          </cell>
        </row>
        <row r="202">
          <cell r="A202">
            <v>296258</v>
          </cell>
          <cell r="B202" t="str">
            <v>Roll Off</v>
          </cell>
          <cell r="C202" t="str">
            <v>451</v>
          </cell>
        </row>
        <row r="203">
          <cell r="A203">
            <v>315528</v>
          </cell>
          <cell r="B203" t="str">
            <v>Roll Off</v>
          </cell>
          <cell r="C203" t="str">
            <v>452</v>
          </cell>
        </row>
        <row r="204">
          <cell r="A204">
            <v>319317</v>
          </cell>
          <cell r="B204" t="str">
            <v>Roll Off</v>
          </cell>
          <cell r="C204" t="str">
            <v>453</v>
          </cell>
        </row>
        <row r="205">
          <cell r="B205" t="str">
            <v>Service Truck</v>
          </cell>
          <cell r="C205" t="str">
            <v/>
          </cell>
        </row>
        <row r="206">
          <cell r="A206">
            <v>58549</v>
          </cell>
          <cell r="B206" t="str">
            <v>Service Truck</v>
          </cell>
          <cell r="C206" t="str">
            <v>126</v>
          </cell>
        </row>
        <row r="207">
          <cell r="A207">
            <v>110969</v>
          </cell>
          <cell r="B207" t="str">
            <v>Service Truck</v>
          </cell>
          <cell r="C207" t="str">
            <v>127</v>
          </cell>
        </row>
        <row r="208">
          <cell r="B208" t="str">
            <v>Service Truck</v>
          </cell>
          <cell r="C208" t="str">
            <v>128</v>
          </cell>
        </row>
        <row r="209">
          <cell r="A209">
            <v>406464</v>
          </cell>
          <cell r="B209" t="str">
            <v>Service Truck</v>
          </cell>
          <cell r="C209" t="str">
            <v>129</v>
          </cell>
        </row>
        <row r="210">
          <cell r="A210">
            <v>173294</v>
          </cell>
          <cell r="B210" t="str">
            <v>Service Truck</v>
          </cell>
          <cell r="C210" t="str">
            <v>48</v>
          </cell>
        </row>
        <row r="211">
          <cell r="B211" t="str">
            <v>Side Load</v>
          </cell>
          <cell r="C211" t="str">
            <v/>
          </cell>
        </row>
        <row r="212">
          <cell r="A212">
            <v>242811</v>
          </cell>
          <cell r="B212" t="str">
            <v>Side Load</v>
          </cell>
          <cell r="C212" t="str">
            <v>866</v>
          </cell>
        </row>
        <row r="213">
          <cell r="B213" t="str">
            <v>Tractor</v>
          </cell>
          <cell r="C213" t="str">
            <v/>
          </cell>
        </row>
        <row r="214">
          <cell r="A214">
            <v>173525</v>
          </cell>
          <cell r="B214" t="str">
            <v>Tractor</v>
          </cell>
          <cell r="C214" t="str">
            <v>147</v>
          </cell>
        </row>
        <row r="215">
          <cell r="A215">
            <v>187437</v>
          </cell>
          <cell r="B215" t="str">
            <v>Tractor</v>
          </cell>
          <cell r="C215" t="str">
            <v>149</v>
          </cell>
        </row>
        <row r="216">
          <cell r="A216">
            <v>28511</v>
          </cell>
          <cell r="B216" t="str">
            <v>Tractor</v>
          </cell>
          <cell r="C216" t="str">
            <v>156</v>
          </cell>
        </row>
        <row r="217">
          <cell r="A217">
            <v>60338</v>
          </cell>
          <cell r="B217" t="str">
            <v>Tractor</v>
          </cell>
          <cell r="C217" t="str">
            <v>158</v>
          </cell>
        </row>
        <row r="218">
          <cell r="A218">
            <v>302420</v>
          </cell>
          <cell r="B218" t="str">
            <v>Tractor</v>
          </cell>
          <cell r="C218" t="str">
            <v>159</v>
          </cell>
        </row>
        <row r="219">
          <cell r="A219">
            <v>302419</v>
          </cell>
          <cell r="B219" t="str">
            <v>Tractor</v>
          </cell>
          <cell r="C219" t="str">
            <v>160</v>
          </cell>
        </row>
        <row r="220">
          <cell r="A220">
            <v>9537</v>
          </cell>
          <cell r="B220" t="str">
            <v>Tractor</v>
          </cell>
          <cell r="C220" t="str">
            <v>168</v>
          </cell>
        </row>
        <row r="221">
          <cell r="A221">
            <v>9536</v>
          </cell>
          <cell r="B221" t="str">
            <v>Tractor</v>
          </cell>
          <cell r="C221" t="str">
            <v>169</v>
          </cell>
        </row>
        <row r="222">
          <cell r="A222">
            <v>102177</v>
          </cell>
          <cell r="B222" t="str">
            <v>Tractor</v>
          </cell>
          <cell r="C222" t="str">
            <v>181</v>
          </cell>
        </row>
        <row r="223">
          <cell r="A223">
            <v>102169</v>
          </cell>
          <cell r="B223" t="str">
            <v>Tractor</v>
          </cell>
          <cell r="C223" t="str">
            <v>182</v>
          </cell>
        </row>
        <row r="224">
          <cell r="A224">
            <v>85258</v>
          </cell>
          <cell r="B224" t="str">
            <v>Tractor</v>
          </cell>
          <cell r="C224" t="str">
            <v>185</v>
          </cell>
        </row>
        <row r="225">
          <cell r="A225">
            <v>171235</v>
          </cell>
          <cell r="B225" t="str">
            <v>Tractor</v>
          </cell>
          <cell r="C225" t="str">
            <v>188</v>
          </cell>
        </row>
        <row r="226">
          <cell r="A226">
            <v>201327</v>
          </cell>
          <cell r="B226" t="str">
            <v>Tractor</v>
          </cell>
          <cell r="C226" t="str">
            <v>189</v>
          </cell>
        </row>
        <row r="227">
          <cell r="A227">
            <v>255491</v>
          </cell>
          <cell r="B227" t="str">
            <v>Tractor</v>
          </cell>
          <cell r="C227" t="str">
            <v>190</v>
          </cell>
        </row>
        <row r="228">
          <cell r="A228">
            <v>223823</v>
          </cell>
          <cell r="B228" t="str">
            <v>Tractor</v>
          </cell>
          <cell r="C228" t="str">
            <v>191</v>
          </cell>
        </row>
        <row r="229">
          <cell r="A229">
            <v>255494</v>
          </cell>
          <cell r="B229" t="str">
            <v>Tractor</v>
          </cell>
          <cell r="C229" t="str">
            <v>192</v>
          </cell>
        </row>
        <row r="230">
          <cell r="A230">
            <v>255229</v>
          </cell>
          <cell r="B230" t="str">
            <v>Tractor</v>
          </cell>
          <cell r="C230" t="str">
            <v>193</v>
          </cell>
        </row>
        <row r="231">
          <cell r="A231">
            <v>249939</v>
          </cell>
          <cell r="B231" t="str">
            <v>Tractor</v>
          </cell>
          <cell r="C231" t="str">
            <v>194</v>
          </cell>
        </row>
        <row r="232">
          <cell r="A232">
            <v>272355</v>
          </cell>
          <cell r="B232" t="str">
            <v>Tractor</v>
          </cell>
          <cell r="C232" t="str">
            <v>195</v>
          </cell>
        </row>
        <row r="233">
          <cell r="A233">
            <v>272356</v>
          </cell>
          <cell r="B233" t="str">
            <v>Tractor</v>
          </cell>
          <cell r="C233" t="str">
            <v>196</v>
          </cell>
        </row>
        <row r="234">
          <cell r="A234">
            <v>102347</v>
          </cell>
          <cell r="B234" t="str">
            <v>Tractor</v>
          </cell>
          <cell r="C234" t="str">
            <v>60</v>
          </cell>
        </row>
        <row r="235">
          <cell r="A235">
            <v>102350</v>
          </cell>
          <cell r="B235" t="str">
            <v>Tractor</v>
          </cell>
          <cell r="C235" t="str">
            <v>61</v>
          </cell>
        </row>
        <row r="236">
          <cell r="B236" t="str">
            <v>Trailer</v>
          </cell>
          <cell r="C236" t="str">
            <v/>
          </cell>
        </row>
        <row r="237">
          <cell r="A237">
            <v>222106</v>
          </cell>
          <cell r="B237" t="str">
            <v>Trailer</v>
          </cell>
          <cell r="C237" t="str">
            <v>8497</v>
          </cell>
        </row>
        <row r="238">
          <cell r="A238">
            <v>232968</v>
          </cell>
          <cell r="B238" t="str">
            <v>Trailer</v>
          </cell>
          <cell r="C238" t="str">
            <v>BT-1</v>
          </cell>
        </row>
        <row r="239">
          <cell r="A239">
            <v>316364</v>
          </cell>
          <cell r="B239" t="str">
            <v>Trailer</v>
          </cell>
          <cell r="C239" t="str">
            <v>C1</v>
          </cell>
        </row>
        <row r="240">
          <cell r="A240">
            <v>316361</v>
          </cell>
          <cell r="B240" t="str">
            <v>Trailer</v>
          </cell>
          <cell r="C240" t="str">
            <v>C2</v>
          </cell>
        </row>
        <row r="241">
          <cell r="A241">
            <v>316363</v>
          </cell>
          <cell r="B241" t="str">
            <v>Trailer</v>
          </cell>
          <cell r="C241" t="str">
            <v>C4</v>
          </cell>
        </row>
        <row r="242">
          <cell r="A242">
            <v>316362</v>
          </cell>
          <cell r="B242" t="str">
            <v>Trailer</v>
          </cell>
          <cell r="C242" t="str">
            <v>C6</v>
          </cell>
        </row>
        <row r="243">
          <cell r="A243">
            <v>275276</v>
          </cell>
          <cell r="B243" t="str">
            <v>Trailer</v>
          </cell>
          <cell r="C243" t="str">
            <v>C8</v>
          </cell>
        </row>
        <row r="244">
          <cell r="A244">
            <v>262980</v>
          </cell>
          <cell r="B244" t="str">
            <v>Trailer</v>
          </cell>
          <cell r="C244" t="str">
            <v>LEX-51</v>
          </cell>
        </row>
        <row r="245">
          <cell r="A245">
            <v>74931</v>
          </cell>
          <cell r="B245" t="str">
            <v>Trailer</v>
          </cell>
          <cell r="C245" t="str">
            <v>LEX-52</v>
          </cell>
        </row>
        <row r="246">
          <cell r="A246">
            <v>278089</v>
          </cell>
          <cell r="B246" t="str">
            <v>Trailer</v>
          </cell>
          <cell r="C246" t="str">
            <v>LEX-54</v>
          </cell>
        </row>
        <row r="247">
          <cell r="A247">
            <v>254779</v>
          </cell>
          <cell r="B247" t="str">
            <v>Trailer</v>
          </cell>
          <cell r="C247" t="str">
            <v>OD4</v>
          </cell>
        </row>
        <row r="248">
          <cell r="A248">
            <v>228439</v>
          </cell>
          <cell r="B248" t="str">
            <v>Trailer</v>
          </cell>
          <cell r="C248" t="str">
            <v>WF-28</v>
          </cell>
        </row>
        <row r="249">
          <cell r="A249">
            <v>228449</v>
          </cell>
          <cell r="B249" t="str">
            <v>Trailer</v>
          </cell>
          <cell r="C249" t="str">
            <v>WF-31</v>
          </cell>
        </row>
        <row r="250">
          <cell r="A250">
            <v>400530</v>
          </cell>
          <cell r="B250" t="str">
            <v>Trailer</v>
          </cell>
          <cell r="C250" t="str">
            <v>WF-32</v>
          </cell>
        </row>
        <row r="251">
          <cell r="B251" t="str">
            <v>Trailer</v>
          </cell>
          <cell r="C251" t="str">
            <v>WF-33</v>
          </cell>
        </row>
        <row r="252">
          <cell r="B252" t="str">
            <v>Transfer Traile</v>
          </cell>
          <cell r="C252" t="str">
            <v/>
          </cell>
        </row>
        <row r="253">
          <cell r="A253">
            <v>195993</v>
          </cell>
          <cell r="B253" t="str">
            <v>Transfer Traile</v>
          </cell>
          <cell r="C253" t="str">
            <v>8193</v>
          </cell>
        </row>
        <row r="254">
          <cell r="A254">
            <v>173961</v>
          </cell>
          <cell r="B254" t="str">
            <v>Transfer Traile</v>
          </cell>
          <cell r="C254" t="str">
            <v>8714</v>
          </cell>
        </row>
        <row r="255">
          <cell r="B255" t="str">
            <v>Transfer Traile</v>
          </cell>
          <cell r="C255" t="str">
            <v>LEX-1</v>
          </cell>
        </row>
        <row r="256">
          <cell r="A256">
            <v>117633</v>
          </cell>
          <cell r="B256" t="str">
            <v>Transfer Traile</v>
          </cell>
          <cell r="C256" t="str">
            <v>LEX-10</v>
          </cell>
        </row>
        <row r="257">
          <cell r="A257">
            <v>129340</v>
          </cell>
          <cell r="B257" t="str">
            <v>Transfer Traile</v>
          </cell>
          <cell r="C257" t="str">
            <v>LEX-13</v>
          </cell>
        </row>
        <row r="258">
          <cell r="A258">
            <v>30477</v>
          </cell>
          <cell r="B258" t="str">
            <v>Transfer Traile</v>
          </cell>
          <cell r="C258" t="str">
            <v>LEX-14</v>
          </cell>
        </row>
        <row r="259">
          <cell r="A259">
            <v>30478</v>
          </cell>
          <cell r="B259" t="str">
            <v>Transfer Traile</v>
          </cell>
          <cell r="C259" t="str">
            <v>LEX-15</v>
          </cell>
        </row>
        <row r="260">
          <cell r="A260">
            <v>39588</v>
          </cell>
          <cell r="B260" t="str">
            <v>Transfer Traile</v>
          </cell>
          <cell r="C260" t="str">
            <v>LEX-16</v>
          </cell>
        </row>
        <row r="261">
          <cell r="A261">
            <v>316360</v>
          </cell>
          <cell r="B261" t="str">
            <v>Transfer Traile</v>
          </cell>
          <cell r="C261" t="str">
            <v>LEX-17</v>
          </cell>
        </row>
        <row r="262">
          <cell r="A262">
            <v>106743</v>
          </cell>
          <cell r="B262" t="str">
            <v>Transfer Traile</v>
          </cell>
          <cell r="C262" t="str">
            <v>LEX-19</v>
          </cell>
        </row>
        <row r="263">
          <cell r="A263">
            <v>316069</v>
          </cell>
          <cell r="B263" t="str">
            <v>Transfer Traile</v>
          </cell>
          <cell r="C263" t="str">
            <v>LEX-20</v>
          </cell>
        </row>
        <row r="264">
          <cell r="A264">
            <v>106797</v>
          </cell>
          <cell r="B264" t="str">
            <v>Transfer Traile</v>
          </cell>
          <cell r="C264" t="str">
            <v>LEX-21</v>
          </cell>
        </row>
        <row r="265">
          <cell r="A265">
            <v>115434</v>
          </cell>
          <cell r="B265" t="str">
            <v>Transfer Traile</v>
          </cell>
          <cell r="C265" t="str">
            <v>LEX-22</v>
          </cell>
        </row>
        <row r="266">
          <cell r="A266">
            <v>170162</v>
          </cell>
          <cell r="B266" t="str">
            <v>Transfer Traile</v>
          </cell>
          <cell r="C266" t="str">
            <v>LEX-24</v>
          </cell>
        </row>
        <row r="267">
          <cell r="A267">
            <v>168979</v>
          </cell>
          <cell r="B267" t="str">
            <v>Transfer Traile</v>
          </cell>
          <cell r="C267" t="str">
            <v>LEX-25</v>
          </cell>
        </row>
        <row r="268">
          <cell r="A268">
            <v>197352</v>
          </cell>
          <cell r="B268" t="str">
            <v>Transfer Traile</v>
          </cell>
          <cell r="C268" t="str">
            <v>LEX-26</v>
          </cell>
        </row>
        <row r="269">
          <cell r="A269">
            <v>129338</v>
          </cell>
          <cell r="B269" t="str">
            <v>Transfer Traile</v>
          </cell>
          <cell r="C269" t="str">
            <v>LEX-3</v>
          </cell>
        </row>
        <row r="270">
          <cell r="A270">
            <v>255486</v>
          </cell>
          <cell r="B270" t="str">
            <v>Transfer Traile</v>
          </cell>
          <cell r="C270" t="str">
            <v>LEX-30</v>
          </cell>
        </row>
        <row r="271">
          <cell r="B271" t="str">
            <v>Transfer Traile</v>
          </cell>
          <cell r="C271" t="str">
            <v>LEX-32</v>
          </cell>
        </row>
        <row r="272">
          <cell r="A272">
            <v>255480</v>
          </cell>
          <cell r="B272" t="str">
            <v>Transfer Traile</v>
          </cell>
          <cell r="C272" t="str">
            <v>LEX-33</v>
          </cell>
        </row>
        <row r="273">
          <cell r="A273">
            <v>255478</v>
          </cell>
          <cell r="B273" t="str">
            <v>Transfer Traile</v>
          </cell>
          <cell r="C273" t="str">
            <v>LEX-34</v>
          </cell>
        </row>
        <row r="274">
          <cell r="A274">
            <v>255477</v>
          </cell>
          <cell r="B274" t="str">
            <v>Transfer Traile</v>
          </cell>
          <cell r="C274" t="str">
            <v>LEX-35</v>
          </cell>
        </row>
        <row r="275">
          <cell r="A275">
            <v>255474</v>
          </cell>
          <cell r="B275" t="str">
            <v>Transfer Traile</v>
          </cell>
          <cell r="C275" t="str">
            <v>LEX-36</v>
          </cell>
        </row>
        <row r="276">
          <cell r="A276">
            <v>255471</v>
          </cell>
          <cell r="B276" t="str">
            <v>Transfer Traile</v>
          </cell>
          <cell r="C276" t="str">
            <v>LEX-37</v>
          </cell>
        </row>
        <row r="277">
          <cell r="A277">
            <v>255468</v>
          </cell>
          <cell r="B277" t="str">
            <v>Transfer Traile</v>
          </cell>
          <cell r="C277" t="str">
            <v>LEX-38</v>
          </cell>
        </row>
        <row r="278">
          <cell r="A278">
            <v>255465</v>
          </cell>
          <cell r="B278" t="str">
            <v>Transfer Traile</v>
          </cell>
          <cell r="C278" t="str">
            <v>LEX-39</v>
          </cell>
        </row>
        <row r="279">
          <cell r="A279">
            <v>129339</v>
          </cell>
          <cell r="B279" t="str">
            <v>Transfer Traile</v>
          </cell>
          <cell r="C279" t="str">
            <v>LEX-4</v>
          </cell>
        </row>
        <row r="280">
          <cell r="A280">
            <v>255228</v>
          </cell>
          <cell r="B280" t="str">
            <v>Transfer Traile</v>
          </cell>
          <cell r="C280" t="str">
            <v>LEX-40</v>
          </cell>
        </row>
        <row r="281">
          <cell r="A281">
            <v>261226</v>
          </cell>
          <cell r="B281" t="str">
            <v>Transfer Traile</v>
          </cell>
          <cell r="C281" t="str">
            <v>LEX-49</v>
          </cell>
        </row>
        <row r="282">
          <cell r="A282">
            <v>129337</v>
          </cell>
          <cell r="B282" t="str">
            <v>Transfer Traile</v>
          </cell>
          <cell r="C282" t="str">
            <v>LEX-5</v>
          </cell>
        </row>
        <row r="283">
          <cell r="A283">
            <v>129335</v>
          </cell>
          <cell r="B283" t="str">
            <v>Transfer Traile</v>
          </cell>
          <cell r="C283" t="str">
            <v>LEX-6</v>
          </cell>
        </row>
        <row r="284">
          <cell r="A284">
            <v>200450</v>
          </cell>
          <cell r="B284" t="str">
            <v>Transfer Traile</v>
          </cell>
          <cell r="C284" t="str">
            <v>PT-12</v>
          </cell>
        </row>
        <row r="285">
          <cell r="A285">
            <v>66829</v>
          </cell>
          <cell r="B285" t="str">
            <v>Transfer Traile</v>
          </cell>
          <cell r="C285" t="str">
            <v>PT-13</v>
          </cell>
        </row>
        <row r="286">
          <cell r="A286">
            <v>213240</v>
          </cell>
          <cell r="B286" t="str">
            <v>Transfer Traile</v>
          </cell>
          <cell r="C286" t="str">
            <v>PT-14</v>
          </cell>
        </row>
        <row r="287">
          <cell r="A287">
            <v>200449</v>
          </cell>
          <cell r="B287" t="str">
            <v>Transfer Traile</v>
          </cell>
          <cell r="C287" t="str">
            <v>PT-15</v>
          </cell>
        </row>
        <row r="288">
          <cell r="A288">
            <v>200448</v>
          </cell>
          <cell r="B288" t="str">
            <v>Transfer Traile</v>
          </cell>
          <cell r="C288" t="str">
            <v>PT-16</v>
          </cell>
        </row>
        <row r="289">
          <cell r="B289" t="str">
            <v>Transfer Traile</v>
          </cell>
          <cell r="C289" t="str">
            <v>PT-3</v>
          </cell>
        </row>
        <row r="290">
          <cell r="A290">
            <v>262950</v>
          </cell>
          <cell r="B290" t="str">
            <v>Transfer Traile</v>
          </cell>
          <cell r="C290" t="str">
            <v>PT-8</v>
          </cell>
        </row>
        <row r="291">
          <cell r="B291" t="str">
            <v>Transfer Traile</v>
          </cell>
          <cell r="C291" t="str">
            <v>PT-9</v>
          </cell>
        </row>
        <row r="292">
          <cell r="A292">
            <v>173569</v>
          </cell>
          <cell r="B292" t="str">
            <v>Transfer Traile</v>
          </cell>
          <cell r="C292" t="str">
            <v>SD-1</v>
          </cell>
        </row>
        <row r="293">
          <cell r="A293">
            <v>173671</v>
          </cell>
          <cell r="B293" t="str">
            <v>Transfer Traile</v>
          </cell>
          <cell r="C293" t="str">
            <v>SD-2</v>
          </cell>
        </row>
        <row r="294">
          <cell r="A294">
            <v>188631</v>
          </cell>
          <cell r="B294" t="str">
            <v>Transfer Traile</v>
          </cell>
          <cell r="C294" t="str">
            <v>SD-3</v>
          </cell>
        </row>
        <row r="295">
          <cell r="A295">
            <v>117607</v>
          </cell>
          <cell r="B295" t="str">
            <v>Transfer Traile</v>
          </cell>
          <cell r="C295" t="str">
            <v>ST-1</v>
          </cell>
        </row>
        <row r="296">
          <cell r="A296">
            <v>107163</v>
          </cell>
          <cell r="B296" t="str">
            <v>Transfer Traile</v>
          </cell>
          <cell r="C296" t="str">
            <v>T-25</v>
          </cell>
        </row>
        <row r="297">
          <cell r="A297">
            <v>195203</v>
          </cell>
          <cell r="B297" t="str">
            <v>Transfer Traile</v>
          </cell>
          <cell r="C297" t="str">
            <v>T-84</v>
          </cell>
        </row>
        <row r="298">
          <cell r="B298" t="str">
            <v>Transfer Traile</v>
          </cell>
          <cell r="C298" t="str">
            <v>T-85</v>
          </cell>
        </row>
        <row r="299">
          <cell r="A299">
            <v>7464</v>
          </cell>
          <cell r="B299" t="str">
            <v>Transfer Traile</v>
          </cell>
          <cell r="C299" t="str">
            <v>TR-43</v>
          </cell>
        </row>
        <row r="300">
          <cell r="A300">
            <v>173502</v>
          </cell>
          <cell r="B300" t="str">
            <v>Transfer Traile</v>
          </cell>
          <cell r="C300" t="str">
            <v>WF-10</v>
          </cell>
        </row>
        <row r="301">
          <cell r="A301">
            <v>173520</v>
          </cell>
          <cell r="B301" t="str">
            <v>Transfer Traile</v>
          </cell>
          <cell r="C301" t="str">
            <v>WF-12</v>
          </cell>
        </row>
        <row r="302">
          <cell r="A302">
            <v>59199</v>
          </cell>
          <cell r="B302" t="str">
            <v>Transfer Traile</v>
          </cell>
          <cell r="C302" t="str">
            <v>WF-14</v>
          </cell>
        </row>
        <row r="303">
          <cell r="A303">
            <v>60377</v>
          </cell>
          <cell r="B303" t="str">
            <v>Transfer Traile</v>
          </cell>
          <cell r="C303" t="str">
            <v>WF-15</v>
          </cell>
        </row>
        <row r="304">
          <cell r="A304">
            <v>173581</v>
          </cell>
          <cell r="B304" t="str">
            <v>Transfer Traile</v>
          </cell>
          <cell r="C304" t="str">
            <v>WF-16</v>
          </cell>
        </row>
        <row r="305">
          <cell r="A305">
            <v>107009</v>
          </cell>
          <cell r="B305" t="str">
            <v>Transfer Traile</v>
          </cell>
          <cell r="C305" t="str">
            <v>WF-23</v>
          </cell>
        </row>
        <row r="306">
          <cell r="A306">
            <v>107008</v>
          </cell>
          <cell r="B306" t="str">
            <v>Transfer Traile</v>
          </cell>
          <cell r="C306" t="str">
            <v>WF-24</v>
          </cell>
        </row>
        <row r="307">
          <cell r="A307">
            <v>107013</v>
          </cell>
          <cell r="B307" t="str">
            <v>Transfer Traile</v>
          </cell>
          <cell r="C307" t="str">
            <v>WF-25</v>
          </cell>
        </row>
        <row r="308">
          <cell r="A308">
            <v>107016</v>
          </cell>
          <cell r="B308" t="str">
            <v>Transfer Traile</v>
          </cell>
          <cell r="C308" t="str">
            <v>WF-26</v>
          </cell>
        </row>
        <row r="309">
          <cell r="A309">
            <v>201533</v>
          </cell>
          <cell r="B309" t="str">
            <v>Transfer Traile</v>
          </cell>
          <cell r="C309" t="str">
            <v>WF-27</v>
          </cell>
        </row>
        <row r="310">
          <cell r="B310" t="str">
            <v>Yard Mule</v>
          </cell>
          <cell r="C310" t="str">
            <v/>
          </cell>
        </row>
        <row r="311">
          <cell r="B311" t="str">
            <v>Yard Mule</v>
          </cell>
          <cell r="C311" t="str">
            <v>YG-1</v>
          </cell>
        </row>
        <row r="312">
          <cell r="B312" t="str">
            <v>Yard Mule</v>
          </cell>
          <cell r="C312" t="str">
            <v>YG-3</v>
          </cell>
        </row>
        <row r="313">
          <cell r="B313" t="str">
            <v>Yard Mule</v>
          </cell>
          <cell r="C313" t="str">
            <v>YG-4</v>
          </cell>
        </row>
        <row r="314">
          <cell r="B314" t="str">
            <v>Yard Mule</v>
          </cell>
          <cell r="C314" t="str">
            <v>YG-5</v>
          </cell>
        </row>
      </sheetData>
    </sheetDataSet>
  </externalBook>
</externalLink>
</file>

<file path=xl/persons/person.xml><?xml version="1.0" encoding="utf-8"?>
<personList xmlns="http://schemas.microsoft.com/office/spreadsheetml/2018/threadedcomments" xmlns:x="http://schemas.openxmlformats.org/spreadsheetml/2006/main">
  <person displayName="Ruby Huang" id="{724AC85B-9397-4CA5-9C52-4CFE8D43F789}" userId="S::ruhuang@wcnx.org::a39833a2-bf9b-4203-8305-06a5ac4533a0"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an Vandenburg" refreshedDate="45562.486945254626" createdVersion="7" refreshedVersion="7" minRefreshableVersion="3" recordCount="389" xr:uid="{881D7A33-A30E-4B78-AFB1-58C57A19011D}">
  <cacheSource type="worksheet">
    <worksheetSource ref="B16:AX73" sheet="FAR 12.31.2024"/>
  </cacheSource>
  <cacheFields count="49">
    <cacheField name="Dist." numFmtId="0">
      <sharedItems containsSemiMixedTypes="0" containsString="0" containsNumber="1" containsInteger="1" minValue="2111" maxValue="2111"/>
    </cacheField>
    <cacheField name="Asset #" numFmtId="0">
      <sharedItems containsSemiMixedTypes="0" containsString="0" containsNumber="1" containsInteger="1" minValue="259507" maxValue="416319"/>
    </cacheField>
    <cacheField name="Parent_x000a_/ Child" numFmtId="0">
      <sharedItems containsMixedTypes="1" containsNumber="1" containsInteger="1" minValue="102169" maxValue="406463"/>
    </cacheField>
    <cacheField name="Asset Type" numFmtId="0">
      <sharedItems/>
    </cacheField>
    <cacheField name="Description" numFmtId="0">
      <sharedItems/>
    </cacheField>
    <cacheField name="Bl 1" numFmtId="0">
      <sharedItems containsNonDate="0" containsString="0" containsBlank="1"/>
    </cacheField>
    <cacheField name="Bl 2" numFmtId="0">
      <sharedItems containsNonDate="0" containsString="0" containsBlank="1"/>
    </cacheField>
    <cacheField name="Units" numFmtId="0">
      <sharedItems containsSemiMixedTypes="0" containsString="0" containsNumber="1" containsInteger="1" minValue="1" maxValue="1404"/>
    </cacheField>
    <cacheField name="Mfg. Serial #" numFmtId="0">
      <sharedItems containsBlank="1" containsMixedTypes="1" containsNumber="1" containsInteger="1" minValue="920" maxValue="920"/>
    </cacheField>
    <cacheField name="Model Year" numFmtId="0">
      <sharedItems containsSemiMixedTypes="0" containsString="0" containsNumber="1" containsInteger="1" minValue="0" maxValue="2025"/>
    </cacheField>
    <cacheField name="Vendor / Mfg." numFmtId="0">
      <sharedItems containsBlank="1" containsMixedTypes="1" containsNumber="1" containsInteger="1" minValue="0" maxValue="0"/>
    </cacheField>
    <cacheField name="Body Mfg" numFmtId="0">
      <sharedItems containsBlank="1"/>
    </cacheField>
    <cacheField name="Asset Category (Major)" numFmtId="0">
      <sharedItems/>
    </cacheField>
    <cacheField name="Asset Sub-Category (Minor)" numFmtId="0">
      <sharedItems/>
    </cacheField>
    <cacheField name="Ins. Category" numFmtId="0">
      <sharedItems containsBlank="1"/>
    </cacheField>
    <cacheField name="Cont. Size" numFmtId="0">
      <sharedItems containsBlank="1"/>
    </cacheField>
    <cacheField name="Cont. Type" numFmtId="0">
      <sharedItems containsBlank="1"/>
    </cacheField>
    <cacheField name="In Service Date" numFmtId="172">
      <sharedItems containsSemiMixedTypes="0" containsNonDate="0" containsDate="1" containsString="0" minDate="1999-09-01T00:00:00" maxDate="2024-08-25T00:00:00"/>
    </cacheField>
    <cacheField name="Acq. Date" numFmtId="172">
      <sharedItems containsSemiMixedTypes="0" containsNonDate="0" containsDate="1" containsString="0" minDate="1900-01-01T00:00:00" maxDate="2024-08-25T00:00:00"/>
    </cacheField>
    <cacheField name="CER #" numFmtId="0">
      <sharedItems containsBlank="1" containsMixedTypes="1" containsNumber="1" containsInteger="1" minValue="42009021" maxValue="42150002"/>
    </cacheField>
    <cacheField name="Useful Life" numFmtId="0">
      <sharedItems containsSemiMixedTypes="0" containsString="0" containsNumber="1" containsInteger="1" minValue="0" maxValue="1200"/>
    </cacheField>
    <cacheField name="Asset Account" numFmtId="0">
      <sharedItems containsSemiMixedTypes="0" containsString="0" containsNumber="1" containsInteger="1" minValue="14010" maxValue="14110"/>
    </cacheField>
    <cacheField name="Asset Cost" numFmtId="44">
      <sharedItems containsSemiMixedTypes="0" containsString="0" containsNumber="1" minValue="-2800.8" maxValue="800316.61"/>
    </cacheField>
    <cacheField name="Accum. Account" numFmtId="0">
      <sharedItems containsSemiMixedTypes="0" containsString="0" containsNumber="1" containsInteger="1" minValue="14016" maxValue="14116"/>
    </cacheField>
    <cacheField name="Accum. Life to Date" numFmtId="44">
      <sharedItems containsSemiMixedTypes="0" containsString="0" containsNumber="1" minValue="-560.16" maxValue="325021.64"/>
    </cacheField>
    <cacheField name="NBV" numFmtId="44">
      <sharedItems containsSemiMixedTypes="0" containsString="0" containsNumber="1" minValue="-2240.6400000000003" maxValue="640253.25"/>
    </cacheField>
    <cacheField name="Accum. YTD" numFmtId="44">
      <sharedItems containsSemiMixedTypes="0" containsString="0" containsNumber="1" minValue="-186.72" maxValue="53354.48"/>
    </cacheField>
    <cacheField name="Expense Account" numFmtId="0">
      <sharedItems containsSemiMixedTypes="0" containsString="0" containsNumber="1" containsInteger="1" minValue="51260" maxValue="70260"/>
    </cacheField>
    <cacheField name="Current Depr." numFmtId="44">
      <sharedItems containsSemiMixedTypes="0" containsString="0" containsNumber="1" minValue="-23.34" maxValue="6669.31"/>
    </cacheField>
    <cacheField name="Acq. Type" numFmtId="0">
      <sharedItems/>
    </cacheField>
    <cacheField name="Former Company" numFmtId="0">
      <sharedItems containsBlank="1" containsMixedTypes="1" containsNumber="1" containsInteger="1" minValue="0" maxValue="0"/>
    </cacheField>
    <cacheField name="Company Asset #" numFmtId="0">
      <sharedItems containsBlank="1" containsMixedTypes="1" containsNumber="1" containsInteger="1" minValue="4" maxValue="14050"/>
    </cacheField>
    <cacheField name="Activity Cd" numFmtId="0">
      <sharedItems/>
    </cacheField>
    <cacheField name="Depr. Meth" numFmtId="0">
      <sharedItems/>
    </cacheField>
    <cacheField name="Depre. Y/N" numFmtId="0">
      <sharedItems/>
    </cacheField>
    <cacheField name="Truck #" numFmtId="0">
      <sharedItems/>
    </cacheField>
    <cacheField name="Equipment Type per Field" numFmtId="14">
      <sharedItems containsDate="1" containsMixedTypes="1" minDate="1899-12-30T00:00:00" maxDate="1899-12-31T00:00:00"/>
    </cacheField>
    <cacheField name="Equipment Type for Lookup" numFmtId="0">
      <sharedItems count="18">
        <s v="Garbage Carts"/>
        <s v="Containers"/>
        <s v="Garbage Trucks"/>
        <s v="Delivery Trucks"/>
        <s v="Yard Waste "/>
        <s v="Recycling (shared)"/>
        <s v="Office Equipment"/>
        <s v="Shop Equipment"/>
        <s v="Recycling and Yard Waste"/>
        <s v="Recycling and Yard Waste Trucks"/>
        <s v="T-Station Building"/>
        <s v="Building"/>
        <s v="Service Equipment"/>
        <s v="Drop Boxes"/>
        <s v="Fuel Island"/>
        <s v="Shop Equipment "/>
        <s v="Yard waste"/>
        <s v="Grizzly"/>
      </sharedItems>
    </cacheField>
    <cacheField name="Month" numFmtId="0">
      <sharedItems containsSemiMixedTypes="0" containsString="0" containsNumber="1" containsInteger="1" minValue="1" maxValue="12"/>
    </cacheField>
    <cacheField name="YearPIS" numFmtId="0">
      <sharedItems containsSemiMixedTypes="0" containsString="0" containsNumber="1" containsInteger="1" minValue="1999" maxValue="2024"/>
    </cacheField>
    <cacheField name="Year Fully Dep" numFmtId="1">
      <sharedItems containsSemiMixedTypes="0" containsString="0" containsNumber="1" containsInteger="1" minValue="2005" maxValue="2036"/>
    </cacheField>
    <cacheField name="Year/Mo Fully Dep" numFmtId="165">
      <sharedItems containsSemiMixedTypes="0" containsString="0" containsNumber="1" minValue="2005.4166666666667" maxValue="2036.3333333333333"/>
    </cacheField>
    <cacheField name="Monthly Dep" numFmtId="164">
      <sharedItems containsSemiMixedTypes="0" containsString="0" containsNumber="1" minValue="-23.340000000000003" maxValue="6669.3050833333327"/>
    </cacheField>
    <cacheField name="Annual Dep" numFmtId="164">
      <sharedItems containsSemiMixedTypes="0" containsString="0" containsNumber="1" minValue="-280.08000000000004" maxValue="80031.660999999993"/>
    </cacheField>
    <cacheField name="Test Year Dep" numFmtId="164">
      <sharedItems containsSemiMixedTypes="0" containsString="0" containsNumber="1" minValue="-280.08000000000004" maxValue="80031.660999999993"/>
    </cacheField>
    <cacheField name="BOY Accum" numFmtId="164">
      <sharedItems containsSemiMixedTypes="0" containsString="0" containsNumber="1" minValue="-466.79999999995744" maxValue="318992.86"/>
    </cacheField>
    <cacheField name="EOY Accum" numFmtId="164">
      <sharedItems containsSemiMixedTypes="0" containsString="0" containsNumber="1" minValue="-746.87999999995748" maxValue="327012.07933332841"/>
    </cacheField>
    <cacheField name="EOY Average Investment" numFmtId="164">
      <sharedItems containsSemiMixedTypes="0" containsString="0" containsNumber="1" minValue="-2053.9200000000428" maxValue="586898.84733334545"/>
    </cacheField>
    <cacheField name="Pre 8/1/21 Add?"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an Vandenburg" refreshedDate="45667.42314421296" createdVersion="7" refreshedVersion="7" minRefreshableVersion="3" recordCount="1799" xr:uid="{CFFD5201-AE37-4321-BE88-D1E503AC944F}">
  <cacheSource type="worksheet">
    <worksheetSource ref="B16:AX1837" sheet="FAR 12.31.2024"/>
  </cacheSource>
  <cacheFields count="49">
    <cacheField name="Dist." numFmtId="0">
      <sharedItems containsString="0" containsBlank="1" containsNumber="1" containsInteger="1" minValue="2111" maxValue="2111"/>
    </cacheField>
    <cacheField name="Asset #" numFmtId="0">
      <sharedItems containsString="0" containsBlank="1" containsNumber="1" containsInteger="1" minValue="4235" maxValue="434332"/>
    </cacheField>
    <cacheField name="Parent_x000a_/ Child" numFmtId="0">
      <sharedItems containsBlank="1" containsMixedTypes="1" containsNumber="1" containsInteger="1" minValue="6677" maxValue="423131"/>
    </cacheField>
    <cacheField name="Asset Type" numFmtId="0">
      <sharedItems containsBlank="1"/>
    </cacheField>
    <cacheField name="Description" numFmtId="0">
      <sharedItems containsBlank="1"/>
    </cacheField>
    <cacheField name="Bl 1" numFmtId="0">
      <sharedItems containsNonDate="0" containsString="0" containsBlank="1"/>
    </cacheField>
    <cacheField name="Bl 2" numFmtId="0">
      <sharedItems containsNonDate="0" containsString="0" containsBlank="1"/>
    </cacheField>
    <cacheField name="Units" numFmtId="0">
      <sharedItems containsString="0" containsBlank="1" containsNumber="1" containsInteger="1" minValue="1" maxValue="38500"/>
    </cacheField>
    <cacheField name="Mfg. Serial #" numFmtId="0">
      <sharedItems containsBlank="1" containsMixedTypes="1" containsNumber="1" containsInteger="1" minValue="0" maxValue="200214000000"/>
    </cacheField>
    <cacheField name="Model Year" numFmtId="0">
      <sharedItems containsString="0" containsBlank="1" containsNumber="1" containsInteger="1" minValue="0" maxValue="2025"/>
    </cacheField>
    <cacheField name="Vendor / Mfg." numFmtId="0">
      <sharedItems containsBlank="1" containsMixedTypes="1" containsNumber="1" containsInteger="1" minValue="0" maxValue="0"/>
    </cacheField>
    <cacheField name="Body Mfg" numFmtId="0">
      <sharedItems containsBlank="1"/>
    </cacheField>
    <cacheField name="Asset Category (Major)" numFmtId="0">
      <sharedItems containsBlank="1"/>
    </cacheField>
    <cacheField name="Asset Sub-Category (Minor)" numFmtId="0">
      <sharedItems containsBlank="1"/>
    </cacheField>
    <cacheField name="Ins. Category" numFmtId="0">
      <sharedItems containsBlank="1"/>
    </cacheField>
    <cacheField name="Cont. Size" numFmtId="0">
      <sharedItems containsBlank="1"/>
    </cacheField>
    <cacheField name="Cont. Type" numFmtId="0">
      <sharedItems containsBlank="1"/>
    </cacheField>
    <cacheField name="In Service Date" numFmtId="0">
      <sharedItems containsNonDate="0" containsDate="1" containsString="0" containsBlank="1" minDate="1968-01-01T00:00:00" maxDate="2024-12-07T00:00:00"/>
    </cacheField>
    <cacheField name="Acq. Date" numFmtId="0">
      <sharedItems containsNonDate="0" containsDate="1" containsString="0" containsBlank="1" minDate="1900-01-01T00:00:00" maxDate="2024-12-07T00:00:00"/>
    </cacheField>
    <cacheField name="CER #" numFmtId="0">
      <sharedItems containsBlank="1" containsMixedTypes="1" containsNumber="1" containsInteger="1" minValue="219" maxValue="52170001"/>
    </cacheField>
    <cacheField name="Useful Life" numFmtId="0">
      <sharedItems containsString="0" containsBlank="1" containsNumber="1" containsInteger="1" minValue="0" maxValue="4000"/>
    </cacheField>
    <cacheField name="Asset Account" numFmtId="0">
      <sharedItems containsString="0" containsBlank="1" containsNumber="1" containsInteger="1" minValue="14000" maxValue="15260"/>
    </cacheField>
    <cacheField name="Asset Cost" numFmtId="0">
      <sharedItems containsString="0" containsBlank="1" containsNumber="1" minValue="-37361.550000000003" maxValue="5573344.7300000004"/>
    </cacheField>
    <cacheField name="Accum. Account" numFmtId="0">
      <sharedItems containsString="0" containsBlank="1" containsNumber="1" containsInteger="1" minValue="14016" maxValue="15266"/>
    </cacheField>
    <cacheField name="Accum. Life to Date" numFmtId="0">
      <sharedItems containsString="0" containsBlank="1" containsNumber="1" minValue="-37361.550000000003" maxValue="3018895.1"/>
    </cacheField>
    <cacheField name="NBV" numFmtId="0">
      <sharedItems containsString="0" containsBlank="1" containsNumber="1" minValue="-2217.3000000000002" maxValue="2554449.6300000004"/>
    </cacheField>
    <cacheField name="Accum. YTD" numFmtId="0">
      <sharedItems containsString="0" containsBlank="1" containsNumber="1" minValue="-210.06" maxValue="209000.43"/>
    </cacheField>
    <cacheField name="Expense Account" numFmtId="0">
      <sharedItems containsString="0" containsBlank="1" containsNumber="1" minValue="6.5" maxValue="70264"/>
    </cacheField>
    <cacheField name="Current Depr." numFmtId="0">
      <sharedItems containsString="0" containsBlank="1" containsNumber="1" minValue="-23.34" maxValue="54260"/>
    </cacheField>
    <cacheField name="Acq. Type" numFmtId="0">
      <sharedItems containsBlank="1" containsMixedTypes="1" containsNumber="1" minValue="6.5" maxValue="1755.3"/>
    </cacheField>
    <cacheField name="Former Company" numFmtId="0">
      <sharedItems containsBlank="1" containsMixedTypes="1" containsNumber="1" minValue="0" maxValue="932.82"/>
    </cacheField>
    <cacheField name="Company Asset #" numFmtId="0">
      <sharedItems containsBlank="1" containsMixedTypes="1" containsNumber="1" minValue="3" maxValue="14050"/>
    </cacheField>
    <cacheField name="Activity Cd" numFmtId="0">
      <sharedItems containsBlank="1"/>
    </cacheField>
    <cacheField name="Depr. Meth" numFmtId="0">
      <sharedItems containsBlank="1"/>
    </cacheField>
    <cacheField name="Depre. Y/N" numFmtId="0">
      <sharedItems containsBlank="1"/>
    </cacheField>
    <cacheField name="Truck #" numFmtId="0">
      <sharedItems containsBlank="1"/>
    </cacheField>
    <cacheField name="Equipment Type per Field" numFmtId="0">
      <sharedItems containsDate="1" containsBlank="1" containsMixedTypes="1" minDate="2024-10-09T00:00:00" maxDate="2024-10-10T00:00:00"/>
    </cacheField>
    <cacheField name="Equipment Type for Lookup" numFmtId="0">
      <sharedItems containsBlank="1" count="23">
        <s v="Garbage Trucks"/>
        <s v="Shop Equipment "/>
        <s v="Delivery Trucks"/>
        <s v="Recycling (shared)"/>
        <s v="Yard waste"/>
        <s v="Containers"/>
        <s v="Building"/>
        <s v="Garbage Carts"/>
        <s v="MF "/>
        <s v="Service Equipment"/>
        <s v="Office Equipment"/>
        <s v="Roll-off"/>
        <s v="Recycle Bunker Long Haul"/>
        <s v="T-Station Building"/>
        <s v="Recycling and Yard Waste Trucks"/>
        <s v="Garbage"/>
        <s v="Drop Boxes"/>
        <s v="Fuel Island"/>
        <s v="Grizzly"/>
        <m/>
        <s v="Shop Equipment" u="1"/>
        <s v="Recycling and Yard Waste" u="1"/>
        <s v="Yard Waste " u="1"/>
      </sharedItems>
    </cacheField>
    <cacheField name="Month" numFmtId="0">
      <sharedItems containsString="0" containsBlank="1" containsNumber="1" containsInteger="1" minValue="1" maxValue="12"/>
    </cacheField>
    <cacheField name="YearPIS" numFmtId="0">
      <sharedItems containsString="0" containsBlank="1" containsNumber="1" containsInteger="1" minValue="1999" maxValue="2024"/>
    </cacheField>
    <cacheField name="Year Fully Dep" numFmtId="0">
      <sharedItems containsString="0" containsBlank="1" containsNumber="1" containsInteger="1" minValue="2005" maxValue="2036"/>
    </cacheField>
    <cacheField name="Year/Mo Fully Dep" numFmtId="0">
      <sharedItems containsString="0" containsBlank="1" containsNumber="1" minValue="2005.4166666666667" maxValue="2036.9166666666667"/>
    </cacheField>
    <cacheField name="Monthly Dep" numFmtId="0">
      <sharedItems containsString="0" containsBlank="1" containsNumber="1" minValue="-23.340000000000003" maxValue="6669.3050833333327"/>
    </cacheField>
    <cacheField name="Annual Dep" numFmtId="0">
      <sharedItems containsString="0" containsBlank="1" containsNumber="1" minValue="-280.08000000000004" maxValue="80031.660999999993"/>
    </cacheField>
    <cacheField name="Test Year Dep" numFmtId="0">
      <sharedItems containsString="0" containsBlank="1" containsNumber="1" minValue="-280.08000000000004" maxValue="80031.660999999993"/>
    </cacheField>
    <cacheField name="BOY Accum" numFmtId="0">
      <sharedItems containsString="0" containsBlank="1" containsNumber="1" minValue="-466.79999999995744" maxValue="318992.86"/>
    </cacheField>
    <cacheField name="EOY Accum" numFmtId="0">
      <sharedItems containsString="0" containsBlank="1" containsNumber="1" minValue="-746.87999999995748" maxValue="327012.07933332841"/>
    </cacheField>
    <cacheField name="EOY Average Investment" numFmtId="0">
      <sharedItems containsString="0" containsBlank="1" containsNumber="1" minValue="-2053.9200000000428" maxValue="586898.84733334545"/>
    </cacheField>
    <cacheField name="Pre 8/1/21 Add?"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n v="2111"/>
    <n v="416319"/>
    <s v="P"/>
    <s v="Capitalized"/>
    <s v="24 Gallon Carts"/>
    <m/>
    <m/>
    <n v="200"/>
    <m/>
    <n v="0"/>
    <m/>
    <m/>
    <s v="CONTAINERS"/>
    <s v="CARTS PLASTIC"/>
    <m/>
    <s v="20 Gal"/>
    <s v="Carts/Toters"/>
    <d v="2024-08-24T00:00:00"/>
    <d v="2024-08-24T00:00:00"/>
    <s v="2111-24-0033-1"/>
    <n v="700"/>
    <n v="14050"/>
    <n v="10706.55"/>
    <n v="14056"/>
    <n v="0"/>
    <n v="10706.55"/>
    <n v="0"/>
    <n v="54260"/>
    <n v="0"/>
    <s v="P"/>
    <m/>
    <m/>
    <s v=" "/>
    <s v="STL"/>
    <s v="YES"/>
    <s v="TBD"/>
    <s v="LOOKUP"/>
    <x v="0"/>
    <n v="8"/>
    <n v="2024"/>
    <n v="2031"/>
    <n v="2031.6666666666667"/>
    <n v="127.45892857142856"/>
    <n v="1529.5071428571428"/>
    <n v="1529.5071428571428"/>
    <n v="0"/>
    <n v="1529.5071428571428"/>
    <n v="9177.0428571428565"/>
    <s v="No"/>
  </r>
  <r>
    <n v="2111"/>
    <n v="416317"/>
    <s v="P"/>
    <s v="Capitalized"/>
    <s v="10 Gallon Inserts"/>
    <m/>
    <m/>
    <n v="200"/>
    <m/>
    <n v="0"/>
    <m/>
    <m/>
    <s v="CONTAINERS"/>
    <s v="CARTS PLASTIC"/>
    <m/>
    <s v="20 Gal"/>
    <s v="Carts/Toters"/>
    <d v="2024-08-24T00:00:00"/>
    <d v="2024-08-24T00:00:00"/>
    <s v="2111-24-0033-1"/>
    <n v="700"/>
    <n v="14050"/>
    <n v="7214.16"/>
    <n v="14056"/>
    <n v="0"/>
    <n v="7214.16"/>
    <n v="0"/>
    <n v="54260"/>
    <n v="0"/>
    <s v="P"/>
    <m/>
    <m/>
    <s v=" "/>
    <s v="STL"/>
    <s v="YES"/>
    <s v="TBD"/>
    <s v="LOOKUP"/>
    <x v="0"/>
    <n v="8"/>
    <n v="2024"/>
    <n v="2031"/>
    <n v="2031.6666666666667"/>
    <n v="85.882857142857134"/>
    <n v="1030.5942857142857"/>
    <n v="1030.5942857142857"/>
    <n v="0"/>
    <n v="1030.5942857142857"/>
    <n v="6183.5657142857144"/>
    <s v="No"/>
  </r>
  <r>
    <n v="2111"/>
    <n v="416013"/>
    <s v="P"/>
    <s v="Capitalized"/>
    <s v="1.5 YD REL CONTAINERS"/>
    <m/>
    <m/>
    <n v="14"/>
    <m/>
    <n v="0"/>
    <m/>
    <m/>
    <s v="CONTAINERS"/>
    <s v="FEL METAL"/>
    <m/>
    <s v="1.5 YD"/>
    <s v="FEL/REL/SL Metal"/>
    <d v="2024-04-29T00:00:00"/>
    <d v="2024-04-29T00:00:00"/>
    <s v="2111-24-0026-2"/>
    <n v="1200"/>
    <n v="14050"/>
    <n v="12870.69"/>
    <n v="14056"/>
    <n v="357.52"/>
    <n v="12513.17"/>
    <n v="357.52"/>
    <n v="54260"/>
    <n v="89.38"/>
    <s v="P"/>
    <m/>
    <m/>
    <s v=" "/>
    <s v="STL"/>
    <s v="YES"/>
    <s v="TBD"/>
    <s v="LOOKUP"/>
    <x v="1"/>
    <n v="4"/>
    <n v="2024"/>
    <n v="2036"/>
    <n v="2036.3333333333333"/>
    <n v="89.379791666666677"/>
    <n v="1072.5575000000001"/>
    <n v="1072.5575000000001"/>
    <n v="0"/>
    <n v="1072.5575000000001"/>
    <n v="11798.1325"/>
    <s v="No"/>
  </r>
  <r>
    <n v="2111"/>
    <n v="416012"/>
    <s v="P"/>
    <s v="Capitalized"/>
    <s v="1.5 YD REL CONTAINERS"/>
    <m/>
    <m/>
    <n v="5"/>
    <m/>
    <n v="0"/>
    <m/>
    <m/>
    <s v="CONTAINERS"/>
    <s v="FEL METAL"/>
    <m/>
    <s v="1.5 YD"/>
    <s v="FEL/REL/SL Metal"/>
    <d v="2024-04-29T00:00:00"/>
    <d v="2024-04-29T00:00:00"/>
    <s v="2111-24-0026-2"/>
    <n v="1200"/>
    <n v="14050"/>
    <n v="4976.0200000000004"/>
    <n v="14056"/>
    <n v="138.22"/>
    <n v="4837.8"/>
    <n v="138.22"/>
    <n v="54260"/>
    <n v="34.56"/>
    <s v="P"/>
    <m/>
    <m/>
    <s v=" "/>
    <s v="STL"/>
    <s v="YES"/>
    <s v="TBD"/>
    <s v="LOOKUP"/>
    <x v="1"/>
    <n v="4"/>
    <n v="2024"/>
    <n v="2036"/>
    <n v="2036.3333333333333"/>
    <n v="34.555694444444448"/>
    <n v="414.66833333333341"/>
    <n v="414.66833333333341"/>
    <n v="0"/>
    <n v="414.66833333333341"/>
    <n v="4561.3516666666674"/>
    <s v="No"/>
  </r>
  <r>
    <n v="2111"/>
    <n v="415981"/>
    <s v="P"/>
    <s v="Capitalized"/>
    <s v="1.5 YD REL CONTAINERS"/>
    <m/>
    <m/>
    <n v="7"/>
    <m/>
    <n v="0"/>
    <m/>
    <m/>
    <s v="CONTAINERS"/>
    <s v="REL METAL"/>
    <m/>
    <s v="1.5 YD"/>
    <s v="FEL/REL/SL Metal"/>
    <d v="2024-04-29T00:00:00"/>
    <d v="2024-04-29T00:00:00"/>
    <s v="2111-24-0026-1"/>
    <n v="1200"/>
    <n v="14050"/>
    <n v="6056"/>
    <n v="14056"/>
    <n v="168.22"/>
    <n v="5887.78"/>
    <n v="168.22"/>
    <n v="54260"/>
    <n v="42.06"/>
    <s v="P"/>
    <m/>
    <m/>
    <s v=" "/>
    <s v="STL"/>
    <s v="YES"/>
    <s v="TBD"/>
    <s v="LOOKUP"/>
    <x v="1"/>
    <n v="4"/>
    <n v="2024"/>
    <n v="2036"/>
    <n v="2036.3333333333333"/>
    <n v="42.055555555555557"/>
    <n v="504.66666666666669"/>
    <n v="504.66666666666669"/>
    <n v="0"/>
    <n v="504.66666666666669"/>
    <n v="5551.333333333333"/>
    <s v="No"/>
  </r>
  <r>
    <n v="2111"/>
    <n v="415979"/>
    <s v="P"/>
    <s v="Capitalized"/>
    <s v="6 YD FL CONTAINERS"/>
    <m/>
    <m/>
    <n v="7"/>
    <m/>
    <n v="0"/>
    <m/>
    <m/>
    <s v="CONTAINERS"/>
    <s v="REL METAL"/>
    <m/>
    <s v="6 YD"/>
    <s v="FEL/REL/SL Metal"/>
    <d v="2024-04-29T00:00:00"/>
    <d v="2024-04-29T00:00:00"/>
    <s v="2111-24-0026-1"/>
    <n v="1200"/>
    <n v="14050"/>
    <n v="10751.27"/>
    <n v="14056"/>
    <n v="298.64"/>
    <n v="10452.630000000001"/>
    <n v="298.64"/>
    <n v="54260"/>
    <n v="74.66"/>
    <s v="P"/>
    <m/>
    <m/>
    <s v=" "/>
    <s v="STL"/>
    <s v="YES"/>
    <s v="TBD"/>
    <s v="LOOKUP"/>
    <x v="1"/>
    <n v="4"/>
    <n v="2024"/>
    <n v="2036"/>
    <n v="2036.3333333333333"/>
    <n v="74.661597222222227"/>
    <n v="895.93916666666678"/>
    <n v="895.93916666666678"/>
    <n v="0"/>
    <n v="895.93916666666678"/>
    <n v="9855.3308333333334"/>
    <s v="No"/>
  </r>
  <r>
    <n v="2111"/>
    <n v="415960"/>
    <s v="P"/>
    <s v="Capitalized"/>
    <s v="1.5 YD REL CONTAINERS"/>
    <m/>
    <m/>
    <n v="14"/>
    <m/>
    <n v="0"/>
    <m/>
    <m/>
    <s v="CONTAINERS"/>
    <s v="FEL METAL"/>
    <m/>
    <s v="1.5 YD"/>
    <s v="FEL/REL/SL Metal"/>
    <d v="2024-04-29T00:00:00"/>
    <d v="2024-04-29T00:00:00"/>
    <s v="2111-24-0026-2"/>
    <n v="1200"/>
    <n v="14050"/>
    <n v="12870.69"/>
    <n v="14056"/>
    <n v="357.52"/>
    <n v="12513.17"/>
    <n v="357.52"/>
    <n v="54260"/>
    <n v="89.38"/>
    <s v="P"/>
    <m/>
    <m/>
    <s v=" "/>
    <s v="STL"/>
    <s v="YES"/>
    <s v="TBD"/>
    <s v="LOOKUP"/>
    <x v="1"/>
    <n v="4"/>
    <n v="2024"/>
    <n v="2036"/>
    <n v="2036.3333333333333"/>
    <n v="89.379791666666677"/>
    <n v="1072.5575000000001"/>
    <n v="1072.5575000000001"/>
    <n v="0"/>
    <n v="1072.5575000000001"/>
    <n v="11798.1325"/>
    <s v="No"/>
  </r>
  <r>
    <n v="2111"/>
    <n v="415959"/>
    <s v="P"/>
    <s v="Capitalized"/>
    <s v="6 YD FL CONTAINERS"/>
    <m/>
    <m/>
    <n v="6"/>
    <m/>
    <n v="0"/>
    <m/>
    <m/>
    <s v="CONTAINERS"/>
    <s v="REL METAL"/>
    <m/>
    <s v="6 YD"/>
    <s v="FEL/REL/SL Metal"/>
    <d v="2024-04-29T00:00:00"/>
    <d v="2024-04-29T00:00:00"/>
    <s v="2111-24-0026-1"/>
    <n v="1200"/>
    <n v="14050"/>
    <n v="9215.3700000000008"/>
    <n v="14056"/>
    <n v="255.98"/>
    <n v="8959.3900000000012"/>
    <n v="255.98"/>
    <n v="54260"/>
    <n v="64"/>
    <s v="P"/>
    <m/>
    <m/>
    <s v=" "/>
    <s v="STL"/>
    <s v="YES"/>
    <s v="TBD"/>
    <s v="LOOKUP"/>
    <x v="1"/>
    <n v="4"/>
    <n v="2024"/>
    <n v="2036"/>
    <n v="2036.3333333333333"/>
    <n v="63.995625000000011"/>
    <n v="767.9475000000001"/>
    <n v="767.9475000000001"/>
    <n v="0"/>
    <n v="767.9475000000001"/>
    <n v="8447.4225000000006"/>
    <s v="No"/>
  </r>
  <r>
    <n v="2111"/>
    <n v="415958"/>
    <s v="P"/>
    <s v="Capitalized"/>
    <s v="6 YD FL CONTAINERS"/>
    <m/>
    <m/>
    <n v="7"/>
    <m/>
    <n v="0"/>
    <m/>
    <m/>
    <s v="CONTAINERS"/>
    <s v="REL METAL"/>
    <m/>
    <s v="6 YD"/>
    <s v="FEL/REL/SL Metal"/>
    <d v="2024-04-29T00:00:00"/>
    <d v="2024-04-29T00:00:00"/>
    <s v="2111-24-0026-1"/>
    <n v="1200"/>
    <n v="14050"/>
    <n v="10751.27"/>
    <n v="14056"/>
    <n v="298.64"/>
    <n v="10452.630000000001"/>
    <n v="298.64"/>
    <n v="54260"/>
    <n v="74.66"/>
    <s v="P"/>
    <m/>
    <m/>
    <s v=" "/>
    <s v="STL"/>
    <s v="YES"/>
    <s v="TBD"/>
    <s v="LOOKUP"/>
    <x v="1"/>
    <n v="4"/>
    <n v="2024"/>
    <n v="2036"/>
    <n v="2036.3333333333333"/>
    <n v="74.661597222222227"/>
    <n v="895.93916666666678"/>
    <n v="895.93916666666678"/>
    <n v="0"/>
    <n v="895.93916666666678"/>
    <n v="9855.3308333333334"/>
    <s v="No"/>
  </r>
  <r>
    <n v="2111"/>
    <n v="414761"/>
    <n v="406463"/>
    <s v="Capitalized"/>
    <s v="2024 Peterbilt FEL Truck- Body"/>
    <m/>
    <m/>
    <n v="1"/>
    <s v="3BPDXKEX3RF697497"/>
    <n v="2024"/>
    <m/>
    <s v="Peterbilt"/>
    <s v="TRUCKS AND TRAILERS"/>
    <s v="FRONT LOADER"/>
    <s v="Front Loader"/>
    <m/>
    <m/>
    <d v="2024-06-14T00:00:00"/>
    <d v="2024-06-14T00:00:00"/>
    <s v="2111-24-0009-1"/>
    <n v="1000"/>
    <n v="14040"/>
    <n v="194590.46"/>
    <n v="14046"/>
    <n v="4864.7700000000004"/>
    <n v="189725.69"/>
    <n v="4864.7700000000004"/>
    <n v="51260"/>
    <n v="1621.59"/>
    <s v="P"/>
    <m/>
    <m/>
    <s v=" "/>
    <s v="STL"/>
    <s v="YES"/>
    <s v="TBD"/>
    <s v="LOOKUP"/>
    <x v="2"/>
    <n v="6"/>
    <n v="2024"/>
    <n v="2034"/>
    <n v="2034.5"/>
    <n v="1621.5871666666665"/>
    <n v="19459.045999999998"/>
    <n v="19459.045999999998"/>
    <n v="0"/>
    <n v="19459.045999999998"/>
    <n v="175131.41399999999"/>
    <s v="No"/>
  </r>
  <r>
    <n v="2111"/>
    <n v="414527"/>
    <s v="P"/>
    <s v="Capitalized"/>
    <s v="20 Gallon Garbage Inserts"/>
    <m/>
    <m/>
    <n v="200"/>
    <m/>
    <n v="0"/>
    <m/>
    <m/>
    <s v="CONTAINERS"/>
    <s v="CARTS PLASTIC"/>
    <m/>
    <s v="21 Gal"/>
    <s v="Carts/Toters"/>
    <d v="2024-07-23T00:00:00"/>
    <d v="2024-07-23T00:00:00"/>
    <s v="2111-24-0031-1"/>
    <n v="700"/>
    <n v="14050"/>
    <n v="5994.94"/>
    <n v="14056"/>
    <n v="71.37"/>
    <n v="5923.57"/>
    <n v="71.37"/>
    <n v="54260"/>
    <n v="71.37"/>
    <s v="P"/>
    <m/>
    <m/>
    <s v=" "/>
    <s v="STL"/>
    <s v="YES"/>
    <s v="TBD"/>
    <s v="LOOKUP"/>
    <x v="0"/>
    <n v="7"/>
    <n v="2024"/>
    <n v="2031"/>
    <n v="2031.5833333333333"/>
    <n v="71.368333333333325"/>
    <n v="856.41999999999985"/>
    <n v="856.41999999999985"/>
    <n v="0"/>
    <n v="856.41999999999985"/>
    <n v="5138.5199999999995"/>
    <s v="No"/>
  </r>
  <r>
    <n v="2111"/>
    <n v="413846"/>
    <n v="406463"/>
    <s v="Capitalized"/>
    <s v="Install of Graphics"/>
    <m/>
    <m/>
    <n v="1"/>
    <s v="Truck 921"/>
    <n v="0"/>
    <m/>
    <m/>
    <s v="TRUCKS AND TRAILERS"/>
    <s v="FRONT LOADER"/>
    <s v="Front Loader"/>
    <m/>
    <m/>
    <d v="2024-06-14T00:00:00"/>
    <d v="2024-06-14T00:00:00"/>
    <s v="2111-24-0009-1"/>
    <n v="1000"/>
    <n v="14040"/>
    <n v="1167.06"/>
    <n v="14046"/>
    <n v="29.19"/>
    <n v="1137.8699999999999"/>
    <n v="29.19"/>
    <n v="51260"/>
    <n v="9.73"/>
    <s v="P"/>
    <m/>
    <m/>
    <s v=" "/>
    <s v="STL"/>
    <s v="YES"/>
    <s v="TBD"/>
    <s v="LOOKUP"/>
    <x v="2"/>
    <n v="6"/>
    <n v="2024"/>
    <n v="2034"/>
    <n v="2034.5"/>
    <n v="9.7254999999999985"/>
    <n v="116.70599999999999"/>
    <n v="116.70599999999999"/>
    <n v="0"/>
    <n v="116.70599999999999"/>
    <n v="1050.354"/>
    <s v="No"/>
  </r>
  <r>
    <n v="2111"/>
    <n v="413776"/>
    <n v="406463"/>
    <s v="Capitalized"/>
    <s v="Licensing Truck 921"/>
    <m/>
    <m/>
    <n v="1"/>
    <s v="3BPDXKEX3RF697497"/>
    <n v="0"/>
    <m/>
    <m/>
    <s v="TRUCKS AND TRAILERS"/>
    <s v="FRONT LOADER"/>
    <s v="Front Loader"/>
    <m/>
    <m/>
    <d v="2024-06-14T00:00:00"/>
    <d v="2024-06-14T00:00:00"/>
    <s v="2111-24-0009-1"/>
    <n v="1000"/>
    <n v="14040"/>
    <n v="1414.12"/>
    <n v="14046"/>
    <n v="35.340000000000003"/>
    <n v="1378.78"/>
    <n v="35.340000000000003"/>
    <n v="51260"/>
    <n v="11.78"/>
    <s v="P"/>
    <m/>
    <m/>
    <s v=" "/>
    <s v="STL"/>
    <s v="YES"/>
    <s v="TBD"/>
    <s v="LOOKUP"/>
    <x v="2"/>
    <n v="6"/>
    <n v="2024"/>
    <n v="2034"/>
    <n v="2034.5"/>
    <n v="11.784333333333331"/>
    <n v="141.41199999999998"/>
    <n v="141.41199999999998"/>
    <n v="0"/>
    <n v="141.41199999999998"/>
    <n v="1272.7079999999999"/>
    <s v="No"/>
  </r>
  <r>
    <n v="2111"/>
    <n v="413706"/>
    <s v="P"/>
    <s v="Capitalized"/>
    <s v="2022 Isuzu Box Van Truck - PKG"/>
    <m/>
    <m/>
    <n v="1"/>
    <s v="JALC4W168N7K03030"/>
    <n v="2022"/>
    <m/>
    <s v="Isuzu"/>
    <s v="TRUCKS AND TRAILERS"/>
    <s v="CONTAINER DELIVERY TRUCK"/>
    <s v="Container Delivery Truck"/>
    <m/>
    <m/>
    <d v="2024-06-28T00:00:00"/>
    <d v="2024-06-28T00:00:00"/>
    <s v="2111-24-0017-1"/>
    <n v="800"/>
    <n v="14040"/>
    <n v="63415.6"/>
    <n v="14046"/>
    <n v="1321.16"/>
    <n v="62094.439999999995"/>
    <n v="1321.16"/>
    <n v="51260"/>
    <n v="660.58"/>
    <s v="P"/>
    <m/>
    <m/>
    <s v=" "/>
    <s v="STL"/>
    <s v="YES"/>
    <s v="TBD"/>
    <s v="LOOKUP"/>
    <x v="3"/>
    <n v="6"/>
    <n v="2024"/>
    <n v="2032"/>
    <n v="2032.5"/>
    <n v="660.57916666666665"/>
    <n v="7926.95"/>
    <n v="7926.95"/>
    <n v="0"/>
    <n v="7926.95"/>
    <n v="55488.65"/>
    <s v="No"/>
  </r>
  <r>
    <n v="2111"/>
    <n v="412943"/>
    <s v="P"/>
    <s v="Capitalized"/>
    <s v="2025 Peterbilt ASL Truck"/>
    <m/>
    <m/>
    <n v="1"/>
    <s v="3BPDLK0X4SF693905"/>
    <n v="2025"/>
    <m/>
    <s v="Peterbilt"/>
    <s v="TRUCKS AND TRAILERS"/>
    <s v="AUTOMATED SIDE LOADER"/>
    <s v="Automated Side Loader"/>
    <m/>
    <m/>
    <d v="2024-06-06T00:00:00"/>
    <d v="2024-06-06T00:00:00"/>
    <s v="2111-24-0006-1"/>
    <n v="1000"/>
    <n v="14040"/>
    <n v="240512.84"/>
    <n v="14046"/>
    <n v="6012.81"/>
    <n v="234500.03"/>
    <n v="6012.81"/>
    <n v="51260"/>
    <n v="2004.27"/>
    <s v="P"/>
    <m/>
    <m/>
    <s v=" "/>
    <s v="STL"/>
    <s v="YES"/>
    <s v="TBD"/>
    <s v="LOOKUP"/>
    <x v="2"/>
    <n v="6"/>
    <n v="2024"/>
    <n v="2034"/>
    <n v="2034.5"/>
    <n v="2004.2736666666667"/>
    <n v="24051.284"/>
    <n v="24051.284"/>
    <n v="0"/>
    <n v="24051.284"/>
    <n v="216461.55599999998"/>
    <s v="No"/>
  </r>
  <r>
    <n v="2111"/>
    <n v="412331"/>
    <s v="P"/>
    <s v="Capitalized"/>
    <s v="95 GAL YW CARTS"/>
    <m/>
    <m/>
    <n v="702"/>
    <m/>
    <n v="0"/>
    <m/>
    <m/>
    <s v="CONTAINERS"/>
    <s v="CARTS PLASTIC"/>
    <m/>
    <s v="95 Gal"/>
    <s v="Carts/Toters"/>
    <d v="2024-06-22T00:00:00"/>
    <d v="2024-06-22T00:00:00"/>
    <s v="2111-24-0029-1"/>
    <n v="700"/>
    <n v="14050"/>
    <n v="40384.129999999997"/>
    <n v="14056"/>
    <n v="961.52"/>
    <n v="39422.61"/>
    <n v="961.52"/>
    <n v="54260"/>
    <n v="480.76"/>
    <s v="P"/>
    <m/>
    <m/>
    <s v=" "/>
    <s v="STL"/>
    <s v="YES"/>
    <s v="TBD"/>
    <s v="LOOKUP"/>
    <x v="4"/>
    <n v="6"/>
    <n v="2024"/>
    <n v="2031"/>
    <n v="2031.5"/>
    <n v="480.7634523809524"/>
    <n v="5769.1614285714286"/>
    <n v="5769.1614285714286"/>
    <n v="0"/>
    <n v="5769.1614285714286"/>
    <n v="34614.968571428566"/>
    <s v="No"/>
  </r>
  <r>
    <n v="2111"/>
    <n v="412330"/>
    <s v="P"/>
    <s v="Capitalized"/>
    <s v="2 YD REL CONTAINERS"/>
    <m/>
    <m/>
    <n v="14"/>
    <m/>
    <n v="0"/>
    <m/>
    <m/>
    <s v="CONTAINERS"/>
    <s v="REL METAL"/>
    <m/>
    <s v="2 YD"/>
    <s v="FEL/REL/SL Metal"/>
    <d v="2024-04-29T00:00:00"/>
    <d v="2024-04-29T00:00:00"/>
    <s v="2111-24-0026-1"/>
    <n v="1200"/>
    <n v="14050"/>
    <n v="13101.9"/>
    <n v="14056"/>
    <n v="363.95"/>
    <n v="12737.949999999999"/>
    <n v="363.95"/>
    <n v="54260"/>
    <n v="90.99"/>
    <s v="P"/>
    <m/>
    <m/>
    <s v=" "/>
    <s v="STL"/>
    <s v="YES"/>
    <s v="TBD"/>
    <s v="LOOKUP"/>
    <x v="1"/>
    <n v="4"/>
    <n v="2024"/>
    <n v="2036"/>
    <n v="2036.3333333333333"/>
    <n v="90.985416666666666"/>
    <n v="1091.825"/>
    <n v="1091.825"/>
    <n v="0"/>
    <n v="1091.825"/>
    <n v="12010.074999999999"/>
    <s v="No"/>
  </r>
  <r>
    <n v="2111"/>
    <n v="412264"/>
    <s v="P"/>
    <s v="Capitalized"/>
    <s v="2 YD REL CONTAINERS"/>
    <m/>
    <m/>
    <n v="6"/>
    <m/>
    <n v="0"/>
    <m/>
    <m/>
    <s v="CONTAINERS"/>
    <s v="REL METAL"/>
    <m/>
    <s v="2 YD"/>
    <s v="FEL/REL/SL Metal"/>
    <d v="2024-04-29T00:00:00"/>
    <d v="2024-04-29T00:00:00"/>
    <s v="2111-24-0026-1"/>
    <n v="1200"/>
    <n v="14050"/>
    <n v="5615.1"/>
    <n v="14056"/>
    <n v="155.96"/>
    <n v="5459.14"/>
    <n v="155.96"/>
    <n v="54260"/>
    <n v="38.99"/>
    <s v="P"/>
    <m/>
    <m/>
    <s v=" "/>
    <s v="STL"/>
    <s v="YES"/>
    <s v="TBD"/>
    <s v="LOOKUP"/>
    <x v="1"/>
    <n v="4"/>
    <n v="2024"/>
    <n v="2036"/>
    <n v="2036.3333333333333"/>
    <n v="38.993749999999999"/>
    <n v="467.92499999999995"/>
    <n v="467.92499999999995"/>
    <n v="0"/>
    <n v="467.92499999999995"/>
    <n v="5147.1750000000002"/>
    <s v="No"/>
  </r>
  <r>
    <n v="2111"/>
    <n v="412256"/>
    <s v="P"/>
    <s v="Capitalized"/>
    <s v="95 GAL RECYCLE CARTS"/>
    <m/>
    <m/>
    <n v="702"/>
    <m/>
    <n v="0"/>
    <m/>
    <m/>
    <s v="CONTAINERS"/>
    <s v="CARTS PLASTIC"/>
    <m/>
    <s v="95 Gal"/>
    <s v="Carts/Toters"/>
    <d v="2024-06-22T00:00:00"/>
    <d v="2024-06-22T00:00:00"/>
    <s v="2111-24-0029-1"/>
    <n v="700"/>
    <n v="14050"/>
    <n v="40384.129999999997"/>
    <n v="14056"/>
    <n v="961.52"/>
    <n v="39422.61"/>
    <n v="961.52"/>
    <n v="54260"/>
    <n v="480.76"/>
    <s v="P"/>
    <m/>
    <m/>
    <s v=" "/>
    <s v="STL"/>
    <s v="YES"/>
    <s v="TBD"/>
    <s v="LOOKUP"/>
    <x v="5"/>
    <n v="6"/>
    <n v="2024"/>
    <n v="2031"/>
    <n v="2031.5"/>
    <n v="480.7634523809524"/>
    <n v="5769.1614285714286"/>
    <n v="5769.1614285714286"/>
    <n v="0"/>
    <n v="5769.1614285714286"/>
    <n v="34614.968571428566"/>
    <s v="No"/>
  </r>
  <r>
    <n v="2111"/>
    <n v="411492"/>
    <s v="P"/>
    <s v="Capitalized"/>
    <s v="HP USB-C G5 Essential Dock - SN; 2TK406ZGMH"/>
    <m/>
    <m/>
    <n v="1"/>
    <m/>
    <n v="0"/>
    <m/>
    <m/>
    <s v="HARDWARE AND SOFTWARE"/>
    <s v="COMPUTERS"/>
    <m/>
    <m/>
    <m/>
    <d v="2024-04-29T00:00:00"/>
    <d v="2024-04-29T00:00:00"/>
    <s v="2111-24-0027-1"/>
    <n v="300"/>
    <n v="14110"/>
    <n v="246.61"/>
    <n v="14116"/>
    <n v="27.4"/>
    <n v="219.21"/>
    <n v="27.4"/>
    <n v="70260"/>
    <n v="6.85"/>
    <s v="P"/>
    <m/>
    <m/>
    <s v=" "/>
    <s v="STL"/>
    <s v="YES"/>
    <s v="TBD"/>
    <s v="LOOKUP"/>
    <x v="6"/>
    <n v="4"/>
    <n v="2024"/>
    <n v="2027"/>
    <n v="2027.3333333333333"/>
    <n v="6.8502777777777775"/>
    <n v="82.203333333333333"/>
    <n v="82.203333333333333"/>
    <n v="0"/>
    <n v="82.203333333333333"/>
    <n v="164.40666666666669"/>
    <s v="No"/>
  </r>
  <r>
    <n v="2111"/>
    <n v="411490"/>
    <s v="P"/>
    <s v="Capitalized"/>
    <s v="HP ProBook 450 G10 15.6 Notebook - SN: 5CD4101NKC"/>
    <m/>
    <m/>
    <n v="1"/>
    <m/>
    <n v="0"/>
    <m/>
    <m/>
    <s v="HARDWARE AND SOFTWARE"/>
    <s v="COMPUTERS"/>
    <m/>
    <m/>
    <m/>
    <d v="2024-04-29T00:00:00"/>
    <d v="2024-04-29T00:00:00"/>
    <s v="2111-24-0027-1"/>
    <n v="300"/>
    <n v="14110"/>
    <n v="1073.42"/>
    <n v="14116"/>
    <n v="119.28"/>
    <n v="954.1400000000001"/>
    <n v="119.28"/>
    <n v="70260"/>
    <n v="29.82"/>
    <s v="P"/>
    <m/>
    <m/>
    <s v=" "/>
    <s v="STL"/>
    <s v="YES"/>
    <s v="TBD"/>
    <s v="LOOKUP"/>
    <x v="6"/>
    <n v="4"/>
    <n v="2024"/>
    <n v="2027"/>
    <n v="2027.3333333333333"/>
    <n v="29.817222222222224"/>
    <n v="357.80666666666667"/>
    <n v="357.80666666666667"/>
    <n v="0"/>
    <n v="357.80666666666667"/>
    <n v="715.61333333333346"/>
    <s v="No"/>
  </r>
  <r>
    <n v="2111"/>
    <n v="410703"/>
    <s v="P"/>
    <s v="Capitalized"/>
    <s v="HP USB-C G5 Essential Dock - SN: 2TK406ZK93"/>
    <m/>
    <m/>
    <n v="1"/>
    <m/>
    <n v="0"/>
    <m/>
    <m/>
    <s v="HARDWARE AND SOFTWARE"/>
    <s v="COMPUTERS"/>
    <m/>
    <m/>
    <m/>
    <d v="2024-06-07T00:00:00"/>
    <d v="2024-06-07T00:00:00"/>
    <s v="2111-24-0030-1"/>
    <n v="300"/>
    <n v="14110"/>
    <n v="246.61"/>
    <n v="14116"/>
    <n v="20.55"/>
    <n v="226.06"/>
    <n v="20.55"/>
    <n v="70260"/>
    <n v="6.85"/>
    <s v="P"/>
    <m/>
    <m/>
    <s v=" "/>
    <s v="STL"/>
    <s v="YES"/>
    <s v="TBD"/>
    <s v="LOOKUP"/>
    <x v="6"/>
    <n v="6"/>
    <n v="2024"/>
    <n v="2027"/>
    <n v="2027.5"/>
    <n v="6.8502777777777775"/>
    <n v="82.203333333333333"/>
    <n v="82.203333333333333"/>
    <n v="0"/>
    <n v="82.203333333333333"/>
    <n v="164.40666666666669"/>
    <s v="No"/>
  </r>
  <r>
    <n v="2111"/>
    <n v="410669"/>
    <s v="P"/>
    <s v="Capitalized"/>
    <s v="HP ProBook 450 G10 15.6 Notebook - SN: 5CD351K1LL"/>
    <m/>
    <m/>
    <n v="1"/>
    <m/>
    <n v="0"/>
    <m/>
    <m/>
    <s v="HARDWARE AND SOFTWARE"/>
    <s v="COMPUTERS"/>
    <m/>
    <m/>
    <m/>
    <d v="2024-06-07T00:00:00"/>
    <d v="2024-06-07T00:00:00"/>
    <s v="2111-24-0030-1"/>
    <n v="300"/>
    <n v="14110"/>
    <n v="1066.18"/>
    <n v="14116"/>
    <n v="88.86"/>
    <n v="977.32"/>
    <n v="88.86"/>
    <n v="70260"/>
    <n v="29.62"/>
    <s v="P"/>
    <m/>
    <m/>
    <s v=" "/>
    <s v="STL"/>
    <s v="YES"/>
    <s v="TBD"/>
    <s v="LOOKUP"/>
    <x v="6"/>
    <n v="6"/>
    <n v="2024"/>
    <n v="2027"/>
    <n v="2027.5"/>
    <n v="29.616111111111113"/>
    <n v="355.39333333333337"/>
    <n v="355.39333333333337"/>
    <n v="0"/>
    <n v="355.39333333333337"/>
    <n v="710.78666666666663"/>
    <s v="No"/>
  </r>
  <r>
    <n v="2111"/>
    <n v="410046"/>
    <s v="P"/>
    <s v="Capitalized"/>
    <s v="65 Gallon MSW Carts"/>
    <m/>
    <m/>
    <n v="816"/>
    <m/>
    <n v="0"/>
    <m/>
    <m/>
    <s v="CONTAINERS"/>
    <s v="CARTS PLASTIC"/>
    <m/>
    <s v="65 Gal"/>
    <s v="Carts/Toters"/>
    <d v="2024-04-16T00:00:00"/>
    <d v="2024-04-16T00:00:00"/>
    <s v="2111-24-0025-1"/>
    <n v="700"/>
    <n v="14050"/>
    <n v="44184.1"/>
    <n v="14056"/>
    <n v="2104"/>
    <n v="42080.1"/>
    <n v="2104"/>
    <n v="54260"/>
    <n v="526"/>
    <s v="P"/>
    <m/>
    <m/>
    <s v=" "/>
    <s v="STL"/>
    <s v="YES"/>
    <s v="TBD"/>
    <s v="LOOKUP"/>
    <x v="0"/>
    <n v="4"/>
    <n v="2024"/>
    <n v="2031"/>
    <n v="2031.3333333333333"/>
    <n v="526.00119047619046"/>
    <n v="6312.0142857142855"/>
    <n v="6312.0142857142855"/>
    <n v="0"/>
    <n v="6312.0142857142855"/>
    <n v="37872.085714285713"/>
    <s v="No"/>
  </r>
  <r>
    <n v="2111"/>
    <n v="410038"/>
    <s v="P"/>
    <s v="Capitalized"/>
    <s v="20 Gallon Garbage Inserts"/>
    <m/>
    <m/>
    <n v="200"/>
    <m/>
    <n v="0"/>
    <m/>
    <m/>
    <s v="CONTAINERS"/>
    <s v="CARTS PLASTIC"/>
    <m/>
    <s v="21 Gal"/>
    <s v="Carts/Toters"/>
    <d v="2024-04-11T00:00:00"/>
    <d v="2024-04-11T00:00:00"/>
    <s v="2111-24-0024-1"/>
    <n v="700"/>
    <n v="14050"/>
    <n v="8036.75"/>
    <n v="14056"/>
    <n v="478.38"/>
    <n v="7558.37"/>
    <n v="478.38"/>
    <n v="54260"/>
    <n v="95.68"/>
    <s v="P"/>
    <m/>
    <m/>
    <s v=" "/>
    <s v="STL"/>
    <s v="YES"/>
    <s v="TBD"/>
    <s v="LOOKUP"/>
    <x v="0"/>
    <n v="4"/>
    <n v="2024"/>
    <n v="2031"/>
    <n v="2031.3333333333333"/>
    <n v="95.675595238095241"/>
    <n v="1148.1071428571429"/>
    <n v="1148.1071428571429"/>
    <n v="0"/>
    <n v="1148.1071428571429"/>
    <n v="6888.6428571428569"/>
    <s v="No"/>
  </r>
  <r>
    <n v="2111"/>
    <n v="408957"/>
    <n v="400287"/>
    <s v="Capitalized"/>
    <s v="Lettering Applied to Truck 883"/>
    <m/>
    <m/>
    <n v="1"/>
    <s v="3BPDLK0X9RF116264"/>
    <n v="0"/>
    <m/>
    <m/>
    <s v="TRUCKS AND TRAILERS"/>
    <s v="AUTOMATED SIDE LOADER"/>
    <s v="Automated Side Loader"/>
    <m/>
    <m/>
    <d v="2024-03-27T00:00:00"/>
    <d v="2024-03-27T00:00:00"/>
    <s v="2111-24-0018-1"/>
    <n v="1000"/>
    <n v="14040"/>
    <n v="1304.69"/>
    <n v="14046"/>
    <n v="54.35"/>
    <n v="1250.3400000000001"/>
    <n v="54.35"/>
    <n v="51260"/>
    <n v="10.87"/>
    <s v="P"/>
    <m/>
    <m/>
    <s v=" "/>
    <s v="STL"/>
    <s v="YES"/>
    <s v="TBD"/>
    <s v="LOOKUP"/>
    <x v="2"/>
    <n v="3"/>
    <n v="2024"/>
    <n v="2034"/>
    <n v="2034.25"/>
    <n v="10.872416666666666"/>
    <n v="130.46899999999999"/>
    <n v="130.46899999999999"/>
    <n v="10.872416666656818"/>
    <n v="141.34141666665681"/>
    <n v="1163.3485833333432"/>
    <s v="No"/>
  </r>
  <r>
    <n v="2111"/>
    <n v="408919"/>
    <s v="P"/>
    <s v="Capitalized"/>
    <s v="Truck Tire Changer"/>
    <m/>
    <m/>
    <n v="1"/>
    <m/>
    <n v="0"/>
    <m/>
    <m/>
    <s v="SHOP EQUIPMENT"/>
    <s v="MISC"/>
    <m/>
    <m/>
    <m/>
    <d v="2024-04-01T00:00:00"/>
    <d v="2024-04-01T00:00:00"/>
    <s v="2111-24-0028-1"/>
    <n v="500"/>
    <n v="14070"/>
    <n v="21177.74"/>
    <n v="14076"/>
    <n v="1764.8"/>
    <n v="19412.940000000002"/>
    <n v="1764.8"/>
    <n v="51260"/>
    <n v="352.96"/>
    <s v="P"/>
    <m/>
    <m/>
    <s v=" "/>
    <s v="STL"/>
    <s v="YES"/>
    <s v="TBD"/>
    <s v="LOOKUP"/>
    <x v="7"/>
    <n v="4"/>
    <n v="2024"/>
    <n v="2029"/>
    <n v="2029.3333333333333"/>
    <n v="352.96233333333339"/>
    <n v="4235.5480000000007"/>
    <n v="4235.5480000000007"/>
    <n v="0"/>
    <n v="4235.5480000000007"/>
    <n v="16942.192000000003"/>
    <s v="No"/>
  </r>
  <r>
    <n v="2111"/>
    <n v="407409"/>
    <s v="P"/>
    <s v="Capitalized"/>
    <s v="95 Gallon MSW Carts"/>
    <m/>
    <m/>
    <n v="702"/>
    <m/>
    <n v="0"/>
    <m/>
    <m/>
    <s v="CONTAINERS"/>
    <s v="CARTS PLASTIC"/>
    <m/>
    <s v="95 Gal"/>
    <s v="Carts/Toters"/>
    <d v="2024-04-16T00:00:00"/>
    <d v="2024-04-16T00:00:00"/>
    <s v="2111-24-0025-1"/>
    <n v="700"/>
    <n v="14050"/>
    <n v="39997.68"/>
    <n v="14056"/>
    <n v="1904.64"/>
    <n v="38093.040000000001"/>
    <n v="1904.64"/>
    <n v="54260"/>
    <n v="476.16"/>
    <s v="P"/>
    <m/>
    <m/>
    <s v=" "/>
    <s v="STL"/>
    <s v="YES"/>
    <s v="TBD"/>
    <s v="LOOKUP"/>
    <x v="0"/>
    <n v="4"/>
    <n v="2024"/>
    <n v="2031"/>
    <n v="2031.3333333333333"/>
    <n v="476.16285714285715"/>
    <n v="5713.954285714286"/>
    <n v="5713.954285714286"/>
    <n v="0"/>
    <n v="5713.954285714286"/>
    <n v="34283.725714285712"/>
    <s v="No"/>
  </r>
  <r>
    <n v="2111"/>
    <n v="407152"/>
    <s v="P"/>
    <s v="Capitalized"/>
    <s v="95 Gallon Recycle Carts"/>
    <m/>
    <m/>
    <n v="351"/>
    <m/>
    <n v="0"/>
    <m/>
    <m/>
    <s v="CONTAINERS"/>
    <s v="CARTS PLASTIC"/>
    <m/>
    <s v="95 Gal"/>
    <s v="Carts/Toters"/>
    <d v="2024-04-16T00:00:00"/>
    <d v="2024-04-16T00:00:00"/>
    <s v="2111-24-0025-1"/>
    <n v="700"/>
    <n v="14050"/>
    <n v="19998.84"/>
    <n v="14056"/>
    <n v="952.32"/>
    <n v="19046.52"/>
    <n v="952.32"/>
    <n v="54260"/>
    <n v="238.08"/>
    <s v="P"/>
    <m/>
    <m/>
    <s v=" "/>
    <s v="STL"/>
    <s v="YES"/>
    <s v="TBD"/>
    <s v="LOOKUP"/>
    <x v="5"/>
    <n v="4"/>
    <n v="2024"/>
    <n v="2031"/>
    <n v="2031.3333333333333"/>
    <n v="238.08142857142857"/>
    <n v="2856.977142857143"/>
    <n v="2856.977142857143"/>
    <n v="0"/>
    <n v="2856.977142857143"/>
    <n v="17141.862857142856"/>
    <s v="No"/>
  </r>
  <r>
    <n v="2111"/>
    <n v="407151"/>
    <s v="P"/>
    <s v="Capitalized"/>
    <s v="95 Gallon Yardwaste Carts"/>
    <m/>
    <m/>
    <n v="351"/>
    <m/>
    <n v="0"/>
    <m/>
    <m/>
    <s v="CONTAINERS"/>
    <s v="CARTS PLASTIC"/>
    <m/>
    <s v="95 Gal"/>
    <s v="Carts/Toters"/>
    <d v="2024-04-16T00:00:00"/>
    <d v="2024-04-16T00:00:00"/>
    <s v="2111-24-0025-1"/>
    <n v="700"/>
    <n v="14050"/>
    <n v="19998.84"/>
    <n v="14056"/>
    <n v="952.32"/>
    <n v="19046.52"/>
    <n v="952.32"/>
    <n v="54260"/>
    <n v="238.08"/>
    <s v="P"/>
    <m/>
    <m/>
    <s v=" "/>
    <s v="STL"/>
    <s v="YES"/>
    <s v="TBD"/>
    <s v="LOOKUP"/>
    <x v="4"/>
    <n v="4"/>
    <n v="2024"/>
    <n v="2031"/>
    <n v="2031.3333333333333"/>
    <n v="238.08142857142857"/>
    <n v="2856.977142857143"/>
    <n v="2856.977142857143"/>
    <n v="0"/>
    <n v="2856.977142857143"/>
    <n v="17141.862857142856"/>
    <s v="No"/>
  </r>
  <r>
    <n v="2111"/>
    <n v="406818"/>
    <n v="400287"/>
    <s v="Capitalized"/>
    <s v="2024 Peterbilt ASL Truck - Body - Rollover 2111-23-0010"/>
    <m/>
    <m/>
    <n v="1"/>
    <s v="3BPDLK0X9RF116264"/>
    <n v="2024"/>
    <m/>
    <s v="Peterbilt"/>
    <s v="TRUCKS AND TRAILERS"/>
    <s v="AUTOMATED SIDE LOADER"/>
    <s v="Automated Side Loader"/>
    <m/>
    <m/>
    <d v="2024-03-27T00:00:00"/>
    <d v="2024-03-27T00:00:00"/>
    <s v="2111-24-0018-1"/>
    <n v="1000"/>
    <n v="14040"/>
    <n v="206303.82"/>
    <n v="14046"/>
    <n v="8596"/>
    <n v="197707.82"/>
    <n v="8596"/>
    <n v="51260"/>
    <n v="1719.2"/>
    <s v="P"/>
    <m/>
    <m/>
    <s v=" "/>
    <s v="STL"/>
    <s v="YES"/>
    <s v="TBD"/>
    <s v="LOOKUP"/>
    <x v="2"/>
    <n v="3"/>
    <n v="2024"/>
    <n v="2034"/>
    <n v="2034.25"/>
    <n v="1719.1985000000002"/>
    <n v="20630.382000000001"/>
    <n v="20630.382000000001"/>
    <n v="1719.198499998427"/>
    <n v="22349.580499998428"/>
    <n v="183954.23950000157"/>
    <s v="No"/>
  </r>
  <r>
    <n v="2111"/>
    <n v="406519"/>
    <n v="400287"/>
    <s v="Capitalized"/>
    <s v="TRUCK LICENSING 883"/>
    <m/>
    <m/>
    <n v="1"/>
    <s v="3BPDLK0X9RF116264"/>
    <n v="0"/>
    <m/>
    <m/>
    <s v="TRUCKS AND TRAILERS"/>
    <s v="TBA"/>
    <m/>
    <m/>
    <m/>
    <d v="2024-01-02T00:00:00"/>
    <d v="2024-01-02T00:00:00"/>
    <s v="2111-23-0010-1"/>
    <n v="1000"/>
    <n v="14040"/>
    <n v="1380.22"/>
    <n v="14046"/>
    <n v="92"/>
    <n v="1288.22"/>
    <n v="92"/>
    <n v="51260"/>
    <n v="11.5"/>
    <s v="P"/>
    <m/>
    <m/>
    <s v=" "/>
    <s v="STL"/>
    <s v="YES"/>
    <s v="TBD"/>
    <s v="LOOKUP"/>
    <x v="2"/>
    <n v="1"/>
    <n v="2024"/>
    <n v="2034"/>
    <n v="2034.0833333333333"/>
    <n v="11.501833333333332"/>
    <n v="138.02199999999999"/>
    <n v="138.02199999999999"/>
    <n v="34.505500000000211"/>
    <n v="172.5275000000002"/>
    <n v="1207.6924999999999"/>
    <s v="No"/>
  </r>
  <r>
    <n v="2111"/>
    <n v="406464"/>
    <s v="P"/>
    <s v="Capitalized"/>
    <s v="2023 Gas GMC Savana 3500 Highroof Van"/>
    <m/>
    <m/>
    <n v="1"/>
    <s v="7GZ37TC79PN001313"/>
    <n v="2023"/>
    <m/>
    <s v="GMC"/>
    <s v="TRUCKS AND TRAILERS"/>
    <s v="SERVICE TRUCK"/>
    <s v="Service Truck"/>
    <m/>
    <m/>
    <d v="2024-06-30T00:00:00"/>
    <d v="2024-04-23T00:00:00"/>
    <s v="2111-24-0011-1"/>
    <n v="1000"/>
    <n v="14040"/>
    <n v="68787.69"/>
    <n v="14046"/>
    <n v="1146.46"/>
    <n v="67641.23"/>
    <n v="1146.46"/>
    <n v="51260"/>
    <n v="573.23"/>
    <s v="P"/>
    <m/>
    <m/>
    <s v=" "/>
    <s v="STL"/>
    <s v="YES"/>
    <s v="TBD"/>
    <s v="LOOKUP"/>
    <x v="3"/>
    <n v="6"/>
    <n v="2024"/>
    <n v="2034"/>
    <n v="2034.5"/>
    <n v="573.23075000000006"/>
    <n v="6878.7690000000002"/>
    <n v="6878.7690000000002"/>
    <n v="0"/>
    <n v="6878.7690000000002"/>
    <n v="61908.921000000002"/>
    <s v="No"/>
  </r>
  <r>
    <n v="2111"/>
    <n v="406463"/>
    <s v="P"/>
    <s v="Capitalized"/>
    <s v="2024 Peterbilt FEL Truck"/>
    <m/>
    <m/>
    <n v="1"/>
    <s v="3BPDXKEX3RF697497"/>
    <n v="2024"/>
    <m/>
    <s v="Peterbilt"/>
    <s v="TRUCKS AND TRAILERS"/>
    <s v="FRONT LOADER"/>
    <s v="Front Loader"/>
    <m/>
    <m/>
    <d v="2024-06-14T00:00:00"/>
    <d v="2024-04-23T00:00:00"/>
    <s v="2111-24-0009-1"/>
    <n v="1000"/>
    <n v="14040"/>
    <n v="240006.76"/>
    <n v="14046"/>
    <n v="6000.18"/>
    <n v="234006.58000000002"/>
    <n v="6000.18"/>
    <n v="51260"/>
    <n v="2000.06"/>
    <s v="P"/>
    <m/>
    <m/>
    <s v=" "/>
    <s v="STL"/>
    <s v="YES"/>
    <s v="TBD"/>
    <s v="LOOKUP"/>
    <x v="2"/>
    <n v="6"/>
    <n v="2024"/>
    <n v="2034"/>
    <n v="2034.5"/>
    <n v="2000.0563333333332"/>
    <n v="24000.675999999999"/>
    <n v="24000.675999999999"/>
    <n v="0"/>
    <n v="24000.675999999999"/>
    <n v="216006.084"/>
    <s v="No"/>
  </r>
  <r>
    <n v="2111"/>
    <n v="405339"/>
    <n v="400146"/>
    <s v="Capitalized"/>
    <s v="Truck Licensing"/>
    <m/>
    <m/>
    <n v="1"/>
    <m/>
    <n v="0"/>
    <m/>
    <m/>
    <s v="TRUCKS AND TRAILERS"/>
    <s v="TBA"/>
    <m/>
    <m/>
    <m/>
    <d v="2024-01-02T00:00:00"/>
    <d v="2024-01-02T00:00:00"/>
    <s v="2111-23-0012-1"/>
    <n v="1000"/>
    <n v="14040"/>
    <n v="755.25"/>
    <n v="14046"/>
    <n v="50.32"/>
    <n v="704.93"/>
    <n v="50.32"/>
    <n v="51260"/>
    <n v="6.29"/>
    <s v="P"/>
    <m/>
    <m/>
    <s v=" "/>
    <s v="STL"/>
    <s v="YES"/>
    <s v="TBD"/>
    <s v="LOOKUP"/>
    <x v="2"/>
    <n v="1"/>
    <n v="2024"/>
    <n v="2034"/>
    <n v="2034.0833333333333"/>
    <n v="6.2937500000000002"/>
    <n v="75.525000000000006"/>
    <n v="75.525000000000006"/>
    <n v="18.881250000000023"/>
    <n v="94.406250000000028"/>
    <n v="660.84375"/>
    <s v="No"/>
  </r>
  <r>
    <n v="2111"/>
    <n v="405235"/>
    <n v="400176"/>
    <s v="Capitalized"/>
    <s v="Truck Licensing"/>
    <m/>
    <m/>
    <n v="1"/>
    <s v="3BPDLK0X8RF116269"/>
    <n v="0"/>
    <m/>
    <m/>
    <s v="TRUCKS AND TRAILERS"/>
    <s v="AUTOMATED SIDE LOADER"/>
    <s v="Automated Side Loader"/>
    <m/>
    <m/>
    <d v="2024-02-08T00:00:00"/>
    <d v="2024-03-31T00:00:00"/>
    <s v="2111-24-0019-1"/>
    <n v="1000"/>
    <n v="14040"/>
    <n v="755.24"/>
    <n v="14046"/>
    <n v="44.03"/>
    <n v="711.21"/>
    <n v="44.03"/>
    <n v="51260"/>
    <n v="6.29"/>
    <s v="P"/>
    <m/>
    <m/>
    <s v=" "/>
    <s v="STL"/>
    <s v="YES"/>
    <s v="TBD"/>
    <s v="LOOKUP"/>
    <x v="2"/>
    <n v="2"/>
    <n v="2024"/>
    <n v="2034"/>
    <n v="2034.1666666666667"/>
    <n v="6.2936666666666667"/>
    <n v="75.524000000000001"/>
    <n v="75.524000000000001"/>
    <n v="12.587333333321908"/>
    <n v="88.111333333321909"/>
    <n v="667.1286666666781"/>
    <s v="No"/>
  </r>
  <r>
    <n v="2111"/>
    <n v="405104"/>
    <n v="319564"/>
    <s v="Capitalized"/>
    <s v="Truck Licensing"/>
    <m/>
    <m/>
    <n v="1"/>
    <s v="3BPDLK0X4RF116270"/>
    <n v="0"/>
    <m/>
    <m/>
    <s v="TRUCKS AND TRAILERS"/>
    <s v="TBA"/>
    <m/>
    <m/>
    <m/>
    <d v="2024-01-02T00:00:00"/>
    <d v="2024-01-02T00:00:00"/>
    <s v="2111-23-0022-1"/>
    <n v="1000"/>
    <n v="14040"/>
    <n v="755.25"/>
    <n v="14046"/>
    <n v="50.32"/>
    <n v="704.93"/>
    <n v="50.32"/>
    <n v="51260"/>
    <n v="6.29"/>
    <s v="P"/>
    <m/>
    <m/>
    <s v=" "/>
    <s v="STL"/>
    <s v="YES"/>
    <s v="TBD"/>
    <s v="LOOKUP"/>
    <x v="2"/>
    <n v="1"/>
    <n v="2024"/>
    <n v="2034"/>
    <n v="2034.0833333333333"/>
    <n v="6.2937500000000002"/>
    <n v="75.525000000000006"/>
    <n v="75.525000000000006"/>
    <n v="18.881250000000023"/>
    <n v="94.406250000000028"/>
    <n v="660.84375"/>
    <s v="No"/>
  </r>
  <r>
    <n v="2111"/>
    <n v="405103"/>
    <n v="319563"/>
    <s v="Capitalized"/>
    <s v="Truck Licensing"/>
    <m/>
    <m/>
    <n v="1"/>
    <s v="3BPDLK0X4RF116267"/>
    <n v="0"/>
    <m/>
    <m/>
    <s v="TRUCKS AND TRAILERS"/>
    <s v="TBA"/>
    <m/>
    <m/>
    <m/>
    <d v="2024-01-02T00:00:00"/>
    <d v="2024-01-02T00:00:00"/>
    <s v="2111-23-0021-1"/>
    <n v="1000"/>
    <n v="14040"/>
    <n v="1255.29"/>
    <n v="14046"/>
    <n v="83.68"/>
    <n v="1171.6099999999999"/>
    <n v="83.68"/>
    <n v="51260"/>
    <n v="10.46"/>
    <s v="P"/>
    <m/>
    <m/>
    <s v=" "/>
    <s v="STL"/>
    <s v="YES"/>
    <s v="TBD"/>
    <s v="LOOKUP"/>
    <x v="2"/>
    <n v="1"/>
    <n v="2024"/>
    <n v="2034"/>
    <n v="2034.0833333333333"/>
    <n v="10.460749999999999"/>
    <n v="125.529"/>
    <n v="125.529"/>
    <n v="31.382250000000113"/>
    <n v="156.91125000000011"/>
    <n v="1098.3787499999999"/>
    <s v="No"/>
  </r>
  <r>
    <n v="2111"/>
    <n v="405102"/>
    <n v="319562"/>
    <s v="Capitalized"/>
    <s v="Truck Licensing"/>
    <m/>
    <m/>
    <n v="1"/>
    <s v="3BPDLK0X0RF116265"/>
    <n v="0"/>
    <m/>
    <m/>
    <s v="TRUCKS AND TRAILERS"/>
    <s v="TBA"/>
    <m/>
    <m/>
    <m/>
    <d v="2024-01-02T00:00:00"/>
    <d v="2024-01-02T00:00:00"/>
    <s v="2111-23-0011-1"/>
    <n v="1000"/>
    <n v="14040"/>
    <n v="755.25"/>
    <n v="14046"/>
    <n v="50.32"/>
    <n v="704.93"/>
    <n v="50.32"/>
    <n v="51260"/>
    <n v="6.29"/>
    <s v="P"/>
    <m/>
    <m/>
    <s v=" "/>
    <s v="STL"/>
    <s v="YES"/>
    <s v="TBD"/>
    <s v="LOOKUP"/>
    <x v="2"/>
    <n v="1"/>
    <n v="2024"/>
    <n v="2034"/>
    <n v="2034.0833333333333"/>
    <n v="6.2937500000000002"/>
    <n v="75.525000000000006"/>
    <n v="75.525000000000006"/>
    <n v="18.881250000000023"/>
    <n v="94.406250000000028"/>
    <n v="660.84375"/>
    <s v="No"/>
  </r>
  <r>
    <n v="2111"/>
    <n v="404175"/>
    <n v="400146"/>
    <s v="Capitalized"/>
    <s v="Truck Lettering"/>
    <m/>
    <m/>
    <n v="1"/>
    <s v="3BPDLK0X2RF116266"/>
    <n v="0"/>
    <m/>
    <m/>
    <s v="TRUCKS AND TRAILERS"/>
    <s v="TBA"/>
    <m/>
    <m/>
    <m/>
    <d v="2024-01-02T00:00:00"/>
    <d v="2024-01-02T00:00:00"/>
    <s v="2111-23-0012-1"/>
    <n v="1000"/>
    <n v="14040"/>
    <n v="1304.68"/>
    <n v="14046"/>
    <n v="86.96"/>
    <n v="1217.72"/>
    <n v="86.96"/>
    <n v="51260"/>
    <n v="10.87"/>
    <s v="P"/>
    <m/>
    <m/>
    <s v=" "/>
    <s v="STL"/>
    <s v="YES"/>
    <s v="TBD"/>
    <s v="LOOKUP"/>
    <x v="2"/>
    <n v="1"/>
    <n v="2024"/>
    <n v="2034"/>
    <n v="2034.0833333333333"/>
    <n v="10.872333333333335"/>
    <n v="130.46800000000002"/>
    <n v="130.46800000000002"/>
    <n v="32.616999999999734"/>
    <n v="163.08499999999975"/>
    <n v="1141.5950000000003"/>
    <s v="No"/>
  </r>
  <r>
    <n v="2111"/>
    <n v="402948"/>
    <n v="319318"/>
    <s v="Capitalized"/>
    <s v="Installing Graphics #920"/>
    <m/>
    <m/>
    <n v="1"/>
    <n v="920"/>
    <n v="0"/>
    <m/>
    <m/>
    <s v="TRUCKS AND TRAILERS"/>
    <s v="TBA"/>
    <m/>
    <m/>
    <m/>
    <d v="2024-01-02T00:00:00"/>
    <d v="2023-12-07T00:00:00"/>
    <s v="2111-23-0027-1"/>
    <n v="1000"/>
    <n v="14040"/>
    <n v="1304.68"/>
    <n v="14046"/>
    <n v="86.96"/>
    <n v="1217.72"/>
    <n v="86.96"/>
    <n v="51260"/>
    <n v="10.87"/>
    <s v="P"/>
    <m/>
    <m/>
    <s v=" "/>
    <s v="STL"/>
    <s v="YES"/>
    <s v="TBD"/>
    <s v="LOOKUP"/>
    <x v="2"/>
    <n v="1"/>
    <n v="2024"/>
    <n v="2034"/>
    <n v="2034.0833333333333"/>
    <n v="10.872333333333335"/>
    <n v="130.46800000000002"/>
    <n v="130.46800000000002"/>
    <n v="32.616999999999734"/>
    <n v="163.08499999999975"/>
    <n v="1141.5950000000003"/>
    <s v="No"/>
  </r>
  <r>
    <n v="2111"/>
    <n v="402947"/>
    <n v="319563"/>
    <s v="Capitalized"/>
    <s v="DECALS 2024 ASL TRUCK"/>
    <m/>
    <m/>
    <n v="1"/>
    <s v="3BPDLK0X4RF116267"/>
    <n v="0"/>
    <m/>
    <m/>
    <s v="TRUCKS AND TRAILERS"/>
    <s v="TBA"/>
    <m/>
    <m/>
    <m/>
    <d v="2024-01-02T00:00:00"/>
    <d v="2023-12-14T00:00:00"/>
    <s v="2111-23-0021-1"/>
    <n v="1000"/>
    <n v="14040"/>
    <n v="1238.6300000000001"/>
    <n v="14046"/>
    <n v="82.56"/>
    <n v="1156.0700000000002"/>
    <n v="82.56"/>
    <n v="51260"/>
    <n v="10.32"/>
    <s v="P"/>
    <m/>
    <m/>
    <s v=" "/>
    <s v="STL"/>
    <s v="YES"/>
    <s v="TBD"/>
    <s v="LOOKUP"/>
    <x v="2"/>
    <n v="1"/>
    <n v="2024"/>
    <n v="2034"/>
    <n v="2034.0833333333333"/>
    <n v="10.321916666666668"/>
    <n v="123.86300000000003"/>
    <n v="123.86300000000003"/>
    <n v="30.965749999999844"/>
    <n v="154.82874999999987"/>
    <n v="1083.8012500000002"/>
    <s v="No"/>
  </r>
  <r>
    <n v="2111"/>
    <n v="402705"/>
    <n v="319317"/>
    <s v="Capitalized"/>
    <s v="Graphics to Cab of Tractor #453"/>
    <m/>
    <m/>
    <n v="1"/>
    <s v="1NPCX4EX6RD641402"/>
    <n v="0"/>
    <m/>
    <s v="N/A"/>
    <s v="TRUCKS AND TRAILERS"/>
    <s v="TBA"/>
    <m/>
    <m/>
    <m/>
    <d v="2024-01-02T00:00:00"/>
    <d v="1900-01-01T00:00:00"/>
    <s v="2111-23-0004-1"/>
    <n v="1000"/>
    <n v="14040"/>
    <n v="357.83"/>
    <n v="14046"/>
    <n v="23.84"/>
    <n v="333.99"/>
    <n v="23.84"/>
    <n v="51260"/>
    <n v="2.98"/>
    <s v="P"/>
    <m/>
    <m/>
    <s v=" "/>
    <s v="STL"/>
    <s v="YES"/>
    <s v="TBD"/>
    <s v="LOOKUP"/>
    <x v="2"/>
    <n v="1"/>
    <n v="2024"/>
    <n v="2034"/>
    <n v="2034.0833333333333"/>
    <n v="2.9819166666666668"/>
    <n v="35.783000000000001"/>
    <n v="35.783000000000001"/>
    <n v="8.9457499999999754"/>
    <n v="44.728749999999977"/>
    <n v="313.10124999999999"/>
    <s v="No"/>
  </r>
  <r>
    <n v="2111"/>
    <n v="402019"/>
    <s v="P"/>
    <s v="Capitalized"/>
    <s v="95 Gal Carts"/>
    <m/>
    <m/>
    <n v="702"/>
    <m/>
    <n v="0"/>
    <m/>
    <m/>
    <s v="CONTAINERS"/>
    <s v="CARTS PLASTIC"/>
    <m/>
    <s v="95 Gal"/>
    <s v="Carts/Toters"/>
    <d v="2024-01-22T00:00:00"/>
    <d v="2024-01-22T00:00:00"/>
    <s v="2111-24-0022-1"/>
    <n v="700"/>
    <n v="14050"/>
    <n v="42509.61"/>
    <n v="14056"/>
    <n v="3542.49"/>
    <n v="38967.120000000003"/>
    <n v="3542.49"/>
    <n v="54260"/>
    <n v="506.07"/>
    <s v="P"/>
    <m/>
    <m/>
    <s v=" "/>
    <s v="STL"/>
    <s v="YES"/>
    <s v="TBD"/>
    <s v="LOOKUP"/>
    <x v="0"/>
    <n v="1"/>
    <n v="2024"/>
    <n v="2031"/>
    <n v="2031.0833333333333"/>
    <n v="506.06678571428574"/>
    <n v="6072.8014285714289"/>
    <n v="6072.8014285714289"/>
    <n v="1518.2003571428577"/>
    <n v="7591.0017857142866"/>
    <n v="34918.608214285712"/>
    <s v="No"/>
  </r>
  <r>
    <n v="2111"/>
    <n v="402005"/>
    <n v="400531"/>
    <s v="Capitalized"/>
    <s v="New Walking Floor Trailer (UTC) - Licensing"/>
    <m/>
    <m/>
    <n v="1"/>
    <s v="1W91S5348RM288188"/>
    <n v="0"/>
    <m/>
    <s v="N/A"/>
    <s v="TRUCKS AND TRAILERS"/>
    <s v="WALKING FLOOR TRAILER"/>
    <s v="Walking Floor Trailer"/>
    <m/>
    <m/>
    <d v="2024-01-02T00:00:00"/>
    <d v="2024-01-02T00:00:00"/>
    <s v="2111-23-0026-1"/>
    <n v="700"/>
    <n v="14040"/>
    <n v="16360.28"/>
    <n v="14046"/>
    <n v="1558.16"/>
    <n v="14802.12"/>
    <n v="1558.16"/>
    <n v="51260"/>
    <n v="194.77"/>
    <s v="P"/>
    <m/>
    <m/>
    <s v=" "/>
    <s v="STL"/>
    <s v="YES"/>
    <s v="TBD"/>
    <s v="LOOKUP"/>
    <x v="2"/>
    <n v="1"/>
    <n v="2024"/>
    <n v="2031"/>
    <n v="2031.0833333333333"/>
    <n v="194.76523809523812"/>
    <n v="2337.1828571428573"/>
    <n v="2337.1828571428573"/>
    <n v="584.29571428571398"/>
    <n v="2921.4785714285713"/>
    <n v="13438.801428571429"/>
    <s v="No"/>
  </r>
  <r>
    <n v="2111"/>
    <n v="401986"/>
    <n v="400530"/>
    <s v="Capitalized"/>
    <s v="New Walking Floor Trailer (UTC) - Licensing"/>
    <m/>
    <m/>
    <n v="1"/>
    <s v="1W91S5346RM288187"/>
    <n v="0"/>
    <m/>
    <s v="N/A"/>
    <s v="TRUCKS AND TRAILERS"/>
    <s v="WALKING FLOOR TRAILER"/>
    <s v="Walking Floor Trailer"/>
    <m/>
    <m/>
    <d v="2024-01-02T00:00:00"/>
    <d v="2024-01-02T00:00:00"/>
    <s v="2111-23-0025-1"/>
    <n v="700"/>
    <n v="14040"/>
    <n v="16360.28"/>
    <n v="14046"/>
    <n v="1558.16"/>
    <n v="14802.12"/>
    <n v="1558.16"/>
    <n v="51260"/>
    <n v="194.77"/>
    <s v="P"/>
    <m/>
    <m/>
    <s v=" "/>
    <s v="STL"/>
    <s v="YES"/>
    <s v="TBD"/>
    <s v="LOOKUP"/>
    <x v="2"/>
    <n v="1"/>
    <n v="2024"/>
    <n v="2031"/>
    <n v="2031.0833333333333"/>
    <n v="194.76523809523812"/>
    <n v="2337.1828571428573"/>
    <n v="2337.1828571428573"/>
    <n v="584.29571428571398"/>
    <n v="2921.4785714285713"/>
    <n v="13438.801428571429"/>
    <s v="No"/>
  </r>
  <r>
    <n v="2111"/>
    <n v="401824"/>
    <s v="P"/>
    <s v="Capitalized"/>
    <s v="95 Gal Carts"/>
    <m/>
    <m/>
    <n v="702"/>
    <m/>
    <n v="0"/>
    <m/>
    <m/>
    <s v="CONTAINERS"/>
    <s v="CARTS PLASTIC"/>
    <m/>
    <s v="95 Gal"/>
    <s v="Carts/Toters"/>
    <d v="2024-01-22T00:00:00"/>
    <d v="2024-01-22T00:00:00"/>
    <s v="2111-24-0022-1"/>
    <n v="700"/>
    <n v="14050"/>
    <n v="42509.61"/>
    <n v="14056"/>
    <n v="3542.49"/>
    <n v="38967.120000000003"/>
    <n v="3542.49"/>
    <n v="54260"/>
    <n v="506.07"/>
    <s v="P"/>
    <m/>
    <m/>
    <s v=" "/>
    <s v="STL"/>
    <s v="YES"/>
    <s v="TBD"/>
    <s v="LOOKUP"/>
    <x v="0"/>
    <n v="1"/>
    <n v="2024"/>
    <n v="2031"/>
    <n v="2031.0833333333333"/>
    <n v="506.06678571428574"/>
    <n v="6072.8014285714289"/>
    <n v="6072.8014285714289"/>
    <n v="1518.2003571428577"/>
    <n v="7591.0017857142866"/>
    <n v="34918.608214285712"/>
    <s v="No"/>
  </r>
  <r>
    <n v="2111"/>
    <n v="401747"/>
    <s v="P"/>
    <s v="Capitalized"/>
    <s v="2024 Peterbilt ASL Truck - Body - Rollover 2111-23-0012"/>
    <m/>
    <m/>
    <n v="1"/>
    <s v="3BPDLK0X2RF116266"/>
    <n v="2024"/>
    <m/>
    <s v="Peterbilt"/>
    <s v="TRUCKS AND TRAILERS"/>
    <s v="AUTOMATED SIDE LOADER"/>
    <s v="Automated Side Loader"/>
    <m/>
    <m/>
    <d v="2024-01-11T00:00:00"/>
    <d v="1900-01-01T00:00:00"/>
    <s v="2111-24-0021-1"/>
    <n v="1000"/>
    <n v="14040"/>
    <n v="206303.82"/>
    <n v="14046"/>
    <n v="13753.6"/>
    <n v="192550.22"/>
    <n v="13753.6"/>
    <n v="51260"/>
    <n v="1719.2"/>
    <s v="P"/>
    <m/>
    <m/>
    <s v=" "/>
    <s v="STL"/>
    <s v="YES"/>
    <s v="TBD"/>
    <s v="LOOKUP"/>
    <x v="8"/>
    <n v="1"/>
    <n v="2024"/>
    <n v="2034"/>
    <n v="2034.0833333333333"/>
    <n v="1719.1985000000002"/>
    <n v="20630.382000000001"/>
    <n v="20630.382000000001"/>
    <n v="5157.5954999999958"/>
    <n v="25787.977499999997"/>
    <n v="180515.8425"/>
    <s v="No"/>
  </r>
  <r>
    <n v="2111"/>
    <n v="400956"/>
    <n v="319318"/>
    <s v="Capitalized"/>
    <s v="Licensing Truck 453"/>
    <m/>
    <m/>
    <n v="1"/>
    <m/>
    <n v="0"/>
    <s v="WA DOL LIC &amp; REG 31150"/>
    <m/>
    <s v="TRUCKS AND TRAILERS"/>
    <s v="FRONT LOADER"/>
    <s v="Uninsured"/>
    <m/>
    <m/>
    <d v="2024-01-02T00:00:00"/>
    <d v="2024-01-02T00:00:00"/>
    <s v="2111-23-0027-1"/>
    <n v="1000"/>
    <n v="14040"/>
    <n v="942.71"/>
    <n v="14046"/>
    <n v="62.88"/>
    <n v="879.83"/>
    <n v="62.88"/>
    <n v="51260"/>
    <n v="7.86"/>
    <s v="P"/>
    <m/>
    <m/>
    <s v=" "/>
    <s v="STL"/>
    <s v="YES"/>
    <s v="TBD"/>
    <s v="LOOKUP"/>
    <x v="2"/>
    <n v="1"/>
    <n v="2024"/>
    <n v="2034"/>
    <n v="2034.0833333333333"/>
    <n v="7.8559166666666664"/>
    <n v="94.271000000000001"/>
    <n v="94.271000000000001"/>
    <n v="23.567750000000046"/>
    <n v="117.83875000000005"/>
    <n v="824.87125000000003"/>
    <s v="No"/>
  </r>
  <r>
    <n v="2111"/>
    <n v="400955"/>
    <n v="319316"/>
    <s v="Capitalized"/>
    <s v="Lettering for Sideload 879"/>
    <m/>
    <m/>
    <n v="1"/>
    <m/>
    <n v="0"/>
    <s v="LARSEN SIGN CO"/>
    <m/>
    <s v="TRUCKS AND TRAILERS"/>
    <s v="AUTOMATED SIDE LOADER"/>
    <s v="Uninsured"/>
    <m/>
    <m/>
    <d v="2024-01-02T00:00:00"/>
    <d v="2024-01-02T00:00:00"/>
    <s v="2111-23-0023-1"/>
    <n v="1000"/>
    <n v="14040"/>
    <n v="1304.68"/>
    <n v="14046"/>
    <n v="86.96"/>
    <n v="1217.72"/>
    <n v="86.96"/>
    <n v="51260"/>
    <n v="10.87"/>
    <s v="P"/>
    <m/>
    <m/>
    <s v=" "/>
    <s v="STL"/>
    <s v="YES"/>
    <s v="TBD"/>
    <s v="LOOKUP"/>
    <x v="2"/>
    <n v="1"/>
    <n v="2024"/>
    <n v="2034"/>
    <n v="2034.0833333333333"/>
    <n v="10.872333333333335"/>
    <n v="130.46800000000002"/>
    <n v="130.46800000000002"/>
    <n v="32.616999999999734"/>
    <n v="163.08499999999975"/>
    <n v="1141.5950000000003"/>
    <s v="No"/>
  </r>
  <r>
    <n v="2111"/>
    <n v="400954"/>
    <n v="319316"/>
    <s v="Capitalized"/>
    <s v="Licensing Truck 879"/>
    <m/>
    <m/>
    <n v="1"/>
    <m/>
    <n v="0"/>
    <s v="WA DOL LIC &amp; REG 31150"/>
    <m/>
    <s v="TRUCKS AND TRAILERS"/>
    <s v="AUTOMATED SIDE LOADER"/>
    <s v="Uninsured"/>
    <m/>
    <m/>
    <d v="2024-01-02T00:00:00"/>
    <d v="2024-01-02T00:00:00"/>
    <s v="2111-23-0023-1"/>
    <n v="1000"/>
    <n v="14040"/>
    <n v="942.7"/>
    <n v="14046"/>
    <n v="62.88"/>
    <n v="879.82"/>
    <n v="62.88"/>
    <n v="51260"/>
    <n v="7.86"/>
    <s v="P"/>
    <m/>
    <m/>
    <s v=" "/>
    <s v="STL"/>
    <s v="YES"/>
    <s v="TBD"/>
    <s v="LOOKUP"/>
    <x v="2"/>
    <n v="1"/>
    <n v="2024"/>
    <n v="2034"/>
    <n v="2034.0833333333333"/>
    <n v="7.8558333333333339"/>
    <n v="94.27000000000001"/>
    <n v="94.27000000000001"/>
    <n v="23.567499999999995"/>
    <n v="117.83750000000001"/>
    <n v="824.86250000000007"/>
    <s v="No"/>
  </r>
  <r>
    <n v="2111"/>
    <n v="400953"/>
    <n v="319564"/>
    <s v="Capitalized"/>
    <s v="Lettering Sideload 881"/>
    <m/>
    <m/>
    <n v="1"/>
    <m/>
    <n v="0"/>
    <s v="LARSEN SIGN"/>
    <m/>
    <s v="TRUCKS AND TRAILERS"/>
    <s v="AUTOMATED SIDE LOADER"/>
    <s v="Uninsured"/>
    <m/>
    <m/>
    <d v="2024-01-02T00:00:00"/>
    <d v="2024-01-02T00:00:00"/>
    <s v="2111-23-0022-1"/>
    <n v="1000"/>
    <n v="14040"/>
    <n v="1304.69"/>
    <n v="14046"/>
    <n v="86.96"/>
    <n v="1217.73"/>
    <n v="86.96"/>
    <n v="51260"/>
    <n v="10.87"/>
    <s v="P"/>
    <m/>
    <m/>
    <s v=" "/>
    <s v="STL"/>
    <s v="YES"/>
    <s v="TBD"/>
    <s v="LOOKUP"/>
    <x v="2"/>
    <n v="1"/>
    <n v="2024"/>
    <n v="2034"/>
    <n v="2034.0833333333333"/>
    <n v="10.872416666666666"/>
    <n v="130.46899999999999"/>
    <n v="130.46899999999999"/>
    <n v="32.617250000000013"/>
    <n v="163.08625000000001"/>
    <n v="1141.60375"/>
    <s v="No"/>
  </r>
  <r>
    <n v="2111"/>
    <n v="400952"/>
    <n v="319562"/>
    <s v="Capitalized"/>
    <s v="Lettering Applied"/>
    <m/>
    <m/>
    <n v="1"/>
    <m/>
    <n v="0"/>
    <s v="LARSEN SIGN"/>
    <m/>
    <s v="TRUCKS AND TRAILERS"/>
    <s v="AUTOMATED SIDE LOADER"/>
    <s v="Uninsured"/>
    <m/>
    <m/>
    <d v="2024-01-02T00:00:00"/>
    <d v="2024-01-02T00:00:00"/>
    <s v="2111-23-0011-1"/>
    <n v="1000"/>
    <n v="14040"/>
    <n v="1304.68"/>
    <n v="14046"/>
    <n v="86.96"/>
    <n v="1217.72"/>
    <n v="86.96"/>
    <n v="51260"/>
    <n v="10.87"/>
    <s v="P"/>
    <m/>
    <m/>
    <s v=" "/>
    <s v="STL"/>
    <s v="YES"/>
    <s v="TBD"/>
    <s v="LOOKUP"/>
    <x v="2"/>
    <n v="1"/>
    <n v="2024"/>
    <n v="2034"/>
    <n v="2034.0833333333333"/>
    <n v="10.872333333333335"/>
    <n v="130.46800000000002"/>
    <n v="130.46800000000002"/>
    <n v="32.616999999999734"/>
    <n v="163.08499999999975"/>
    <n v="1141.5950000000003"/>
    <s v="No"/>
  </r>
  <r>
    <n v="2111"/>
    <n v="400951"/>
    <n v="319317"/>
    <s v="Capitalized"/>
    <s v="Licensing Truck 920"/>
    <m/>
    <m/>
    <n v="1"/>
    <m/>
    <n v="0"/>
    <s v="WA DOL LIC &amp; REG 31150"/>
    <m/>
    <s v="TRUCKS AND TRAILERS"/>
    <s v="ROLL OFF"/>
    <s v="Uninsured"/>
    <m/>
    <m/>
    <d v="2024-01-02T00:00:00"/>
    <d v="2024-01-02T00:00:00"/>
    <s v="2111-23-0004-1"/>
    <n v="1000"/>
    <n v="14040"/>
    <n v="1148.71"/>
    <n v="14046"/>
    <n v="76.56"/>
    <n v="1072.1500000000001"/>
    <n v="76.56"/>
    <n v="51260"/>
    <n v="9.57"/>
    <s v="P"/>
    <m/>
    <m/>
    <s v=" "/>
    <s v="STL"/>
    <s v="YES"/>
    <s v="TBD"/>
    <s v="LOOKUP"/>
    <x v="2"/>
    <n v="1"/>
    <n v="2024"/>
    <n v="2034"/>
    <n v="2034.0833333333333"/>
    <n v="9.5725833333333341"/>
    <n v="114.87100000000001"/>
    <n v="114.87100000000001"/>
    <n v="28.717750000000024"/>
    <n v="143.58875000000003"/>
    <n v="1005.12125"/>
    <s v="No"/>
  </r>
  <r>
    <n v="2111"/>
    <n v="400531"/>
    <s v="P"/>
    <s v="Capitalized"/>
    <s v="2024 Wilkens Walking Floor Trailer"/>
    <m/>
    <m/>
    <n v="1"/>
    <s v="1W91S5348RM288188"/>
    <n v="2024"/>
    <s v="184 SOUTH COUNTY ROAD 22"/>
    <s v="Wilkens"/>
    <s v="TRUCKS AND TRAILERS"/>
    <s v="WALKING FLOOR TRAILER"/>
    <s v="Other Trailer"/>
    <m/>
    <m/>
    <d v="2024-01-02T00:00:00"/>
    <d v="2024-01-02T00:00:00"/>
    <s v="2111-23-0026-1"/>
    <n v="700"/>
    <n v="14040"/>
    <n v="197630.38"/>
    <n v="14046"/>
    <n v="18821.919999999998"/>
    <n v="178808.46000000002"/>
    <n v="18821.919999999998"/>
    <n v="51260"/>
    <n v="2352.7399999999998"/>
    <s v="P"/>
    <m/>
    <m/>
    <s v=" "/>
    <s v="STL"/>
    <s v="YES"/>
    <s v="TBD"/>
    <s v="LOOKUP"/>
    <x v="2"/>
    <n v="1"/>
    <n v="2024"/>
    <n v="2031"/>
    <n v="2031.0833333333333"/>
    <n v="2352.742619047619"/>
    <n v="28232.911428571428"/>
    <n v="28232.911428571428"/>
    <n v="7058.2278571428615"/>
    <n v="35291.139285714293"/>
    <n v="162339.2407142857"/>
    <s v="No"/>
  </r>
  <r>
    <n v="2111"/>
    <n v="400530"/>
    <s v="P"/>
    <s v="Capitalized"/>
    <s v="2024 Wilkens Walking Floor Trailer"/>
    <m/>
    <m/>
    <n v="1"/>
    <s v="1W91S5346RM288187"/>
    <n v="2024"/>
    <s v="184 SOUTH COUNTY ROAD 22"/>
    <s v="Wilkens"/>
    <s v="TRUCKS AND TRAILERS"/>
    <s v="WALKING FLOOR TRAILER"/>
    <s v="Other Trailer"/>
    <m/>
    <m/>
    <d v="2024-01-02T00:00:00"/>
    <d v="2024-01-02T00:00:00"/>
    <s v="2111-23-0025-1"/>
    <n v="700"/>
    <n v="14040"/>
    <n v="197630.38"/>
    <n v="14046"/>
    <n v="18821.919999999998"/>
    <n v="178808.46000000002"/>
    <n v="18821.919999999998"/>
    <n v="51260"/>
    <n v="2352.7399999999998"/>
    <s v="P"/>
    <m/>
    <m/>
    <s v=" "/>
    <s v="STL"/>
    <s v="YES"/>
    <s v="TBD"/>
    <s v="LOOKUP"/>
    <x v="9"/>
    <n v="1"/>
    <n v="2024"/>
    <n v="2031"/>
    <n v="2031.0833333333333"/>
    <n v="2352.742619047619"/>
    <n v="28232.911428571428"/>
    <n v="28232.911428571428"/>
    <n v="7058.2278571428615"/>
    <n v="35291.139285714293"/>
    <n v="162339.2407142857"/>
    <s v="No"/>
  </r>
  <r>
    <n v="2111"/>
    <n v="400529"/>
    <n v="302420"/>
    <s v="Capitalized"/>
    <s v="Capital Improvement - Install Wet Kit "/>
    <m/>
    <m/>
    <n v="1"/>
    <m/>
    <n v="0"/>
    <s v="PO BOX 13040"/>
    <m/>
    <s v="TRUCKS AND TRAILERS"/>
    <s v="TRANSFER TRACTOR"/>
    <s v="Uninsured"/>
    <m/>
    <m/>
    <d v="2024-01-02T00:00:00"/>
    <d v="2024-01-02T00:00:00"/>
    <s v="2111-23-0046-1"/>
    <n v="300"/>
    <n v="14040"/>
    <n v="16507.23"/>
    <n v="14046"/>
    <n v="3668.24"/>
    <n v="12838.99"/>
    <n v="3668.24"/>
    <n v="51260"/>
    <n v="458.53"/>
    <s v="P"/>
    <m/>
    <m/>
    <s v=" "/>
    <s v="STL"/>
    <s v="YES"/>
    <s v="TBD"/>
    <s v="LOOKUP"/>
    <x v="2"/>
    <n v="1"/>
    <n v="2024"/>
    <n v="2027"/>
    <n v="2027.0833333333333"/>
    <n v="458.53416666666664"/>
    <n v="5502.41"/>
    <n v="5502.41"/>
    <n v="1375.6025000000009"/>
    <n v="6878.0125000000007"/>
    <n v="9629.2174999999988"/>
    <s v="No"/>
  </r>
  <r>
    <n v="2111"/>
    <n v="400521"/>
    <n v="319317"/>
    <s v="Capitalized"/>
    <s v="2024 Peterbilt ROL Truck - Body"/>
    <m/>
    <m/>
    <n v="1"/>
    <s v="1NPCX4EX6RD641402"/>
    <n v="2024"/>
    <s v="PO BOX 13040"/>
    <s v="Peterbilt"/>
    <s v="TRUCKS AND TRAILERS"/>
    <s v="ROLL OFF"/>
    <s v="Roll Off"/>
    <m/>
    <m/>
    <d v="2024-01-02T00:00:00"/>
    <d v="2024-01-02T00:00:00"/>
    <s v="2111-23-0004-1"/>
    <n v="1000"/>
    <n v="14040"/>
    <n v="106334.58"/>
    <n v="14046"/>
    <n v="7088.96"/>
    <n v="99245.62"/>
    <n v="7088.96"/>
    <n v="51260"/>
    <n v="886.12"/>
    <s v="P"/>
    <m/>
    <m/>
    <s v=" "/>
    <s v="STL"/>
    <s v="YES"/>
    <s v="TBD"/>
    <s v="LOOKUP"/>
    <x v="2"/>
    <n v="1"/>
    <n v="2024"/>
    <n v="2034"/>
    <n v="2034.0833333333333"/>
    <n v="886.12150000000008"/>
    <n v="10633.458000000001"/>
    <n v="10633.458000000001"/>
    <n v="2658.364499999996"/>
    <n v="13291.822499999997"/>
    <n v="93042.757500000007"/>
    <s v="No"/>
  </r>
  <r>
    <n v="2111"/>
    <n v="400423"/>
    <s v="P"/>
    <s v="Capitalized"/>
    <s v="Leachate Collection Improvements - Sanitary Sewer Tie-In"/>
    <m/>
    <m/>
    <n v="1"/>
    <m/>
    <n v="0"/>
    <s v="6921 12TH ST E."/>
    <m/>
    <s v="LAND IMPROVEMENTS"/>
    <s v="OTHER"/>
    <m/>
    <m/>
    <m/>
    <d v="2024-01-02T00:00:00"/>
    <d v="2024-01-02T00:00:00"/>
    <s v="2111-23-0002-1"/>
    <n v="1000"/>
    <n v="14010"/>
    <n v="11560.5"/>
    <n v="14016"/>
    <n v="770.72"/>
    <n v="10789.78"/>
    <n v="770.72"/>
    <n v="57260"/>
    <n v="96.34"/>
    <s v="P"/>
    <m/>
    <m/>
    <s v=" "/>
    <s v="STL"/>
    <s v="YES"/>
    <s v="TBD"/>
    <s v="LOOKUP"/>
    <x v="10"/>
    <n v="1"/>
    <n v="2024"/>
    <n v="2034"/>
    <n v="2034.0833333333333"/>
    <n v="96.337499999999991"/>
    <n v="1156.05"/>
    <n v="1156.05"/>
    <n v="289.01250000000073"/>
    <n v="1445.0625000000007"/>
    <n v="10115.4375"/>
    <s v="No"/>
  </r>
  <r>
    <n v="2111"/>
    <n v="400287"/>
    <s v="P"/>
    <s v="Capitalized"/>
    <s v="2024 Peterbilt ASL Truck"/>
    <m/>
    <m/>
    <n v="1"/>
    <s v="3BPDLK0X9RF116264"/>
    <n v="2024"/>
    <m/>
    <m/>
    <s v="TRUCKS AND TRAILERS"/>
    <s v="TBA"/>
    <s v="Automated Side Loader"/>
    <m/>
    <m/>
    <d v="2024-03-27T00:00:00"/>
    <d v="2023-10-18T00:00:00"/>
    <s v="2111-23-0010-1"/>
    <n v="1000"/>
    <n v="14040"/>
    <n v="228482.86"/>
    <n v="14046"/>
    <n v="9520.1"/>
    <n v="218962.75999999998"/>
    <n v="9520.1"/>
    <n v="51260"/>
    <n v="1904.02"/>
    <s v="P"/>
    <m/>
    <m/>
    <s v=" "/>
    <s v="STL"/>
    <s v="YES"/>
    <s v="TBD"/>
    <s v="LOOKUP"/>
    <x v="2"/>
    <n v="3"/>
    <n v="2024"/>
    <n v="2034"/>
    <n v="2034.25"/>
    <n v="1904.0238333333334"/>
    <n v="22848.286"/>
    <n v="22848.286"/>
    <n v="1904.0238333315647"/>
    <n v="24752.309833331565"/>
    <n v="203730.55016666843"/>
    <s v="No"/>
  </r>
  <r>
    <n v="2111"/>
    <n v="400176"/>
    <s v="P"/>
    <s v="Capitalized"/>
    <s v="2024 Peterbilt ASL Truck-Chassis "/>
    <m/>
    <m/>
    <n v="1"/>
    <s v="3BPDLK0X8RF116269"/>
    <n v="0"/>
    <s v="PO BOX 24065"/>
    <m/>
    <s v="TRUCKS AND TRAILERS"/>
    <s v="AUTOMATED SIDE LOADER"/>
    <m/>
    <m/>
    <m/>
    <d v="2024-02-08T00:00:00"/>
    <d v="2023-07-12T00:00:00"/>
    <s v="2111-23-0024-1"/>
    <n v="1000"/>
    <n v="14040"/>
    <n v="434790.87"/>
    <n v="14046"/>
    <n v="25362.82"/>
    <n v="409428.05"/>
    <n v="25362.82"/>
    <n v="51260"/>
    <n v="3623.26"/>
    <s v="P"/>
    <m/>
    <m/>
    <s v=" "/>
    <s v="STL"/>
    <s v="YES"/>
    <s v="TBD"/>
    <s v="LOOKUP"/>
    <x v="2"/>
    <n v="2"/>
    <n v="2024"/>
    <n v="2034"/>
    <n v="2034.1666666666667"/>
    <n v="3623.2572500000001"/>
    <n v="43479.087"/>
    <n v="43479.087"/>
    <n v="7246.5144999934128"/>
    <n v="50725.601499993412"/>
    <n v="384065.26850000658"/>
    <s v="No"/>
  </r>
  <r>
    <n v="2111"/>
    <n v="400146"/>
    <s v="P"/>
    <s v="Capitalized"/>
    <s v="2024 Peterbilt ASL Truck"/>
    <m/>
    <m/>
    <n v="1"/>
    <s v="3BPDLK0X2RF116266"/>
    <n v="0"/>
    <s v="PO BOX 24065"/>
    <m/>
    <s v="TRUCKS AND TRAILERS"/>
    <s v="TBA"/>
    <m/>
    <m/>
    <m/>
    <d v="2024-01-11T00:00:00"/>
    <d v="2023-06-06T00:00:00"/>
    <s v="2111-23-0012-1"/>
    <n v="1000"/>
    <n v="14040"/>
    <n v="228483.05"/>
    <n v="14046"/>
    <n v="15232.24"/>
    <n v="213250.81"/>
    <n v="15232.24"/>
    <n v="51260"/>
    <n v="1904.03"/>
    <s v="P"/>
    <m/>
    <m/>
    <s v=" "/>
    <s v="STL"/>
    <s v="YES"/>
    <s v="TBD"/>
    <s v="LOOKUP"/>
    <x v="2"/>
    <n v="1"/>
    <n v="2024"/>
    <n v="2034"/>
    <n v="2034.0833333333333"/>
    <n v="1904.0254166666666"/>
    <n v="22848.305"/>
    <n v="22848.305"/>
    <n v="5712.0762499999837"/>
    <n v="28560.381249999984"/>
    <n v="199922.66875000001"/>
    <s v="No"/>
  </r>
  <r>
    <n v="2111"/>
    <n v="321449"/>
    <n v="315528"/>
    <s v="Capitalized"/>
    <s v="Onsite Install Vinyl"/>
    <m/>
    <m/>
    <n v="1"/>
    <m/>
    <n v="0"/>
    <s v="LARSEN SIGN CO"/>
    <m/>
    <s v="TRUCKS AND TRAILERS"/>
    <s v="TBA"/>
    <s v="Non-Rolling Stock"/>
    <m/>
    <m/>
    <d v="2023-09-29T00:00:00"/>
    <d v="2023-09-29T00:00:00"/>
    <s v="2111-23-0005-1"/>
    <n v="1000"/>
    <n v="14040"/>
    <n v="456.92"/>
    <n v="14046"/>
    <n v="41.9"/>
    <n v="415.02000000000004"/>
    <n v="30.48"/>
    <n v="51260"/>
    <n v="3.81"/>
    <s v="P"/>
    <m/>
    <m/>
    <s v=" "/>
    <s v="STL"/>
    <s v="YES"/>
    <s v="TBD"/>
    <d v="1899-12-30T00:00:00"/>
    <x v="2"/>
    <n v="9"/>
    <n v="2023"/>
    <n v="2033"/>
    <n v="2033.75"/>
    <n v="3.8076666666666665"/>
    <n v="45.692"/>
    <n v="45.692"/>
    <n v="26.653666666663241"/>
    <n v="72.345666666663249"/>
    <n v="384.57433333333677"/>
    <s v="No"/>
  </r>
  <r>
    <n v="2111"/>
    <n v="321002"/>
    <n v="320999"/>
    <s v="Capitalized"/>
    <s v="Vancouver_Dorr Excise Tax Refund"/>
    <m/>
    <m/>
    <n v="1"/>
    <m/>
    <n v="0"/>
    <m/>
    <m/>
    <s v="SHOP EQUIPMENT"/>
    <s v="TBA"/>
    <m/>
    <m/>
    <m/>
    <d v="2012-01-01T00:00:00"/>
    <d v="2012-01-01T00:00:00"/>
    <m/>
    <n v="500"/>
    <n v="14070"/>
    <n v="-381.2"/>
    <n v="14076"/>
    <n v="-381.2"/>
    <n v="0"/>
    <n v="0"/>
    <n v="51260"/>
    <n v="0"/>
    <s v="P"/>
    <m/>
    <m/>
    <s v=" "/>
    <s v="STL"/>
    <s v="YES"/>
    <s v="TBD"/>
    <d v="1899-12-30T00:00:00"/>
    <x v="2"/>
    <n v="1"/>
    <n v="2012"/>
    <n v="2017"/>
    <n v="2017.0833333333333"/>
    <n v="-6.3533333333333326"/>
    <n v="-76.239999999999995"/>
    <n v="0"/>
    <n v="-381.2"/>
    <n v="-381.2"/>
    <n v="0"/>
    <s v="No"/>
  </r>
  <r>
    <n v="2111"/>
    <n v="321001"/>
    <n v="320999"/>
    <s v="Capitalized"/>
    <s v="Department of Revenue audit assessment, district 2010, 2113, 2053"/>
    <m/>
    <m/>
    <n v="1"/>
    <m/>
    <n v="0"/>
    <s v="Department of Revenue"/>
    <m/>
    <s v="SHOP EQUIPMENT"/>
    <s v="TBA"/>
    <s v="Non-Rolling Stock"/>
    <m/>
    <m/>
    <d v="2012-01-01T00:00:00"/>
    <d v="2012-01-01T00:00:00"/>
    <s v="2010-11-0035-1"/>
    <n v="500"/>
    <n v="14070"/>
    <n v="1091.83"/>
    <n v="14076"/>
    <n v="1091.83"/>
    <n v="0"/>
    <n v="0"/>
    <n v="51260"/>
    <n v="0"/>
    <s v="P"/>
    <m/>
    <m/>
    <s v=" "/>
    <s v="STL"/>
    <s v="YES"/>
    <s v="TBD"/>
    <d v="1899-12-30T00:00:00"/>
    <x v="2"/>
    <n v="1"/>
    <n v="2012"/>
    <n v="2017"/>
    <n v="2017.0833333333333"/>
    <n v="18.197166666666664"/>
    <n v="218.36599999999999"/>
    <n v="0"/>
    <n v="1091.83"/>
    <n v="1091.83"/>
    <n v="0"/>
    <s v="No"/>
  </r>
  <r>
    <n v="2111"/>
    <n v="321000"/>
    <n v="320999"/>
    <s v="Capitalized"/>
    <s v="Signage for truck #613 PO 2009-9-0042"/>
    <m/>
    <m/>
    <n v="1"/>
    <m/>
    <n v="2010"/>
    <m/>
    <m/>
    <s v="TRUCKS AND TRAILERS"/>
    <s v="TBA"/>
    <s v="Non-Rolling Stock"/>
    <m/>
    <m/>
    <d v="2009-12-31T00:00:00"/>
    <d v="2009-12-31T00:00:00"/>
    <s v="2009-9-0042-1"/>
    <n v="1000"/>
    <n v="14040"/>
    <n v="727.56"/>
    <n v="14046"/>
    <n v="727.56"/>
    <n v="0"/>
    <n v="0"/>
    <n v="51260"/>
    <n v="0"/>
    <s v="P"/>
    <m/>
    <n v="613"/>
    <s v=" "/>
    <s v="STL"/>
    <s v="YES"/>
    <s v="TBD"/>
    <d v="1899-12-30T00:00:00"/>
    <x v="2"/>
    <n v="12"/>
    <n v="2009"/>
    <n v="2019"/>
    <n v="2020"/>
    <n v="6.0629999999999997"/>
    <n v="72.756"/>
    <n v="0"/>
    <n v="727.56"/>
    <n v="727.56"/>
    <n v="0"/>
    <s v="No"/>
  </r>
  <r>
    <n v="2111"/>
    <n v="320999"/>
    <s v="P"/>
    <s v="Capitalized"/>
    <s v="2010 New 340 Peterbilt"/>
    <m/>
    <m/>
    <n v="1"/>
    <s v="2NPRHN8X5AM107590"/>
    <n v="2010"/>
    <s v="Peterbilt 340"/>
    <s v="McNeilus"/>
    <s v="TRUCKS AND TRAILERS"/>
    <s v="TBA"/>
    <s v="Rear Loader"/>
    <m/>
    <m/>
    <d v="2009-12-31T00:00:00"/>
    <d v="2009-12-31T00:00:00"/>
    <s v="2009-9-0042-1"/>
    <n v="1000"/>
    <n v="14040"/>
    <n v="159025.43"/>
    <n v="14046"/>
    <n v="159025.43"/>
    <n v="0"/>
    <n v="0"/>
    <n v="51260"/>
    <n v="0"/>
    <s v="P"/>
    <m/>
    <n v="613"/>
    <s v=" "/>
    <s v="STL"/>
    <s v="YES"/>
    <s v="TBD"/>
    <d v="1899-12-30T00:00:00"/>
    <x v="2"/>
    <n v="12"/>
    <n v="2009"/>
    <n v="2019"/>
    <n v="2020"/>
    <n v="1325.2119166666666"/>
    <n v="15902.543"/>
    <n v="0"/>
    <n v="159025.43"/>
    <n v="159025.43"/>
    <n v="0"/>
    <s v="No"/>
  </r>
  <r>
    <n v="2111"/>
    <n v="320784"/>
    <n v="305425"/>
    <s v="Capitalized"/>
    <s v="Install Vinyl"/>
    <m/>
    <m/>
    <n v="1"/>
    <m/>
    <n v="0"/>
    <s v="LARSEN SIGN CO"/>
    <m/>
    <s v="TRUCKS AND TRAILERS"/>
    <s v="TBA"/>
    <s v="Non-Rolling Stock"/>
    <m/>
    <m/>
    <d v="2023-05-19T00:00:00"/>
    <d v="2023-05-19T00:00:00"/>
    <s v="2111-23-0017-1"/>
    <n v="1000"/>
    <n v="14040"/>
    <n v="930.35"/>
    <n v="14046"/>
    <n v="116.27"/>
    <n v="814.08"/>
    <n v="62"/>
    <n v="51260"/>
    <n v="7.75"/>
    <s v="P"/>
    <m/>
    <m/>
    <s v=" "/>
    <s v="STL"/>
    <s v="YES"/>
    <s v="TBD"/>
    <d v="1899-12-30T00:00:00"/>
    <x v="2"/>
    <n v="5"/>
    <n v="2023"/>
    <n v="2033"/>
    <n v="2033.4166666666667"/>
    <n v="7.7529166666666667"/>
    <n v="93.034999999999997"/>
    <n v="93.034999999999997"/>
    <n v="85.282083333319292"/>
    <n v="178.31708333331929"/>
    <n v="752.03291666668076"/>
    <s v="No"/>
  </r>
  <r>
    <n v="2111"/>
    <n v="320783"/>
    <n v="315529"/>
    <s v="Capitalized"/>
    <s v="Vinyl Install"/>
    <m/>
    <m/>
    <n v="1"/>
    <m/>
    <n v="0"/>
    <s v="LARSEN SIGN CO"/>
    <m/>
    <s v="TRUCKS AND TRAILERS"/>
    <s v="TBA"/>
    <s v="Non-Rolling Stock"/>
    <m/>
    <m/>
    <d v="2023-10-06T00:00:00"/>
    <d v="2023-10-06T00:00:00"/>
    <s v="2111-23-0008-1"/>
    <n v="1000"/>
    <n v="14040"/>
    <n v="1299.18"/>
    <n v="14046"/>
    <n v="119.12"/>
    <n v="1180.06"/>
    <n v="86.64"/>
    <n v="51260"/>
    <n v="10.83"/>
    <s v="P"/>
    <m/>
    <m/>
    <s v=" "/>
    <s v="STL"/>
    <s v="YES"/>
    <s v="TBD"/>
    <d v="1899-12-30T00:00:00"/>
    <x v="2"/>
    <n v="10"/>
    <n v="2023"/>
    <n v="2033"/>
    <n v="2033.8333333333333"/>
    <n v="10.826500000000001"/>
    <n v="129.91800000000001"/>
    <n v="129.91800000000001"/>
    <n v="64.958999999999833"/>
    <n v="194.87699999999984"/>
    <n v="1104.3030000000003"/>
    <s v="No"/>
  </r>
  <r>
    <n v="2111"/>
    <n v="320540"/>
    <n v="319564"/>
    <s v="Capitalized"/>
    <s v="2024 Peterbilt ASL Truck - Body"/>
    <m/>
    <m/>
    <n v="1"/>
    <s v="3BPDLK0X4RF116270"/>
    <n v="0"/>
    <s v="PO BOX 13040"/>
    <m/>
    <s v="TRUCKS AND TRAILERS"/>
    <s v="TBA"/>
    <s v="Non-Rolling Stock"/>
    <m/>
    <m/>
    <d v="2023-12-21T00:00:00"/>
    <d v="2023-12-21T00:00:00"/>
    <s v="2111-23-0022-1"/>
    <n v="1000"/>
    <n v="14040"/>
    <n v="206303.82"/>
    <n v="14046"/>
    <n v="13753.6"/>
    <n v="192550.22"/>
    <n v="13753.6"/>
    <n v="51260"/>
    <n v="1719.2"/>
    <s v="P"/>
    <m/>
    <m/>
    <s v=" "/>
    <s v="STL"/>
    <s v="YES"/>
    <s v="TBD"/>
    <d v="1899-12-30T00:00:00"/>
    <x v="2"/>
    <n v="12"/>
    <n v="2023"/>
    <n v="2033"/>
    <n v="2034"/>
    <n v="1719.1985000000002"/>
    <n v="20630.382000000001"/>
    <n v="20630.382000000001"/>
    <n v="6876.7939999984228"/>
    <n v="27507.175999998424"/>
    <n v="178796.64400000157"/>
    <s v="No"/>
  </r>
  <r>
    <n v="2111"/>
    <n v="320537"/>
    <n v="319562"/>
    <s v="Capitalized"/>
    <s v="2024 Peterbilt ASL Truck - Body"/>
    <m/>
    <m/>
    <n v="1"/>
    <s v="3BPDLK0X0RF116265"/>
    <n v="0"/>
    <s v="PO BOX 13040"/>
    <m/>
    <s v="TRUCKS AND TRAILERS"/>
    <s v="TBA"/>
    <s v="Non-Rolling Stock"/>
    <m/>
    <m/>
    <d v="2023-12-21T00:00:00"/>
    <d v="2023-12-21T00:00:00"/>
    <s v="2111-23-0011-1"/>
    <n v="1000"/>
    <n v="14040"/>
    <n v="206303.82"/>
    <n v="14046"/>
    <n v="13753.6"/>
    <n v="192550.22"/>
    <n v="13753.6"/>
    <n v="51260"/>
    <n v="1719.2"/>
    <s v="P"/>
    <m/>
    <m/>
    <s v=" "/>
    <s v="STL"/>
    <s v="YES"/>
    <s v="TBD"/>
    <d v="1899-12-30T00:00:00"/>
    <x v="2"/>
    <n v="12"/>
    <n v="2023"/>
    <n v="2033"/>
    <n v="2034"/>
    <n v="1719.1985000000002"/>
    <n v="20630.382000000001"/>
    <n v="20630.382000000001"/>
    <n v="6876.7939999984228"/>
    <n v="27507.175999998424"/>
    <n v="178796.64400000157"/>
    <s v="No"/>
  </r>
  <r>
    <n v="2111"/>
    <n v="320067"/>
    <n v="319318"/>
    <s v="Capitalized"/>
    <s v="2024 Peterbilt FEL Truck-Body"/>
    <m/>
    <m/>
    <n v="1"/>
    <s v="3BPDLK0X3RF116275"/>
    <n v="2024"/>
    <s v="PO BOX 13040"/>
    <m/>
    <s v="TRUCKS AND TRAILERS"/>
    <s v="TBA"/>
    <s v="Non-Rolling Stock"/>
    <m/>
    <m/>
    <d v="2023-12-07T00:00:00"/>
    <d v="2023-12-07T00:00:00"/>
    <s v="2111-23-0027-1"/>
    <n v="1000"/>
    <n v="14040"/>
    <n v="187353.34"/>
    <n v="14046"/>
    <n v="14051.52"/>
    <n v="173301.82"/>
    <n v="12490.24"/>
    <n v="51260"/>
    <n v="1561.28"/>
    <s v="P"/>
    <m/>
    <m/>
    <s v=" "/>
    <s v="STL"/>
    <s v="YES"/>
    <s v="TBD"/>
    <d v="1899-12-30T00:00:00"/>
    <x v="2"/>
    <n v="12"/>
    <n v="2023"/>
    <n v="2033"/>
    <n v="2034"/>
    <n v="1561.2778333333333"/>
    <n v="18735.333999999999"/>
    <n v="18735.333999999999"/>
    <n v="6245.1113333319081"/>
    <n v="24980.445333331907"/>
    <n v="162372.89466666809"/>
    <s v="No"/>
  </r>
  <r>
    <n v="2111"/>
    <n v="320066"/>
    <n v="319316"/>
    <s v="Capitalized"/>
    <s v="2024 Peterbilt ASL Truck-Body"/>
    <m/>
    <m/>
    <n v="1"/>
    <s v="3BPDLK0X6RF116268"/>
    <n v="2024"/>
    <s v="PO BOX 13040"/>
    <m/>
    <s v="TRUCKS AND TRAILERS"/>
    <s v="TBA"/>
    <s v="Non-Rolling Stock"/>
    <m/>
    <m/>
    <d v="2023-12-07T00:00:00"/>
    <d v="2023-12-07T00:00:00"/>
    <s v="2111-23-0023-1"/>
    <n v="1000"/>
    <n v="14040"/>
    <n v="206303.82"/>
    <n v="14046"/>
    <n v="15472.8"/>
    <n v="190831.02000000002"/>
    <n v="13753.6"/>
    <n v="51260"/>
    <n v="1719.2"/>
    <s v="P"/>
    <m/>
    <m/>
    <s v=" "/>
    <s v="STL"/>
    <s v="YES"/>
    <s v="TBD"/>
    <d v="1899-12-30T00:00:00"/>
    <x v="2"/>
    <n v="12"/>
    <n v="2023"/>
    <n v="2033"/>
    <n v="2034"/>
    <n v="1719.1985000000002"/>
    <n v="20630.382000000001"/>
    <n v="20630.382000000001"/>
    <n v="6876.7939999984228"/>
    <n v="27507.175999998424"/>
    <n v="178796.64400000157"/>
    <s v="No"/>
  </r>
  <r>
    <n v="2111"/>
    <n v="320065"/>
    <n v="319563"/>
    <s v="Capitalized"/>
    <s v="2024 Peterbilt ASL Truck-Body"/>
    <m/>
    <m/>
    <n v="1"/>
    <s v="3BPDLK0X4RF116267"/>
    <n v="2024"/>
    <s v="PO BOX 13040"/>
    <m/>
    <s v="TRUCKS AND TRAILERS"/>
    <s v="TBA"/>
    <s v="Non-Rolling Stock"/>
    <m/>
    <m/>
    <d v="2023-12-14T00:00:00"/>
    <d v="2023-12-14T00:00:00"/>
    <s v="2111-23-0021-1"/>
    <n v="1000"/>
    <n v="14040"/>
    <n v="206303.82"/>
    <n v="14046"/>
    <n v="15472.8"/>
    <n v="190831.02000000002"/>
    <n v="13753.6"/>
    <n v="51260"/>
    <n v="1719.2"/>
    <s v="P"/>
    <m/>
    <m/>
    <s v=" "/>
    <s v="STL"/>
    <s v="YES"/>
    <s v="TBD"/>
    <d v="1899-12-30T00:00:00"/>
    <x v="2"/>
    <n v="12"/>
    <n v="2023"/>
    <n v="2033"/>
    <n v="2034"/>
    <n v="1719.1985000000002"/>
    <n v="20630.382000000001"/>
    <n v="20630.382000000001"/>
    <n v="6876.7939999984228"/>
    <n v="27507.175999998424"/>
    <n v="178796.64400000157"/>
    <s v="No"/>
  </r>
  <r>
    <n v="2111"/>
    <n v="319564"/>
    <s v="P"/>
    <s v="Capitalized"/>
    <s v="2024 Peterbilt ASL Truck"/>
    <m/>
    <m/>
    <n v="1"/>
    <s v="3BPDLK0X4RF116270"/>
    <n v="2024"/>
    <m/>
    <m/>
    <s v="TRUCKS AND TRAILERS"/>
    <s v="TBA"/>
    <s v="Automated Side Loader"/>
    <m/>
    <m/>
    <d v="2023-12-21T00:00:00"/>
    <d v="2023-12-21T00:00:00"/>
    <s v="2111-23-0022-1"/>
    <n v="1000"/>
    <n v="14040"/>
    <n v="228483.05"/>
    <n v="14046"/>
    <n v="15232.24"/>
    <n v="213250.81"/>
    <n v="15232.24"/>
    <n v="51260"/>
    <n v="1904.03"/>
    <s v="P"/>
    <m/>
    <m/>
    <s v=" "/>
    <s v="STL"/>
    <s v="YES"/>
    <s v="TBD"/>
    <d v="1899-12-30T00:00:00"/>
    <x v="2"/>
    <n v="12"/>
    <n v="2023"/>
    <n v="2033"/>
    <n v="2034"/>
    <n v="1904.0254166666666"/>
    <n v="22848.305"/>
    <n v="22848.305"/>
    <n v="7616.1016666649375"/>
    <n v="30464.406666664938"/>
    <n v="198018.64333333506"/>
    <s v="No"/>
  </r>
  <r>
    <n v="2111"/>
    <n v="319563"/>
    <s v="P"/>
    <s v="Capitalized"/>
    <s v="2024 Peterbilt ASL Truck"/>
    <m/>
    <m/>
    <n v="1"/>
    <s v="3BPDLK0X4RF116267"/>
    <n v="2024"/>
    <m/>
    <m/>
    <s v="TRUCKS AND TRAILERS"/>
    <s v="TBA"/>
    <s v="Automated Side Loader"/>
    <m/>
    <m/>
    <d v="2023-12-14T00:00:00"/>
    <d v="2023-12-14T00:00:00"/>
    <s v="2111-23-0021-1"/>
    <n v="1000"/>
    <n v="14040"/>
    <n v="227582.96"/>
    <n v="14046"/>
    <n v="17068.689999999999"/>
    <n v="210514.27"/>
    <n v="15172.16"/>
    <n v="51260"/>
    <n v="1896.52"/>
    <s v="P"/>
    <m/>
    <m/>
    <s v=" "/>
    <s v="STL"/>
    <s v="YES"/>
    <s v="TBD"/>
    <d v="1899-12-30T00:00:00"/>
    <x v="2"/>
    <n v="12"/>
    <n v="2023"/>
    <n v="2033"/>
    <n v="2034"/>
    <n v="1896.5246666666665"/>
    <n v="22758.295999999998"/>
    <n v="22758.295999999998"/>
    <n v="7586.0986666649696"/>
    <n v="30344.394666664968"/>
    <n v="197238.56533333502"/>
    <s v="No"/>
  </r>
  <r>
    <n v="2111"/>
    <n v="319562"/>
    <s v="P"/>
    <s v="Capitalized"/>
    <s v="2024 Peterbilt ASL Truck"/>
    <m/>
    <m/>
    <n v="1"/>
    <s v="3BPDLK0X0RF116265"/>
    <n v="2024"/>
    <m/>
    <m/>
    <s v="TRUCKS AND TRAILERS"/>
    <s v="TBA"/>
    <s v="Automated Side Loader"/>
    <m/>
    <m/>
    <d v="2023-12-21T00:00:00"/>
    <d v="2023-12-21T00:00:00"/>
    <s v="2111-23-0011-1"/>
    <n v="1000"/>
    <n v="14040"/>
    <n v="228483.05"/>
    <n v="14046"/>
    <n v="15232.24"/>
    <n v="213250.81"/>
    <n v="15232.24"/>
    <n v="51260"/>
    <n v="1904.03"/>
    <s v="P"/>
    <m/>
    <m/>
    <s v=" "/>
    <s v="STL"/>
    <s v="YES"/>
    <s v="TBD"/>
    <d v="1899-12-30T00:00:00"/>
    <x v="2"/>
    <n v="12"/>
    <n v="2023"/>
    <n v="2033"/>
    <n v="2034"/>
    <n v="1904.0254166666666"/>
    <n v="22848.305"/>
    <n v="22848.305"/>
    <n v="7616.1016666649375"/>
    <n v="30464.406666664938"/>
    <n v="198018.64333333506"/>
    <s v="No"/>
  </r>
  <r>
    <n v="2111"/>
    <n v="319454"/>
    <s v="P"/>
    <s v="Capitalized"/>
    <s v="20 Gal Carts"/>
    <m/>
    <m/>
    <n v="200"/>
    <m/>
    <n v="0"/>
    <s v="FILE 2524"/>
    <m/>
    <s v="CONTAINERS"/>
    <s v="TBA"/>
    <m/>
    <m/>
    <m/>
    <d v="2023-11-25T00:00:00"/>
    <d v="2023-11-25T00:00:00"/>
    <s v="2111-23-0044-1"/>
    <n v="700"/>
    <n v="14050"/>
    <n v="6884.17"/>
    <n v="14056"/>
    <n v="737.56"/>
    <n v="6146.6100000000006"/>
    <n v="655.6"/>
    <n v="54260"/>
    <n v="81.95"/>
    <s v="P"/>
    <m/>
    <m/>
    <s v=" "/>
    <s v="STL"/>
    <s v="YES"/>
    <s v="TBD"/>
    <d v="1899-12-30T00:00:00"/>
    <x v="0"/>
    <n v="11"/>
    <n v="2023"/>
    <n v="2030"/>
    <n v="2030.9166666666667"/>
    <n v="81.954404761904769"/>
    <n v="983.45285714285728"/>
    <n v="983.45285714285728"/>
    <n v="409.77202380937433"/>
    <n v="1393.2248809522316"/>
    <n v="5490.9451190477685"/>
    <s v="No"/>
  </r>
  <r>
    <n v="2111"/>
    <n v="319318"/>
    <s v="P"/>
    <s v="Capitalized"/>
    <s v="2024 Peterbilt FEL Truck"/>
    <m/>
    <m/>
    <n v="1"/>
    <s v="3BPDLK0X3RF116275"/>
    <n v="2024"/>
    <m/>
    <m/>
    <s v="TRUCKS AND TRAILERS"/>
    <s v="TBA"/>
    <s v="Front Loader"/>
    <m/>
    <m/>
    <d v="2023-12-07T00:00:00"/>
    <d v="2023-12-07T00:00:00"/>
    <s v="2111-23-0027-1"/>
    <n v="1000"/>
    <n v="14040"/>
    <n v="224947.36"/>
    <n v="14046"/>
    <n v="16871.04"/>
    <n v="208076.31999999998"/>
    <n v="14996.48"/>
    <n v="51260"/>
    <n v="1874.56"/>
    <s v="P"/>
    <m/>
    <m/>
    <s v=" "/>
    <s v="STL"/>
    <s v="YES"/>
    <s v="TBD"/>
    <d v="1899-12-30T00:00:00"/>
    <x v="2"/>
    <n v="12"/>
    <n v="2023"/>
    <n v="2033"/>
    <n v="2034"/>
    <n v="1874.5613333333331"/>
    <n v="22494.735999999997"/>
    <n v="22494.735999999997"/>
    <n v="7498.2453333316371"/>
    <n v="29992.981333331634"/>
    <n v="194954.37866666834"/>
    <s v="No"/>
  </r>
  <r>
    <n v="2111"/>
    <n v="319317"/>
    <s v="P"/>
    <s v="Capitalized"/>
    <s v="2024 Peterbilt ROL Truck"/>
    <m/>
    <m/>
    <n v="1"/>
    <s v="1NPCX4EX6RD641402"/>
    <n v="2024"/>
    <m/>
    <m/>
    <s v="TRUCKS AND TRAILERS"/>
    <s v="TBA"/>
    <s v="Roll Off"/>
    <m/>
    <m/>
    <d v="2023-12-07T00:00:00"/>
    <d v="2023-12-07T00:00:00"/>
    <s v="2111-23-0004-1"/>
    <n v="1000"/>
    <n v="14040"/>
    <n v="237693.5"/>
    <n v="14046"/>
    <n v="17827.02"/>
    <n v="219866.48"/>
    <n v="15846.24"/>
    <n v="51260"/>
    <n v="1980.78"/>
    <s v="P"/>
    <m/>
    <m/>
    <s v=" "/>
    <s v="STL"/>
    <s v="YES"/>
    <s v="TBD"/>
    <d v="1899-12-30T00:00:00"/>
    <x v="2"/>
    <n v="12"/>
    <n v="2023"/>
    <n v="2033"/>
    <n v="2034"/>
    <n v="1980.7791666666665"/>
    <n v="23769.35"/>
    <n v="23769.35"/>
    <n v="7923.1166666648933"/>
    <n v="31692.466666664892"/>
    <n v="206001.0333333351"/>
    <s v="No"/>
  </r>
  <r>
    <n v="2111"/>
    <n v="319316"/>
    <s v="P"/>
    <s v="Capitalized"/>
    <s v="2024 Peterbilt ASL Truck"/>
    <m/>
    <m/>
    <n v="1"/>
    <s v="3BPDLK0X6RF116268"/>
    <n v="2024"/>
    <m/>
    <m/>
    <s v="TRUCKS AND TRAILERS"/>
    <s v="TBA"/>
    <s v="Automated Side Loader"/>
    <m/>
    <m/>
    <d v="2023-12-07T00:00:00"/>
    <d v="2023-12-07T00:00:00"/>
    <s v="2111-23-0023-1"/>
    <n v="1000"/>
    <n v="14040"/>
    <n v="227583.04"/>
    <n v="14046"/>
    <n v="17068.77"/>
    <n v="210514.27000000002"/>
    <n v="15172.24"/>
    <n v="51260"/>
    <n v="1896.53"/>
    <s v="P"/>
    <m/>
    <m/>
    <s v=" "/>
    <s v="STL"/>
    <s v="YES"/>
    <s v="TBD"/>
    <d v="1899-12-30T00:00:00"/>
    <x v="2"/>
    <n v="12"/>
    <n v="2023"/>
    <n v="2033"/>
    <n v="2034"/>
    <n v="1896.5253333333333"/>
    <n v="22758.304"/>
    <n v="22758.304"/>
    <n v="7586.1013333316369"/>
    <n v="30344.405333331637"/>
    <n v="197238.63466666837"/>
    <s v="No"/>
  </r>
  <r>
    <n v="2111"/>
    <n v="319301"/>
    <n v="309961"/>
    <s v="Capitalized"/>
    <s v="Leachate Collection Improvements-Stormwater Peak Flow Concerns by City of Tacoma"/>
    <m/>
    <m/>
    <n v="1"/>
    <m/>
    <n v="0"/>
    <m/>
    <m/>
    <s v="LAND IMPROVEMENTS"/>
    <s v="TBA"/>
    <m/>
    <m/>
    <m/>
    <d v="2023-10-23T00:00:00"/>
    <d v="2023-10-23T00:00:00"/>
    <s v="2111-23-0002-1"/>
    <n v="1000"/>
    <n v="14010"/>
    <n v="789.5"/>
    <n v="14016"/>
    <n v="65.8"/>
    <n v="723.7"/>
    <n v="52.64"/>
    <n v="57260"/>
    <n v="6.58"/>
    <s v="P"/>
    <m/>
    <m/>
    <s v=" "/>
    <s v="STL"/>
    <s v="YES"/>
    <s v="TBD"/>
    <d v="1899-12-30T00:00:00"/>
    <x v="11"/>
    <n v="10"/>
    <n v="2023"/>
    <n v="2033"/>
    <n v="2033.8333333333333"/>
    <n v="6.5791666666666666"/>
    <n v="78.95"/>
    <n v="78.95"/>
    <n v="39.475000000000023"/>
    <n v="118.42500000000003"/>
    <n v="671.07499999999993"/>
    <s v="No"/>
  </r>
  <r>
    <n v="2111"/>
    <n v="319167"/>
    <s v="P"/>
    <s v="Capitalized"/>
    <s v="65 Gal Carts"/>
    <m/>
    <m/>
    <n v="936"/>
    <m/>
    <n v="0"/>
    <s v="FILE 2524"/>
    <m/>
    <s v="CONTAINERS"/>
    <s v="TBA"/>
    <m/>
    <m/>
    <m/>
    <d v="2023-10-31T00:00:00"/>
    <d v="2023-10-31T00:00:00"/>
    <s v="2111-23-0043-1"/>
    <n v="700"/>
    <n v="14050"/>
    <n v="51042.45"/>
    <n v="14056"/>
    <n v="6076.5"/>
    <n v="44965.95"/>
    <n v="4861.2"/>
    <n v="54260"/>
    <n v="607.65"/>
    <s v="P"/>
    <m/>
    <m/>
    <s v=" "/>
    <s v="STL"/>
    <s v="YES"/>
    <s v="TBD"/>
    <d v="1899-12-30T00:00:00"/>
    <x v="0"/>
    <n v="10"/>
    <n v="2023"/>
    <n v="2030"/>
    <n v="2030.8333333333333"/>
    <n v="607.64821428571429"/>
    <n v="7291.778571428571"/>
    <n v="7291.778571428571"/>
    <n v="3645.8892857142855"/>
    <n v="10937.667857142857"/>
    <n v="40104.782142857141"/>
    <s v="No"/>
  </r>
  <r>
    <n v="2111"/>
    <n v="319166"/>
    <s v="P"/>
    <s v="Capitalized"/>
    <s v="95 Gal Carts"/>
    <m/>
    <m/>
    <n v="702"/>
    <m/>
    <n v="0"/>
    <s v="FILE 2524"/>
    <m/>
    <s v="CONTAINERS"/>
    <s v="TBA"/>
    <m/>
    <m/>
    <m/>
    <d v="2023-10-31T00:00:00"/>
    <d v="2023-10-31T00:00:00"/>
    <s v="2111-23-0043-1"/>
    <n v="700"/>
    <n v="14050"/>
    <n v="43367.54"/>
    <n v="14056"/>
    <n v="5162.8"/>
    <n v="38204.74"/>
    <n v="4130.24"/>
    <n v="54260"/>
    <n v="516.28"/>
    <s v="P"/>
    <m/>
    <m/>
    <s v=" "/>
    <s v="STL"/>
    <s v="YES"/>
    <s v="TBD"/>
    <d v="1899-12-30T00:00:00"/>
    <x v="0"/>
    <n v="10"/>
    <n v="2023"/>
    <n v="2030"/>
    <n v="2030.8333333333333"/>
    <n v="516.28023809523813"/>
    <n v="6195.362857142858"/>
    <n v="6195.362857142858"/>
    <n v="3097.6814285714281"/>
    <n v="9293.0442857142862"/>
    <n v="34074.495714285717"/>
    <s v="No"/>
  </r>
  <r>
    <n v="2111"/>
    <n v="319165"/>
    <s v="P"/>
    <s v="Capitalized"/>
    <s v="95 Gal Carts"/>
    <m/>
    <m/>
    <n v="702"/>
    <m/>
    <n v="0"/>
    <s v="FILE 2524"/>
    <m/>
    <s v="CONTAINERS"/>
    <s v="TBA"/>
    <m/>
    <m/>
    <m/>
    <d v="2023-10-31T00:00:00"/>
    <d v="2023-10-31T00:00:00"/>
    <s v="2111-23-0043-1"/>
    <n v="700"/>
    <n v="14050"/>
    <n v="43367.54"/>
    <n v="14056"/>
    <n v="5162.8"/>
    <n v="38204.74"/>
    <n v="4130.24"/>
    <n v="54260"/>
    <n v="516.28"/>
    <s v="P"/>
    <m/>
    <m/>
    <s v=" "/>
    <s v="STL"/>
    <s v="YES"/>
    <s v="TBD"/>
    <d v="1899-12-30T00:00:00"/>
    <x v="0"/>
    <n v="10"/>
    <n v="2023"/>
    <n v="2030"/>
    <n v="2030.8333333333333"/>
    <n v="516.28023809523813"/>
    <n v="6195.362857142858"/>
    <n v="6195.362857142858"/>
    <n v="3097.6814285714281"/>
    <n v="9293.0442857142862"/>
    <n v="34074.495714285717"/>
    <s v="No"/>
  </r>
  <r>
    <n v="2111"/>
    <n v="319156"/>
    <n v="319318"/>
    <s v="Capitalized"/>
    <s v="Radio Kit for Truck 920 sn C3611635"/>
    <m/>
    <m/>
    <n v="1"/>
    <m/>
    <n v="0"/>
    <s v="2875 R.W. JOHNSON BLVD"/>
    <m/>
    <s v="TRUCKS AND TRAILERS"/>
    <s v="TBA"/>
    <s v="Non-Rolling Stock"/>
    <m/>
    <m/>
    <d v="2023-10-19T00:00:00"/>
    <d v="2023-10-19T00:00:00"/>
    <s v="2111-23-0027-1"/>
    <n v="500"/>
    <n v="14040"/>
    <n v="900.01"/>
    <n v="14046"/>
    <n v="150"/>
    <n v="750.01"/>
    <n v="120"/>
    <n v="51260"/>
    <n v="15"/>
    <s v="P"/>
    <m/>
    <m/>
    <s v=" "/>
    <s v="STL"/>
    <s v="YES"/>
    <s v="TBD"/>
    <d v="1899-12-30T00:00:00"/>
    <x v="9"/>
    <n v="10"/>
    <n v="2023"/>
    <n v="2028"/>
    <n v="2028.8333333333333"/>
    <n v="15.000166666666667"/>
    <n v="180.00200000000001"/>
    <n v="180.00200000000001"/>
    <n v="90.000999999999976"/>
    <n v="270.00299999999999"/>
    <n v="630.00700000000006"/>
    <s v="No"/>
  </r>
  <r>
    <n v="2111"/>
    <n v="319153"/>
    <n v="319563"/>
    <s v="Capitalized"/>
    <s v="Radio Kit for Truck 879 sn C3513241"/>
    <m/>
    <m/>
    <n v="1"/>
    <m/>
    <n v="0"/>
    <s v="2875 R.W. JOHNSON BLVD"/>
    <m/>
    <s v="TRUCKS AND TRAILERS"/>
    <s v="TBA"/>
    <s v="Non-Rolling Stock"/>
    <m/>
    <m/>
    <d v="2023-10-19T00:00:00"/>
    <d v="2023-10-19T00:00:00"/>
    <s v="2111-23-0021-1"/>
    <n v="500"/>
    <n v="14040"/>
    <n v="900.01"/>
    <n v="14046"/>
    <n v="150"/>
    <n v="750.01"/>
    <n v="120"/>
    <n v="51260"/>
    <n v="15"/>
    <s v="P"/>
    <m/>
    <m/>
    <s v=" "/>
    <s v="STL"/>
    <s v="YES"/>
    <s v="TBD"/>
    <d v="1899-12-30T00:00:00"/>
    <x v="2"/>
    <n v="10"/>
    <n v="2023"/>
    <n v="2028"/>
    <n v="2028.8333333333333"/>
    <n v="15.000166666666667"/>
    <n v="180.00200000000001"/>
    <n v="180.00200000000001"/>
    <n v="90.000999999999976"/>
    <n v="270.00299999999999"/>
    <n v="630.00700000000006"/>
    <s v="No"/>
  </r>
  <r>
    <n v="2111"/>
    <n v="319152"/>
    <n v="319563"/>
    <s v="Capitalized"/>
    <s v="Radio Kit for Truck 878 sn C3610131"/>
    <m/>
    <m/>
    <n v="1"/>
    <m/>
    <n v="0"/>
    <s v="2875 R.W. JOHNSON BLVD"/>
    <m/>
    <s v="TRUCKS AND TRAILERS"/>
    <s v="TBA"/>
    <s v="Non-Rolling Stock"/>
    <m/>
    <m/>
    <d v="2023-10-19T00:00:00"/>
    <d v="2023-10-19T00:00:00"/>
    <s v="2111-23-0021-1"/>
    <n v="500"/>
    <n v="14040"/>
    <n v="900.01"/>
    <n v="14046"/>
    <n v="150"/>
    <n v="750.01"/>
    <n v="120"/>
    <n v="51260"/>
    <n v="15"/>
    <s v="P"/>
    <m/>
    <m/>
    <s v=" "/>
    <s v="STL"/>
    <s v="YES"/>
    <s v="TBD"/>
    <d v="1899-12-30T00:00:00"/>
    <x v="2"/>
    <n v="10"/>
    <n v="2023"/>
    <n v="2028"/>
    <n v="2028.8333333333333"/>
    <n v="15.000166666666667"/>
    <n v="180.00200000000001"/>
    <n v="180.00200000000001"/>
    <n v="90.000999999999976"/>
    <n v="270.00299999999999"/>
    <n v="630.00700000000006"/>
    <s v="No"/>
  </r>
  <r>
    <n v="2111"/>
    <n v="319149"/>
    <n v="315529"/>
    <s v="Capitalized"/>
    <s v="Radio Kit for Truck 919"/>
    <m/>
    <m/>
    <n v="1"/>
    <m/>
    <n v="0"/>
    <s v="2875 R.W. JOHNSON BLVD"/>
    <m/>
    <s v="TRUCKS AND TRAILERS"/>
    <s v="TBA"/>
    <s v="Non-Rolling Stock"/>
    <m/>
    <m/>
    <d v="2023-10-06T00:00:00"/>
    <d v="2023-10-06T00:00:00"/>
    <s v="2111-23-0008-1"/>
    <n v="500"/>
    <n v="14040"/>
    <n v="900.01"/>
    <n v="14046"/>
    <n v="165"/>
    <n v="735.01"/>
    <n v="120"/>
    <n v="51260"/>
    <n v="15"/>
    <s v="P"/>
    <m/>
    <m/>
    <s v=" "/>
    <s v="STL"/>
    <s v="YES"/>
    <s v="TBD"/>
    <d v="1899-12-30T00:00:00"/>
    <x v="2"/>
    <n v="10"/>
    <n v="2023"/>
    <n v="2028"/>
    <n v="2028.8333333333333"/>
    <n v="15.000166666666667"/>
    <n v="180.00200000000001"/>
    <n v="180.00200000000001"/>
    <n v="90.000999999999976"/>
    <n v="270.00299999999999"/>
    <n v="630.00700000000006"/>
    <s v="No"/>
  </r>
  <r>
    <n v="2111"/>
    <n v="319148"/>
    <n v="315528"/>
    <s v="Capitalized"/>
    <s v="Radio Kit for Truck 452 sn C3610134"/>
    <m/>
    <m/>
    <n v="1"/>
    <m/>
    <n v="0"/>
    <s v="2875 R.W. JOHNSON BLVD"/>
    <m/>
    <s v="TRUCKS AND TRAILERS"/>
    <s v="TBA"/>
    <s v="Non-Rolling Stock"/>
    <m/>
    <m/>
    <d v="2023-09-29T00:00:00"/>
    <d v="2023-09-29T00:00:00"/>
    <s v="2111-23-0005-1"/>
    <n v="500"/>
    <n v="14040"/>
    <n v="900.01"/>
    <n v="14046"/>
    <n v="165"/>
    <n v="735.01"/>
    <n v="120"/>
    <n v="51260"/>
    <n v="15"/>
    <s v="P"/>
    <m/>
    <m/>
    <s v=" "/>
    <s v="STL"/>
    <s v="YES"/>
    <s v="TBD"/>
    <d v="1899-12-30T00:00:00"/>
    <x v="2"/>
    <n v="9"/>
    <n v="2023"/>
    <n v="2028"/>
    <n v="2028.75"/>
    <n v="15.000166666666667"/>
    <n v="180.00200000000001"/>
    <n v="180.00200000000001"/>
    <n v="105.00116666665303"/>
    <n v="285.00316666665304"/>
    <n v="615.006833333347"/>
    <s v="No"/>
  </r>
  <r>
    <n v="2111"/>
    <n v="319147"/>
    <n v="319317"/>
    <s v="Capitalized"/>
    <s v="Radio Kit for Truck 453 sn C3513245"/>
    <m/>
    <m/>
    <n v="1"/>
    <m/>
    <n v="0"/>
    <s v="2875 R.W. JOHNSON BLVD"/>
    <m/>
    <s v="TRUCKS AND TRAILERS"/>
    <s v="TBA"/>
    <s v="Non-Rolling Stock"/>
    <m/>
    <m/>
    <d v="2023-10-19T00:00:00"/>
    <d v="2023-10-19T00:00:00"/>
    <s v="2111-23-0004-1"/>
    <n v="500"/>
    <n v="14040"/>
    <n v="900.01"/>
    <n v="14046"/>
    <n v="150"/>
    <n v="750.01"/>
    <n v="120"/>
    <n v="51260"/>
    <n v="15"/>
    <s v="P"/>
    <m/>
    <m/>
    <s v=" "/>
    <s v="STL"/>
    <s v="YES"/>
    <s v="TBD"/>
    <d v="1899-12-30T00:00:00"/>
    <x v="2"/>
    <n v="10"/>
    <n v="2023"/>
    <n v="2028"/>
    <n v="2028.8333333333333"/>
    <n v="15.000166666666667"/>
    <n v="180.00200000000001"/>
    <n v="180.00200000000001"/>
    <n v="90.000999999999976"/>
    <n v="270.00299999999999"/>
    <n v="630.00700000000006"/>
    <s v="No"/>
  </r>
  <r>
    <n v="2111"/>
    <n v="318872"/>
    <n v="305425"/>
    <s v="Capitalized"/>
    <s v="Install new kick arms and kick bar"/>
    <m/>
    <m/>
    <n v="1"/>
    <m/>
    <n v="0"/>
    <s v="PO BOX 13040"/>
    <m/>
    <s v="TRUCKS AND TRAILERS"/>
    <s v="TBA"/>
    <s v="Non-Rolling Stock"/>
    <m/>
    <m/>
    <d v="2023-05-19T00:00:00"/>
    <d v="2023-05-19T00:00:00"/>
    <s v="2111-23-0017-1"/>
    <n v="1000"/>
    <n v="14040"/>
    <n v="6411.1"/>
    <n v="14046"/>
    <n v="801.42"/>
    <n v="5609.68"/>
    <n v="427.44"/>
    <n v="51260"/>
    <n v="53.43"/>
    <s v="P"/>
    <m/>
    <m/>
    <s v=" "/>
    <s v="STL"/>
    <s v="YES"/>
    <s v="TBD"/>
    <d v="1899-12-30T00:00:00"/>
    <x v="9"/>
    <n v="5"/>
    <n v="2023"/>
    <n v="2033"/>
    <n v="2033.4166666666667"/>
    <n v="53.425833333333337"/>
    <n v="641.11"/>
    <n v="641.11"/>
    <n v="587.68416666656958"/>
    <n v="1228.7941666665697"/>
    <n v="5182.3058333334302"/>
    <s v="No"/>
  </r>
  <r>
    <n v="2111"/>
    <n v="317812"/>
    <n v="315529"/>
    <s v="Capitalized"/>
    <s v="Install Quick Release Power Dock"/>
    <m/>
    <m/>
    <n v="1"/>
    <m/>
    <n v="0"/>
    <s v="PROCLIP USA LLC"/>
    <m/>
    <s v="TRUCKS AND TRAILERS"/>
    <s v="TBA"/>
    <s v="Non-Rolling Stock"/>
    <m/>
    <m/>
    <d v="2023-10-06T00:00:00"/>
    <d v="2023-10-06T00:00:00"/>
    <s v="2111-23-0008-1"/>
    <n v="1000"/>
    <n v="14040"/>
    <n v="403.39"/>
    <n v="14046"/>
    <n v="36.97"/>
    <n v="366.41999999999996"/>
    <n v="26.88"/>
    <n v="51260"/>
    <n v="3.36"/>
    <s v="P"/>
    <m/>
    <m/>
    <s v=" "/>
    <s v="STL"/>
    <s v="YES"/>
    <s v="TBD"/>
    <d v="1899-12-30T00:00:00"/>
    <x v="2"/>
    <n v="10"/>
    <n v="2023"/>
    <n v="2033"/>
    <n v="2033.8333333333333"/>
    <n v="3.3615833333333334"/>
    <n v="40.338999999999999"/>
    <n v="40.338999999999999"/>
    <n v="20.169499999999971"/>
    <n v="60.50849999999997"/>
    <n v="342.88150000000002"/>
    <s v="No"/>
  </r>
  <r>
    <n v="2111"/>
    <n v="317811"/>
    <n v="315528"/>
    <s v="Capitalized"/>
    <s v="Roll Off-Install Quick release Power Dock"/>
    <m/>
    <m/>
    <n v="1"/>
    <m/>
    <n v="0"/>
    <s v="PROCLIP USA LLC"/>
    <m/>
    <s v="TRUCKS AND TRAILERS"/>
    <s v="TBA"/>
    <s v="Non-Rolling Stock"/>
    <m/>
    <m/>
    <d v="2023-09-29T00:00:00"/>
    <d v="2023-09-29T00:00:00"/>
    <s v="2111-23-0005-1"/>
    <n v="1000"/>
    <n v="14040"/>
    <n v="403.31"/>
    <n v="14046"/>
    <n v="36.96"/>
    <n v="366.35"/>
    <n v="26.88"/>
    <n v="51260"/>
    <n v="3.36"/>
    <s v="P"/>
    <m/>
    <m/>
    <s v=" "/>
    <s v="STL"/>
    <s v="YES"/>
    <s v="TBD"/>
    <d v="1899-12-30T00:00:00"/>
    <x v="2"/>
    <n v="9"/>
    <n v="2023"/>
    <n v="2033"/>
    <n v="2033.75"/>
    <n v="3.3609166666666668"/>
    <n v="40.331000000000003"/>
    <n v="40.331000000000003"/>
    <n v="23.526416666663579"/>
    <n v="63.857416666663582"/>
    <n v="339.45258333333641"/>
    <s v="No"/>
  </r>
  <r>
    <n v="2111"/>
    <n v="316475"/>
    <n v="309961"/>
    <s v="Capitalized"/>
    <s v="Leachate Collection Improvements"/>
    <m/>
    <m/>
    <n v="1"/>
    <m/>
    <n v="0"/>
    <s v="4412 SW CORBETT"/>
    <m/>
    <s v="LAND IMPROVEMENTS"/>
    <s v="TBA"/>
    <m/>
    <m/>
    <m/>
    <d v="2023-07-28T00:00:00"/>
    <d v="2023-07-28T00:00:00"/>
    <s v="2111-23-0002-1"/>
    <n v="1000"/>
    <n v="14010"/>
    <n v="4900.25"/>
    <n v="14016"/>
    <n v="530.9"/>
    <n v="4369.3500000000004"/>
    <n v="326.72000000000003"/>
    <n v="57260"/>
    <n v="40.840000000000003"/>
    <s v="P"/>
    <m/>
    <m/>
    <s v=" "/>
    <s v="STL"/>
    <s v="YES"/>
    <s v="TBD"/>
    <d v="1899-12-30T00:00:00"/>
    <x v="11"/>
    <n v="7"/>
    <n v="2023"/>
    <n v="2033"/>
    <n v="2033.5833333333333"/>
    <n v="40.835416666666667"/>
    <n v="490.02499999999998"/>
    <n v="490.02499999999998"/>
    <n v="367.51875000000018"/>
    <n v="857.54375000000016"/>
    <n v="4042.7062499999997"/>
    <s v="No"/>
  </r>
  <r>
    <n v="2111"/>
    <n v="316364"/>
    <s v="P"/>
    <s v="Capitalized"/>
    <s v="Chassis"/>
    <m/>
    <m/>
    <n v="1"/>
    <s v="1H9CC53416T347109"/>
    <n v="2006"/>
    <s v="Helm"/>
    <s v="Other"/>
    <s v="TRUCKS AND TRAILERS"/>
    <s v="TBA"/>
    <s v="Container Chassis"/>
    <m/>
    <m/>
    <d v="2006-12-08T00:00:00"/>
    <d v="2006-12-08T00:00:00"/>
    <s v="06-2113-027"/>
    <n v="700"/>
    <n v="14040"/>
    <n v="41353.599999999999"/>
    <n v="14046"/>
    <n v="41353.599999999999"/>
    <n v="0"/>
    <n v="0"/>
    <n v="51260"/>
    <n v="0"/>
    <s v="P"/>
    <m/>
    <s v="LEX45"/>
    <s v=" "/>
    <s v="STL"/>
    <s v="YES"/>
    <s v="TBD"/>
    <s v="LOOKUP"/>
    <x v="2"/>
    <n v="12"/>
    <n v="2006"/>
    <n v="2013"/>
    <n v="2014"/>
    <n v="492.30476190476185"/>
    <n v="5907.6571428571424"/>
    <n v="0"/>
    <n v="41353.599999999999"/>
    <n v="41353.599999999999"/>
    <n v="0"/>
    <s v="No"/>
  </r>
  <r>
    <n v="2111"/>
    <n v="316363"/>
    <s v="P"/>
    <s v="Capitalized"/>
    <s v="Chassis"/>
    <m/>
    <m/>
    <n v="1"/>
    <s v="1H9CC534X6T347108"/>
    <n v="2006"/>
    <s v="Helm"/>
    <s v="Other"/>
    <s v="TRUCKS AND TRAILERS"/>
    <s v="TBA"/>
    <s v="Container Chassis"/>
    <m/>
    <m/>
    <d v="2006-12-08T00:00:00"/>
    <d v="2006-12-08T00:00:00"/>
    <s v="06-2113-026"/>
    <n v="700"/>
    <n v="14040"/>
    <n v="41353.599999999999"/>
    <n v="14046"/>
    <n v="41353.599999999999"/>
    <n v="0"/>
    <n v="0"/>
    <n v="51260"/>
    <n v="0"/>
    <s v="P"/>
    <n v="0"/>
    <s v="LEX-44"/>
    <s v=" "/>
    <s v="STL"/>
    <s v="YES"/>
    <s v="TBD"/>
    <s v="LOOKUP"/>
    <x v="2"/>
    <n v="12"/>
    <n v="2006"/>
    <n v="2013"/>
    <n v="2014"/>
    <n v="492.30476190476185"/>
    <n v="5907.6571428571424"/>
    <n v="0"/>
    <n v="41353.599999999999"/>
    <n v="41353.599999999999"/>
    <n v="0"/>
    <s v="No"/>
  </r>
  <r>
    <n v="2111"/>
    <n v="316362"/>
    <s v="P"/>
    <s v="Capitalized"/>
    <s v="chassis"/>
    <m/>
    <m/>
    <n v="1"/>
    <s v="1H9CC53426T347104"/>
    <n v="2006"/>
    <s v="Helm"/>
    <s v="Other"/>
    <s v="TRUCKS AND TRAILERS"/>
    <s v="TBA"/>
    <s v="Container Chassis"/>
    <m/>
    <m/>
    <d v="2006-12-08T00:00:00"/>
    <d v="2006-12-08T00:00:00"/>
    <s v="06-2113-024"/>
    <n v="700"/>
    <n v="14040"/>
    <n v="41353.599999999999"/>
    <n v="14046"/>
    <n v="41353.599999999999"/>
    <n v="0"/>
    <n v="0"/>
    <n v="51260"/>
    <n v="0"/>
    <s v="P"/>
    <n v="0"/>
    <s v="LEX-42"/>
    <s v=" "/>
    <s v="STL"/>
    <s v="YES"/>
    <s v="TBD"/>
    <s v="LOOKUP"/>
    <x v="2"/>
    <n v="12"/>
    <n v="2006"/>
    <n v="2013"/>
    <n v="2014"/>
    <n v="492.30476190476185"/>
    <n v="5907.6571428571424"/>
    <n v="0"/>
    <n v="41353.599999999999"/>
    <n v="41353.599999999999"/>
    <n v="0"/>
    <s v="No"/>
  </r>
  <r>
    <n v="2111"/>
    <n v="316361"/>
    <s v="P"/>
    <s v="Capitalized"/>
    <s v="chassis"/>
    <m/>
    <m/>
    <n v="1"/>
    <s v="1H9CC53487T347111"/>
    <n v="2006"/>
    <s v="Helm"/>
    <s v="Other"/>
    <s v="TRUCKS AND TRAILERS"/>
    <s v="TBA"/>
    <s v="Container Chassis"/>
    <m/>
    <m/>
    <d v="2006-10-27T00:00:00"/>
    <d v="2006-10-27T00:00:00"/>
    <s v="06-2113-029"/>
    <n v="700"/>
    <n v="14040"/>
    <n v="41353.599999999999"/>
    <n v="14046"/>
    <n v="41353.599999999999"/>
    <n v="0"/>
    <n v="0"/>
    <n v="51260"/>
    <n v="0"/>
    <s v="P"/>
    <n v="0"/>
    <s v="LEX-46"/>
    <s v=" "/>
    <s v="STL"/>
    <s v="YES"/>
    <s v="TBD"/>
    <s v="LOOKUP"/>
    <x v="2"/>
    <n v="10"/>
    <n v="2006"/>
    <n v="2013"/>
    <n v="2013.8333333333333"/>
    <n v="492.30476190476185"/>
    <n v="5907.6571428571424"/>
    <n v="0"/>
    <n v="41353.599999999999"/>
    <n v="41353.599999999999"/>
    <n v="0"/>
    <s v="No"/>
  </r>
  <r>
    <n v="2111"/>
    <n v="316360"/>
    <s v="P"/>
    <s v="Capitalized"/>
    <s v="Brentwood chassis"/>
    <m/>
    <m/>
    <n v="1"/>
    <s v="2B9RSXBL03B304540"/>
    <n v="2003"/>
    <s v="Other"/>
    <s v="Other"/>
    <s v="HEAVY EQUIPMENT"/>
    <s v="TBA"/>
    <s v="Other Trailer"/>
    <m/>
    <m/>
    <d v="2004-11-01T00:00:00"/>
    <d v="2004-11-01T00:00:00"/>
    <m/>
    <n v="800"/>
    <n v="14030"/>
    <n v="20000"/>
    <n v="14036"/>
    <n v="20000"/>
    <n v="0"/>
    <n v="0"/>
    <n v="51260"/>
    <n v="0"/>
    <s v="A"/>
    <s v="NWCS"/>
    <s v="LEX-17"/>
    <s v=" "/>
    <s v="STL"/>
    <s v="YES"/>
    <s v="TBD"/>
    <d v="1899-12-30T00:00:00"/>
    <x v="2"/>
    <n v="11"/>
    <n v="2004"/>
    <n v="2012"/>
    <n v="2012.9166666666667"/>
    <n v="208.33333333333334"/>
    <n v="2500"/>
    <n v="0"/>
    <n v="20000"/>
    <n v="20000"/>
    <n v="0"/>
    <s v="No"/>
  </r>
  <r>
    <n v="2111"/>
    <n v="316069"/>
    <s v="P"/>
    <s v="Capitalized"/>
    <s v="2013 53 ft. Quad Axle Container Chassis"/>
    <m/>
    <m/>
    <n v="1"/>
    <s v="1H9CC53433T347152"/>
    <n v="2013"/>
    <s v="Helm"/>
    <s v="Helm"/>
    <s v="TRUCKS AND TRAILERS"/>
    <s v="TBA"/>
    <s v="Container Chassis"/>
    <m/>
    <m/>
    <d v="2013-08-20T00:00:00"/>
    <d v="2013-08-20T00:00:00"/>
    <s v="2111-13-0016-1"/>
    <n v="600"/>
    <n v="14040"/>
    <n v="39274.82"/>
    <n v="14046"/>
    <n v="39274.82"/>
    <n v="0"/>
    <n v="0"/>
    <n v="51260"/>
    <n v="0"/>
    <s v="P"/>
    <n v="0"/>
    <s v="LEX-20"/>
    <s v=" "/>
    <s v="STL"/>
    <s v="YES"/>
    <s v="TBD"/>
    <d v="1899-12-30T00:00:00"/>
    <x v="1"/>
    <n v="8"/>
    <n v="2013"/>
    <n v="2019"/>
    <n v="2019.6666666666667"/>
    <n v="545.48361111111114"/>
    <n v="6545.8033333333333"/>
    <n v="0"/>
    <n v="39274.82"/>
    <n v="39274.82"/>
    <n v="0"/>
    <s v="No"/>
  </r>
  <r>
    <n v="2111"/>
    <n v="315938"/>
    <s v="P"/>
    <s v="Capitalized"/>
    <s v="95g YW Carts"/>
    <m/>
    <m/>
    <n v="702"/>
    <m/>
    <n v="0"/>
    <s v="FILE 2524"/>
    <m/>
    <s v="CONTAINERS"/>
    <s v="TBA"/>
    <m/>
    <m/>
    <m/>
    <d v="2023-06-14T00:00:00"/>
    <d v="2023-06-14T00:00:00"/>
    <s v="2111-23-0040-1"/>
    <n v="700"/>
    <n v="14050"/>
    <n v="44741.26"/>
    <n v="14056"/>
    <n v="7989.48"/>
    <n v="36751.78"/>
    <n v="4261.04"/>
    <n v="54260"/>
    <n v="532.63"/>
    <s v="P"/>
    <m/>
    <m/>
    <s v=" "/>
    <s v="STL"/>
    <s v="YES"/>
    <s v="TBD"/>
    <d v="1899-12-30T00:00:00"/>
    <x v="0"/>
    <n v="6"/>
    <n v="2023"/>
    <n v="2030"/>
    <n v="2030.5"/>
    <n v="532.63404761904769"/>
    <n v="6391.6085714285728"/>
    <n v="6391.6085714285728"/>
    <n v="5326.3404761899874"/>
    <n v="11717.94904761856"/>
    <n v="33023.310952381442"/>
    <s v="No"/>
  </r>
  <r>
    <n v="2111"/>
    <n v="315937"/>
    <s v="P"/>
    <s v="Capitalized"/>
    <s v="95g Rec Carts"/>
    <m/>
    <m/>
    <n v="702"/>
    <m/>
    <n v="0"/>
    <s v="FILE 2524"/>
    <m/>
    <s v="CONTAINERS"/>
    <s v="TBA"/>
    <m/>
    <m/>
    <m/>
    <d v="2023-06-14T00:00:00"/>
    <d v="2023-06-14T00:00:00"/>
    <s v="2111-23-0040-1"/>
    <n v="700"/>
    <n v="14050"/>
    <n v="44741.27"/>
    <n v="14056"/>
    <n v="7989.48"/>
    <n v="36751.789999999994"/>
    <n v="4261.04"/>
    <n v="54260"/>
    <n v="532.63"/>
    <s v="P"/>
    <m/>
    <m/>
    <s v=" "/>
    <s v="STL"/>
    <s v="YES"/>
    <s v="TBD"/>
    <d v="1899-12-30T00:00:00"/>
    <x v="0"/>
    <n v="6"/>
    <n v="2023"/>
    <n v="2030"/>
    <n v="2030.5"/>
    <n v="532.6341666666666"/>
    <n v="6391.6099999999988"/>
    <n v="6391.6099999999988"/>
    <n v="5326.3416666661869"/>
    <n v="11717.951666666186"/>
    <n v="33023.318333333809"/>
    <s v="No"/>
  </r>
  <r>
    <n v="2111"/>
    <n v="315919"/>
    <n v="315529"/>
    <s v="Capitalized"/>
    <s v="2024 Peterbilt FEL Truck- Body"/>
    <m/>
    <m/>
    <n v="1"/>
    <s v="3BPDLK0X7RF116277"/>
    <n v="2024"/>
    <s v="PO BOX 13040"/>
    <m/>
    <s v="TRUCKS AND TRAILERS"/>
    <s v="TBA"/>
    <s v="Non-Rolling Stock"/>
    <m/>
    <m/>
    <d v="2023-10-06T00:00:00"/>
    <d v="2023-10-06T00:00:00"/>
    <s v="2111-23-0008-1"/>
    <n v="1000"/>
    <n v="14040"/>
    <n v="187199.07"/>
    <n v="14046"/>
    <n v="17159.89"/>
    <n v="170039.18"/>
    <n v="12479.92"/>
    <n v="51260"/>
    <n v="1559.99"/>
    <s v="P"/>
    <m/>
    <m/>
    <s v=" "/>
    <s v="STL"/>
    <s v="YES"/>
    <s v="TBD"/>
    <d v="1899-12-30T00:00:00"/>
    <x v="2"/>
    <n v="10"/>
    <n v="2023"/>
    <n v="2033"/>
    <n v="2033.8333333333333"/>
    <n v="1559.99225"/>
    <n v="18719.906999999999"/>
    <n v="18719.906999999999"/>
    <n v="9359.9535000000033"/>
    <n v="28079.860500000003"/>
    <n v="159119.2095"/>
    <s v="No"/>
  </r>
  <r>
    <n v="2111"/>
    <n v="315918"/>
    <n v="315528"/>
    <s v="Capitalized"/>
    <s v="2023 Peterbilt ROL Truck- Body"/>
    <m/>
    <m/>
    <n v="1"/>
    <s v="1NPCX4EX1PD867893"/>
    <n v="2023"/>
    <s v="PO BOX 13040"/>
    <m/>
    <s v="TRUCKS AND TRAILERS"/>
    <s v="TBA"/>
    <s v="Non-Rolling Stock"/>
    <m/>
    <m/>
    <d v="2023-09-29T00:00:00"/>
    <d v="2023-09-29T00:00:00"/>
    <s v="2111-23-0005-1"/>
    <n v="1000"/>
    <n v="14040"/>
    <n v="106334.58"/>
    <n v="14046"/>
    <n v="9747.33"/>
    <n v="96587.25"/>
    <n v="7088.96"/>
    <n v="51260"/>
    <n v="886.12"/>
    <s v="P"/>
    <m/>
    <m/>
    <s v=" "/>
    <s v="STL"/>
    <s v="YES"/>
    <s v="TBD"/>
    <d v="1899-12-30T00:00:00"/>
    <x v="2"/>
    <n v="9"/>
    <n v="2023"/>
    <n v="2033"/>
    <n v="2033.75"/>
    <n v="886.12150000000008"/>
    <n v="10633.458000000001"/>
    <n v="10633.458000000001"/>
    <n v="6202.8504999991856"/>
    <n v="16836.308499999184"/>
    <n v="89498.271500000817"/>
    <s v="No"/>
  </r>
  <r>
    <n v="2111"/>
    <n v="315584"/>
    <n v="309961"/>
    <s v="Capitalized"/>
    <s v="Leachate Collection Improvements"/>
    <m/>
    <m/>
    <n v="1"/>
    <m/>
    <n v="0"/>
    <s v="ATTN: ACCOUNTS PAYABLE"/>
    <m/>
    <s v="LAND IMPROVEMENTS"/>
    <s v="TBA"/>
    <m/>
    <m/>
    <m/>
    <d v="2023-07-28T00:00:00"/>
    <d v="2023-07-28T00:00:00"/>
    <s v="2111-23-0002-1"/>
    <n v="1000"/>
    <n v="14010"/>
    <n v="919.6"/>
    <n v="14016"/>
    <n v="99.6"/>
    <n v="820"/>
    <n v="61.28"/>
    <n v="57260"/>
    <n v="7.66"/>
    <s v="P"/>
    <m/>
    <m/>
    <s v=" "/>
    <s v="STL"/>
    <s v="YES"/>
    <s v="TBD"/>
    <d v="1899-12-30T00:00:00"/>
    <x v="11"/>
    <n v="7"/>
    <n v="2023"/>
    <n v="2033"/>
    <n v="2033.5833333333333"/>
    <n v="7.663333333333334"/>
    <n v="91.960000000000008"/>
    <n v="91.960000000000008"/>
    <n v="68.969999999999914"/>
    <n v="160.92999999999992"/>
    <n v="758.67000000000007"/>
    <s v="No"/>
  </r>
  <r>
    <n v="2111"/>
    <n v="315529"/>
    <s v="P"/>
    <s v="Capitalized"/>
    <s v="2024 Peterbilt FEL Truck"/>
    <m/>
    <m/>
    <n v="1"/>
    <s v="3BPDLK0X7RF116277"/>
    <n v="2024"/>
    <m/>
    <m/>
    <s v="TRUCKS AND TRAILERS"/>
    <s v="TBA"/>
    <s v="Front Loader"/>
    <m/>
    <m/>
    <d v="2023-10-02T00:00:00"/>
    <d v="2023-10-02T00:00:00"/>
    <s v="2111-23-0008-1"/>
    <n v="1000"/>
    <n v="14040"/>
    <n v="224135.07"/>
    <n v="14046"/>
    <n v="20545.7"/>
    <n v="203589.37"/>
    <n v="14942.32"/>
    <n v="51260"/>
    <n v="1867.79"/>
    <s v="P"/>
    <m/>
    <m/>
    <s v=" "/>
    <s v="STL"/>
    <s v="YES"/>
    <s v="TBD"/>
    <d v="1899-12-30T00:00:00"/>
    <x v="2"/>
    <n v="10"/>
    <n v="2023"/>
    <n v="2033"/>
    <n v="2033.8333333333333"/>
    <n v="1867.7922500000002"/>
    <n v="22413.507000000001"/>
    <n v="22413.507000000001"/>
    <n v="11206.753499999992"/>
    <n v="33620.260499999989"/>
    <n v="190514.80950000003"/>
    <s v="No"/>
  </r>
  <r>
    <n v="2111"/>
    <n v="315528"/>
    <s v="P"/>
    <s v="Capitalized"/>
    <s v="2023 Peterbilt ROL Truck"/>
    <m/>
    <m/>
    <n v="1"/>
    <s v="1NPCX4EX1PD867893"/>
    <n v="2023"/>
    <m/>
    <m/>
    <s v="TRUCKS AND TRAILERS"/>
    <s v="TBA"/>
    <s v="Roll Off"/>
    <m/>
    <m/>
    <d v="2023-09-29T00:00:00"/>
    <d v="2023-09-29T00:00:00"/>
    <s v="2111-23-0005-1"/>
    <n v="1000"/>
    <n v="14040"/>
    <n v="234095.54"/>
    <n v="14046"/>
    <n v="21458.79"/>
    <n v="212636.75"/>
    <n v="15606.4"/>
    <n v="51260"/>
    <n v="1950.8"/>
    <s v="P"/>
    <m/>
    <m/>
    <s v=" "/>
    <s v="STL"/>
    <s v="YES"/>
    <s v="TBD"/>
    <d v="1899-12-30T00:00:00"/>
    <x v="2"/>
    <n v="9"/>
    <n v="2023"/>
    <n v="2033"/>
    <n v="2033.75"/>
    <n v="1950.7961666666667"/>
    <n v="23409.554"/>
    <n v="23409.554"/>
    <n v="13655.573166664894"/>
    <n v="37065.127166664897"/>
    <n v="197030.41283333511"/>
    <s v="No"/>
  </r>
  <r>
    <n v="2111"/>
    <n v="314962"/>
    <n v="309969"/>
    <s v="Capitalized"/>
    <s v="2023 Peterbilt REL Truck -Custom cart tipper"/>
    <m/>
    <m/>
    <n v="1"/>
    <s v="3BPDLK0XXPF115380"/>
    <n v="2023"/>
    <s v="PO BOX 13040"/>
    <m/>
    <s v="TRUCKS AND TRAILERS"/>
    <s v="TBA"/>
    <s v="Non-Rolling Stock"/>
    <m/>
    <m/>
    <d v="2023-06-28T00:00:00"/>
    <d v="2023-06-28T00:00:00"/>
    <s v="2111-23-0018-1"/>
    <n v="1000"/>
    <n v="14040"/>
    <n v="11089.45"/>
    <n v="14046"/>
    <n v="1293.75"/>
    <n v="9795.7000000000007"/>
    <n v="739.28"/>
    <n v="51260"/>
    <n v="92.41"/>
    <s v="P"/>
    <m/>
    <m/>
    <s v=" "/>
    <s v="STL"/>
    <s v="YES"/>
    <s v="TBD"/>
    <d v="1899-12-30T00:00:00"/>
    <x v="2"/>
    <n v="6"/>
    <n v="2023"/>
    <n v="2033"/>
    <n v="2033.5"/>
    <n v="92.412083333333342"/>
    <n v="1108.9450000000002"/>
    <n v="1108.9450000000002"/>
    <n v="924.12083333324881"/>
    <n v="2033.065833333249"/>
    <n v="9056.3841666667522"/>
    <s v="No"/>
  </r>
  <r>
    <n v="2111"/>
    <n v="314541"/>
    <n v="309969"/>
    <s v="Capitalized"/>
    <s v="2023 Peterbilt REL Truck - Registration"/>
    <m/>
    <m/>
    <n v="1"/>
    <s v="3BPDLK0XXPF115380"/>
    <n v="0"/>
    <s v="DEPARTMENT OF LICENSING"/>
    <m/>
    <s v="TRUCKS AND TRAILERS"/>
    <s v="TBA"/>
    <s v="Non-Rolling Stock"/>
    <m/>
    <m/>
    <d v="2023-06-28T00:00:00"/>
    <d v="2023-06-28T00:00:00"/>
    <s v="2111-23-0018-1"/>
    <n v="1000"/>
    <n v="14040"/>
    <n v="477.66"/>
    <n v="14046"/>
    <n v="55.72"/>
    <n v="421.94000000000005"/>
    <n v="31.84"/>
    <n v="51260"/>
    <n v="3.98"/>
    <s v="P"/>
    <m/>
    <m/>
    <s v=" "/>
    <s v="STL"/>
    <s v="YES"/>
    <s v="TBD"/>
    <d v="1899-12-30T00:00:00"/>
    <x v="2"/>
    <n v="6"/>
    <n v="2023"/>
    <n v="2033"/>
    <n v="2033.5"/>
    <n v="3.9805000000000006"/>
    <n v="47.766000000000005"/>
    <n v="47.766000000000005"/>
    <n v="39.804999999996312"/>
    <n v="87.570999999996317"/>
    <n v="390.08900000000369"/>
    <s v="No"/>
  </r>
  <r>
    <n v="2111"/>
    <n v="312926"/>
    <s v="P"/>
    <s v="Capitalized"/>
    <s v="95g YW Carts"/>
    <m/>
    <m/>
    <n v="702"/>
    <m/>
    <n v="0"/>
    <s v="FILE 2524"/>
    <m/>
    <s v="CONTAINERS"/>
    <s v="TBA"/>
    <m/>
    <m/>
    <m/>
    <d v="2023-08-15T00:00:00"/>
    <d v="2023-08-15T00:00:00"/>
    <s v="2111-23-0042-1"/>
    <n v="700"/>
    <n v="14050"/>
    <n v="44233.18"/>
    <n v="14056"/>
    <n v="6845.65"/>
    <n v="37387.53"/>
    <n v="4212.72"/>
    <n v="54260"/>
    <n v="526.59"/>
    <s v="P"/>
    <m/>
    <m/>
    <s v=" "/>
    <s v="STL"/>
    <s v="YES"/>
    <s v="TBD"/>
    <d v="1899-12-30T00:00:00"/>
    <x v="0"/>
    <n v="8"/>
    <n v="2023"/>
    <n v="2030"/>
    <n v="2030.6666666666667"/>
    <n v="526.58547619047624"/>
    <n v="6319.0257142857154"/>
    <n v="6319.0257142857154"/>
    <n v="4212.683809522845"/>
    <n v="10531.70952380856"/>
    <n v="33701.47047619144"/>
    <s v="No"/>
  </r>
  <r>
    <n v="2111"/>
    <n v="312328"/>
    <n v="309961"/>
    <s v="Capitalized"/>
    <s v="Leachate Collection Improvements/Employee and Trailer Parking - Engineering"/>
    <m/>
    <m/>
    <n v="1"/>
    <m/>
    <n v="0"/>
    <s v="ATTN: ACCOUNTS PAYABLE"/>
    <m/>
    <s v="LAND IMPROVEMENTS"/>
    <s v="TBA"/>
    <m/>
    <m/>
    <m/>
    <d v="2023-06-26T00:00:00"/>
    <d v="2023-06-26T00:00:00"/>
    <s v="2111-23-0002-1"/>
    <n v="1000"/>
    <n v="14010"/>
    <n v="2447.5"/>
    <n v="14016"/>
    <n v="285.58"/>
    <n v="2161.92"/>
    <n v="163.19999999999999"/>
    <n v="57260"/>
    <n v="20.399999999999999"/>
    <s v="P"/>
    <m/>
    <m/>
    <s v=" "/>
    <s v="STL"/>
    <s v="YES"/>
    <s v="TBD"/>
    <d v="1899-12-30T00:00:00"/>
    <x v="11"/>
    <n v="6"/>
    <n v="2023"/>
    <n v="2033"/>
    <n v="2033.5"/>
    <n v="20.395833333333332"/>
    <n v="244.75"/>
    <n v="244.75"/>
    <n v="203.95833333331484"/>
    <n v="448.70833333331484"/>
    <n v="1998.7916666666852"/>
    <s v="No"/>
  </r>
  <r>
    <n v="2111"/>
    <n v="312156"/>
    <n v="309969"/>
    <s v="Capitalized"/>
    <s v="New REL Peterbilt - Truck Signage"/>
    <m/>
    <m/>
    <n v="1"/>
    <m/>
    <n v="0"/>
    <s v="LARSEN SIGN"/>
    <m/>
    <s v="TRUCKS AND TRAILERS"/>
    <s v="TBA"/>
    <s v="Non-Rolling Stock"/>
    <m/>
    <m/>
    <d v="2023-06-28T00:00:00"/>
    <d v="2023-06-28T00:00:00"/>
    <s v="2111-23-0018-1"/>
    <n v="1000"/>
    <n v="14040"/>
    <n v="962.5"/>
    <n v="14046"/>
    <n v="112.29"/>
    <n v="850.21"/>
    <n v="64.16"/>
    <n v="51260"/>
    <n v="8.02"/>
    <s v="P"/>
    <m/>
    <m/>
    <s v=" "/>
    <s v="STL"/>
    <s v="YES"/>
    <s v="TBD"/>
    <d v="1899-12-30T00:00:00"/>
    <x v="2"/>
    <n v="6"/>
    <n v="2023"/>
    <n v="2033"/>
    <n v="2033.5"/>
    <n v="8.0208333333333339"/>
    <n v="96.25"/>
    <n v="96.25"/>
    <n v="80.208333333325982"/>
    <n v="176.45833333332598"/>
    <n v="786.04166666667402"/>
    <s v="No"/>
  </r>
  <r>
    <n v="2111"/>
    <n v="311681"/>
    <n v="309969"/>
    <s v="Capitalized"/>
    <s v="2023 Peterbilt REL Truck - Body - Rollover 2111-22-0009"/>
    <m/>
    <m/>
    <n v="1"/>
    <s v="3BPDLK0XXPF115380"/>
    <n v="0"/>
    <s v="PO BOX 13040"/>
    <m/>
    <s v="TRUCKS AND TRAILERS"/>
    <s v="TBA"/>
    <s v="Non-Rolling Stock"/>
    <m/>
    <m/>
    <d v="2023-06-28T00:00:00"/>
    <d v="2023-06-28T00:00:00"/>
    <s v="2111-23-0018-1"/>
    <n v="1000"/>
    <n v="14040"/>
    <n v="126489"/>
    <n v="14046"/>
    <n v="14757.09"/>
    <n v="111731.91"/>
    <n v="8432.64"/>
    <n v="51260"/>
    <n v="1054.08"/>
    <s v="P"/>
    <m/>
    <m/>
    <s v=" "/>
    <s v="STL"/>
    <s v="YES"/>
    <s v="TBD"/>
    <d v="1899-12-30T00:00:00"/>
    <x v="2"/>
    <n v="6"/>
    <n v="2023"/>
    <n v="2033"/>
    <n v="2033.5"/>
    <n v="1054.075"/>
    <n v="12648.900000000001"/>
    <n v="12648.900000000001"/>
    <n v="10540.74999999904"/>
    <n v="23189.649999999041"/>
    <n v="103299.35000000097"/>
    <s v="No"/>
  </r>
  <r>
    <n v="2111"/>
    <n v="310496"/>
    <s v="P"/>
    <s v="Capitalized"/>
    <s v="95g MSW Carts - Plastic"/>
    <m/>
    <m/>
    <n v="702"/>
    <m/>
    <n v="0"/>
    <s v="FILE 2524"/>
    <m/>
    <s v="CONTAINERS"/>
    <s v="TBA"/>
    <m/>
    <m/>
    <m/>
    <d v="2023-06-14T00:00:00"/>
    <d v="2023-06-14T00:00:00"/>
    <s v="2111-23-0040-1"/>
    <n v="700"/>
    <n v="14050"/>
    <n v="44741.27"/>
    <n v="14056"/>
    <n v="7989.48"/>
    <n v="36751.789999999994"/>
    <n v="4261.04"/>
    <n v="54260"/>
    <n v="532.63"/>
    <s v="P"/>
    <m/>
    <m/>
    <s v=" "/>
    <s v="STL"/>
    <s v="YES"/>
    <s v="TBD"/>
    <d v="1899-12-30T00:00:00"/>
    <x v="0"/>
    <n v="6"/>
    <n v="2023"/>
    <n v="2030"/>
    <n v="2030.5"/>
    <n v="532.6341666666666"/>
    <n v="6391.6099999999988"/>
    <n v="6391.6099999999988"/>
    <n v="5326.3416666661869"/>
    <n v="11717.951666666186"/>
    <n v="33023.318333333809"/>
    <s v="No"/>
  </r>
  <r>
    <n v="2111"/>
    <n v="310045"/>
    <s v="P"/>
    <s v="Capitalized"/>
    <s v="2004 Genie Man Lift Z45/25"/>
    <m/>
    <m/>
    <n v="1"/>
    <s v="Z452504-22889"/>
    <n v="2004"/>
    <m/>
    <m/>
    <s v="HEAVY EQUIPMENT"/>
    <s v="TBA"/>
    <s v="Manlift"/>
    <m/>
    <m/>
    <d v="2023-07-01T00:00:00"/>
    <d v="2023-07-01T00:00:00"/>
    <m/>
    <n v="0"/>
    <n v="14030"/>
    <n v="0"/>
    <n v="14036"/>
    <n v="0"/>
    <n v="0"/>
    <n v="0"/>
    <n v="51260"/>
    <n v="0"/>
    <s v="P"/>
    <m/>
    <m/>
    <s v=" "/>
    <s v="STL"/>
    <s v="NO"/>
    <s v="TBD"/>
    <s v="LOOKUP"/>
    <x v="12"/>
    <n v="7"/>
    <n v="2023"/>
    <n v="2023"/>
    <n v="2023.5833333333333"/>
    <n v="0"/>
    <n v="0"/>
    <n v="0"/>
    <n v="0"/>
    <n v="0"/>
    <n v="0"/>
    <s v="No"/>
  </r>
  <r>
    <n v="2111"/>
    <n v="309971"/>
    <n v="110969"/>
    <s v="Capitalized"/>
    <s v="Truck 127 Engine Replacement"/>
    <m/>
    <m/>
    <n v="1"/>
    <m/>
    <n v="0"/>
    <m/>
    <m/>
    <s v="TRUCKS AND TRAILERS"/>
    <s v="TBA"/>
    <s v="Non-Rolling Stock"/>
    <m/>
    <m/>
    <d v="2023-07-06T00:00:00"/>
    <d v="2023-07-06T00:00:00"/>
    <s v="2111-23-0041-1"/>
    <n v="300"/>
    <n v="14040"/>
    <n v="14812.67"/>
    <n v="14046"/>
    <n v="5760.46"/>
    <n v="9052.2099999999991"/>
    <n v="3291.68"/>
    <n v="51260"/>
    <n v="411.46"/>
    <s v="P"/>
    <m/>
    <m/>
    <s v=" "/>
    <s v="STL"/>
    <s v="YES"/>
    <s v="TBD"/>
    <d v="1899-12-30T00:00:00"/>
    <x v="2"/>
    <n v="7"/>
    <n v="2023"/>
    <n v="2026"/>
    <n v="2026.5833333333333"/>
    <n v="411.46305555555551"/>
    <n v="4937.5566666666664"/>
    <n v="4937.5566666666664"/>
    <n v="3703.1675000000014"/>
    <n v="8640.7241666666669"/>
    <n v="6171.9458333333332"/>
    <s v="No"/>
  </r>
  <r>
    <n v="2111"/>
    <n v="309970"/>
    <n v="309969"/>
    <s v="Capitalized"/>
    <s v="2023 Peterbilt REL Truck - Remaining Balance - Rollover 2111-22-0009"/>
    <m/>
    <m/>
    <n v="1"/>
    <s v="3BPDLK0XXPF115380"/>
    <n v="2023"/>
    <m/>
    <m/>
    <s v="TRUCKS AND TRAILERS"/>
    <s v="TBA"/>
    <s v="Non-Rolling Stock"/>
    <m/>
    <m/>
    <d v="2023-07-13T00:00:00"/>
    <d v="2023-07-13T00:00:00"/>
    <s v="2111-23-0018-1"/>
    <n v="1000"/>
    <n v="14040"/>
    <n v="3977.06"/>
    <n v="14046"/>
    <n v="463.97"/>
    <n v="3513.09"/>
    <n v="265.12"/>
    <n v="51260"/>
    <n v="33.14"/>
    <s v="P"/>
    <m/>
    <m/>
    <s v=" "/>
    <s v="STL"/>
    <s v="YES"/>
    <s v="TBD"/>
    <d v="1899-12-30T00:00:00"/>
    <x v="2"/>
    <n v="7"/>
    <n v="2023"/>
    <n v="2033"/>
    <n v="2033.5833333333333"/>
    <n v="33.142166666666668"/>
    <n v="397.70600000000002"/>
    <n v="397.70600000000002"/>
    <n v="298.27949999999964"/>
    <n v="695.98549999999966"/>
    <n v="3281.0745000000002"/>
    <s v="No"/>
  </r>
  <r>
    <n v="2111"/>
    <n v="309969"/>
    <s v="P"/>
    <s v="Capitalized"/>
    <s v="2023 Peterbilt REL Truck-Chassis"/>
    <m/>
    <m/>
    <n v="1"/>
    <s v="3BPDLK0XXPF115380"/>
    <n v="2023"/>
    <m/>
    <m/>
    <s v="TRUCKS AND TRAILERS"/>
    <s v="TBA"/>
    <s v="Rear Loader"/>
    <m/>
    <m/>
    <d v="2023-07-13T00:00:00"/>
    <d v="2023-07-13T00:00:00"/>
    <s v="2111-22-0009-1"/>
    <n v="1000"/>
    <n v="14040"/>
    <n v="192304"/>
    <n v="14046"/>
    <n v="22435.439999999999"/>
    <n v="169868.56"/>
    <n v="12820.24"/>
    <n v="51260"/>
    <n v="1602.53"/>
    <s v="P"/>
    <m/>
    <m/>
    <s v=" "/>
    <s v="STL"/>
    <s v="YES"/>
    <s v="TBD"/>
    <d v="1899-12-30T00:00:00"/>
    <x v="2"/>
    <n v="7"/>
    <n v="2023"/>
    <n v="2033"/>
    <n v="2033.5833333333333"/>
    <n v="1602.5333333333335"/>
    <n v="19230.400000000001"/>
    <n v="19230.400000000001"/>
    <n v="14422.799999999988"/>
    <n v="33653.19999999999"/>
    <n v="158650.80000000002"/>
    <s v="No"/>
  </r>
  <r>
    <n v="2111"/>
    <n v="309961"/>
    <s v="P"/>
    <s v="Capitalized"/>
    <s v="Employee and Trailer Parking"/>
    <m/>
    <m/>
    <n v="1"/>
    <m/>
    <n v="0"/>
    <m/>
    <m/>
    <s v="LAND IMPROVEMENTS"/>
    <s v="TBA"/>
    <m/>
    <m/>
    <m/>
    <d v="2023-06-26T00:00:00"/>
    <d v="2023-06-26T00:00:00"/>
    <s v="2111-23-0002-1"/>
    <n v="1000"/>
    <n v="14010"/>
    <n v="688955.5"/>
    <n v="14016"/>
    <n v="80378.179999999993"/>
    <n v="608577.32000000007"/>
    <n v="45930.400000000001"/>
    <n v="57260"/>
    <n v="5741.3"/>
    <s v="P"/>
    <m/>
    <m/>
    <s v=" "/>
    <s v="STL"/>
    <s v="YES"/>
    <s v="TBD"/>
    <d v="1899-12-30T00:00:00"/>
    <x v="11"/>
    <n v="6"/>
    <n v="2023"/>
    <n v="2033"/>
    <n v="2033.5"/>
    <n v="5741.2958333333336"/>
    <n v="68895.55"/>
    <n v="68895.55"/>
    <n v="57412.958333328133"/>
    <n v="126308.50833332814"/>
    <n v="562646.99166667182"/>
    <s v="No"/>
  </r>
  <r>
    <n v="2111"/>
    <n v="309959"/>
    <s v="P"/>
    <s v="Capitalized"/>
    <s v="2004 Genie Man Lift Z45/25"/>
    <m/>
    <m/>
    <n v="1"/>
    <s v="Z452504-22889"/>
    <n v="2004"/>
    <m/>
    <m/>
    <s v="HEAVY EQUIPMENT"/>
    <s v="TBA"/>
    <s v="Manlift"/>
    <m/>
    <m/>
    <d v="2023-07-01T00:00:00"/>
    <d v="2023-07-01T00:00:00"/>
    <m/>
    <n v="0"/>
    <n v="14030"/>
    <n v="0"/>
    <n v="14036"/>
    <n v="0"/>
    <n v="0"/>
    <n v="0"/>
    <n v="51260"/>
    <n v="0"/>
    <s v="P"/>
    <m/>
    <m/>
    <s v=" "/>
    <s v="STL"/>
    <s v="NO"/>
    <s v="TBD"/>
    <s v="LOOKUP"/>
    <x v="12"/>
    <n v="7"/>
    <n v="2023"/>
    <n v="2023"/>
    <n v="2023.5833333333333"/>
    <n v="0"/>
    <n v="0"/>
    <n v="0"/>
    <n v="0"/>
    <n v="0"/>
    <n v="0"/>
    <s v="No"/>
  </r>
  <r>
    <n v="2111"/>
    <n v="309753"/>
    <n v="110969"/>
    <s v="Capitalized"/>
    <s v="Truck 127 Engine Replacement"/>
    <m/>
    <m/>
    <n v="1"/>
    <m/>
    <n v="0"/>
    <s v="DIESEL SERVICES NORTHWEST"/>
    <m/>
    <s v="TRUCKS AND TRAILERS"/>
    <s v="TBA"/>
    <s v="Non-Rolling Stock"/>
    <m/>
    <m/>
    <d v="2023-06-07T00:00:00"/>
    <d v="2023-06-07T00:00:00"/>
    <s v="2111-23-0041-1"/>
    <n v="300"/>
    <n v="14040"/>
    <n v="5740.68"/>
    <n v="14046"/>
    <n v="2391.92"/>
    <n v="3348.76"/>
    <n v="1275.68"/>
    <n v="51260"/>
    <n v="159.46"/>
    <s v="P"/>
    <m/>
    <m/>
    <s v=" "/>
    <s v="STL"/>
    <s v="YES"/>
    <s v="TBD"/>
    <d v="1899-12-30T00:00:00"/>
    <x v="2"/>
    <n v="6"/>
    <n v="2023"/>
    <n v="2026"/>
    <n v="2026.5"/>
    <n v="159.46333333333334"/>
    <n v="1913.56"/>
    <n v="1913.56"/>
    <n v="1594.6333333331886"/>
    <n v="3508.1933333331885"/>
    <n v="2232.4866666668117"/>
    <s v="No"/>
  </r>
  <r>
    <n v="2111"/>
    <n v="309344"/>
    <s v="P"/>
    <s v="Capitalized"/>
    <s v="2 YD REL Bear"/>
    <m/>
    <m/>
    <n v="9"/>
    <m/>
    <n v="0"/>
    <s v="PO BOX 80983"/>
    <m/>
    <s v="CONTAINERS"/>
    <s v="TBA"/>
    <m/>
    <s v="2 YD"/>
    <s v="FEL/REL/SL Metal"/>
    <d v="2023-03-09T00:00:00"/>
    <d v="2023-03-09T00:00:00"/>
    <s v="2111-23-0030-2"/>
    <n v="1200"/>
    <n v="14050"/>
    <n v="20158"/>
    <n v="14056"/>
    <n v="2519.7800000000002"/>
    <n v="17638.22"/>
    <n v="1119.92"/>
    <n v="54260"/>
    <n v="139.99"/>
    <s v="P"/>
    <m/>
    <m/>
    <s v=" "/>
    <s v="STL"/>
    <s v="YES"/>
    <s v="TBD"/>
    <d v="1899-12-30T00:00:00"/>
    <x v="1"/>
    <n v="3"/>
    <n v="2023"/>
    <n v="2035"/>
    <n v="2035.25"/>
    <n v="139.98611111111111"/>
    <n v="1679.8333333333335"/>
    <n v="1679.8333333333335"/>
    <n v="1819.8194444443179"/>
    <n v="3499.6527777776514"/>
    <n v="16658.34722222235"/>
    <s v="No"/>
  </r>
  <r>
    <n v="2111"/>
    <n v="309343"/>
    <s v="P"/>
    <s v="Capitalized"/>
    <s v="2 YD REL Bear"/>
    <m/>
    <m/>
    <n v="1"/>
    <m/>
    <n v="0"/>
    <s v="PO BOX 80983"/>
    <m/>
    <s v="CONTAINERS"/>
    <s v="TBA"/>
    <m/>
    <s v="2 YD"/>
    <s v="FEL/REL/SL Metal"/>
    <d v="2023-03-09T00:00:00"/>
    <d v="2023-03-09T00:00:00"/>
    <s v="2111-23-0030-1"/>
    <n v="1200"/>
    <n v="14050"/>
    <n v="687"/>
    <n v="14056"/>
    <n v="85.84"/>
    <n v="601.16"/>
    <n v="38.159999999999997"/>
    <n v="54260"/>
    <n v="4.7699999999999996"/>
    <s v="P"/>
    <m/>
    <m/>
    <s v=" "/>
    <s v="STL"/>
    <s v="YES"/>
    <s v="TBD"/>
    <d v="1899-12-30T00:00:00"/>
    <x v="1"/>
    <n v="3"/>
    <n v="2023"/>
    <n v="2035"/>
    <n v="2035.25"/>
    <n v="4.770833333333333"/>
    <n v="57.25"/>
    <n v="57.25"/>
    <n v="62.020833333329051"/>
    <n v="119.27083333332905"/>
    <n v="567.72916666667095"/>
    <s v="No"/>
  </r>
  <r>
    <n v="2111"/>
    <n v="308357"/>
    <s v="P"/>
    <s v="Capitalized"/>
    <s v="4 Yard FEL Containers"/>
    <m/>
    <m/>
    <n v="14"/>
    <m/>
    <n v="0"/>
    <m/>
    <m/>
    <s v="CONTAINERS"/>
    <s v="TBA"/>
    <m/>
    <s v="4 YD"/>
    <s v="FEL/REL/SL Metal"/>
    <d v="2003-09-17T00:00:00"/>
    <d v="2003-09-17T00:00:00"/>
    <m/>
    <n v="700"/>
    <n v="14050"/>
    <n v="923.68"/>
    <n v="14056"/>
    <n v="923.68"/>
    <n v="0"/>
    <n v="0"/>
    <n v="54260"/>
    <n v="0"/>
    <s v="A"/>
    <s v="GreenTeam of San Jose"/>
    <s v="NA"/>
    <s v=" "/>
    <s v="STL"/>
    <s v="YES"/>
    <s v="TBD"/>
    <d v="1899-12-30T00:00:00"/>
    <x v="1"/>
    <n v="9"/>
    <n v="2003"/>
    <n v="2010"/>
    <n v="2010.75"/>
    <n v="10.996190476190476"/>
    <n v="131.9542857142857"/>
    <n v="0"/>
    <n v="923.68"/>
    <n v="923.68"/>
    <n v="0"/>
    <s v="No"/>
  </r>
  <r>
    <n v="2111"/>
    <n v="308149"/>
    <s v="P"/>
    <s v="Capitalized"/>
    <s v="6 Yard Commercial Containers"/>
    <m/>
    <m/>
    <n v="16"/>
    <m/>
    <n v="0"/>
    <m/>
    <m/>
    <s v="CONTAINERS"/>
    <s v="TBA"/>
    <m/>
    <s v="6 YD"/>
    <s v="FEL/REL/SL Metal"/>
    <d v="2008-11-03T00:00:00"/>
    <d v="2008-11-03T00:00:00"/>
    <m/>
    <n v="700"/>
    <n v="14050"/>
    <n v="137.61000000000001"/>
    <n v="14056"/>
    <n v="137.61000000000001"/>
    <n v="0"/>
    <n v="0"/>
    <n v="54260"/>
    <n v="0"/>
    <s v="A"/>
    <s v="LeMay Enterprises"/>
    <s v="NA"/>
    <s v=" "/>
    <s v="STL"/>
    <s v="YES"/>
    <s v="TBD"/>
    <d v="1899-12-30T00:00:00"/>
    <x v="1"/>
    <n v="11"/>
    <n v="2008"/>
    <n v="2015"/>
    <n v="2015.9166666666667"/>
    <n v="1.6382142857142858"/>
    <n v="19.658571428571431"/>
    <n v="0"/>
    <n v="137.61000000000001"/>
    <n v="137.61000000000001"/>
    <n v="0"/>
    <s v="No"/>
  </r>
  <r>
    <n v="2111"/>
    <n v="307814"/>
    <s v="P"/>
    <s v="Capitalized"/>
    <s v="6 Yard Commercial Containers"/>
    <m/>
    <m/>
    <n v="39"/>
    <m/>
    <n v="0"/>
    <m/>
    <m/>
    <s v="CONTAINERS"/>
    <s v="TBA"/>
    <m/>
    <s v="6 YD"/>
    <s v="FEL/REL/SL Metal"/>
    <d v="2008-11-03T00:00:00"/>
    <d v="2008-11-03T00:00:00"/>
    <m/>
    <n v="700"/>
    <n v="14050"/>
    <n v="1507.14"/>
    <n v="14056"/>
    <n v="1507.14"/>
    <n v="0"/>
    <n v="0"/>
    <n v="54260"/>
    <n v="0"/>
    <s v="A"/>
    <s v="LeMay Enterprises"/>
    <s v="NA"/>
    <s v=" "/>
    <s v="STL"/>
    <s v="YES"/>
    <s v="TBD"/>
    <d v="1899-12-30T00:00:00"/>
    <x v="1"/>
    <n v="11"/>
    <n v="2008"/>
    <n v="2015"/>
    <n v="2015.9166666666667"/>
    <n v="17.942142857142859"/>
    <n v="215.30571428571432"/>
    <n v="0"/>
    <n v="1507.14"/>
    <n v="1507.14"/>
    <n v="0"/>
    <s v="No"/>
  </r>
  <r>
    <n v="2111"/>
    <n v="307782"/>
    <s v="P"/>
    <s v="Capitalized"/>
    <s v="6 Yard Commercial Containers"/>
    <m/>
    <m/>
    <n v="27"/>
    <m/>
    <n v="0"/>
    <m/>
    <m/>
    <s v="CONTAINERS"/>
    <s v="TBA"/>
    <m/>
    <s v="6 YD"/>
    <s v="FEL/REL/SL Metal"/>
    <d v="2008-11-03T00:00:00"/>
    <d v="2008-11-03T00:00:00"/>
    <m/>
    <n v="1200"/>
    <n v="14050"/>
    <n v="1600"/>
    <n v="14056"/>
    <n v="1600"/>
    <n v="0"/>
    <n v="0"/>
    <n v="54260"/>
    <n v="0"/>
    <s v="A"/>
    <s v="LeMay Enterprises"/>
    <s v="NA"/>
    <s v=" "/>
    <s v="STL"/>
    <s v="YES"/>
    <s v="TBD"/>
    <d v="1899-12-30T00:00:00"/>
    <x v="1"/>
    <n v="11"/>
    <n v="2008"/>
    <n v="2020"/>
    <n v="2020.9166666666667"/>
    <n v="11.111111111111112"/>
    <n v="133.33333333333334"/>
    <n v="0"/>
    <n v="1600"/>
    <n v="1600"/>
    <n v="0"/>
    <s v="No"/>
  </r>
  <r>
    <n v="2111"/>
    <n v="307549"/>
    <s v="P"/>
    <s v="Capitalized"/>
    <s v="6YD Containers"/>
    <m/>
    <m/>
    <n v="97"/>
    <m/>
    <n v="0"/>
    <m/>
    <m/>
    <s v="CONTAINERS"/>
    <s v="TBA"/>
    <m/>
    <s v="6 YD"/>
    <s v="FEL/REL/SL Metal"/>
    <d v="2008-11-03T00:00:00"/>
    <d v="2008-11-03T00:00:00"/>
    <m/>
    <n v="700"/>
    <n v="14050"/>
    <n v="13135.68"/>
    <n v="14056"/>
    <n v="13135.68"/>
    <n v="0"/>
    <n v="0"/>
    <n v="54260"/>
    <n v="0"/>
    <s v="A"/>
    <s v="LeMay Enterprises"/>
    <s v="NA"/>
    <s v=" "/>
    <s v="STL"/>
    <s v="YES"/>
    <s v="TBD"/>
    <d v="1899-12-30T00:00:00"/>
    <x v="1"/>
    <n v="11"/>
    <n v="2008"/>
    <n v="2015"/>
    <n v="2015.9166666666667"/>
    <n v="156.37714285714284"/>
    <n v="1876.525714285714"/>
    <n v="0"/>
    <n v="13135.68"/>
    <n v="13135.68"/>
    <n v="0"/>
    <s v="No"/>
  </r>
  <r>
    <n v="2111"/>
    <n v="307520"/>
    <s v="P"/>
    <s v="Capitalized"/>
    <s v="25 YD Drop-Boxes"/>
    <m/>
    <m/>
    <n v="2"/>
    <m/>
    <n v="0"/>
    <s v="Enterprise Sales, Inc"/>
    <m/>
    <s v="CONTAINERS"/>
    <s v="TBA"/>
    <m/>
    <s v="25 YD"/>
    <s v="RO Box"/>
    <d v="2004-06-30T00:00:00"/>
    <d v="2004-06-30T00:00:00"/>
    <m/>
    <n v="1200"/>
    <n v="14050"/>
    <n v="6796.68"/>
    <n v="14056"/>
    <n v="6796.68"/>
    <n v="0"/>
    <n v="0"/>
    <n v="54260"/>
    <n v="0"/>
    <s v="P"/>
    <n v="0"/>
    <m/>
    <s v=" "/>
    <s v="STL"/>
    <s v="YES"/>
    <s v="TBD"/>
    <d v="1899-12-30T00:00:00"/>
    <x v="13"/>
    <n v="6"/>
    <n v="2004"/>
    <n v="2016"/>
    <n v="2016.5"/>
    <n v="47.199166666666663"/>
    <n v="566.39"/>
    <n v="0"/>
    <n v="6796.68"/>
    <n v="6796.68"/>
    <n v="0"/>
    <s v="No"/>
  </r>
  <r>
    <n v="2111"/>
    <n v="307346"/>
    <s v="P"/>
    <s v="Capitalized"/>
    <s v="6 YD FEL Containers Peak Style"/>
    <m/>
    <m/>
    <n v="4"/>
    <m/>
    <n v="0"/>
    <s v="PO BOX 80983"/>
    <m/>
    <s v="CONTAINERS"/>
    <s v="TBA"/>
    <m/>
    <s v="6 YD"/>
    <s v="FEL/REL/SL Metal"/>
    <d v="2023-03-09T00:00:00"/>
    <d v="2023-03-09T00:00:00"/>
    <s v="2111-23-0030-2"/>
    <n v="1200"/>
    <n v="14050"/>
    <n v="6358"/>
    <n v="14056"/>
    <n v="794.73"/>
    <n v="5563.27"/>
    <n v="353.2"/>
    <n v="54260"/>
    <n v="44.15"/>
    <s v="P"/>
    <m/>
    <m/>
    <s v=" "/>
    <s v="STL"/>
    <s v="YES"/>
    <s v="TBD"/>
    <d v="1899-12-30T00:00:00"/>
    <x v="1"/>
    <n v="3"/>
    <n v="2023"/>
    <n v="2035"/>
    <n v="2035.25"/>
    <n v="44.152777777777779"/>
    <n v="529.83333333333337"/>
    <n v="529.83333333333337"/>
    <n v="573.9861111110713"/>
    <n v="1103.8194444444048"/>
    <n v="5254.1805555555948"/>
    <s v="No"/>
  </r>
  <r>
    <n v="2111"/>
    <n v="307345"/>
    <s v="P"/>
    <s v="Capitalized"/>
    <s v="6 YD FEL Containers Peak Style"/>
    <m/>
    <m/>
    <n v="8"/>
    <m/>
    <n v="0"/>
    <s v="PO BOX 80983"/>
    <m/>
    <s v="CONTAINERS"/>
    <s v="TBA"/>
    <m/>
    <s v="6 YD"/>
    <s v="FEL/REL/SL Metal"/>
    <d v="2023-03-09T00:00:00"/>
    <d v="2023-03-09T00:00:00"/>
    <s v="2111-23-0030-2"/>
    <n v="1200"/>
    <n v="14050"/>
    <n v="12716"/>
    <n v="14056"/>
    <n v="1589.54"/>
    <n v="11126.46"/>
    <n v="706.48"/>
    <n v="54260"/>
    <n v="88.31"/>
    <s v="P"/>
    <m/>
    <m/>
    <s v=" "/>
    <s v="STL"/>
    <s v="YES"/>
    <s v="TBD"/>
    <d v="1899-12-30T00:00:00"/>
    <x v="1"/>
    <n v="3"/>
    <n v="2023"/>
    <n v="2035"/>
    <n v="2035.25"/>
    <n v="88.305555555555557"/>
    <n v="1059.6666666666667"/>
    <n v="1059.6666666666667"/>
    <n v="1147.9722222221426"/>
    <n v="2207.6388888888096"/>
    <n v="10508.36111111119"/>
    <s v="No"/>
  </r>
  <r>
    <n v="2111"/>
    <n v="307344"/>
    <s v="P"/>
    <s v="Capitalized"/>
    <s v="6 YD FEL Containers Peak Style"/>
    <m/>
    <m/>
    <n v="8"/>
    <m/>
    <n v="0"/>
    <s v="PO BOX 80983"/>
    <m/>
    <s v="CONTAINERS"/>
    <s v="TBA"/>
    <m/>
    <s v="6 YD"/>
    <s v="FEL/REL/SL Metal"/>
    <d v="2023-03-09T00:00:00"/>
    <d v="2023-03-09T00:00:00"/>
    <s v="2111-23-0030-2"/>
    <n v="1200"/>
    <n v="14050"/>
    <n v="12716"/>
    <n v="14056"/>
    <n v="1589.54"/>
    <n v="11126.46"/>
    <n v="706.48"/>
    <n v="54260"/>
    <n v="88.31"/>
    <s v="P"/>
    <m/>
    <m/>
    <s v=" "/>
    <s v="STL"/>
    <s v="YES"/>
    <s v="TBD"/>
    <d v="1899-12-30T00:00:00"/>
    <x v="1"/>
    <n v="3"/>
    <n v="2023"/>
    <n v="2035"/>
    <n v="2035.25"/>
    <n v="88.305555555555557"/>
    <n v="1059.6666666666667"/>
    <n v="1059.6666666666667"/>
    <n v="1147.9722222221426"/>
    <n v="2207.6388888888096"/>
    <n v="10508.36111111119"/>
    <s v="No"/>
  </r>
  <r>
    <n v="2111"/>
    <n v="307343"/>
    <s v="P"/>
    <s v="Capitalized"/>
    <s v="6 YD FEL Containers Peak Style"/>
    <m/>
    <m/>
    <n v="8"/>
    <m/>
    <n v="0"/>
    <s v="PO BOX 80983"/>
    <m/>
    <s v="CONTAINERS"/>
    <s v="TBA"/>
    <m/>
    <s v="6 YD"/>
    <s v="FEL/REL/SL Metal"/>
    <d v="2023-03-09T00:00:00"/>
    <d v="2023-03-09T00:00:00"/>
    <s v="2111-23-0030-2"/>
    <n v="1200"/>
    <n v="14050"/>
    <n v="12716"/>
    <n v="14056"/>
    <n v="1589.54"/>
    <n v="11126.46"/>
    <n v="706.48"/>
    <n v="54260"/>
    <n v="88.31"/>
    <s v="P"/>
    <m/>
    <m/>
    <s v=" "/>
    <s v="STL"/>
    <s v="YES"/>
    <s v="TBD"/>
    <d v="1899-12-30T00:00:00"/>
    <x v="1"/>
    <n v="3"/>
    <n v="2023"/>
    <n v="2035"/>
    <n v="2035.25"/>
    <n v="88.305555555555557"/>
    <n v="1059.6666666666667"/>
    <n v="1059.6666666666667"/>
    <n v="1147.9722222221426"/>
    <n v="2207.6388888888096"/>
    <n v="10508.36111111119"/>
    <s v="No"/>
  </r>
  <r>
    <n v="2111"/>
    <n v="307342"/>
    <s v="P"/>
    <s v="Capitalized"/>
    <s v="6 YD FEL Containers Peak Style"/>
    <m/>
    <m/>
    <n v="8"/>
    <m/>
    <n v="0"/>
    <s v="PO BOX 80983"/>
    <m/>
    <s v="CONTAINERS"/>
    <s v="TBA"/>
    <m/>
    <s v="6 YD"/>
    <s v="FEL/REL/SL Metal"/>
    <d v="2023-03-09T00:00:00"/>
    <d v="2023-03-09T00:00:00"/>
    <s v="2111-23-0030-2"/>
    <n v="1200"/>
    <n v="14050"/>
    <n v="12716"/>
    <n v="14056"/>
    <n v="1589.54"/>
    <n v="11126.46"/>
    <n v="706.48"/>
    <n v="54260"/>
    <n v="88.31"/>
    <s v="P"/>
    <m/>
    <m/>
    <s v=" "/>
    <s v="STL"/>
    <s v="YES"/>
    <s v="TBD"/>
    <d v="1899-12-30T00:00:00"/>
    <x v="1"/>
    <n v="3"/>
    <n v="2023"/>
    <n v="2035"/>
    <n v="2035.25"/>
    <n v="88.305555555555557"/>
    <n v="1059.6666666666667"/>
    <n v="1059.6666666666667"/>
    <n v="1147.9722222221426"/>
    <n v="2207.6388888888096"/>
    <n v="10508.36111111119"/>
    <s v="No"/>
  </r>
  <r>
    <n v="2111"/>
    <n v="307341"/>
    <s v="P"/>
    <s v="Capitalized"/>
    <s v="6 YD FEL Containers Peak style"/>
    <m/>
    <m/>
    <n v="3"/>
    <m/>
    <n v="0"/>
    <s v="PO BOX 80983"/>
    <m/>
    <s v="CONTAINERS"/>
    <s v="TBA"/>
    <m/>
    <s v="6 YD"/>
    <s v="FEL/REL/SL Metal"/>
    <d v="2023-03-09T00:00:00"/>
    <d v="2023-03-09T00:00:00"/>
    <s v="2111-23-0030-2"/>
    <n v="1200"/>
    <n v="14050"/>
    <n v="4768.5"/>
    <n v="14056"/>
    <n v="596.03"/>
    <n v="4172.47"/>
    <n v="264.88"/>
    <n v="54260"/>
    <n v="33.11"/>
    <s v="P"/>
    <m/>
    <m/>
    <s v=" "/>
    <s v="STL"/>
    <s v="YES"/>
    <s v="TBD"/>
    <d v="1899-12-30T00:00:00"/>
    <x v="1"/>
    <n v="3"/>
    <n v="2023"/>
    <n v="2035"/>
    <n v="2035.25"/>
    <n v="33.114583333333336"/>
    <n v="397.375"/>
    <n v="397.375"/>
    <n v="430.48958333330302"/>
    <n v="827.86458333330302"/>
    <n v="3940.635416666697"/>
    <s v="No"/>
  </r>
  <r>
    <n v="2111"/>
    <n v="307340"/>
    <s v="P"/>
    <s v="Capitalized"/>
    <s v="6 YD FEL Containers Peak Style"/>
    <m/>
    <m/>
    <n v="1"/>
    <m/>
    <n v="0"/>
    <s v="PO BOX 80983"/>
    <m/>
    <s v="CONTAINERS"/>
    <s v="TBA"/>
    <m/>
    <s v="6 YD"/>
    <s v="FEL/REL/SL Metal"/>
    <d v="2023-03-09T00:00:00"/>
    <d v="2023-03-09T00:00:00"/>
    <s v="2111-23-0030-1"/>
    <n v="1200"/>
    <n v="14050"/>
    <n v="1589.5"/>
    <n v="14056"/>
    <n v="198.7"/>
    <n v="1390.8"/>
    <n v="88.32"/>
    <n v="54260"/>
    <n v="11.04"/>
    <s v="P"/>
    <m/>
    <m/>
    <s v=" "/>
    <s v="STL"/>
    <s v="YES"/>
    <s v="TBD"/>
    <d v="1899-12-30T00:00:00"/>
    <x v="1"/>
    <n v="3"/>
    <n v="2023"/>
    <n v="2035"/>
    <n v="2035.25"/>
    <n v="11.038194444444445"/>
    <n v="132.45833333333334"/>
    <n v="132.45833333333334"/>
    <n v="143.49652777776782"/>
    <n v="275.9548611111012"/>
    <n v="1313.5451388888987"/>
    <s v="No"/>
  </r>
  <r>
    <n v="2111"/>
    <n v="307305"/>
    <n v="305425"/>
    <s v="Capitalized"/>
    <s v="2023 Peterbilt REL Truck - Body - Rollover 2111-22-0010"/>
    <m/>
    <m/>
    <n v="1"/>
    <s v="3BPDLK0X3PF115379"/>
    <n v="2023"/>
    <s v="PO BOX 13040"/>
    <m/>
    <s v="TRUCKS AND TRAILERS"/>
    <s v="TBA"/>
    <s v="Non-Rolling Stock"/>
    <m/>
    <m/>
    <d v="2023-05-19T00:00:00"/>
    <d v="2023-05-19T00:00:00"/>
    <s v="2111-23-0017-1"/>
    <n v="1000"/>
    <n v="14040"/>
    <n v="126466.06"/>
    <n v="14046"/>
    <n v="15808.22"/>
    <n v="110657.84"/>
    <n v="8431.0400000000009"/>
    <n v="51260"/>
    <n v="1053.8800000000001"/>
    <s v="P"/>
    <m/>
    <m/>
    <s v=" "/>
    <s v="STL"/>
    <s v="YES"/>
    <s v="TBD"/>
    <d v="1899-12-30T00:00:00"/>
    <x v="2"/>
    <n v="5"/>
    <n v="2023"/>
    <n v="2033"/>
    <n v="2033.4166666666667"/>
    <n v="1053.8838333333333"/>
    <n v="12646.606"/>
    <n v="12646.606"/>
    <n v="11592.722166664753"/>
    <n v="24239.328166664753"/>
    <n v="102226.73183333525"/>
    <s v="No"/>
  </r>
  <r>
    <n v="2111"/>
    <n v="307304"/>
    <n v="305425"/>
    <s v="Capitalized"/>
    <s v="2023 Peterbilt REL Truck-Remaining Balance"/>
    <m/>
    <m/>
    <n v="1"/>
    <s v="3BPDLK0X3PF115379"/>
    <n v="2023"/>
    <s v="PO BOX 13040"/>
    <m/>
    <s v="TRUCKS AND TRAILERS"/>
    <s v="TBA"/>
    <s v="Non-Rolling Stock"/>
    <m/>
    <m/>
    <d v="2023-05-19T00:00:00"/>
    <d v="2023-05-19T00:00:00"/>
    <s v="2111-22-0010-1"/>
    <n v="1000"/>
    <n v="14040"/>
    <n v="22.94"/>
    <n v="14046"/>
    <n v="2.85"/>
    <n v="20.09"/>
    <n v="1.52"/>
    <n v="51260"/>
    <n v="0.19"/>
    <s v="P"/>
    <m/>
    <m/>
    <s v=" "/>
    <s v="STL"/>
    <s v="YES"/>
    <s v="TBD"/>
    <d v="1899-12-30T00:00:00"/>
    <x v="2"/>
    <n v="5"/>
    <n v="2023"/>
    <n v="2033"/>
    <n v="2033.4166666666667"/>
    <n v="0.19116666666666668"/>
    <n v="2.294"/>
    <n v="2.294"/>
    <n v="2.1028333333329847"/>
    <n v="4.3968333333329852"/>
    <n v="18.543166666667016"/>
    <s v="No"/>
  </r>
  <r>
    <n v="2111"/>
    <n v="306810"/>
    <s v="P"/>
    <s v="Capitalized"/>
    <s v="2 Yard REL Containers"/>
    <m/>
    <m/>
    <n v="13"/>
    <m/>
    <n v="0"/>
    <s v="RULE STEEL TANKS INC"/>
    <m/>
    <s v="CONTAINERS"/>
    <s v="TBA"/>
    <m/>
    <s v="2 YD"/>
    <s v="FEL/REL/SL Metal"/>
    <d v="2010-06-03T00:00:00"/>
    <d v="2010-06-03T00:00:00"/>
    <s v="2180-10-0018-1"/>
    <n v="1200"/>
    <n v="14050"/>
    <n v="6771.14"/>
    <n v="14056"/>
    <n v="6771.14"/>
    <n v="0"/>
    <n v="0"/>
    <n v="54260"/>
    <n v="0"/>
    <s v="P"/>
    <m/>
    <m/>
    <s v=" "/>
    <s v="STL"/>
    <s v="YES"/>
    <s v="TBD"/>
    <d v="1899-12-30T00:00:00"/>
    <x v="1"/>
    <n v="6"/>
    <n v="2010"/>
    <n v="2022"/>
    <n v="2022.5"/>
    <n v="47.021805555555552"/>
    <n v="564.26166666666666"/>
    <n v="0"/>
    <n v="6771.14"/>
    <n v="6771.14"/>
    <n v="0"/>
    <s v="No"/>
  </r>
  <r>
    <n v="2111"/>
    <n v="306503"/>
    <s v="P"/>
    <s v="Capitalized"/>
    <s v="Weld Shop Demo and Paving"/>
    <m/>
    <m/>
    <n v="1"/>
    <m/>
    <n v="0"/>
    <m/>
    <m/>
    <s v="LAND IMPROVEMENTS"/>
    <s v="TBA"/>
    <m/>
    <m/>
    <m/>
    <d v="2023-06-30T00:00:00"/>
    <d v="2023-06-30T00:00:00"/>
    <s v="2111-22-0019-1"/>
    <n v="1000"/>
    <n v="14010"/>
    <n v="97119.79"/>
    <n v="14016"/>
    <n v="11330.63"/>
    <n v="85789.159999999989"/>
    <n v="6474.64"/>
    <n v="57260"/>
    <n v="809.33"/>
    <s v="P"/>
    <m/>
    <m/>
    <s v=" "/>
    <s v="STL"/>
    <s v="YES"/>
    <s v="TBD"/>
    <d v="1899-12-30T00:00:00"/>
    <x v="11"/>
    <n v="6"/>
    <n v="2023"/>
    <n v="2033"/>
    <n v="2033.5"/>
    <n v="809.33158333333324"/>
    <n v="9711.9789999999994"/>
    <n v="9711.9789999999994"/>
    <n v="8093.3158333325991"/>
    <n v="17805.294833332599"/>
    <n v="79314.495166667388"/>
    <s v="No"/>
  </r>
  <r>
    <n v="2111"/>
    <n v="306502"/>
    <s v="P"/>
    <s v="Capitalized"/>
    <s v="Scales"/>
    <m/>
    <m/>
    <n v="1"/>
    <m/>
    <n v="0"/>
    <m/>
    <m/>
    <s v="LAND IMPROVEMENTS"/>
    <s v="TBA"/>
    <m/>
    <m/>
    <m/>
    <d v="2023-04-14T00:00:00"/>
    <d v="2023-04-14T00:00:00"/>
    <s v="2111-22-0018-1"/>
    <n v="1000"/>
    <n v="14010"/>
    <n v="343103.5"/>
    <n v="14016"/>
    <n v="48606.36"/>
    <n v="294497.14"/>
    <n v="22873.599999999999"/>
    <n v="57260"/>
    <n v="2859.2"/>
    <s v="P"/>
    <m/>
    <m/>
    <s v=" "/>
    <s v="STL"/>
    <s v="YES"/>
    <s v="TBD"/>
    <d v="1899-12-30T00:00:00"/>
    <x v="10"/>
    <n v="4"/>
    <n v="2023"/>
    <n v="2033"/>
    <n v="2033.3333333333333"/>
    <n v="2859.1958333333332"/>
    <n v="34310.35"/>
    <n v="34310.35"/>
    <n v="34310.350000000035"/>
    <n v="68620.700000000041"/>
    <n v="274482.79999999993"/>
    <s v="No"/>
  </r>
  <r>
    <n v="2111"/>
    <n v="305962"/>
    <s v="P"/>
    <s v="Capitalized"/>
    <s v="20 Gallon MSW Cart Inserts"/>
    <m/>
    <m/>
    <n v="42"/>
    <m/>
    <n v="0"/>
    <s v="PO BOX 514457"/>
    <m/>
    <s v="CONTAINERS"/>
    <s v="TBA"/>
    <m/>
    <m/>
    <m/>
    <d v="2023-04-03T00:00:00"/>
    <d v="2023-04-03T00:00:00"/>
    <s v="2111-23-0038-1"/>
    <n v="700"/>
    <n v="14050"/>
    <n v="831.6"/>
    <n v="14056"/>
    <n v="168.3"/>
    <n v="663.3"/>
    <n v="79.2"/>
    <n v="54260"/>
    <n v="9.9"/>
    <s v="P"/>
    <m/>
    <m/>
    <s v=" "/>
    <s v="STL"/>
    <s v="YES"/>
    <s v="TBD"/>
    <d v="1899-12-30T00:00:00"/>
    <x v="0"/>
    <n v="4"/>
    <n v="2023"/>
    <n v="2030"/>
    <n v="2030.3333333333333"/>
    <n v="9.9"/>
    <n v="118.80000000000001"/>
    <n v="118.80000000000001"/>
    <n v="118.79999999999995"/>
    <n v="237.59999999999997"/>
    <n v="594"/>
    <s v="No"/>
  </r>
  <r>
    <n v="2111"/>
    <n v="305961"/>
    <s v="P"/>
    <s v="Capitalized"/>
    <s v="80L NB GARBAGE ROC FOREST Carts"/>
    <m/>
    <m/>
    <n v="180"/>
    <m/>
    <n v="0"/>
    <s v="PO BOX 514457"/>
    <m/>
    <s v="CONTAINERS"/>
    <s v="TBA"/>
    <m/>
    <m/>
    <m/>
    <d v="2023-04-03T00:00:00"/>
    <d v="2023-04-03T00:00:00"/>
    <s v="2111-23-0038-1"/>
    <n v="700"/>
    <n v="14050"/>
    <n v="9262.75"/>
    <n v="14056"/>
    <n v="1874.6"/>
    <n v="7388.15"/>
    <n v="882.16"/>
    <n v="54260"/>
    <n v="110.27"/>
    <s v="P"/>
    <m/>
    <m/>
    <s v=" "/>
    <s v="STL"/>
    <s v="YES"/>
    <s v="TBD"/>
    <d v="1899-12-30T00:00:00"/>
    <x v="0"/>
    <n v="4"/>
    <n v="2023"/>
    <n v="2030"/>
    <n v="2030.3333333333333"/>
    <n v="110.27083333333333"/>
    <n v="1323.25"/>
    <n v="1323.25"/>
    <n v="1323.25"/>
    <n v="2646.5"/>
    <n v="6616.25"/>
    <s v="No"/>
  </r>
  <r>
    <n v="2111"/>
    <n v="305960"/>
    <s v="P"/>
    <s v="Capitalized"/>
    <s v="20 Gallon MB GARBAGE ROC BLACK Carts"/>
    <m/>
    <m/>
    <n v="138"/>
    <m/>
    <n v="0"/>
    <s v="PO BOX 514457"/>
    <m/>
    <s v="CONTAINERS"/>
    <s v="TBA"/>
    <m/>
    <m/>
    <m/>
    <d v="2023-04-03T00:00:00"/>
    <d v="2023-04-03T00:00:00"/>
    <s v="2111-23-0038-1"/>
    <n v="700"/>
    <n v="14050"/>
    <n v="3557.42"/>
    <n v="14056"/>
    <n v="719.95"/>
    <n v="2837.4700000000003"/>
    <n v="338.8"/>
    <n v="54260"/>
    <n v="42.35"/>
    <s v="P"/>
    <m/>
    <m/>
    <s v=" "/>
    <s v="STL"/>
    <s v="YES"/>
    <s v="TBD"/>
    <d v="1899-12-30T00:00:00"/>
    <x v="0"/>
    <n v="4"/>
    <n v="2023"/>
    <n v="2030"/>
    <n v="2030.3333333333333"/>
    <n v="42.350238095238097"/>
    <n v="508.20285714285717"/>
    <n v="508.20285714285717"/>
    <n v="508.20285714285728"/>
    <n v="1016.4057142857145"/>
    <n v="2541.0142857142855"/>
    <s v="No"/>
  </r>
  <r>
    <n v="2111"/>
    <n v="305959"/>
    <s v="P"/>
    <s v="Capitalized"/>
    <s v="10 Gal MSW Cart inserts"/>
    <m/>
    <m/>
    <n v="100"/>
    <m/>
    <n v="0"/>
    <s v="C/O WASTEQUIP LLC"/>
    <m/>
    <s v="CONTAINERS"/>
    <s v="TBA"/>
    <m/>
    <m/>
    <m/>
    <d v="2023-04-03T00:00:00"/>
    <d v="2023-04-03T00:00:00"/>
    <s v="2111-23-0038-1"/>
    <n v="700"/>
    <n v="14050"/>
    <n v="4013.91"/>
    <n v="14056"/>
    <n v="812.29"/>
    <n v="3201.62"/>
    <n v="382.24"/>
    <n v="54260"/>
    <n v="47.78"/>
    <s v="P"/>
    <m/>
    <m/>
    <s v=" "/>
    <s v="STL"/>
    <s v="YES"/>
    <s v="TBD"/>
    <d v="1899-12-30T00:00:00"/>
    <x v="0"/>
    <n v="4"/>
    <n v="2023"/>
    <n v="2030"/>
    <n v="2030.3333333333333"/>
    <n v="47.784642857142849"/>
    <n v="573.41571428571422"/>
    <n v="573.41571428571422"/>
    <n v="573.41571428571478"/>
    <n v="1146.8314285714291"/>
    <n v="2867.0785714285707"/>
    <s v="No"/>
  </r>
  <r>
    <n v="2111"/>
    <n v="305542"/>
    <n v="304390"/>
    <s v="Capitalized"/>
    <s v="New Security System- Container Storage Yard"/>
    <m/>
    <m/>
    <n v="1"/>
    <m/>
    <n v="0"/>
    <m/>
    <m/>
    <s v="SHOP EQUIPMENT"/>
    <s v="TBA"/>
    <m/>
    <m/>
    <m/>
    <d v="2023-03-07T00:00:00"/>
    <d v="2023-03-07T00:00:00"/>
    <s v="2111-23-0032-2"/>
    <n v="500"/>
    <n v="14070"/>
    <n v="4116.12"/>
    <n v="14076"/>
    <n v="1234.81"/>
    <n v="2881.31"/>
    <n v="548.79999999999995"/>
    <n v="51260"/>
    <n v="68.599999999999994"/>
    <s v="P"/>
    <m/>
    <m/>
    <s v=" "/>
    <s v="STL"/>
    <s v="YES"/>
    <s v="TBD"/>
    <d v="1899-12-30T00:00:00"/>
    <x v="1"/>
    <n v="3"/>
    <n v="2023"/>
    <n v="2028"/>
    <n v="2028.25"/>
    <n v="68.60199999999999"/>
    <n v="823.22399999999993"/>
    <n v="823.22399999999993"/>
    <n v="891.82599999993818"/>
    <n v="1715.0499999999381"/>
    <n v="2401.0700000000616"/>
    <s v="No"/>
  </r>
  <r>
    <n v="2111"/>
    <n v="305503"/>
    <n v="291161"/>
    <s v="Capitalized"/>
    <s v="Fuel Island"/>
    <m/>
    <m/>
    <n v="1"/>
    <m/>
    <n v="0"/>
    <m/>
    <m/>
    <s v="LAND IMPROVEMENTS"/>
    <s v="TBA"/>
    <m/>
    <m/>
    <m/>
    <d v="2023-01-02T00:00:00"/>
    <d v="2023-01-02T00:00:00"/>
    <s v="2111-23-0037-1"/>
    <n v="1000"/>
    <n v="14010"/>
    <n v="154.9"/>
    <n v="14016"/>
    <n v="25.8"/>
    <n v="129.1"/>
    <n v="10.32"/>
    <n v="57260"/>
    <n v="1.29"/>
    <s v="P"/>
    <m/>
    <m/>
    <s v=" "/>
    <s v="STL"/>
    <s v="YES"/>
    <s v="TBD"/>
    <d v="1899-12-30T00:00:00"/>
    <x v="14"/>
    <n v="1"/>
    <n v="2023"/>
    <n v="2033"/>
    <n v="2033.0833333333333"/>
    <n v="1.2908333333333333"/>
    <n v="15.489999999999998"/>
    <n v="15.489999999999998"/>
    <n v="19.362500000000011"/>
    <n v="34.852500000000006"/>
    <n v="120.0475"/>
    <s v="No"/>
  </r>
  <r>
    <n v="2111"/>
    <n v="305425"/>
    <s v="P"/>
    <s v="Capitalized"/>
    <s v="2023 Peterbilt REL Truck-Chassis"/>
    <m/>
    <m/>
    <n v="1"/>
    <s v="3BPDLK0X3PF115379"/>
    <n v="2023"/>
    <m/>
    <m/>
    <s v="TRUCKS AND TRAILERS"/>
    <s v="TBA"/>
    <s v="Rear Loader"/>
    <m/>
    <m/>
    <d v="2023-05-19T00:00:00"/>
    <d v="2023-05-19T00:00:00"/>
    <s v="2111-22-0010-1"/>
    <n v="1000"/>
    <n v="14040"/>
    <n v="196281.06"/>
    <n v="14046"/>
    <n v="24535.17"/>
    <n v="171745.89"/>
    <n v="13085.44"/>
    <n v="51260"/>
    <n v="1635.68"/>
    <s v="P"/>
    <m/>
    <m/>
    <s v=" "/>
    <s v="STL"/>
    <s v="YES"/>
    <s v="TBD"/>
    <d v="1899-12-30T00:00:00"/>
    <x v="2"/>
    <n v="5"/>
    <n v="2023"/>
    <n v="2033"/>
    <n v="2033.4166666666667"/>
    <n v="1635.6755000000001"/>
    <n v="19628.106"/>
    <n v="19628.106"/>
    <n v="17992.430499997019"/>
    <n v="37620.536499997019"/>
    <n v="158660.52350000298"/>
    <s v="No"/>
  </r>
  <r>
    <n v="2111"/>
    <n v="305299"/>
    <s v="P"/>
    <s v="Capitalized"/>
    <s v="2 Yd Rear Load Containers"/>
    <m/>
    <m/>
    <n v="8"/>
    <m/>
    <n v="0"/>
    <s v="PO BOX 80983"/>
    <m/>
    <s v="CONTAINERS"/>
    <s v="TBA"/>
    <m/>
    <s v="2 YD"/>
    <s v="FEL/REL/SL Metal"/>
    <d v="2023-03-09T00:00:00"/>
    <d v="2023-03-09T00:00:00"/>
    <s v="2111-23-0030-1"/>
    <n v="1200"/>
    <n v="14050"/>
    <n v="7480"/>
    <n v="14056"/>
    <n v="934.97"/>
    <n v="6545.03"/>
    <n v="415.52"/>
    <n v="54260"/>
    <n v="51.94"/>
    <s v="P"/>
    <m/>
    <m/>
    <s v=" "/>
    <s v="STL"/>
    <s v="YES"/>
    <s v="TBD"/>
    <d v="1899-12-30T00:00:00"/>
    <x v="1"/>
    <n v="3"/>
    <n v="2023"/>
    <n v="2035"/>
    <n v="2035.25"/>
    <n v="51.94444444444445"/>
    <n v="623.33333333333337"/>
    <n v="623.33333333333337"/>
    <n v="675.27777777773008"/>
    <n v="1298.6111111110636"/>
    <n v="6181.388888888936"/>
    <s v="No"/>
  </r>
  <r>
    <n v="2111"/>
    <n v="305298"/>
    <s v="P"/>
    <s v="Capitalized"/>
    <s v="2 Yd Rear Load Containers"/>
    <m/>
    <m/>
    <n v="16"/>
    <m/>
    <n v="0"/>
    <s v="PO BOX 80983"/>
    <m/>
    <s v="CONTAINERS"/>
    <s v="TBA"/>
    <m/>
    <s v="2 YD"/>
    <s v="FEL/REL/SL Metal"/>
    <d v="2023-03-09T00:00:00"/>
    <d v="2023-03-09T00:00:00"/>
    <s v="2111-23-0030-1"/>
    <n v="1200"/>
    <n v="14050"/>
    <n v="14960"/>
    <n v="14056"/>
    <n v="1870.01"/>
    <n v="13089.99"/>
    <n v="831.12"/>
    <n v="54260"/>
    <n v="103.89"/>
    <s v="P"/>
    <m/>
    <m/>
    <s v=" "/>
    <s v="STL"/>
    <s v="YES"/>
    <s v="TBD"/>
    <d v="1899-12-30T00:00:00"/>
    <x v="1"/>
    <n v="3"/>
    <n v="2023"/>
    <n v="2035"/>
    <n v="2035.25"/>
    <n v="103.8888888888889"/>
    <n v="1246.6666666666667"/>
    <n v="1246.6666666666667"/>
    <n v="1350.5555555554602"/>
    <n v="2597.2222222221271"/>
    <n v="12362.777777777872"/>
    <s v="No"/>
  </r>
  <r>
    <n v="2111"/>
    <n v="304392"/>
    <n v="304390"/>
    <s v="Capitalized"/>
    <s v="New Security System- Tire Shop"/>
    <m/>
    <m/>
    <n v="1"/>
    <m/>
    <n v="0"/>
    <s v="ADT COMMERCIAL"/>
    <m/>
    <s v="SHOP EQUIPMENT"/>
    <s v="TBA"/>
    <m/>
    <m/>
    <m/>
    <d v="2023-03-27T00:00:00"/>
    <d v="2023-03-27T00:00:00"/>
    <s v="2111-23-0032-2"/>
    <n v="500"/>
    <n v="14070"/>
    <n v="1370.93"/>
    <n v="14076"/>
    <n v="388.44"/>
    <n v="982.49"/>
    <n v="182.8"/>
    <n v="51260"/>
    <n v="22.85"/>
    <s v="P"/>
    <m/>
    <m/>
    <s v=" "/>
    <s v="STL"/>
    <s v="YES"/>
    <s v="TBD"/>
    <d v="1899-12-30T00:00:00"/>
    <x v="11"/>
    <n v="3"/>
    <n v="2023"/>
    <n v="2028"/>
    <n v="2028.25"/>
    <n v="22.848833333333335"/>
    <n v="274.18600000000004"/>
    <n v="274.18600000000004"/>
    <n v="297.03483333331246"/>
    <n v="571.2208333333125"/>
    <n v="799.70916666668757"/>
    <s v="No"/>
  </r>
  <r>
    <n v="2111"/>
    <n v="304391"/>
    <n v="301652"/>
    <s v="Capitalized"/>
    <s v="New Security System- Tire Shop"/>
    <m/>
    <m/>
    <n v="1"/>
    <m/>
    <n v="0"/>
    <s v="ADT COMMERCIAL"/>
    <m/>
    <s v="SHOP EQUIPMENT"/>
    <s v="TBA"/>
    <m/>
    <m/>
    <m/>
    <d v="2023-02-17T00:00:00"/>
    <d v="2023-02-17T00:00:00"/>
    <s v="2111-23-0032-1"/>
    <n v="500"/>
    <n v="14070"/>
    <n v="1033"/>
    <n v="14076"/>
    <n v="309.93"/>
    <n v="723.06999999999994"/>
    <n v="137.76"/>
    <n v="51260"/>
    <n v="17.22"/>
    <s v="P"/>
    <m/>
    <m/>
    <s v=" "/>
    <s v="STL"/>
    <s v="YES"/>
    <s v="TBD"/>
    <d v="1899-12-30T00:00:00"/>
    <x v="11"/>
    <n v="2"/>
    <n v="2023"/>
    <n v="2028"/>
    <n v="2028.1666666666667"/>
    <n v="17.216666666666665"/>
    <n v="206.59999999999997"/>
    <n v="206.59999999999997"/>
    <n v="241.03333333330204"/>
    <n v="447.63333333330201"/>
    <n v="585.36666666669794"/>
    <s v="No"/>
  </r>
  <r>
    <n v="2111"/>
    <n v="304390"/>
    <s v="P"/>
    <s v="Capitalized"/>
    <s v="New Security System- Container Storage Yard"/>
    <m/>
    <m/>
    <n v="1"/>
    <m/>
    <n v="0"/>
    <s v="ADT COMMERCIAL"/>
    <m/>
    <s v="SHOP EQUIPMENT"/>
    <s v="TBA"/>
    <m/>
    <m/>
    <m/>
    <d v="2023-03-27T00:00:00"/>
    <d v="2023-03-27T00:00:00"/>
    <s v="2111-23-0032-2"/>
    <n v="500"/>
    <n v="14070"/>
    <n v="3214.81"/>
    <n v="14076"/>
    <n v="910.86"/>
    <n v="2303.9499999999998"/>
    <n v="428.64"/>
    <n v="51260"/>
    <n v="53.58"/>
    <s v="P"/>
    <m/>
    <m/>
    <s v=" "/>
    <s v="STL"/>
    <s v="YES"/>
    <s v="TBD"/>
    <d v="1899-12-30T00:00:00"/>
    <x v="1"/>
    <n v="3"/>
    <n v="2023"/>
    <n v="2028"/>
    <n v="2028.25"/>
    <n v="53.580166666666663"/>
    <n v="642.96199999999999"/>
    <n v="642.96199999999999"/>
    <n v="696.54216666661796"/>
    <n v="1339.5041666666179"/>
    <n v="1875.305833333382"/>
    <s v="No"/>
  </r>
  <r>
    <n v="2111"/>
    <n v="304231"/>
    <n v="102169"/>
    <s v="Capitalized"/>
    <s v="Peterbilt 378 Tractor Engine Replacement"/>
    <m/>
    <m/>
    <n v="1"/>
    <m/>
    <n v="0"/>
    <s v="CUMMINS INC"/>
    <m/>
    <s v="TRUCKS AND TRAILERS"/>
    <s v="TBA"/>
    <s v="Non-Rolling Stock"/>
    <m/>
    <m/>
    <d v="2023-04-21T00:00:00"/>
    <d v="2023-04-21T00:00:00"/>
    <s v="2111-23-0039-1"/>
    <n v="300"/>
    <n v="14040"/>
    <n v="43585.65"/>
    <n v="14046"/>
    <n v="19371.37"/>
    <n v="24214.280000000002"/>
    <n v="9685.68"/>
    <n v="51260"/>
    <n v="1210.71"/>
    <s v="P"/>
    <m/>
    <m/>
    <s v=" "/>
    <s v="STL"/>
    <s v="YES"/>
    <s v="TBD"/>
    <d v="1899-12-30T00:00:00"/>
    <x v="2"/>
    <n v="4"/>
    <n v="2023"/>
    <n v="2026"/>
    <n v="2026.3333333333333"/>
    <n v="1210.7125000000001"/>
    <n v="14528.550000000001"/>
    <n v="14528.550000000001"/>
    <n v="14528.55"/>
    <n v="29057.1"/>
    <n v="14528.550000000003"/>
    <s v="No"/>
  </r>
  <r>
    <n v="2111"/>
    <n v="303990"/>
    <s v="P"/>
    <s v="Capitalized"/>
    <s v="2022 International REL Truck"/>
    <m/>
    <m/>
    <n v="1"/>
    <s v="3HAEKTAR7NL467064"/>
    <n v="2022"/>
    <m/>
    <m/>
    <s v="TRUCKS AND TRAILERS"/>
    <s v="TBA"/>
    <s v="Rear Loader"/>
    <m/>
    <m/>
    <d v="2023-04-14T00:00:00"/>
    <d v="2023-04-14T00:00:00"/>
    <s v="2111-22-0029-1"/>
    <n v="1000"/>
    <n v="14040"/>
    <n v="215072.21"/>
    <n v="14046"/>
    <n v="30468.58"/>
    <n v="184603.63"/>
    <n v="14338.16"/>
    <n v="51260"/>
    <n v="1792.27"/>
    <s v="P"/>
    <m/>
    <m/>
    <s v=" "/>
    <s v="STL"/>
    <s v="YES"/>
    <s v="TBD"/>
    <d v="1899-12-30T00:00:00"/>
    <x v="2"/>
    <n v="4"/>
    <n v="2023"/>
    <n v="2033"/>
    <n v="2033.3333333333333"/>
    <n v="1792.2684166666666"/>
    <n v="21507.220999999998"/>
    <n v="21507.220999999998"/>
    <n v="21507.22099999999"/>
    <n v="43014.441999999988"/>
    <n v="172057.76800000001"/>
    <s v="No"/>
  </r>
  <r>
    <n v="2111"/>
    <n v="303699"/>
    <s v="P"/>
    <s v="Capitalized"/>
    <s v="2022 International REL Truck"/>
    <m/>
    <m/>
    <n v="1"/>
    <s v="3HAEKTAR0NL467066"/>
    <n v="2022"/>
    <m/>
    <m/>
    <s v="TRUCKS AND TRAILERS"/>
    <s v="TBA"/>
    <s v="Rear Loader"/>
    <m/>
    <m/>
    <d v="2023-04-14T00:00:00"/>
    <d v="2023-04-14T00:00:00"/>
    <s v="2111-22-0030-1"/>
    <n v="1000"/>
    <n v="14040"/>
    <n v="215072.21"/>
    <n v="14046"/>
    <n v="30468.58"/>
    <n v="184603.63"/>
    <n v="14338.16"/>
    <n v="51260"/>
    <n v="1792.27"/>
    <s v="P"/>
    <m/>
    <m/>
    <s v=" "/>
    <s v="STL"/>
    <s v="YES"/>
    <s v="TBD"/>
    <d v="1899-12-30T00:00:00"/>
    <x v="2"/>
    <n v="4"/>
    <n v="2023"/>
    <n v="2033"/>
    <n v="2033.3333333333333"/>
    <n v="1792.2684166666666"/>
    <n v="21507.220999999998"/>
    <n v="21507.220999999998"/>
    <n v="21507.22099999999"/>
    <n v="43014.441999999988"/>
    <n v="172057.76800000001"/>
    <s v="No"/>
  </r>
  <r>
    <n v="2111"/>
    <n v="303373"/>
    <s v="P"/>
    <s v="Capitalized"/>
    <s v="4 YD Front Load Containers w/ Lockbars"/>
    <m/>
    <m/>
    <n v="9"/>
    <m/>
    <n v="0"/>
    <s v="CAPITAL INDUSTRIES INC"/>
    <m/>
    <s v="CONTAINERS"/>
    <s v="TBA"/>
    <m/>
    <s v="4 YD"/>
    <s v="FEL/REL/SL Metal"/>
    <d v="2023-03-09T00:00:00"/>
    <d v="2023-03-09T00:00:00"/>
    <s v="2111-23-0030-1"/>
    <n v="1200"/>
    <n v="14050"/>
    <n v="10444.5"/>
    <n v="14056"/>
    <n v="1305.55"/>
    <n v="9138.9500000000007"/>
    <n v="580.24"/>
    <n v="54260"/>
    <n v="72.53"/>
    <s v="P"/>
    <m/>
    <m/>
    <s v=" "/>
    <s v="STL"/>
    <s v="YES"/>
    <s v="TBD"/>
    <d v="1899-12-30T00:00:00"/>
    <x v="1"/>
    <n v="3"/>
    <n v="2023"/>
    <n v="2035"/>
    <n v="2035.25"/>
    <n v="72.53125"/>
    <n v="870.375"/>
    <n v="870.375"/>
    <n v="942.90624999993452"/>
    <n v="1813.2812499999345"/>
    <n v="8631.2187500000655"/>
    <s v="No"/>
  </r>
  <r>
    <n v="2111"/>
    <n v="303372"/>
    <s v="P"/>
    <s v="Capitalized"/>
    <s v="4 Yd Front Load Containers"/>
    <m/>
    <m/>
    <n v="4"/>
    <m/>
    <n v="0"/>
    <s v="CAPITAL INDUSTRIES INC"/>
    <m/>
    <s v="CONTAINERS"/>
    <s v="TBA"/>
    <m/>
    <s v="4 YD"/>
    <s v="FEL/REL/SL Metal"/>
    <d v="2023-03-09T00:00:00"/>
    <d v="2023-03-09T00:00:00"/>
    <s v="2111-23-0030-2"/>
    <n v="1200"/>
    <n v="14050"/>
    <n v="4642"/>
    <n v="14056"/>
    <n v="580.28"/>
    <n v="4061.7200000000003"/>
    <n v="257.92"/>
    <n v="54260"/>
    <n v="32.24"/>
    <s v="P"/>
    <m/>
    <m/>
    <s v=" "/>
    <s v="STL"/>
    <s v="YES"/>
    <s v="TBD"/>
    <d v="1899-12-30T00:00:00"/>
    <x v="1"/>
    <n v="3"/>
    <n v="2023"/>
    <n v="2035"/>
    <n v="2035.25"/>
    <n v="32.236111111111107"/>
    <n v="386.83333333333326"/>
    <n v="386.83333333333326"/>
    <n v="419.06944444441524"/>
    <n v="805.9027777777485"/>
    <n v="3836.0972222222517"/>
    <s v="No"/>
  </r>
  <r>
    <n v="2111"/>
    <n v="303371"/>
    <s v="P"/>
    <s v="Capitalized"/>
    <s v="4 Yd Front Load Containers"/>
    <m/>
    <m/>
    <n v="10"/>
    <m/>
    <n v="0"/>
    <s v="CAPITAL INDUSTRIES INC"/>
    <m/>
    <s v="CONTAINERS"/>
    <s v="TBA"/>
    <m/>
    <s v="4 YD"/>
    <s v="FEL/REL/SL Metal"/>
    <d v="2023-03-09T00:00:00"/>
    <d v="2023-03-09T00:00:00"/>
    <s v="2111-23-0030-2"/>
    <n v="1200"/>
    <n v="14050"/>
    <n v="11605"/>
    <n v="14056"/>
    <n v="1450.62"/>
    <n v="10154.380000000001"/>
    <n v="644.72"/>
    <n v="54260"/>
    <n v="80.59"/>
    <s v="P"/>
    <m/>
    <m/>
    <s v=" "/>
    <s v="STL"/>
    <s v="YES"/>
    <s v="TBD"/>
    <d v="1899-12-30T00:00:00"/>
    <x v="1"/>
    <n v="3"/>
    <n v="2023"/>
    <n v="2035"/>
    <n v="2035.25"/>
    <n v="80.590277777777786"/>
    <n v="967.08333333333348"/>
    <n v="967.08333333333348"/>
    <n v="1047.6736111110367"/>
    <n v="2014.7569444443702"/>
    <n v="9590.2430555556293"/>
    <s v="No"/>
  </r>
  <r>
    <n v="2111"/>
    <n v="303370"/>
    <s v="P"/>
    <s v="Capitalized"/>
    <s v="4 Yd Front Load Containers"/>
    <m/>
    <m/>
    <n v="10"/>
    <m/>
    <n v="0"/>
    <s v="CAPITAL INDUSTRIES INC"/>
    <m/>
    <s v="CONTAINERS"/>
    <s v="TBA"/>
    <m/>
    <s v="4 YD"/>
    <s v="FEL/REL/SL Metal"/>
    <d v="2023-03-09T00:00:00"/>
    <d v="2023-03-09T00:00:00"/>
    <s v="2111-23-0030-2"/>
    <n v="1200"/>
    <n v="14050"/>
    <n v="11605"/>
    <n v="14056"/>
    <n v="1450.62"/>
    <n v="10154.380000000001"/>
    <n v="644.72"/>
    <n v="54260"/>
    <n v="80.59"/>
    <s v="P"/>
    <m/>
    <m/>
    <s v=" "/>
    <s v="STL"/>
    <s v="YES"/>
    <s v="TBD"/>
    <d v="1899-12-30T00:00:00"/>
    <x v="1"/>
    <n v="3"/>
    <n v="2023"/>
    <n v="2035"/>
    <n v="2035.25"/>
    <n v="80.590277777777786"/>
    <n v="967.08333333333348"/>
    <n v="967.08333333333348"/>
    <n v="1047.6736111110367"/>
    <n v="2014.7569444443702"/>
    <n v="9590.2430555556293"/>
    <s v="No"/>
  </r>
  <r>
    <n v="2111"/>
    <n v="303369"/>
    <s v="P"/>
    <s v="Capitalized"/>
    <s v="4 Yd Front Load Containers"/>
    <m/>
    <m/>
    <n v="5"/>
    <m/>
    <n v="0"/>
    <s v="CAPITAL INDUSTRIES INC"/>
    <m/>
    <s v="CONTAINERS"/>
    <s v="TBA"/>
    <m/>
    <s v="4 YD"/>
    <s v="FEL/REL/SL Metal"/>
    <d v="2023-03-09T00:00:00"/>
    <d v="2023-03-09T00:00:00"/>
    <s v="2111-23-0030-1"/>
    <n v="1200"/>
    <n v="14050"/>
    <n v="5802.5"/>
    <n v="14056"/>
    <n v="725.35"/>
    <n v="5077.1499999999996"/>
    <n v="322.39999999999998"/>
    <n v="54260"/>
    <n v="40.299999999999997"/>
    <s v="P"/>
    <m/>
    <m/>
    <s v=" "/>
    <s v="STL"/>
    <s v="YES"/>
    <s v="TBD"/>
    <d v="1899-12-30T00:00:00"/>
    <x v="1"/>
    <n v="3"/>
    <n v="2023"/>
    <n v="2035"/>
    <n v="2035.25"/>
    <n v="40.295138888888893"/>
    <n v="483.54166666666674"/>
    <n v="483.54166666666674"/>
    <n v="523.83680555551837"/>
    <n v="1007.3784722221851"/>
    <n v="4795.1215277778147"/>
    <s v="No"/>
  </r>
  <r>
    <n v="2111"/>
    <n v="303368"/>
    <s v="P"/>
    <s v="Capitalized"/>
    <s v="4 Yd Front Load Containers"/>
    <m/>
    <m/>
    <n v="2"/>
    <m/>
    <n v="0"/>
    <s v="CAPITAL INDUSTRIES INC"/>
    <m/>
    <s v="CONTAINERS"/>
    <s v="TBA"/>
    <m/>
    <s v="4 YD"/>
    <s v="FEL/REL/SL Metal"/>
    <d v="2023-03-09T00:00:00"/>
    <d v="2023-03-09T00:00:00"/>
    <s v="2111-23-0030-1"/>
    <n v="1200"/>
    <n v="14050"/>
    <n v="2321"/>
    <n v="14056"/>
    <n v="290.14"/>
    <n v="2030.8600000000001"/>
    <n v="128.96"/>
    <n v="54260"/>
    <n v="16.12"/>
    <s v="P"/>
    <m/>
    <m/>
    <s v=" "/>
    <s v="STL"/>
    <s v="YES"/>
    <s v="TBD"/>
    <d v="1899-12-30T00:00:00"/>
    <x v="1"/>
    <n v="3"/>
    <n v="2023"/>
    <n v="2035"/>
    <n v="2035.25"/>
    <n v="16.118055555555554"/>
    <n v="193.41666666666663"/>
    <n v="193.41666666666663"/>
    <n v="209.53472222220762"/>
    <n v="402.95138888887425"/>
    <n v="1918.0486111111259"/>
    <s v="No"/>
  </r>
  <r>
    <n v="2111"/>
    <n v="303362"/>
    <s v="P"/>
    <s v="Capitalized"/>
    <s v="2 Yd Rear Load Containers"/>
    <m/>
    <m/>
    <n v="1"/>
    <m/>
    <n v="0"/>
    <s v="CAPITAL INDUSTRIES INC"/>
    <m/>
    <s v="CONTAINERS"/>
    <s v="TBA"/>
    <m/>
    <s v="2 YD"/>
    <s v="FEL/REL/SL Metal"/>
    <d v="2023-03-09T00:00:00"/>
    <d v="2023-03-09T00:00:00"/>
    <s v="2111-23-0030-1"/>
    <n v="1200"/>
    <n v="14050"/>
    <n v="874.5"/>
    <n v="14056"/>
    <n v="109.29"/>
    <n v="765.21"/>
    <n v="48.56"/>
    <n v="54260"/>
    <n v="6.07"/>
    <s v="P"/>
    <m/>
    <m/>
    <s v=" "/>
    <s v="STL"/>
    <s v="YES"/>
    <s v="TBD"/>
    <d v="1899-12-30T00:00:00"/>
    <x v="1"/>
    <n v="3"/>
    <n v="2023"/>
    <n v="2035"/>
    <n v="2035.25"/>
    <n v="6.072916666666667"/>
    <n v="72.875"/>
    <n v="72.875"/>
    <n v="78.947916666661058"/>
    <n v="151.82291666666106"/>
    <n v="722.67708333333894"/>
    <s v="No"/>
  </r>
  <r>
    <n v="2111"/>
    <n v="303361"/>
    <s v="P"/>
    <s v="Capitalized"/>
    <s v="2 Yd Rear Load Containers"/>
    <m/>
    <m/>
    <n v="8"/>
    <m/>
    <n v="0"/>
    <s v="CAPITAL INDUSTRIES INC"/>
    <m/>
    <s v="CONTAINERS"/>
    <s v="TBA"/>
    <m/>
    <s v="2 YD"/>
    <s v="FEL/REL/SL Metal"/>
    <d v="2023-03-09T00:00:00"/>
    <d v="2023-03-09T00:00:00"/>
    <s v="2111-23-0030-1"/>
    <n v="1200"/>
    <n v="14050"/>
    <n v="6996"/>
    <n v="14056"/>
    <n v="874.47"/>
    <n v="6121.53"/>
    <n v="388.64"/>
    <n v="54260"/>
    <n v="48.58"/>
    <s v="P"/>
    <m/>
    <m/>
    <s v=" "/>
    <s v="STL"/>
    <s v="YES"/>
    <s v="TBD"/>
    <d v="1899-12-30T00:00:00"/>
    <x v="1"/>
    <n v="3"/>
    <n v="2023"/>
    <n v="2035"/>
    <n v="2035.25"/>
    <n v="48.583333333333336"/>
    <n v="583"/>
    <n v="583"/>
    <n v="631.58333333328846"/>
    <n v="1214.5833333332885"/>
    <n v="5781.4166666667115"/>
    <s v="No"/>
  </r>
  <r>
    <n v="2111"/>
    <n v="303360"/>
    <s v="P"/>
    <s v="Capitalized"/>
    <s v="2 Yd Rear Load Containers"/>
    <m/>
    <m/>
    <n v="15"/>
    <m/>
    <n v="0"/>
    <s v="CAPITAL INDUSTRIES INC"/>
    <m/>
    <s v="CONTAINERS"/>
    <s v="TBA"/>
    <m/>
    <s v="2 YD"/>
    <s v="FEL/REL/SL Metal"/>
    <d v="2023-03-09T00:00:00"/>
    <d v="2023-03-09T00:00:00"/>
    <s v="2111-23-0030-1"/>
    <n v="1200"/>
    <n v="14050"/>
    <n v="13117.5"/>
    <n v="14056"/>
    <n v="1639.66"/>
    <n v="11477.84"/>
    <n v="728.72"/>
    <n v="54260"/>
    <n v="91.09"/>
    <s v="P"/>
    <m/>
    <m/>
    <s v=" "/>
    <s v="STL"/>
    <s v="YES"/>
    <s v="TBD"/>
    <d v="1899-12-30T00:00:00"/>
    <x v="1"/>
    <n v="3"/>
    <n v="2023"/>
    <n v="2035"/>
    <n v="2035.25"/>
    <n v="91.09375"/>
    <n v="1093.125"/>
    <n v="1093.125"/>
    <n v="1184.2187499999163"/>
    <n v="2277.3437499999163"/>
    <n v="10840.156250000084"/>
    <s v="No"/>
  </r>
  <r>
    <n v="2111"/>
    <n v="303359"/>
    <s v="P"/>
    <s v="Capitalized"/>
    <s v="2 Yd Rear Load Containers"/>
    <m/>
    <m/>
    <n v="1"/>
    <m/>
    <n v="0"/>
    <s v="CAPITAL INDUSTRIES INC"/>
    <m/>
    <s v="CONTAINERS"/>
    <s v="TBA"/>
    <m/>
    <s v="2 YD"/>
    <s v="FEL/REL/SL Metal"/>
    <d v="2023-03-09T00:00:00"/>
    <d v="2023-03-09T00:00:00"/>
    <s v="2111-23-0030-1"/>
    <n v="1200"/>
    <n v="14050"/>
    <n v="935"/>
    <n v="14056"/>
    <n v="116.85"/>
    <n v="818.15"/>
    <n v="51.92"/>
    <n v="54260"/>
    <n v="6.49"/>
    <s v="P"/>
    <m/>
    <m/>
    <s v=" "/>
    <s v="STL"/>
    <s v="YES"/>
    <s v="TBD"/>
    <d v="1899-12-30T00:00:00"/>
    <x v="1"/>
    <n v="3"/>
    <n v="2023"/>
    <n v="2035"/>
    <n v="2035.25"/>
    <n v="6.4930555555555562"/>
    <n v="77.916666666666671"/>
    <n v="77.916666666666671"/>
    <n v="84.40972222221626"/>
    <n v="162.32638888888295"/>
    <n v="772.673611111117"/>
    <s v="No"/>
  </r>
  <r>
    <n v="2111"/>
    <n v="303358"/>
    <s v="P"/>
    <s v="Capitalized"/>
    <s v="2 Yd Rear Load Containers"/>
    <m/>
    <m/>
    <n v="8"/>
    <m/>
    <n v="0"/>
    <s v="CAPITAL INDUSTRIES INC"/>
    <m/>
    <s v="CONTAINERS"/>
    <s v="TBA"/>
    <m/>
    <s v="2 YD"/>
    <s v="FEL/REL/SL Metal"/>
    <d v="2023-03-09T00:00:00"/>
    <d v="2023-03-09T00:00:00"/>
    <s v="2111-23-0030-1"/>
    <n v="1200"/>
    <n v="14050"/>
    <n v="7480"/>
    <n v="14056"/>
    <n v="934.97"/>
    <n v="6545.03"/>
    <n v="415.52"/>
    <n v="54260"/>
    <n v="51.94"/>
    <s v="P"/>
    <m/>
    <m/>
    <s v=" "/>
    <s v="STL"/>
    <s v="YES"/>
    <s v="TBD"/>
    <d v="1899-12-30T00:00:00"/>
    <x v="1"/>
    <n v="3"/>
    <n v="2023"/>
    <n v="2035"/>
    <n v="2035.25"/>
    <n v="51.94444444444445"/>
    <n v="623.33333333333337"/>
    <n v="623.33333333333337"/>
    <n v="675.27777777773008"/>
    <n v="1298.6111111110636"/>
    <n v="6181.388888888936"/>
    <s v="No"/>
  </r>
  <r>
    <n v="2111"/>
    <n v="303357"/>
    <s v="P"/>
    <s v="Capitalized"/>
    <s v="2 Yd Rear Load Containers"/>
    <m/>
    <m/>
    <n v="16"/>
    <m/>
    <n v="0"/>
    <s v="CAPITAL INDUSTRIES INC"/>
    <m/>
    <s v="CONTAINERS"/>
    <s v="TBA"/>
    <m/>
    <s v="2 YD"/>
    <s v="FEL/REL/SL Metal"/>
    <d v="2023-03-09T00:00:00"/>
    <d v="2023-03-09T00:00:00"/>
    <s v="2111-23-0030-1"/>
    <n v="1200"/>
    <n v="14050"/>
    <n v="13992"/>
    <n v="14056"/>
    <n v="1749.03"/>
    <n v="12242.97"/>
    <n v="777.36"/>
    <n v="54260"/>
    <n v="97.17"/>
    <s v="P"/>
    <m/>
    <m/>
    <s v=" "/>
    <s v="STL"/>
    <s v="YES"/>
    <s v="TBD"/>
    <d v="1899-12-30T00:00:00"/>
    <x v="1"/>
    <n v="3"/>
    <n v="2023"/>
    <n v="2035"/>
    <n v="2035.25"/>
    <n v="97.166666666666671"/>
    <n v="1166"/>
    <n v="1166"/>
    <n v="1263.1666666665769"/>
    <n v="2429.1666666665769"/>
    <n v="11562.833333333423"/>
    <s v="No"/>
  </r>
  <r>
    <n v="2111"/>
    <n v="303356"/>
    <s v="P"/>
    <s v="Capitalized"/>
    <s v="2 Yd Rear Load Containers"/>
    <m/>
    <m/>
    <n v="7"/>
    <m/>
    <n v="0"/>
    <s v="CAPITAL INDUSTRIES INC"/>
    <m/>
    <s v="CONTAINERS"/>
    <s v="TBA"/>
    <m/>
    <s v="2 YD"/>
    <s v="FEL/REL/SL Metal"/>
    <d v="2023-03-09T00:00:00"/>
    <d v="2023-03-09T00:00:00"/>
    <s v="2111-23-0030-1"/>
    <n v="1200"/>
    <n v="14050"/>
    <n v="6545"/>
    <n v="14056"/>
    <n v="818.11"/>
    <n v="5726.89"/>
    <n v="363.6"/>
    <n v="54260"/>
    <n v="45.45"/>
    <s v="P"/>
    <m/>
    <m/>
    <s v=" "/>
    <s v="STL"/>
    <s v="YES"/>
    <s v="TBD"/>
    <d v="1899-12-30T00:00:00"/>
    <x v="1"/>
    <n v="3"/>
    <n v="2023"/>
    <n v="2035"/>
    <n v="2035.25"/>
    <n v="45.451388888888886"/>
    <n v="545.41666666666663"/>
    <n v="545.41666666666663"/>
    <n v="590.86805555551473"/>
    <n v="1136.2847222221812"/>
    <n v="5408.7152777778192"/>
    <s v="No"/>
  </r>
  <r>
    <n v="2111"/>
    <n v="302420"/>
    <s v="P"/>
    <s v="Capitalized"/>
    <s v="2019 Peterbilt Transfer Tractor"/>
    <m/>
    <m/>
    <n v="1"/>
    <s v="1XPCPP9X8KD606562"/>
    <n v="2019"/>
    <m/>
    <m/>
    <s v="TRUCKS AND TRAILERS"/>
    <s v="TBA"/>
    <s v="Road Tractor"/>
    <m/>
    <m/>
    <d v="2021-08-02T00:00:00"/>
    <d v="2021-08-02T00:00:00"/>
    <s v="2112-21-0029"/>
    <n v="700"/>
    <n v="14040"/>
    <n v="131947.5"/>
    <n v="14046"/>
    <n v="58119.7"/>
    <n v="73827.8"/>
    <n v="12566.4"/>
    <n v="51260"/>
    <n v="1570.8"/>
    <s v="P"/>
    <m/>
    <n v="158"/>
    <s v=" "/>
    <s v="STL"/>
    <s v="YES"/>
    <s v="TBD"/>
    <d v="1899-12-30T00:00:00"/>
    <x v="9"/>
    <n v="8"/>
    <n v="2021"/>
    <n v="2028"/>
    <n v="2028.6666666666667"/>
    <n v="1570.8035714285716"/>
    <n v="18849.642857142859"/>
    <n v="18849.642857142859"/>
    <n v="50265.714285711423"/>
    <n v="69115.357142854278"/>
    <n v="62832.142857145722"/>
    <s v="No"/>
  </r>
  <r>
    <n v="2111"/>
    <n v="301699"/>
    <n v="301698"/>
    <s v="Capitalized"/>
    <s v="HP USB-C G5 Essential Dock - SN: 5CG244VQ4H"/>
    <m/>
    <m/>
    <n v="1"/>
    <m/>
    <n v="0"/>
    <s v="CDW DIR #14111"/>
    <m/>
    <s v="HARDWARE AND SOFTWARE"/>
    <s v="TBA"/>
    <m/>
    <m/>
    <m/>
    <d v="2023-03-07T00:00:00"/>
    <d v="2023-03-07T00:00:00"/>
    <s v="2111-23-0036-1"/>
    <n v="300"/>
    <n v="14110"/>
    <n v="270.11"/>
    <n v="14116"/>
    <n v="135.03"/>
    <n v="135.08000000000001"/>
    <n v="60"/>
    <n v="70260"/>
    <n v="7.5"/>
    <s v="P"/>
    <m/>
    <m/>
    <s v=" "/>
    <s v="STL"/>
    <s v="YES"/>
    <s v="TBD"/>
    <d v="1899-12-30T00:00:00"/>
    <x v="6"/>
    <n v="3"/>
    <n v="2023"/>
    <n v="2026"/>
    <n v="2026.25"/>
    <n v="7.503055555555556"/>
    <n v="90.036666666666676"/>
    <n v="90.036666666666676"/>
    <n v="97.539722222215403"/>
    <n v="187.57638888888209"/>
    <n v="82.533611111117921"/>
    <s v="No"/>
  </r>
  <r>
    <n v="2111"/>
    <n v="301698"/>
    <s v="P"/>
    <s v="Capitalized"/>
    <s v="HP ProBook 450 G9 Notebook - SN: 5CD3072ZSJ"/>
    <m/>
    <m/>
    <n v="1"/>
    <m/>
    <n v="0"/>
    <s v="CDW DIR #14111"/>
    <m/>
    <s v="HARDWARE AND SOFTWARE"/>
    <s v="TBA"/>
    <m/>
    <m/>
    <m/>
    <d v="2023-03-07T00:00:00"/>
    <d v="2023-03-07T00:00:00"/>
    <s v="2111-23-0036-1"/>
    <n v="300"/>
    <n v="14110"/>
    <n v="1033.43"/>
    <n v="14116"/>
    <n v="516.74"/>
    <n v="516.69000000000005"/>
    <n v="229.68"/>
    <n v="70260"/>
    <n v="28.71"/>
    <s v="P"/>
    <m/>
    <m/>
    <s v=" "/>
    <s v="STL"/>
    <s v="YES"/>
    <s v="TBD"/>
    <d v="1899-12-30T00:00:00"/>
    <x v="6"/>
    <n v="3"/>
    <n v="2023"/>
    <n v="2026"/>
    <n v="2026.25"/>
    <n v="28.706388888888892"/>
    <n v="344.47666666666669"/>
    <n v="344.47666666666669"/>
    <n v="373.18305555552945"/>
    <n v="717.65972222219614"/>
    <n v="315.77027777780393"/>
    <s v="No"/>
  </r>
  <r>
    <n v="2111"/>
    <n v="301652"/>
    <s v="P"/>
    <s v="Capitalized"/>
    <s v="New Security System - Tire Shop"/>
    <m/>
    <m/>
    <n v="1"/>
    <m/>
    <n v="0"/>
    <s v="ADT COMMERCIAL"/>
    <m/>
    <s v="SHOP EQUIPMENT"/>
    <s v="TBA"/>
    <m/>
    <m/>
    <m/>
    <d v="2023-02-17T00:00:00"/>
    <d v="2023-02-17T00:00:00"/>
    <s v="2111-23-0032-1"/>
    <n v="500"/>
    <n v="14070"/>
    <n v="1377.77"/>
    <n v="14076"/>
    <n v="413.31"/>
    <n v="964.46"/>
    <n v="183.68"/>
    <n v="51260"/>
    <n v="22.96"/>
    <s v="P"/>
    <m/>
    <m/>
    <s v=" "/>
    <s v="STL"/>
    <s v="YES"/>
    <s v="TBD"/>
    <d v="1899-12-30T00:00:00"/>
    <x v="11"/>
    <n v="2"/>
    <n v="2023"/>
    <n v="2028"/>
    <n v="2028.1666666666667"/>
    <n v="22.962833333333332"/>
    <n v="275.55399999999997"/>
    <n v="275.55399999999997"/>
    <n v="321.47966666662501"/>
    <n v="597.03366666662498"/>
    <n v="780.736333333375"/>
    <s v="No"/>
  </r>
  <r>
    <n v="2111"/>
    <n v="301546"/>
    <n v="298302"/>
    <s v="Capitalized"/>
    <s v="Install Lift Gate-2022 Van"/>
    <m/>
    <m/>
    <n v="1"/>
    <m/>
    <n v="0"/>
    <s v="NATIONAL TRUCK AND PAINT"/>
    <m/>
    <s v="TRUCKS AND TRAILERS"/>
    <s v="TBA"/>
    <s v="Non-Rolling Stock"/>
    <m/>
    <m/>
    <d v="2023-02-06T00:00:00"/>
    <d v="2023-02-06T00:00:00"/>
    <s v="2111-23-0034-1"/>
    <n v="300"/>
    <n v="14040"/>
    <n v="8811.31"/>
    <n v="14046"/>
    <n v="4650.43"/>
    <n v="4160.8799999999992"/>
    <n v="1958.08"/>
    <n v="51260"/>
    <n v="244.76"/>
    <s v="P"/>
    <m/>
    <m/>
    <s v=" "/>
    <s v="STL"/>
    <s v="YES"/>
    <s v="TBD"/>
    <d v="1899-12-30T00:00:00"/>
    <x v="3"/>
    <n v="2"/>
    <n v="2023"/>
    <n v="2026"/>
    <n v="2026.1666666666667"/>
    <n v="244.75861111111109"/>
    <n v="2937.103333333333"/>
    <n v="2937.103333333333"/>
    <n v="3426.6205555551105"/>
    <n v="6363.723888888444"/>
    <n v="2447.5861111115555"/>
    <s v="No"/>
  </r>
  <r>
    <n v="2111"/>
    <n v="300746"/>
    <n v="291161"/>
    <s v="Capitalized"/>
    <s v="Fuel Island-Remaining balance"/>
    <m/>
    <m/>
    <n v="1"/>
    <m/>
    <n v="0"/>
    <s v="NORTHWEST PUMP &amp; EQUIPMEN"/>
    <m/>
    <s v="LAND IMPROVEMENTS"/>
    <s v="TBA"/>
    <m/>
    <m/>
    <m/>
    <d v="2023-01-02T00:00:00"/>
    <d v="2023-01-02T00:00:00"/>
    <s v="2111-23-0037-1"/>
    <n v="1000"/>
    <n v="14010"/>
    <n v="10800.76"/>
    <n v="14016"/>
    <n v="1800.16"/>
    <n v="9000.6"/>
    <n v="720.08"/>
    <n v="57260"/>
    <n v="90.01"/>
    <s v="P"/>
    <m/>
    <m/>
    <s v=" "/>
    <s v="STL"/>
    <s v="YES"/>
    <s v="TBD"/>
    <d v="1899-12-30T00:00:00"/>
    <x v="14"/>
    <n v="1"/>
    <n v="2023"/>
    <n v="2033"/>
    <n v="2033.0833333333333"/>
    <n v="90.00633333333333"/>
    <n v="1080.076"/>
    <n v="1080.076"/>
    <n v="1350.0950000000012"/>
    <n v="2430.1710000000012"/>
    <n v="8370.5889999999999"/>
    <s v="No"/>
  </r>
  <r>
    <n v="2111"/>
    <n v="300332"/>
    <s v="P"/>
    <s v="Capitalized"/>
    <s v="HP ProBook 450 G9 Notebook -Wolf Pro Security - 15.6 - SN: 5CD3031V42"/>
    <m/>
    <m/>
    <n v="1"/>
    <m/>
    <n v="0"/>
    <s v="CDW DIR #70302"/>
    <m/>
    <s v="HARDWARE AND SOFTWARE"/>
    <s v="TBA"/>
    <m/>
    <m/>
    <m/>
    <d v="2023-02-02T00:00:00"/>
    <d v="2023-02-02T00:00:00"/>
    <s v="2111-23-0033-1"/>
    <n v="300"/>
    <n v="14110"/>
    <n v="1304.52"/>
    <n v="14116"/>
    <n v="688.52"/>
    <n v="616"/>
    <n v="289.92"/>
    <n v="70260"/>
    <n v="36.24"/>
    <s v="P"/>
    <m/>
    <m/>
    <s v=" "/>
    <s v="STL"/>
    <s v="YES"/>
    <s v="TBD"/>
    <d v="1899-12-30T00:00:00"/>
    <x v="6"/>
    <n v="2"/>
    <n v="2023"/>
    <n v="2026"/>
    <n v="2026.1666666666667"/>
    <n v="36.236666666666665"/>
    <n v="434.84"/>
    <n v="434.84"/>
    <n v="507.31333333326745"/>
    <n v="942.15333333326748"/>
    <n v="362.3666666667325"/>
    <s v="No"/>
  </r>
  <r>
    <n v="2111"/>
    <n v="300331"/>
    <s v="P"/>
    <s v="Capitalized"/>
    <s v="New Security System - Labor and Materials"/>
    <m/>
    <m/>
    <n v="1"/>
    <m/>
    <n v="0"/>
    <s v="ADT"/>
    <m/>
    <s v="SHOP EQUIPMENT"/>
    <s v="TBA"/>
    <m/>
    <m/>
    <m/>
    <d v="2023-01-02T00:00:00"/>
    <d v="2023-01-02T00:00:00"/>
    <s v="2111-22-0046-1"/>
    <n v="500"/>
    <n v="14070"/>
    <n v="7112.99"/>
    <n v="14076"/>
    <n v="2371"/>
    <n v="4741.99"/>
    <n v="948.4"/>
    <n v="51260"/>
    <n v="118.55"/>
    <s v="P"/>
    <m/>
    <m/>
    <s v=" "/>
    <s v="STL"/>
    <s v="YES"/>
    <s v="TBD"/>
    <d v="1899-12-30T00:00:00"/>
    <x v="11"/>
    <n v="1"/>
    <n v="2023"/>
    <n v="2028"/>
    <n v="2028.0833333333333"/>
    <n v="118.54983333333332"/>
    <n v="1422.598"/>
    <n v="1422.598"/>
    <n v="1778.2475000000004"/>
    <n v="3200.8455000000004"/>
    <n v="3912.1444999999994"/>
    <s v="No"/>
  </r>
  <r>
    <n v="2111"/>
    <n v="300330"/>
    <s v="P"/>
    <s v="Capitalized"/>
    <s v="New Security System - Labor and Materials"/>
    <m/>
    <m/>
    <n v="1"/>
    <m/>
    <n v="0"/>
    <s v="ADT"/>
    <m/>
    <s v="SHOP EQUIPMENT"/>
    <s v="TBA"/>
    <m/>
    <m/>
    <m/>
    <d v="2023-01-02T00:00:00"/>
    <d v="2023-01-02T00:00:00"/>
    <s v="2111-22-0046-1"/>
    <n v="500"/>
    <n v="14070"/>
    <n v="15012.97"/>
    <n v="14076"/>
    <n v="5004.3500000000004"/>
    <n v="10008.619999999999"/>
    <n v="2001.76"/>
    <n v="51260"/>
    <n v="250.22"/>
    <s v="P"/>
    <m/>
    <m/>
    <s v=" "/>
    <s v="STL"/>
    <s v="YES"/>
    <s v="TBD"/>
    <d v="1899-12-30T00:00:00"/>
    <x v="11"/>
    <n v="1"/>
    <n v="2023"/>
    <n v="2028"/>
    <n v="2028.0833333333333"/>
    <n v="250.21616666666668"/>
    <n v="3002.5940000000001"/>
    <n v="3002.5940000000001"/>
    <n v="3753.2424999999985"/>
    <n v="6755.8364999999985"/>
    <n v="8257.1334999999999"/>
    <s v="No"/>
  </r>
  <r>
    <n v="2111"/>
    <n v="300329"/>
    <s v="P"/>
    <s v="Capitalized"/>
    <s v="New Security System - Labor install charge"/>
    <m/>
    <m/>
    <n v="1"/>
    <m/>
    <n v="0"/>
    <s v="ADT"/>
    <m/>
    <s v="SHOP EQUIPMENT"/>
    <s v="TBA"/>
    <m/>
    <m/>
    <m/>
    <d v="2023-01-02T00:00:00"/>
    <d v="2023-01-02T00:00:00"/>
    <s v="2111-22-0046-1"/>
    <n v="500"/>
    <n v="14070"/>
    <n v="756.8"/>
    <n v="14076"/>
    <n v="252.24"/>
    <n v="504.55999999999995"/>
    <n v="100.88"/>
    <n v="51260"/>
    <n v="12.61"/>
    <s v="P"/>
    <m/>
    <m/>
    <s v=" "/>
    <s v="STL"/>
    <s v="YES"/>
    <s v="TBD"/>
    <d v="1899-12-30T00:00:00"/>
    <x v="11"/>
    <n v="1"/>
    <n v="2023"/>
    <n v="2028"/>
    <n v="2028.0833333333333"/>
    <n v="12.613333333333332"/>
    <n v="151.35999999999999"/>
    <n v="151.35999999999999"/>
    <n v="189.20000000000005"/>
    <n v="340.56000000000006"/>
    <n v="416.2399999999999"/>
    <s v="No"/>
  </r>
  <r>
    <n v="2111"/>
    <n v="300287"/>
    <s v="P"/>
    <s v="Capitalized"/>
    <s v="New Security System"/>
    <m/>
    <m/>
    <n v="1"/>
    <m/>
    <n v="0"/>
    <s v="ADT COMMERCIAL"/>
    <m/>
    <s v="SHOP EQUIPMENT"/>
    <s v="TBA"/>
    <m/>
    <m/>
    <m/>
    <d v="2023-02-28T00:00:00"/>
    <d v="2023-02-28T00:00:00"/>
    <s v="2111-22-0046-1"/>
    <n v="500"/>
    <n v="14070"/>
    <n v="4034"/>
    <n v="14076"/>
    <n v="1210.17"/>
    <n v="2823.83"/>
    <n v="537.84"/>
    <n v="51260"/>
    <n v="67.23"/>
    <s v="P"/>
    <m/>
    <m/>
    <s v=" "/>
    <s v="STL"/>
    <s v="YES"/>
    <s v="TBD"/>
    <d v="1899-12-30T00:00:00"/>
    <x v="11"/>
    <n v="2"/>
    <n v="2023"/>
    <n v="2028"/>
    <n v="2028.1666666666667"/>
    <n v="67.233333333333334"/>
    <n v="806.8"/>
    <n v="806.8"/>
    <n v="941.26666666654455"/>
    <n v="1748.0666666665445"/>
    <n v="2285.9333333334553"/>
    <s v="No"/>
  </r>
  <r>
    <n v="2111"/>
    <n v="300089"/>
    <n v="299121"/>
    <s v="Capitalized"/>
    <s v="License &amp; Registration Truck 1HTEJTAL5NH670278"/>
    <m/>
    <m/>
    <n v="1"/>
    <m/>
    <n v="0"/>
    <s v="WA DOL LIC &amp; REG 31150"/>
    <m/>
    <s v="TRUCKS AND TRAILERS"/>
    <s v="TBA"/>
    <s v="Non-Rolling Stock"/>
    <m/>
    <m/>
    <d v="2023-02-06T00:00:00"/>
    <d v="2023-02-06T00:00:00"/>
    <s v="2111-22-0005-1"/>
    <n v="1000"/>
    <n v="14040"/>
    <n v="1482.43"/>
    <n v="14046"/>
    <n v="234.69"/>
    <n v="1247.74"/>
    <n v="98.8"/>
    <n v="51260"/>
    <n v="12.35"/>
    <s v="P"/>
    <m/>
    <m/>
    <s v=" "/>
    <s v="STL"/>
    <s v="YES"/>
    <s v="TBD"/>
    <d v="1899-12-30T00:00:00"/>
    <x v="2"/>
    <n v="2"/>
    <n v="2023"/>
    <n v="2033"/>
    <n v="2033.1666666666667"/>
    <n v="12.353583333333333"/>
    <n v="148.24299999999999"/>
    <n v="148.24299999999999"/>
    <n v="172.95016666664424"/>
    <n v="321.19316666664423"/>
    <n v="1161.2368333333559"/>
    <s v="No"/>
  </r>
  <r>
    <n v="2111"/>
    <n v="299609"/>
    <n v="291392"/>
    <s v="Capitalized"/>
    <s v="Tire Maintenance Storage Building"/>
    <m/>
    <m/>
    <n v="1"/>
    <m/>
    <n v="0"/>
    <m/>
    <m/>
    <s v="BUILDINGS"/>
    <s v="TBA"/>
    <m/>
    <m/>
    <m/>
    <d v="2023-01-02T00:00:00"/>
    <d v="2023-01-02T00:00:00"/>
    <s v="2111-22-0021"/>
    <n v="1000"/>
    <n v="14080"/>
    <n v="84926.9"/>
    <n v="14086"/>
    <n v="14154.45"/>
    <n v="70772.45"/>
    <n v="5661.76"/>
    <n v="57260"/>
    <n v="707.72"/>
    <s v="P"/>
    <m/>
    <m/>
    <s v=" "/>
    <s v="STL"/>
    <s v="YES"/>
    <s v="TBD"/>
    <d v="1899-12-30T00:00:00"/>
    <x v="11"/>
    <n v="1"/>
    <n v="2023"/>
    <n v="2033"/>
    <n v="2033.0833333333333"/>
    <n v="707.72416666666652"/>
    <n v="8492.6899999999987"/>
    <n v="8492.6899999999987"/>
    <n v="10615.862500000003"/>
    <n v="19108.552500000002"/>
    <n v="65818.347499999989"/>
    <s v="No"/>
  </r>
  <r>
    <n v="2111"/>
    <n v="299571"/>
    <n v="299121"/>
    <s v="Capitalized"/>
    <s v="2023 Peterbilt ASL Truck-Body"/>
    <m/>
    <m/>
    <n v="1"/>
    <s v="3BPDLK0X0PF114125"/>
    <n v="2023"/>
    <m/>
    <m/>
    <s v="TRUCKS AND TRAILERS"/>
    <s v="TBA"/>
    <s v="Automated Side Loader"/>
    <m/>
    <m/>
    <d v="2023-01-02T00:00:00"/>
    <d v="2023-01-02T00:00:00"/>
    <s v="2111-22-0005"/>
    <n v="1000"/>
    <n v="14040"/>
    <n v="203250.03"/>
    <n v="14046"/>
    <n v="33875"/>
    <n v="169375.03"/>
    <n v="13550"/>
    <n v="51260"/>
    <n v="1693.75"/>
    <s v="P"/>
    <m/>
    <m/>
    <s v=" "/>
    <s v="STL"/>
    <s v="YES"/>
    <s v="TBD"/>
    <d v="1899-12-30T00:00:00"/>
    <x v="2"/>
    <n v="1"/>
    <n v="2023"/>
    <n v="2033"/>
    <n v="2033.0833333333333"/>
    <n v="1693.7502500000001"/>
    <n v="20325.003000000001"/>
    <n v="20325.003000000001"/>
    <n v="25406.253750000003"/>
    <n v="45731.25675"/>
    <n v="157518.77325"/>
    <s v="No"/>
  </r>
  <r>
    <n v="2111"/>
    <n v="299292"/>
    <s v="P"/>
    <s v="Capitalized"/>
    <s v="65 GAL MSW CARTS"/>
    <m/>
    <m/>
    <n v="936"/>
    <m/>
    <n v="0"/>
    <s v="REHRIG PACIFIC COMPANY IN"/>
    <m/>
    <s v="CONTAINERS"/>
    <s v="TBA"/>
    <m/>
    <m/>
    <m/>
    <d v="2023-01-02T00:00:00"/>
    <d v="2023-01-02T00:00:00"/>
    <s v="2111-23-0031-1"/>
    <n v="700"/>
    <n v="14050"/>
    <n v="52396.35"/>
    <n v="14056"/>
    <n v="12475.35"/>
    <n v="39921"/>
    <n v="4990.16"/>
    <n v="54260"/>
    <n v="623.77"/>
    <s v="P"/>
    <m/>
    <m/>
    <s v=" "/>
    <s v="STL"/>
    <s v="YES"/>
    <s v="TBD"/>
    <d v="1899-12-30T00:00:00"/>
    <x v="0"/>
    <n v="1"/>
    <n v="2023"/>
    <n v="2030"/>
    <n v="2030.0833333333333"/>
    <n v="623.76607142857142"/>
    <n v="7485.1928571428571"/>
    <n v="7485.1928571428571"/>
    <n v="9356.4910714285725"/>
    <n v="16841.68392857143"/>
    <n v="35554.666071428568"/>
    <s v="No"/>
  </r>
  <r>
    <n v="2111"/>
    <n v="299121"/>
    <s v="P"/>
    <s v="Capitalized"/>
    <s v="2023 Peterbilt ASL Truck-Chassis"/>
    <m/>
    <m/>
    <n v="1"/>
    <s v="3BPDLK0X0PF114125"/>
    <n v="2023"/>
    <m/>
    <m/>
    <s v="TRUCKS AND TRAILERS"/>
    <s v="TBA"/>
    <s v="Automated Side Loader"/>
    <m/>
    <m/>
    <d v="2023-01-02T00:00:00"/>
    <d v="2023-01-02T00:00:00"/>
    <s v="2111-22-0005"/>
    <n v="1000"/>
    <n v="14040"/>
    <n v="201702.8"/>
    <n v="14046"/>
    <n v="33617.160000000003"/>
    <n v="168085.63999999998"/>
    <n v="13446.88"/>
    <n v="51260"/>
    <n v="1680.86"/>
    <s v="P"/>
    <m/>
    <m/>
    <s v=" "/>
    <s v="STL"/>
    <s v="YES"/>
    <s v="TBD"/>
    <d v="1899-12-30T00:00:00"/>
    <x v="2"/>
    <n v="1"/>
    <n v="2023"/>
    <n v="2033"/>
    <n v="2033.0833333333333"/>
    <n v="1680.8566666666666"/>
    <n v="20170.28"/>
    <n v="20170.28"/>
    <n v="25212.850000000006"/>
    <n v="45383.130000000005"/>
    <n v="156319.66999999998"/>
    <s v="No"/>
  </r>
  <r>
    <n v="2111"/>
    <n v="298959"/>
    <n v="298243"/>
    <s v="Capitalized"/>
    <s v="Event recorder- 2023 ASL"/>
    <m/>
    <m/>
    <n v="1"/>
    <m/>
    <n v="0"/>
    <s v="LYTX INC"/>
    <m/>
    <s v="TRUCKS AND TRAILERS"/>
    <s v="TBA"/>
    <s v="Non-Rolling Stock"/>
    <m/>
    <m/>
    <d v="2023-01-02T00:00:00"/>
    <d v="2023-01-02T00:00:00"/>
    <s v="2111-22-0007-1"/>
    <n v="500"/>
    <n v="14040"/>
    <n v="353.65"/>
    <n v="14046"/>
    <n v="117.85"/>
    <n v="235.79999999999998"/>
    <n v="47.12"/>
    <n v="51260"/>
    <n v="5.89"/>
    <s v="P"/>
    <m/>
    <m/>
    <s v=" "/>
    <s v="STL"/>
    <s v="YES"/>
    <s v="TBD"/>
    <d v="1899-12-30T00:00:00"/>
    <x v="2"/>
    <n v="1"/>
    <n v="2023"/>
    <n v="2028"/>
    <n v="2028.0833333333333"/>
    <n v="5.8941666666666661"/>
    <n v="70.72999999999999"/>
    <n v="70.72999999999999"/>
    <n v="88.412500000000023"/>
    <n v="159.14250000000001"/>
    <n v="194.50749999999996"/>
    <s v="No"/>
  </r>
  <r>
    <n v="2111"/>
    <n v="298658"/>
    <n v="299121"/>
    <s v="Capitalized"/>
    <s v="New ASL Peterbilt - Event Recorder"/>
    <m/>
    <m/>
    <n v="1"/>
    <m/>
    <n v="0"/>
    <s v="LYTX INC"/>
    <m/>
    <s v="TRUCKS AND TRAILERS"/>
    <s v="TBA"/>
    <s v="Non-Rolling Stock"/>
    <m/>
    <m/>
    <d v="2023-01-10T00:00:00"/>
    <d v="2023-01-10T00:00:00"/>
    <s v="2111-22-0005-1"/>
    <n v="500"/>
    <n v="14040"/>
    <n v="353.65"/>
    <n v="14046"/>
    <n v="117.85"/>
    <n v="235.79999999999998"/>
    <n v="47.12"/>
    <n v="51260"/>
    <n v="5.89"/>
    <s v="P"/>
    <m/>
    <m/>
    <s v=" "/>
    <s v="STL"/>
    <s v="YES"/>
    <s v="TBD"/>
    <d v="1899-12-30T00:00:00"/>
    <x v="2"/>
    <n v="1"/>
    <n v="2023"/>
    <n v="2028"/>
    <n v="2028.0833333333333"/>
    <n v="5.8941666666666661"/>
    <n v="70.72999999999999"/>
    <n v="70.72999999999999"/>
    <n v="88.412500000000023"/>
    <n v="159.14250000000001"/>
    <n v="194.50749999999996"/>
    <s v="No"/>
  </r>
  <r>
    <n v="2111"/>
    <n v="298538"/>
    <s v="P"/>
    <s v="Capitalized"/>
    <s v="95g MSW Carts"/>
    <m/>
    <m/>
    <n v="702"/>
    <m/>
    <n v="0"/>
    <s v="REHRIG PACIFIC COMPANY IN"/>
    <m/>
    <s v="CONTAINERS"/>
    <s v="TBA"/>
    <m/>
    <m/>
    <m/>
    <d v="2023-01-02T00:00:00"/>
    <d v="2023-01-02T00:00:00"/>
    <s v="2111-23-0031-1"/>
    <n v="700"/>
    <n v="14050"/>
    <n v="43660.19"/>
    <n v="14056"/>
    <n v="10395.25"/>
    <n v="33264.94"/>
    <n v="4158.08"/>
    <n v="54260"/>
    <n v="519.76"/>
    <s v="P"/>
    <m/>
    <m/>
    <s v=" "/>
    <s v="STL"/>
    <s v="YES"/>
    <s v="TBD"/>
    <d v="1899-12-30T00:00:00"/>
    <x v="0"/>
    <n v="1"/>
    <n v="2023"/>
    <n v="2030"/>
    <n v="2030.0833333333333"/>
    <n v="519.76416666666671"/>
    <n v="6237.17"/>
    <n v="6237.17"/>
    <n v="7796.4625000000015"/>
    <n v="14033.632500000002"/>
    <n v="29626.557500000003"/>
    <s v="No"/>
  </r>
  <r>
    <n v="2111"/>
    <n v="298537"/>
    <s v="P"/>
    <s v="Capitalized"/>
    <s v="95g YW Carts"/>
    <m/>
    <m/>
    <n v="702"/>
    <m/>
    <n v="0"/>
    <s v="REHRIG PACIFIC COMPANY IN"/>
    <m/>
    <s v="CONTAINERS"/>
    <s v="TBA"/>
    <m/>
    <m/>
    <m/>
    <d v="2023-01-02T00:00:00"/>
    <d v="2023-01-02T00:00:00"/>
    <s v="2111-23-0031-1"/>
    <n v="700"/>
    <n v="14050"/>
    <n v="43660.19"/>
    <n v="14056"/>
    <n v="10395.25"/>
    <n v="33264.94"/>
    <n v="4158.08"/>
    <n v="54260"/>
    <n v="519.76"/>
    <s v="P"/>
    <m/>
    <m/>
    <s v=" "/>
    <s v="STL"/>
    <s v="YES"/>
    <s v="TBD"/>
    <d v="1899-12-30T00:00:00"/>
    <x v="0"/>
    <n v="1"/>
    <n v="2023"/>
    <n v="2030"/>
    <n v="2030.0833333333333"/>
    <n v="519.76416666666671"/>
    <n v="6237.17"/>
    <n v="6237.17"/>
    <n v="7796.4625000000015"/>
    <n v="14033.632500000002"/>
    <n v="29626.557500000003"/>
    <s v="No"/>
  </r>
  <r>
    <n v="2111"/>
    <n v="298536"/>
    <s v="P"/>
    <s v="Capitalized"/>
    <s v="95g YW Carts"/>
    <m/>
    <m/>
    <n v="702"/>
    <m/>
    <n v="0"/>
    <s v="REHRIG PACIFIC COMPANY IN"/>
    <m/>
    <s v="CONTAINERS"/>
    <s v="TBA"/>
    <m/>
    <m/>
    <m/>
    <d v="2023-01-02T00:00:00"/>
    <d v="2023-01-02T00:00:00"/>
    <s v="2111-23-0031-1"/>
    <n v="700"/>
    <n v="14050"/>
    <n v="43660.19"/>
    <n v="14056"/>
    <n v="10395.25"/>
    <n v="33264.94"/>
    <n v="4158.08"/>
    <n v="54260"/>
    <n v="519.76"/>
    <s v="P"/>
    <m/>
    <m/>
    <s v=" "/>
    <s v="STL"/>
    <s v="YES"/>
    <s v="TBD"/>
    <d v="1899-12-30T00:00:00"/>
    <x v="0"/>
    <n v="1"/>
    <n v="2023"/>
    <n v="2030"/>
    <n v="2030.0833333333333"/>
    <n v="519.76416666666671"/>
    <n v="6237.17"/>
    <n v="6237.17"/>
    <n v="7796.4625000000015"/>
    <n v="14033.632500000002"/>
    <n v="29626.557500000003"/>
    <s v="No"/>
  </r>
  <r>
    <n v="2111"/>
    <n v="298302"/>
    <s v="P"/>
    <s v="Capitalized"/>
    <s v="2022 Chevrolet Express 3500 CD Box Van Truck"/>
    <m/>
    <m/>
    <n v="1"/>
    <s v="1GB3GSC78N1234809"/>
    <n v="2022"/>
    <m/>
    <m/>
    <s v="TRUCKS AND TRAILERS"/>
    <s v="TBA"/>
    <s v="Box Van"/>
    <m/>
    <m/>
    <d v="2023-01-02T00:00:00"/>
    <d v="2023-01-02T00:00:00"/>
    <s v="2111-22-0050"/>
    <n v="1000"/>
    <n v="14040"/>
    <n v="64798.29"/>
    <n v="14046"/>
    <n v="10799.75"/>
    <n v="53998.54"/>
    <n v="4319.92"/>
    <n v="51260"/>
    <n v="539.99"/>
    <s v="P"/>
    <m/>
    <m/>
    <s v=" "/>
    <s v="STL"/>
    <s v="YES"/>
    <s v="TBD"/>
    <d v="1899-12-30T00:00:00"/>
    <x v="3"/>
    <n v="1"/>
    <n v="2023"/>
    <n v="2033"/>
    <n v="2033.0833333333333"/>
    <n v="539.98574999999994"/>
    <n v="6479.8289999999997"/>
    <n v="6479.8289999999997"/>
    <n v="8099.7862500000047"/>
    <n v="14579.615250000004"/>
    <n v="50218.674749999998"/>
    <s v="No"/>
  </r>
  <r>
    <n v="2111"/>
    <n v="298243"/>
    <s v="P"/>
    <s v="Capitalized"/>
    <s v="2023 Peterbilt ASL Truck"/>
    <m/>
    <m/>
    <n v="1"/>
    <s v="3BPDLK0X4PF114127"/>
    <n v="2023"/>
    <m/>
    <m/>
    <s v="TRUCKS AND TRAILERS"/>
    <s v="TBA"/>
    <s v="Automated Side Loader"/>
    <m/>
    <m/>
    <d v="2023-01-02T00:00:00"/>
    <d v="2023-01-02T00:00:00"/>
    <s v="2111-22-0007"/>
    <n v="1000"/>
    <n v="14040"/>
    <n v="404952.83"/>
    <n v="14046"/>
    <n v="67492.160000000003"/>
    <n v="337460.67000000004"/>
    <n v="26996.880000000001"/>
    <n v="51260"/>
    <n v="3374.61"/>
    <s v="P"/>
    <m/>
    <m/>
    <s v=" "/>
    <s v="STL"/>
    <s v="YES"/>
    <s v="TBD"/>
    <d v="1899-12-30T00:00:00"/>
    <x v="2"/>
    <n v="1"/>
    <n v="2023"/>
    <n v="2033"/>
    <n v="2033.0833333333333"/>
    <n v="3374.6069166666671"/>
    <n v="40495.283000000003"/>
    <n v="40495.283000000003"/>
    <n v="50619.103749999951"/>
    <n v="91114.386749999947"/>
    <n v="313838.44325000007"/>
    <s v="No"/>
  </r>
  <r>
    <n v="2111"/>
    <n v="297971"/>
    <n v="291161"/>
    <s v="Capitalized"/>
    <s v="Fuel Island - Landscaping"/>
    <m/>
    <m/>
    <n v="1"/>
    <m/>
    <n v="0"/>
    <s v="BUCKLEY NURSERY COMPANY"/>
    <m/>
    <s v="LAND IMPROVEMENTS"/>
    <s v="TBA"/>
    <m/>
    <m/>
    <m/>
    <d v="2023-01-02T00:00:00"/>
    <d v="2023-01-02T00:00:00"/>
    <s v="2111-22-0024-1"/>
    <n v="1000"/>
    <n v="14010"/>
    <n v="24471.7"/>
    <n v="14016"/>
    <n v="4078.59"/>
    <n v="20393.11"/>
    <n v="1631.44"/>
    <n v="57260"/>
    <n v="203.93"/>
    <s v="P"/>
    <m/>
    <m/>
    <s v=" "/>
    <s v="STL"/>
    <s v="YES"/>
    <s v="TBD"/>
    <d v="1899-12-30T00:00:00"/>
    <x v="14"/>
    <n v="1"/>
    <n v="2023"/>
    <n v="2033"/>
    <n v="2033.0833333333333"/>
    <n v="203.93083333333334"/>
    <n v="2447.17"/>
    <n v="2447.17"/>
    <n v="3058.9625000000015"/>
    <n v="5506.1325000000015"/>
    <n v="18965.567499999997"/>
    <s v="No"/>
  </r>
  <r>
    <n v="2111"/>
    <n v="297501"/>
    <s v="P"/>
    <s v="Capitalized"/>
    <s v="Reefer EMCU528844 45-foot-high cube"/>
    <m/>
    <m/>
    <n v="1"/>
    <m/>
    <n v="0"/>
    <m/>
    <m/>
    <s v="CONTAINERS"/>
    <s v="TBA"/>
    <m/>
    <m/>
    <m/>
    <d v="2022-12-31T00:00:00"/>
    <d v="2022-12-31T00:00:00"/>
    <s v="2111-22-0049-1"/>
    <n v="1200"/>
    <n v="14050"/>
    <n v="23770.959999999999"/>
    <n v="14056"/>
    <n v="3301.55"/>
    <n v="20469.41"/>
    <n v="1320.64"/>
    <n v="54260"/>
    <n v="165.08"/>
    <s v="P"/>
    <m/>
    <m/>
    <s v=" "/>
    <s v="STL"/>
    <s v="YES"/>
    <s v="TBD"/>
    <d v="1899-12-30T00:00:00"/>
    <x v="1"/>
    <n v="12"/>
    <n v="2022"/>
    <n v="2034"/>
    <n v="2035"/>
    <n v="165.07611111111109"/>
    <n v="1980.913333333333"/>
    <n v="1980.913333333333"/>
    <n v="2641.2177777776305"/>
    <n v="4622.1311111109635"/>
    <n v="19148.828888889035"/>
    <s v="No"/>
  </r>
  <r>
    <n v="2111"/>
    <n v="297391"/>
    <n v="173323"/>
    <s v="Capitalized"/>
    <s v="Transmission Repair"/>
    <m/>
    <m/>
    <n v="1"/>
    <m/>
    <n v="0"/>
    <m/>
    <m/>
    <s v="TRUCKS AND TRAILERS"/>
    <s v="TBA"/>
    <s v="Non-Rolling Stock"/>
    <m/>
    <m/>
    <d v="2022-09-07T00:00:00"/>
    <d v="2022-09-07T00:00:00"/>
    <s v="2111-22-0048-1"/>
    <n v="300"/>
    <n v="14040"/>
    <n v="14508.42"/>
    <n v="14046"/>
    <n v="9672.27"/>
    <n v="4836.1499999999996"/>
    <n v="3224.08"/>
    <n v="51260"/>
    <n v="403.01"/>
    <s v="P"/>
    <m/>
    <m/>
    <s v=" "/>
    <s v="STL"/>
    <s v="YES"/>
    <s v="TBD"/>
    <d v="1899-12-30T00:00:00"/>
    <x v="2"/>
    <n v="9"/>
    <n v="2022"/>
    <n v="2025"/>
    <n v="2025.75"/>
    <n v="403.01166666666671"/>
    <n v="4836.1400000000003"/>
    <n v="4836.1400000000003"/>
    <n v="7657.2216666662998"/>
    <n v="12493.3616666663"/>
    <n v="2015.0583333336999"/>
    <s v="No"/>
  </r>
  <r>
    <n v="2111"/>
    <n v="296257"/>
    <s v="P"/>
    <s v="Capitalized"/>
    <s v="2023 Peterbilt ASL Truck"/>
    <m/>
    <m/>
    <n v="1"/>
    <s v="3BPDLK0X2PF114126"/>
    <n v="2023"/>
    <m/>
    <m/>
    <s v="TRUCKS AND TRAILERS"/>
    <s v="TBA"/>
    <s v="Automated Side Loader"/>
    <m/>
    <m/>
    <d v="2022-12-16T00:00:00"/>
    <d v="2022-12-16T00:00:00"/>
    <s v="2111-22-0006-1"/>
    <n v="1000"/>
    <n v="14040"/>
    <n v="404952.83"/>
    <n v="14046"/>
    <n v="67492.160000000003"/>
    <n v="337460.67000000004"/>
    <n v="26996.880000000001"/>
    <n v="51260"/>
    <n v="3374.61"/>
    <s v="P"/>
    <m/>
    <m/>
    <s v=" "/>
    <s v="STL"/>
    <s v="YES"/>
    <s v="TBD"/>
    <d v="1899-12-30T00:00:00"/>
    <x v="2"/>
    <n v="12"/>
    <n v="2022"/>
    <n v="2032"/>
    <n v="2033"/>
    <n v="3374.6069166666671"/>
    <n v="40495.283000000003"/>
    <n v="40495.283000000003"/>
    <n v="53993.710666663595"/>
    <n v="94488.993666663591"/>
    <n v="310463.83633333643"/>
    <s v="No"/>
  </r>
  <r>
    <n v="2111"/>
    <n v="295716"/>
    <n v="291161"/>
    <s v="Capitalized"/>
    <s v="Fuel Island - Remove Concrete, Apply Asphalt Raised Edge"/>
    <m/>
    <m/>
    <n v="1"/>
    <m/>
    <n v="0"/>
    <s v="ASPHALT PATCH SYSTEMS INC"/>
    <m/>
    <s v="LAND IMPROVEMENTS"/>
    <s v="TBA"/>
    <m/>
    <m/>
    <m/>
    <d v="2022-08-30T00:00:00"/>
    <d v="2022-08-30T00:00:00"/>
    <s v="2111-22-0024-1"/>
    <n v="1000"/>
    <n v="14010"/>
    <n v="10120"/>
    <n v="14016"/>
    <n v="2023.97"/>
    <n v="8096.03"/>
    <n v="674.64"/>
    <n v="57260"/>
    <n v="84.33"/>
    <s v="P"/>
    <m/>
    <m/>
    <s v=" "/>
    <s v="STL"/>
    <s v="YES"/>
    <s v="TBD"/>
    <d v="1899-12-30T00:00:00"/>
    <x v="14"/>
    <n v="8"/>
    <n v="2022"/>
    <n v="2032"/>
    <n v="2032.6666666666667"/>
    <n v="84.333333333333329"/>
    <n v="1012"/>
    <n v="1012"/>
    <n v="1686.6666666665133"/>
    <n v="2698.6666666665133"/>
    <n v="7421.3333333334867"/>
    <s v="No"/>
  </r>
  <r>
    <n v="2111"/>
    <n v="294987"/>
    <n v="291161"/>
    <s v="Capitalized"/>
    <s v="Fuel Island - Engineering Services for Stormwater Pond and Equipment Parking Imp"/>
    <m/>
    <m/>
    <n v="1"/>
    <m/>
    <n v="0"/>
    <s v="MIGIZI GROUP INC"/>
    <m/>
    <s v="LAND IMPROVEMENTS"/>
    <s v="TBA"/>
    <m/>
    <m/>
    <m/>
    <d v="2022-08-30T00:00:00"/>
    <d v="2022-08-30T00:00:00"/>
    <s v="2111-22-0024-1"/>
    <n v="1000"/>
    <n v="14010"/>
    <n v="345"/>
    <n v="14016"/>
    <n v="69.040000000000006"/>
    <n v="275.95999999999998"/>
    <n v="23.04"/>
    <n v="57260"/>
    <n v="2.88"/>
    <s v="P"/>
    <m/>
    <m/>
    <s v=" "/>
    <s v="STL"/>
    <s v="YES"/>
    <s v="TBD"/>
    <d v="1899-12-30T00:00:00"/>
    <x v="14"/>
    <n v="8"/>
    <n v="2022"/>
    <n v="2032"/>
    <n v="2032.6666666666667"/>
    <n v="2.875"/>
    <n v="34.5"/>
    <n v="34.5"/>
    <n v="57.49999999999477"/>
    <n v="91.99999999999477"/>
    <n v="253.00000000000523"/>
    <s v="No"/>
  </r>
  <r>
    <n v="2111"/>
    <n v="294986"/>
    <n v="291161"/>
    <s v="Capitalized"/>
    <s v="Fuel Island - Engineer Improvements for Stormwater Pond &amp; Equipment Parking"/>
    <m/>
    <m/>
    <n v="1"/>
    <m/>
    <n v="0"/>
    <s v="MIGIZI GROUP INC"/>
    <m/>
    <s v="LAND IMPROVEMENTS"/>
    <s v="TBA"/>
    <m/>
    <m/>
    <m/>
    <d v="2022-08-30T00:00:00"/>
    <d v="2022-08-30T00:00:00"/>
    <s v="2111-22-0024-1"/>
    <n v="1000"/>
    <n v="14010"/>
    <n v="1381.3"/>
    <n v="14016"/>
    <n v="276.25"/>
    <n v="1105.05"/>
    <n v="92.08"/>
    <n v="57260"/>
    <n v="11.51"/>
    <s v="P"/>
    <m/>
    <m/>
    <s v=" "/>
    <s v="STL"/>
    <s v="YES"/>
    <s v="TBD"/>
    <d v="1899-12-30T00:00:00"/>
    <x v="14"/>
    <n v="8"/>
    <n v="2022"/>
    <n v="2032"/>
    <n v="2032.6666666666667"/>
    <n v="11.510833333333332"/>
    <n v="138.13"/>
    <n v="138.13"/>
    <n v="230.21666666664578"/>
    <n v="368.34666666664577"/>
    <n v="1012.9533333333542"/>
    <s v="No"/>
  </r>
  <r>
    <n v="2111"/>
    <n v="294985"/>
    <n v="291161"/>
    <s v="Capitalized"/>
    <s v="Fuel Island - Building Permit Submittal"/>
    <m/>
    <m/>
    <n v="1"/>
    <m/>
    <n v="0"/>
    <s v="SITTS &amp; HILL ENGINEERS IN"/>
    <m/>
    <s v="LAND IMPROVEMENTS"/>
    <s v="TBA"/>
    <m/>
    <m/>
    <m/>
    <d v="2022-08-30T00:00:00"/>
    <d v="2022-08-30T00:00:00"/>
    <s v="2111-22-0024-1"/>
    <n v="1000"/>
    <n v="14010"/>
    <n v="8422.75"/>
    <n v="14016"/>
    <n v="1684.56"/>
    <n v="6738.1900000000005"/>
    <n v="561.52"/>
    <n v="57260"/>
    <n v="70.19"/>
    <s v="P"/>
    <m/>
    <m/>
    <s v=" "/>
    <s v="STL"/>
    <s v="YES"/>
    <s v="TBD"/>
    <d v="1899-12-30T00:00:00"/>
    <x v="14"/>
    <n v="8"/>
    <n v="2022"/>
    <n v="2032"/>
    <n v="2032.6666666666667"/>
    <n v="70.189583333333331"/>
    <n v="842.27499999999998"/>
    <n v="842.27499999999998"/>
    <n v="1403.7916666665387"/>
    <n v="2246.0666666665388"/>
    <n v="6176.6833333334616"/>
    <s v="No"/>
  </r>
  <r>
    <n v="2111"/>
    <n v="294979"/>
    <s v="P"/>
    <s v="Capitalized"/>
    <s v="3rd Eye Installs"/>
    <m/>
    <m/>
    <n v="1"/>
    <m/>
    <n v="0"/>
    <s v="VELOCITI INC"/>
    <m/>
    <s v="SHOP EQUIPMENT"/>
    <s v="TBA"/>
    <m/>
    <m/>
    <m/>
    <d v="2022-10-31T00:00:00"/>
    <d v="2022-10-31T00:00:00"/>
    <s v="1010-22-0041-1"/>
    <n v="500"/>
    <n v="14070"/>
    <n v="1804"/>
    <n v="14076"/>
    <n v="661.49"/>
    <n v="1142.51"/>
    <n v="240.56"/>
    <n v="51260"/>
    <n v="30.07"/>
    <s v="P"/>
    <m/>
    <m/>
    <s v=" "/>
    <s v="STL"/>
    <s v="YES"/>
    <s v="TBD"/>
    <d v="1899-12-30T00:00:00"/>
    <x v="15"/>
    <n v="10"/>
    <n v="2022"/>
    <n v="2027"/>
    <n v="2027.8333333333333"/>
    <n v="30.066666666666666"/>
    <n v="360.8"/>
    <n v="360.8"/>
    <n v="541.20000000000005"/>
    <n v="902"/>
    <n v="902"/>
    <s v="No"/>
  </r>
  <r>
    <n v="2111"/>
    <n v="294816"/>
    <s v="P"/>
    <s v="Capitalized"/>
    <s v="WasteWORKs Automated Scale"/>
    <m/>
    <m/>
    <n v="1"/>
    <m/>
    <n v="0"/>
    <s v="CAROLINA SOFTWARE"/>
    <m/>
    <s v="HARDWARE AND SOFTWARE"/>
    <s v="TBA"/>
    <m/>
    <m/>
    <m/>
    <d v="2022-12-01T00:00:00"/>
    <d v="2022-12-01T00:00:00"/>
    <s v="2111-22-0023-1"/>
    <n v="300"/>
    <n v="14110"/>
    <n v="29604.04"/>
    <n v="14116"/>
    <n v="17268.990000000002"/>
    <n v="12335.05"/>
    <n v="6578.64"/>
    <n v="70260"/>
    <n v="822.33"/>
    <s v="P"/>
    <m/>
    <m/>
    <s v=" "/>
    <s v="STL"/>
    <s v="YES"/>
    <s v="TBD"/>
    <d v="1899-12-30T00:00:00"/>
    <x v="10"/>
    <n v="12"/>
    <n v="2022"/>
    <n v="2025"/>
    <n v="2026"/>
    <n v="822.33444444444456"/>
    <n v="9868.0133333333342"/>
    <n v="9868.0133333333342"/>
    <n v="13157.351111110362"/>
    <n v="23025.364444443694"/>
    <n v="6578.6755555563068"/>
    <s v="No"/>
  </r>
  <r>
    <n v="2111"/>
    <n v="294815"/>
    <n v="289376"/>
    <s v="Capitalized"/>
    <s v="Navastar engine diagnostics for laptop"/>
    <m/>
    <m/>
    <n v="1"/>
    <m/>
    <n v="0"/>
    <s v="NOREGON SYSTEMS INC"/>
    <m/>
    <s v="HARDWARE AND SOFTWARE"/>
    <s v="TBA"/>
    <m/>
    <m/>
    <m/>
    <d v="2022-07-08T00:00:00"/>
    <d v="2022-07-08T00:00:00"/>
    <s v="2111-22-0040-1"/>
    <n v="300"/>
    <n v="14110"/>
    <n v="1482.8"/>
    <n v="14116"/>
    <n v="1070.92"/>
    <n v="411.87999999999988"/>
    <n v="329.52"/>
    <n v="70260"/>
    <n v="41.19"/>
    <s v="P"/>
    <m/>
    <m/>
    <s v=" "/>
    <s v="STL"/>
    <s v="YES"/>
    <s v="TBD"/>
    <s v="Shop"/>
    <x v="15"/>
    <n v="7"/>
    <n v="2022"/>
    <n v="2025"/>
    <n v="2025.5833333333333"/>
    <n v="41.18888888888889"/>
    <n v="494.26666666666665"/>
    <n v="494.26666666666665"/>
    <n v="864.96666666666658"/>
    <n v="1359.2333333333331"/>
    <n v="123.56666666666683"/>
    <s v="No"/>
  </r>
  <r>
    <n v="2111"/>
    <n v="294773"/>
    <s v="P"/>
    <s v="Capitalized"/>
    <s v="2YD REL Containers w/Cage w/Lids"/>
    <m/>
    <m/>
    <n v="15"/>
    <m/>
    <n v="0"/>
    <s v="CAPITAL INDUSTRIES INC"/>
    <m/>
    <s v="CONTAINERS"/>
    <s v="TBA"/>
    <m/>
    <s v="2 YD"/>
    <s v="FEL/REL/SL Metal"/>
    <d v="2022-11-14T00:00:00"/>
    <d v="2022-11-14T00:00:00"/>
    <s v="2111-22-0045-2"/>
    <n v="1200"/>
    <n v="14050"/>
    <n v="15345"/>
    <n v="14056"/>
    <n v="2344.36"/>
    <n v="13000.64"/>
    <n v="852.48"/>
    <n v="54260"/>
    <n v="106.56"/>
    <s v="P"/>
    <m/>
    <m/>
    <s v=" "/>
    <s v="STL"/>
    <s v="YES"/>
    <s v="TBD"/>
    <d v="1899-12-30T00:00:00"/>
    <x v="1"/>
    <n v="11"/>
    <n v="2022"/>
    <n v="2034"/>
    <n v="2034.9166666666667"/>
    <n v="106.5625"/>
    <n v="1278.75"/>
    <n v="1278.75"/>
    <n v="1811.5624999998054"/>
    <n v="3090.3124999998054"/>
    <n v="12254.687500000195"/>
    <s v="No"/>
  </r>
  <r>
    <n v="2111"/>
    <n v="294699"/>
    <n v="291161"/>
    <s v="Capitalized"/>
    <s v="Fuel Island - PI Decal No Smoking Stop Engine"/>
    <m/>
    <m/>
    <n v="1"/>
    <m/>
    <n v="0"/>
    <s v="NORTHWEST PUMP &amp; EQUIPMEN"/>
    <m/>
    <s v="LAND IMPROVEMENTS"/>
    <s v="TBA"/>
    <m/>
    <m/>
    <m/>
    <d v="2022-08-30T00:00:00"/>
    <d v="2022-08-30T00:00:00"/>
    <s v="2111-22-0024-1"/>
    <n v="1000"/>
    <n v="14010"/>
    <n v="31.02"/>
    <n v="14016"/>
    <n v="6.21"/>
    <n v="24.81"/>
    <n v="2.08"/>
    <n v="57260"/>
    <n v="0.26"/>
    <s v="P"/>
    <m/>
    <m/>
    <s v=" "/>
    <s v="STL"/>
    <s v="YES"/>
    <s v="TBD"/>
    <d v="1899-12-30T00:00:00"/>
    <x v="14"/>
    <n v="8"/>
    <n v="2022"/>
    <n v="2032"/>
    <n v="2032.6666666666667"/>
    <n v="0.25850000000000001"/>
    <n v="3.1020000000000003"/>
    <n v="3.1020000000000003"/>
    <n v="5.1699999999995292"/>
    <n v="8.2719999999995295"/>
    <n v="22.74800000000047"/>
    <s v="No"/>
  </r>
  <r>
    <n v="2111"/>
    <n v="294698"/>
    <n v="291161"/>
    <s v="Capitalized"/>
    <s v="Fuel Island - PI Decal Diesel"/>
    <m/>
    <m/>
    <n v="1"/>
    <m/>
    <n v="0"/>
    <s v="NORTHWEST PUMP &amp; EQUIPMEN"/>
    <m/>
    <s v="LAND IMPROVEMENTS"/>
    <s v="TBA"/>
    <m/>
    <m/>
    <m/>
    <d v="2022-08-30T00:00:00"/>
    <d v="2022-08-30T00:00:00"/>
    <s v="2111-22-0024-1"/>
    <n v="1000"/>
    <n v="14010"/>
    <n v="41.14"/>
    <n v="14016"/>
    <n v="8.1999999999999993"/>
    <n v="32.94"/>
    <n v="2.72"/>
    <n v="57260"/>
    <n v="0.34"/>
    <s v="P"/>
    <m/>
    <m/>
    <s v=" "/>
    <s v="STL"/>
    <s v="YES"/>
    <s v="TBD"/>
    <d v="1899-12-30T00:00:00"/>
    <x v="14"/>
    <n v="8"/>
    <n v="2022"/>
    <n v="2032"/>
    <n v="2032.6666666666667"/>
    <n v="0.34283333333333332"/>
    <n v="4.1139999999999999"/>
    <n v="4.1139999999999999"/>
    <n v="6.8566666666660439"/>
    <n v="10.970666666666045"/>
    <n v="30.169333333333956"/>
    <s v="No"/>
  </r>
  <r>
    <n v="2111"/>
    <n v="294697"/>
    <n v="291161"/>
    <s v="Capitalized"/>
    <s v="Fuel Island - Site Start Up"/>
    <m/>
    <m/>
    <n v="1"/>
    <m/>
    <n v="0"/>
    <s v="NORTHWEST PUMP &amp; EQUIPMEN"/>
    <m/>
    <s v="LAND IMPROVEMENTS"/>
    <s v="TBA"/>
    <m/>
    <m/>
    <m/>
    <d v="2022-08-30T00:00:00"/>
    <d v="2022-08-30T00:00:00"/>
    <s v="2111-22-0024-1"/>
    <n v="1000"/>
    <n v="14010"/>
    <n v="8250"/>
    <n v="14016"/>
    <n v="1650"/>
    <n v="6600"/>
    <n v="550"/>
    <n v="57260"/>
    <n v="68.75"/>
    <s v="P"/>
    <m/>
    <m/>
    <s v=" "/>
    <s v="STL"/>
    <s v="YES"/>
    <s v="TBD"/>
    <d v="1899-12-30T00:00:00"/>
    <x v="14"/>
    <n v="8"/>
    <n v="2022"/>
    <n v="2032"/>
    <n v="2032.6666666666667"/>
    <n v="68.75"/>
    <n v="825"/>
    <n v="825"/>
    <n v="1374.9999999998745"/>
    <n v="2199.9999999998745"/>
    <n v="6050.0000000001255"/>
    <s v="No"/>
  </r>
  <r>
    <n v="2111"/>
    <n v="294696"/>
    <n v="291161"/>
    <s v="Capitalized"/>
    <s v="Fuel Island - Returned Reference invoice 3270762-01"/>
    <m/>
    <m/>
    <n v="1"/>
    <m/>
    <n v="0"/>
    <s v="NORTHWEST PUMP &amp; EQUIPMEN"/>
    <m/>
    <s v="LAND IMPROVEMENTS"/>
    <s v="TBA"/>
    <m/>
    <m/>
    <m/>
    <d v="2022-08-30T00:00:00"/>
    <d v="2022-08-30T00:00:00"/>
    <s v="2111-22-0024-1"/>
    <n v="1000"/>
    <n v="14010"/>
    <n v="-357.51"/>
    <n v="14016"/>
    <n v="-71.510000000000005"/>
    <n v="-286"/>
    <n v="-23.84"/>
    <n v="57260"/>
    <n v="-2.98"/>
    <s v="P"/>
    <m/>
    <m/>
    <s v=" "/>
    <s v="STL"/>
    <s v="YES"/>
    <s v="TBD"/>
    <d v="1899-12-30T00:00:00"/>
    <x v="14"/>
    <n v="8"/>
    <n v="2022"/>
    <n v="2032"/>
    <n v="2032.6666666666667"/>
    <n v="-2.97925"/>
    <n v="-35.750999999999998"/>
    <n v="-35.750999999999998"/>
    <n v="-59.584999999994579"/>
    <n v="-95.335999999994584"/>
    <n v="-262.17400000000544"/>
    <s v="No"/>
  </r>
  <r>
    <n v="2111"/>
    <n v="294695"/>
    <n v="291161"/>
    <s v="Capitalized"/>
    <s v="Fuel Island - Returned Reference Invoice 3267866-00"/>
    <m/>
    <m/>
    <n v="1"/>
    <m/>
    <n v="0"/>
    <s v="NORTHWEST PUMP &amp; EQUIPMEN"/>
    <m/>
    <s v="LAND IMPROVEMENTS"/>
    <s v="TBA"/>
    <m/>
    <m/>
    <m/>
    <d v="2022-08-30T00:00:00"/>
    <d v="2022-08-30T00:00:00"/>
    <s v="2111-22-0024-1"/>
    <n v="1000"/>
    <n v="14010"/>
    <n v="-2800.8"/>
    <n v="14016"/>
    <n v="-560.16"/>
    <n v="-2240.6400000000003"/>
    <n v="-186.72"/>
    <n v="57260"/>
    <n v="-23.34"/>
    <s v="P"/>
    <m/>
    <m/>
    <s v=" "/>
    <s v="STL"/>
    <s v="YES"/>
    <s v="TBD"/>
    <d v="1899-12-30T00:00:00"/>
    <x v="14"/>
    <n v="8"/>
    <n v="2022"/>
    <n v="2032"/>
    <n v="2032.6666666666667"/>
    <n v="-23.340000000000003"/>
    <n v="-280.08000000000004"/>
    <n v="-280.08000000000004"/>
    <n v="-466.79999999995744"/>
    <n v="-746.87999999995748"/>
    <n v="-2053.9200000000428"/>
    <s v="No"/>
  </r>
  <r>
    <n v="2111"/>
    <n v="294157"/>
    <s v="P"/>
    <s v="Capitalized"/>
    <s v="6YD FEL Containers"/>
    <m/>
    <m/>
    <n v="1"/>
    <m/>
    <n v="0"/>
    <s v="CAPITAL INDUSTRIES INC"/>
    <m/>
    <s v="CONTAINERS"/>
    <s v="TBA"/>
    <m/>
    <s v="6 YD"/>
    <s v="FEL/REL/SL Metal"/>
    <d v="2022-10-18T00:00:00"/>
    <d v="2022-10-18T00:00:00"/>
    <s v="2111-22-0045-2"/>
    <n v="1200"/>
    <n v="14050"/>
    <n v="2007.5"/>
    <n v="14056"/>
    <n v="306.69"/>
    <n v="1700.81"/>
    <n v="111.52"/>
    <n v="54260"/>
    <n v="13.94"/>
    <s v="P"/>
    <m/>
    <m/>
    <s v=" "/>
    <s v="STL"/>
    <s v="YES"/>
    <s v="TBD"/>
    <d v="1899-12-30T00:00:00"/>
    <x v="1"/>
    <n v="10"/>
    <n v="2022"/>
    <n v="2034"/>
    <n v="2034.8333333333333"/>
    <n v="13.940972222222221"/>
    <n v="167.29166666666666"/>
    <n v="167.29166666666666"/>
    <n v="250.9375"/>
    <n v="418.22916666666663"/>
    <n v="1589.2708333333335"/>
    <s v="No"/>
  </r>
  <r>
    <n v="2111"/>
    <n v="294156"/>
    <s v="P"/>
    <s v="Capitalized"/>
    <s v="6YD FEL Containers"/>
    <m/>
    <m/>
    <n v="7"/>
    <m/>
    <n v="0"/>
    <s v="CAPITAL INDUSTRIES INC"/>
    <m/>
    <s v="CONTAINERS"/>
    <s v="TBA"/>
    <m/>
    <s v="6 YD"/>
    <s v="FEL/REL/SL Metal"/>
    <d v="2022-10-18T00:00:00"/>
    <d v="2022-10-18T00:00:00"/>
    <s v="2111-22-0045-2"/>
    <n v="1200"/>
    <n v="14050"/>
    <n v="14052.5"/>
    <n v="14056"/>
    <n v="2146.9299999999998"/>
    <n v="11905.57"/>
    <n v="780.72"/>
    <n v="54260"/>
    <n v="97.59"/>
    <s v="P"/>
    <m/>
    <m/>
    <s v=" "/>
    <s v="STL"/>
    <s v="YES"/>
    <s v="TBD"/>
    <d v="1899-12-30T00:00:00"/>
    <x v="1"/>
    <n v="10"/>
    <n v="2022"/>
    <n v="2034"/>
    <n v="2034.8333333333333"/>
    <n v="97.586805555555557"/>
    <n v="1171.0416666666667"/>
    <n v="1171.0416666666667"/>
    <n v="1756.5625"/>
    <n v="2927.604166666667"/>
    <n v="11124.895833333332"/>
    <s v="No"/>
  </r>
  <r>
    <n v="2111"/>
    <n v="294155"/>
    <s v="P"/>
    <s v="Capitalized"/>
    <s v="6YD FEL Containers"/>
    <m/>
    <m/>
    <n v="8"/>
    <m/>
    <n v="0"/>
    <s v="CAPITAL INDUSTRIES INC"/>
    <m/>
    <s v="CONTAINERS"/>
    <s v="TBA"/>
    <m/>
    <s v="6 YD"/>
    <s v="FEL/REL/SL Metal"/>
    <d v="2022-10-18T00:00:00"/>
    <d v="2022-10-18T00:00:00"/>
    <s v="2111-22-0045-2"/>
    <n v="1200"/>
    <n v="14050"/>
    <n v="16060"/>
    <n v="14056"/>
    <n v="2453.63"/>
    <n v="13606.369999999999"/>
    <n v="892.24"/>
    <n v="54260"/>
    <n v="111.53"/>
    <s v="P"/>
    <m/>
    <m/>
    <s v=" "/>
    <s v="STL"/>
    <s v="YES"/>
    <s v="TBD"/>
    <d v="1899-12-30T00:00:00"/>
    <x v="1"/>
    <n v="10"/>
    <n v="2022"/>
    <n v="2034"/>
    <n v="2034.8333333333333"/>
    <n v="111.52777777777777"/>
    <n v="1338.3333333333333"/>
    <n v="1338.3333333333333"/>
    <n v="2007.5"/>
    <n v="3345.833333333333"/>
    <n v="12714.166666666668"/>
    <s v="No"/>
  </r>
  <r>
    <n v="2111"/>
    <n v="294154"/>
    <s v="P"/>
    <s v="Capitalized"/>
    <s v="6YD FEL Containers"/>
    <m/>
    <m/>
    <n v="1"/>
    <m/>
    <n v="0"/>
    <s v="CAPITAL INDUSTRIES INC"/>
    <m/>
    <s v="CONTAINERS"/>
    <s v="TBA"/>
    <m/>
    <s v="6 YD"/>
    <s v="FEL/REL/SL Metal"/>
    <d v="2022-10-18T00:00:00"/>
    <d v="2022-10-18T00:00:00"/>
    <s v="2111-22-0045-2"/>
    <n v="1200"/>
    <n v="14050"/>
    <n v="715"/>
    <n v="14056"/>
    <n v="109.27"/>
    <n v="605.73"/>
    <n v="39.76"/>
    <n v="54260"/>
    <n v="4.97"/>
    <s v="P"/>
    <m/>
    <m/>
    <s v=" "/>
    <s v="STL"/>
    <s v="YES"/>
    <s v="TBD"/>
    <d v="1899-12-30T00:00:00"/>
    <x v="1"/>
    <n v="10"/>
    <n v="2022"/>
    <n v="2034"/>
    <n v="2034.8333333333333"/>
    <n v="4.9652777777777777"/>
    <n v="59.583333333333329"/>
    <n v="59.583333333333329"/>
    <n v="89.375"/>
    <n v="148.95833333333331"/>
    <n v="566.04166666666674"/>
    <s v="No"/>
  </r>
  <r>
    <n v="2111"/>
    <n v="294153"/>
    <s v="P"/>
    <s v="Capitalized"/>
    <s v="6YD FEL Containers"/>
    <m/>
    <m/>
    <n v="3"/>
    <m/>
    <n v="0"/>
    <s v="CAPITAL INDUSTRIES INC"/>
    <m/>
    <s v="CONTAINERS"/>
    <s v="TBA"/>
    <m/>
    <s v="6 YD"/>
    <s v="FEL/REL/SL Metal"/>
    <d v="2022-10-18T00:00:00"/>
    <d v="2022-10-18T00:00:00"/>
    <s v="2111-22-0045-1"/>
    <n v="1200"/>
    <n v="14050"/>
    <n v="7315"/>
    <n v="14056"/>
    <n v="1117.58"/>
    <n v="6197.42"/>
    <n v="406.4"/>
    <n v="54260"/>
    <n v="50.8"/>
    <s v="P"/>
    <m/>
    <m/>
    <s v=" "/>
    <s v="STL"/>
    <s v="YES"/>
    <s v="TBD"/>
    <d v="1899-12-30T00:00:00"/>
    <x v="1"/>
    <n v="10"/>
    <n v="2022"/>
    <n v="2034"/>
    <n v="2034.8333333333333"/>
    <n v="50.798611111111114"/>
    <n v="609.58333333333337"/>
    <n v="609.58333333333337"/>
    <n v="914.375"/>
    <n v="1523.9583333333335"/>
    <n v="5791.0416666666661"/>
    <s v="No"/>
  </r>
  <r>
    <n v="2111"/>
    <n v="294152"/>
    <s v="P"/>
    <s v="Capitalized"/>
    <s v="6YD FEL Containers"/>
    <m/>
    <m/>
    <n v="4"/>
    <m/>
    <n v="0"/>
    <s v="CAPITAL INDUSTRIES INC"/>
    <m/>
    <s v="CONTAINERS"/>
    <s v="TBA"/>
    <m/>
    <s v="6 YD"/>
    <s v="FEL/REL/SL Metal"/>
    <d v="2022-10-31T00:00:00"/>
    <d v="2022-10-31T00:00:00"/>
    <s v="2111-22-0045-1"/>
    <n v="1200"/>
    <n v="14050"/>
    <n v="8030"/>
    <n v="14056"/>
    <n v="1226.78"/>
    <n v="6803.22"/>
    <n v="446.08"/>
    <n v="54260"/>
    <n v="55.76"/>
    <s v="P"/>
    <m/>
    <m/>
    <s v=" "/>
    <s v="STL"/>
    <s v="YES"/>
    <s v="TBD"/>
    <d v="1899-12-30T00:00:00"/>
    <x v="1"/>
    <n v="10"/>
    <n v="2022"/>
    <n v="2034"/>
    <n v="2034.8333333333333"/>
    <n v="55.763888888888886"/>
    <n v="669.16666666666663"/>
    <n v="669.16666666666663"/>
    <n v="1003.75"/>
    <n v="1672.9166666666665"/>
    <n v="6357.0833333333339"/>
    <s v="No"/>
  </r>
  <r>
    <n v="2111"/>
    <n v="294149"/>
    <s v="P"/>
    <s v="Capitalized"/>
    <s v="4yd FL Container"/>
    <m/>
    <m/>
    <n v="8"/>
    <m/>
    <n v="0"/>
    <s v="CAPITAL INDUSTRIES INC"/>
    <m/>
    <s v="CONTAINERS"/>
    <s v="TBA"/>
    <m/>
    <s v="4 YD"/>
    <s v="FEL/REL/SL Metal"/>
    <d v="2022-11-14T00:00:00"/>
    <d v="2022-11-14T00:00:00"/>
    <s v="2111-22-0045-2"/>
    <n v="1200"/>
    <n v="14050"/>
    <n v="11088"/>
    <n v="14056"/>
    <n v="1694"/>
    <n v="9394"/>
    <n v="616"/>
    <n v="54260"/>
    <n v="77"/>
    <s v="P"/>
    <m/>
    <m/>
    <s v=" "/>
    <s v="STL"/>
    <s v="YES"/>
    <s v="TBD"/>
    <d v="1899-12-30T00:00:00"/>
    <x v="1"/>
    <n v="11"/>
    <n v="2022"/>
    <n v="2034"/>
    <n v="2034.9166666666667"/>
    <n v="77"/>
    <n v="924"/>
    <n v="924"/>
    <n v="1308.9999999998599"/>
    <n v="2232.9999999998599"/>
    <n v="8855.0000000001401"/>
    <s v="No"/>
  </r>
  <r>
    <n v="2111"/>
    <n v="294142"/>
    <s v="P"/>
    <s v="Capitalized"/>
    <s v="2YD REL Containers"/>
    <m/>
    <m/>
    <n v="12"/>
    <m/>
    <n v="0"/>
    <s v="CAPITAL INDUSTRIES INC"/>
    <m/>
    <s v="CONTAINERS"/>
    <s v="TBA"/>
    <m/>
    <s v="2 YD"/>
    <s v="FEL/REL/SL Metal"/>
    <d v="2022-10-31T00:00:00"/>
    <d v="2022-10-31T00:00:00"/>
    <s v="2111-22-0045-1"/>
    <n v="1200"/>
    <n v="14050"/>
    <n v="11616"/>
    <n v="14056"/>
    <n v="1774.69"/>
    <n v="9841.31"/>
    <n v="645.36"/>
    <n v="54260"/>
    <n v="80.67"/>
    <s v="P"/>
    <m/>
    <m/>
    <s v=" "/>
    <s v="STL"/>
    <s v="YES"/>
    <s v="TBD"/>
    <d v="1899-12-30T00:00:00"/>
    <x v="1"/>
    <n v="10"/>
    <n v="2022"/>
    <n v="2034"/>
    <n v="2034.8333333333333"/>
    <n v="80.666666666666671"/>
    <n v="968"/>
    <n v="968"/>
    <n v="1452"/>
    <n v="2420"/>
    <n v="9196"/>
    <s v="No"/>
  </r>
  <r>
    <n v="2111"/>
    <n v="294141"/>
    <s v="P"/>
    <s v="Capitalized"/>
    <s v="2YD REL Containers"/>
    <m/>
    <m/>
    <n v="12"/>
    <m/>
    <n v="0"/>
    <s v="CAPITAL INDUSTRIES INC"/>
    <m/>
    <s v="CONTAINERS"/>
    <s v="TBA"/>
    <m/>
    <s v="2 YD"/>
    <s v="FEL/REL/SL Metal"/>
    <d v="2022-10-31T00:00:00"/>
    <d v="2022-10-31T00:00:00"/>
    <s v="2111-22-0045-1"/>
    <n v="1200"/>
    <n v="14050"/>
    <n v="11616"/>
    <n v="14056"/>
    <n v="1774.69"/>
    <n v="9841.31"/>
    <n v="645.36"/>
    <n v="54260"/>
    <n v="80.67"/>
    <s v="P"/>
    <m/>
    <m/>
    <s v=" "/>
    <s v="STL"/>
    <s v="YES"/>
    <s v="TBD"/>
    <d v="1899-12-30T00:00:00"/>
    <x v="1"/>
    <n v="10"/>
    <n v="2022"/>
    <n v="2034"/>
    <n v="2034.8333333333333"/>
    <n v="80.666666666666671"/>
    <n v="968"/>
    <n v="968"/>
    <n v="1452"/>
    <n v="2420"/>
    <n v="9196"/>
    <s v="No"/>
  </r>
  <r>
    <n v="2111"/>
    <n v="294138"/>
    <s v="P"/>
    <s v="Capitalized"/>
    <s v="2YD FEL Containers"/>
    <m/>
    <m/>
    <n v="5"/>
    <m/>
    <n v="0"/>
    <s v="CAPITAL INDUSTRIES INC"/>
    <m/>
    <s v="CONTAINERS"/>
    <s v="TBA"/>
    <m/>
    <s v="2 YD"/>
    <s v="FEL/REL/SL Metal"/>
    <d v="2022-11-14T00:00:00"/>
    <d v="2022-11-14T00:00:00"/>
    <s v="2111-22-0045-2"/>
    <n v="1200"/>
    <n v="14050"/>
    <n v="5445"/>
    <n v="14056"/>
    <n v="831.85"/>
    <n v="4613.1499999999996"/>
    <n v="302.48"/>
    <n v="54260"/>
    <n v="37.81"/>
    <s v="P"/>
    <m/>
    <m/>
    <s v=" "/>
    <s v="STL"/>
    <s v="YES"/>
    <s v="TBD"/>
    <d v="1899-12-30T00:00:00"/>
    <x v="1"/>
    <n v="11"/>
    <n v="2022"/>
    <n v="2034"/>
    <n v="2034.9166666666667"/>
    <n v="37.8125"/>
    <n v="453.75"/>
    <n v="453.75"/>
    <n v="642.81249999993088"/>
    <n v="1096.5624999999309"/>
    <n v="4348.4375000000691"/>
    <s v="No"/>
  </r>
  <r>
    <n v="2111"/>
    <n v="294137"/>
    <s v="P"/>
    <s v="Capitalized"/>
    <s v="1YD REL Containers"/>
    <m/>
    <m/>
    <n v="1"/>
    <m/>
    <n v="0"/>
    <s v="CAPITAL INDUSTRIES INC"/>
    <m/>
    <s v="CONTAINERS"/>
    <s v="TBA"/>
    <m/>
    <s v="1 YD"/>
    <s v="FEL/REL/SL Metal"/>
    <d v="2022-10-31T00:00:00"/>
    <d v="2022-10-31T00:00:00"/>
    <s v="2111-22-0045-1"/>
    <n v="1200"/>
    <n v="14050"/>
    <n v="935"/>
    <n v="14056"/>
    <n v="142.83000000000001"/>
    <n v="792.17"/>
    <n v="51.92"/>
    <n v="54260"/>
    <n v="6.49"/>
    <s v="P"/>
    <m/>
    <m/>
    <s v=" "/>
    <s v="STL"/>
    <s v="YES"/>
    <s v="TBD"/>
    <d v="1899-12-30T00:00:00"/>
    <x v="1"/>
    <n v="10"/>
    <n v="2022"/>
    <n v="2034"/>
    <n v="2034.8333333333333"/>
    <n v="6.4930555555555562"/>
    <n v="77.916666666666671"/>
    <n v="77.916666666666671"/>
    <n v="116.87499999999989"/>
    <n v="194.79166666666657"/>
    <n v="740.20833333333348"/>
    <s v="No"/>
  </r>
  <r>
    <n v="2111"/>
    <n v="294136"/>
    <s v="P"/>
    <s v="Capitalized"/>
    <s v="1YD REL Containers"/>
    <m/>
    <m/>
    <n v="9"/>
    <m/>
    <n v="0"/>
    <s v="CAPITAL INDUSTRIES INC"/>
    <m/>
    <s v="CONTAINERS"/>
    <s v="TBA"/>
    <m/>
    <s v="1 YD"/>
    <s v="FEL/REL/SL Metal"/>
    <d v="2022-10-31T00:00:00"/>
    <d v="2022-10-31T00:00:00"/>
    <s v="2111-22-0045-1"/>
    <n v="1200"/>
    <n v="14050"/>
    <n v="8415"/>
    <n v="14056"/>
    <n v="1285.6500000000001"/>
    <n v="7129.35"/>
    <n v="467.52"/>
    <n v="54260"/>
    <n v="58.44"/>
    <s v="P"/>
    <m/>
    <m/>
    <s v=" "/>
    <s v="STL"/>
    <s v="YES"/>
    <s v="TBD"/>
    <d v="1899-12-30T00:00:00"/>
    <x v="1"/>
    <n v="10"/>
    <n v="2022"/>
    <n v="2034"/>
    <n v="2034.8333333333333"/>
    <n v="58.4375"/>
    <n v="701.25"/>
    <n v="701.25"/>
    <n v="1051.875"/>
    <n v="1753.125"/>
    <n v="6661.875"/>
    <s v="No"/>
  </r>
  <r>
    <n v="2111"/>
    <n v="294135"/>
    <s v="P"/>
    <s v="Capitalized"/>
    <s v="1YD REL Containers"/>
    <m/>
    <m/>
    <n v="14"/>
    <m/>
    <n v="0"/>
    <s v="CAPITAL INDUSTRIES INC"/>
    <m/>
    <s v="CONTAINERS"/>
    <s v="TBA"/>
    <m/>
    <s v="1 YD"/>
    <s v="FEL/REL/SL Metal"/>
    <d v="2022-10-31T00:00:00"/>
    <d v="2022-10-31T00:00:00"/>
    <s v="2111-22-0045-1"/>
    <n v="1200"/>
    <n v="14050"/>
    <n v="13090"/>
    <n v="14056"/>
    <n v="1999.84"/>
    <n v="11090.16"/>
    <n v="727.2"/>
    <n v="54260"/>
    <n v="90.9"/>
    <s v="P"/>
    <m/>
    <m/>
    <s v=" "/>
    <s v="STL"/>
    <s v="YES"/>
    <s v="TBD"/>
    <d v="1899-12-30T00:00:00"/>
    <x v="1"/>
    <n v="10"/>
    <n v="2022"/>
    <n v="2034"/>
    <n v="2034.8333333333333"/>
    <n v="90.902777777777771"/>
    <n v="1090.8333333333333"/>
    <n v="1090.8333333333333"/>
    <n v="1636.25"/>
    <n v="2727.083333333333"/>
    <n v="10362.916666666668"/>
    <s v="No"/>
  </r>
  <r>
    <n v="2111"/>
    <n v="294134"/>
    <s v="P"/>
    <s v="Capitalized"/>
    <s v="1.5YD REL Containers"/>
    <m/>
    <m/>
    <n v="4"/>
    <m/>
    <n v="0"/>
    <s v="CAPITAL INDUSTRIES INC"/>
    <m/>
    <s v="CONTAINERS"/>
    <s v="TBA"/>
    <m/>
    <s v="1.5 YD"/>
    <s v="FEL/REL/SL Metal"/>
    <d v="2022-10-31T00:00:00"/>
    <d v="2022-10-31T00:00:00"/>
    <s v="2111-22-0045-1"/>
    <n v="1200"/>
    <n v="14050"/>
    <n v="3806"/>
    <n v="14056"/>
    <n v="581.47"/>
    <n v="3224.5299999999997"/>
    <n v="211.44"/>
    <n v="54260"/>
    <n v="26.43"/>
    <s v="P"/>
    <m/>
    <m/>
    <s v=" "/>
    <s v="STL"/>
    <s v="YES"/>
    <s v="TBD"/>
    <d v="1899-12-30T00:00:00"/>
    <x v="1"/>
    <n v="10"/>
    <n v="2022"/>
    <n v="2034"/>
    <n v="2034.8333333333333"/>
    <n v="26.430555555555557"/>
    <n v="317.16666666666669"/>
    <n v="317.16666666666669"/>
    <n v="475.75"/>
    <n v="792.91666666666674"/>
    <n v="3013.083333333333"/>
    <s v="No"/>
  </r>
  <r>
    <n v="2111"/>
    <n v="294133"/>
    <s v="P"/>
    <s v="Capitalized"/>
    <s v="1.5YD REL Containers"/>
    <m/>
    <m/>
    <n v="6"/>
    <m/>
    <n v="0"/>
    <s v="CAPITAL INDUSTRIES INC"/>
    <m/>
    <s v="CONTAINERS"/>
    <s v="TBA"/>
    <m/>
    <s v="1.5 YD"/>
    <s v="FEL/REL/SL Metal"/>
    <d v="2022-10-31T00:00:00"/>
    <d v="2022-10-31T00:00:00"/>
    <s v="2111-22-0045-1"/>
    <n v="1200"/>
    <n v="14050"/>
    <n v="5709"/>
    <n v="14056"/>
    <n v="872.24"/>
    <n v="4836.76"/>
    <n v="317.2"/>
    <n v="54260"/>
    <n v="39.65"/>
    <s v="P"/>
    <m/>
    <m/>
    <s v=" "/>
    <s v="STL"/>
    <s v="YES"/>
    <s v="TBD"/>
    <d v="1899-12-30T00:00:00"/>
    <x v="1"/>
    <n v="10"/>
    <n v="2022"/>
    <n v="2034"/>
    <n v="2034.8333333333333"/>
    <n v="39.645833333333336"/>
    <n v="475.75"/>
    <n v="475.75"/>
    <n v="713.625"/>
    <n v="1189.375"/>
    <n v="4519.625"/>
    <s v="No"/>
  </r>
  <r>
    <n v="2111"/>
    <n v="293905"/>
    <n v="291161"/>
    <s v="Capitalized"/>
    <s v="Fuel Island - drainage permit application"/>
    <m/>
    <m/>
    <n v="1"/>
    <m/>
    <n v="0"/>
    <s v="CITY OF FIFE COMMUNITY DE"/>
    <m/>
    <s v="LAND IMPROVEMENTS"/>
    <s v="TBA"/>
    <m/>
    <m/>
    <m/>
    <d v="2022-08-30T00:00:00"/>
    <d v="2022-08-30T00:00:00"/>
    <s v="2111-22-0024-1"/>
    <n v="1000"/>
    <n v="14010"/>
    <n v="731.3"/>
    <n v="14016"/>
    <n v="146.22999999999999"/>
    <n v="585.06999999999994"/>
    <n v="48.72"/>
    <n v="57260"/>
    <n v="6.09"/>
    <s v="P"/>
    <m/>
    <m/>
    <s v=" "/>
    <s v="STL"/>
    <s v="YES"/>
    <s v="TBD"/>
    <d v="1899-12-30T00:00:00"/>
    <x v="14"/>
    <n v="8"/>
    <n v="2022"/>
    <n v="2032"/>
    <n v="2032.6666666666667"/>
    <n v="6.0941666666666663"/>
    <n v="73.13"/>
    <n v="73.13"/>
    <n v="121.88333333332218"/>
    <n v="195.01333333332218"/>
    <n v="536.28666666667777"/>
    <s v="No"/>
  </r>
  <r>
    <n v="2111"/>
    <n v="293403"/>
    <n v="291161"/>
    <s v="Capitalized"/>
    <s v="Fuel Island - Construction support services"/>
    <m/>
    <m/>
    <n v="1"/>
    <m/>
    <n v="0"/>
    <m/>
    <m/>
    <s v="LAND IMPROVEMENTS"/>
    <s v="TBA"/>
    <m/>
    <m/>
    <m/>
    <d v="2022-08-30T00:00:00"/>
    <d v="2022-08-30T00:00:00"/>
    <s v="2111-22-0024-1"/>
    <n v="1000"/>
    <n v="14010"/>
    <n v="3895"/>
    <n v="14016"/>
    <n v="779.01"/>
    <n v="3115.99"/>
    <n v="259.68"/>
    <n v="57260"/>
    <n v="32.46"/>
    <s v="P"/>
    <m/>
    <m/>
    <s v=" "/>
    <s v="STL"/>
    <s v="YES"/>
    <s v="TBD"/>
    <d v="1899-12-30T00:00:00"/>
    <x v="14"/>
    <n v="8"/>
    <n v="2022"/>
    <n v="2032"/>
    <n v="2032.6666666666667"/>
    <n v="32.458333333333336"/>
    <n v="389.5"/>
    <n v="389.5"/>
    <n v="649.1666666666074"/>
    <n v="1038.6666666666074"/>
    <n v="2856.3333333333926"/>
    <s v="No"/>
  </r>
  <r>
    <n v="2111"/>
    <n v="293355"/>
    <n v="289376"/>
    <s v="Capitalized"/>
    <s v="Software for Panasonic Toughbook"/>
    <m/>
    <m/>
    <n v="2"/>
    <m/>
    <n v="0"/>
    <s v="NOREGON SYSTEMS INC"/>
    <m/>
    <s v="HARDWARE AND SOFTWARE"/>
    <s v="TBA"/>
    <m/>
    <m/>
    <m/>
    <d v="2022-07-08T00:00:00"/>
    <d v="2022-07-08T00:00:00"/>
    <s v="2111-22-0040-1"/>
    <n v="300"/>
    <n v="14110"/>
    <n v="2200"/>
    <n v="14116"/>
    <n v="1588.88"/>
    <n v="611.11999999999989"/>
    <n v="488.88"/>
    <n v="70260"/>
    <n v="61.11"/>
    <s v="P"/>
    <m/>
    <m/>
    <s v=" "/>
    <s v="STL"/>
    <s v="YES"/>
    <s v="TBD"/>
    <s v="Shop"/>
    <x v="15"/>
    <n v="7"/>
    <n v="2022"/>
    <n v="2025"/>
    <n v="2025.5833333333333"/>
    <n v="61.111111111111114"/>
    <n v="733.33333333333337"/>
    <n v="733.33333333333337"/>
    <n v="1283.3333333333333"/>
    <n v="2016.6666666666665"/>
    <n v="183.33333333333348"/>
    <s v="No"/>
  </r>
  <r>
    <n v="2111"/>
    <n v="291392"/>
    <s v="P"/>
    <s v="Capitalized"/>
    <s v="Tire Maintenance Storage Building"/>
    <m/>
    <m/>
    <n v="1"/>
    <m/>
    <n v="0"/>
    <m/>
    <m/>
    <s v="BUILDINGS"/>
    <s v="TBA"/>
    <m/>
    <m/>
    <m/>
    <d v="2022-06-30T00:00:00"/>
    <d v="2022-06-30T00:00:00"/>
    <s v="2111-22-0021-1"/>
    <n v="1000"/>
    <n v="14080"/>
    <n v="38605"/>
    <n v="14086"/>
    <n v="8364.43"/>
    <n v="30240.57"/>
    <n v="2573.6799999999998"/>
    <n v="57260"/>
    <n v="321.70999999999998"/>
    <s v="P"/>
    <m/>
    <m/>
    <s v=" "/>
    <s v="STL"/>
    <s v="YES"/>
    <s v="TBD"/>
    <d v="1899-12-30T00:00:00"/>
    <x v="11"/>
    <n v="6"/>
    <n v="2022"/>
    <n v="2032"/>
    <n v="2032.5"/>
    <n v="321.70833333333331"/>
    <n v="3860.5"/>
    <n v="3860.5"/>
    <n v="7077.5833333330411"/>
    <n v="10938.083333333041"/>
    <n v="27666.916666666959"/>
    <s v="No"/>
  </r>
  <r>
    <n v="2111"/>
    <n v="291325"/>
    <n v="291321"/>
    <s v="Capitalized"/>
    <s v="Licensing for Truck# 663"/>
    <m/>
    <m/>
    <n v="1"/>
    <s v="1HTWGADT14J025816"/>
    <n v="0"/>
    <m/>
    <m/>
    <s v="TRUCKS AND TRAILERS"/>
    <s v="TBA"/>
    <s v="Non-Rolling Stock"/>
    <m/>
    <m/>
    <d v="2004-05-25T00:00:00"/>
    <d v="2004-05-25T00:00:00"/>
    <n v="42009021"/>
    <n v="1000"/>
    <n v="14040"/>
    <n v="8947.36"/>
    <n v="14046"/>
    <n v="8947.36"/>
    <n v="0"/>
    <n v="0"/>
    <n v="51260"/>
    <n v="0"/>
    <s v="P"/>
    <n v="0"/>
    <n v="663"/>
    <s v=" "/>
    <s v="STL"/>
    <s v="YES"/>
    <s v="TBD"/>
    <d v="1899-12-30T00:00:00"/>
    <x v="2"/>
    <n v="5"/>
    <n v="2004"/>
    <n v="2014"/>
    <n v="2014.4166666666667"/>
    <n v="74.561333333333337"/>
    <n v="894.7360000000001"/>
    <n v="0"/>
    <n v="8947.36"/>
    <n v="8947.36"/>
    <n v="0"/>
    <s v="No"/>
  </r>
  <r>
    <n v="2111"/>
    <n v="291324"/>
    <n v="291321"/>
    <s v="Capitalized"/>
    <s v="Upgrade to 2004 INTL 7400"/>
    <m/>
    <m/>
    <n v="1"/>
    <s v="1HTWGADT14J025816"/>
    <n v="0"/>
    <m/>
    <m/>
    <s v="TRUCKS AND TRAILERS"/>
    <s v="TBA"/>
    <s v="Non-Rolling Stock"/>
    <m/>
    <m/>
    <d v="2004-04-23T00:00:00"/>
    <d v="2004-04-23T00:00:00"/>
    <n v="42009021"/>
    <n v="1000"/>
    <n v="14040"/>
    <n v="41718.199999999997"/>
    <n v="14046"/>
    <n v="41718.199999999997"/>
    <n v="0"/>
    <n v="0"/>
    <n v="51260"/>
    <n v="0"/>
    <s v="P"/>
    <n v="0"/>
    <n v="663"/>
    <s v=" "/>
    <s v="STL"/>
    <s v="YES"/>
    <s v="TBD"/>
    <d v="1899-12-30T00:00:00"/>
    <x v="2"/>
    <n v="4"/>
    <n v="2004"/>
    <n v="2014"/>
    <n v="2014.3333333333333"/>
    <n v="347.65166666666664"/>
    <n v="4171.82"/>
    <n v="0"/>
    <n v="41718.199999999997"/>
    <n v="41718.199999999997"/>
    <n v="0"/>
    <s v="No"/>
  </r>
  <r>
    <n v="2111"/>
    <n v="291323"/>
    <n v="291321"/>
    <s v="Capitalized"/>
    <s v="Lettering on Truck #663 - Extra Set of Door Logos"/>
    <m/>
    <m/>
    <n v="1"/>
    <m/>
    <n v="0"/>
    <m/>
    <m/>
    <s v="TRUCKS AND TRAILERS"/>
    <s v="TBA"/>
    <s v="Non-Rolling Stock"/>
    <m/>
    <m/>
    <d v="2004-05-21T00:00:00"/>
    <d v="2004-05-21T00:00:00"/>
    <n v="42009021"/>
    <n v="1000"/>
    <n v="14040"/>
    <n v="527.73"/>
    <n v="14046"/>
    <n v="527.73"/>
    <n v="0"/>
    <n v="0"/>
    <n v="51260"/>
    <n v="0"/>
    <s v="P"/>
    <n v="0"/>
    <n v="663"/>
    <s v=" "/>
    <s v="STL"/>
    <s v="YES"/>
    <s v="TBD"/>
    <d v="1899-12-30T00:00:00"/>
    <x v="2"/>
    <n v="5"/>
    <n v="2004"/>
    <n v="2014"/>
    <n v="2014.4166666666667"/>
    <n v="4.3977500000000003"/>
    <n v="52.773000000000003"/>
    <n v="0"/>
    <n v="527.73"/>
    <n v="527.73"/>
    <n v="0"/>
    <s v="No"/>
  </r>
  <r>
    <n v="2111"/>
    <n v="291322"/>
    <n v="291321"/>
    <s v="Capitalized"/>
    <s v="Upgrades to 2004 INTL 7400"/>
    <m/>
    <m/>
    <n v="1"/>
    <s v="1HTWGADT14J025816"/>
    <n v="2004"/>
    <m/>
    <m/>
    <s v="TRUCKS AND TRAILERS"/>
    <s v="TBA"/>
    <s v="Non-Rolling Stock"/>
    <m/>
    <m/>
    <d v="2004-05-19T00:00:00"/>
    <d v="2004-05-19T00:00:00"/>
    <n v="42009021"/>
    <n v="1000"/>
    <n v="14040"/>
    <n v="919.29"/>
    <n v="14046"/>
    <n v="919.29"/>
    <n v="0"/>
    <n v="0"/>
    <n v="51260"/>
    <n v="0"/>
    <s v="P"/>
    <n v="0"/>
    <n v="663"/>
    <s v=" "/>
    <s v="STL"/>
    <s v="YES"/>
    <s v="TBD"/>
    <d v="1899-12-30T00:00:00"/>
    <x v="2"/>
    <n v="5"/>
    <n v="2004"/>
    <n v="2014"/>
    <n v="2014.4166666666667"/>
    <n v="7.6607500000000002"/>
    <n v="91.929000000000002"/>
    <n v="0"/>
    <n v="919.29"/>
    <n v="919.29"/>
    <n v="0"/>
    <s v="No"/>
  </r>
  <r>
    <n v="2111"/>
    <n v="291321"/>
    <s v="P"/>
    <s v="Capitalized"/>
    <s v="2004 International 7400 REL"/>
    <m/>
    <m/>
    <n v="1"/>
    <s v="1HTWGADT14J025816"/>
    <n v="2004"/>
    <s v="International"/>
    <s v="LEACH"/>
    <s v="TRUCKS AND TRAILERS"/>
    <s v="TBA"/>
    <s v="Rear Loader"/>
    <m/>
    <m/>
    <d v="2004-02-12T00:00:00"/>
    <d v="2004-02-12T00:00:00"/>
    <n v="42009021"/>
    <n v="1000"/>
    <n v="14040"/>
    <n v="82716.06"/>
    <n v="14046"/>
    <n v="82716.06"/>
    <n v="0"/>
    <n v="0"/>
    <n v="51260"/>
    <n v="0"/>
    <s v="A"/>
    <n v="0"/>
    <s v="NA"/>
    <s v=" "/>
    <s v="STL"/>
    <s v="YES"/>
    <s v="TBD"/>
    <d v="1899-12-30T00:00:00"/>
    <x v="2"/>
    <n v="2"/>
    <n v="2004"/>
    <n v="2014"/>
    <n v="2014.1666666666667"/>
    <n v="689.30049999999994"/>
    <n v="8271.6059999999998"/>
    <n v="0"/>
    <n v="82716.06"/>
    <n v="82716.06"/>
    <n v="0"/>
    <s v="No"/>
  </r>
  <r>
    <n v="2111"/>
    <n v="291184"/>
    <n v="291161"/>
    <s v="Capitalized"/>
    <s v="Custom Designed Tank"/>
    <m/>
    <m/>
    <n v="1"/>
    <m/>
    <n v="0"/>
    <s v="NORTHWEST PUMP &amp; EQUIPMEN"/>
    <m/>
    <s v="LAND IMPROVEMENTS"/>
    <s v="TBA"/>
    <m/>
    <m/>
    <m/>
    <d v="2022-01-02T00:00:00"/>
    <d v="2022-01-02T00:00:00"/>
    <s v="2111-22-0024-1"/>
    <n v="1000"/>
    <n v="14010"/>
    <n v="6160"/>
    <n v="14016"/>
    <n v="1642.64"/>
    <n v="4517.3599999999997"/>
    <n v="410.64"/>
    <n v="57260"/>
    <n v="51.33"/>
    <s v="P"/>
    <m/>
    <m/>
    <s v=" "/>
    <s v="STL"/>
    <s v="YES"/>
    <s v="TBD"/>
    <d v="1899-12-30T00:00:00"/>
    <x v="14"/>
    <n v="1"/>
    <n v="2022"/>
    <n v="2032"/>
    <n v="2032.0833333333333"/>
    <n v="51.333333333333336"/>
    <n v="616"/>
    <n v="616"/>
    <n v="1386"/>
    <n v="2002"/>
    <n v="4158"/>
    <s v="No"/>
  </r>
  <r>
    <n v="2111"/>
    <n v="291161"/>
    <s v="P"/>
    <s v="Capitalized"/>
    <s v="Fuel Island"/>
    <m/>
    <m/>
    <n v="1"/>
    <m/>
    <n v="0"/>
    <m/>
    <m/>
    <s v="LAND IMPROVEMENTS"/>
    <s v="TBA"/>
    <m/>
    <m/>
    <m/>
    <d v="2022-08-30T00:00:00"/>
    <d v="2022-08-30T00:00:00"/>
    <s v="2111-22-0024-1"/>
    <n v="1000"/>
    <n v="14010"/>
    <n v="800316.61"/>
    <n v="14016"/>
    <n v="160063.35999999999"/>
    <n v="640253.25"/>
    <n v="53354.48"/>
    <n v="57260"/>
    <n v="6669.31"/>
    <s v="P"/>
    <m/>
    <m/>
    <s v=" "/>
    <s v="STL"/>
    <s v="YES"/>
    <s v="TBD"/>
    <d v="1899-12-30T00:00:00"/>
    <x v="14"/>
    <n v="8"/>
    <n v="2022"/>
    <n v="2032"/>
    <n v="2032.6666666666667"/>
    <n v="6669.3050833333327"/>
    <n v="80031.660999999993"/>
    <n v="80031.660999999993"/>
    <n v="133386.10166665458"/>
    <n v="213417.76266665457"/>
    <n v="586898.84733334545"/>
    <s v="No"/>
  </r>
  <r>
    <n v="2111"/>
    <n v="290881"/>
    <s v="P"/>
    <s v="Capitalized"/>
    <s v="5yd FEL Containers"/>
    <m/>
    <m/>
    <n v="24"/>
    <m/>
    <n v="0"/>
    <s v="ENVIRONMENTAL METAL WORKS"/>
    <m/>
    <s v="CONTAINERS"/>
    <s v="TBA"/>
    <m/>
    <s v="5 YD"/>
    <s v="FEL/REL/SL Metal"/>
    <d v="2022-05-12T00:00:00"/>
    <d v="2022-05-12T00:00:00"/>
    <s v="2111-22-0033-1"/>
    <n v="1200"/>
    <n v="14050"/>
    <n v="39055.300000000003"/>
    <n v="14056"/>
    <n v="7594.11"/>
    <n v="31461.190000000002"/>
    <n v="2169.7600000000002"/>
    <n v="54260"/>
    <n v="271.22000000000003"/>
    <s v="P"/>
    <m/>
    <m/>
    <s v=" "/>
    <s v="STL"/>
    <s v="YES"/>
    <s v="TBD"/>
    <d v="1899-12-30T00:00:00"/>
    <x v="1"/>
    <n v="5"/>
    <n v="2022"/>
    <n v="2034"/>
    <n v="2034.4166666666667"/>
    <n v="271.21736111111113"/>
    <n v="3254.6083333333336"/>
    <n v="3254.6083333333336"/>
    <n v="6237.9993055550658"/>
    <n v="9492.6076388883994"/>
    <n v="29562.692361111604"/>
    <s v="No"/>
  </r>
  <r>
    <n v="2111"/>
    <n v="290734"/>
    <s v="P"/>
    <s v="Capitalized"/>
    <s v="Fence Addition - East Corner Lot"/>
    <m/>
    <m/>
    <n v="1"/>
    <m/>
    <n v="0"/>
    <s v="SECOMA FENCE INC"/>
    <m/>
    <s v="LAND IMPROVEMENTS"/>
    <s v="TBA"/>
    <m/>
    <m/>
    <m/>
    <d v="2022-04-29T00:00:00"/>
    <d v="2022-04-29T00:00:00"/>
    <s v="2111-22-0047-1"/>
    <n v="1000"/>
    <n v="14010"/>
    <n v="17022.5"/>
    <n v="14016"/>
    <n v="3971.88"/>
    <n v="13050.619999999999"/>
    <n v="1134.8"/>
    <n v="57260"/>
    <n v="141.85"/>
    <s v="P"/>
    <m/>
    <m/>
    <s v=" "/>
    <s v="STL"/>
    <s v="YES"/>
    <s v="TBD"/>
    <d v="1899-12-30T00:00:00"/>
    <x v="11"/>
    <n v="4"/>
    <n v="2022"/>
    <n v="2032"/>
    <n v="2032.3333333333333"/>
    <n v="141.85416666666666"/>
    <n v="1702.25"/>
    <n v="1702.25"/>
    <n v="3404.5"/>
    <n v="5106.75"/>
    <n v="11915.75"/>
    <s v="No"/>
  </r>
  <r>
    <n v="2111"/>
    <n v="290430"/>
    <n v="290429"/>
    <s v="Capitalized"/>
    <s v="2022 Peterbilt ASL Truck - Body - Rollover 2111-21-0004"/>
    <m/>
    <m/>
    <n v="1"/>
    <s v="3BPDLK0X7NF111056"/>
    <n v="2022"/>
    <m/>
    <m/>
    <s v="TRUCKS AND TRAILERS"/>
    <s v="TBA"/>
    <s v="Non-Rolling Stock"/>
    <m/>
    <m/>
    <d v="2022-03-31T00:00:00"/>
    <d v="2022-03-31T00:00:00"/>
    <s v="2111-22-0028-1"/>
    <n v="1000"/>
    <n v="14040"/>
    <n v="186070.69"/>
    <n v="14046"/>
    <n v="44967.09"/>
    <n v="141103.6"/>
    <n v="12404.72"/>
    <n v="51260"/>
    <n v="1550.59"/>
    <s v="P"/>
    <m/>
    <m/>
    <s v=" "/>
    <s v="STL"/>
    <s v="YES"/>
    <s v="TBD"/>
    <s v="ASL Garbage Truck"/>
    <x v="2"/>
    <n v="3"/>
    <n v="2022"/>
    <n v="2032"/>
    <n v="2032.25"/>
    <n v="1550.5890833333333"/>
    <n v="18607.069"/>
    <n v="18607.069"/>
    <n v="38764.727083331934"/>
    <n v="57371.796083331938"/>
    <n v="128698.89391666806"/>
    <s v="No"/>
  </r>
  <r>
    <n v="2111"/>
    <n v="290429"/>
    <s v="P"/>
    <s v="Capitalized"/>
    <s v="2022 Peterbilt ASL Truck"/>
    <m/>
    <m/>
    <n v="1"/>
    <s v="3BPDLK0X7NF111056"/>
    <n v="2022"/>
    <m/>
    <m/>
    <s v="TRUCKS AND TRAILERS"/>
    <s v="TBA"/>
    <s v="Automated Side Loader"/>
    <m/>
    <m/>
    <d v="2022-03-31T00:00:00"/>
    <d v="2022-03-31T00:00:00"/>
    <s v="2111-21-0004-1"/>
    <n v="1000"/>
    <n v="14040"/>
    <n v="190394.16"/>
    <n v="14046"/>
    <n v="46011.94"/>
    <n v="144382.22"/>
    <n v="12692.96"/>
    <n v="51260"/>
    <n v="1586.62"/>
    <s v="P"/>
    <m/>
    <m/>
    <s v=" "/>
    <s v="STL"/>
    <s v="YES"/>
    <s v="TBD"/>
    <s v="ASL Garbage Truck"/>
    <x v="2"/>
    <n v="3"/>
    <n v="2022"/>
    <n v="2032"/>
    <n v="2032.25"/>
    <n v="1586.6180000000002"/>
    <n v="19039.416000000001"/>
    <n v="19039.416000000001"/>
    <n v="39665.449999998556"/>
    <n v="58704.865999998554"/>
    <n v="131689.29400000145"/>
    <s v="No"/>
  </r>
  <r>
    <n v="2111"/>
    <n v="289651"/>
    <n v="283285"/>
    <s v="Capitalized"/>
    <s v="2022 Retriever License- TRUCK 918"/>
    <m/>
    <m/>
    <n v="1"/>
    <m/>
    <n v="0"/>
    <s v="WA DOL LIC &amp; REG 31150"/>
    <m/>
    <s v="TRUCKS AND TRAILERS"/>
    <s v="TBA"/>
    <s v="Non-Rolling Stock"/>
    <m/>
    <m/>
    <d v="2022-09-17T00:00:00"/>
    <d v="2022-09-17T00:00:00"/>
    <s v="2111-22-0011-1"/>
    <n v="1000"/>
    <n v="14040"/>
    <n v="1008.11"/>
    <n v="14046"/>
    <n v="193.21"/>
    <n v="814.9"/>
    <n v="67.2"/>
    <n v="51260"/>
    <n v="8.4"/>
    <s v="P"/>
    <m/>
    <m/>
    <s v=" "/>
    <s v="STL"/>
    <s v="YES"/>
    <s v="TBD"/>
    <s v="Garbage Trucks"/>
    <x v="2"/>
    <n v="9"/>
    <n v="2022"/>
    <n v="2032"/>
    <n v="2032.75"/>
    <n v="8.4009166666666673"/>
    <n v="100.81100000000001"/>
    <n v="100.81100000000001"/>
    <n v="159.61741666665898"/>
    <n v="260.42841666665902"/>
    <n v="747.681583333341"/>
    <s v="No"/>
  </r>
  <r>
    <n v="2111"/>
    <n v="289376"/>
    <s v="P"/>
    <s v="Capitalized"/>
    <s v="Panasonic Toughbook with software"/>
    <m/>
    <m/>
    <n v="2"/>
    <m/>
    <n v="0"/>
    <s v="NOREGON SYSTEMS INC"/>
    <m/>
    <s v="HARDWARE AND SOFTWARE"/>
    <s v="TBA"/>
    <m/>
    <m/>
    <m/>
    <d v="2022-07-08T00:00:00"/>
    <d v="2022-07-08T00:00:00"/>
    <s v="2111-22-0040-1"/>
    <n v="200"/>
    <n v="14110"/>
    <n v="6433.76"/>
    <n v="14116"/>
    <n v="6433.76"/>
    <n v="0"/>
    <n v="1608.44"/>
    <n v="70260"/>
    <n v="268.08999999999997"/>
    <s v="P"/>
    <m/>
    <m/>
    <s v=" "/>
    <s v="STL"/>
    <s v="YES"/>
    <s v="TBD"/>
    <s v="Shop"/>
    <x v="15"/>
    <n v="7"/>
    <n v="2022"/>
    <n v="2024"/>
    <n v="2024.5833333333333"/>
    <n v="268.07333333333332"/>
    <n v="3216.88"/>
    <n v="0"/>
    <n v="5629.54"/>
    <n v="6433.76"/>
    <n v="0"/>
    <s v="No"/>
  </r>
  <r>
    <n v="2111"/>
    <n v="289030"/>
    <s v="P"/>
    <s v="Capitalized"/>
    <s v="2021 FORD F-350 TRUCK"/>
    <m/>
    <m/>
    <n v="1"/>
    <s v="1FOUF5GT6ME059158"/>
    <n v="2021"/>
    <s v="LAKEWOOD FORD"/>
    <m/>
    <s v="TRUCKS AND TRAILERS"/>
    <s v="TBA"/>
    <s v="Non-Rolling Stock "/>
    <m/>
    <m/>
    <d v="2022-06-28T00:00:00"/>
    <d v="2022-06-28T00:00:00"/>
    <s v="2111-22-0002-1"/>
    <n v="800"/>
    <n v="14040"/>
    <n v="100168.51"/>
    <n v="14046"/>
    <n v="27128.94"/>
    <n v="73039.569999999992"/>
    <n v="8347.36"/>
    <n v="51260"/>
    <n v="1043.42"/>
    <s v="P"/>
    <m/>
    <m/>
    <s v=" "/>
    <s v="STL"/>
    <s v="YES"/>
    <s v="TBD"/>
    <s v="Shop Equipment "/>
    <x v="15"/>
    <n v="6"/>
    <n v="2022"/>
    <n v="2030"/>
    <n v="2030.5"/>
    <n v="1043.4219791666667"/>
    <n v="12521.063750000001"/>
    <n v="12521.063750000001"/>
    <n v="22955.283541665718"/>
    <n v="35476.347291665719"/>
    <n v="64692.162708334276"/>
    <s v="No"/>
  </r>
  <r>
    <n v="2111"/>
    <n v="289029"/>
    <s v="P"/>
    <s v="Capitalized"/>
    <s v="95 gal MSW CARTS"/>
    <m/>
    <m/>
    <n v="702"/>
    <m/>
    <n v="0"/>
    <s v="REHRIG PACIFIC COMPANY IN"/>
    <m/>
    <s v="CONTAINERS"/>
    <s v="TBA"/>
    <m/>
    <m/>
    <m/>
    <d v="2022-08-15T00:00:00"/>
    <d v="2022-08-15T00:00:00"/>
    <s v="2111-22-0044-1"/>
    <n v="700"/>
    <n v="14050"/>
    <n v="46841.65"/>
    <n v="14056"/>
    <n v="13940.98"/>
    <n v="32900.67"/>
    <n v="4461.12"/>
    <n v="54260"/>
    <n v="557.64"/>
    <s v="P"/>
    <m/>
    <m/>
    <s v=" "/>
    <s v="STL"/>
    <s v="YES"/>
    <s v="TBD"/>
    <s v="Garbage Carts"/>
    <x v="0"/>
    <n v="8"/>
    <n v="2022"/>
    <n v="2029"/>
    <n v="2029.6666666666667"/>
    <n v="557.6386904761905"/>
    <n v="6691.6642857142861"/>
    <n v="6691.6642857142861"/>
    <n v="11152.773809522798"/>
    <n v="17844.438095237085"/>
    <n v="28997.211904762917"/>
    <s v="No"/>
  </r>
  <r>
    <n v="2111"/>
    <n v="289028"/>
    <s v="P"/>
    <s v="Capitalized"/>
    <s v="65 gal MSW CARTS"/>
    <m/>
    <m/>
    <n v="936"/>
    <m/>
    <n v="0"/>
    <s v="REHRIG PACIFIC COMPANY IN"/>
    <m/>
    <s v="CONTAINERS"/>
    <s v="TBA"/>
    <m/>
    <m/>
    <m/>
    <d v="2022-08-15T00:00:00"/>
    <d v="2022-08-15T00:00:00"/>
    <s v="2111-22-0044-1"/>
    <n v="700"/>
    <n v="14050"/>
    <n v="54249.62"/>
    <n v="14056"/>
    <n v="16145.73"/>
    <n v="38103.89"/>
    <n v="5166.6400000000003"/>
    <n v="54260"/>
    <n v="645.83000000000004"/>
    <s v="P"/>
    <m/>
    <m/>
    <s v=" "/>
    <s v="STL"/>
    <s v="YES"/>
    <s v="TBD"/>
    <s v="Garbage Carts"/>
    <x v="0"/>
    <n v="8"/>
    <n v="2022"/>
    <n v="2029"/>
    <n v="2029.6666666666667"/>
    <n v="645.82880952380958"/>
    <n v="7749.9457142857154"/>
    <n v="7749.9457142857154"/>
    <n v="12916.576190475018"/>
    <n v="20666.521904760732"/>
    <n v="33583.098095239271"/>
    <s v="No"/>
  </r>
  <r>
    <n v="2111"/>
    <n v="289027"/>
    <s v="P"/>
    <s v="Capitalized"/>
    <s v="95 GAL YARD WASTE CARTS"/>
    <m/>
    <m/>
    <n v="1404"/>
    <m/>
    <n v="0"/>
    <s v="REHRIG PACIFIC COMPANY IN"/>
    <m/>
    <s v="CONTAINERS"/>
    <s v="TBA"/>
    <m/>
    <m/>
    <m/>
    <d v="2022-08-15T00:00:00"/>
    <d v="2022-08-15T00:00:00"/>
    <s v="2111-22-0044-1"/>
    <n v="700"/>
    <n v="14050"/>
    <n v="93683.31"/>
    <n v="14056"/>
    <n v="27881.96"/>
    <n v="65801.350000000006"/>
    <n v="8922.24"/>
    <n v="54260"/>
    <n v="1115.28"/>
    <s v="P"/>
    <m/>
    <m/>
    <s v=" "/>
    <s v="STL"/>
    <s v="YES"/>
    <s v="TBD"/>
    <s v="YW Cart"/>
    <x v="16"/>
    <n v="8"/>
    <n v="2022"/>
    <n v="2029"/>
    <n v="2029.6666666666667"/>
    <n v="1115.2774999999999"/>
    <n v="13383.329999999998"/>
    <n v="13383.329999999998"/>
    <n v="22305.54999999798"/>
    <n v="35688.879999997982"/>
    <n v="57994.430000002016"/>
    <s v="No"/>
  </r>
  <r>
    <n v="2111"/>
    <n v="288539"/>
    <n v="282796"/>
    <s v="Capitalized"/>
    <s v="2022 International Hook Lift Truck - Body - Rollover 2111-22-0031"/>
    <m/>
    <m/>
    <n v="1"/>
    <m/>
    <n v="2022"/>
    <s v="xxx"/>
    <s v="xxx"/>
    <s v="TRUCKS AND TRAILERS"/>
    <s v="TBA"/>
    <s v="Non-Rolling Stock"/>
    <m/>
    <m/>
    <d v="2022-06-22T00:00:00"/>
    <d v="2022-06-22T00:00:00"/>
    <s v="2111-22-0031-1"/>
    <n v="1000"/>
    <n v="14040"/>
    <n v="39028"/>
    <n v="14046"/>
    <n v="8456.0400000000009"/>
    <n v="30571.96"/>
    <n v="2601.84"/>
    <n v="51260"/>
    <n v="325.23"/>
    <s v="P"/>
    <m/>
    <m/>
    <s v=" "/>
    <s v="STL"/>
    <s v="YES"/>
    <s v="TBD"/>
    <s v="Garbage Trucks"/>
    <x v="2"/>
    <n v="6"/>
    <n v="2022"/>
    <n v="2032"/>
    <n v="2032.5"/>
    <n v="325.23333333333335"/>
    <n v="3902.8"/>
    <n v="3902.8"/>
    <n v="7155.1333333330367"/>
    <n v="11057.933333333036"/>
    <n v="27970.066666666964"/>
    <s v="No"/>
  </r>
  <r>
    <n v="2111"/>
    <n v="285785"/>
    <s v="P"/>
    <s v="Capitalized"/>
    <s v="DRIVECAM UPGRADES"/>
    <m/>
    <m/>
    <n v="7"/>
    <m/>
    <n v="0"/>
    <s v="LYTX INC"/>
    <m/>
    <s v="SHOP EQUIPMENT"/>
    <s v="TBA"/>
    <m/>
    <m/>
    <m/>
    <d v="2022-06-29T00:00:00"/>
    <d v="2022-06-29T00:00:00"/>
    <s v="2111-22-0043-1"/>
    <n v="500"/>
    <n v="14070"/>
    <n v="2265.46"/>
    <n v="14076"/>
    <n v="981.72"/>
    <n v="1283.74"/>
    <n v="302.08"/>
    <n v="51260"/>
    <n v="37.76"/>
    <s v="P"/>
    <m/>
    <m/>
    <s v=" "/>
    <s v="STL"/>
    <s v="YES"/>
    <s v="TBD"/>
    <s v="Bulk Drive Cam"/>
    <x v="12"/>
    <n v="6"/>
    <n v="2022"/>
    <n v="2027"/>
    <n v="2027.5"/>
    <n v="37.757666666666665"/>
    <n v="453.09199999999998"/>
    <n v="453.09199999999998"/>
    <n v="830.66866666663236"/>
    <n v="1283.7606666666325"/>
    <n v="981.69933333336758"/>
    <s v="No"/>
  </r>
  <r>
    <n v="2111"/>
    <n v="285393"/>
    <s v="P"/>
    <s v="Capitalized"/>
    <s v="95 GAL MSW CARTS"/>
    <m/>
    <m/>
    <n v="351"/>
    <m/>
    <n v="0"/>
    <s v="REHRIG PACIFIC COMPANY IN"/>
    <m/>
    <s v="CONTAINERS"/>
    <s v="TBA"/>
    <m/>
    <m/>
    <m/>
    <d v="2022-07-15T00:00:00"/>
    <d v="2022-07-15T00:00:00"/>
    <s v="2111-22-0042-1"/>
    <n v="700"/>
    <n v="14050"/>
    <n v="23718.13"/>
    <n v="14056"/>
    <n v="7341.34"/>
    <n v="16376.79"/>
    <n v="2258.88"/>
    <n v="54260"/>
    <n v="282.36"/>
    <s v="P"/>
    <m/>
    <m/>
    <s v=" "/>
    <s v="STL"/>
    <s v="YES"/>
    <s v="TBD"/>
    <s v="Garbage Carts"/>
    <x v="0"/>
    <n v="7"/>
    <n v="2022"/>
    <n v="2029"/>
    <n v="2029.5833333333333"/>
    <n v="282.35869047619047"/>
    <n v="3388.3042857142855"/>
    <n v="3388.3042857142855"/>
    <n v="5929.5325000000012"/>
    <n v="9317.8367857142875"/>
    <n v="14400.293214285713"/>
    <s v="No"/>
  </r>
  <r>
    <n v="2111"/>
    <n v="285392"/>
    <s v="P"/>
    <s v="Capitalized"/>
    <s v="95 GAL YARD WASTE CARTS"/>
    <m/>
    <m/>
    <n v="351"/>
    <m/>
    <n v="0"/>
    <s v="REHRIG PACIFIC COMPANY IN"/>
    <m/>
    <s v="CONTAINERS"/>
    <s v="TBA"/>
    <m/>
    <m/>
    <m/>
    <d v="2022-07-15T00:00:00"/>
    <d v="2022-07-15T00:00:00"/>
    <s v="2111-22-0042-1"/>
    <n v="700"/>
    <n v="14050"/>
    <n v="23718.13"/>
    <n v="14056"/>
    <n v="7341.34"/>
    <n v="16376.79"/>
    <n v="2258.88"/>
    <n v="54260"/>
    <n v="282.36"/>
    <s v="P"/>
    <m/>
    <m/>
    <s v=" "/>
    <s v="STL"/>
    <s v="YES"/>
    <s v="TBD"/>
    <s v="YW Cart"/>
    <x v="16"/>
    <n v="7"/>
    <n v="2022"/>
    <n v="2029"/>
    <n v="2029.5833333333333"/>
    <n v="282.35869047619047"/>
    <n v="3388.3042857142855"/>
    <n v="3388.3042857142855"/>
    <n v="5929.5325000000012"/>
    <n v="9317.8367857142875"/>
    <n v="14400.293214285713"/>
    <s v="No"/>
  </r>
  <r>
    <n v="2111"/>
    <n v="285391"/>
    <s v="P"/>
    <s v="Capitalized"/>
    <s v="95 GAL YARD WASTE CARTS"/>
    <m/>
    <m/>
    <n v="702"/>
    <m/>
    <n v="0"/>
    <s v="REHRIG PACIFIC COMPANY IN"/>
    <m/>
    <s v="CONTAINERS"/>
    <s v="TBA"/>
    <m/>
    <m/>
    <m/>
    <d v="2022-07-15T00:00:00"/>
    <d v="2022-07-15T00:00:00"/>
    <s v="2111-22-0042-1"/>
    <n v="700"/>
    <n v="14050"/>
    <n v="47436.25"/>
    <n v="14056"/>
    <n v="14682.67"/>
    <n v="32753.58"/>
    <n v="4517.76"/>
    <n v="54260"/>
    <n v="564.72"/>
    <s v="P"/>
    <m/>
    <m/>
    <s v=" "/>
    <s v="STL"/>
    <s v="YES"/>
    <s v="TBD"/>
    <s v="YW Cart"/>
    <x v="16"/>
    <n v="7"/>
    <n v="2022"/>
    <n v="2029"/>
    <n v="2029.5833333333333"/>
    <n v="564.71726190476193"/>
    <n v="6776.6071428571431"/>
    <n v="6776.6071428571431"/>
    <n v="11859.0625"/>
    <n v="18635.669642857145"/>
    <n v="28800.580357142855"/>
    <s v="No"/>
  </r>
  <r>
    <n v="2111"/>
    <n v="285276"/>
    <s v="P"/>
    <s v="Capitalized"/>
    <s v="65 GAL MSW"/>
    <m/>
    <m/>
    <n v="936"/>
    <m/>
    <n v="0"/>
    <s v="REHRIG PACIFIC COMPANY IN"/>
    <m/>
    <s v="CONTAINERS"/>
    <s v="TBA"/>
    <m/>
    <m/>
    <m/>
    <d v="2022-07-15T00:00:00"/>
    <d v="2022-07-15T00:00:00"/>
    <s v="2111-22-0042-1"/>
    <n v="700"/>
    <n v="14050"/>
    <n v="55423.360000000001"/>
    <n v="14056"/>
    <n v="17154.830000000002"/>
    <n v="38268.53"/>
    <n v="5278.4"/>
    <n v="54260"/>
    <n v="659.8"/>
    <s v="P"/>
    <m/>
    <m/>
    <s v=" "/>
    <s v="STL"/>
    <s v="YES"/>
    <s v="TBD"/>
    <s v="Garbage Carts"/>
    <x v="0"/>
    <n v="7"/>
    <n v="2022"/>
    <n v="2029"/>
    <n v="2029.5833333333333"/>
    <n v="659.80190476190478"/>
    <n v="7917.6228571428574"/>
    <n v="7917.6228571428574"/>
    <n v="13855.839999999997"/>
    <n v="21773.462857142855"/>
    <n v="33649.897142857146"/>
    <s v="No"/>
  </r>
  <r>
    <n v="2111"/>
    <n v="284945"/>
    <s v="P"/>
    <s v="Capitalized"/>
    <s v="Fuel Island Construction"/>
    <m/>
    <m/>
    <n v="1"/>
    <m/>
    <n v="0"/>
    <m/>
    <m/>
    <s v="LAND IMPROVEMENTS"/>
    <s v="TBA"/>
    <m/>
    <m/>
    <m/>
    <d v="2022-07-31T00:00:00"/>
    <d v="2022-07-31T00:00:00"/>
    <s v="2111-21-0047-1"/>
    <n v="1000"/>
    <n v="14010"/>
    <n v="115428.5"/>
    <n v="14016"/>
    <n v="24047.57"/>
    <n v="91380.93"/>
    <n v="7695.2"/>
    <n v="57260"/>
    <n v="961.9"/>
    <s v="P"/>
    <m/>
    <m/>
    <s v=" "/>
    <s v="STL"/>
    <s v="YES"/>
    <s v="TBD"/>
    <s v="Fuel Island"/>
    <x v="14"/>
    <n v="7"/>
    <n v="2022"/>
    <n v="2032"/>
    <n v="2032.5833333333333"/>
    <n v="961.9041666666667"/>
    <n v="11542.85"/>
    <n v="11542.85"/>
    <n v="20199.987500000003"/>
    <n v="31742.837500000001"/>
    <n v="83685.662500000006"/>
    <s v="No"/>
  </r>
  <r>
    <n v="2111"/>
    <n v="284455"/>
    <n v="283285"/>
    <s v="Capitalized"/>
    <s v="2022 Peterbilt FEL Truck"/>
    <m/>
    <m/>
    <n v="1"/>
    <s v="3BPDLK0X2NF113152"/>
    <n v="2022"/>
    <m/>
    <m/>
    <s v="TRUCKS AND TRAILERS"/>
    <s v="TBA"/>
    <s v="Front Loader"/>
    <m/>
    <m/>
    <d v="2022-06-23T00:00:00"/>
    <d v="2022-06-23T00:00:00"/>
    <s v="2111-22-0011-1"/>
    <n v="1000"/>
    <n v="14040"/>
    <n v="183091.43"/>
    <n v="14046"/>
    <n v="39669.79"/>
    <n v="143421.63999999998"/>
    <n v="12206.08"/>
    <n v="51260"/>
    <n v="1525.76"/>
    <s v="P"/>
    <m/>
    <m/>
    <s v=" "/>
    <s v="STL"/>
    <s v="YES"/>
    <s v="TBD"/>
    <s v="Garbage Trucks"/>
    <x v="2"/>
    <n v="6"/>
    <n v="2022"/>
    <n v="2032"/>
    <n v="2032.5"/>
    <n v="1525.7619166666666"/>
    <n v="18309.143"/>
    <n v="18309.143"/>
    <n v="33566.762166665285"/>
    <n v="51875.905166665281"/>
    <n v="131215.52483333473"/>
    <s v="No"/>
  </r>
  <r>
    <n v="2111"/>
    <n v="284394"/>
    <n v="284368"/>
    <s v="Capitalized"/>
    <s v="SET OF CASTERS 2 SWIVEL AND 2 FIXED"/>
    <m/>
    <m/>
    <n v="108"/>
    <m/>
    <n v="0"/>
    <s v="ENVIRONMENTAL METAL WORKS"/>
    <m/>
    <s v="CONTAINERS"/>
    <s v="TBA"/>
    <m/>
    <m/>
    <m/>
    <d v="2022-05-12T00:00:00"/>
    <d v="2022-05-12T00:00:00"/>
    <s v="2111-22-0033-1"/>
    <n v="1200"/>
    <n v="14050"/>
    <n v="11975.04"/>
    <n v="14056"/>
    <n v="2328.48"/>
    <n v="9646.5600000000013"/>
    <n v="665.28"/>
    <n v="54260"/>
    <n v="83.16"/>
    <s v="P"/>
    <m/>
    <m/>
    <s v=" "/>
    <s v="STL"/>
    <s v="YES"/>
    <s v="TBD"/>
    <s v="Containers"/>
    <x v="1"/>
    <n v="5"/>
    <n v="2022"/>
    <n v="2034"/>
    <n v="2034.4166666666667"/>
    <n v="83.160000000000011"/>
    <n v="997.92000000000007"/>
    <n v="997.92000000000007"/>
    <n v="1912.6799999998475"/>
    <n v="2910.5999999998476"/>
    <n v="9064.4400000001533"/>
    <s v="No"/>
  </r>
  <r>
    <n v="2111"/>
    <n v="284368"/>
    <s v="P"/>
    <s v="Capitalized"/>
    <s v="2 YD REL MSW CONTAINERS"/>
    <m/>
    <m/>
    <n v="36"/>
    <m/>
    <n v="0"/>
    <s v="ENVIRONMENTAL METAL WORKS"/>
    <m/>
    <s v="CONTAINERS"/>
    <s v="TBA"/>
    <m/>
    <s v="2 YD"/>
    <s v="FEL/REL/SL Metal"/>
    <d v="2022-05-12T00:00:00"/>
    <d v="2022-05-12T00:00:00"/>
    <s v="2111-22-0033-1"/>
    <n v="1200"/>
    <n v="14050"/>
    <n v="37669.730000000003"/>
    <n v="14056"/>
    <n v="7324.71"/>
    <n v="30345.020000000004"/>
    <n v="2092.8000000000002"/>
    <n v="54260"/>
    <n v="261.60000000000002"/>
    <s v="P"/>
    <m/>
    <m/>
    <s v=" "/>
    <s v="STL"/>
    <s v="YES"/>
    <s v="TBD"/>
    <s v="Containers"/>
    <x v="1"/>
    <n v="5"/>
    <n v="2022"/>
    <n v="2034"/>
    <n v="2034.4166666666667"/>
    <n v="261.59534722222224"/>
    <n v="3139.1441666666669"/>
    <n v="3139.1441666666669"/>
    <n v="6016.6929861106364"/>
    <n v="9155.8371527773033"/>
    <n v="28513.892847222698"/>
    <s v="No"/>
  </r>
  <r>
    <n v="2111"/>
    <n v="284367"/>
    <s v="P"/>
    <s v="Capitalized"/>
    <s v="2 YD REL MSW CONTAINERS"/>
    <m/>
    <m/>
    <n v="24"/>
    <m/>
    <n v="0"/>
    <s v="ENVIRONMENTAL METAL WORKS"/>
    <m/>
    <s v="CONTAINERS"/>
    <s v="TBA"/>
    <m/>
    <s v="2 YD"/>
    <s v="FEL/REL/SL Metal"/>
    <d v="2022-05-12T00:00:00"/>
    <d v="2022-05-12T00:00:00"/>
    <s v="2111-22-0033-1"/>
    <n v="1200"/>
    <n v="14050"/>
    <n v="24121.25"/>
    <n v="14056"/>
    <n v="4690.26"/>
    <n v="19430.989999999998"/>
    <n v="1340.08"/>
    <n v="54260"/>
    <n v="167.51"/>
    <s v="P"/>
    <m/>
    <m/>
    <s v=" "/>
    <s v="STL"/>
    <s v="YES"/>
    <s v="TBD"/>
    <s v="Containers"/>
    <x v="1"/>
    <n v="5"/>
    <n v="2022"/>
    <n v="2034"/>
    <n v="2034.4166666666667"/>
    <n v="167.50868055555557"/>
    <n v="2010.104166666667"/>
    <n v="2010.104166666667"/>
    <n v="3852.6996527774718"/>
    <n v="5862.8038194441388"/>
    <n v="18258.44618055586"/>
    <s v="No"/>
  </r>
  <r>
    <n v="2111"/>
    <n v="284340"/>
    <s v="P"/>
    <s v="Capitalized"/>
    <s v="96 GAL YARD WASTE CARTS"/>
    <m/>
    <m/>
    <n v="351"/>
    <m/>
    <n v="0"/>
    <s v="REHRIG PACIFIC COMPANY IN"/>
    <m/>
    <s v="CONTAINERS"/>
    <s v="TBA"/>
    <m/>
    <m/>
    <m/>
    <d v="2022-05-26T00:00:00"/>
    <d v="2022-05-26T00:00:00"/>
    <s v="2111-22-0038-1"/>
    <n v="700"/>
    <n v="14050"/>
    <n v="23579.13"/>
    <n v="14056"/>
    <n v="7578.98"/>
    <n v="16000.150000000001"/>
    <n v="2245.6"/>
    <n v="54260"/>
    <n v="280.7"/>
    <s v="P"/>
    <m/>
    <m/>
    <s v=" "/>
    <s v="STL"/>
    <s v="YES"/>
    <s v="TBD"/>
    <s v="YW Cart"/>
    <x v="16"/>
    <n v="5"/>
    <n v="2022"/>
    <n v="2029"/>
    <n v="2029.4166666666667"/>
    <n v="280.70392857142855"/>
    <n v="3368.4471428571424"/>
    <n v="3368.4471428571424"/>
    <n v="6456.19035714235"/>
    <n v="9824.6374999994914"/>
    <n v="13754.49250000051"/>
    <s v="No"/>
  </r>
  <r>
    <n v="2111"/>
    <n v="284339"/>
    <s v="P"/>
    <s v="Capitalized"/>
    <s v="90 GAL MSW CARTS"/>
    <m/>
    <m/>
    <n v="351"/>
    <m/>
    <n v="0"/>
    <s v="REHRIG PACIFIC COMPANY IN"/>
    <m/>
    <s v="CONTAINERS"/>
    <s v="TBA"/>
    <m/>
    <m/>
    <m/>
    <d v="2022-05-26T00:00:00"/>
    <d v="2022-05-26T00:00:00"/>
    <s v="2111-22-0038-1"/>
    <n v="700"/>
    <n v="14050"/>
    <n v="23579.119999999999"/>
    <n v="14056"/>
    <n v="7578.98"/>
    <n v="16000.14"/>
    <n v="2245.6"/>
    <n v="54260"/>
    <n v="280.7"/>
    <s v="P"/>
    <m/>
    <m/>
    <s v=" "/>
    <s v="STL"/>
    <s v="YES"/>
    <s v="TBD"/>
    <s v="Garbage Carts"/>
    <x v="0"/>
    <n v="5"/>
    <n v="2022"/>
    <n v="2029"/>
    <n v="2029.4166666666667"/>
    <n v="280.70380952380953"/>
    <n v="3368.4457142857145"/>
    <n v="3368.4457142857145"/>
    <n v="6456.1876190471085"/>
    <n v="9824.6333333328221"/>
    <n v="13754.486666667177"/>
    <s v="No"/>
  </r>
  <r>
    <n v="2111"/>
    <n v="284177"/>
    <s v="P"/>
    <s v="Capitalized"/>
    <s v="New Computer for site SN: 5CD152BKF3"/>
    <m/>
    <m/>
    <n v="1"/>
    <m/>
    <n v="0"/>
    <s v="CDW DIR #PO  2111-22-0"/>
    <m/>
    <s v="HARDWARE AND SOFTWARE"/>
    <s v="TBA"/>
    <m/>
    <m/>
    <m/>
    <d v="2022-06-21T00:00:00"/>
    <d v="2022-06-21T00:00:00"/>
    <s v="2111-22-0041-1"/>
    <n v="300"/>
    <n v="14110"/>
    <n v="1245.58"/>
    <n v="14116"/>
    <n v="899.59"/>
    <n v="345.9899999999999"/>
    <n v="276.8"/>
    <n v="70260"/>
    <n v="34.6"/>
    <s v="P"/>
    <m/>
    <m/>
    <s v=" "/>
    <s v="STL"/>
    <s v="YES"/>
    <s v="TBD"/>
    <s v="Office"/>
    <x v="6"/>
    <n v="6"/>
    <n v="2022"/>
    <n v="2025"/>
    <n v="2025.5"/>
    <n v="34.599444444444444"/>
    <n v="415.19333333333333"/>
    <n v="415.19333333333333"/>
    <n v="761.18777777774631"/>
    <n v="1176.3811111110797"/>
    <n v="69.198888888920237"/>
    <s v="No"/>
  </r>
  <r>
    <n v="2111"/>
    <n v="284176"/>
    <s v="P"/>
    <s v="Capitalized"/>
    <s v="Docking Station for Computer - No SN on Amazon Purchases"/>
    <m/>
    <m/>
    <n v="1"/>
    <m/>
    <n v="0"/>
    <s v="AMZN MKTP US 060FU7MQ3 AM"/>
    <m/>
    <s v="HARDWARE AND SOFTWARE"/>
    <s v="TBA"/>
    <m/>
    <m/>
    <m/>
    <d v="2022-04-26T00:00:00"/>
    <d v="2022-04-26T00:00:00"/>
    <s v="2111-22-0036-2"/>
    <n v="300"/>
    <n v="14110"/>
    <n v="306.3"/>
    <n v="14116"/>
    <n v="238.25"/>
    <n v="68.050000000000011"/>
    <n v="68.08"/>
    <n v="70260"/>
    <n v="8.51"/>
    <s v="P"/>
    <m/>
    <m/>
    <s v=" "/>
    <s v="STL"/>
    <s v="YES"/>
    <s v="TBD"/>
    <s v="Office"/>
    <x v="6"/>
    <n v="4"/>
    <n v="2022"/>
    <n v="2025"/>
    <n v="2025.3333333333333"/>
    <n v="8.5083333333333346"/>
    <n v="102.10000000000002"/>
    <n v="102.10000000000002"/>
    <n v="204.2"/>
    <n v="306.3"/>
    <n v="0"/>
    <s v="No"/>
  </r>
  <r>
    <n v="2111"/>
    <n v="284175"/>
    <n v="284177"/>
    <s v="Capitalized"/>
    <s v="Docking Station for Laptop - No SN on Amazon Purchases"/>
    <m/>
    <m/>
    <n v="1"/>
    <m/>
    <n v="0"/>
    <s v="AMZN MKTP US ZY0M958L3"/>
    <m/>
    <s v="HARDWARE AND SOFTWARE"/>
    <s v="TBA"/>
    <m/>
    <m/>
    <m/>
    <d v="2022-06-21T00:00:00"/>
    <d v="2022-06-21T00:00:00"/>
    <s v="2111-22-0041-1"/>
    <n v="300"/>
    <n v="14110"/>
    <n v="306.3"/>
    <n v="14116"/>
    <n v="221.23"/>
    <n v="85.070000000000022"/>
    <n v="68.08"/>
    <n v="70260"/>
    <n v="8.51"/>
    <s v="P"/>
    <m/>
    <m/>
    <s v=" "/>
    <s v="STL"/>
    <s v="YES"/>
    <s v="TBD"/>
    <s v="Office"/>
    <x v="6"/>
    <n v="6"/>
    <n v="2022"/>
    <n v="2025"/>
    <n v="2025.5"/>
    <n v="8.5083333333333346"/>
    <n v="102.10000000000002"/>
    <n v="102.10000000000002"/>
    <n v="187.18333333332561"/>
    <n v="289.28333333332563"/>
    <n v="17.016666666674382"/>
    <s v="No"/>
  </r>
  <r>
    <n v="2111"/>
    <n v="283286"/>
    <n v="282634"/>
    <s v="Capitalized"/>
    <s v="2022 International CD Truck-Body"/>
    <m/>
    <m/>
    <n v="1"/>
    <s v="3HAEJTAL4NL467067"/>
    <n v="2022"/>
    <m/>
    <m/>
    <s v="TRUCKS AND TRAILERS"/>
    <s v="TBA"/>
    <s v="Container Delivery Truck"/>
    <m/>
    <m/>
    <d v="2022-02-28T00:00:00"/>
    <d v="2022-02-28T00:00:00"/>
    <s v="2111-22-0039-1"/>
    <n v="1000"/>
    <n v="14040"/>
    <n v="52371"/>
    <n v="14046"/>
    <n v="13092.79"/>
    <n v="39278.21"/>
    <n v="3491.44"/>
    <n v="51260"/>
    <n v="436.43"/>
    <s v="P"/>
    <m/>
    <m/>
    <s v=" "/>
    <s v="STL"/>
    <s v="YES"/>
    <s v="TBD"/>
    <s v="Garbage Trucks"/>
    <x v="2"/>
    <n v="2"/>
    <n v="2022"/>
    <n v="2032"/>
    <n v="2032.1666666666667"/>
    <n v="436.42500000000001"/>
    <n v="5237.1000000000004"/>
    <n v="5237.1000000000004"/>
    <n v="11347.049999999203"/>
    <n v="16584.149999999201"/>
    <n v="35786.850000000799"/>
    <s v="No"/>
  </r>
  <r>
    <n v="2111"/>
    <n v="283285"/>
    <s v="P"/>
    <s v="Capitalized"/>
    <s v="2022 Peterbilt FEL Truck"/>
    <m/>
    <m/>
    <n v="1"/>
    <s v="3BPDLK0X2NF113152"/>
    <n v="2022"/>
    <m/>
    <m/>
    <s v="TRUCKS AND TRAILERS"/>
    <s v="TBA"/>
    <s v="Front Loader"/>
    <m/>
    <m/>
    <d v="2022-06-02T00:00:00"/>
    <d v="2022-06-02T00:00:00"/>
    <s v="2111-22-0011-1"/>
    <n v="1000"/>
    <n v="14040"/>
    <n v="196566.87"/>
    <n v="14046"/>
    <n v="44227.57"/>
    <n v="152339.29999999999"/>
    <n v="13104.48"/>
    <n v="51260"/>
    <n v="1638.06"/>
    <s v="P"/>
    <m/>
    <m/>
    <s v=" "/>
    <s v="STL"/>
    <s v="YES"/>
    <s v="TBD"/>
    <s v="Garbage Trucks"/>
    <x v="2"/>
    <n v="6"/>
    <n v="2022"/>
    <n v="2032"/>
    <n v="2032.5"/>
    <n v="1638.0572499999998"/>
    <n v="19656.686999999998"/>
    <n v="19656.686999999998"/>
    <n v="36037.25949999853"/>
    <n v="55693.946499998528"/>
    <n v="140872.92350000146"/>
    <s v="No"/>
  </r>
  <r>
    <n v="2111"/>
    <n v="282797"/>
    <s v="P"/>
    <s v="Capitalized"/>
    <s v="65 GAL MSW CARTS"/>
    <m/>
    <m/>
    <n v="648"/>
    <m/>
    <n v="0"/>
    <s v="REHRIG PACIFIC COMPANY IN"/>
    <m/>
    <s v="CONTAINERS"/>
    <s v="TBA"/>
    <m/>
    <m/>
    <m/>
    <d v="2022-05-26T00:00:00"/>
    <d v="2022-05-26T00:00:00"/>
    <s v="2111-22-0038-1"/>
    <n v="700"/>
    <n v="14050"/>
    <n v="42140.74"/>
    <n v="14056"/>
    <n v="13545.28"/>
    <n v="28595.46"/>
    <n v="4013.44"/>
    <n v="54260"/>
    <n v="501.68"/>
    <s v="P"/>
    <m/>
    <m/>
    <s v=" "/>
    <s v="STL"/>
    <s v="YES"/>
    <s v="TBD"/>
    <s v="Garbage Carts"/>
    <x v="0"/>
    <n v="5"/>
    <n v="2022"/>
    <n v="2029"/>
    <n v="2029.4166666666667"/>
    <n v="501.67547619047622"/>
    <n v="6020.1057142857144"/>
    <n v="6020.1057142857144"/>
    <n v="11538.535952380036"/>
    <n v="17558.64166666575"/>
    <n v="24582.098333334248"/>
    <s v="No"/>
  </r>
  <r>
    <n v="2111"/>
    <n v="282796"/>
    <s v="P"/>
    <s v="Capitalized"/>
    <s v="2022 Chassis for Isuzu Hooklift"/>
    <m/>
    <m/>
    <n v="1"/>
    <s v="1HTEJTAL9NH674771"/>
    <n v="2022"/>
    <m/>
    <s v="xxx"/>
    <s v="TRUCKS AND TRAILERS"/>
    <s v="TBA"/>
    <s v="Hooklift"/>
    <m/>
    <m/>
    <d v="2022-06-22T00:00:00"/>
    <d v="2022-06-22T00:00:00"/>
    <s v="2111-22-0031-1"/>
    <n v="1000"/>
    <n v="14040"/>
    <n v="85840.62"/>
    <n v="14046"/>
    <n v="18598.810000000001"/>
    <n v="67241.81"/>
    <n v="5722.72"/>
    <n v="51260"/>
    <n v="715.34"/>
    <s v="P"/>
    <m/>
    <m/>
    <s v=" "/>
    <s v="STL"/>
    <s v="YES"/>
    <s v="TBD"/>
    <s v="Garbage Trucks"/>
    <x v="2"/>
    <n v="6"/>
    <n v="2022"/>
    <n v="2032"/>
    <n v="2032.5"/>
    <n v="715.33849999999995"/>
    <n v="8584.0619999999999"/>
    <n v="8584.0619999999999"/>
    <n v="15737.446999999345"/>
    <n v="24321.508999999343"/>
    <n v="61519.111000000652"/>
    <s v="No"/>
  </r>
  <r>
    <n v="2111"/>
    <n v="282795"/>
    <s v="P"/>
    <s v="Capitalized"/>
    <s v="2018 Izusu Container Delivery Truck"/>
    <m/>
    <m/>
    <n v="1"/>
    <s v="JALE5W16J7303702"/>
    <n v="2018"/>
    <s v="RWC INTERNATIONAL LTD"/>
    <m/>
    <s v="TRUCKS AND TRAILERS"/>
    <s v="TBA"/>
    <s v="Container Delivery Truck"/>
    <m/>
    <m/>
    <d v="2022-04-14T00:00:00"/>
    <d v="2022-04-14T00:00:00"/>
    <s v="2111-22-0003-1"/>
    <n v="600"/>
    <n v="14040"/>
    <n v="95409.38"/>
    <n v="14046"/>
    <n v="38428.769999999997"/>
    <n v="56980.610000000008"/>
    <n v="10601.04"/>
    <n v="51260"/>
    <n v="1325.13"/>
    <s v="P"/>
    <m/>
    <m/>
    <s v=" "/>
    <s v="STL"/>
    <s v="YES"/>
    <s v="TBD"/>
    <s v="Delivery Trucks"/>
    <x v="3"/>
    <n v="4"/>
    <n v="2022"/>
    <n v="2028"/>
    <n v="2028.3333333333333"/>
    <n v="1325.1302777777778"/>
    <n v="15901.563333333334"/>
    <n v="15901.563333333334"/>
    <n v="31803.126666666671"/>
    <n v="47704.69"/>
    <n v="47704.69"/>
    <s v="No"/>
  </r>
  <r>
    <n v="2111"/>
    <n v="282687"/>
    <s v="P"/>
    <s v="Capitalized"/>
    <s v="5 YARD FLAT TOP C/W SINGLE PLY PLASTIC LID AND MANUAL LOCK BAR CA"/>
    <m/>
    <m/>
    <n v="24"/>
    <m/>
    <n v="0"/>
    <s v="ENVIRONMENTAL METAL WORKS"/>
    <m/>
    <s v="CONTAINERS"/>
    <s v="TBA"/>
    <m/>
    <s v="5 YD"/>
    <s v="FEL/REL/SL Metal"/>
    <d v="2022-05-12T00:00:00"/>
    <d v="2022-05-12T00:00:00"/>
    <s v="2111-22-0033-1"/>
    <n v="1200"/>
    <n v="14050"/>
    <n v="39634.42"/>
    <n v="14056"/>
    <n v="7706.7"/>
    <n v="31927.719999999998"/>
    <n v="2201.92"/>
    <n v="54260"/>
    <n v="275.24"/>
    <s v="P"/>
    <m/>
    <m/>
    <s v=" "/>
    <s v="STL"/>
    <s v="YES"/>
    <s v="TBD"/>
    <s v="Containers"/>
    <x v="1"/>
    <n v="5"/>
    <n v="2022"/>
    <n v="2034"/>
    <n v="2034.4166666666667"/>
    <n v="275.23902777777778"/>
    <n v="3302.8683333333333"/>
    <n v="3302.8683333333333"/>
    <n v="6330.4976388883879"/>
    <n v="9633.3659722217217"/>
    <n v="30001.054027778278"/>
    <s v="No"/>
  </r>
  <r>
    <n v="2111"/>
    <n v="282634"/>
    <s v="P"/>
    <s v="Capitalized"/>
    <s v="2022 International HV607"/>
    <m/>
    <m/>
    <n v="1"/>
    <s v="3HAEJTAL4NL467067"/>
    <n v="2022"/>
    <s v="xxx"/>
    <s v="xxx"/>
    <s v="TRUCKS AND TRAILERS"/>
    <s v="TBA"/>
    <s v="Container Delivery Truck"/>
    <m/>
    <m/>
    <d v="2022-05-18T00:00:00"/>
    <d v="2022-05-18T00:00:00"/>
    <s v="2111-22-0039-1"/>
    <n v="1000"/>
    <n v="14040"/>
    <n v="85390.76"/>
    <n v="14046"/>
    <n v="19212.93"/>
    <n v="66177.829999999987"/>
    <n v="5692.72"/>
    <n v="51260"/>
    <n v="711.59"/>
    <s v="P"/>
    <m/>
    <m/>
    <s v=" "/>
    <s v="STL"/>
    <s v="YES"/>
    <s v="TBD"/>
    <s v="Garbage Trucks"/>
    <x v="2"/>
    <n v="5"/>
    <n v="2022"/>
    <n v="2032"/>
    <n v="2032.4166666666667"/>
    <n v="711.58966666666663"/>
    <n v="8539.0759999999991"/>
    <n v="8539.0759999999991"/>
    <n v="16366.56233333204"/>
    <n v="24905.638333332041"/>
    <n v="60485.121666667954"/>
    <s v="No"/>
  </r>
  <r>
    <n v="2111"/>
    <n v="282055"/>
    <n v="282053"/>
    <s v="Capitalized"/>
    <s v="Docking Station for Win Ten Upgrade - No SN on Amazon Purchases"/>
    <m/>
    <m/>
    <n v="1"/>
    <m/>
    <n v="0"/>
    <s v="AMZN MKTP US 1R9QU6AZ1"/>
    <m/>
    <s v="HARDWARE AND SOFTWARE"/>
    <s v="TBA"/>
    <m/>
    <m/>
    <m/>
    <d v="2022-04-26T00:00:00"/>
    <d v="2022-04-26T00:00:00"/>
    <s v="2111-22-0036-2"/>
    <n v="300"/>
    <n v="14110"/>
    <n v="306.89"/>
    <n v="14116"/>
    <n v="238.66"/>
    <n v="68.22999999999999"/>
    <n v="68.16"/>
    <n v="70260"/>
    <n v="8.52"/>
    <s v="P"/>
    <m/>
    <m/>
    <s v=" "/>
    <s v="STL"/>
    <s v="YES"/>
    <s v="TBD"/>
    <s v="Office"/>
    <x v="6"/>
    <n v="4"/>
    <n v="2022"/>
    <n v="2025"/>
    <n v="2025.3333333333333"/>
    <n v="8.5247222222222216"/>
    <n v="102.29666666666665"/>
    <n v="102.29666666666665"/>
    <n v="204.59333333333333"/>
    <n v="306.89"/>
    <n v="0"/>
    <s v="No"/>
  </r>
  <r>
    <n v="2111"/>
    <n v="282054"/>
    <n v="282053"/>
    <s v="Capitalized"/>
    <s v="Docking Station for Win Ten Upgrade - No SN on Amazon Purchases"/>
    <m/>
    <m/>
    <n v="1"/>
    <m/>
    <n v="0"/>
    <s v="AMZN MKTP US 1L7DL2JJ2"/>
    <m/>
    <s v="HARDWARE AND SOFTWARE"/>
    <s v="TBA"/>
    <m/>
    <m/>
    <m/>
    <d v="2022-04-26T00:00:00"/>
    <d v="2022-04-26T00:00:00"/>
    <s v="2111-22-0036-2"/>
    <n v="300"/>
    <n v="14110"/>
    <n v="305.22000000000003"/>
    <n v="14116"/>
    <n v="237.41"/>
    <n v="67.810000000000031"/>
    <n v="67.84"/>
    <n v="70260"/>
    <n v="8.48"/>
    <s v="P"/>
    <m/>
    <m/>
    <s v=" "/>
    <s v="STL"/>
    <s v="YES"/>
    <s v="TBD"/>
    <s v="Office"/>
    <x v="6"/>
    <n v="4"/>
    <n v="2022"/>
    <n v="2025"/>
    <n v="2025.3333333333333"/>
    <n v="8.4783333333333335"/>
    <n v="101.74000000000001"/>
    <n v="101.74000000000001"/>
    <n v="203.48000000000002"/>
    <n v="305.22000000000003"/>
    <n v="0"/>
    <s v="No"/>
  </r>
  <r>
    <n v="2111"/>
    <n v="282053"/>
    <s v="P"/>
    <s v="Capitalized"/>
    <s v="Dell Wyse 5070 Terminal SN 793FWM3"/>
    <m/>
    <m/>
    <n v="1"/>
    <m/>
    <n v="0"/>
    <s v="CDW DIR #2111 WIN 10 U"/>
    <m/>
    <s v="HARDWARE AND SOFTWARE"/>
    <s v="TBA"/>
    <m/>
    <m/>
    <m/>
    <d v="2022-04-26T00:00:00"/>
    <d v="2022-04-26T00:00:00"/>
    <s v="2111-22-0036-1"/>
    <n v="300"/>
    <n v="14110"/>
    <n v="547.62"/>
    <n v="14116"/>
    <n v="425.91"/>
    <n v="121.70999999999998"/>
    <n v="121.68"/>
    <n v="70260"/>
    <n v="15.21"/>
    <s v="P"/>
    <m/>
    <m/>
    <s v=" "/>
    <s v="STL"/>
    <s v="YES"/>
    <s v="TBD"/>
    <s v="Office"/>
    <x v="6"/>
    <n v="4"/>
    <n v="2022"/>
    <n v="2025"/>
    <n v="2025.3333333333333"/>
    <n v="15.211666666666666"/>
    <n v="182.54"/>
    <n v="182.54"/>
    <n v="365.08000000000004"/>
    <n v="547.62"/>
    <n v="0"/>
    <s v="No"/>
  </r>
  <r>
    <n v="2111"/>
    <n v="281814"/>
    <s v="P"/>
    <s v="Capitalized"/>
    <s v="2001 Ford F150 Truck"/>
    <m/>
    <m/>
    <n v="1"/>
    <s v="2FTRX17L81CA67691"/>
    <n v="2001"/>
    <s v="FORD F-150"/>
    <s v="Pickup"/>
    <s v="TRUCKS AND TRAILERS"/>
    <s v="TBA"/>
    <s v="Pickup Truck"/>
    <m/>
    <m/>
    <d v="2004-06-29T00:00:00"/>
    <d v="2004-06-29T00:00:00"/>
    <n v="42150002"/>
    <n v="300"/>
    <n v="14040"/>
    <n v="18999.91"/>
    <n v="14046"/>
    <n v="18999.91"/>
    <n v="0"/>
    <n v="0"/>
    <n v="51260"/>
    <n v="0"/>
    <s v="P"/>
    <n v="0"/>
    <n v="4"/>
    <s v=" "/>
    <s v="STL"/>
    <s v="YES"/>
    <s v="TBD"/>
    <s v="Shop Equipment "/>
    <x v="15"/>
    <n v="6"/>
    <n v="2004"/>
    <n v="2007"/>
    <n v="2007.5"/>
    <n v="527.77527777777777"/>
    <n v="6333.3033333333333"/>
    <n v="0"/>
    <n v="18999.91"/>
    <n v="18999.91"/>
    <n v="0"/>
    <s v="No"/>
  </r>
  <r>
    <n v="2111"/>
    <n v="281813"/>
    <s v="P"/>
    <s v="Capitalized"/>
    <s v="2001 Used Ford F150 Truck"/>
    <m/>
    <m/>
    <n v="1"/>
    <s v="1FTZX17221NB28132"/>
    <n v="2001"/>
    <s v="Ford F150"/>
    <s v="Other"/>
    <s v="TRUCKS AND TRAILERS"/>
    <s v="TBA"/>
    <s v="Pickup Truck"/>
    <m/>
    <m/>
    <d v="2004-04-23T00:00:00"/>
    <d v="2004-04-23T00:00:00"/>
    <n v="42132002"/>
    <n v="300"/>
    <n v="14040"/>
    <n v="18996.36"/>
    <n v="14046"/>
    <n v="18996.36"/>
    <n v="0"/>
    <n v="0"/>
    <n v="51260"/>
    <n v="0"/>
    <s v="P"/>
    <n v="0"/>
    <n v="105"/>
    <s v=" "/>
    <s v="STL"/>
    <s v="YES"/>
    <s v="TBD"/>
    <s v="Shop Equipment "/>
    <x v="15"/>
    <n v="4"/>
    <n v="2004"/>
    <n v="2007"/>
    <n v="2007.3333333333333"/>
    <n v="527.67666666666662"/>
    <n v="6332.119999999999"/>
    <n v="0"/>
    <n v="18996.36"/>
    <n v="18996.36"/>
    <n v="0"/>
    <s v="No"/>
  </r>
  <r>
    <n v="2111"/>
    <n v="281812"/>
    <s v="P"/>
    <s v="Capitalized"/>
    <s v="Isuzu 12' Box Truck"/>
    <m/>
    <m/>
    <n v="1"/>
    <s v="JALC4W167C7000384"/>
    <n v="2012"/>
    <s v="Penske"/>
    <s v="Isuzu"/>
    <s v="TRUCKS AND TRAILERS"/>
    <s v="TBA"/>
    <s v="Container Delivery Truck"/>
    <m/>
    <m/>
    <d v="2015-12-26T00:00:00"/>
    <d v="2015-12-26T00:00:00"/>
    <s v="2140-15-0022-1"/>
    <n v="600"/>
    <n v="14040"/>
    <n v="37503.75"/>
    <n v="14046"/>
    <n v="37503.75"/>
    <n v="0"/>
    <n v="0"/>
    <n v="51260"/>
    <n v="0"/>
    <s v="P"/>
    <n v="0"/>
    <s v="C-5"/>
    <s v=" "/>
    <s v="STL"/>
    <s v="YES"/>
    <s v="TBD"/>
    <s v="Delivery Trucks"/>
    <x v="3"/>
    <n v="12"/>
    <n v="2015"/>
    <n v="2021"/>
    <n v="2022"/>
    <n v="520.88541666666663"/>
    <n v="6250.625"/>
    <n v="0"/>
    <n v="37503.75"/>
    <n v="37503.75"/>
    <n v="0"/>
    <s v="No"/>
  </r>
  <r>
    <n v="2111"/>
    <n v="281811"/>
    <s v="P"/>
    <s v="Capitalized"/>
    <s v="Isuzu 12' Box Truck"/>
    <m/>
    <m/>
    <n v="1"/>
    <s v="JALC4W167C7000353"/>
    <n v="2012"/>
    <s v="Penske"/>
    <s v="Isuzu"/>
    <s v="TRUCKS AND TRAILERS"/>
    <s v="TBA"/>
    <s v="Container Delivery Truck"/>
    <m/>
    <m/>
    <d v="2015-12-25T00:00:00"/>
    <d v="2015-12-25T00:00:00"/>
    <s v="2140-15-0021-1"/>
    <n v="600"/>
    <n v="14040"/>
    <n v="37777.5"/>
    <n v="14046"/>
    <n v="37777.5"/>
    <n v="0"/>
    <n v="0"/>
    <n v="51260"/>
    <n v="0"/>
    <s v="P"/>
    <n v="0"/>
    <s v="C-4"/>
    <s v=" "/>
    <s v="STL"/>
    <s v="YES"/>
    <s v="TBD"/>
    <s v="Delivery Trucks"/>
    <x v="3"/>
    <n v="12"/>
    <n v="2015"/>
    <n v="2021"/>
    <n v="2022"/>
    <n v="524.6875"/>
    <n v="6296.25"/>
    <n v="0"/>
    <n v="37777.5"/>
    <n v="37777.5"/>
    <n v="0"/>
    <s v="No"/>
  </r>
  <r>
    <n v="2111"/>
    <n v="281809"/>
    <s v="P"/>
    <s v="Capitalized"/>
    <s v="New 2010 Ford F-150 Shop Truck# 7"/>
    <m/>
    <m/>
    <n v="1"/>
    <s v="1FTEX1E87AFA87626"/>
    <n v="2010"/>
    <s v="Ford F150"/>
    <s v="Pickup"/>
    <s v="TRUCKS AND TRAILERS"/>
    <s v="TBA"/>
    <s v="Pickup Truck"/>
    <m/>
    <m/>
    <d v="2010-03-01T00:00:00"/>
    <d v="2010-03-01T00:00:00"/>
    <s v="2140-10-0008-1"/>
    <n v="500"/>
    <n v="14040"/>
    <n v="29841.64"/>
    <n v="14046"/>
    <n v="29841.64"/>
    <n v="0"/>
    <n v="0"/>
    <n v="51260"/>
    <n v="0"/>
    <s v="P"/>
    <m/>
    <n v="7"/>
    <s v=" "/>
    <s v="STL"/>
    <s v="YES"/>
    <s v="TBD"/>
    <s v="Service Equipment "/>
    <x v="12"/>
    <n v="3"/>
    <n v="2010"/>
    <n v="2015"/>
    <n v="2015.25"/>
    <n v="497.36066666666665"/>
    <n v="5968.3279999999995"/>
    <n v="0"/>
    <n v="29841.64"/>
    <n v="29841.64"/>
    <n v="0"/>
    <s v="No"/>
  </r>
  <r>
    <n v="2111"/>
    <n v="281567"/>
    <s v="P"/>
    <s v="Capitalized"/>
    <s v="6 Yd Containers"/>
    <m/>
    <m/>
    <n v="5"/>
    <m/>
    <n v="0"/>
    <m/>
    <m/>
    <s v="CONTAINERS"/>
    <s v="TBA"/>
    <m/>
    <s v="6 YD"/>
    <s v="FEL/REL/SL Metal"/>
    <d v="2010-07-01T00:00:00"/>
    <d v="2010-07-01T00:00:00"/>
    <m/>
    <n v="700"/>
    <n v="14050"/>
    <n v="681.8"/>
    <n v="14056"/>
    <n v="681.8"/>
    <n v="0"/>
    <n v="0"/>
    <n v="54260"/>
    <n v="0"/>
    <s v="A"/>
    <s v="CWI"/>
    <s v="NA"/>
    <s v=" "/>
    <s v="STL"/>
    <s v="YES"/>
    <s v="TBD"/>
    <s v="Containers"/>
    <x v="1"/>
    <n v="7"/>
    <n v="2010"/>
    <n v="2017"/>
    <n v="2017.5833333333333"/>
    <n v="8.1166666666666654"/>
    <n v="97.399999999999977"/>
    <n v="0"/>
    <n v="681.8"/>
    <n v="681.8"/>
    <n v="0"/>
    <s v="No"/>
  </r>
  <r>
    <n v="2111"/>
    <n v="281477"/>
    <s v="P"/>
    <s v="Capitalized"/>
    <s v="25 YD Roll Off Containers"/>
    <m/>
    <m/>
    <n v="2"/>
    <m/>
    <n v="0"/>
    <m/>
    <m/>
    <s v="CONTAINERS"/>
    <s v="TBA"/>
    <m/>
    <s v="25 YD"/>
    <s v="RO Box"/>
    <d v="1999-09-01T00:00:00"/>
    <d v="1999-09-01T00:00:00"/>
    <m/>
    <n v="1000"/>
    <n v="14050"/>
    <n v="60"/>
    <n v="14056"/>
    <n v="60"/>
    <n v="0"/>
    <n v="0"/>
    <n v="54260"/>
    <n v="0"/>
    <s v="A"/>
    <s v="El Paso Disposal"/>
    <s v="NA"/>
    <s v=" "/>
    <s v="STL"/>
    <s v="YES"/>
    <s v="TBD"/>
    <s v="LOOKUP"/>
    <x v="1"/>
    <n v="9"/>
    <n v="1999"/>
    <n v="2009"/>
    <n v="2009.75"/>
    <n v="0.5"/>
    <n v="6"/>
    <n v="0"/>
    <n v="60"/>
    <n v="60"/>
    <n v="0"/>
    <s v="No"/>
  </r>
  <r>
    <n v="2111"/>
    <n v="281398"/>
    <s v="P"/>
    <s v="Capitalized"/>
    <s v="1 yd Commercial Containers"/>
    <m/>
    <m/>
    <n v="14"/>
    <m/>
    <n v="0"/>
    <m/>
    <m/>
    <s v="CONTAINERS"/>
    <s v="TBA"/>
    <m/>
    <s v="1 YD"/>
    <s v="FEL/REL/SL Metal"/>
    <d v="2017-01-03T00:00:00"/>
    <d v="2017-01-03T00:00:00"/>
    <m/>
    <n v="700"/>
    <n v="14050"/>
    <n v="2100"/>
    <n v="14056"/>
    <n v="2100"/>
    <n v="0"/>
    <n v="0"/>
    <n v="54260"/>
    <n v="0"/>
    <s v="A"/>
    <s v="Groot"/>
    <s v="NA"/>
    <s v=" "/>
    <s v="STL"/>
    <s v="YES"/>
    <s v="TBD"/>
    <s v="Containers"/>
    <x v="1"/>
    <n v="1"/>
    <n v="2017"/>
    <n v="2024"/>
    <n v="2024.0833333333333"/>
    <n v="25"/>
    <n v="300"/>
    <n v="0"/>
    <n v="2100"/>
    <n v="2100"/>
    <n v="0"/>
    <s v="No"/>
  </r>
  <r>
    <n v="2111"/>
    <n v="281249"/>
    <s v="P"/>
    <s v="Capitalized"/>
    <s v="20 YD Rolloff"/>
    <m/>
    <m/>
    <n v="12"/>
    <m/>
    <n v="0"/>
    <m/>
    <m/>
    <s v="CONTAINERS"/>
    <s v="TBA"/>
    <m/>
    <s v="20 YD"/>
    <s v="RO Box"/>
    <d v="2019-04-01T00:00:00"/>
    <d v="2019-04-01T00:00:00"/>
    <m/>
    <n v="700"/>
    <n v="14050"/>
    <n v="36000"/>
    <n v="14056"/>
    <n v="27857.13"/>
    <n v="8142.869999999999"/>
    <n v="3428.56"/>
    <n v="54260"/>
    <n v="428.57"/>
    <s v="A"/>
    <s v="Mountain Waste"/>
    <n v="14050"/>
    <s v=" "/>
    <s v="STL"/>
    <s v="YES"/>
    <s v="TBD"/>
    <s v="Drop Boxes"/>
    <x v="13"/>
    <n v="4"/>
    <n v="2019"/>
    <n v="2026"/>
    <n v="2026.3333333333333"/>
    <n v="428.57142857142861"/>
    <n v="5142.8571428571431"/>
    <n v="5142.8571428571431"/>
    <n v="25714.285714285714"/>
    <n v="30857.142857142855"/>
    <n v="5142.8571428571449"/>
    <s v="No"/>
  </r>
  <r>
    <n v="2111"/>
    <n v="281236"/>
    <s v="P"/>
    <s v="Capitalized"/>
    <s v="20 YD RO CONTAINER"/>
    <m/>
    <m/>
    <n v="13"/>
    <m/>
    <n v="0"/>
    <n v="0"/>
    <m/>
    <s v="CONTAINERS"/>
    <s v="TBA"/>
    <m/>
    <s v="20 YD"/>
    <s v="RO Box"/>
    <d v="2018-01-01T00:00:00"/>
    <d v="2018-01-01T00:00:00"/>
    <m/>
    <n v="700"/>
    <n v="14050"/>
    <n v="30500"/>
    <n v="14056"/>
    <n v="29047.65"/>
    <n v="1452.3499999999985"/>
    <n v="2904.8"/>
    <n v="54260"/>
    <n v="363.1"/>
    <s v="A"/>
    <s v="Bay Disposal"/>
    <s v="NA"/>
    <s v=" "/>
    <s v="STL"/>
    <s v="YES"/>
    <s v="TBD"/>
    <s v="Drop Boxes"/>
    <x v="13"/>
    <n v="1"/>
    <n v="2018"/>
    <n v="2025"/>
    <n v="2025.0833333333333"/>
    <n v="363.09523809523807"/>
    <n v="4357.1428571428569"/>
    <n v="0"/>
    <n v="27232.142857142859"/>
    <n v="30500"/>
    <n v="0"/>
    <s v="No"/>
  </r>
  <r>
    <n v="2111"/>
    <n v="281229"/>
    <s v="P"/>
    <s v="Capitalized"/>
    <s v="20Yd R/O Container"/>
    <m/>
    <m/>
    <n v="8"/>
    <m/>
    <n v="0"/>
    <m/>
    <m/>
    <s v="CONTAINERS"/>
    <s v="TBA"/>
    <m/>
    <s v="20 YD"/>
    <s v="RO Box"/>
    <d v="2016-06-01T00:00:00"/>
    <d v="2016-06-01T00:00:00"/>
    <m/>
    <n v="700"/>
    <n v="14050"/>
    <n v="12000"/>
    <n v="14056"/>
    <n v="12000"/>
    <n v="0"/>
    <n v="0"/>
    <n v="54260"/>
    <n v="0"/>
    <s v="P"/>
    <m/>
    <m/>
    <s v=" "/>
    <s v="STL"/>
    <s v="YES"/>
    <s v="TBD"/>
    <s v="Drop Boxes"/>
    <x v="13"/>
    <n v="6"/>
    <n v="2016"/>
    <n v="2023"/>
    <n v="2023.5"/>
    <n v="142.85714285714286"/>
    <n v="1714.2857142857142"/>
    <n v="0"/>
    <n v="12000"/>
    <n v="12000"/>
    <n v="0"/>
    <s v="No"/>
  </r>
  <r>
    <n v="2111"/>
    <n v="281223"/>
    <s v="P"/>
    <s v="Capitalized"/>
    <s v="20 yd R/O Containers"/>
    <m/>
    <m/>
    <n v="20"/>
    <m/>
    <n v="0"/>
    <m/>
    <m/>
    <s v="CONTAINERS"/>
    <s v="TBA"/>
    <m/>
    <s v="20 YD"/>
    <s v="RO Box"/>
    <d v="2017-01-03T00:00:00"/>
    <d v="2017-01-03T00:00:00"/>
    <m/>
    <n v="700"/>
    <n v="14050"/>
    <n v="50000"/>
    <n v="14056"/>
    <n v="50000"/>
    <n v="0"/>
    <n v="0"/>
    <n v="54260"/>
    <n v="0"/>
    <s v="A"/>
    <s v="Groot"/>
    <s v="NA"/>
    <s v=" "/>
    <s v="STL"/>
    <s v="YES"/>
    <s v="TBD"/>
    <s v="Drop Boxes"/>
    <x v="13"/>
    <n v="1"/>
    <n v="2017"/>
    <n v="2024"/>
    <n v="2024.0833333333333"/>
    <n v="595.2380952380953"/>
    <n v="7142.8571428571431"/>
    <n v="0"/>
    <n v="50000"/>
    <n v="50000"/>
    <n v="0"/>
    <s v="No"/>
  </r>
  <r>
    <n v="2111"/>
    <n v="281175"/>
    <s v="P"/>
    <s v="Capitalized"/>
    <s v="Roll Off Bins"/>
    <m/>
    <m/>
    <n v="8"/>
    <m/>
    <n v="0"/>
    <m/>
    <m/>
    <s v="CONTAINERS"/>
    <s v="TBA"/>
    <m/>
    <s v="20 YD"/>
    <s v="RO Box"/>
    <d v="2012-10-25T00:00:00"/>
    <d v="2012-10-25T00:00:00"/>
    <m/>
    <n v="1000"/>
    <n v="14050"/>
    <n v="138250"/>
    <n v="14056"/>
    <n v="138250"/>
    <n v="0"/>
    <n v="0"/>
    <n v="54260"/>
    <n v="0"/>
    <s v="A"/>
    <s v="R360"/>
    <s v="NA"/>
    <s v=" "/>
    <s v="STL"/>
    <s v="YES"/>
    <s v="TBD"/>
    <s v="Drop Boxes"/>
    <x v="13"/>
    <n v="10"/>
    <n v="2012"/>
    <n v="2022"/>
    <n v="2022.8333333333333"/>
    <n v="1152.0833333333333"/>
    <n v="13825"/>
    <n v="0"/>
    <n v="138250"/>
    <n v="138250"/>
    <n v="0"/>
    <s v="No"/>
  </r>
  <r>
    <n v="2111"/>
    <n v="281173"/>
    <s v="P"/>
    <s v="Capitalized"/>
    <s v="20 YD Roll Off Bins"/>
    <m/>
    <m/>
    <n v="1"/>
    <m/>
    <n v="0"/>
    <m/>
    <m/>
    <s v="CONTAINERS"/>
    <s v="TBA"/>
    <m/>
    <s v="20 YD"/>
    <s v="RO Box"/>
    <d v="2012-10-25T00:00:00"/>
    <d v="2012-10-25T00:00:00"/>
    <m/>
    <n v="1000"/>
    <n v="14050"/>
    <n v="12666.67"/>
    <n v="14056"/>
    <n v="12666.67"/>
    <n v="0"/>
    <n v="0"/>
    <n v="54260"/>
    <n v="0"/>
    <s v="A"/>
    <s v="R360"/>
    <s v="NA"/>
    <s v=" "/>
    <s v="STL"/>
    <s v="YES"/>
    <s v="TBD"/>
    <s v="Drop Boxes"/>
    <x v="13"/>
    <n v="10"/>
    <n v="2012"/>
    <n v="2022"/>
    <n v="2022.8333333333333"/>
    <n v="105.55558333333333"/>
    <n v="1266.6669999999999"/>
    <n v="0"/>
    <n v="12666.67"/>
    <n v="12666.67"/>
    <n v="0"/>
    <s v="No"/>
  </r>
  <r>
    <n v="2111"/>
    <n v="281056"/>
    <s v="P"/>
    <s v="Capitalized"/>
    <s v="30 YD Roll Off Containers"/>
    <m/>
    <m/>
    <n v="34"/>
    <m/>
    <n v="0"/>
    <m/>
    <m/>
    <s v="CONTAINERS"/>
    <s v="TBA"/>
    <m/>
    <s v="30 YD"/>
    <s v="RO Box"/>
    <d v="2000-05-01T00:00:00"/>
    <d v="2000-05-01T00:00:00"/>
    <m/>
    <n v="500"/>
    <n v="14050"/>
    <n v="12706.48"/>
    <n v="14056"/>
    <n v="12706.48"/>
    <n v="0"/>
    <n v="0"/>
    <n v="54260"/>
    <n v="0"/>
    <s v="A"/>
    <s v="BFI - Wichita"/>
    <s v="NA"/>
    <s v=" "/>
    <s v="STL"/>
    <s v="YES"/>
    <s v="TBD"/>
    <s v="Drop Boxes"/>
    <x v="13"/>
    <n v="5"/>
    <n v="2000"/>
    <n v="2005"/>
    <n v="2005.4166666666667"/>
    <n v="211.77466666666666"/>
    <n v="2541.2959999999998"/>
    <n v="0"/>
    <n v="12706.48"/>
    <n v="12706.48"/>
    <n v="0"/>
    <s v="No"/>
  </r>
  <r>
    <n v="2111"/>
    <n v="280497"/>
    <s v="P"/>
    <s v="Capitalized"/>
    <s v="4 YD FEL/REL/SL Metal"/>
    <m/>
    <m/>
    <n v="4"/>
    <m/>
    <n v="0"/>
    <m/>
    <s v="2022 Cont.Audit- Partial "/>
    <s v="CONTAINERS"/>
    <s v="TBA"/>
    <m/>
    <s v="4 YD"/>
    <s v="FEL/REL/SL Metal"/>
    <d v="2022-05-01T00:00:00"/>
    <d v="2022-05-01T00:00:00"/>
    <m/>
    <n v="0"/>
    <n v="14050"/>
    <n v="0"/>
    <n v="14056"/>
    <n v="0"/>
    <n v="0"/>
    <n v="0"/>
    <n v="54260"/>
    <n v="0"/>
    <s v="P"/>
    <m/>
    <m/>
    <s v=" "/>
    <s v="STL"/>
    <s v="NO"/>
    <s v="TBD"/>
    <s v="Containers"/>
    <x v="1"/>
    <n v="5"/>
    <n v="2022"/>
    <n v="2022"/>
    <n v="2022.4166666666667"/>
    <n v="0"/>
    <n v="0"/>
    <n v="0"/>
    <n v="0"/>
    <n v="0"/>
    <n v="0"/>
    <s v="No"/>
  </r>
  <r>
    <n v="2111"/>
    <n v="279876"/>
    <s v="P"/>
    <s v="Capitalized"/>
    <s v="1 Yard Commercial Containers"/>
    <m/>
    <m/>
    <n v="16"/>
    <m/>
    <n v="0"/>
    <m/>
    <m/>
    <s v="CONTAINERS"/>
    <s v="TBA"/>
    <m/>
    <s v="1 YD"/>
    <s v="FEL/REL/SL Metal"/>
    <d v="2008-11-03T00:00:00"/>
    <d v="2008-11-03T00:00:00"/>
    <m/>
    <n v="1200"/>
    <n v="14050"/>
    <n v="1519.98"/>
    <n v="14056"/>
    <n v="1519.98"/>
    <n v="0"/>
    <n v="0"/>
    <n v="54260"/>
    <n v="0"/>
    <s v="A"/>
    <s v="LeMay Enterprises"/>
    <s v="NA"/>
    <s v=" "/>
    <s v="STL"/>
    <s v="YES"/>
    <s v="TBD"/>
    <s v="Containers"/>
    <x v="1"/>
    <n v="11"/>
    <n v="2008"/>
    <n v="2020"/>
    <n v="2020.9166666666667"/>
    <n v="10.555416666666668"/>
    <n v="126.66500000000002"/>
    <n v="0"/>
    <n v="1519.98"/>
    <n v="1519.98"/>
    <n v="0"/>
    <s v="No"/>
  </r>
  <r>
    <n v="2111"/>
    <n v="279852"/>
    <s v="P"/>
    <s v="Capitalized"/>
    <s v="6YD Containers"/>
    <m/>
    <m/>
    <n v="12"/>
    <m/>
    <n v="0"/>
    <m/>
    <m/>
    <s v="CONTAINERS"/>
    <s v="TBA"/>
    <m/>
    <s v="6 YD"/>
    <s v="FEL/REL/SL Metal"/>
    <d v="2008-11-03T00:00:00"/>
    <d v="2008-11-03T00:00:00"/>
    <m/>
    <n v="700"/>
    <n v="14050"/>
    <n v="4776.6099999999997"/>
    <n v="14056"/>
    <n v="4776.6099999999997"/>
    <n v="0"/>
    <n v="0"/>
    <n v="54260"/>
    <n v="0"/>
    <s v="A"/>
    <s v="LeMay Enterprises"/>
    <s v="NA"/>
    <s v=" "/>
    <s v="STL"/>
    <s v="YES"/>
    <s v="TBD"/>
    <s v="Containers"/>
    <x v="1"/>
    <n v="11"/>
    <n v="2008"/>
    <n v="2015"/>
    <n v="2015.9166666666667"/>
    <n v="56.864404761904758"/>
    <n v="682.37285714285713"/>
    <n v="0"/>
    <n v="4776.6099999999997"/>
    <n v="4776.6099999999997"/>
    <n v="0"/>
    <s v="No"/>
  </r>
  <r>
    <n v="2111"/>
    <n v="278661"/>
    <s v="P"/>
    <s v="Capitalized"/>
    <s v="HP ProBook 630 G8 (SN=5CD147CKT3)"/>
    <m/>
    <m/>
    <n v="1"/>
    <m/>
    <n v="0"/>
    <s v="CDW DIR #2111 WIN 10 U"/>
    <m/>
    <s v="HARDWARE AND SOFTWARE"/>
    <s v="TBA"/>
    <m/>
    <m/>
    <m/>
    <d v="2022-04-26T00:00:00"/>
    <d v="2022-04-26T00:00:00"/>
    <s v="2111-22-0036-2"/>
    <n v="300"/>
    <n v="14110"/>
    <n v="1440.22"/>
    <n v="14116"/>
    <n v="1120.2"/>
    <n v="320.02"/>
    <n v="320.08"/>
    <n v="70260"/>
    <n v="40.01"/>
    <s v="P"/>
    <m/>
    <m/>
    <s v=" "/>
    <s v="STL"/>
    <s v="YES"/>
    <s v="TBD"/>
    <s v="Office"/>
    <x v="6"/>
    <n v="4"/>
    <n v="2022"/>
    <n v="2025"/>
    <n v="2025.3333333333333"/>
    <n v="40.00611111111111"/>
    <n v="480.07333333333332"/>
    <n v="480.07333333333332"/>
    <n v="960.14666666666676"/>
    <n v="1440.22"/>
    <n v="0"/>
    <s v="No"/>
  </r>
  <r>
    <n v="2111"/>
    <n v="278660"/>
    <s v="P"/>
    <s v="Capitalized"/>
    <s v="HP ProBook 630 G8 (SN=5CD147CKQ4)"/>
    <m/>
    <m/>
    <n v="1"/>
    <m/>
    <n v="0"/>
    <s v="CDW DIR #2111 WIN 10 U"/>
    <m/>
    <s v="HARDWARE AND SOFTWARE"/>
    <s v="TBA"/>
    <m/>
    <m/>
    <m/>
    <d v="2022-04-26T00:00:00"/>
    <d v="2022-04-26T00:00:00"/>
    <s v="2111-22-0036-2"/>
    <n v="300"/>
    <n v="14110"/>
    <n v="1440.22"/>
    <n v="14116"/>
    <n v="1120.2"/>
    <n v="320.02"/>
    <n v="320.08"/>
    <n v="70260"/>
    <n v="40.01"/>
    <s v="P"/>
    <m/>
    <m/>
    <s v=" "/>
    <s v="STL"/>
    <s v="YES"/>
    <s v="TBD"/>
    <s v="Office"/>
    <x v="6"/>
    <n v="4"/>
    <n v="2022"/>
    <n v="2025"/>
    <n v="2025.3333333333333"/>
    <n v="40.00611111111111"/>
    <n v="480.07333333333332"/>
    <n v="480.07333333333332"/>
    <n v="960.14666666666676"/>
    <n v="1440.22"/>
    <n v="0"/>
    <s v="No"/>
  </r>
  <r>
    <n v="2111"/>
    <n v="278659"/>
    <s v="P"/>
    <s v="Capitalized"/>
    <s v="HP ProBook 630 G8 (SN=5CD147CKQQ)"/>
    <m/>
    <m/>
    <n v="1"/>
    <m/>
    <n v="0"/>
    <s v="CDW DIR #2111 WIN 10 U"/>
    <m/>
    <s v="HARDWARE AND SOFTWARE"/>
    <s v="TBA"/>
    <m/>
    <m/>
    <m/>
    <d v="2022-04-26T00:00:00"/>
    <d v="2022-04-26T00:00:00"/>
    <s v="2111-22-0036-2"/>
    <n v="300"/>
    <n v="14110"/>
    <n v="1440.22"/>
    <n v="14116"/>
    <n v="1120.2"/>
    <n v="320.02"/>
    <n v="320.08"/>
    <n v="70260"/>
    <n v="40.01"/>
    <s v="P"/>
    <m/>
    <m/>
    <s v=" "/>
    <s v="STL"/>
    <s v="YES"/>
    <s v="TBD"/>
    <s v="Office"/>
    <x v="6"/>
    <n v="4"/>
    <n v="2022"/>
    <n v="2025"/>
    <n v="2025.3333333333333"/>
    <n v="40.00611111111111"/>
    <n v="480.07333333333332"/>
    <n v="480.07333333333332"/>
    <n v="960.14666666666676"/>
    <n v="1440.22"/>
    <n v="0"/>
    <s v="No"/>
  </r>
  <r>
    <n v="2111"/>
    <n v="278658"/>
    <s v="P"/>
    <s v="Capitalized"/>
    <s v="HP ProDesk 600 G6 (SN=MXL152171Y)"/>
    <m/>
    <m/>
    <n v="1"/>
    <m/>
    <n v="0"/>
    <s v="CDW DIR #2111 WIN 10 U"/>
    <m/>
    <s v="HARDWARE AND SOFTWARE"/>
    <s v="TBA"/>
    <m/>
    <m/>
    <m/>
    <d v="2022-04-26T00:00:00"/>
    <d v="2022-04-26T00:00:00"/>
    <s v="2111-22-0036-1"/>
    <n v="300"/>
    <n v="14110"/>
    <n v="871.38"/>
    <n v="14116"/>
    <n v="677.78"/>
    <n v="193.60000000000002"/>
    <n v="193.68"/>
    <n v="70260"/>
    <n v="24.21"/>
    <s v="P"/>
    <m/>
    <m/>
    <s v=" "/>
    <s v="STL"/>
    <s v="YES"/>
    <s v="TBD"/>
    <s v="Office"/>
    <x v="6"/>
    <n v="4"/>
    <n v="2022"/>
    <n v="2025"/>
    <n v="2025.3333333333333"/>
    <n v="24.204999999999998"/>
    <n v="290.45999999999998"/>
    <n v="290.45999999999998"/>
    <n v="580.92000000000007"/>
    <n v="871.38000000000011"/>
    <n v="0"/>
    <s v="No"/>
  </r>
  <r>
    <n v="2111"/>
    <n v="278098"/>
    <s v="P"/>
    <s v="Capitalized"/>
    <s v="2003 IHC 7400 Rear Loader"/>
    <m/>
    <m/>
    <n v="1"/>
    <s v="1HTWCAAN03J067538"/>
    <n v="2003"/>
    <s v="International 7400"/>
    <s v="McNeilus"/>
    <s v="TRUCKS AND TRAILERS"/>
    <s v="TBA"/>
    <s v="Rear Loader"/>
    <m/>
    <m/>
    <d v="2003-04-01T00:00:00"/>
    <d v="2003-01-31T00:00:00"/>
    <s v="03-2111-001"/>
    <n v="1000"/>
    <n v="14040"/>
    <n v="123452.02"/>
    <n v="14046"/>
    <n v="123452.02"/>
    <n v="0"/>
    <n v="0"/>
    <n v="51260"/>
    <n v="0"/>
    <s v="P"/>
    <m/>
    <n v="603"/>
    <s v=" "/>
    <s v="STL"/>
    <s v="YES"/>
    <s v="TBD"/>
    <s v="Garbage Trucks"/>
    <x v="2"/>
    <n v="4"/>
    <n v="2003"/>
    <n v="2013"/>
    <n v="2013.3333333333333"/>
    <n v="1028.7668333333334"/>
    <n v="12345.202000000001"/>
    <n v="0"/>
    <n v="123452.02"/>
    <n v="123452.02"/>
    <n v="0"/>
    <s v="No"/>
  </r>
  <r>
    <n v="2111"/>
    <n v="278097"/>
    <s v="P"/>
    <s v="Capitalized"/>
    <s v="2003 IHC 7400 Rear Loader"/>
    <m/>
    <m/>
    <n v="1"/>
    <s v="1HTWCAAN53J061301"/>
    <n v="2003"/>
    <s v="International 7400"/>
    <s v="McNeilus"/>
    <s v="TRUCKS AND TRAILERS"/>
    <s v="TBA"/>
    <s v="Rear Loader"/>
    <m/>
    <m/>
    <d v="2003-04-01T00:00:00"/>
    <d v="2003-01-31T00:00:00"/>
    <s v="03-2111-003"/>
    <n v="1000"/>
    <n v="14040"/>
    <n v="123452.02"/>
    <n v="14046"/>
    <n v="123452.02"/>
    <n v="0"/>
    <n v="0"/>
    <n v="51260"/>
    <n v="0"/>
    <s v="P"/>
    <m/>
    <n v="605"/>
    <s v=" "/>
    <s v="STL"/>
    <s v="YES"/>
    <s v="TBD"/>
    <s v="Garbage Trucks"/>
    <x v="2"/>
    <n v="4"/>
    <n v="2003"/>
    <n v="2013"/>
    <n v="2013.3333333333333"/>
    <n v="1028.7668333333334"/>
    <n v="12345.202000000001"/>
    <n v="0"/>
    <n v="123452.02"/>
    <n v="123452.02"/>
    <n v="0"/>
    <s v="No"/>
  </r>
  <r>
    <n v="2111"/>
    <n v="278096"/>
    <n v="278095"/>
    <s v="Capitalized"/>
    <s v="Engine Cap Repair"/>
    <m/>
    <m/>
    <n v="1"/>
    <m/>
    <n v="0"/>
    <s v="RWC GROUP"/>
    <m/>
    <s v="TRUCKS AND TRAILERS"/>
    <s v="TBA"/>
    <s v="Non-Rolling Stock"/>
    <m/>
    <m/>
    <d v="2016-03-31T00:00:00"/>
    <d v="2016-03-31T00:00:00"/>
    <s v="2111-16-0020-1"/>
    <n v="300"/>
    <n v="14040"/>
    <n v="20149.599999999999"/>
    <n v="14046"/>
    <n v="20149.599999999999"/>
    <n v="0"/>
    <n v="0"/>
    <n v="51260"/>
    <n v="0"/>
    <s v="P"/>
    <m/>
    <m/>
    <s v=" "/>
    <s v="STL"/>
    <s v="YES"/>
    <s v="TBD"/>
    <s v="Garbage Trucks"/>
    <x v="2"/>
    <n v="3"/>
    <n v="2016"/>
    <n v="2019"/>
    <n v="2019.25"/>
    <n v="559.71111111111111"/>
    <n v="6716.5333333333328"/>
    <n v="0"/>
    <n v="20149.599999999999"/>
    <n v="20149.599999999999"/>
    <n v="0"/>
    <s v="No"/>
  </r>
  <r>
    <n v="2111"/>
    <n v="278095"/>
    <s v="P"/>
    <s v="Capitalized"/>
    <s v="2003 IHC 7400 Rear Loader"/>
    <m/>
    <m/>
    <n v="1"/>
    <s v="1HTWCAAN33J061300"/>
    <n v="2003"/>
    <s v="International 7400"/>
    <s v="McNeilus"/>
    <s v="TRUCKS AND TRAILERS"/>
    <s v="TBA"/>
    <s v="Rear Loader"/>
    <m/>
    <m/>
    <d v="2003-04-01T00:00:00"/>
    <d v="2003-01-31T00:00:00"/>
    <s v="03-2111-005"/>
    <n v="1000"/>
    <n v="14040"/>
    <n v="123452.02"/>
    <n v="14046"/>
    <n v="123452.02"/>
    <n v="0"/>
    <n v="0"/>
    <n v="51260"/>
    <n v="0"/>
    <s v="P"/>
    <m/>
    <n v="607"/>
    <s v=" "/>
    <s v="STL"/>
    <s v="YES"/>
    <s v="TBD"/>
    <s v="Garbage Trucks"/>
    <x v="2"/>
    <n v="4"/>
    <n v="2003"/>
    <n v="2013"/>
    <n v="2013.3333333333333"/>
    <n v="1028.7668333333334"/>
    <n v="12345.202000000001"/>
    <n v="0"/>
    <n v="123452.02"/>
    <n v="123452.02"/>
    <n v="0"/>
    <s v="No"/>
  </r>
  <r>
    <n v="2111"/>
    <n v="278093"/>
    <s v="P"/>
    <s v="Capitalized"/>
    <s v="Peterbilt 320/Wayne Curbtender ASL"/>
    <m/>
    <m/>
    <n v="1"/>
    <s v="3BPZL70X6GF107179"/>
    <n v="2016"/>
    <m/>
    <s v="Wayne Curbtender"/>
    <s v="TRUCKS AND TRAILERS"/>
    <s v="TBA"/>
    <s v="Automated Side Loader"/>
    <m/>
    <m/>
    <d v="2015-12-31T00:00:00"/>
    <d v="2015-12-31T00:00:00"/>
    <s v="2140-15-0017-1"/>
    <n v="1000"/>
    <n v="14040"/>
    <n v="325201.34000000003"/>
    <n v="14046"/>
    <n v="281841.12"/>
    <n v="43360.22000000003"/>
    <n v="21680.080000000002"/>
    <n v="51260"/>
    <n v="2710.01"/>
    <s v="P"/>
    <m/>
    <n v="835"/>
    <s v=" "/>
    <s v="STL"/>
    <s v="YES"/>
    <s v="TBD"/>
    <s v="Recycling and Yard Waste Trucks"/>
    <x v="9"/>
    <n v="12"/>
    <n v="2015"/>
    <n v="2025"/>
    <n v="2026"/>
    <n v="2710.0111666666667"/>
    <n v="32520.133999999998"/>
    <n v="32520.133999999998"/>
    <n v="271001.11666666425"/>
    <n v="303521.25066666427"/>
    <n v="21680.089333335753"/>
    <s v="No"/>
  </r>
  <r>
    <n v="2111"/>
    <n v="278092"/>
    <s v="P"/>
    <s v="Capitalized"/>
    <s v="Peterbilt 320/Wayne Curbtender ASL"/>
    <m/>
    <m/>
    <n v="1"/>
    <s v="3BPZL70X4GF107178"/>
    <n v="2016"/>
    <m/>
    <s v="Wayne Curbtender"/>
    <s v="TRUCKS AND TRAILERS"/>
    <s v="TBA"/>
    <s v="Automated Side Loader"/>
    <m/>
    <m/>
    <d v="2015-12-31T00:00:00"/>
    <d v="2015-12-31T00:00:00"/>
    <s v="2140-15-0018-1"/>
    <n v="900"/>
    <n v="14040"/>
    <n v="325233.34000000003"/>
    <n v="14046"/>
    <n v="313187.68"/>
    <n v="12045.660000000033"/>
    <n v="24091.360000000001"/>
    <n v="51260"/>
    <n v="3011.42"/>
    <s v="P"/>
    <m/>
    <n v="834"/>
    <s v=" "/>
    <s v="STL"/>
    <s v="YES"/>
    <s v="TBD"/>
    <s v="Recycling and Yard Waste Trucks"/>
    <x v="9"/>
    <n v="12"/>
    <n v="2015"/>
    <n v="2024"/>
    <n v="2025"/>
    <n v="3011.4198148148153"/>
    <n v="36137.037777777783"/>
    <n v="0"/>
    <n v="301141.98148147878"/>
    <n v="325233.34000000003"/>
    <n v="0"/>
    <s v="No"/>
  </r>
  <r>
    <n v="2111"/>
    <n v="278091"/>
    <s v="P"/>
    <s v="Capitalized"/>
    <s v="Peterbilt 320/Wayne Curbtender ASL"/>
    <m/>
    <m/>
    <n v="1"/>
    <s v="3BPZL70X3GF106281"/>
    <n v="2016"/>
    <m/>
    <m/>
    <s v="TRUCKS AND TRAILERS"/>
    <s v="TBA"/>
    <s v="Automated Side Loader"/>
    <m/>
    <m/>
    <d v="2015-11-04T00:00:00"/>
    <d v="2015-11-04T00:00:00"/>
    <s v="2140-15-0001-1"/>
    <n v="1000"/>
    <n v="14040"/>
    <n v="326369.78000000003"/>
    <n v="14046"/>
    <n v="288293.34000000003"/>
    <n v="38076.44"/>
    <n v="21758"/>
    <n v="51260"/>
    <n v="2719.75"/>
    <s v="P"/>
    <m/>
    <n v="833"/>
    <s v=" "/>
    <s v="STL"/>
    <s v="YES"/>
    <s v="TBD"/>
    <s v="Recycling and Yard Waste Trucks"/>
    <x v="9"/>
    <n v="11"/>
    <n v="2015"/>
    <n v="2025"/>
    <n v="2025.9166666666667"/>
    <n v="2719.7481666666667"/>
    <n v="32636.978000000003"/>
    <n v="32636.978000000003"/>
    <n v="274694.56483332842"/>
    <n v="307331.54283332842"/>
    <n v="19038.237166671606"/>
    <s v="No"/>
  </r>
  <r>
    <n v="2111"/>
    <n v="278090"/>
    <s v="P"/>
    <s v="Capitalized"/>
    <s v="Peterbilt 320/Wayne Curbtender ASL"/>
    <m/>
    <m/>
    <n v="1"/>
    <s v="3BPZL70X5FF263258"/>
    <n v="2015"/>
    <m/>
    <s v="Wayne Curbtender"/>
    <s v="TRUCKS AND TRAILERS"/>
    <s v="TBA"/>
    <s v="Automated Side Loader"/>
    <m/>
    <m/>
    <d v="2015-05-01T00:00:00"/>
    <d v="2015-05-01T00:00:00"/>
    <s v="2140-15-0015-1"/>
    <n v="1000"/>
    <n v="14040"/>
    <n v="329760.08"/>
    <n v="14046"/>
    <n v="307776.09000000003"/>
    <n v="21983.989999999991"/>
    <n v="21984"/>
    <n v="51260"/>
    <n v="2748"/>
    <s v="P"/>
    <m/>
    <n v="830"/>
    <s v=" "/>
    <s v="STL"/>
    <s v="YES"/>
    <s v="TBD"/>
    <s v="Recycling and Yard Waste Trucks"/>
    <x v="9"/>
    <n v="5"/>
    <n v="2015"/>
    <n v="2025"/>
    <n v="2025.4166666666667"/>
    <n v="2748.0006666666668"/>
    <n v="32976.008000000002"/>
    <n v="32976.008000000002"/>
    <n v="294036.07133332838"/>
    <n v="327012.07933332841"/>
    <n v="2748.0006666716072"/>
    <s v="No"/>
  </r>
  <r>
    <n v="2111"/>
    <n v="278089"/>
    <s v="P"/>
    <s v="Capitalized"/>
    <s v="1994 Type HT C-C Trailer"/>
    <m/>
    <m/>
    <n v="1"/>
    <s v="1G9CH534XR1109015"/>
    <n v="1994"/>
    <s v="Wabash"/>
    <s v="Other"/>
    <s v="TRUCKS AND TRAILERS"/>
    <s v="TBA"/>
    <s v="Other Trailer"/>
    <m/>
    <m/>
    <d v="2008-11-03T00:00:00"/>
    <d v="2008-11-03T00:00:00"/>
    <m/>
    <n v="300"/>
    <n v="14040"/>
    <n v="2500"/>
    <n v="14046"/>
    <n v="2500"/>
    <n v="0"/>
    <n v="0"/>
    <n v="51260"/>
    <n v="0"/>
    <s v="A"/>
    <s v="LeMay Enterprises"/>
    <n v="8404"/>
    <s v=" "/>
    <s v="STL"/>
    <s v="YES"/>
    <s v="TBD"/>
    <s v="Recycling and Yard Waste Trucks"/>
    <x v="9"/>
    <n v="11"/>
    <n v="2008"/>
    <n v="2011"/>
    <n v="2011.9166666666667"/>
    <n v="69.444444444444443"/>
    <n v="833.33333333333326"/>
    <n v="0"/>
    <n v="2500"/>
    <n v="2500"/>
    <n v="0"/>
    <s v="No"/>
  </r>
  <r>
    <n v="2111"/>
    <n v="278088"/>
    <s v="P"/>
    <s v="Capitalized"/>
    <s v="Peterbilt 320/Waye Curbtender ASL"/>
    <m/>
    <m/>
    <n v="1"/>
    <s v="3BPZL70X4FF265843"/>
    <n v="2015"/>
    <m/>
    <s v="Peterbilt"/>
    <s v="TRUCKS AND TRAILERS"/>
    <s v="TBA"/>
    <s v="Automated Side Loader"/>
    <m/>
    <m/>
    <d v="2014-10-30T00:00:00"/>
    <d v="2014-10-30T00:00:00"/>
    <s v="2140-14-0001-1"/>
    <n v="1000"/>
    <n v="14040"/>
    <n v="325021.65999999997"/>
    <n v="14046"/>
    <n v="319604.64"/>
    <n v="5417.0199999999604"/>
    <n v="21668.080000000002"/>
    <n v="51260"/>
    <n v="2708.51"/>
    <s v="P"/>
    <m/>
    <n v="827"/>
    <s v=" "/>
    <s v="STL"/>
    <s v="YES"/>
    <s v="TBD"/>
    <s v="Recycling and Yard Waste Trucks"/>
    <x v="9"/>
    <n v="10"/>
    <n v="2014"/>
    <n v="2024"/>
    <n v="2024.8333333333333"/>
    <n v="2708.513833333333"/>
    <n v="32502.165999999997"/>
    <n v="0"/>
    <n v="308770.57699999999"/>
    <n v="325021.65999999997"/>
    <n v="0"/>
    <s v="No"/>
  </r>
  <r>
    <n v="2111"/>
    <n v="278087"/>
    <s v="P"/>
    <s v="Capitalized"/>
    <s v="Peterbilt 320/Waye Curbtender ASL"/>
    <m/>
    <m/>
    <n v="1"/>
    <s v="3BPZL70X6FF265844"/>
    <n v="2015"/>
    <m/>
    <s v="Peterbilt"/>
    <s v="TRUCKS AND TRAILERS"/>
    <s v="TBA"/>
    <s v="Automated Side Loader"/>
    <m/>
    <m/>
    <d v="2014-08-30T00:00:00"/>
    <d v="2014-08-30T00:00:00"/>
    <s v="2140-14-0002-1"/>
    <n v="1000"/>
    <n v="14040"/>
    <n v="325021.64"/>
    <n v="14046"/>
    <n v="325021.64"/>
    <n v="0"/>
    <n v="21668.14"/>
    <n v="51260"/>
    <n v="2708.57"/>
    <s v="P"/>
    <m/>
    <n v="828"/>
    <s v=" "/>
    <s v="STL"/>
    <s v="YES"/>
    <s v="TBD"/>
    <s v="Recycling and Yard Waste Trucks"/>
    <x v="9"/>
    <n v="8"/>
    <n v="2014"/>
    <n v="2024"/>
    <n v="2024.6666666666667"/>
    <n v="2708.5136666666667"/>
    <n v="32502.164000000001"/>
    <n v="0"/>
    <n v="314187.5853333284"/>
    <n v="325021.64"/>
    <n v="0"/>
    <s v="No"/>
  </r>
  <r>
    <n v="2111"/>
    <n v="278086"/>
    <s v="P"/>
    <s v="Capitalized"/>
    <s v="Peterbilt 320/Waye Curbtender ASL"/>
    <m/>
    <m/>
    <n v="1"/>
    <s v="3BPZL70X2EF236985"/>
    <n v="2014"/>
    <s v="Solid Waste Systems"/>
    <s v="Peterbilt"/>
    <s v="TRUCKS AND TRAILERS"/>
    <s v="TBA"/>
    <s v="Automated Side Loader"/>
    <m/>
    <m/>
    <d v="2014-02-03T00:00:00"/>
    <d v="2014-02-03T00:00:00"/>
    <s v="2140-13-0002-1"/>
    <n v="1000"/>
    <n v="14040"/>
    <n v="318992.86"/>
    <n v="14046"/>
    <n v="318992.86"/>
    <n v="0"/>
    <n v="2658.24"/>
    <n v="51260"/>
    <n v="2658.24"/>
    <s v="P"/>
    <m/>
    <n v="824"/>
    <s v=" "/>
    <s v="STL"/>
    <s v="YES"/>
    <s v="TBD"/>
    <s v="Recycling and Yard Waste Trucks"/>
    <x v="9"/>
    <n v="2"/>
    <n v="2014"/>
    <n v="2024"/>
    <n v="2024.1666666666667"/>
    <n v="2658.2738333333332"/>
    <n v="31899.286"/>
    <n v="0"/>
    <n v="318992.86"/>
    <n v="318992.86"/>
    <n v="0"/>
    <s v="No"/>
  </r>
  <r>
    <n v="2111"/>
    <n v="278085"/>
    <n v="278083"/>
    <s v="Capitalized"/>
    <s v="Remanufactured Transmission (Truck 811)"/>
    <m/>
    <m/>
    <n v="1"/>
    <m/>
    <n v="0"/>
    <s v="ATR Transmission"/>
    <m/>
    <s v="TRUCKS AND TRAILERS"/>
    <s v="TBA"/>
    <s v="Non-Rolling Stock"/>
    <m/>
    <m/>
    <d v="2013-10-04T00:00:00"/>
    <d v="2013-10-04T00:00:00"/>
    <s v="2140-13-0015-1"/>
    <n v="300"/>
    <n v="14040"/>
    <n v="5032.3999999999996"/>
    <n v="14046"/>
    <n v="5032.3999999999996"/>
    <n v="0"/>
    <n v="0"/>
    <n v="51260"/>
    <n v="0"/>
    <s v="P"/>
    <m/>
    <m/>
    <s v=" "/>
    <s v="STL"/>
    <s v="YES"/>
    <s v="TBD"/>
    <s v="Recycling and Yard Waste Trucks"/>
    <x v="9"/>
    <n v="10"/>
    <n v="2013"/>
    <n v="2016"/>
    <n v="2016.8333333333333"/>
    <n v="139.78888888888886"/>
    <n v="1677.4666666666662"/>
    <n v="0"/>
    <n v="5032.3999999999996"/>
    <n v="5032.3999999999996"/>
    <n v="0"/>
    <s v="No"/>
  </r>
  <r>
    <n v="2111"/>
    <n v="278084"/>
    <n v="278083"/>
    <s v="Capitalized"/>
    <s v="SALES TAX &amp; LICENSING FEES"/>
    <m/>
    <m/>
    <n v="1"/>
    <s v="5VCEC6UE63N194663"/>
    <n v="2003"/>
    <m/>
    <m/>
    <s v="TRUCKS AND TRAILERS"/>
    <s v="TBA"/>
    <s v="Non-Rolling Stock"/>
    <m/>
    <m/>
    <d v="2006-06-10T00:00:00"/>
    <d v="2006-06-10T00:00:00"/>
    <s v="06-2140-002"/>
    <n v="900"/>
    <n v="14040"/>
    <n v="11830"/>
    <n v="14046"/>
    <n v="11830"/>
    <n v="0"/>
    <n v="0"/>
    <n v="51260"/>
    <n v="0"/>
    <s v="P"/>
    <m/>
    <m/>
    <s v=" "/>
    <s v="STL"/>
    <s v="YES"/>
    <s v="TBD"/>
    <s v="Recycling and Yard Waste Trucks"/>
    <x v="9"/>
    <n v="6"/>
    <n v="2006"/>
    <n v="2015"/>
    <n v="2015.5"/>
    <n v="109.53703703703702"/>
    <n v="1314.4444444444443"/>
    <n v="0"/>
    <n v="11830"/>
    <n v="11830"/>
    <n v="0"/>
    <s v="No"/>
  </r>
  <r>
    <n v="2111"/>
    <n v="278083"/>
    <s v="P"/>
    <s v="Capitalized"/>
    <s v="2003 Autocar Sideloader, Model WX64"/>
    <m/>
    <m/>
    <n v="1"/>
    <s v="5VCEC6UE63N194663"/>
    <n v="2003"/>
    <s v="Autocar WX64"/>
    <s v="McNeilus"/>
    <s v="TRUCKS AND TRAILERS"/>
    <s v="TBA"/>
    <s v="Rear Loader"/>
    <m/>
    <m/>
    <d v="2006-04-01T00:00:00"/>
    <d v="2006-04-01T00:00:00"/>
    <s v="06-2140-002"/>
    <n v="900"/>
    <n v="14040"/>
    <n v="130000"/>
    <n v="14046"/>
    <n v="130000"/>
    <n v="0"/>
    <n v="0"/>
    <n v="51260"/>
    <n v="0"/>
    <s v="P"/>
    <m/>
    <n v="811"/>
    <s v=" "/>
    <s v="STL"/>
    <s v="YES"/>
    <s v="TBD"/>
    <s v="Recycling and Yard Waste Trucks"/>
    <x v="9"/>
    <n v="4"/>
    <n v="2006"/>
    <n v="2015"/>
    <n v="2015.3333333333333"/>
    <n v="1203.7037037037037"/>
    <n v="14444.444444444445"/>
    <n v="0"/>
    <n v="130000"/>
    <n v="130000"/>
    <n v="0"/>
    <s v="No"/>
  </r>
  <r>
    <n v="2111"/>
    <n v="278082"/>
    <n v="278081"/>
    <s v="Capitalized"/>
    <s v="Sales tax"/>
    <m/>
    <m/>
    <n v="1"/>
    <m/>
    <n v="0"/>
    <s v="Washington Department of"/>
    <m/>
    <s v="TRUCKS AND TRAILERS"/>
    <s v="TBA"/>
    <s v="Automated Side Loader"/>
    <m/>
    <m/>
    <d v="2012-09-30T00:00:00"/>
    <d v="2012-09-30T00:00:00"/>
    <s v="2140-12-0002-1"/>
    <n v="900"/>
    <n v="14040"/>
    <n v="4462"/>
    <n v="14046"/>
    <n v="4462"/>
    <n v="0"/>
    <n v="0"/>
    <n v="51260"/>
    <n v="0"/>
    <s v="P"/>
    <m/>
    <m/>
    <s v=" "/>
    <s v="STL"/>
    <s v="YES"/>
    <s v="TBD"/>
    <s v="Recycling and Yard Waste Trucks"/>
    <x v="9"/>
    <n v="9"/>
    <n v="2012"/>
    <n v="2021"/>
    <n v="2021.75"/>
    <n v="41.314814814814817"/>
    <n v="495.77777777777783"/>
    <n v="0"/>
    <n v="4462"/>
    <n v="4462"/>
    <n v="0"/>
    <s v="No"/>
  </r>
  <r>
    <n v="2111"/>
    <n v="278081"/>
    <s v="P"/>
    <s v="Capitalized"/>
    <s v="New 2012 Peterbilt 320 w/ Wayne Curbtender 27 Cubic  Body - ASL"/>
    <m/>
    <m/>
    <n v="1"/>
    <s v="3BPZL70X5CF157582"/>
    <n v="2012"/>
    <s v="Peterbilt 320"/>
    <s v="Wayne"/>
    <s v="TRUCKS AND TRAILERS"/>
    <s v="TBA"/>
    <s v="Automated Side Loader"/>
    <m/>
    <m/>
    <d v="2012-09-30T00:00:00"/>
    <d v="2012-09-30T00:00:00"/>
    <s v="2140-12-0002-1"/>
    <n v="900"/>
    <n v="14040"/>
    <n v="317737.38"/>
    <n v="14046"/>
    <n v="317737.38"/>
    <n v="0"/>
    <n v="0"/>
    <n v="51260"/>
    <n v="0"/>
    <s v="P"/>
    <m/>
    <n v="821"/>
    <s v=" "/>
    <s v="STL"/>
    <s v="YES"/>
    <s v="TBD"/>
    <s v="Recycling and Yard Waste Trucks"/>
    <x v="9"/>
    <n v="9"/>
    <n v="2012"/>
    <n v="2021"/>
    <n v="2021.75"/>
    <n v="2942.012777777778"/>
    <n v="35304.153333333335"/>
    <n v="0"/>
    <n v="317737.38"/>
    <n v="317737.38"/>
    <n v="0"/>
    <s v="No"/>
  </r>
  <r>
    <n v="2111"/>
    <n v="278080"/>
    <n v="278078"/>
    <s v="Capitalized"/>
    <s v="Wayne ASL Body for Truck#819"/>
    <m/>
    <m/>
    <n v="1"/>
    <s v="3BPZL00X0BF116900"/>
    <n v="2011"/>
    <m/>
    <m/>
    <s v="TRUCKS AND TRAILERS"/>
    <s v="TBA"/>
    <s v="Non-Rolling Stock"/>
    <m/>
    <m/>
    <d v="2010-09-03T00:00:00"/>
    <d v="2010-09-03T00:00:00"/>
    <s v="2140-10-0010-1"/>
    <n v="1000"/>
    <n v="14040"/>
    <n v="134123.07"/>
    <n v="14046"/>
    <n v="134123.07"/>
    <n v="0"/>
    <n v="0"/>
    <n v="51260"/>
    <n v="0"/>
    <s v="P"/>
    <m/>
    <m/>
    <s v=" "/>
    <s v="STL"/>
    <s v="YES"/>
    <s v="TBD"/>
    <s v="Recycling and Yard Waste Trucks"/>
    <x v="9"/>
    <n v="9"/>
    <n v="2010"/>
    <n v="2020"/>
    <n v="2020.75"/>
    <n v="1117.6922500000001"/>
    <n v="13412.307000000001"/>
    <n v="0"/>
    <n v="134123.07"/>
    <n v="134123.07"/>
    <n v="0"/>
    <s v="No"/>
  </r>
  <r>
    <n v="2111"/>
    <n v="278079"/>
    <n v="278078"/>
    <s v="Capitalized"/>
    <s v="Paint Job on ASL Trk#819"/>
    <m/>
    <m/>
    <n v="1"/>
    <s v="3BPZL00X0BF116900"/>
    <n v="2011"/>
    <m/>
    <m/>
    <s v="TRUCKS AND TRAILERS"/>
    <s v="TBA"/>
    <s v="Automated Side Loader"/>
    <m/>
    <m/>
    <d v="2010-09-03T00:00:00"/>
    <d v="2010-09-03T00:00:00"/>
    <s v="2140-10-0010-1"/>
    <n v="1000"/>
    <n v="14040"/>
    <n v="1916.25"/>
    <n v="14046"/>
    <n v="1916.25"/>
    <n v="0"/>
    <n v="0"/>
    <n v="51260"/>
    <n v="0"/>
    <s v="P"/>
    <m/>
    <m/>
    <s v=" "/>
    <s v="STL"/>
    <s v="YES"/>
    <s v="TBD"/>
    <s v="Recycling and Yard Waste Trucks"/>
    <x v="9"/>
    <n v="9"/>
    <n v="2010"/>
    <n v="2020"/>
    <n v="2020.75"/>
    <n v="15.96875"/>
    <n v="191.625"/>
    <n v="0"/>
    <n v="1916.25"/>
    <n v="1916.25"/>
    <n v="0"/>
    <s v="No"/>
  </r>
  <r>
    <n v="2111"/>
    <n v="278078"/>
    <s v="P"/>
    <s v="Capitalized"/>
    <s v="New 2011 Peterbilt 320 ASL"/>
    <m/>
    <m/>
    <n v="1"/>
    <s v="3BPZL00X0BF116900"/>
    <n v="2011"/>
    <s v="Peterbilt 320"/>
    <s v="Wayne"/>
    <s v="TRUCKS AND TRAILERS"/>
    <s v="TBA"/>
    <s v="Automated Side Loader"/>
    <m/>
    <m/>
    <d v="2010-09-03T00:00:00"/>
    <d v="2010-09-03T00:00:00"/>
    <s v="2140-10-0010-1"/>
    <n v="1000"/>
    <n v="14040"/>
    <n v="143529.4"/>
    <n v="14046"/>
    <n v="143529.4"/>
    <n v="0"/>
    <n v="0"/>
    <n v="51260"/>
    <n v="0"/>
    <s v="P"/>
    <m/>
    <n v="819"/>
    <s v=" "/>
    <s v="STL"/>
    <s v="YES"/>
    <s v="TBD"/>
    <s v="Recycling and Yard Waste Trucks"/>
    <x v="9"/>
    <n v="9"/>
    <n v="2010"/>
    <n v="2020"/>
    <n v="2020.75"/>
    <n v="1196.0783333333331"/>
    <n v="14352.939999999999"/>
    <n v="0"/>
    <n v="143529.4"/>
    <n v="143529.4"/>
    <n v="0"/>
    <s v="No"/>
  </r>
  <r>
    <n v="2111"/>
    <n v="276902"/>
    <s v="P"/>
    <s v="Capitalized"/>
    <s v="WPLS-190 Truck Lifts"/>
    <m/>
    <m/>
    <n v="4"/>
    <m/>
    <n v="0"/>
    <s v="GRAY MANUFACTURING CO INC"/>
    <m/>
    <s v="SHOP EQUIPMENT"/>
    <s v="TBA"/>
    <m/>
    <m/>
    <m/>
    <d v="2022-03-14T00:00:00"/>
    <d v="2022-03-14T00:00:00"/>
    <s v="2111-22-0017-1"/>
    <n v="500"/>
    <n v="14070"/>
    <n v="62131.08"/>
    <n v="14076"/>
    <n v="31065.56"/>
    <n v="31065.52"/>
    <n v="8284.16"/>
    <n v="51260"/>
    <n v="1035.52"/>
    <s v="P"/>
    <m/>
    <m/>
    <s v=" "/>
    <s v="STL"/>
    <s v="YES"/>
    <s v="TBD"/>
    <s v="Shop"/>
    <x v="15"/>
    <n v="3"/>
    <n v="2022"/>
    <n v="2027"/>
    <n v="2027.25"/>
    <n v="1035.518"/>
    <n v="12426.216"/>
    <n v="12426.216"/>
    <n v="25887.949999999058"/>
    <n v="38314.165999999059"/>
    <n v="23816.914000000943"/>
    <s v="No"/>
  </r>
  <r>
    <n v="2111"/>
    <n v="276810"/>
    <n v="276806"/>
    <s v="Capitalized"/>
    <s v="SKIDSTEER RIGHT REAR FINAL DRIVE"/>
    <m/>
    <m/>
    <n v="1"/>
    <s v="1T0328EMLEE257709"/>
    <n v="2014"/>
    <s v="Pape Machinery"/>
    <s v="John Deere"/>
    <s v="HEAVY EQUIPMENT"/>
    <s v="TBA"/>
    <s v="Bucket Loader"/>
    <m/>
    <m/>
    <d v="2022-01-17T00:00:00"/>
    <d v="2022-01-17T00:00:00"/>
    <s v="2111-22-0014-1"/>
    <n v="300"/>
    <n v="14030"/>
    <n v="1949.75"/>
    <n v="14036"/>
    <n v="1678.96"/>
    <n v="270.78999999999996"/>
    <n v="433.28"/>
    <n v="51260"/>
    <n v="54.16"/>
    <s v="P"/>
    <m/>
    <m/>
    <s v=" "/>
    <s v="STL"/>
    <s v="YES"/>
    <s v="TBD"/>
    <s v="TS Equip"/>
    <x v="17"/>
    <n v="1"/>
    <n v="2022"/>
    <n v="2025"/>
    <n v="2025.0833333333333"/>
    <n v="54.159722222222221"/>
    <n v="649.91666666666663"/>
    <n v="0"/>
    <n v="1462.3125"/>
    <n v="1949.75"/>
    <n v="0"/>
    <s v="No"/>
  </r>
  <r>
    <n v="2111"/>
    <n v="276809"/>
    <n v="276806"/>
    <s v="Capitalized"/>
    <s v="SKIDSTEER LEFT REAR FINAL DRIVE"/>
    <m/>
    <m/>
    <n v="1"/>
    <s v="1T0328EMLEE257709"/>
    <n v="2014"/>
    <s v="Pape Machinery"/>
    <s v="John Deere"/>
    <s v="HEAVY EQUIPMENT"/>
    <s v="TBA"/>
    <s v="Bucket Loader"/>
    <m/>
    <m/>
    <d v="2022-01-17T00:00:00"/>
    <d v="2022-01-17T00:00:00"/>
    <s v="2111-22-0014-1"/>
    <n v="300"/>
    <n v="14030"/>
    <n v="1949.75"/>
    <n v="14036"/>
    <n v="1678.96"/>
    <n v="270.78999999999996"/>
    <n v="433.28"/>
    <n v="51260"/>
    <n v="54.16"/>
    <s v="P"/>
    <m/>
    <m/>
    <s v=" "/>
    <s v="STL"/>
    <s v="YES"/>
    <s v="TBD"/>
    <s v="TS Equip"/>
    <x v="17"/>
    <n v="1"/>
    <n v="2022"/>
    <n v="2025"/>
    <n v="2025.0833333333333"/>
    <n v="54.159722222222221"/>
    <n v="649.91666666666663"/>
    <n v="0"/>
    <n v="1462.3125"/>
    <n v="1949.75"/>
    <n v="0"/>
    <s v="No"/>
  </r>
  <r>
    <n v="2111"/>
    <n v="276808"/>
    <n v="276806"/>
    <s v="Capitalized"/>
    <s v="TRANSMISSION"/>
    <m/>
    <m/>
    <n v="1"/>
    <s v="1T0328EMLEE257709"/>
    <n v="2014"/>
    <s v="Pape Machinery"/>
    <s v="John Deere"/>
    <s v="HEAVY EQUIPMENT"/>
    <s v="TBA"/>
    <s v="Bucket Loader"/>
    <m/>
    <m/>
    <d v="2022-01-17T00:00:00"/>
    <d v="2022-01-17T00:00:00"/>
    <s v="2111-22-0014-1"/>
    <n v="300"/>
    <n v="14030"/>
    <n v="3119.6"/>
    <n v="14036"/>
    <n v="2686.36"/>
    <n v="433.23999999999978"/>
    <n v="693.28"/>
    <n v="51260"/>
    <n v="86.66"/>
    <s v="P"/>
    <m/>
    <m/>
    <s v=" "/>
    <s v="STL"/>
    <s v="YES"/>
    <s v="TBD"/>
    <s v="TS Equip"/>
    <x v="17"/>
    <n v="1"/>
    <n v="2022"/>
    <n v="2025"/>
    <n v="2025.0833333333333"/>
    <n v="86.655555555555551"/>
    <n v="1039.8666666666666"/>
    <n v="0"/>
    <n v="2339.6999999999998"/>
    <n v="3119.6"/>
    <n v="0"/>
    <s v="No"/>
  </r>
  <r>
    <n v="2111"/>
    <n v="276807"/>
    <n v="276806"/>
    <s v="Capitalized"/>
    <s v="ENGINE"/>
    <m/>
    <m/>
    <n v="1"/>
    <s v="1T0328EMLEE257709"/>
    <n v="2014"/>
    <s v="Pape Machinery"/>
    <s v="John Deere"/>
    <s v="HEAVY EQUIPMENT"/>
    <s v="TBA"/>
    <s v="Bucket Loader"/>
    <m/>
    <m/>
    <d v="2022-01-17T00:00:00"/>
    <d v="2022-01-17T00:00:00"/>
    <s v="2111-22-0014-1"/>
    <n v="300"/>
    <n v="14030"/>
    <n v="4679.3999999999996"/>
    <n v="14036"/>
    <n v="4029.46"/>
    <n v="649.9399999999996"/>
    <n v="1039.8399999999999"/>
    <n v="51260"/>
    <n v="129.97999999999999"/>
    <s v="P"/>
    <m/>
    <m/>
    <s v=" "/>
    <s v="STL"/>
    <s v="YES"/>
    <s v="TBD"/>
    <s v="TS Equip"/>
    <x v="17"/>
    <n v="1"/>
    <n v="2022"/>
    <n v="2025"/>
    <n v="2025.0833333333333"/>
    <n v="129.98333333333332"/>
    <n v="1559.7999999999997"/>
    <n v="0"/>
    <n v="3509.5499999999997"/>
    <n v="4679.3999999999996"/>
    <n v="0"/>
    <s v="No"/>
  </r>
  <r>
    <n v="2111"/>
    <n v="276806"/>
    <s v="P"/>
    <s v="Capitalized"/>
    <s v="2014 John Deere SKIDSTEER CHASSIS"/>
    <m/>
    <m/>
    <n v="1"/>
    <s v="1T0328EMLEE257709"/>
    <n v="2014"/>
    <s v="Pape Machinery"/>
    <s v="John Deere"/>
    <s v="HEAVY EQUIPMENT"/>
    <s v="TBA"/>
    <s v="Bucket Loader"/>
    <m/>
    <m/>
    <d v="2022-01-17T00:00:00"/>
    <d v="2022-01-17T00:00:00"/>
    <s v="2111-22-0014-1"/>
    <n v="400"/>
    <n v="14030"/>
    <n v="27296.5"/>
    <n v="14036"/>
    <n v="17629.02"/>
    <n v="9667.48"/>
    <n v="4549.4399999999996"/>
    <n v="51260"/>
    <n v="568.67999999999995"/>
    <s v="P"/>
    <m/>
    <m/>
    <s v=" "/>
    <s v="STL"/>
    <s v="YES"/>
    <s v="TBD"/>
    <s v="TS Equip"/>
    <x v="17"/>
    <n v="1"/>
    <n v="2022"/>
    <n v="2026"/>
    <n v="2026.0833333333333"/>
    <n v="568.67708333333337"/>
    <n v="6824.125"/>
    <n v="6824.125"/>
    <n v="15354.28125"/>
    <n v="22178.40625"/>
    <n v="5118.09375"/>
    <s v="No"/>
  </r>
  <r>
    <n v="2111"/>
    <n v="275500"/>
    <n v="275496"/>
    <s v="Capitalized"/>
    <s v="CASTERS - 2 SWIVEL - 2 FIXED"/>
    <m/>
    <m/>
    <n v="36"/>
    <m/>
    <n v="0"/>
    <s v="ENVIRONMENTAL METAL WORKS"/>
    <m/>
    <s v="CONTAINERS"/>
    <s v="TBA"/>
    <m/>
    <m/>
    <m/>
    <d v="2022-01-31T00:00:00"/>
    <d v="2022-01-31T00:00:00"/>
    <s v="2111-22-0026-1"/>
    <n v="1200"/>
    <n v="14050"/>
    <n v="3991.68"/>
    <n v="14056"/>
    <n v="859.32"/>
    <n v="3132.3599999999997"/>
    <n v="221.76"/>
    <n v="54260"/>
    <n v="27.72"/>
    <s v="P"/>
    <m/>
    <m/>
    <s v=" "/>
    <s v="STL"/>
    <s v="YES"/>
    <s v="TBD"/>
    <s v="Containers"/>
    <x v="1"/>
    <n v="1"/>
    <n v="2022"/>
    <n v="2034"/>
    <n v="2034.0833333333333"/>
    <n v="27.72"/>
    <n v="332.64"/>
    <n v="332.64"/>
    <n v="748.44"/>
    <n v="1081.08"/>
    <n v="2910.6"/>
    <s v="No"/>
  </r>
  <r>
    <n v="2111"/>
    <n v="275499"/>
    <s v="P"/>
    <s v="Capitalized"/>
    <s v="6 YARD FRONT LOAD SLOPE C/W SINGLE PLY PLASTIC LID"/>
    <m/>
    <m/>
    <n v="24"/>
    <m/>
    <n v="0"/>
    <s v="ENVIRONMENTAL METAL WORKS"/>
    <m/>
    <s v="CONTAINERS"/>
    <s v="TBA"/>
    <m/>
    <s v="6 YD"/>
    <s v="FEL/REL/SL Metal"/>
    <d v="2022-01-31T00:00:00"/>
    <d v="2022-01-31T00:00:00"/>
    <s v="2111-22-0026-1"/>
    <n v="1200"/>
    <n v="14050"/>
    <n v="43527.92"/>
    <n v="14056"/>
    <n v="9370.6200000000008"/>
    <n v="34157.299999999996"/>
    <n v="2418.2399999999998"/>
    <n v="54260"/>
    <n v="302.27999999999997"/>
    <s v="P"/>
    <m/>
    <m/>
    <s v=" "/>
    <s v="STL"/>
    <s v="YES"/>
    <s v="TBD"/>
    <s v="Containers"/>
    <x v="1"/>
    <n v="1"/>
    <n v="2022"/>
    <n v="2034"/>
    <n v="2034.0833333333333"/>
    <n v="302.27722222222218"/>
    <n v="3627.3266666666659"/>
    <n v="3627.3266666666659"/>
    <n v="8161.4850000000006"/>
    <n v="11788.811666666666"/>
    <n v="31739.10833333333"/>
    <s v="No"/>
  </r>
  <r>
    <n v="2111"/>
    <n v="275498"/>
    <s v="P"/>
    <s v="Capitalized"/>
    <s v="2 YARD REAR LOAD C/W SINGLE PLY PLASTIC LIDS"/>
    <m/>
    <m/>
    <n v="24"/>
    <m/>
    <n v="0"/>
    <s v="ENVIRONMENTAL METAL WORKS"/>
    <m/>
    <s v="CONTAINERS"/>
    <s v="TBA"/>
    <m/>
    <s v="2 YD"/>
    <s v="FEL/REL/SL Metal"/>
    <d v="2022-01-31T00:00:00"/>
    <d v="2022-01-31T00:00:00"/>
    <s v="2111-22-0026-1"/>
    <n v="1200"/>
    <n v="14050"/>
    <n v="27320.45"/>
    <n v="14056"/>
    <n v="5881.53"/>
    <n v="21438.920000000002"/>
    <n v="1517.84"/>
    <n v="54260"/>
    <n v="189.73"/>
    <s v="P"/>
    <m/>
    <m/>
    <s v=" "/>
    <s v="STL"/>
    <s v="YES"/>
    <s v="TBD"/>
    <s v="Containers"/>
    <x v="1"/>
    <n v="1"/>
    <n v="2022"/>
    <n v="2034"/>
    <n v="2034.0833333333333"/>
    <n v="189.72534722222224"/>
    <n v="2276.7041666666669"/>
    <n v="2276.7041666666669"/>
    <n v="5122.5843749999985"/>
    <n v="7399.288541666665"/>
    <n v="19921.161458333336"/>
    <s v="No"/>
  </r>
  <r>
    <n v="2111"/>
    <n v="275497"/>
    <s v="P"/>
    <s v="Capitalized"/>
    <s v="4 YARD FRONT LOAD SLOPE C/W SINGLE PLY PLASTIC LID"/>
    <m/>
    <m/>
    <n v="36"/>
    <m/>
    <n v="0"/>
    <s v="ENVIRONMENTAL METAL WORKS"/>
    <m/>
    <s v="CONTAINERS"/>
    <s v="TBA"/>
    <m/>
    <s v="4 YD"/>
    <s v="FEL/REL/SL Metal"/>
    <d v="2022-01-31T00:00:00"/>
    <d v="2022-01-31T00:00:00"/>
    <s v="2111-22-0026-1"/>
    <n v="1200"/>
    <n v="14050"/>
    <n v="48818.21"/>
    <n v="14056"/>
    <n v="10509.52"/>
    <n v="38308.69"/>
    <n v="2712.16"/>
    <n v="54260"/>
    <n v="339.02"/>
    <s v="P"/>
    <m/>
    <m/>
    <s v=" "/>
    <s v="STL"/>
    <s v="YES"/>
    <s v="TBD"/>
    <s v="Containers"/>
    <x v="1"/>
    <n v="1"/>
    <n v="2022"/>
    <n v="2034"/>
    <n v="2034.0833333333333"/>
    <n v="339.0153472222222"/>
    <n v="4068.1841666666664"/>
    <n v="4068.1841666666664"/>
    <n v="9153.4143750000003"/>
    <n v="13221.598541666666"/>
    <n v="35596.611458333333"/>
    <s v="No"/>
  </r>
  <r>
    <n v="2111"/>
    <n v="275496"/>
    <s v="P"/>
    <s v="Capitalized"/>
    <s v="2 YARD REAR LOAD C/W SINGLE PLY PLASTIC LIDS"/>
    <m/>
    <m/>
    <n v="12"/>
    <m/>
    <n v="0"/>
    <s v="ENVIRONMENTAL METAL WORKS"/>
    <m/>
    <s v="CONTAINERS"/>
    <s v="TBA"/>
    <m/>
    <s v="2 YD"/>
    <s v="FEL/REL/SL Metal"/>
    <d v="2022-01-31T00:00:00"/>
    <d v="2022-01-31T00:00:00"/>
    <s v="2111-22-0026-1"/>
    <n v="1200"/>
    <n v="14050"/>
    <n v="13527.73"/>
    <n v="14056"/>
    <n v="2912.2"/>
    <n v="10615.529999999999"/>
    <n v="751.52"/>
    <n v="54260"/>
    <n v="93.94"/>
    <s v="P"/>
    <m/>
    <m/>
    <s v=" "/>
    <s v="STL"/>
    <s v="YES"/>
    <s v="TBD"/>
    <s v="Containers"/>
    <x v="1"/>
    <n v="1"/>
    <n v="2022"/>
    <n v="2034"/>
    <n v="2034.0833333333333"/>
    <n v="93.94256944444443"/>
    <n v="1127.3108333333332"/>
    <n v="1127.3108333333332"/>
    <n v="2536.449375000002"/>
    <n v="3663.760208333335"/>
    <n v="9863.9697916666646"/>
    <s v="No"/>
  </r>
  <r>
    <n v="2111"/>
    <n v="275276"/>
    <s v="P"/>
    <s v="Capitalized"/>
    <s v="2006 Helm Container Chassis"/>
    <m/>
    <m/>
    <n v="1"/>
    <s v="1H9CC53467T347110"/>
    <n v="2006"/>
    <s v="Helm"/>
    <s v="Other"/>
    <s v="TRUCKS AND TRAILERS"/>
    <s v="TBA"/>
    <s v="Container Chassis"/>
    <m/>
    <m/>
    <d v="2006-12-08T00:00:00"/>
    <d v="2006-12-08T00:00:00"/>
    <s v="06-2113-028"/>
    <n v="700"/>
    <n v="14040"/>
    <n v="41353.599999999999"/>
    <n v="14046"/>
    <n v="41353.599999999999"/>
    <n v="0"/>
    <n v="0"/>
    <n v="51260"/>
    <n v="0"/>
    <s v="P"/>
    <n v="0"/>
    <s v="C-8"/>
    <s v=" "/>
    <s v="STL"/>
    <s v="YES"/>
    <s v="TBD"/>
    <s v="LOOKUP"/>
    <x v="3"/>
    <n v="12"/>
    <n v="2006"/>
    <n v="2013"/>
    <n v="2014"/>
    <n v="492.30476190476185"/>
    <n v="5907.6571428571424"/>
    <n v="0"/>
    <n v="41353.599999999999"/>
    <n v="41353.599999999999"/>
    <n v="0"/>
    <s v="No"/>
  </r>
  <r>
    <n v="2111"/>
    <n v="275229"/>
    <s v="P"/>
    <s v="Capitalized"/>
    <s v="95 GAL MSW CARTS"/>
    <m/>
    <m/>
    <n v="351"/>
    <m/>
    <n v="0"/>
    <s v="REHRIG PACIFIC COMPANY IN"/>
    <m/>
    <s v="CONTAINERS"/>
    <s v="TBA"/>
    <m/>
    <m/>
    <m/>
    <d v="2022-03-09T00:00:00"/>
    <d v="2022-03-09T00:00:00"/>
    <s v="2111-22-0034-1"/>
    <n v="700"/>
    <n v="14050"/>
    <n v="23613.88"/>
    <n v="14056"/>
    <n v="8433.5499999999993"/>
    <n v="15180.330000000002"/>
    <n v="2248.96"/>
    <n v="54260"/>
    <n v="281.12"/>
    <s v="P"/>
    <m/>
    <m/>
    <s v=" "/>
    <s v="STL"/>
    <s v="YES"/>
    <s v="TBD"/>
    <s v="Garbage Carts"/>
    <x v="0"/>
    <n v="3"/>
    <n v="2022"/>
    <n v="2029"/>
    <n v="2029.25"/>
    <n v="281.11761904761903"/>
    <n v="3373.4114285714286"/>
    <n v="3373.4114285714286"/>
    <n v="7027.9404761902224"/>
    <n v="10401.35190476165"/>
    <n v="13212.528095238351"/>
    <s v="No"/>
  </r>
  <r>
    <n v="2111"/>
    <n v="275228"/>
    <s v="P"/>
    <s v="Capitalized"/>
    <s v="65 GAL MSW CARTS"/>
    <m/>
    <m/>
    <n v="468"/>
    <m/>
    <n v="0"/>
    <s v="REHRIG PACIFIC COMPANY IN"/>
    <m/>
    <s v="CONTAINERS"/>
    <s v="TBA"/>
    <m/>
    <m/>
    <m/>
    <d v="2022-03-09T00:00:00"/>
    <d v="2022-03-09T00:00:00"/>
    <s v="2111-22-0034-1"/>
    <n v="700"/>
    <n v="14050"/>
    <n v="28648.62"/>
    <n v="14056"/>
    <n v="10231.69"/>
    <n v="18416.93"/>
    <n v="2728.48"/>
    <n v="54260"/>
    <n v="341.06"/>
    <s v="P"/>
    <m/>
    <m/>
    <s v=" "/>
    <s v="STL"/>
    <s v="YES"/>
    <s v="TBD"/>
    <s v="Garbage Carts"/>
    <x v="0"/>
    <n v="3"/>
    <n v="2022"/>
    <n v="2029"/>
    <n v="2029.25"/>
    <n v="341.05500000000001"/>
    <n v="4092.66"/>
    <n v="4092.66"/>
    <n v="8526.3749999996871"/>
    <n v="12619.034999999687"/>
    <n v="16029.585000000312"/>
    <s v="No"/>
  </r>
  <r>
    <n v="2111"/>
    <n v="275227"/>
    <s v="P"/>
    <s v="Capitalized"/>
    <s v="95 GAL YARD WASTE CARTS"/>
    <m/>
    <m/>
    <n v="702"/>
    <m/>
    <n v="0"/>
    <s v="REHRIG PACIFIC COMPANY IN"/>
    <m/>
    <s v="CONTAINERS"/>
    <s v="TBA"/>
    <m/>
    <m/>
    <m/>
    <d v="2022-03-09T00:00:00"/>
    <d v="2022-03-09T00:00:00"/>
    <s v="2111-22-0034-1"/>
    <n v="700"/>
    <n v="14050"/>
    <n v="47227.75"/>
    <n v="14056"/>
    <n v="16867.09"/>
    <n v="30360.66"/>
    <n v="4497.92"/>
    <n v="54260"/>
    <n v="562.24"/>
    <s v="P"/>
    <m/>
    <m/>
    <s v=" "/>
    <s v="STL"/>
    <s v="YES"/>
    <s v="TBD"/>
    <s v="YW Cart"/>
    <x v="16"/>
    <n v="3"/>
    <n v="2022"/>
    <n v="2029"/>
    <n v="2029.25"/>
    <n v="562.23511904761904"/>
    <n v="6746.8214285714284"/>
    <n v="6746.8214285714284"/>
    <n v="14055.877976189964"/>
    <n v="20802.699404761392"/>
    <n v="26425.050595238608"/>
    <s v="No"/>
  </r>
  <r>
    <n v="2111"/>
    <n v="275226"/>
    <s v="P"/>
    <s v="Capitalized"/>
    <s v="95 GAL RECYCLE CARTS"/>
    <m/>
    <m/>
    <n v="702"/>
    <m/>
    <n v="0"/>
    <s v="REHRIG PACIFIC COMPANY IN"/>
    <m/>
    <s v="CONTAINERS"/>
    <s v="TBA"/>
    <m/>
    <m/>
    <m/>
    <d v="2022-03-09T00:00:00"/>
    <d v="2022-03-09T00:00:00"/>
    <s v="2111-22-0034-1"/>
    <n v="700"/>
    <n v="14050"/>
    <n v="47227.75"/>
    <n v="14056"/>
    <n v="16867.09"/>
    <n v="30360.66"/>
    <n v="4497.92"/>
    <n v="54260"/>
    <n v="562.24"/>
    <s v="P"/>
    <m/>
    <m/>
    <s v=" "/>
    <s v="STL"/>
    <s v="YES"/>
    <s v="TBD"/>
    <s v="Recycle Carts"/>
    <x v="5"/>
    <n v="3"/>
    <n v="2022"/>
    <n v="2029"/>
    <n v="2029.25"/>
    <n v="562.23511904761904"/>
    <n v="6746.8214285714284"/>
    <n v="6746.8214285714284"/>
    <n v="14055.877976189964"/>
    <n v="20802.699404761392"/>
    <n v="26425.050595238608"/>
    <s v="No"/>
  </r>
  <r>
    <n v="2111"/>
    <n v="275225"/>
    <s v="P"/>
    <s v="Capitalized"/>
    <s v="95 GAL YARD WASTE CARTS"/>
    <m/>
    <m/>
    <n v="702"/>
    <m/>
    <n v="0"/>
    <s v="REHRIG PACIFIC COMPANY IN"/>
    <m/>
    <s v="CONTAINERS"/>
    <s v="TBA"/>
    <m/>
    <m/>
    <m/>
    <d v="2022-03-09T00:00:00"/>
    <d v="2022-03-09T00:00:00"/>
    <s v="2111-22-0034-1"/>
    <n v="700"/>
    <n v="14050"/>
    <n v="47227.75"/>
    <n v="14056"/>
    <n v="16867.09"/>
    <n v="30360.66"/>
    <n v="4497.92"/>
    <n v="54260"/>
    <n v="562.24"/>
    <s v="P"/>
    <m/>
    <m/>
    <s v=" "/>
    <s v="STL"/>
    <s v="YES"/>
    <s v="TBD"/>
    <s v="YW Cart"/>
    <x v="16"/>
    <n v="3"/>
    <n v="2022"/>
    <n v="2029"/>
    <n v="2029.25"/>
    <n v="562.23511904761904"/>
    <n v="6746.8214285714284"/>
    <n v="6746.8214285714284"/>
    <n v="14055.877976189964"/>
    <n v="20802.699404761392"/>
    <n v="26425.050595238608"/>
    <s v="No"/>
  </r>
  <r>
    <n v="2111"/>
    <n v="274392"/>
    <s v="P"/>
    <s v="Capitalized"/>
    <s v="95 GAL YARD WASTE CARTS"/>
    <m/>
    <m/>
    <n v="351"/>
    <m/>
    <n v="0"/>
    <s v="REHRIG PACIFIC COMPANY IN"/>
    <m/>
    <s v="CONTAINERS"/>
    <s v="TBA"/>
    <m/>
    <m/>
    <m/>
    <d v="2022-01-04T00:00:00"/>
    <d v="2022-01-04T00:00:00"/>
    <s v="2111-22-0025-1"/>
    <n v="700"/>
    <n v="14050"/>
    <n v="24146.69"/>
    <n v="14056"/>
    <n v="9198.6200000000008"/>
    <n v="14948.069999999998"/>
    <n v="2299.6799999999998"/>
    <n v="54260"/>
    <n v="287.45999999999998"/>
    <s v="P"/>
    <m/>
    <m/>
    <s v=" "/>
    <s v="STL"/>
    <s v="YES"/>
    <s v="TBD"/>
    <s v="YW Cart"/>
    <x v="16"/>
    <n v="1"/>
    <n v="2022"/>
    <n v="2029"/>
    <n v="2029.0833333333333"/>
    <n v="287.46059523809521"/>
    <n v="3449.5271428571423"/>
    <n v="3449.5271428571423"/>
    <n v="7761.4360714285722"/>
    <n v="11210.963214285715"/>
    <n v="12935.726785714283"/>
    <s v="No"/>
  </r>
  <r>
    <n v="2111"/>
    <n v="274388"/>
    <s v="P"/>
    <s v="Capitalized"/>
    <s v="65 GAL MSW CARTS"/>
    <m/>
    <m/>
    <n v="324"/>
    <m/>
    <n v="0"/>
    <s v="REHRIG PACIFIC COMPANY IN"/>
    <m/>
    <s v="CONTAINERS"/>
    <s v="TBA"/>
    <m/>
    <m/>
    <m/>
    <d v="2022-01-04T00:00:00"/>
    <d v="2022-01-04T00:00:00"/>
    <s v="2111-22-0025-1"/>
    <n v="700"/>
    <n v="14050"/>
    <n v="20161.55"/>
    <n v="14056"/>
    <n v="7680.6"/>
    <n v="12480.949999999999"/>
    <n v="1920.16"/>
    <n v="54260"/>
    <n v="240.02"/>
    <s v="P"/>
    <m/>
    <m/>
    <s v=" "/>
    <s v="STL"/>
    <s v="YES"/>
    <s v="TBD"/>
    <s v="Garbage Carts"/>
    <x v="0"/>
    <n v="1"/>
    <n v="2022"/>
    <n v="2029"/>
    <n v="2029.0833333333333"/>
    <n v="240.01845238095237"/>
    <n v="2880.2214285714285"/>
    <n v="2880.2214285714285"/>
    <n v="6480.4982142857134"/>
    <n v="9360.7196428571424"/>
    <n v="10800.830357142857"/>
    <s v="No"/>
  </r>
  <r>
    <n v="2111"/>
    <n v="273023"/>
    <s v="P"/>
    <s v="Capitalized"/>
    <s v="20G MB ROC BLACK"/>
    <m/>
    <m/>
    <n v="200"/>
    <m/>
    <n v="0"/>
    <s v="REHRIG PACIFIC COMPANY IN"/>
    <m/>
    <s v="CONTAINERS"/>
    <s v="TBA"/>
    <m/>
    <m/>
    <m/>
    <d v="2022-01-04T00:00:00"/>
    <d v="2022-01-04T00:00:00"/>
    <s v="2111-22-0025-1"/>
    <n v="700"/>
    <n v="14050"/>
    <n v="4947.8"/>
    <n v="14056"/>
    <n v="1884.86"/>
    <n v="3062.9400000000005"/>
    <n v="471.2"/>
    <n v="54260"/>
    <n v="58.9"/>
    <s v="P"/>
    <m/>
    <m/>
    <s v=" "/>
    <s v="STL"/>
    <s v="YES"/>
    <s v="TBD"/>
    <s v="Garbage Carts"/>
    <x v="0"/>
    <n v="1"/>
    <n v="2022"/>
    <n v="2029"/>
    <n v="2029.0833333333333"/>
    <n v="58.902380952380952"/>
    <n v="706.82857142857142"/>
    <n v="706.82857142857142"/>
    <n v="1590.3642857142859"/>
    <n v="2297.1928571428571"/>
    <n v="2650.6071428571431"/>
    <s v="No"/>
  </r>
  <r>
    <n v="2111"/>
    <n v="273022"/>
    <s v="P"/>
    <s v="Capitalized"/>
    <s v="95G RECYCLE CARTS"/>
    <m/>
    <m/>
    <n v="702"/>
    <m/>
    <n v="0"/>
    <s v="REHRIG PACIFIC COMPANY IN"/>
    <m/>
    <s v="CONTAINERS"/>
    <s v="TBA"/>
    <m/>
    <m/>
    <m/>
    <d v="2022-01-04T00:00:00"/>
    <d v="2022-01-04T00:00:00"/>
    <s v="2111-22-0025-1"/>
    <n v="700"/>
    <n v="14050"/>
    <n v="48293.39"/>
    <n v="14056"/>
    <n v="18397.419999999998"/>
    <n v="29895.97"/>
    <n v="4599.3599999999997"/>
    <n v="54260"/>
    <n v="574.91999999999996"/>
    <s v="P"/>
    <m/>
    <m/>
    <s v=" "/>
    <s v="STL"/>
    <s v="YES"/>
    <s v="TBD"/>
    <s v="Recycle Carts"/>
    <x v="5"/>
    <n v="1"/>
    <n v="2022"/>
    <n v="2029"/>
    <n v="2029.0833333333333"/>
    <n v="574.92130952380955"/>
    <n v="6899.0557142857142"/>
    <n v="6899.0557142857142"/>
    <n v="15522.875357142853"/>
    <n v="22421.931071428568"/>
    <n v="25871.458928571432"/>
    <s v="No"/>
  </r>
  <r>
    <n v="2111"/>
    <n v="273021"/>
    <s v="P"/>
    <s v="Capitalized"/>
    <s v="95G YARD WASTE CARTS"/>
    <m/>
    <m/>
    <n v="702"/>
    <m/>
    <n v="0"/>
    <s v="REHRIG PACIFIC COMPANY IN"/>
    <m/>
    <s v="CONTAINERS"/>
    <s v="TBA"/>
    <m/>
    <m/>
    <m/>
    <d v="2022-01-04T00:00:00"/>
    <d v="2022-01-04T00:00:00"/>
    <s v="2111-22-0025-1"/>
    <n v="700"/>
    <n v="14050"/>
    <n v="48293.39"/>
    <n v="14056"/>
    <n v="18397.419999999998"/>
    <n v="29895.97"/>
    <n v="4599.3599999999997"/>
    <n v="54260"/>
    <n v="574.91999999999996"/>
    <s v="P"/>
    <m/>
    <m/>
    <s v=" "/>
    <s v="STL"/>
    <s v="YES"/>
    <s v="TBD"/>
    <s v="YW Cart"/>
    <x v="16"/>
    <n v="1"/>
    <n v="2022"/>
    <n v="2029"/>
    <n v="2029.0833333333333"/>
    <n v="574.92130952380955"/>
    <n v="6899.0557142857142"/>
    <n v="6899.0557142857142"/>
    <n v="15522.875357142853"/>
    <n v="22421.931071428568"/>
    <n v="25871.458928571432"/>
    <s v="No"/>
  </r>
  <r>
    <n v="2111"/>
    <n v="273020"/>
    <s v="P"/>
    <s v="Capitalized"/>
    <s v="20G MB ROC BLACK"/>
    <m/>
    <m/>
    <n v="220"/>
    <m/>
    <n v="0"/>
    <s v="REHRIG PACIFIC COMPANY IN"/>
    <m/>
    <s v="CONTAINERS"/>
    <s v="TBA"/>
    <m/>
    <m/>
    <m/>
    <d v="2022-01-02T00:00:00"/>
    <d v="2022-01-02T00:00:00"/>
    <s v="2111-21-0048-1"/>
    <n v="700"/>
    <n v="14050"/>
    <n v="5442.58"/>
    <n v="14056"/>
    <n v="2073.34"/>
    <n v="3369.24"/>
    <n v="518.32000000000005"/>
    <n v="54260"/>
    <n v="64.790000000000006"/>
    <s v="P"/>
    <m/>
    <m/>
    <s v=" "/>
    <s v="STL"/>
    <s v="YES"/>
    <s v="TBD"/>
    <s v="Garbage Carts"/>
    <x v="0"/>
    <n v="1"/>
    <n v="2022"/>
    <n v="2029"/>
    <n v="2029.0833333333333"/>
    <n v="64.792619047619056"/>
    <n v="777.51142857142872"/>
    <n v="777.51142857142872"/>
    <n v="1749.4007142857135"/>
    <n v="2526.9121428571425"/>
    <n v="2915.6678571428574"/>
    <s v="No"/>
  </r>
  <r>
    <n v="2111"/>
    <n v="272987"/>
    <s v="P"/>
    <s v="Capitalized"/>
    <s v="2021 Kalmar Yard Goat (USED)"/>
    <m/>
    <m/>
    <n v="1"/>
    <s v="11V1813A7MA001627"/>
    <n v="2021"/>
    <s v="RWC INTERNATIONAL LTD"/>
    <m/>
    <s v="TRUCKS AND TRAILERS"/>
    <s v="TBA"/>
    <s v="Yard Mule"/>
    <m/>
    <m/>
    <d v="2022-01-06T00:00:00"/>
    <d v="2022-01-06T00:00:00"/>
    <s v="2111-22-0004-1"/>
    <n v="900"/>
    <n v="14040"/>
    <n v="124165"/>
    <n v="14046"/>
    <n v="36789.660000000003"/>
    <n v="87375.34"/>
    <n v="9197.44"/>
    <n v="51260"/>
    <n v="1149.68"/>
    <s v="P"/>
    <n v="0"/>
    <s v="YG-5"/>
    <s v=" "/>
    <s v="STL"/>
    <s v="YES"/>
    <s v="TBD"/>
    <s v="TS Equip"/>
    <x v="17"/>
    <n v="1"/>
    <n v="2022"/>
    <n v="2031"/>
    <n v="2031.0833333333333"/>
    <n v="1149.6759259259259"/>
    <n v="13796.111111111109"/>
    <n v="13796.111111111109"/>
    <n v="31041.25"/>
    <n v="44837.361111111109"/>
    <n v="79327.638888888891"/>
    <s v="No"/>
  </r>
  <r>
    <n v="2111"/>
    <n v="272986"/>
    <s v="P"/>
    <s v="Capitalized"/>
    <s v="2017 Ford F150"/>
    <m/>
    <m/>
    <n v="1"/>
    <s v="1FTEW1EF9HFC47579"/>
    <n v="0"/>
    <s v="LAKEWOOD FORD"/>
    <m/>
    <s v="TRUCKS AND TRAILERS"/>
    <s v="TBA"/>
    <s v="Pickup Truck"/>
    <m/>
    <m/>
    <d v="2022-01-02T00:00:00"/>
    <d v="2022-01-02T00:00:00"/>
    <s v="2111-22-0001-1"/>
    <n v="300"/>
    <n v="14040"/>
    <n v="37671.769999999997"/>
    <n v="14046"/>
    <n v="33486.04"/>
    <n v="4185.7299999999959"/>
    <n v="8371.52"/>
    <n v="51260"/>
    <n v="1046.44"/>
    <s v="P"/>
    <m/>
    <n v="17"/>
    <s v=" "/>
    <s v="STL"/>
    <s v="YES"/>
    <s v="TBD"/>
    <s v="Various"/>
    <x v="12"/>
    <n v="1"/>
    <n v="2022"/>
    <n v="2025"/>
    <n v="2025.0833333333333"/>
    <n v="1046.4380555555556"/>
    <n v="12557.256666666668"/>
    <n v="0"/>
    <n v="28253.827499999996"/>
    <n v="37671.769999999997"/>
    <n v="0"/>
    <s v="No"/>
  </r>
  <r>
    <n v="2111"/>
    <n v="272354"/>
    <s v="P"/>
    <s v="Capitalized"/>
    <s v="2022 Isuzu Retriever Truck"/>
    <m/>
    <m/>
    <n v="1"/>
    <s v="JALE5W164N7304894"/>
    <n v="2022"/>
    <m/>
    <m/>
    <s v="TRUCKS AND TRAILERS"/>
    <s v="TBA"/>
    <s v="Retriever"/>
    <m/>
    <m/>
    <d v="2022-01-02T00:00:00"/>
    <d v="2022-01-02T00:00:00"/>
    <s v="2111-21-0011"/>
    <n v="1000"/>
    <n v="14040"/>
    <n v="153317"/>
    <n v="14046"/>
    <n v="40884.5"/>
    <n v="112432.5"/>
    <n v="10221.120000000001"/>
    <n v="51260"/>
    <n v="1277.6400000000001"/>
    <s v="P"/>
    <m/>
    <n v="305"/>
    <s v=" "/>
    <s v="STL"/>
    <s v="YES"/>
    <s v="TBD"/>
    <s v="Delivery Trucks"/>
    <x v="3"/>
    <n v="1"/>
    <n v="2022"/>
    <n v="2032"/>
    <n v="2032.0833333333333"/>
    <n v="1277.6416666666667"/>
    <n v="15331.7"/>
    <n v="15331.7"/>
    <n v="34496.324999999997"/>
    <n v="49828.024999999994"/>
    <n v="103488.97500000001"/>
    <s v="No"/>
  </r>
  <r>
    <n v="2111"/>
    <n v="270739"/>
    <s v="P"/>
    <s v="Capitalized"/>
    <s v="3rd Eye Camera -Cables"/>
    <m/>
    <m/>
    <n v="1"/>
    <m/>
    <n v="0"/>
    <m/>
    <m/>
    <s v="SHOP EQUIPMENT"/>
    <s v="TBA"/>
    <m/>
    <m/>
    <m/>
    <d v="2021-12-31T00:00:00"/>
    <d v="2021-12-31T00:00:00"/>
    <s v="1010-21-0039"/>
    <n v="500"/>
    <n v="14070"/>
    <n v="95.88"/>
    <n v="14076"/>
    <n v="51.16"/>
    <n v="44.72"/>
    <n v="12.8"/>
    <n v="51260"/>
    <n v="1.6"/>
    <s v="P"/>
    <m/>
    <m/>
    <s v=" "/>
    <s v="STL"/>
    <s v="YES"/>
    <s v="TBD"/>
    <s v="Various"/>
    <x v="12"/>
    <n v="12"/>
    <n v="2021"/>
    <n v="2026"/>
    <n v="2027"/>
    <n v="1.5979999999999999"/>
    <n v="19.175999999999998"/>
    <n v="19.175999999999998"/>
    <n v="44.743999999998543"/>
    <n v="63.919999999998538"/>
    <n v="31.960000000001457"/>
    <s v="No"/>
  </r>
  <r>
    <n v="2111"/>
    <n v="270717"/>
    <s v="P"/>
    <s v="Capitalized"/>
    <s v="3rd Eye Camera"/>
    <m/>
    <m/>
    <n v="15"/>
    <m/>
    <n v="0"/>
    <m/>
    <m/>
    <s v="SHOP EQUIPMENT"/>
    <s v="TBA"/>
    <m/>
    <m/>
    <m/>
    <d v="2021-12-31T00:00:00"/>
    <d v="2021-12-31T00:00:00"/>
    <s v="1010-21-0039"/>
    <n v="500"/>
    <n v="14070"/>
    <n v="6943.97"/>
    <n v="14076"/>
    <n v="3703.42"/>
    <n v="3240.55"/>
    <n v="925.84"/>
    <n v="51260"/>
    <n v="115.73"/>
    <s v="P"/>
    <m/>
    <m/>
    <s v=" "/>
    <s v="STL"/>
    <s v="YES"/>
    <s v="TBD"/>
    <s v="Various"/>
    <x v="12"/>
    <n v="12"/>
    <n v="2021"/>
    <n v="2026"/>
    <n v="2027"/>
    <n v="115.73283333333335"/>
    <n v="1388.7940000000001"/>
    <n v="1388.7940000000001"/>
    <n v="3240.5193333332281"/>
    <n v="4629.313333333228"/>
    <n v="2314.6566666667723"/>
    <s v="No"/>
  </r>
  <r>
    <n v="2111"/>
    <n v="270659"/>
    <s v="P"/>
    <s v="Capitalized"/>
    <s v="3rd Eye Camera - Credit"/>
    <m/>
    <m/>
    <n v="1"/>
    <m/>
    <n v="0"/>
    <m/>
    <m/>
    <s v="SHOP EQUIPMENT"/>
    <s v="TBA"/>
    <m/>
    <m/>
    <m/>
    <d v="2021-12-31T00:00:00"/>
    <d v="2021-12-31T00:00:00"/>
    <s v="1010-21-0039"/>
    <n v="500"/>
    <n v="14070"/>
    <n v="-577.51"/>
    <n v="14076"/>
    <n v="-308.02"/>
    <n v="-269.49"/>
    <n v="-77.040000000000006"/>
    <n v="51260"/>
    <n v="-9.6300000000000008"/>
    <s v="P"/>
    <m/>
    <m/>
    <s v=" "/>
    <s v="STL"/>
    <s v="YES"/>
    <s v="TBD"/>
    <s v="Various"/>
    <x v="12"/>
    <n v="12"/>
    <n v="2021"/>
    <n v="2026"/>
    <n v="2027"/>
    <n v="-9.6251666666666669"/>
    <n v="-115.50200000000001"/>
    <n v="-115.50200000000001"/>
    <n v="-269.5046666666579"/>
    <n v="-385.00666666665791"/>
    <n v="-192.50333333334208"/>
    <s v="No"/>
  </r>
  <r>
    <n v="2111"/>
    <n v="270658"/>
    <s v="P"/>
    <s v="Capitalized"/>
    <s v="3rd Eye Camera"/>
    <m/>
    <m/>
    <n v="20"/>
    <m/>
    <n v="0"/>
    <m/>
    <m/>
    <s v="SHOP EQUIPMENT"/>
    <s v="TBA"/>
    <m/>
    <m/>
    <m/>
    <d v="2021-12-31T00:00:00"/>
    <d v="2021-12-31T00:00:00"/>
    <s v="1010-21-0039"/>
    <n v="500"/>
    <n v="14070"/>
    <n v="5282.62"/>
    <n v="14076"/>
    <n v="2817.36"/>
    <n v="2465.2599999999998"/>
    <n v="704.32"/>
    <n v="51260"/>
    <n v="88.04"/>
    <s v="P"/>
    <m/>
    <m/>
    <s v=" "/>
    <s v="STL"/>
    <s v="YES"/>
    <s v="TBD"/>
    <s v="Various"/>
    <x v="12"/>
    <n v="12"/>
    <n v="2021"/>
    <n v="2026"/>
    <n v="2027"/>
    <n v="88.043666666666653"/>
    <n v="1056.5239999999999"/>
    <n v="1056.5239999999999"/>
    <n v="2465.222666666587"/>
    <n v="3521.7466666665869"/>
    <n v="1760.873333333413"/>
    <s v="No"/>
  </r>
  <r>
    <n v="2111"/>
    <n v="270324"/>
    <s v="P"/>
    <s v="Capitalized"/>
    <s v="52 RouteTab Mounts for 2111"/>
    <m/>
    <m/>
    <n v="1"/>
    <m/>
    <n v="0"/>
    <s v="PROCLIPUSA"/>
    <m/>
    <s v="HARDWARE AND SOFTWARE"/>
    <s v="TBA"/>
    <m/>
    <m/>
    <m/>
    <d v="2020-04-25T00:00:00"/>
    <d v="2020-04-25T00:00:00"/>
    <s v="1010-20-0033-2"/>
    <n v="300"/>
    <n v="14110"/>
    <n v="8236.7000000000007"/>
    <n v="14116"/>
    <n v="8236.7000000000007"/>
    <n v="0"/>
    <n v="0"/>
    <n v="70260"/>
    <n v="0"/>
    <s v="P"/>
    <m/>
    <m/>
    <s v=" "/>
    <s v="STL"/>
    <s v="YES"/>
    <s v="TBD"/>
    <s v="Various"/>
    <x v="12"/>
    <n v="4"/>
    <n v="2020"/>
    <n v="2023"/>
    <n v="2023.3333333333333"/>
    <n v="228.79722222222225"/>
    <n v="2745.5666666666671"/>
    <n v="0"/>
    <n v="8236.7000000000007"/>
    <n v="8236.7000000000007"/>
    <n v="0"/>
    <s v="No"/>
  </r>
  <r>
    <n v="2111"/>
    <n v="269874"/>
    <n v="252489"/>
    <s v="Capitalized"/>
    <s v="Fuel Island Professional Fees"/>
    <m/>
    <m/>
    <n v="1"/>
    <m/>
    <n v="0"/>
    <s v="SITTS &amp; HILL ENGINEERS IN"/>
    <m/>
    <s v="LAND IMPROVEMENTS"/>
    <s v="TBA"/>
    <m/>
    <m/>
    <m/>
    <d v="2021-05-31T00:00:00"/>
    <d v="2021-05-31T00:00:00"/>
    <s v="2111-21-0035-1"/>
    <n v="1000"/>
    <n v="14010"/>
    <n v="752.5"/>
    <n v="14016"/>
    <n v="244.56"/>
    <n v="507.94"/>
    <n v="50.16"/>
    <n v="57260"/>
    <n v="6.27"/>
    <s v="P"/>
    <m/>
    <m/>
    <s v=" "/>
    <s v="STL"/>
    <s v="YES"/>
    <s v="TBD"/>
    <s v="Fuel Station"/>
    <x v="14"/>
    <n v="5"/>
    <n v="2021"/>
    <n v="2031"/>
    <n v="2031.4166666666667"/>
    <n v="6.270833333333333"/>
    <n v="75.25"/>
    <n v="75.25"/>
    <n v="219.47916666665526"/>
    <n v="294.72916666665526"/>
    <n v="457.77083333334474"/>
    <s v="No"/>
  </r>
  <r>
    <n v="2111"/>
    <n v="267265"/>
    <s v="P"/>
    <s v="Capitalized"/>
    <s v="Truck shop LED lighting"/>
    <m/>
    <m/>
    <n v="1"/>
    <m/>
    <n v="0"/>
    <s v="MB ELECTRIC LLC"/>
    <m/>
    <s v="BUILDINGS"/>
    <s v="TBA"/>
    <m/>
    <m/>
    <m/>
    <d v="2021-11-11T00:00:00"/>
    <d v="2021-11-11T00:00:00"/>
    <s v="2111-21-0046-1"/>
    <n v="1000"/>
    <n v="14080"/>
    <n v="10635.6"/>
    <n v="14086"/>
    <n v="3013.42"/>
    <n v="7622.18"/>
    <n v="709.04"/>
    <n v="57260"/>
    <n v="88.63"/>
    <s v="P"/>
    <m/>
    <m/>
    <s v=" "/>
    <s v="STL"/>
    <s v="YES"/>
    <s v="TBD"/>
    <s v="Shop"/>
    <x v="15"/>
    <n v="11"/>
    <n v="2021"/>
    <n v="2031"/>
    <n v="2031.9166666666667"/>
    <n v="88.63"/>
    <n v="1063.56"/>
    <n v="1063.56"/>
    <n v="2570.2699999998395"/>
    <n v="3633.8299999998394"/>
    <n v="7001.7700000001605"/>
    <s v="No"/>
  </r>
  <r>
    <n v="2111"/>
    <n v="267248"/>
    <s v="P"/>
    <s v="Capitalized"/>
    <s v="95 GAL RECYCLE CARTS"/>
    <m/>
    <m/>
    <n v="702"/>
    <m/>
    <n v="0"/>
    <s v="REHRIG PACIFIC COMPANY IN"/>
    <m/>
    <s v="CONTAINERS"/>
    <s v="TBA"/>
    <m/>
    <m/>
    <m/>
    <d v="2021-10-19T00:00:00"/>
    <d v="2021-10-19T00:00:00"/>
    <s v="2111-21-0048-1"/>
    <n v="700"/>
    <n v="14050"/>
    <n v="47830.06"/>
    <n v="14056"/>
    <n v="19359.830000000002"/>
    <n v="28470.229999999996"/>
    <n v="4555.28"/>
    <n v="54260"/>
    <n v="569.41"/>
    <s v="P"/>
    <m/>
    <m/>
    <s v=" "/>
    <s v="STL"/>
    <s v="YES"/>
    <s v="TBD"/>
    <s v="Recycle Carts"/>
    <x v="5"/>
    <n v="10"/>
    <n v="2021"/>
    <n v="2028"/>
    <n v="2028.8333333333333"/>
    <n v="569.40547619047618"/>
    <n v="6832.8657142857137"/>
    <n v="6832.8657142857137"/>
    <n v="17082.164285714283"/>
    <n v="23915.03"/>
    <n v="23915.03"/>
    <s v="No"/>
  </r>
  <r>
    <n v="2111"/>
    <n v="267247"/>
    <s v="P"/>
    <s v="Capitalized"/>
    <s v="95 GAL MSW CARTS"/>
    <m/>
    <m/>
    <n v="702"/>
    <m/>
    <n v="0"/>
    <s v="REHRIG PACIFIC COMPANY IN"/>
    <m/>
    <s v="CONTAINERS"/>
    <s v="TBA"/>
    <m/>
    <m/>
    <m/>
    <d v="2021-10-19T00:00:00"/>
    <d v="2021-10-19T00:00:00"/>
    <s v="2111-21-0048-1"/>
    <n v="700"/>
    <n v="14050"/>
    <n v="47830.07"/>
    <n v="14056"/>
    <n v="19359.830000000002"/>
    <n v="28470.239999999998"/>
    <n v="4555.28"/>
    <n v="54260"/>
    <n v="569.41"/>
    <s v="P"/>
    <m/>
    <m/>
    <s v=" "/>
    <s v="STL"/>
    <s v="YES"/>
    <s v="TBD"/>
    <s v="Garbage Carts"/>
    <x v="0"/>
    <n v="10"/>
    <n v="2021"/>
    <n v="2028"/>
    <n v="2028.8333333333333"/>
    <n v="569.4055952380952"/>
    <n v="6832.8671428571424"/>
    <n v="6832.8671428571424"/>
    <n v="17082.16785714286"/>
    <n v="23915.035000000003"/>
    <n v="23915.034999999996"/>
    <s v="No"/>
  </r>
  <r>
    <n v="2111"/>
    <n v="266033"/>
    <s v="P"/>
    <s v="Capitalized"/>
    <s v="Docking station (NO SN)"/>
    <m/>
    <m/>
    <n v="1"/>
    <m/>
    <n v="0"/>
    <s v="AMZN MKTP US 1A6AV81J3"/>
    <m/>
    <s v="HARDWARE AND SOFTWARE"/>
    <s v="TBA"/>
    <m/>
    <m/>
    <m/>
    <d v="2021-11-23T00:00:00"/>
    <d v="2021-11-23T00:00:00"/>
    <s v="2111-21-0052-1"/>
    <n v="300"/>
    <n v="14110"/>
    <n v="273.49"/>
    <n v="14116"/>
    <n v="250.72"/>
    <n v="22.77000000000001"/>
    <n v="60.8"/>
    <n v="70260"/>
    <n v="7.6"/>
    <s v="P"/>
    <m/>
    <m/>
    <s v=" "/>
    <s v="STL"/>
    <s v="YES"/>
    <s v="TBD"/>
    <s v="Office"/>
    <x v="6"/>
    <n v="11"/>
    <n v="2021"/>
    <n v="2024"/>
    <n v="2024.9166666666667"/>
    <n v="7.5969444444444454"/>
    <n v="91.163333333333341"/>
    <n v="0"/>
    <n v="220.31138888887506"/>
    <n v="273.49"/>
    <n v="0"/>
    <s v="No"/>
  </r>
  <r>
    <n v="2111"/>
    <n v="266032"/>
    <s v="P"/>
    <s v="Capitalized"/>
    <s v="HP PROBOOK SN 5CD14172R2"/>
    <m/>
    <m/>
    <n v="1"/>
    <m/>
    <n v="0"/>
    <s v="CDW DIR #PO  2111-21-0"/>
    <m/>
    <s v="HARDWARE AND SOFTWARE"/>
    <s v="TBA"/>
    <m/>
    <m/>
    <m/>
    <d v="2021-11-23T00:00:00"/>
    <d v="2021-11-23T00:00:00"/>
    <s v="2111-21-0052-1"/>
    <n v="300"/>
    <n v="14110"/>
    <n v="1494.07"/>
    <n v="14116"/>
    <n v="1369.54"/>
    <n v="124.52999999999997"/>
    <n v="332"/>
    <n v="70260"/>
    <n v="41.5"/>
    <s v="P"/>
    <m/>
    <m/>
    <s v=" "/>
    <s v="STL"/>
    <s v="YES"/>
    <s v="TBD"/>
    <s v="Office"/>
    <x v="6"/>
    <n v="11"/>
    <n v="2021"/>
    <n v="2024"/>
    <n v="2024.9166666666667"/>
    <n v="41.50194444444444"/>
    <n v="498.02333333333331"/>
    <n v="0"/>
    <n v="1203.5563888888134"/>
    <n v="1494.07"/>
    <n v="0"/>
    <s v="No"/>
  </r>
  <r>
    <n v="2111"/>
    <n v="266031"/>
    <s v="P"/>
    <s v="Capitalized"/>
    <s v="DOCKING STATION (NO SN)"/>
    <m/>
    <m/>
    <n v="1"/>
    <m/>
    <n v="0"/>
    <s v="AMZN MKTP US RP92O4OS3"/>
    <m/>
    <s v="HARDWARE AND SOFTWARE"/>
    <s v="TBA"/>
    <m/>
    <m/>
    <m/>
    <d v="2021-11-23T00:00:00"/>
    <d v="2021-11-23T00:00:00"/>
    <s v="2111-21-0051-1"/>
    <n v="300"/>
    <n v="14110"/>
    <n v="274.99"/>
    <n v="14116"/>
    <n v="252.08"/>
    <n v="22.909999999999997"/>
    <n v="61.12"/>
    <n v="70260"/>
    <n v="7.64"/>
    <s v="P"/>
    <m/>
    <m/>
    <s v=" "/>
    <s v="STL"/>
    <s v="YES"/>
    <s v="TBD"/>
    <s v="Shop"/>
    <x v="15"/>
    <n v="11"/>
    <n v="2021"/>
    <n v="2024"/>
    <n v="2024.9166666666667"/>
    <n v="7.6386111111111115"/>
    <n v="91.663333333333341"/>
    <n v="0"/>
    <n v="221.51972222220834"/>
    <n v="274.99"/>
    <n v="0"/>
    <s v="No"/>
  </r>
  <r>
    <n v="2111"/>
    <n v="266030"/>
    <s v="P"/>
    <s v="Capitalized"/>
    <s v="HP PROBOOK SN 5CD142JVV4"/>
    <m/>
    <m/>
    <n v="1"/>
    <m/>
    <n v="0"/>
    <s v="CDW DIR #2111"/>
    <m/>
    <s v="HARDWARE AND SOFTWARE"/>
    <s v="TBA"/>
    <m/>
    <m/>
    <m/>
    <d v="2021-11-23T00:00:00"/>
    <d v="2021-11-23T00:00:00"/>
    <s v="2111-21-0051-1"/>
    <n v="300"/>
    <n v="14110"/>
    <n v="1093.1600000000001"/>
    <n v="14116"/>
    <n v="1002.11"/>
    <n v="91.050000000000068"/>
    <n v="242.96"/>
    <n v="70260"/>
    <n v="30.37"/>
    <s v="P"/>
    <m/>
    <m/>
    <s v=" "/>
    <s v="STL"/>
    <s v="YES"/>
    <s v="TBD"/>
    <s v="Shop"/>
    <x v="15"/>
    <n v="11"/>
    <n v="2021"/>
    <n v="2024"/>
    <n v="2024.9166666666667"/>
    <n v="30.365555555555559"/>
    <n v="364.38666666666671"/>
    <n v="0"/>
    <n v="880.60111111105596"/>
    <n v="1093.1600000000001"/>
    <n v="0"/>
    <s v="No"/>
  </r>
  <r>
    <n v="2111"/>
    <n v="265897"/>
    <n v="264430"/>
    <s v="Capitalized"/>
    <s v="TRUCK LICENSING #871"/>
    <m/>
    <m/>
    <n v="1"/>
    <m/>
    <n v="2021"/>
    <s v="Peterbilt"/>
    <s v="N/A"/>
    <s v="TRUCKS AND TRAILERS"/>
    <s v="TBA"/>
    <s v="Non-Rolling Stock"/>
    <m/>
    <m/>
    <d v="2021-11-17T00:00:00"/>
    <d v="2021-11-17T00:00:00"/>
    <s v="2111-21-0040-1"/>
    <n v="1000"/>
    <n v="14040"/>
    <n v="1107.24"/>
    <n v="14046"/>
    <n v="304.51"/>
    <n v="802.73"/>
    <n v="73.84"/>
    <n v="51260"/>
    <n v="9.23"/>
    <s v="P"/>
    <m/>
    <m/>
    <s v=" "/>
    <s v="STL"/>
    <s v="YES"/>
    <s v="TBD"/>
    <s v="ASL Garbage Truck"/>
    <x v="2"/>
    <n v="11"/>
    <n v="2021"/>
    <n v="2031"/>
    <n v="2031.9166666666667"/>
    <n v="9.2270000000000003"/>
    <n v="110.724"/>
    <n v="110.724"/>
    <n v="267.58299999998314"/>
    <n v="378.30699999998313"/>
    <n v="728.93300000001682"/>
    <s v="No"/>
  </r>
  <r>
    <n v="2111"/>
    <n v="265896"/>
    <n v="264429"/>
    <s v="Capitalized"/>
    <s v="TRUCK LICENSING #872"/>
    <m/>
    <m/>
    <n v="1"/>
    <m/>
    <n v="2021"/>
    <s v="n/a"/>
    <s v="Peterbilt"/>
    <s v="TRUCKS AND TRAILERS"/>
    <s v="TBA"/>
    <s v="Non-Rolling Stock"/>
    <m/>
    <m/>
    <d v="2021-10-05T00:00:00"/>
    <d v="2021-10-05T00:00:00"/>
    <s v="2111-21-0039-1"/>
    <n v="1000"/>
    <n v="14040"/>
    <n v="1112.23"/>
    <n v="14046"/>
    <n v="324.41000000000003"/>
    <n v="787.81999999999994"/>
    <n v="74.16"/>
    <n v="51260"/>
    <n v="9.27"/>
    <s v="P"/>
    <m/>
    <m/>
    <s v=" "/>
    <s v="STL"/>
    <s v="YES"/>
    <s v="TBD"/>
    <s v="ASL Garbage Truck"/>
    <x v="2"/>
    <n v="10"/>
    <n v="2021"/>
    <n v="2031"/>
    <n v="2031.8333333333333"/>
    <n v="9.2685833333333338"/>
    <n v="111.22300000000001"/>
    <n v="111.22300000000001"/>
    <n v="278.0575"/>
    <n v="389.28050000000002"/>
    <n v="722.94949999999994"/>
    <s v="No"/>
  </r>
  <r>
    <n v="2111"/>
    <n v="265454"/>
    <s v="P"/>
    <s v="Capitalized"/>
    <s v="Drive Cam Units"/>
    <m/>
    <m/>
    <n v="8"/>
    <m/>
    <n v="0"/>
    <m/>
    <m/>
    <s v="SHOP EQUIPMENT"/>
    <s v="TBA"/>
    <m/>
    <m/>
    <m/>
    <d v="2021-11-01T00:00:00"/>
    <d v="2021-11-01T00:00:00"/>
    <s v="1010-21-0038"/>
    <n v="500"/>
    <n v="14070"/>
    <n v="4312.3999999999996"/>
    <n v="14076"/>
    <n v="2443.67"/>
    <n v="1868.7299999999996"/>
    <n v="574.96"/>
    <n v="51260"/>
    <n v="71.87"/>
    <s v="P"/>
    <m/>
    <m/>
    <s v=" "/>
    <s v="STL"/>
    <s v="YES"/>
    <s v="TBD"/>
    <s v="Various"/>
    <x v="12"/>
    <n v="11"/>
    <n v="2021"/>
    <n v="2026"/>
    <n v="2026.9166666666667"/>
    <n v="71.873333333333321"/>
    <n v="862.47999999999979"/>
    <n v="862.47999999999979"/>
    <n v="2084.3266666665359"/>
    <n v="2946.8066666665354"/>
    <n v="1365.5933333334642"/>
    <s v="No"/>
  </r>
  <r>
    <n v="2111"/>
    <n v="264650"/>
    <n v="252489"/>
    <s v="Capitalized"/>
    <s v="Fuel Island Permitting"/>
    <m/>
    <m/>
    <n v="1"/>
    <m/>
    <n v="0"/>
    <s v="SITTS &amp; HILL ENGINEERS IN"/>
    <m/>
    <s v="LAND IMPROVEMENTS"/>
    <s v="TBA"/>
    <m/>
    <m/>
    <m/>
    <d v="2021-05-31T00:00:00"/>
    <d v="2021-05-31T00:00:00"/>
    <s v="2111-21-0035-1"/>
    <n v="1000"/>
    <n v="14010"/>
    <n v="2055.67"/>
    <n v="14016"/>
    <n v="668.09"/>
    <n v="1387.58"/>
    <n v="137.04"/>
    <n v="57260"/>
    <n v="17.13"/>
    <s v="P"/>
    <m/>
    <m/>
    <s v=" "/>
    <s v="STL"/>
    <s v="YES"/>
    <s v="TBD"/>
    <s v="Fuel Station"/>
    <x v="14"/>
    <n v="5"/>
    <n v="2021"/>
    <n v="2031"/>
    <n v="2031.4166666666667"/>
    <n v="17.130583333333334"/>
    <n v="205.56700000000001"/>
    <n v="205.56700000000001"/>
    <n v="599.57041666663554"/>
    <n v="805.13741666663554"/>
    <n v="1250.5325833333645"/>
    <s v="No"/>
  </r>
  <r>
    <n v="2111"/>
    <n v="264430"/>
    <s v="P"/>
    <s v="Capitalized"/>
    <s v="2022 Peterbilt ASL Truck"/>
    <m/>
    <m/>
    <n v="1"/>
    <s v="3BPDLK0X7NF111154"/>
    <n v="2022"/>
    <m/>
    <m/>
    <s v="TRUCKS AND TRAILERS"/>
    <s v="TBA"/>
    <s v="Automated Side Loader"/>
    <m/>
    <m/>
    <d v="2021-09-23T00:00:00"/>
    <d v="2021-09-23T00:00:00"/>
    <s v="2111-21-0040"/>
    <n v="1000"/>
    <n v="14040"/>
    <n v="379664.17"/>
    <n v="14046"/>
    <n v="110735.41"/>
    <n v="268928.76"/>
    <n v="25310.959999999999"/>
    <n v="51260"/>
    <n v="3163.87"/>
    <s v="P"/>
    <m/>
    <n v="871"/>
    <s v=" "/>
    <s v="STL"/>
    <s v="YES"/>
    <s v="TBD"/>
    <s v="ASL Garbage Truck"/>
    <x v="2"/>
    <n v="9"/>
    <n v="2021"/>
    <n v="2031"/>
    <n v="2031.75"/>
    <n v="3163.8680833333333"/>
    <n v="37966.417000000001"/>
    <n v="37966.417000000001"/>
    <n v="98079.910583330435"/>
    <n v="136046.32758333045"/>
    <n v="243617.84241666953"/>
    <s v="No"/>
  </r>
  <r>
    <n v="2111"/>
    <n v="264429"/>
    <s v="P"/>
    <s v="Capitalized"/>
    <s v="2022 Peterbilt ASL Truck"/>
    <m/>
    <m/>
    <n v="1"/>
    <s v="3BPDLK0X9NF111057"/>
    <n v="2022"/>
    <m/>
    <m/>
    <s v="TRUCKS AND TRAILERS"/>
    <s v="TBA"/>
    <s v="Automated Side Loader"/>
    <m/>
    <m/>
    <d v="2021-10-05T00:00:00"/>
    <d v="2021-10-05T00:00:00"/>
    <s v="2111-21-0039"/>
    <n v="1000"/>
    <n v="14040"/>
    <n v="379393.6"/>
    <n v="14046"/>
    <n v="110656.42"/>
    <n v="268737.18"/>
    <n v="25292.880000000001"/>
    <n v="51260"/>
    <n v="3161.61"/>
    <s v="P"/>
    <m/>
    <n v="872"/>
    <s v=" "/>
    <s v="STL"/>
    <s v="YES"/>
    <s v="TBD"/>
    <s v="ASL Garbage Truck"/>
    <x v="2"/>
    <n v="10"/>
    <n v="2021"/>
    <n v="2031"/>
    <n v="2031.8333333333333"/>
    <n v="3161.6133333333332"/>
    <n v="37939.360000000001"/>
    <n v="37939.360000000001"/>
    <n v="94848.399999999965"/>
    <n v="132787.75999999995"/>
    <n v="246605.84000000003"/>
    <s v="No"/>
  </r>
  <r>
    <n v="2111"/>
    <n v="264428"/>
    <s v="P"/>
    <s v="Capitalized"/>
    <s v="2022 Peterbilt ASL Truck"/>
    <m/>
    <m/>
    <n v="1"/>
    <s v="3BPDLK0X1NF111053"/>
    <n v="2022"/>
    <m/>
    <m/>
    <s v="TRUCKS AND TRAILERS"/>
    <s v="TBA"/>
    <s v="Automated Side Loader"/>
    <m/>
    <m/>
    <d v="2021-08-25T00:00:00"/>
    <d v="2021-08-25T00:00:00"/>
    <s v="2111-21-0002"/>
    <n v="1000"/>
    <n v="14040"/>
    <n v="374782.76"/>
    <n v="14046"/>
    <n v="112434.84"/>
    <n v="262347.92000000004"/>
    <n v="24985.52"/>
    <n v="51260"/>
    <n v="3123.19"/>
    <s v="P"/>
    <m/>
    <n v="870"/>
    <s v=" "/>
    <s v="STL"/>
    <s v="YES"/>
    <s v="TBD"/>
    <s v="ASL Garbage Truck"/>
    <x v="2"/>
    <n v="8"/>
    <n v="2021"/>
    <n v="2031"/>
    <n v="2031.6666666666667"/>
    <n v="3123.1896666666667"/>
    <n v="37478.275999999998"/>
    <n v="37478.275999999998"/>
    <n v="99942.069333327643"/>
    <n v="137420.34533332766"/>
    <n v="237362.41466667235"/>
    <s v="No"/>
  </r>
  <r>
    <n v="2111"/>
    <n v="264315"/>
    <s v="P"/>
    <s v="Capitalized"/>
    <s v="95 GAL YARD WASTE CARTS"/>
    <m/>
    <m/>
    <n v="1404"/>
    <m/>
    <n v="0"/>
    <s v="REHRIG PACIFIC COMPANY IN"/>
    <m/>
    <s v="CONTAINERS"/>
    <s v="TBA"/>
    <m/>
    <m/>
    <m/>
    <d v="2021-09-06T00:00:00"/>
    <d v="2021-09-06T00:00:00"/>
    <s v="2111-21-0045-1"/>
    <n v="700"/>
    <n v="14050"/>
    <n v="89945.85"/>
    <n v="14056"/>
    <n v="38548.199999999997"/>
    <n v="51397.650000000009"/>
    <n v="8566.24"/>
    <n v="54260"/>
    <n v="1070.78"/>
    <s v="P"/>
    <m/>
    <m/>
    <s v=" "/>
    <s v="STL"/>
    <s v="YES"/>
    <s v="TBD"/>
    <s v="YW Cart"/>
    <x v="16"/>
    <n v="9"/>
    <n v="2021"/>
    <n v="2028"/>
    <n v="2028.75"/>
    <n v="1070.7839285714288"/>
    <n v="12849.407142857144"/>
    <n v="12849.407142857144"/>
    <n v="33194.301785713309"/>
    <n v="46043.708928570457"/>
    <n v="43902.141071429549"/>
    <s v="No"/>
  </r>
  <r>
    <n v="2111"/>
    <n v="264052"/>
    <n v="264051"/>
    <s v="Capitalized"/>
    <s v="docking station for new controller - No S/N Listed on Amazon Invoices"/>
    <m/>
    <m/>
    <n v="1"/>
    <m/>
    <n v="0"/>
    <s v="AMZN MKTP US 2C2QX0R90 AM"/>
    <m/>
    <s v="HARDWARE AND SOFTWARE"/>
    <s v="TBA"/>
    <m/>
    <m/>
    <m/>
    <d v="2021-10-01T00:00:00"/>
    <d v="2021-10-01T00:00:00"/>
    <s v="2111-21-0049-1"/>
    <n v="300"/>
    <n v="14110"/>
    <n v="260.33"/>
    <n v="14116"/>
    <n v="253.1"/>
    <n v="7.2299999999999898"/>
    <n v="57.84"/>
    <n v="70260"/>
    <n v="7.23"/>
    <s v="P"/>
    <m/>
    <m/>
    <s v=" "/>
    <s v="STL"/>
    <s v="YES"/>
    <s v="TBD"/>
    <s v="Office"/>
    <x v="6"/>
    <n v="10"/>
    <n v="2021"/>
    <n v="2024"/>
    <n v="2024.8333333333333"/>
    <n v="7.2313888888888878"/>
    <n v="86.776666666666657"/>
    <n v="0"/>
    <n v="216.94166666666666"/>
    <n v="260.33"/>
    <n v="0"/>
    <s v="No"/>
  </r>
  <r>
    <n v="2111"/>
    <n v="264051"/>
    <s v="P"/>
    <s v="Capitalized"/>
    <s v="HP Probook 450-Controller Serial # : 5CD137MBVD"/>
    <m/>
    <m/>
    <n v="1"/>
    <m/>
    <n v="0"/>
    <s v="CDW DIR #2111"/>
    <m/>
    <s v="HARDWARE AND SOFTWARE"/>
    <s v="TBA"/>
    <m/>
    <m/>
    <m/>
    <d v="2021-10-01T00:00:00"/>
    <d v="2021-10-01T00:00:00"/>
    <s v="2111-21-0049-1"/>
    <n v="300"/>
    <n v="14110"/>
    <n v="1300.04"/>
    <n v="14116"/>
    <n v="1263.92"/>
    <n v="36.119999999999891"/>
    <n v="288.88"/>
    <n v="70260"/>
    <n v="36.11"/>
    <s v="P"/>
    <m/>
    <m/>
    <s v=" "/>
    <s v="STL"/>
    <s v="YES"/>
    <s v="TBD"/>
    <s v="Office"/>
    <x v="6"/>
    <n v="10"/>
    <n v="2021"/>
    <n v="2024"/>
    <n v="2024.8333333333333"/>
    <n v="36.112222222222222"/>
    <n v="433.34666666666669"/>
    <n v="0"/>
    <n v="1083.3666666666666"/>
    <n v="1300.04"/>
    <n v="0"/>
    <s v="No"/>
  </r>
  <r>
    <n v="2111"/>
    <n v="263289"/>
    <s v="P"/>
    <s v="Capitalized"/>
    <s v="65 GAL MSW CARTS"/>
    <m/>
    <m/>
    <n v="936"/>
    <m/>
    <n v="0"/>
    <s v="REHRIG PACIFIC COMPANY IN"/>
    <m/>
    <s v="CONTAINERS"/>
    <s v="TBA"/>
    <m/>
    <m/>
    <m/>
    <d v="2021-10-19T00:00:00"/>
    <d v="2021-10-19T00:00:00"/>
    <s v="2111-21-0048-1"/>
    <n v="700"/>
    <n v="14050"/>
    <n v="56947.17"/>
    <n v="14056"/>
    <n v="23050.03"/>
    <n v="33897.14"/>
    <n v="5423.52"/>
    <n v="54260"/>
    <n v="677.94"/>
    <s v="P"/>
    <m/>
    <m/>
    <s v=" "/>
    <s v="STL"/>
    <s v="YES"/>
    <s v="TBD"/>
    <s v="Garbage Carts"/>
    <x v="0"/>
    <n v="10"/>
    <n v="2021"/>
    <n v="2028"/>
    <n v="2028.8333333333333"/>
    <n v="677.9425"/>
    <n v="8135.3099999999995"/>
    <n v="8135.3099999999995"/>
    <n v="20338.275000000001"/>
    <n v="28473.584999999999"/>
    <n v="28473.584999999999"/>
    <s v="No"/>
  </r>
  <r>
    <n v="2111"/>
    <n v="263288"/>
    <s v="P"/>
    <s v="Capitalized"/>
    <s v="20 GAL MSW CARTS"/>
    <m/>
    <m/>
    <n v="220"/>
    <m/>
    <n v="0"/>
    <s v="REHRIG PACIFIC COMPANY IN"/>
    <m/>
    <s v="CONTAINERS"/>
    <s v="TBA"/>
    <m/>
    <m/>
    <m/>
    <d v="2021-09-06T00:00:00"/>
    <d v="2021-09-06T00:00:00"/>
    <s v="2111-21-0045-1"/>
    <n v="700"/>
    <n v="14050"/>
    <n v="11412.72"/>
    <n v="14056"/>
    <n v="4891.2"/>
    <n v="6521.5199999999995"/>
    <n v="1086.96"/>
    <n v="54260"/>
    <n v="135.87"/>
    <s v="P"/>
    <m/>
    <m/>
    <s v=" "/>
    <s v="STL"/>
    <s v="YES"/>
    <s v="TBD"/>
    <s v="Garbage Carts"/>
    <x v="0"/>
    <n v="9"/>
    <n v="2021"/>
    <n v="2028"/>
    <n v="2028.75"/>
    <n v="135.86571428571429"/>
    <n v="1630.3885714285716"/>
    <n v="1630.3885714285716"/>
    <n v="4211.8371428570181"/>
    <n v="5842.2257142855897"/>
    <n v="5570.4942857144097"/>
    <s v="No"/>
  </r>
  <r>
    <n v="2111"/>
    <n v="263287"/>
    <s v="P"/>
    <s v="Capitalized"/>
    <s v="6YD FEL SLOPE C/W SINGLE PLY PLASTIC LID"/>
    <m/>
    <m/>
    <n v="34"/>
    <m/>
    <n v="0"/>
    <s v="ENVIRONMENTAL METAL WORKS"/>
    <m/>
    <s v="CONTAINERS"/>
    <s v="TBA"/>
    <m/>
    <s v="6 YD"/>
    <s v="FEL/REL/SL Metal"/>
    <d v="2021-09-09T00:00:00"/>
    <d v="2021-09-09T00:00:00"/>
    <s v="2111-21-0044-1"/>
    <n v="1200"/>
    <n v="14050"/>
    <n v="59372.81"/>
    <n v="14056"/>
    <n v="14843.21"/>
    <n v="44529.599999999999"/>
    <n v="3298.48"/>
    <n v="54260"/>
    <n v="412.31"/>
    <s v="P"/>
    <m/>
    <m/>
    <s v=" "/>
    <s v="STL"/>
    <s v="YES"/>
    <s v="TBD"/>
    <s v="Containers"/>
    <x v="1"/>
    <n v="9"/>
    <n v="2021"/>
    <n v="2033"/>
    <n v="2033.75"/>
    <n v="412.3111805555555"/>
    <n v="4947.7341666666662"/>
    <n v="4947.7341666666662"/>
    <n v="12781.64659722185"/>
    <n v="17729.380763888516"/>
    <n v="41643.429236111479"/>
    <s v="No"/>
  </r>
  <r>
    <n v="2111"/>
    <n v="263275"/>
    <n v="263272"/>
    <s v="Capitalized"/>
    <s v="INSTALL NEW GRIZZLY"/>
    <m/>
    <m/>
    <n v="1"/>
    <s v="S2158"/>
    <n v="2020"/>
    <s v="XXXX"/>
    <s v="XXXX"/>
    <s v="HEAVY EQUIPMENT"/>
    <s v="TBA"/>
    <s v="Non-Rolling Stock"/>
    <m/>
    <m/>
    <d v="2021-07-31T00:00:00"/>
    <d v="2021-07-31T00:00:00"/>
    <s v="2111-21-0013-1"/>
    <n v="300"/>
    <n v="14030"/>
    <n v="22513.29"/>
    <n v="14036"/>
    <n v="22513.29"/>
    <n v="0"/>
    <n v="4377.58"/>
    <n v="51260"/>
    <n v="625.36"/>
    <s v="P"/>
    <m/>
    <m/>
    <s v=" "/>
    <s v="STL"/>
    <s v="YES"/>
    <s v="TBD"/>
    <s v="TS Equip"/>
    <x v="17"/>
    <n v="7"/>
    <n v="2021"/>
    <n v="2024"/>
    <n v="2024.5833333333333"/>
    <n v="625.36916666666673"/>
    <n v="7504.43"/>
    <n v="0"/>
    <n v="20637.182500000003"/>
    <n v="22513.29"/>
    <n v="0"/>
    <s v="No"/>
  </r>
  <r>
    <n v="2111"/>
    <n v="263274"/>
    <n v="263272"/>
    <s v="Capitalized"/>
    <s v="HYDRAULIC PUMPS, DRIVE MOTORS, HYD DRIVE GEAR BOX"/>
    <m/>
    <m/>
    <n v="1"/>
    <s v="S2158"/>
    <n v="2020"/>
    <s v="XXXX"/>
    <s v="XXXX"/>
    <s v="HEAVY EQUIPMENT"/>
    <s v="TBA"/>
    <s v="Non-Rolling Stock"/>
    <m/>
    <m/>
    <d v="2021-07-31T00:00:00"/>
    <d v="2021-07-31T00:00:00"/>
    <s v="2111-21-0013-1"/>
    <n v="300"/>
    <n v="14030"/>
    <n v="8733.7900000000009"/>
    <n v="14036"/>
    <n v="8733.7900000000009"/>
    <n v="0"/>
    <n v="1698.24"/>
    <n v="51260"/>
    <n v="242.58"/>
    <s v="P"/>
    <m/>
    <m/>
    <s v=" "/>
    <s v="STL"/>
    <s v="YES"/>
    <s v="TBD"/>
    <s v="TS Equip"/>
    <x v="17"/>
    <n v="7"/>
    <n v="2021"/>
    <n v="2024"/>
    <n v="2024.5833333333333"/>
    <n v="242.60527777777781"/>
    <n v="2911.2633333333338"/>
    <n v="0"/>
    <n v="8005.9741666666678"/>
    <n v="8733.7900000000009"/>
    <n v="0"/>
    <s v="No"/>
  </r>
  <r>
    <n v="2111"/>
    <n v="263273"/>
    <n v="263272"/>
    <s v="Capitalized"/>
    <s v="ENGINE"/>
    <m/>
    <m/>
    <n v="1"/>
    <s v="S2158"/>
    <n v="2020"/>
    <s v="XXXX"/>
    <s v="XXXX"/>
    <s v="HEAVY EQUIPMENT"/>
    <s v="TBA"/>
    <s v="Non-Rolling Stock"/>
    <m/>
    <m/>
    <d v="2021-07-31T00:00:00"/>
    <d v="2021-07-31T00:00:00"/>
    <s v="2111-21-0013-1"/>
    <n v="300"/>
    <n v="14030"/>
    <n v="26201.360000000001"/>
    <n v="14036"/>
    <n v="26201.360000000001"/>
    <n v="0"/>
    <n v="5094.7"/>
    <n v="51260"/>
    <n v="727.78"/>
    <s v="P"/>
    <m/>
    <m/>
    <s v=" "/>
    <s v="STL"/>
    <s v="YES"/>
    <s v="TBD"/>
    <s v="TS Equip"/>
    <x v="17"/>
    <n v="7"/>
    <n v="2021"/>
    <n v="2024"/>
    <n v="2024.5833333333333"/>
    <n v="727.81555555555553"/>
    <n v="8733.7866666666669"/>
    <n v="0"/>
    <n v="24017.913333333334"/>
    <n v="26201.360000000001"/>
    <n v="0"/>
    <s v="No"/>
  </r>
  <r>
    <n v="2111"/>
    <n v="263272"/>
    <s v="P"/>
    <s v="Capitalized"/>
    <s v="2020 Tipper Chassis"/>
    <m/>
    <m/>
    <n v="1"/>
    <s v="S2158"/>
    <n v="2020"/>
    <s v="XXXX"/>
    <s v="XXXX"/>
    <s v="HEAVY EQUIPMENT"/>
    <s v="TBA"/>
    <s v="Excavator"/>
    <m/>
    <m/>
    <d v="2021-07-31T00:00:00"/>
    <d v="2021-07-31T00:00:00"/>
    <s v="2111-21-0013-1"/>
    <n v="1000"/>
    <n v="14030"/>
    <n v="183409.55"/>
    <n v="14036"/>
    <n v="56551.27"/>
    <n v="126858.28"/>
    <n v="12227.28"/>
    <n v="51260"/>
    <n v="1528.41"/>
    <s v="P"/>
    <n v="0"/>
    <s v="GL-2"/>
    <s v=" "/>
    <s v="STL"/>
    <s v="YES"/>
    <s v="TBD"/>
    <s v="TS Equip"/>
    <x v="17"/>
    <n v="7"/>
    <n v="2021"/>
    <n v="2031"/>
    <n v="2031.5833333333333"/>
    <n v="1528.4129166666664"/>
    <n v="18340.954999999998"/>
    <n v="18340.954999999998"/>
    <n v="50437.626250000001"/>
    <n v="68778.581250000003"/>
    <n v="114630.96874999999"/>
    <s v="No"/>
  </r>
  <r>
    <n v="2111"/>
    <n v="262700"/>
    <n v="262699"/>
    <s v="Capitalized"/>
    <s v="SET OF CASTERS 2 SWIVEL, 2 FIXED"/>
    <m/>
    <m/>
    <n v="84"/>
    <m/>
    <n v="0"/>
    <s v="ENVIRONMENTAL METAL WORKS"/>
    <m/>
    <s v="CONTAINERS"/>
    <s v="TBA"/>
    <m/>
    <m/>
    <m/>
    <d v="2021-09-09T00:00:00"/>
    <d v="2021-09-09T00:00:00"/>
    <s v="2111-21-0044-1"/>
    <n v="1200"/>
    <n v="14050"/>
    <n v="9223.3700000000008"/>
    <n v="14056"/>
    <n v="2305.85"/>
    <n v="6917.52"/>
    <n v="512.4"/>
    <n v="54260"/>
    <n v="64.05"/>
    <s v="P"/>
    <m/>
    <m/>
    <s v=" "/>
    <s v="STL"/>
    <s v="YES"/>
    <s v="TBD"/>
    <s v="Containers"/>
    <x v="1"/>
    <n v="9"/>
    <n v="2021"/>
    <n v="2033"/>
    <n v="2033.75"/>
    <n v="64.051180555555561"/>
    <n v="768.61416666666673"/>
    <n v="768.61416666666673"/>
    <n v="1985.5865972221645"/>
    <n v="2754.2007638888313"/>
    <n v="6469.1692361111691"/>
    <s v="No"/>
  </r>
  <r>
    <n v="2111"/>
    <n v="262699"/>
    <s v="P"/>
    <s v="Capitalized"/>
    <s v="6YD FEL SLOPE C/W PLASTIC LID"/>
    <m/>
    <m/>
    <n v="3"/>
    <m/>
    <n v="0"/>
    <s v="ENVIRONMENTAL METAL WORKS"/>
    <m/>
    <s v="CONTAINERS"/>
    <s v="TBA"/>
    <m/>
    <s v="6 YD"/>
    <s v="FEL/REL/SL Metal"/>
    <d v="2021-09-09T00:00:00"/>
    <d v="2021-09-09T00:00:00"/>
    <s v="2111-21-0044-1"/>
    <n v="1200"/>
    <n v="14050"/>
    <n v="5024.3"/>
    <n v="14056"/>
    <n v="1256.06"/>
    <n v="3768.2400000000002"/>
    <n v="279.12"/>
    <n v="54260"/>
    <n v="34.89"/>
    <s v="P"/>
    <m/>
    <m/>
    <s v=" "/>
    <s v="STL"/>
    <s v="YES"/>
    <s v="TBD"/>
    <s v="Containers"/>
    <x v="1"/>
    <n v="9"/>
    <n v="2021"/>
    <n v="2033"/>
    <n v="2033.75"/>
    <n v="34.890972222222224"/>
    <n v="418.69166666666672"/>
    <n v="418.69166666666672"/>
    <n v="1081.6201388888571"/>
    <n v="1500.3118055555237"/>
    <n v="3523.9881944444764"/>
    <s v="No"/>
  </r>
  <r>
    <n v="2111"/>
    <n v="262698"/>
    <s v="P"/>
    <s v="Capitalized"/>
    <s v="4YD FEL SLOPE C/W PLASTIC LID"/>
    <m/>
    <m/>
    <n v="8"/>
    <m/>
    <n v="0"/>
    <s v="ENVIRONMENTAL METAL WORKS"/>
    <m/>
    <s v="CONTAINERS"/>
    <s v="TBA"/>
    <m/>
    <s v="4 YD"/>
    <s v="FEL/REL/SL Metal"/>
    <d v="2021-09-09T00:00:00"/>
    <d v="2021-09-09T00:00:00"/>
    <s v="2111-21-0044-1"/>
    <n v="1200"/>
    <n v="14050"/>
    <n v="10357.9"/>
    <n v="14056"/>
    <n v="2589.48"/>
    <n v="7768.42"/>
    <n v="575.44000000000005"/>
    <n v="54260"/>
    <n v="71.930000000000007"/>
    <s v="P"/>
    <m/>
    <m/>
    <s v=" "/>
    <s v="STL"/>
    <s v="YES"/>
    <s v="TBD"/>
    <s v="Containers"/>
    <x v="1"/>
    <n v="9"/>
    <n v="2021"/>
    <n v="2033"/>
    <n v="2033.75"/>
    <n v="71.929861111111109"/>
    <n v="863.1583333333333"/>
    <n v="863.1583333333333"/>
    <n v="2229.8256944443792"/>
    <n v="3092.9840277777125"/>
    <n v="7264.9159722222867"/>
    <s v="No"/>
  </r>
  <r>
    <n v="2111"/>
    <n v="262697"/>
    <s v="P"/>
    <s v="Capitalized"/>
    <s v="2YD REAR LOAD C/W PLASTIC LIDS"/>
    <m/>
    <m/>
    <n v="48"/>
    <m/>
    <n v="0"/>
    <s v="ENVIRONMENTAL METAL WORKS"/>
    <m/>
    <s v="CONTAINERS"/>
    <s v="TBA"/>
    <m/>
    <s v="2 YD"/>
    <s v="FEL/REL/SL Metal"/>
    <d v="2021-09-09T00:00:00"/>
    <d v="2021-09-09T00:00:00"/>
    <s v="2111-21-0044-1"/>
    <n v="1200"/>
    <n v="14050"/>
    <n v="51949.1"/>
    <n v="14056"/>
    <n v="12987.29"/>
    <n v="38961.81"/>
    <n v="2886.08"/>
    <n v="54260"/>
    <n v="360.76"/>
    <s v="P"/>
    <m/>
    <m/>
    <s v=" "/>
    <s v="STL"/>
    <s v="YES"/>
    <s v="TBD"/>
    <s v="Containers"/>
    <x v="1"/>
    <n v="9"/>
    <n v="2021"/>
    <n v="2033"/>
    <n v="2033.75"/>
    <n v="360.75763888888883"/>
    <n v="4329.0916666666662"/>
    <n v="4329.0916666666662"/>
    <n v="11183.486805555229"/>
    <n v="15512.578472221896"/>
    <n v="36436.521527778103"/>
    <s v="No"/>
  </r>
  <r>
    <n v="2111"/>
    <n v="262696"/>
    <s v="P"/>
    <s v="Capitalized"/>
    <s v="2YD FLAT TOP C/W PLASTIC LIDS"/>
    <m/>
    <m/>
    <n v="12"/>
    <m/>
    <n v="0"/>
    <s v="ENVIRONMENTAL METAL WORKS"/>
    <m/>
    <s v="CONTAINERS"/>
    <s v="TBA"/>
    <m/>
    <s v="2 YD"/>
    <s v="FEL/REL/SL Metal"/>
    <d v="2021-09-09T00:00:00"/>
    <d v="2021-09-09T00:00:00"/>
    <s v="2111-21-0044-1"/>
    <n v="1200"/>
    <n v="14050"/>
    <n v="12818.05"/>
    <n v="14056"/>
    <n v="3204.48"/>
    <n v="9613.57"/>
    <n v="712.08"/>
    <n v="54260"/>
    <n v="89.01"/>
    <s v="P"/>
    <m/>
    <m/>
    <s v=" "/>
    <s v="STL"/>
    <s v="YES"/>
    <s v="TBD"/>
    <s v="Containers"/>
    <x v="1"/>
    <n v="9"/>
    <n v="2021"/>
    <n v="2033"/>
    <n v="2033.75"/>
    <n v="89.014236111111117"/>
    <n v="1068.1708333333333"/>
    <n v="1068.1708333333333"/>
    <n v="2759.4413194443623"/>
    <n v="3827.6121527776959"/>
    <n v="8990.4378472223034"/>
    <s v="No"/>
  </r>
  <r>
    <n v="2111"/>
    <n v="262695"/>
    <s v="P"/>
    <s v="Capitalized"/>
    <s v="1YD REAR LOAD C/W PLASTIC LIDS"/>
    <m/>
    <m/>
    <n v="24"/>
    <m/>
    <n v="0"/>
    <s v="ENVIRONMENTAL METAL WORKS"/>
    <m/>
    <s v="CONTAINERS"/>
    <s v="TBA"/>
    <m/>
    <s v="1 YD"/>
    <s v="FEL/REL/SL Metal"/>
    <d v="2021-09-09T00:00:00"/>
    <d v="2021-09-09T00:00:00"/>
    <s v="2111-21-0044-1"/>
    <n v="1200"/>
    <n v="14050"/>
    <n v="23171.56"/>
    <n v="14056"/>
    <n v="5792.86"/>
    <n v="17378.7"/>
    <n v="1287.28"/>
    <n v="54260"/>
    <n v="160.91"/>
    <s v="P"/>
    <m/>
    <m/>
    <s v=" "/>
    <s v="STL"/>
    <s v="YES"/>
    <s v="TBD"/>
    <s v="Containers"/>
    <x v="1"/>
    <n v="9"/>
    <n v="2021"/>
    <n v="2033"/>
    <n v="2033.75"/>
    <n v="160.91361111111112"/>
    <n v="1930.9633333333336"/>
    <n v="1930.9633333333336"/>
    <n v="4988.3219444442984"/>
    <n v="6919.2852777776316"/>
    <n v="16252.27472222237"/>
    <s v="No"/>
  </r>
  <r>
    <n v="2111"/>
    <n v="262694"/>
    <s v="P"/>
    <s v="Capitalized"/>
    <s v="1.5YD REAR LOAD C/W PLASTIC LIDS"/>
    <m/>
    <m/>
    <n v="12"/>
    <m/>
    <n v="0"/>
    <s v="ENVIRONMENTAL METAL WORKS"/>
    <m/>
    <s v="CONTAINERS"/>
    <s v="TBA"/>
    <m/>
    <s v="1.5 YD"/>
    <s v="FEL/REL/SL Metal"/>
    <d v="2021-09-09T00:00:00"/>
    <d v="2021-09-09T00:00:00"/>
    <s v="2111-21-0044-1"/>
    <n v="1200"/>
    <n v="14050"/>
    <n v="12226.16"/>
    <n v="14056"/>
    <n v="3056.52"/>
    <n v="9169.64"/>
    <n v="679.2"/>
    <n v="54260"/>
    <n v="84.9"/>
    <s v="P"/>
    <m/>
    <m/>
    <s v=" "/>
    <s v="STL"/>
    <s v="YES"/>
    <s v="TBD"/>
    <s v="Containers"/>
    <x v="1"/>
    <n v="9"/>
    <n v="2021"/>
    <n v="2033"/>
    <n v="2033.75"/>
    <n v="84.903888888888886"/>
    <n v="1018.8466666666666"/>
    <n v="1018.8466666666666"/>
    <n v="2632.0205555554785"/>
    <n v="3650.8672222221448"/>
    <n v="8575.292777777855"/>
    <s v="No"/>
  </r>
  <r>
    <n v="2111"/>
    <n v="262693"/>
    <s v="P"/>
    <s v="Capitalized"/>
    <s v="6YD FRONT LOAD CONTAINERS"/>
    <m/>
    <m/>
    <n v="10"/>
    <m/>
    <n v="0"/>
    <s v="RULE STEEL TANKS INC"/>
    <m/>
    <s v="CONTAINERS"/>
    <s v="TBA"/>
    <m/>
    <s v="6 YD"/>
    <s v="FEL/REL/SL Metal"/>
    <d v="2021-07-20T00:00:00"/>
    <d v="2021-07-20T00:00:00"/>
    <s v="2111-21-0041-1"/>
    <n v="1200"/>
    <n v="14050"/>
    <n v="14764.71"/>
    <n v="14056"/>
    <n v="3793.68"/>
    <n v="10971.029999999999"/>
    <n v="820.24"/>
    <n v="54260"/>
    <n v="102.53"/>
    <s v="P"/>
    <m/>
    <m/>
    <s v=" "/>
    <s v="STL"/>
    <s v="YES"/>
    <s v="TBD"/>
    <s v="Containers"/>
    <x v="1"/>
    <n v="7"/>
    <n v="2021"/>
    <n v="2033"/>
    <n v="2033.5833333333333"/>
    <n v="102.53270833333333"/>
    <n v="1230.3924999999999"/>
    <n v="1230.3924999999999"/>
    <n v="3383.5793749999993"/>
    <n v="4613.9718749999993"/>
    <n v="10150.738125"/>
    <s v="No"/>
  </r>
  <r>
    <n v="2111"/>
    <n v="262692"/>
    <s v="P"/>
    <s v="Capitalized"/>
    <s v="6YD FRONT LOAD CARDBOARD CONTAINERS"/>
    <m/>
    <m/>
    <n v="10"/>
    <m/>
    <n v="0"/>
    <s v="RULE STEEL TANKS INC"/>
    <m/>
    <s v="CONTAINERS"/>
    <s v="TBA"/>
    <m/>
    <s v="6 YD"/>
    <s v="FEL/REL/SL Metal"/>
    <d v="2021-07-20T00:00:00"/>
    <d v="2021-07-20T00:00:00"/>
    <s v="2111-21-0041-1"/>
    <n v="1200"/>
    <n v="14050"/>
    <n v="14126.71"/>
    <n v="14056"/>
    <n v="3629.77"/>
    <n v="10496.939999999999"/>
    <n v="784.8"/>
    <n v="54260"/>
    <n v="98.1"/>
    <s v="P"/>
    <m/>
    <m/>
    <s v=" "/>
    <s v="STL"/>
    <s v="YES"/>
    <s v="TBD"/>
    <s v="Containers"/>
    <x v="1"/>
    <n v="7"/>
    <n v="2021"/>
    <n v="2033"/>
    <n v="2033.5833333333333"/>
    <n v="98.102152777777761"/>
    <n v="1177.2258333333332"/>
    <n v="1177.2258333333332"/>
    <n v="3237.3710416666672"/>
    <n v="4414.5968750000002"/>
    <n v="9712.1131249999999"/>
    <s v="No"/>
  </r>
  <r>
    <n v="2111"/>
    <n v="262691"/>
    <s v="P"/>
    <s v="Capitalized"/>
    <s v="2YD REAR LOAD CONTAINERS"/>
    <m/>
    <m/>
    <n v="20"/>
    <m/>
    <n v="0"/>
    <s v="RULE STEEL TANKS INC"/>
    <m/>
    <s v="CONTAINERS"/>
    <s v="TBA"/>
    <m/>
    <s v="2 YD"/>
    <s v="FEL/REL/SL Metal"/>
    <d v="2021-07-20T00:00:00"/>
    <d v="2021-07-20T00:00:00"/>
    <s v="2111-21-0041-1"/>
    <n v="1200"/>
    <n v="14050"/>
    <n v="15560.2"/>
    <n v="14056"/>
    <n v="3998.13"/>
    <n v="11562.07"/>
    <n v="864.48"/>
    <n v="54260"/>
    <n v="108.06"/>
    <s v="P"/>
    <m/>
    <m/>
    <s v=" "/>
    <s v="STL"/>
    <s v="YES"/>
    <s v="TBD"/>
    <s v="Containers"/>
    <x v="1"/>
    <n v="7"/>
    <n v="2021"/>
    <n v="2033"/>
    <n v="2033.5833333333333"/>
    <n v="108.05694444444445"/>
    <n v="1296.6833333333334"/>
    <n v="1296.6833333333334"/>
    <n v="3565.8791666666657"/>
    <n v="4862.5624999999991"/>
    <n v="10697.637500000001"/>
    <s v="No"/>
  </r>
  <r>
    <n v="2111"/>
    <n v="262690"/>
    <s v="P"/>
    <s v="Capitalized"/>
    <s v="1YD REAR LOAD CONTAINERS"/>
    <m/>
    <m/>
    <n v="20"/>
    <m/>
    <n v="0"/>
    <s v="RULE STEEL TANKS INC"/>
    <m/>
    <s v="CONTAINERS"/>
    <s v="TBA"/>
    <m/>
    <s v="1 YD"/>
    <s v="FEL/REL/SL Metal"/>
    <d v="2021-07-20T00:00:00"/>
    <d v="2021-07-20T00:00:00"/>
    <s v="2111-21-0041-1"/>
    <n v="1200"/>
    <n v="14050"/>
    <n v="13557.19"/>
    <n v="14056"/>
    <n v="3483.48"/>
    <n v="10073.710000000001"/>
    <n v="753.2"/>
    <n v="54260"/>
    <n v="94.15"/>
    <s v="P"/>
    <m/>
    <m/>
    <s v=" "/>
    <s v="STL"/>
    <s v="YES"/>
    <s v="TBD"/>
    <s v="Containers"/>
    <x v="1"/>
    <n v="7"/>
    <n v="2021"/>
    <n v="2033"/>
    <n v="2033.5833333333333"/>
    <n v="94.147152777777777"/>
    <n v="1129.7658333333334"/>
    <n v="1129.7658333333334"/>
    <n v="3106.8560416666678"/>
    <n v="4236.6218750000007"/>
    <n v="9320.5681249999998"/>
    <s v="No"/>
  </r>
  <r>
    <n v="2111"/>
    <n v="262689"/>
    <s v="P"/>
    <s v="Capitalized"/>
    <s v="1.5YD REAR LOAD CONTAINERS"/>
    <m/>
    <m/>
    <n v="20"/>
    <m/>
    <n v="0"/>
    <s v="RULE STEEL TANKS INC"/>
    <m/>
    <s v="CONTAINERS"/>
    <s v="TBA"/>
    <m/>
    <s v="1.5 YD"/>
    <s v="FEL/REL/SL Metal"/>
    <d v="2021-07-20T00:00:00"/>
    <d v="2021-07-20T00:00:00"/>
    <s v="2111-21-0041-1"/>
    <n v="1200"/>
    <n v="14050"/>
    <n v="14921.19"/>
    <n v="14056"/>
    <n v="3833.92"/>
    <n v="11087.27"/>
    <n v="828.96"/>
    <n v="54260"/>
    <n v="103.62"/>
    <s v="P"/>
    <m/>
    <m/>
    <s v=" "/>
    <s v="STL"/>
    <s v="YES"/>
    <s v="TBD"/>
    <s v="Containers"/>
    <x v="1"/>
    <n v="7"/>
    <n v="2021"/>
    <n v="2033"/>
    <n v="2033.5833333333333"/>
    <n v="103.61937500000001"/>
    <n v="1243.4325000000001"/>
    <n v="1243.4325000000001"/>
    <n v="3419.4393749999999"/>
    <n v="4662.8718749999998"/>
    <n v="10258.318125000002"/>
    <s v="No"/>
  </r>
  <r>
    <n v="2111"/>
    <n v="260751"/>
    <s v="P"/>
    <s v="Capitalized"/>
    <s v="65GAL MSW CARTS"/>
    <m/>
    <m/>
    <n v="648"/>
    <m/>
    <n v="0"/>
    <s v="REHRIG PACIFIC COMPANY IN"/>
    <m/>
    <s v="CONTAINERS"/>
    <s v="TBA"/>
    <m/>
    <m/>
    <m/>
    <d v="2021-09-06T00:00:00"/>
    <d v="2021-09-06T00:00:00"/>
    <s v="2111-21-0045-1"/>
    <n v="700"/>
    <n v="14050"/>
    <n v="37015.699999999997"/>
    <n v="14056"/>
    <n v="15863.85"/>
    <n v="21151.85"/>
    <n v="3525.28"/>
    <n v="54260"/>
    <n v="440.66"/>
    <s v="P"/>
    <m/>
    <m/>
    <s v=" "/>
    <s v="STL"/>
    <s v="YES"/>
    <s v="TBD"/>
    <s v="Garbage Carts"/>
    <x v="0"/>
    <n v="9"/>
    <n v="2021"/>
    <n v="2028"/>
    <n v="2028.75"/>
    <n v="440.6630952380952"/>
    <n v="5287.9571428571426"/>
    <n v="5287.9571428571426"/>
    <n v="13660.55595238055"/>
    <n v="18948.513095237693"/>
    <n v="18067.186904762304"/>
    <s v="No"/>
  </r>
  <r>
    <n v="2111"/>
    <n v="260750"/>
    <s v="P"/>
    <s v="Capitalized"/>
    <s v="95GAL RECYCLE CARTS"/>
    <m/>
    <m/>
    <n v="351"/>
    <m/>
    <n v="0"/>
    <s v="REHRIG PACIFIC COMPANY IN"/>
    <m/>
    <s v="CONTAINERS"/>
    <s v="TBA"/>
    <m/>
    <m/>
    <m/>
    <d v="2021-08-23T00:00:00"/>
    <d v="2021-08-23T00:00:00"/>
    <s v="2111-21-0045-1"/>
    <n v="700"/>
    <n v="14050"/>
    <n v="22486.46"/>
    <n v="14056"/>
    <n v="9637.08"/>
    <n v="12849.38"/>
    <n v="2141.6"/>
    <n v="54260"/>
    <n v="267.7"/>
    <s v="P"/>
    <m/>
    <m/>
    <s v=" "/>
    <s v="STL"/>
    <s v="YES"/>
    <s v="TBD"/>
    <s v="Recycle Carts"/>
    <x v="5"/>
    <n v="8"/>
    <n v="2021"/>
    <n v="2028"/>
    <n v="2028.6666666666667"/>
    <n v="267.69595238095241"/>
    <n v="3212.3514285714291"/>
    <n v="3212.3514285714291"/>
    <n v="8566.2704761899877"/>
    <n v="11778.621904761418"/>
    <n v="10707.838095238581"/>
    <s v="No"/>
  </r>
  <r>
    <n v="2111"/>
    <n v="260749"/>
    <s v="P"/>
    <s v="Capitalized"/>
    <s v="95GAL MSW CARTS"/>
    <m/>
    <m/>
    <n v="351"/>
    <m/>
    <n v="0"/>
    <s v="REHRIG PACIFIC COMPANY IN"/>
    <m/>
    <s v="CONTAINERS"/>
    <s v="TBA"/>
    <m/>
    <m/>
    <m/>
    <d v="2021-08-23T00:00:00"/>
    <d v="2021-08-23T00:00:00"/>
    <s v="2111-21-0045-1"/>
    <n v="700"/>
    <n v="14050"/>
    <n v="22486.47"/>
    <n v="14056"/>
    <n v="9637.09"/>
    <n v="12849.380000000001"/>
    <n v="2141.6"/>
    <n v="54260"/>
    <n v="267.7"/>
    <s v="P"/>
    <m/>
    <m/>
    <s v=" "/>
    <s v="STL"/>
    <s v="YES"/>
    <s v="TBD"/>
    <s v="Garbage Carts"/>
    <x v="0"/>
    <n v="8"/>
    <n v="2021"/>
    <n v="2028"/>
    <n v="2028.6666666666667"/>
    <n v="267.69607142857143"/>
    <n v="3212.3528571428569"/>
    <n v="3212.3528571428569"/>
    <n v="8566.2742857138001"/>
    <n v="11778.627142856658"/>
    <n v="10707.842857143343"/>
    <s v="No"/>
  </r>
  <r>
    <n v="2111"/>
    <n v="260748"/>
    <s v="P"/>
    <s v="Capitalized"/>
    <s v="95GAL RECYCLE CARTS"/>
    <m/>
    <m/>
    <n v="702"/>
    <m/>
    <n v="0"/>
    <s v="REHRIG PACIFIC COMPANY IN"/>
    <m/>
    <s v="CONTAINERS"/>
    <s v="TBA"/>
    <m/>
    <m/>
    <m/>
    <d v="2021-08-23T00:00:00"/>
    <d v="2021-08-23T00:00:00"/>
    <s v="2111-21-0045-1"/>
    <n v="700"/>
    <n v="14050"/>
    <n v="44972.94"/>
    <n v="14056"/>
    <n v="19274.11"/>
    <n v="25698.83"/>
    <n v="4283.12"/>
    <n v="54260"/>
    <n v="535.39"/>
    <s v="P"/>
    <m/>
    <m/>
    <s v=" "/>
    <s v="STL"/>
    <s v="YES"/>
    <s v="TBD"/>
    <s v="Recycle Carts"/>
    <x v="5"/>
    <n v="8"/>
    <n v="2021"/>
    <n v="2028"/>
    <n v="2028.6666666666667"/>
    <n v="535.39214285714286"/>
    <n v="6424.7057142857138"/>
    <n v="6424.7057142857138"/>
    <n v="17132.5485714276"/>
    <n v="23557.254285713316"/>
    <n v="21415.685714286687"/>
    <s v="No"/>
  </r>
  <r>
    <n v="2111"/>
    <n v="259798"/>
    <n v="252489"/>
    <s v="Capitalized"/>
    <s v="Fuel Island Structural Plans and Civil Design"/>
    <m/>
    <m/>
    <n v="1"/>
    <m/>
    <n v="0"/>
    <s v="SITTS &amp; HILL ENGINEERS IN"/>
    <m/>
    <s v="LAND IMPROVEMENTS"/>
    <s v="TBA"/>
    <m/>
    <m/>
    <m/>
    <d v="2021-05-31T00:00:00"/>
    <d v="2021-05-31T00:00:00"/>
    <s v="2111-21-0035-1"/>
    <n v="1000"/>
    <n v="14010"/>
    <n v="1887.5"/>
    <n v="14016"/>
    <n v="613.45000000000005"/>
    <n v="1274.05"/>
    <n v="125.84"/>
    <n v="57260"/>
    <n v="15.73"/>
    <s v="P"/>
    <m/>
    <m/>
    <s v=" "/>
    <s v="STL"/>
    <s v="YES"/>
    <s v="TBD"/>
    <s v="Fuel Island"/>
    <x v="14"/>
    <n v="5"/>
    <n v="2021"/>
    <n v="2031"/>
    <n v="2031.4166666666667"/>
    <n v="15.729166666666666"/>
    <n v="188.75"/>
    <n v="188.75"/>
    <n v="550.52083333330484"/>
    <n v="739.27083333330484"/>
    <n v="1148.2291666666952"/>
    <s v="No"/>
  </r>
  <r>
    <n v="2111"/>
    <n v="259732"/>
    <s v="P"/>
    <s v="Capitalized"/>
    <s v="2022 Peterbilt ASL Truck"/>
    <m/>
    <m/>
    <n v="1"/>
    <s v="3BPDLK0X5NF111055"/>
    <n v="2022"/>
    <m/>
    <m/>
    <s v="TRUCKS AND TRAILERS"/>
    <s v="TBA"/>
    <s v="Automated Side Loader"/>
    <m/>
    <m/>
    <d v="2021-09-15T00:00:00"/>
    <d v="2021-09-15T00:00:00"/>
    <s v="2111-21-0006"/>
    <n v="1000"/>
    <n v="14040"/>
    <n v="374630.77"/>
    <n v="14046"/>
    <n v="112389.21"/>
    <n v="262241.56"/>
    <n v="24975.360000000001"/>
    <n v="51260"/>
    <n v="3121.92"/>
    <s v="P"/>
    <m/>
    <n v="869"/>
    <s v=" "/>
    <s v="STL"/>
    <s v="YES"/>
    <s v="TBD"/>
    <s v="ASL Garbage Truck"/>
    <x v="2"/>
    <n v="9"/>
    <n v="2021"/>
    <n v="2031"/>
    <n v="2031.75"/>
    <n v="3121.9230833333336"/>
    <n v="37463.077000000005"/>
    <n v="37463.077000000005"/>
    <n v="96779.615583330509"/>
    <n v="134242.6925833305"/>
    <n v="240388.07741666952"/>
    <s v="No"/>
  </r>
  <r>
    <n v="2111"/>
    <n v="259507"/>
    <n v="258058"/>
    <s v="Capitalized"/>
    <s v="Licenses"/>
    <m/>
    <m/>
    <n v="1"/>
    <m/>
    <n v="0"/>
    <s v="WA DOL LIC &amp; REG 31150"/>
    <m/>
    <s v="TRUCKS AND TRAILERS"/>
    <s v="TBA"/>
    <s v="Non-Rolling Stock"/>
    <m/>
    <m/>
    <d v="2021-06-24T00:00:00"/>
    <d v="2021-06-24T00:00:00"/>
    <s v="2111-21-0008-1"/>
    <n v="700"/>
    <n v="14040"/>
    <n v="195.19"/>
    <n v="14046"/>
    <n v="88.28"/>
    <n v="106.91"/>
    <n v="18.559999999999999"/>
    <n v="51260"/>
    <n v="2.3199999999999998"/>
    <s v="P"/>
    <m/>
    <m/>
    <s v=" "/>
    <s v="STL"/>
    <s v="YES"/>
    <s v="TBD"/>
    <s v="Delivery Van"/>
    <x v="3"/>
    <n v="6"/>
    <n v="2021"/>
    <n v="2028"/>
    <n v="2028.5"/>
    <n v="2.323690476190476"/>
    <n v="27.88428571428571"/>
    <n v="27.88428571428571"/>
    <n v="79.005476190474084"/>
    <n v="106.88976190475979"/>
    <n v="88.300238095240204"/>
    <s v="N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99">
  <r>
    <n v="2111"/>
    <n v="434332"/>
    <s v="P"/>
    <s v="Capitalized"/>
    <s v="Truck 633 Transmission Rebuild"/>
    <m/>
    <m/>
    <n v="1"/>
    <s v="1HTWGADT14J025816"/>
    <n v="0"/>
    <m/>
    <m/>
    <s v="TRUCKS AND TRAILERS"/>
    <s v="TBA"/>
    <m/>
    <m/>
    <m/>
    <d v="2024-12-06T00:00:00"/>
    <d v="2024-12-06T00:00:00"/>
    <s v="2111-24-0048-1"/>
    <n v="300"/>
    <n v="14040"/>
    <n v="12896.26"/>
    <n v="14046"/>
    <n v="358.22"/>
    <n v="0"/>
    <n v="12538.04"/>
    <n v="358.22"/>
    <n v="51260"/>
    <n v="358.22"/>
    <n v="0"/>
    <n v="358.22"/>
    <s v="P"/>
    <m/>
    <m/>
    <s v=" "/>
    <s v="Garbage Trucks"/>
    <x v="0"/>
    <n v="12"/>
    <n v="2024"/>
    <n v="2027"/>
    <n v="2028"/>
    <n v="358.22944444444443"/>
    <n v="4298.7533333333331"/>
    <n v="4298.7533333333331"/>
    <n v="0"/>
    <n v="4298.7533333333331"/>
    <n v="8597.506666666668"/>
    <s v="No"/>
  </r>
  <r>
    <n v="2111"/>
    <n v="434309"/>
    <s v="P"/>
    <s v="Capitalized"/>
    <s v="Truck 633 Transmission Rebuild - Freight, Seal and Tax"/>
    <m/>
    <m/>
    <n v="1"/>
    <s v="1HTWGADT14J025816"/>
    <n v="0"/>
    <m/>
    <m/>
    <s v="TRUCKS AND TRAILERS"/>
    <s v="TBA"/>
    <m/>
    <m/>
    <m/>
    <d v="2024-12-06T00:00:00"/>
    <d v="2024-12-06T00:00:00"/>
    <s v="2111-24-0048-1"/>
    <n v="300"/>
    <n v="14040"/>
    <n v="234.28"/>
    <n v="14046"/>
    <n v="6.5"/>
    <n v="0"/>
    <n v="227.78"/>
    <n v="6.5"/>
    <n v="51260"/>
    <n v="6.5"/>
    <n v="0"/>
    <n v="6.5"/>
    <s v="P"/>
    <m/>
    <m/>
    <s v=" "/>
    <s v="Garbage Trucks"/>
    <x v="0"/>
    <n v="12"/>
    <n v="2024"/>
    <n v="2027"/>
    <n v="2028"/>
    <n v="6.5077777777777781"/>
    <n v="78.093333333333334"/>
    <n v="78.093333333333334"/>
    <n v="0"/>
    <n v="78.093333333333334"/>
    <n v="156.18666666666667"/>
    <s v="No"/>
  </r>
  <r>
    <n v="2111"/>
    <n v="433849"/>
    <n v="416840"/>
    <s v="Capitalized"/>
    <s v="Licensing Truck 886"/>
    <m/>
    <m/>
    <n v="1"/>
    <s v="3BPDLK0X8SF693907"/>
    <n v="0"/>
    <m/>
    <m/>
    <s v="TRUCKS AND TRAILERS"/>
    <s v="TBA"/>
    <m/>
    <m/>
    <m/>
    <d v="2024-08-29T00:00:00"/>
    <d v="2024-08-29T00:00:00"/>
    <s v="2111-24-0003-1"/>
    <n v="1000"/>
    <n v="14040"/>
    <n v="983.91"/>
    <n v="14046"/>
    <n v="32.79"/>
    <n v="0"/>
    <n v="951.12"/>
    <n v="32.79"/>
    <n v="51260"/>
    <n v="8.19"/>
    <n v="24.6"/>
    <n v="8.19"/>
    <s v="P"/>
    <m/>
    <m/>
    <s v=" "/>
    <s v="Garbage Trucks"/>
    <x v="0"/>
    <n v="8"/>
    <n v="2024"/>
    <n v="2034"/>
    <n v="2034.6666666666667"/>
    <n v="8.1992499999999993"/>
    <n v="98.390999999999991"/>
    <n v="98.390999999999991"/>
    <n v="0"/>
    <n v="98.390999999999991"/>
    <n v="885.51900000000001"/>
    <s v="No"/>
  </r>
  <r>
    <n v="2111"/>
    <n v="433845"/>
    <s v="P"/>
    <s v="Capitalized"/>
    <s v="2024 Ford F-150 PICKUP TRUCK"/>
    <m/>
    <m/>
    <n v="1"/>
    <s v="1FTEX1KP4RKE68333"/>
    <n v="2024"/>
    <m/>
    <s v="Ford"/>
    <s v="TRUCKS AND TRAILERS"/>
    <s v="PICKUP TRUCK"/>
    <s v="Pickup Truck"/>
    <m/>
    <m/>
    <d v="2024-11-19T00:00:00"/>
    <d v="2024-11-19T00:00:00"/>
    <s v="2111-24-0050-1"/>
    <n v="500"/>
    <n v="14040"/>
    <n v="45387.74"/>
    <n v="14046"/>
    <n v="756.46"/>
    <n v="0"/>
    <n v="44631.28"/>
    <n v="756.46"/>
    <n v="51260"/>
    <n v="756.46"/>
    <n v="0"/>
    <n v="756.46"/>
    <s v="P"/>
    <m/>
    <m/>
    <s v=" "/>
    <s v="Shop Equipment "/>
    <x v="1"/>
    <n v="11"/>
    <n v="2024"/>
    <n v="2029"/>
    <n v="2029.9166666666667"/>
    <n v="756.46233333333328"/>
    <n v="9077.5479999999989"/>
    <n v="9077.5479999999989"/>
    <n v="0"/>
    <n v="9077.5479999999989"/>
    <n v="36310.191999999995"/>
    <s v="No"/>
  </r>
  <r>
    <n v="2111"/>
    <n v="433840"/>
    <n v="416835"/>
    <s v="Capitalized"/>
    <s v="Tablet Mount and Charger"/>
    <m/>
    <m/>
    <n v="1"/>
    <s v="3BPDLK0X6SF693906"/>
    <n v="0"/>
    <m/>
    <m/>
    <s v="TRUCKS AND TRAILERS"/>
    <s v="AUTOMATED FRONT LOADER"/>
    <s v="Automated Front Loader"/>
    <m/>
    <m/>
    <d v="2024-11-27T00:00:00"/>
    <d v="2024-11-27T00:00:00"/>
    <s v="2111-24-0002-1"/>
    <n v="100"/>
    <n v="14040"/>
    <n v="405.45"/>
    <n v="14046"/>
    <n v="33.78"/>
    <n v="0"/>
    <n v="371.66999999999996"/>
    <n v="33.78"/>
    <n v="51260"/>
    <n v="33.78"/>
    <n v="0"/>
    <n v="33.78"/>
    <s v="P"/>
    <m/>
    <m/>
    <s v=" "/>
    <s v="Garbage Trucks"/>
    <x v="0"/>
    <n v="11"/>
    <n v="2024"/>
    <n v="2025"/>
    <n v="2025.9166666666667"/>
    <n v="33.787500000000001"/>
    <n v="405.45000000000005"/>
    <n v="405.45000000000005"/>
    <n v="0"/>
    <n v="405.45000000000005"/>
    <n v="0"/>
    <s v="No"/>
  </r>
  <r>
    <n v="2111"/>
    <n v="433826"/>
    <n v="409083"/>
    <s v="Capitalized"/>
    <s v="Tablet Mount and Charger - Truck 884"/>
    <m/>
    <m/>
    <n v="1"/>
    <s v="3BPDLK0X8RF118118"/>
    <n v="0"/>
    <m/>
    <m/>
    <s v="TRUCKS AND TRAILERS"/>
    <s v="AUTOMATED FRONT LOADER"/>
    <s v="Automated Front Loader"/>
    <m/>
    <m/>
    <d v="2024-08-23T00:00:00"/>
    <d v="2024-08-23T00:00:00"/>
    <s v="2111-24-0005-1"/>
    <n v="100"/>
    <n v="14040"/>
    <n v="405.45"/>
    <n v="14046"/>
    <n v="135.15"/>
    <n v="0"/>
    <n v="270.29999999999995"/>
    <n v="135.15"/>
    <n v="51260"/>
    <n v="33.78"/>
    <n v="101.37"/>
    <n v="33.78"/>
    <s v="P"/>
    <m/>
    <m/>
    <s v=" "/>
    <s v="Garbage Trucks"/>
    <x v="0"/>
    <n v="8"/>
    <n v="2024"/>
    <n v="2025"/>
    <n v="2025.6666666666667"/>
    <n v="33.787500000000001"/>
    <n v="405.45000000000005"/>
    <n v="405.45000000000005"/>
    <n v="0"/>
    <n v="405.45000000000005"/>
    <n v="0"/>
    <s v="No"/>
  </r>
  <r>
    <n v="2111"/>
    <n v="433825"/>
    <n v="421636"/>
    <s v="Capitalized"/>
    <s v="Tablet Mount and Charger - Truck 306"/>
    <m/>
    <m/>
    <n v="1"/>
    <s v="JALE5W167P7307856"/>
    <n v="0"/>
    <m/>
    <m/>
    <s v="TRUCKS AND TRAILERS"/>
    <s v="REAR LOADER"/>
    <s v="Rear Loader"/>
    <m/>
    <m/>
    <d v="2024-08-23T00:00:00"/>
    <d v="2024-08-23T00:00:00"/>
    <s v="2111-24-0007-1"/>
    <n v="100"/>
    <n v="14040"/>
    <n v="405.45"/>
    <n v="14046"/>
    <n v="135.15"/>
    <n v="0"/>
    <n v="270.29999999999995"/>
    <n v="135.15"/>
    <n v="51260"/>
    <n v="33.78"/>
    <n v="101.37"/>
    <n v="33.78"/>
    <s v="P"/>
    <m/>
    <m/>
    <s v=" "/>
    <s v="Delivery Trucks"/>
    <x v="2"/>
    <n v="8"/>
    <n v="2024"/>
    <n v="2025"/>
    <n v="2025.6666666666667"/>
    <n v="33.787500000000001"/>
    <n v="405.45000000000005"/>
    <n v="405.45000000000005"/>
    <n v="0"/>
    <n v="405.45000000000005"/>
    <n v="0"/>
    <s v="No"/>
  </r>
  <r>
    <n v="2111"/>
    <n v="433822"/>
    <n v="416840"/>
    <s v="Capitalized"/>
    <s v="Tablet Mount and Charger - Truck 887"/>
    <m/>
    <m/>
    <n v="1"/>
    <s v="3BPDLK0X8SF693907"/>
    <n v="0"/>
    <m/>
    <m/>
    <s v="TRUCKS AND TRAILERS"/>
    <s v="AUTOMATED FRONT LOADER"/>
    <s v="Automated Front Loader"/>
    <m/>
    <m/>
    <d v="2024-11-27T00:00:00"/>
    <d v="2024-11-27T00:00:00"/>
    <s v="2111-24-0003-1"/>
    <n v="100"/>
    <n v="14040"/>
    <n v="405.45"/>
    <n v="14046"/>
    <n v="33.78"/>
    <n v="0"/>
    <n v="371.66999999999996"/>
    <n v="33.78"/>
    <n v="51260"/>
    <n v="33.78"/>
    <n v="0"/>
    <n v="33.78"/>
    <s v="P"/>
    <m/>
    <m/>
    <s v=" "/>
    <s v="Garbage Trucks"/>
    <x v="0"/>
    <n v="11"/>
    <n v="2024"/>
    <n v="2025"/>
    <n v="2025.9166666666667"/>
    <n v="33.787500000000001"/>
    <n v="405.45000000000005"/>
    <n v="405.45000000000005"/>
    <n v="0"/>
    <n v="405.45000000000005"/>
    <n v="0"/>
    <s v="No"/>
  </r>
  <r>
    <n v="2111"/>
    <n v="433820"/>
    <n v="412943"/>
    <s v="Capitalized"/>
    <s v="Tablet Mount and Charger - Truck 885"/>
    <m/>
    <m/>
    <n v="1"/>
    <s v="3BPDLK0X4SF693905"/>
    <n v="0"/>
    <m/>
    <m/>
    <s v="TRUCKS AND TRAILERS"/>
    <s v="AUTOMATED FRONT LOADER"/>
    <s v="Automated Front Loader"/>
    <m/>
    <m/>
    <d v="2024-08-23T00:00:00"/>
    <d v="2024-08-23T00:00:00"/>
    <s v="2111-24-0006-1"/>
    <n v="100"/>
    <n v="14040"/>
    <n v="405.45"/>
    <n v="14046"/>
    <n v="135.15"/>
    <n v="0"/>
    <n v="270.29999999999995"/>
    <n v="135.15"/>
    <n v="51260"/>
    <n v="33.78"/>
    <n v="101.37"/>
    <n v="33.78"/>
    <s v="P"/>
    <m/>
    <m/>
    <s v=" "/>
    <s v="Garbage Trucks"/>
    <x v="0"/>
    <n v="8"/>
    <n v="2024"/>
    <n v="2025"/>
    <n v="2025.6666666666667"/>
    <n v="33.787500000000001"/>
    <n v="405.45000000000005"/>
    <n v="405.45000000000005"/>
    <n v="0"/>
    <n v="405.45000000000005"/>
    <n v="0"/>
    <s v="No"/>
  </r>
  <r>
    <n v="2111"/>
    <n v="433532"/>
    <s v="P"/>
    <s v="Capitalized"/>
    <s v="95 Gal Recycle Carts"/>
    <m/>
    <m/>
    <n v="702"/>
    <m/>
    <n v="0"/>
    <m/>
    <m/>
    <s v="CONTAINERS"/>
    <s v="CARTS PLASTIC"/>
    <m/>
    <s v="95 Gal"/>
    <s v="Carts/Toters"/>
    <d v="2024-10-02T00:00:00"/>
    <d v="2024-10-02T00:00:00"/>
    <s v="2111-24-0038-1"/>
    <n v="700"/>
    <n v="14050"/>
    <n v="39178.400000000001"/>
    <n v="14056"/>
    <n v="1399.22"/>
    <n v="0"/>
    <n v="37779.18"/>
    <n v="1399.22"/>
    <n v="54260"/>
    <n v="466.4"/>
    <n v="932.82"/>
    <n v="466.4"/>
    <s v="P"/>
    <m/>
    <m/>
    <s v=" "/>
    <s v="Recycling (shared)"/>
    <x v="3"/>
    <n v="10"/>
    <n v="2024"/>
    <n v="2031"/>
    <n v="2031.8333333333333"/>
    <n v="466.40952380952382"/>
    <n v="5596.9142857142861"/>
    <n v="5596.9142857142861"/>
    <n v="0"/>
    <n v="5596.9142857142861"/>
    <n v="33581.485714285714"/>
    <s v="No"/>
  </r>
  <r>
    <n v="2111"/>
    <n v="433531"/>
    <s v="P"/>
    <s v="Capitalized"/>
    <s v="95 Gal YW Carts"/>
    <m/>
    <m/>
    <n v="351"/>
    <m/>
    <n v="0"/>
    <m/>
    <m/>
    <s v="CONTAINERS"/>
    <s v="CARTS PLASTIC"/>
    <m/>
    <s v="95 Gal"/>
    <s v="Carts/Toters"/>
    <d v="2024-10-02T00:00:00"/>
    <d v="2024-10-02T00:00:00"/>
    <s v="2111-24-0038-1"/>
    <n v="700"/>
    <n v="14050"/>
    <n v="19589.2"/>
    <n v="14056"/>
    <n v="699.61"/>
    <n v="0"/>
    <n v="18889.59"/>
    <n v="699.61"/>
    <n v="54260"/>
    <n v="233.21"/>
    <n v="466.4"/>
    <n v="233.21"/>
    <s v="P"/>
    <m/>
    <m/>
    <s v=" "/>
    <s v="Yard waste"/>
    <x v="4"/>
    <n v="10"/>
    <n v="2024"/>
    <n v="2031"/>
    <n v="2031.8333333333333"/>
    <n v="233.20476190476191"/>
    <n v="2798.457142857143"/>
    <n v="2798.457142857143"/>
    <n v="0"/>
    <n v="2798.457142857143"/>
    <n v="16790.742857142857"/>
    <s v="No"/>
  </r>
  <r>
    <n v="2111"/>
    <n v="432500"/>
    <s v="P"/>
    <s v="Capitalized"/>
    <s v="2 YD FEL Containers"/>
    <m/>
    <m/>
    <n v="62"/>
    <m/>
    <n v="0"/>
    <m/>
    <m/>
    <s v="CONTAINERS"/>
    <s v="REL METAL"/>
    <m/>
    <s v="2 YD"/>
    <s v="FEL/REL/SL Metal"/>
    <d v="2024-11-21T00:00:00"/>
    <d v="2024-11-21T00:00:00"/>
    <s v="2111-24-0043-1"/>
    <n v="1200"/>
    <n v="14050"/>
    <n v="42965.45"/>
    <n v="14056"/>
    <n v="298.37"/>
    <n v="0"/>
    <n v="42667.079999999994"/>
    <n v="298.37"/>
    <n v="54260"/>
    <n v="298.37"/>
    <n v="0"/>
    <n v="298.37"/>
    <s v="P"/>
    <m/>
    <m/>
    <s v=" "/>
    <s v="Containers"/>
    <x v="5"/>
    <n v="11"/>
    <n v="2024"/>
    <n v="2036"/>
    <n v="2036.9166666666667"/>
    <n v="298.37118055555555"/>
    <n v="3580.4541666666664"/>
    <n v="3580.4541666666664"/>
    <n v="0"/>
    <n v="3580.4541666666664"/>
    <n v="39384.995833333334"/>
    <s v="No"/>
  </r>
  <r>
    <n v="2111"/>
    <n v="432472"/>
    <s v="P"/>
    <s v="Capitalized"/>
    <s v="4 YD FEL Containers"/>
    <m/>
    <m/>
    <n v="20"/>
    <m/>
    <n v="0"/>
    <m/>
    <m/>
    <s v="CONTAINERS"/>
    <s v="FEL METAL"/>
    <m/>
    <s v="4 YD"/>
    <s v="FEL/REL/SL Metal"/>
    <d v="2024-11-13T00:00:00"/>
    <d v="2024-11-13T00:00:00"/>
    <s v="2111-24-0043-2"/>
    <n v="1200"/>
    <n v="14050"/>
    <n v="16603.8"/>
    <n v="14056"/>
    <n v="230.6"/>
    <n v="0"/>
    <n v="16373.199999999999"/>
    <n v="230.6"/>
    <n v="54260"/>
    <n v="115.3"/>
    <n v="115.3"/>
    <n v="115.3"/>
    <s v="P"/>
    <m/>
    <m/>
    <s v=" "/>
    <s v="Containers"/>
    <x v="5"/>
    <n v="11"/>
    <n v="2024"/>
    <n v="2036"/>
    <n v="2036.9166666666667"/>
    <n v="115.30416666666666"/>
    <n v="1383.6499999999999"/>
    <n v="1383.6499999999999"/>
    <n v="0"/>
    <n v="1383.6499999999999"/>
    <n v="15220.15"/>
    <s v="No"/>
  </r>
  <r>
    <n v="2111"/>
    <n v="432471"/>
    <s v="P"/>
    <s v="Capitalized"/>
    <s v="6 YD FL Container"/>
    <m/>
    <m/>
    <n v="34"/>
    <m/>
    <n v="0"/>
    <m/>
    <m/>
    <s v="CONTAINERS"/>
    <s v="FEL METAL"/>
    <m/>
    <s v="6 YD"/>
    <s v="FEL/REL/SL Metal"/>
    <d v="2024-11-13T00:00:00"/>
    <d v="2024-11-13T00:00:00"/>
    <s v="2111-24-0043-2"/>
    <n v="1200"/>
    <n v="14050"/>
    <n v="38945.07"/>
    <n v="14056"/>
    <n v="540.9"/>
    <n v="0"/>
    <n v="38404.17"/>
    <n v="540.9"/>
    <n v="54260"/>
    <n v="270.45"/>
    <n v="270.45"/>
    <n v="270.45"/>
    <s v="P"/>
    <m/>
    <m/>
    <s v=" "/>
    <s v="Containers"/>
    <x v="5"/>
    <n v="11"/>
    <n v="2024"/>
    <n v="2036"/>
    <n v="2036.9166666666667"/>
    <n v="270.45187500000003"/>
    <n v="3245.4225000000006"/>
    <n v="3245.4225000000006"/>
    <n v="0"/>
    <n v="3245.4225000000006"/>
    <n v="35699.647499999999"/>
    <s v="No"/>
  </r>
  <r>
    <n v="2111"/>
    <n v="432193"/>
    <n v="421636"/>
    <s v="Capitalized"/>
    <s v="New REL Isuzu - Registration &amp; Tax"/>
    <m/>
    <m/>
    <n v="1"/>
    <s v="JALE5W167P7307856"/>
    <n v="0"/>
    <m/>
    <m/>
    <s v="TRUCKS AND TRAILERS"/>
    <s v="REAR LOADER"/>
    <s v="Rear Loader"/>
    <m/>
    <m/>
    <d v="2024-09-04T00:00:00"/>
    <d v="2024-09-04T00:00:00"/>
    <s v="2111-24-0007-1"/>
    <n v="800"/>
    <n v="14040"/>
    <n v="5150"/>
    <n v="14046"/>
    <n v="214.6"/>
    <n v="0"/>
    <n v="4935.3999999999996"/>
    <n v="214.6"/>
    <n v="51260"/>
    <n v="53.65"/>
    <n v="160.94999999999999"/>
    <n v="53.65"/>
    <s v="P"/>
    <m/>
    <m/>
    <s v=" "/>
    <s v="Garbage Trucks"/>
    <x v="0"/>
    <n v="9"/>
    <n v="2024"/>
    <n v="2032"/>
    <n v="2032.75"/>
    <n v="53.645833333333336"/>
    <n v="643.75"/>
    <n v="643.75"/>
    <n v="0"/>
    <n v="643.75"/>
    <n v="4506.25"/>
    <s v="No"/>
  </r>
  <r>
    <n v="2111"/>
    <n v="432029"/>
    <n v="421636"/>
    <s v="Capitalized"/>
    <s v="New REL Isuzu - Registration &amp; Tax"/>
    <m/>
    <m/>
    <n v="1"/>
    <s v="JALE5W167P7307856"/>
    <n v="0"/>
    <m/>
    <m/>
    <s v="TRUCKS AND TRAILERS"/>
    <s v="REAR LOADER"/>
    <s v="Rear Loader"/>
    <m/>
    <m/>
    <d v="2024-09-04T00:00:00"/>
    <d v="2024-09-04T00:00:00"/>
    <s v="2111-24-0007-1"/>
    <n v="800"/>
    <n v="14040"/>
    <n v="5150"/>
    <n v="14046"/>
    <n v="214.6"/>
    <n v="0"/>
    <n v="4935.3999999999996"/>
    <n v="214.6"/>
    <n v="51260"/>
    <n v="53.65"/>
    <n v="160.94999999999999"/>
    <n v="53.65"/>
    <s v="P"/>
    <m/>
    <m/>
    <s v=" "/>
    <s v="Garbage Trucks"/>
    <x v="0"/>
    <n v="9"/>
    <n v="2024"/>
    <n v="2032"/>
    <n v="2032.75"/>
    <n v="53.645833333333336"/>
    <n v="643.75"/>
    <n v="643.75"/>
    <n v="0"/>
    <n v="643.75"/>
    <n v="4506.25"/>
    <s v="No"/>
  </r>
  <r>
    <n v="2111"/>
    <n v="431825"/>
    <n v="421636"/>
    <s v="Capitalized"/>
    <s v="New REL Isuzu - Registration &amp; Tax"/>
    <m/>
    <m/>
    <n v="1"/>
    <s v="JALE5W167P7307856"/>
    <n v="0"/>
    <m/>
    <m/>
    <s v="TRUCKS AND TRAILERS"/>
    <s v="REAR LOADER"/>
    <s v="Rear Loader"/>
    <m/>
    <m/>
    <d v="2024-09-04T00:00:00"/>
    <d v="2024-09-04T00:00:00"/>
    <s v="2111-24-0007-1"/>
    <n v="800"/>
    <n v="14040"/>
    <n v="2333.19"/>
    <n v="14046"/>
    <n v="97.2"/>
    <n v="0"/>
    <n v="2235.9900000000002"/>
    <n v="97.2"/>
    <n v="51260"/>
    <n v="24.3"/>
    <n v="72.900000000000006"/>
    <n v="24.3"/>
    <s v="P"/>
    <m/>
    <m/>
    <s v=" "/>
    <s v="Garbage Trucks"/>
    <x v="0"/>
    <n v="9"/>
    <n v="2024"/>
    <n v="2032"/>
    <n v="2032.75"/>
    <n v="24.304062500000001"/>
    <n v="291.64875000000001"/>
    <n v="291.64875000000001"/>
    <n v="0"/>
    <n v="291.64875000000001"/>
    <n v="2041.54125"/>
    <s v="No"/>
  </r>
  <r>
    <n v="2111"/>
    <n v="430834"/>
    <n v="416840"/>
    <s v="Capitalized"/>
    <s v="2025 Peterbilt ASL Truck- Body"/>
    <m/>
    <m/>
    <n v="1"/>
    <s v="3BPDLK0X8SF693907"/>
    <n v="2025"/>
    <m/>
    <s v="Peterbilt"/>
    <s v="TRUCKS AND TRAILERS"/>
    <s v="AUTOMATED SIDE LOADER"/>
    <s v="Automated Side Loader"/>
    <m/>
    <m/>
    <d v="2024-11-27T00:00:00"/>
    <d v="2024-11-27T00:00:00"/>
    <s v="2111-24-0003-1"/>
    <n v="1000"/>
    <n v="14040"/>
    <n v="210636.85"/>
    <n v="14046"/>
    <n v="1755.3"/>
    <n v="0"/>
    <n v="208881.55000000002"/>
    <n v="1755.3"/>
    <n v="51260"/>
    <n v="1755.3"/>
    <n v="0"/>
    <n v="1755.3"/>
    <s v="P"/>
    <m/>
    <m/>
    <s v=" "/>
    <s v="Garbage Trucks"/>
    <x v="0"/>
    <n v="11"/>
    <n v="2024"/>
    <n v="2034"/>
    <n v="2034.9166666666667"/>
    <n v="1755.3070833333334"/>
    <n v="21063.685000000001"/>
    <n v="21063.685000000001"/>
    <n v="0"/>
    <n v="21063.685000000001"/>
    <n v="189573.16500000001"/>
    <s v="No"/>
  </r>
  <r>
    <n v="2111"/>
    <n v="430833"/>
    <n v="416835"/>
    <s v="Capitalized"/>
    <s v="2025 Peterbilt ASL Truck- Body"/>
    <m/>
    <m/>
    <n v="1"/>
    <s v="3BPDLK0X6SF693906"/>
    <n v="2025"/>
    <m/>
    <s v="Peterbilt"/>
    <s v="TRUCKS AND TRAILERS"/>
    <s v="AUTOMATED SIDE LOADER"/>
    <s v="Automated Side Loader"/>
    <m/>
    <m/>
    <d v="2024-11-27T00:00:00"/>
    <d v="2024-11-27T00:00:00"/>
    <s v="2111-24-0002-1"/>
    <n v="1000"/>
    <n v="14040"/>
    <n v="210636.85"/>
    <n v="14046"/>
    <n v="1755.3"/>
    <n v="0"/>
    <n v="208881.55000000002"/>
    <n v="1755.3"/>
    <n v="51260"/>
    <n v="1755.3"/>
    <n v="0"/>
    <n v="1755.3"/>
    <s v="P"/>
    <m/>
    <m/>
    <s v=" "/>
    <s v="Garbage Trucks"/>
    <x v="0"/>
    <n v="11"/>
    <n v="2024"/>
    <n v="2034"/>
    <n v="2034.9166666666667"/>
    <n v="1755.3070833333334"/>
    <n v="21063.685000000001"/>
    <n v="21063.685000000001"/>
    <n v="0"/>
    <n v="21063.685000000001"/>
    <n v="189573.16500000001"/>
    <s v="No"/>
  </r>
  <r>
    <n v="2111"/>
    <n v="430260"/>
    <n v="423131"/>
    <s v="Capitalized"/>
    <s v="Murrey Security Camera"/>
    <m/>
    <m/>
    <n v="1"/>
    <m/>
    <n v="0"/>
    <m/>
    <m/>
    <s v="SHOP EQUIPMENT"/>
    <s v="SECURITY CAMS"/>
    <m/>
    <m/>
    <m/>
    <d v="2024-10-15T00:00:00"/>
    <d v="2024-10-15T00:00:00"/>
    <s v="2111-24-0036-1"/>
    <n v="500"/>
    <n v="14070"/>
    <n v="18431.29"/>
    <n v="14076"/>
    <n v="921.56"/>
    <n v="0"/>
    <n v="17509.73"/>
    <n v="921.56"/>
    <n v="51260"/>
    <n v="307.18"/>
    <n v="614.38"/>
    <n v="307.18"/>
    <s v="P"/>
    <m/>
    <m/>
    <s v=" "/>
    <s v="Building"/>
    <x v="6"/>
    <n v="10"/>
    <n v="2024"/>
    <n v="2029"/>
    <n v="2029.8333333333333"/>
    <n v="307.18816666666669"/>
    <n v="3686.2580000000003"/>
    <n v="3686.2580000000003"/>
    <n v="0"/>
    <n v="3686.2580000000003"/>
    <n v="14745.032000000001"/>
    <s v="No"/>
  </r>
  <r>
    <n v="2111"/>
    <n v="429435"/>
    <s v="P"/>
    <s v="Capitalized"/>
    <s v="95 Gal YW Carts"/>
    <m/>
    <m/>
    <n v="1053"/>
    <m/>
    <n v="0"/>
    <m/>
    <m/>
    <s v="CONTAINERS"/>
    <s v="CARTS PLASTIC"/>
    <m/>
    <s v="95 Gal"/>
    <s v="Carts/Toters"/>
    <d v="2024-11-12T00:00:00"/>
    <d v="2024-11-12T00:00:00"/>
    <s v="2111-24-0044-1"/>
    <n v="700"/>
    <n v="14050"/>
    <n v="58767.6"/>
    <n v="14056"/>
    <n v="0"/>
    <n v="58767.6"/>
    <n v="0"/>
    <n v="54260"/>
    <n v="0"/>
    <s v="P"/>
    <m/>
    <m/>
    <s v=" "/>
    <s v="STL"/>
    <s v="YES"/>
    <s v="TBD"/>
    <s v="Yard waste"/>
    <x v="4"/>
    <n v="11"/>
    <n v="2024"/>
    <n v="2031"/>
    <n v="2031.9166666666667"/>
    <n v="699.61428571428576"/>
    <n v="8395.3714285714286"/>
    <n v="8395.3714285714286"/>
    <n v="0"/>
    <n v="8395.3714285714286"/>
    <n v="50372.228571428568"/>
    <s v="No"/>
  </r>
  <r>
    <n v="2111"/>
    <n v="429428"/>
    <s v="P"/>
    <s v="Capitalized"/>
    <s v="95 Gal Recycle Carts"/>
    <m/>
    <m/>
    <n v="351"/>
    <m/>
    <n v="0"/>
    <m/>
    <m/>
    <s v="CONTAINERS"/>
    <s v="CARTS PLASTIC"/>
    <m/>
    <s v="95 Gal"/>
    <s v="Carts/Toters"/>
    <d v="2024-11-12T00:00:00"/>
    <d v="2024-11-12T00:00:00"/>
    <s v="2111-24-0044-1"/>
    <n v="700"/>
    <n v="14050"/>
    <n v="19589.2"/>
    <n v="14056"/>
    <n v="0"/>
    <n v="19589.2"/>
    <n v="0"/>
    <n v="54260"/>
    <n v="0"/>
    <s v="P"/>
    <m/>
    <m/>
    <s v=" "/>
    <s v="STL"/>
    <s v="YES"/>
    <s v="TBD"/>
    <s v="Recycling (shared)"/>
    <x v="3"/>
    <n v="11"/>
    <n v="2024"/>
    <n v="2031"/>
    <n v="2031.9166666666667"/>
    <n v="233.20476190476191"/>
    <n v="2798.457142857143"/>
    <n v="2798.457142857143"/>
    <n v="0"/>
    <n v="2798.457142857143"/>
    <n v="16790.742857142857"/>
    <s v="No"/>
  </r>
  <r>
    <n v="2111"/>
    <n v="429371"/>
    <s v="P"/>
    <s v="Capitalized"/>
    <s v="65 Gal MSW Carts"/>
    <m/>
    <m/>
    <n v="936"/>
    <m/>
    <n v="0"/>
    <m/>
    <m/>
    <s v="CONTAINERS"/>
    <s v="CARTS PLASTIC"/>
    <m/>
    <s v="65 Gal"/>
    <s v="Carts/Toters"/>
    <d v="2024-09-30T00:00:00"/>
    <d v="2024-09-30T00:00:00"/>
    <s v="2111-24-0038-1"/>
    <n v="700"/>
    <n v="14050"/>
    <n v="46786.33"/>
    <n v="14056"/>
    <n v="0"/>
    <n v="46786.33"/>
    <n v="0"/>
    <n v="54260"/>
    <n v="0"/>
    <s v="P"/>
    <m/>
    <m/>
    <s v=" "/>
    <s v="STL"/>
    <s v="YES"/>
    <s v="TBD"/>
    <s v="Garbage Carts"/>
    <x v="7"/>
    <n v="9"/>
    <n v="2024"/>
    <n v="2031"/>
    <n v="2031.75"/>
    <n v="556.98011904761904"/>
    <n v="6683.761428571428"/>
    <n v="6683.761428571428"/>
    <n v="0"/>
    <n v="6683.761428571428"/>
    <n v="40102.568571428572"/>
    <s v="No"/>
  </r>
  <r>
    <n v="2111"/>
    <n v="429370"/>
    <s v="P"/>
    <s v="Capitalized"/>
    <s v="65 Gal MSW Carts"/>
    <m/>
    <m/>
    <n v="816"/>
    <m/>
    <n v="0"/>
    <m/>
    <m/>
    <s v="CONTAINERS"/>
    <s v="CARTS PLASTIC"/>
    <m/>
    <s v="65 Gal"/>
    <s v="Carts/Toters"/>
    <d v="2024-11-12T00:00:00"/>
    <d v="2024-11-12T00:00:00"/>
    <s v="2111-24-0044-1"/>
    <n v="700"/>
    <n v="14050"/>
    <n v="42477.11"/>
    <n v="14056"/>
    <n v="0"/>
    <n v="42477.11"/>
    <n v="0"/>
    <n v="54260"/>
    <n v="0"/>
    <s v="P"/>
    <m/>
    <m/>
    <s v=" "/>
    <s v="STL"/>
    <s v="YES"/>
    <s v="TBD"/>
    <s v="Garbage Carts"/>
    <x v="7"/>
    <n v="11"/>
    <n v="2024"/>
    <n v="2031"/>
    <n v="2031.9166666666667"/>
    <n v="505.67988095238093"/>
    <n v="6068.1585714285711"/>
    <n v="6068.1585714285711"/>
    <n v="0"/>
    <n v="6068.1585714285711"/>
    <n v="36408.951428571432"/>
    <s v="No"/>
  </r>
  <r>
    <n v="2111"/>
    <n v="429291"/>
    <s v="P"/>
    <s v="Capitalized"/>
    <s v="20 Gallon Inserts"/>
    <m/>
    <m/>
    <n v="200"/>
    <m/>
    <n v="0"/>
    <m/>
    <m/>
    <s v="CONTAINERS"/>
    <s v="CARTS PLASTIC"/>
    <m/>
    <s v="21 Gal"/>
    <s v="Carts/Toters"/>
    <d v="2024-10-25T00:00:00"/>
    <d v="2024-10-25T00:00:00"/>
    <s v="2111-24-0041-1"/>
    <n v="700"/>
    <n v="14050"/>
    <n v="6521.22"/>
    <n v="14056"/>
    <n v="0"/>
    <n v="6521.22"/>
    <n v="0"/>
    <n v="54260"/>
    <n v="0"/>
    <s v="P"/>
    <m/>
    <m/>
    <s v=" "/>
    <s v="STL"/>
    <s v="YES"/>
    <s v="TBD"/>
    <s v="Garbage Trucks"/>
    <x v="0"/>
    <n v="10"/>
    <n v="2024"/>
    <n v="2031"/>
    <n v="2031.8333333333333"/>
    <n v="77.633571428571429"/>
    <n v="931.60285714285715"/>
    <n v="931.60285714285715"/>
    <n v="0"/>
    <n v="931.60285714285715"/>
    <n v="5589.6171428571433"/>
    <s v="No"/>
  </r>
  <r>
    <n v="2111"/>
    <n v="429194"/>
    <n v="409083"/>
    <s v="Capitalized"/>
    <s v="Registration/Tax"/>
    <m/>
    <m/>
    <n v="1"/>
    <s v="3BPDLK0X8RF118118"/>
    <n v="0"/>
    <m/>
    <m/>
    <s v="TRUCKS AND TRAILERS"/>
    <s v="TBA"/>
    <m/>
    <m/>
    <m/>
    <d v="2024-08-29T00:00:00"/>
    <d v="2024-08-29T00:00:00"/>
    <s v="2111-24-0005-1"/>
    <n v="1000"/>
    <n v="14040"/>
    <n v="4484.78"/>
    <n v="14046"/>
    <n v="0"/>
    <n v="4484.78"/>
    <n v="0"/>
    <n v="51260"/>
    <n v="0"/>
    <s v="P"/>
    <m/>
    <m/>
    <s v=" "/>
    <s v="STL"/>
    <s v="YES"/>
    <s v="TBD"/>
    <s v="Garbage Trucks"/>
    <x v="0"/>
    <n v="8"/>
    <n v="2024"/>
    <n v="2034"/>
    <n v="2034.6666666666667"/>
    <n v="37.373166666666663"/>
    <n v="448.47799999999995"/>
    <n v="448.47799999999995"/>
    <n v="0"/>
    <n v="448.47799999999995"/>
    <n v="4036.3019999999997"/>
    <s v="No"/>
  </r>
  <r>
    <n v="2111"/>
    <n v="429193"/>
    <n v="409083"/>
    <s v="Capitalized"/>
    <s v="Registration/Tax"/>
    <m/>
    <m/>
    <n v="1"/>
    <s v="3BPDLK0X8RF118118"/>
    <n v="0"/>
    <m/>
    <m/>
    <s v="TRUCKS AND TRAILERS"/>
    <s v="TBA"/>
    <m/>
    <m/>
    <m/>
    <d v="2024-08-29T00:00:00"/>
    <d v="2024-08-29T00:00:00"/>
    <s v="2111-24-0005-1"/>
    <n v="1000"/>
    <n v="14040"/>
    <n v="4484.78"/>
    <n v="14046"/>
    <n v="0"/>
    <n v="4484.78"/>
    <n v="0"/>
    <n v="51260"/>
    <n v="0"/>
    <s v="P"/>
    <m/>
    <m/>
    <s v=" "/>
    <s v="STL"/>
    <s v="YES"/>
    <s v="TBD"/>
    <s v="Garbage Trucks"/>
    <x v="0"/>
    <n v="8"/>
    <n v="2024"/>
    <n v="2034"/>
    <n v="2034.6666666666667"/>
    <n v="37.373166666666663"/>
    <n v="448.47799999999995"/>
    <n v="448.47799999999995"/>
    <n v="0"/>
    <n v="448.47799999999995"/>
    <n v="4036.3019999999997"/>
    <s v="No"/>
  </r>
  <r>
    <n v="2111"/>
    <n v="429192"/>
    <n v="409083"/>
    <s v="Capitalized"/>
    <s v="Registration/Tax"/>
    <m/>
    <m/>
    <n v="1"/>
    <s v="3BPDLK0X8RF118118"/>
    <n v="0"/>
    <m/>
    <m/>
    <s v="TRUCKS AND TRAILERS"/>
    <s v="TBA"/>
    <m/>
    <m/>
    <m/>
    <d v="2024-08-29T00:00:00"/>
    <d v="2024-08-29T00:00:00"/>
    <s v="2111-24-0005-1"/>
    <n v="1000"/>
    <n v="14040"/>
    <n v="4484.78"/>
    <n v="14046"/>
    <n v="0"/>
    <n v="4484.78"/>
    <n v="0"/>
    <n v="51260"/>
    <n v="0"/>
    <s v="P"/>
    <m/>
    <m/>
    <s v=" "/>
    <s v="STL"/>
    <s v="YES"/>
    <s v="TBD"/>
    <s v="Garbage Trucks"/>
    <x v="0"/>
    <n v="8"/>
    <n v="2024"/>
    <n v="2034"/>
    <n v="2034.6666666666667"/>
    <n v="37.373166666666663"/>
    <n v="448.47799999999995"/>
    <n v="448.47799999999995"/>
    <n v="0"/>
    <n v="448.47799999999995"/>
    <n v="4036.3019999999997"/>
    <s v="No"/>
  </r>
  <r>
    <n v="2111"/>
    <n v="429191"/>
    <n v="409083"/>
    <s v="Capitalized"/>
    <s v="Registration/Tax"/>
    <m/>
    <m/>
    <n v="1"/>
    <s v="3BPDLK0X8RF118118"/>
    <n v="0"/>
    <m/>
    <m/>
    <s v="TRUCKS AND TRAILERS"/>
    <s v="TBA"/>
    <m/>
    <m/>
    <m/>
    <d v="2024-08-29T00:00:00"/>
    <d v="2024-08-29T00:00:00"/>
    <s v="2111-24-0005-1"/>
    <n v="1000"/>
    <n v="14040"/>
    <n v="4484.78"/>
    <n v="14046"/>
    <n v="0"/>
    <n v="4484.78"/>
    <n v="0"/>
    <n v="51260"/>
    <n v="0"/>
    <s v="P"/>
    <m/>
    <m/>
    <s v=" "/>
    <s v="STL"/>
    <s v="YES"/>
    <s v="TBD"/>
    <s v="Garbage Trucks"/>
    <x v="0"/>
    <n v="8"/>
    <n v="2024"/>
    <n v="2034"/>
    <n v="2034.6666666666667"/>
    <n v="37.373166666666663"/>
    <n v="448.47799999999995"/>
    <n v="448.47799999999995"/>
    <n v="0"/>
    <n v="448.47799999999995"/>
    <n v="4036.3019999999997"/>
    <s v="No"/>
  </r>
  <r>
    <n v="2111"/>
    <n v="429190"/>
    <n v="409083"/>
    <s v="Capitalized"/>
    <s v="Registration/Tax"/>
    <m/>
    <m/>
    <n v="1"/>
    <s v="3BPDLK0X8RF118118"/>
    <n v="0"/>
    <m/>
    <m/>
    <s v="TRUCKS AND TRAILERS"/>
    <s v="TBA"/>
    <m/>
    <m/>
    <m/>
    <d v="2024-08-29T00:00:00"/>
    <d v="2024-08-29T00:00:00"/>
    <s v="2111-24-0005-1"/>
    <n v="1000"/>
    <n v="14040"/>
    <n v="4484.8"/>
    <n v="14046"/>
    <n v="0"/>
    <n v="4484.8"/>
    <n v="0"/>
    <n v="51260"/>
    <n v="0"/>
    <s v="P"/>
    <m/>
    <m/>
    <s v=" "/>
    <s v="STL"/>
    <s v="YES"/>
    <s v="TBD"/>
    <s v="Garbage Trucks"/>
    <x v="0"/>
    <n v="8"/>
    <n v="2024"/>
    <n v="2034"/>
    <n v="2034.6666666666667"/>
    <n v="37.373333333333335"/>
    <n v="448.48"/>
    <n v="448.48"/>
    <n v="0"/>
    <n v="448.48"/>
    <n v="4036.32"/>
    <s v="No"/>
  </r>
  <r>
    <n v="2111"/>
    <n v="428904"/>
    <n v="409083"/>
    <s v="Capitalized"/>
    <s v="Lettering Applied to Sideload"/>
    <m/>
    <m/>
    <n v="1"/>
    <s v="3BPDLK0X8RF118118"/>
    <n v="0"/>
    <m/>
    <m/>
    <s v="TRUCKS AND TRAILERS"/>
    <s v="TBA"/>
    <m/>
    <m/>
    <m/>
    <d v="2024-08-29T00:00:00"/>
    <d v="2024-08-29T00:00:00"/>
    <s v="2111-24-0005-1"/>
    <n v="1000"/>
    <n v="14040"/>
    <n v="1167.06"/>
    <n v="14046"/>
    <n v="0"/>
    <n v="1167.06"/>
    <n v="0"/>
    <n v="51260"/>
    <n v="0"/>
    <s v="P"/>
    <m/>
    <m/>
    <s v=" "/>
    <s v="STL"/>
    <s v="YES"/>
    <s v="TBD"/>
    <s v="Garbage Trucks"/>
    <x v="0"/>
    <n v="8"/>
    <n v="2024"/>
    <n v="2034"/>
    <n v="2034.6666666666667"/>
    <n v="9.7254999999999985"/>
    <n v="116.70599999999999"/>
    <n v="116.70599999999999"/>
    <n v="0"/>
    <n v="116.70599999999999"/>
    <n v="1050.354"/>
    <s v="No"/>
  </r>
  <r>
    <n v="2111"/>
    <n v="428897"/>
    <n v="409083"/>
    <s v="Capitalized"/>
    <s v="2024 Peterbilt ASL Truck- Body"/>
    <m/>
    <m/>
    <n v="1"/>
    <s v="3BPDLK0X8RF118118"/>
    <n v="2024"/>
    <m/>
    <s v="Peterbilt"/>
    <s v="TRUCKS AND TRAILERS"/>
    <s v="TBA"/>
    <s v="Automated Side Loader"/>
    <m/>
    <m/>
    <d v="2024-10-14T00:00:00"/>
    <d v="2024-10-14T00:00:00"/>
    <s v="2111-24-0005-1"/>
    <n v="1000"/>
    <n v="14040"/>
    <n v="210636.85"/>
    <n v="14046"/>
    <n v="0"/>
    <n v="210636.85"/>
    <n v="0"/>
    <n v="51260"/>
    <n v="0"/>
    <s v="P"/>
    <m/>
    <m/>
    <s v=" "/>
    <s v="STL"/>
    <s v="YES"/>
    <s v="TBD"/>
    <s v="Garbage Trucks"/>
    <x v="0"/>
    <n v="10"/>
    <n v="2024"/>
    <n v="2034"/>
    <n v="2034.8333333333333"/>
    <n v="1755.3070833333334"/>
    <n v="21063.685000000001"/>
    <n v="21063.685000000001"/>
    <n v="0"/>
    <n v="21063.685000000001"/>
    <n v="189573.16500000001"/>
    <s v="No"/>
  </r>
  <r>
    <n v="2111"/>
    <n v="428762"/>
    <n v="421636"/>
    <s v="Capitalized"/>
    <s v="Installed Lettering"/>
    <m/>
    <m/>
    <n v="1"/>
    <s v="JALE5W167P7307856"/>
    <n v="0"/>
    <m/>
    <m/>
    <s v="TRUCKS AND TRAILERS"/>
    <s v="REAR LOADER"/>
    <s v="Rear Loader"/>
    <m/>
    <m/>
    <d v="2024-09-04T00:00:00"/>
    <d v="2024-09-04T00:00:00"/>
    <s v="2111-24-0007-1"/>
    <n v="1000"/>
    <n v="14040"/>
    <n v="989.1"/>
    <n v="14046"/>
    <n v="0"/>
    <n v="989.1"/>
    <n v="0"/>
    <n v="51260"/>
    <n v="0"/>
    <s v="P"/>
    <m/>
    <m/>
    <s v=" "/>
    <s v="STL"/>
    <s v="YES"/>
    <s v="TBD"/>
    <s v="Delivery Trucks"/>
    <x v="2"/>
    <n v="9"/>
    <n v="2024"/>
    <n v="2034"/>
    <n v="2034.75"/>
    <n v="8.2424999999999997"/>
    <n v="98.91"/>
    <n v="98.91"/>
    <n v="0"/>
    <n v="98.91"/>
    <n v="890.19"/>
    <s v="No"/>
  </r>
  <r>
    <n v="2111"/>
    <n v="423131"/>
    <s v="P"/>
    <s v="Capitalized"/>
    <s v="Murreys Security Cameras"/>
    <m/>
    <m/>
    <n v="40"/>
    <m/>
    <n v="0"/>
    <m/>
    <m/>
    <s v="SHOP EQUIPMENT"/>
    <s v="SECURITY CAMS"/>
    <m/>
    <m/>
    <m/>
    <d v="2024-10-15T00:00:00"/>
    <d v="2024-10-15T00:00:00"/>
    <s v="2111-24-0036-1"/>
    <n v="500"/>
    <n v="14070"/>
    <n v="7820.4"/>
    <n v="14076"/>
    <n v="0"/>
    <n v="7820.4"/>
    <n v="0"/>
    <n v="51260"/>
    <n v="0"/>
    <s v="P"/>
    <m/>
    <m/>
    <s v=" "/>
    <s v="STL"/>
    <s v="YES"/>
    <s v="TBD"/>
    <s v="Building"/>
    <x v="6"/>
    <n v="10"/>
    <n v="2024"/>
    <n v="2029"/>
    <n v="2029.8333333333333"/>
    <n v="130.34"/>
    <n v="1564.08"/>
    <n v="1564.08"/>
    <n v="0"/>
    <n v="1564.08"/>
    <n v="6256.32"/>
    <s v="No"/>
  </r>
  <r>
    <n v="2111"/>
    <n v="423073"/>
    <s v="P"/>
    <s v="Capitalized"/>
    <s v="2 YD REL Containers"/>
    <m/>
    <m/>
    <n v="60"/>
    <m/>
    <n v="0"/>
    <m/>
    <m/>
    <s v="CONTAINERS"/>
    <s v="REL METAL"/>
    <m/>
    <s v="2 YD"/>
    <s v="FEL/REL/SL Metal"/>
    <d v="2024-10-15T00:00:00"/>
    <d v="2024-10-15T00:00:00"/>
    <s v="2111-24-0037-1"/>
    <n v="1200"/>
    <n v="14050"/>
    <n v="46027.31"/>
    <n v="14056"/>
    <n v="0"/>
    <n v="46027.31"/>
    <n v="0"/>
    <n v="54260"/>
    <n v="0"/>
    <s v="P"/>
    <m/>
    <m/>
    <s v=" "/>
    <s v="STL"/>
    <s v="YES"/>
    <s v="TBD"/>
    <s v="Containers"/>
    <x v="5"/>
    <n v="10"/>
    <n v="2024"/>
    <n v="2036"/>
    <n v="2036.8333333333333"/>
    <n v="319.63409722222224"/>
    <n v="3835.6091666666671"/>
    <n v="3835.6091666666671"/>
    <n v="0"/>
    <n v="3835.6091666666671"/>
    <n v="42191.700833333329"/>
    <s v="No"/>
  </r>
  <r>
    <n v="2111"/>
    <n v="423042"/>
    <n v="219747"/>
    <s v="Capitalized"/>
    <s v="New 2024 3rd Eye Camera Upgrade --&gt; 2111"/>
    <m/>
    <m/>
    <n v="1"/>
    <s v="3BPDL70X3KF104792"/>
    <n v="0"/>
    <s v="xxxx"/>
    <m/>
    <s v="TRUCKS AND TRAILERS"/>
    <s v="TBA"/>
    <m/>
    <m/>
    <m/>
    <d v="2024-09-01T00:00:00"/>
    <d v="2024-09-01T00:00:00"/>
    <s v="1010-24-0084-1"/>
    <n v="500"/>
    <n v="14040"/>
    <n v="4243.8"/>
    <n v="14046"/>
    <n v="0"/>
    <n v="4243.8"/>
    <n v="0"/>
    <n v="51260"/>
    <n v="0"/>
    <s v="P"/>
    <m/>
    <m/>
    <s v=" "/>
    <s v="STL"/>
    <s v="YES"/>
    <s v="TBD"/>
    <s v="Garbage Trucks"/>
    <x v="0"/>
    <n v="9"/>
    <n v="2024"/>
    <n v="2029"/>
    <n v="2029.75"/>
    <n v="70.73"/>
    <n v="848.76"/>
    <n v="848.76"/>
    <n v="0"/>
    <n v="848.76"/>
    <n v="3395.04"/>
    <s v="No"/>
  </r>
  <r>
    <n v="2111"/>
    <n v="423041"/>
    <n v="202832"/>
    <s v="Capitalized"/>
    <s v="New 2024 3rd Eye Camera Upgrade --&gt; 2111"/>
    <m/>
    <m/>
    <n v="1"/>
    <s v="3BPDL70X0KF103311"/>
    <n v="0"/>
    <s v="xxxx"/>
    <m/>
    <s v="TRUCKS AND TRAILERS"/>
    <s v="TBA"/>
    <m/>
    <m/>
    <m/>
    <d v="2024-09-01T00:00:00"/>
    <d v="2024-09-01T00:00:00"/>
    <s v="1010-24-0084-1"/>
    <n v="500"/>
    <n v="14040"/>
    <n v="4243.8"/>
    <n v="14046"/>
    <n v="0"/>
    <n v="4243.8"/>
    <n v="0"/>
    <n v="51260"/>
    <n v="0"/>
    <s v="P"/>
    <m/>
    <m/>
    <s v=" "/>
    <s v="STL"/>
    <s v="YES"/>
    <s v="TBD"/>
    <s v="Garbage Trucks"/>
    <x v="0"/>
    <n v="9"/>
    <n v="2024"/>
    <n v="2029"/>
    <n v="2029.75"/>
    <n v="70.73"/>
    <n v="848.76"/>
    <n v="848.76"/>
    <n v="0"/>
    <n v="848.76"/>
    <n v="3395.04"/>
    <s v="No"/>
  </r>
  <r>
    <n v="2111"/>
    <n v="423029"/>
    <n v="202833"/>
    <s v="Capitalized"/>
    <s v="New 2024 3rd Eye Camera Upgrade --&gt; 2111"/>
    <m/>
    <m/>
    <n v="1"/>
    <s v="3BPDL70X3KF103979"/>
    <n v="0"/>
    <s v="xxxx"/>
    <m/>
    <s v="TRUCKS AND TRAILERS"/>
    <s v="TBA"/>
    <m/>
    <m/>
    <m/>
    <d v="2024-09-01T00:00:00"/>
    <d v="2024-09-01T00:00:00"/>
    <s v="1010-24-0084-1"/>
    <n v="500"/>
    <n v="14040"/>
    <n v="4243.8"/>
    <n v="14046"/>
    <n v="0"/>
    <n v="4243.8"/>
    <n v="0"/>
    <n v="51260"/>
    <n v="0"/>
    <s v="P"/>
    <m/>
    <m/>
    <s v=" "/>
    <s v="STL"/>
    <s v="YES"/>
    <s v="TBD"/>
    <s v="Garbage Trucks"/>
    <x v="0"/>
    <n v="9"/>
    <n v="2024"/>
    <n v="2029"/>
    <n v="2029.75"/>
    <n v="70.73"/>
    <n v="848.76"/>
    <n v="848.76"/>
    <n v="0"/>
    <n v="848.76"/>
    <n v="3395.04"/>
    <s v="No"/>
  </r>
  <r>
    <n v="2111"/>
    <n v="423028"/>
    <n v="89625"/>
    <s v="Capitalized"/>
    <s v="New 2024 3rd Eye Camera Upgrade --&gt; 2111"/>
    <m/>
    <m/>
    <n v="1"/>
    <s v="3BPZL70X1CF154758"/>
    <n v="0"/>
    <s v="xxxx"/>
    <m/>
    <s v="TRUCKS AND TRAILERS"/>
    <s v="TBA"/>
    <m/>
    <m/>
    <m/>
    <d v="2024-09-01T00:00:00"/>
    <d v="2024-09-01T00:00:00"/>
    <s v="1010-24-0084-1"/>
    <n v="500"/>
    <n v="14040"/>
    <n v="4243.8"/>
    <n v="14046"/>
    <n v="0"/>
    <n v="4243.8"/>
    <n v="0"/>
    <n v="51260"/>
    <n v="0"/>
    <s v="P"/>
    <m/>
    <m/>
    <s v=" "/>
    <s v="STL"/>
    <s v="YES"/>
    <s v="TBD"/>
    <s v="MF "/>
    <x v="8"/>
    <n v="9"/>
    <n v="2024"/>
    <n v="2029"/>
    <n v="2029.75"/>
    <n v="70.73"/>
    <n v="848.76"/>
    <n v="848.76"/>
    <n v="0"/>
    <n v="848.76"/>
    <n v="3395.04"/>
    <s v="No"/>
  </r>
  <r>
    <n v="2111"/>
    <n v="423027"/>
    <n v="62296"/>
    <s v="Capitalized"/>
    <s v="New 2024 3rd Eye Camera Upgrade --&gt; 2111"/>
    <m/>
    <m/>
    <n v="1"/>
    <s v="3BPZL00X78F718444"/>
    <n v="0"/>
    <s v="xxxx"/>
    <m/>
    <s v="TRUCKS AND TRAILERS"/>
    <s v="TBA"/>
    <m/>
    <m/>
    <m/>
    <d v="2024-09-01T00:00:00"/>
    <d v="2024-09-01T00:00:00"/>
    <s v="1010-24-0084-1"/>
    <n v="500"/>
    <n v="14040"/>
    <n v="4243.8"/>
    <n v="14046"/>
    <n v="0"/>
    <n v="4243.8"/>
    <n v="0"/>
    <n v="51260"/>
    <n v="0"/>
    <s v="P"/>
    <m/>
    <m/>
    <s v=" "/>
    <s v="STL"/>
    <s v="YES"/>
    <s v="TBD"/>
    <s v="Garbage Trucks"/>
    <x v="0"/>
    <n v="9"/>
    <n v="2024"/>
    <n v="2029"/>
    <n v="2029.75"/>
    <n v="70.73"/>
    <n v="848.76"/>
    <n v="848.76"/>
    <n v="0"/>
    <n v="848.76"/>
    <n v="3395.04"/>
    <s v="No"/>
  </r>
  <r>
    <n v="2111"/>
    <n v="423022"/>
    <n v="319318"/>
    <s v="Capitalized"/>
    <s v="New 2024 3rd Eye Camera Upgrade --&gt; 2111"/>
    <m/>
    <m/>
    <n v="1"/>
    <s v="3BPDLK0X3RF116275"/>
    <n v="0"/>
    <s v="xxxx"/>
    <m/>
    <s v="TRUCKS AND TRAILERS"/>
    <s v="TBA"/>
    <m/>
    <m/>
    <m/>
    <d v="2024-09-01T00:00:00"/>
    <d v="2024-09-01T00:00:00"/>
    <s v="1010-24-0084-1"/>
    <n v="500"/>
    <n v="14040"/>
    <n v="4243.8500000000004"/>
    <n v="14046"/>
    <n v="0"/>
    <n v="4243.8500000000004"/>
    <n v="0"/>
    <n v="51260"/>
    <n v="0"/>
    <s v="P"/>
    <m/>
    <m/>
    <s v=" "/>
    <s v="STL"/>
    <s v="YES"/>
    <s v="TBD"/>
    <s v="Garbage Trucks"/>
    <x v="0"/>
    <n v="9"/>
    <n v="2024"/>
    <n v="2029"/>
    <n v="2029.75"/>
    <n v="70.730833333333337"/>
    <n v="848.77"/>
    <n v="848.77"/>
    <n v="0"/>
    <n v="848.77"/>
    <n v="3395.0800000000004"/>
    <s v="No"/>
  </r>
  <r>
    <n v="2111"/>
    <n v="423021"/>
    <n v="252175"/>
    <s v="Capitalized"/>
    <s v="New 2024 3rd Eye Camera Upgrade --&gt; 2111"/>
    <m/>
    <m/>
    <n v="1"/>
    <s v="3BPDLK0X2LF108675"/>
    <n v="0"/>
    <s v="xxxx"/>
    <m/>
    <s v="TRUCKS AND TRAILERS"/>
    <s v="TBA"/>
    <m/>
    <m/>
    <m/>
    <d v="2024-09-01T00:00:00"/>
    <d v="2024-09-01T00:00:00"/>
    <s v="1010-24-0084-1"/>
    <n v="500"/>
    <n v="14040"/>
    <n v="4243.8"/>
    <n v="14046"/>
    <n v="0"/>
    <n v="4243.8"/>
    <n v="0"/>
    <n v="51260"/>
    <n v="0"/>
    <s v="P"/>
    <m/>
    <m/>
    <s v=" "/>
    <s v="STL"/>
    <s v="YES"/>
    <s v="TBD"/>
    <s v="MF "/>
    <x v="8"/>
    <n v="9"/>
    <n v="2024"/>
    <n v="2029"/>
    <n v="2029.75"/>
    <n v="70.73"/>
    <n v="848.76"/>
    <n v="848.76"/>
    <n v="0"/>
    <n v="848.76"/>
    <n v="3395.04"/>
    <s v="No"/>
  </r>
  <r>
    <n v="2111"/>
    <n v="423020"/>
    <n v="252176"/>
    <s v="Capitalized"/>
    <s v="New 2024 3rd Eye Camera Upgrade --&gt; 2111"/>
    <m/>
    <m/>
    <n v="1"/>
    <s v="3BPDLK0X4LF108676"/>
    <n v="0"/>
    <s v="xxxx"/>
    <m/>
    <s v="TRUCKS AND TRAILERS"/>
    <s v="TBA"/>
    <m/>
    <m/>
    <m/>
    <d v="2024-09-01T00:00:00"/>
    <d v="2024-09-01T00:00:00"/>
    <s v="1010-24-0084-1"/>
    <n v="500"/>
    <n v="14040"/>
    <n v="4243.8"/>
    <n v="14046"/>
    <n v="0"/>
    <n v="4243.8"/>
    <n v="0"/>
    <n v="51260"/>
    <n v="0"/>
    <s v="P"/>
    <m/>
    <m/>
    <s v=" "/>
    <s v="STL"/>
    <s v="YES"/>
    <s v="TBD"/>
    <s v="MF "/>
    <x v="8"/>
    <n v="9"/>
    <n v="2024"/>
    <n v="2029"/>
    <n v="2029.75"/>
    <n v="70.73"/>
    <n v="848.76"/>
    <n v="848.76"/>
    <n v="0"/>
    <n v="848.76"/>
    <n v="3395.04"/>
    <s v="No"/>
  </r>
  <r>
    <n v="2111"/>
    <n v="423019"/>
    <n v="223824"/>
    <s v="Capitalized"/>
    <s v="New 2024 3rd Eye Camera Upgrade --&gt; 2111"/>
    <m/>
    <m/>
    <n v="1"/>
    <s v="3BPDLK0X9LF107961"/>
    <n v="0"/>
    <s v="xxxx"/>
    <m/>
    <s v="TRUCKS AND TRAILERS"/>
    <s v="TBA"/>
    <m/>
    <m/>
    <m/>
    <d v="2024-09-01T00:00:00"/>
    <d v="2024-09-01T00:00:00"/>
    <s v="1010-24-0084-1"/>
    <n v="500"/>
    <n v="14040"/>
    <n v="4243.8"/>
    <n v="14046"/>
    <n v="0"/>
    <n v="4243.8"/>
    <n v="0"/>
    <n v="51260"/>
    <n v="0"/>
    <s v="P"/>
    <m/>
    <m/>
    <s v=" "/>
    <s v="STL"/>
    <s v="YES"/>
    <s v="TBD"/>
    <s v="Garbage Trucks"/>
    <x v="0"/>
    <n v="9"/>
    <n v="2024"/>
    <n v="2029"/>
    <n v="2029.75"/>
    <n v="70.73"/>
    <n v="848.76"/>
    <n v="848.76"/>
    <n v="0"/>
    <n v="848.76"/>
    <n v="3395.04"/>
    <s v="No"/>
  </r>
  <r>
    <n v="2111"/>
    <n v="423004"/>
    <n v="315529"/>
    <s v="Capitalized"/>
    <s v="New 2024 3rd Eye Camera Upgrade --&gt; 2111"/>
    <m/>
    <m/>
    <n v="1"/>
    <s v="3BPDLK0X7RF116277"/>
    <n v="0"/>
    <s v="xxxx"/>
    <m/>
    <s v="TRUCKS AND TRAILERS"/>
    <s v="TBA"/>
    <m/>
    <m/>
    <m/>
    <d v="2024-09-01T00:00:00"/>
    <d v="2024-09-01T00:00:00"/>
    <s v="1010-24-0084-1"/>
    <n v="500"/>
    <n v="14040"/>
    <n v="4243.8"/>
    <n v="14046"/>
    <n v="0"/>
    <n v="4243.8"/>
    <n v="0"/>
    <n v="51260"/>
    <n v="0"/>
    <s v="P"/>
    <m/>
    <m/>
    <s v=" "/>
    <s v="STL"/>
    <s v="YES"/>
    <s v="TBD"/>
    <s v="Garbage Trucks"/>
    <x v="0"/>
    <n v="9"/>
    <n v="2024"/>
    <n v="2029"/>
    <n v="2029.75"/>
    <n v="70.73"/>
    <n v="848.76"/>
    <n v="848.76"/>
    <n v="0"/>
    <n v="848.76"/>
    <n v="3395.04"/>
    <s v="No"/>
  </r>
  <r>
    <n v="2111"/>
    <n v="422937"/>
    <n v="283285"/>
    <s v="Capitalized"/>
    <s v="New 2024 3rd Eye Camera Upgrade --&gt; 2111"/>
    <m/>
    <m/>
    <n v="1"/>
    <s v="3BPDLK0X2NF113152"/>
    <n v="0"/>
    <s v="xxxx"/>
    <m/>
    <s v="TRUCKS AND TRAILERS"/>
    <s v="TBA"/>
    <m/>
    <m/>
    <m/>
    <d v="2024-09-01T00:00:00"/>
    <d v="2024-09-01T00:00:00"/>
    <s v="1010-24-0084-1"/>
    <n v="500"/>
    <n v="14040"/>
    <n v="4243.8"/>
    <n v="14046"/>
    <n v="0"/>
    <n v="4243.8"/>
    <n v="0"/>
    <n v="51260"/>
    <n v="0"/>
    <s v="P"/>
    <m/>
    <m/>
    <s v=" "/>
    <s v="STL"/>
    <s v="YES"/>
    <s v="TBD"/>
    <s v="Garbage Trucks"/>
    <x v="0"/>
    <n v="9"/>
    <n v="2024"/>
    <n v="2029"/>
    <n v="2029.75"/>
    <n v="70.73"/>
    <n v="848.76"/>
    <n v="848.76"/>
    <n v="0"/>
    <n v="848.76"/>
    <n v="3395.04"/>
    <s v="No"/>
  </r>
  <r>
    <n v="2111"/>
    <n v="422936"/>
    <n v="120152"/>
    <s v="Capitalized"/>
    <s v="New 2024 3rd Eye Camera Upgrade --&gt; 2111"/>
    <m/>
    <m/>
    <n v="1"/>
    <s v="3BPZL70X3DF187407"/>
    <n v="0"/>
    <s v="xxxx"/>
    <m/>
    <s v="TRUCKS AND TRAILERS"/>
    <s v="TBA"/>
    <m/>
    <m/>
    <m/>
    <d v="2024-09-01T00:00:00"/>
    <d v="2024-09-01T00:00:00"/>
    <s v="1010-24-0084-1"/>
    <n v="500"/>
    <n v="14040"/>
    <n v="4243.8"/>
    <n v="14046"/>
    <n v="0"/>
    <n v="4243.8"/>
    <n v="0"/>
    <n v="51260"/>
    <n v="0"/>
    <s v="P"/>
    <m/>
    <m/>
    <s v=" "/>
    <s v="STL"/>
    <s v="YES"/>
    <s v="TBD"/>
    <s v="Garbage Trucks"/>
    <x v="0"/>
    <n v="9"/>
    <n v="2024"/>
    <n v="2029"/>
    <n v="2029.75"/>
    <n v="70.73"/>
    <n v="848.76"/>
    <n v="848.76"/>
    <n v="0"/>
    <n v="848.76"/>
    <n v="3395.04"/>
    <s v="No"/>
  </r>
  <r>
    <n v="2111"/>
    <n v="422033"/>
    <n v="420872"/>
    <s v="Capitalized"/>
    <s v="INSTALL DIGITAL MOBILE TRUNKING RADIO"/>
    <m/>
    <m/>
    <n v="1"/>
    <s v="UNIT 890"/>
    <n v="0"/>
    <s v="xxxx"/>
    <m/>
    <s v="TRUCKS AND TRAILERS"/>
    <s v="AUTOMATED SIDE LOADER"/>
    <s v="Automated Side Loader"/>
    <m/>
    <m/>
    <d v="2024-09-20T00:00:00"/>
    <d v="2024-09-20T00:00:00"/>
    <s v="2111-24-0040-1"/>
    <n v="500"/>
    <n v="14040"/>
    <n v="880.14"/>
    <n v="14046"/>
    <n v="14.67"/>
    <n v="865.47"/>
    <n v="14.67"/>
    <n v="51260"/>
    <n v="14.67"/>
    <s v="P"/>
    <m/>
    <m/>
    <s v=" "/>
    <s v="STL"/>
    <s v="YES"/>
    <s v="TBD"/>
    <s v="Garbage Trucks"/>
    <x v="0"/>
    <n v="9"/>
    <n v="2024"/>
    <n v="2029"/>
    <n v="2029.75"/>
    <n v="14.668999999999999"/>
    <n v="176.02799999999999"/>
    <n v="176.02799999999999"/>
    <n v="0"/>
    <n v="176.02799999999999"/>
    <n v="704.11199999999997"/>
    <s v="No"/>
  </r>
  <r>
    <n v="2111"/>
    <n v="421637"/>
    <n v="421636"/>
    <s v="Capitalized"/>
    <s v="INSTALL DIGITAL MOBILE TRUCKING RADIO"/>
    <m/>
    <m/>
    <n v="1"/>
    <s v="JALE5W167P7307856"/>
    <n v="0"/>
    <m/>
    <m/>
    <s v="TRUCKS AND TRAILERS"/>
    <s v="REAR LOADER"/>
    <s v="Rear Loader"/>
    <m/>
    <m/>
    <d v="2024-09-04T00:00:00"/>
    <d v="2024-09-04T00:00:00"/>
    <s v="2111-24-0007-1"/>
    <n v="500"/>
    <n v="14040"/>
    <n v="880.14"/>
    <n v="14046"/>
    <n v="29.34"/>
    <n v="850.8"/>
    <n v="29.34"/>
    <n v="51260"/>
    <n v="14.67"/>
    <s v="P"/>
    <m/>
    <m/>
    <s v=" "/>
    <s v="STL"/>
    <s v="YES"/>
    <s v="TBD"/>
    <s v="Delivery Trucks"/>
    <x v="2"/>
    <n v="9"/>
    <n v="2024"/>
    <n v="2029"/>
    <n v="2029.75"/>
    <n v="14.668999999999999"/>
    <n v="176.02799999999999"/>
    <n v="176.02799999999999"/>
    <n v="0"/>
    <n v="176.02799999999999"/>
    <n v="704.11199999999997"/>
    <s v="No"/>
  </r>
  <r>
    <n v="2111"/>
    <n v="421636"/>
    <s v="P"/>
    <s v="Capitalized"/>
    <s v="2023 Isuzu REL Truck - PKG"/>
    <m/>
    <m/>
    <n v="1"/>
    <s v="JALE5W167P7307856"/>
    <n v="2023"/>
    <m/>
    <s v="Isuzu"/>
    <s v="TRUCKS AND TRAILERS"/>
    <s v="REAR LOADER"/>
    <s v="Rear Loader"/>
    <m/>
    <m/>
    <d v="2024-09-04T00:00:00"/>
    <d v="2024-09-04T00:00:00"/>
    <s v="2111-24-0007-1"/>
    <n v="800"/>
    <n v="14040"/>
    <n v="152265"/>
    <n v="14046"/>
    <n v="3172.18"/>
    <n v="149092.82"/>
    <n v="3172.18"/>
    <n v="51260"/>
    <n v="1586.09"/>
    <s v="P"/>
    <m/>
    <m/>
    <s v=" "/>
    <s v="STL"/>
    <s v="YES"/>
    <s v="TBD"/>
    <s v="Delivery Trucks"/>
    <x v="2"/>
    <n v="9"/>
    <n v="2024"/>
    <n v="2032"/>
    <n v="2032.75"/>
    <n v="1586.09375"/>
    <n v="19033.125"/>
    <n v="19033.125"/>
    <n v="0"/>
    <n v="19033.125"/>
    <n v="133231.875"/>
    <s v="No"/>
  </r>
  <r>
    <n v="2111"/>
    <n v="421540"/>
    <n v="413706"/>
    <s v="Capitalized"/>
    <s v="Licensing for Box Van C-16"/>
    <m/>
    <m/>
    <n v="1"/>
    <s v="JALC4W168N7K03030"/>
    <n v="0"/>
    <m/>
    <m/>
    <s v="TRUCKS AND TRAILERS"/>
    <s v="CONTAINER DELIVERY TRUCK"/>
    <s v="Container Delivery Truck"/>
    <m/>
    <m/>
    <d v="2024-06-28T00:00:00"/>
    <d v="2024-06-28T00:00:00"/>
    <s v="2111-24-0017-1"/>
    <n v="800"/>
    <n v="14040"/>
    <n v="178.96"/>
    <n v="14046"/>
    <n v="7.44"/>
    <n v="171.52"/>
    <n v="7.44"/>
    <n v="51260"/>
    <n v="1.86"/>
    <s v="P"/>
    <m/>
    <m/>
    <s v=" "/>
    <s v="STL"/>
    <s v="YES"/>
    <s v="TBD"/>
    <s v="Delivery Trucks"/>
    <x v="2"/>
    <n v="6"/>
    <n v="2024"/>
    <n v="2032"/>
    <n v="2032.5"/>
    <n v="1.8641666666666667"/>
    <n v="22.37"/>
    <n v="22.37"/>
    <n v="0"/>
    <n v="22.37"/>
    <n v="156.59"/>
    <s v="No"/>
  </r>
  <r>
    <n v="2111"/>
    <n v="421537"/>
    <n v="412943"/>
    <s v="Capitalized"/>
    <s v="INSTALL DIGITAL MOBILE TRUCKING RADIO"/>
    <m/>
    <m/>
    <n v="1"/>
    <s v="3BPDLK0X4SF693905"/>
    <n v="0"/>
    <m/>
    <m/>
    <s v="TRUCKS AND TRAILERS"/>
    <s v="AUTOMATED SIDE LOADER"/>
    <s v="Automated Side Loader"/>
    <m/>
    <m/>
    <d v="2024-06-06T00:00:00"/>
    <d v="2024-06-06T00:00:00"/>
    <s v="2111-24-0006-1"/>
    <n v="500"/>
    <n v="14040"/>
    <n v="880.14"/>
    <n v="14046"/>
    <n v="73.349999999999994"/>
    <n v="806.79"/>
    <n v="73.349999999999994"/>
    <n v="51260"/>
    <n v="14.67"/>
    <s v="P"/>
    <m/>
    <m/>
    <s v=" "/>
    <s v="STL"/>
    <s v="YES"/>
    <s v="TBD"/>
    <s v="Garbage Trucks"/>
    <x v="0"/>
    <n v="6"/>
    <n v="2024"/>
    <n v="2029"/>
    <n v="2029.5"/>
    <n v="14.668999999999999"/>
    <n v="176.02799999999999"/>
    <n v="176.02799999999999"/>
    <n v="0"/>
    <n v="176.02799999999999"/>
    <n v="704.11199999999997"/>
    <s v="No"/>
  </r>
  <r>
    <n v="2111"/>
    <n v="421536"/>
    <n v="409083"/>
    <s v="Capitalized"/>
    <s v="INSTALL DIGITAL MOBILE TRUCKING RADIO"/>
    <m/>
    <m/>
    <n v="1"/>
    <s v="3BPDLK0X8RF118118"/>
    <n v="0"/>
    <m/>
    <m/>
    <s v="TRUCKS AND TRAILERS"/>
    <s v="TBA"/>
    <m/>
    <m/>
    <m/>
    <d v="2024-08-29T00:00:00"/>
    <d v="2024-08-29T00:00:00"/>
    <s v="2111-24-0005-1"/>
    <n v="500"/>
    <n v="14040"/>
    <n v="880.14"/>
    <n v="14046"/>
    <n v="29.34"/>
    <n v="850.8"/>
    <n v="29.34"/>
    <n v="51260"/>
    <n v="14.67"/>
    <s v="P"/>
    <m/>
    <m/>
    <s v=" "/>
    <s v="STL"/>
    <s v="YES"/>
    <s v="TBD"/>
    <s v="Garbage Trucks"/>
    <x v="0"/>
    <n v="8"/>
    <n v="2024"/>
    <n v="2029"/>
    <n v="2029.6666666666667"/>
    <n v="14.668999999999999"/>
    <n v="176.02799999999999"/>
    <n v="176.02799999999999"/>
    <n v="0"/>
    <n v="176.02799999999999"/>
    <n v="704.11199999999997"/>
    <s v="No"/>
  </r>
  <r>
    <n v="2111"/>
    <n v="420601"/>
    <s v="P"/>
    <s v="Capitalized"/>
    <s v="95 Gal MSW Carts"/>
    <m/>
    <m/>
    <n v="702"/>
    <m/>
    <n v="0"/>
    <m/>
    <m/>
    <s v="CONTAINERS"/>
    <s v="CARTS PLASTIC"/>
    <m/>
    <s v="95 Gal"/>
    <s v="Carts/Toters"/>
    <d v="2024-09-30T00:00:00"/>
    <d v="2024-09-30T00:00:00"/>
    <s v="2111-24-0038-1"/>
    <n v="700"/>
    <n v="14050"/>
    <n v="39178.400000000001"/>
    <n v="14056"/>
    <n v="466.41"/>
    <n v="38711.99"/>
    <n v="466.41"/>
    <n v="54260"/>
    <n v="466.41"/>
    <s v="P"/>
    <m/>
    <m/>
    <s v=" "/>
    <s v="STL"/>
    <s v="YES"/>
    <s v="TBD"/>
    <s v="Garbage Carts"/>
    <x v="7"/>
    <n v="9"/>
    <n v="2024"/>
    <n v="2031"/>
    <n v="2031.75"/>
    <n v="466.40952380952382"/>
    <n v="5596.9142857142861"/>
    <n v="5596.9142857142861"/>
    <n v="0"/>
    <n v="5596.9142857142861"/>
    <n v="33581.485714285714"/>
    <s v="No"/>
  </r>
  <r>
    <n v="2111"/>
    <n v="420573"/>
    <s v="P"/>
    <s v="Capitalized"/>
    <s v="2 YD FL Containers"/>
    <m/>
    <m/>
    <n v="2"/>
    <m/>
    <n v="0"/>
    <m/>
    <m/>
    <s v="CONTAINERS"/>
    <s v="FEL METAL"/>
    <m/>
    <s v="2 YD"/>
    <s v="FEL/REL/SL Metal"/>
    <d v="2024-10-01T00:00:00"/>
    <d v="2024-10-01T00:00:00"/>
    <s v="2111-24-0026-2"/>
    <n v="1200"/>
    <n v="14050"/>
    <n v="1750.59"/>
    <n v="14056"/>
    <n v="12.16"/>
    <n v="1738.4299999999998"/>
    <n v="12.16"/>
    <n v="54260"/>
    <n v="12.16"/>
    <s v="P"/>
    <m/>
    <m/>
    <s v=" "/>
    <s v="STL"/>
    <s v="YES"/>
    <s v="TBD"/>
    <s v="Containers"/>
    <x v="5"/>
    <n v="10"/>
    <n v="2024"/>
    <n v="2036"/>
    <n v="2036.8333333333333"/>
    <n v="12.156874999999999"/>
    <n v="145.88249999999999"/>
    <n v="145.88249999999999"/>
    <n v="0"/>
    <n v="145.88249999999999"/>
    <n v="1604.7075"/>
    <s v="No"/>
  </r>
  <r>
    <n v="2111"/>
    <n v="420572"/>
    <s v="P"/>
    <s v="Capitalized"/>
    <s v="2 YD FL Containers"/>
    <m/>
    <m/>
    <n v="8"/>
    <m/>
    <n v="0"/>
    <m/>
    <m/>
    <s v="CONTAINERS"/>
    <s v="FEL METAL"/>
    <m/>
    <s v="2 YD"/>
    <s v="FEL/REL/SL Metal"/>
    <d v="2024-04-29T00:00:00"/>
    <d v="2024-04-29T00:00:00"/>
    <s v="2111-24-0026-2"/>
    <n v="1200"/>
    <n v="14050"/>
    <n v="7002.36"/>
    <n v="14056"/>
    <n v="291.77999999999997"/>
    <n v="6710.58"/>
    <n v="291.77999999999997"/>
    <n v="54260"/>
    <n v="48.63"/>
    <s v="P"/>
    <m/>
    <m/>
    <s v=" "/>
    <s v="STL"/>
    <s v="YES"/>
    <s v="TBD"/>
    <s v="Containers"/>
    <x v="5"/>
    <n v="4"/>
    <n v="2024"/>
    <n v="2036"/>
    <n v="2036.3333333333333"/>
    <n v="48.627499999999998"/>
    <n v="583.53"/>
    <n v="583.53"/>
    <n v="0"/>
    <n v="583.53"/>
    <n v="6418.83"/>
    <s v="No"/>
  </r>
  <r>
    <n v="2111"/>
    <n v="419906"/>
    <n v="406464"/>
    <s v="Capitalized"/>
    <s v="Transit Van-Additional Accessories"/>
    <m/>
    <m/>
    <n v="1"/>
    <s v="7GZ37TC79PN001313"/>
    <n v="0"/>
    <m/>
    <m/>
    <s v="TRUCKS AND TRAILERS"/>
    <s v="SERVICE TRUCK"/>
    <s v="Service Truck"/>
    <m/>
    <m/>
    <d v="2024-08-29T00:00:00"/>
    <d v="2024-08-29T00:00:00"/>
    <s v="2111-24-0011-1"/>
    <n v="300"/>
    <n v="14040"/>
    <n v="20113.73"/>
    <n v="14046"/>
    <n v="558.71"/>
    <n v="19555.02"/>
    <n v="558.71"/>
    <n v="51260"/>
    <n v="558.71"/>
    <s v="P"/>
    <m/>
    <m/>
    <s v=" "/>
    <s v="STL"/>
    <s v="YES"/>
    <s v="129"/>
    <s v="Service Truck"/>
    <x v="9"/>
    <n v="8"/>
    <n v="2024"/>
    <n v="2027"/>
    <n v="2027.6666666666667"/>
    <n v="558.71472222222224"/>
    <n v="6704.5766666666668"/>
    <n v="6704.5766666666668"/>
    <n v="0"/>
    <n v="6704.5766666666668"/>
    <n v="13409.153333333332"/>
    <s v="No"/>
  </r>
  <r>
    <n v="2111"/>
    <n v="419902"/>
    <n v="406463"/>
    <s v="Capitalized"/>
    <s v="DRIVE CAM UNIT"/>
    <m/>
    <m/>
    <n v="1"/>
    <m/>
    <n v="0"/>
    <m/>
    <m/>
    <s v="TRUCKS AND TRAILERS"/>
    <s v="FRONT LOADER"/>
    <s v="Front Loader"/>
    <m/>
    <m/>
    <d v="2024-06-14T00:00:00"/>
    <d v="2024-06-14T00:00:00"/>
    <s v="2111-24-0009-1"/>
    <n v="500"/>
    <n v="14040"/>
    <n v="612.71"/>
    <n v="14046"/>
    <n v="40.840000000000003"/>
    <n v="571.87"/>
    <n v="40.840000000000003"/>
    <n v="51260"/>
    <n v="10.210000000000001"/>
    <s v="P"/>
    <m/>
    <m/>
    <s v=" "/>
    <s v="STL"/>
    <s v="YES"/>
    <s v="921"/>
    <s v="Garbage Trucks"/>
    <x v="0"/>
    <n v="6"/>
    <n v="2024"/>
    <n v="2029"/>
    <n v="2029.5"/>
    <n v="10.211833333333333"/>
    <n v="122.542"/>
    <n v="122.542"/>
    <n v="0"/>
    <n v="122.542"/>
    <n v="490.16800000000001"/>
    <s v="No"/>
  </r>
  <r>
    <n v="2111"/>
    <n v="419896"/>
    <n v="278098"/>
    <s v="Capitalized"/>
    <s v="Transmission Truck #603"/>
    <m/>
    <m/>
    <n v="1"/>
    <s v="Truck 603"/>
    <n v="0"/>
    <m/>
    <m/>
    <s v="TRUCKS AND TRAILERS"/>
    <s v="REAR LOADER"/>
    <s v="Rear Loader"/>
    <m/>
    <m/>
    <d v="2024-08-19T00:00:00"/>
    <d v="2024-08-19T00:00:00"/>
    <s v="2111-24-0034-1"/>
    <n v="300"/>
    <n v="14040"/>
    <n v="11303.01"/>
    <n v="14046"/>
    <n v="313.97000000000003"/>
    <n v="10989.04"/>
    <n v="313.97000000000003"/>
    <n v="51260"/>
    <n v="313.97000000000003"/>
    <s v="P"/>
    <m/>
    <m/>
    <s v=" "/>
    <s v="STL"/>
    <s v="YES"/>
    <s v="603"/>
    <s v="Garbage Trucks"/>
    <x v="0"/>
    <n v="8"/>
    <n v="2024"/>
    <n v="2027"/>
    <n v="2027.6666666666667"/>
    <n v="313.97250000000003"/>
    <n v="3767.67"/>
    <n v="3767.67"/>
    <n v="0"/>
    <n v="3767.67"/>
    <n v="7535.34"/>
    <s v="No"/>
  </r>
  <r>
    <n v="2111"/>
    <n v="419821"/>
    <n v="278097"/>
    <s v="Capitalized"/>
    <s v="Replacement Swing Engine-Truck 605"/>
    <m/>
    <m/>
    <n v="1"/>
    <m/>
    <n v="0"/>
    <m/>
    <m/>
    <s v="TRUCKS AND TRAILERS"/>
    <s v="OTHER TRUCK"/>
    <s v="Other Truck"/>
    <m/>
    <m/>
    <d v="2024-09-13T00:00:00"/>
    <d v="2024-09-13T00:00:00"/>
    <s v="2111-24-0035-1"/>
    <n v="300"/>
    <n v="14040"/>
    <n v="35211.89"/>
    <n v="14046"/>
    <n v="978.11"/>
    <n v="34233.78"/>
    <n v="978.11"/>
    <n v="51260"/>
    <n v="978.11"/>
    <s v="P"/>
    <m/>
    <m/>
    <s v=" "/>
    <s v="STL"/>
    <s v="YES"/>
    <s v="605"/>
    <s v="Garbage Trucks"/>
    <x v="0"/>
    <n v="9"/>
    <n v="2024"/>
    <n v="2027"/>
    <n v="2027.75"/>
    <n v="978.10805555555555"/>
    <n v="11737.296666666667"/>
    <n v="11737.296666666667"/>
    <n v="0"/>
    <n v="11737.296666666667"/>
    <n v="23474.593333333331"/>
    <s v="No"/>
  </r>
  <r>
    <n v="2111"/>
    <n v="418383"/>
    <s v="P"/>
    <s v="Capitalized"/>
    <s v="95g YW Carts"/>
    <m/>
    <m/>
    <n v="702"/>
    <m/>
    <n v="0"/>
    <m/>
    <m/>
    <s v="CONTAINERS"/>
    <s v="CARTS PLASTIC"/>
    <m/>
    <s v="95 Gal"/>
    <s v="Carts/Toters"/>
    <d v="2024-08-07T00:00:00"/>
    <d v="2024-08-07T00:00:00"/>
    <s v="2111-24-0032-1"/>
    <n v="700"/>
    <n v="14050"/>
    <n v="39178.400000000001"/>
    <n v="14056"/>
    <n v="932.82"/>
    <n v="38245.58"/>
    <n v="932.82"/>
    <n v="54260"/>
    <n v="466.41"/>
    <s v="P"/>
    <m/>
    <m/>
    <s v=" "/>
    <s v="STL"/>
    <s v="YES"/>
    <s v="TBD"/>
    <m/>
    <x v="7"/>
    <n v="8"/>
    <n v="2024"/>
    <n v="2031"/>
    <n v="2031.6666666666667"/>
    <n v="466.40952380952382"/>
    <n v="5596.9142857142861"/>
    <n v="5596.9142857142861"/>
    <n v="0"/>
    <n v="5596.9142857142861"/>
    <n v="33581.485714285714"/>
    <s v="No"/>
  </r>
  <r>
    <n v="2111"/>
    <n v="417705"/>
    <n v="412943"/>
    <s v="Capitalized"/>
    <s v="DRIVE CAM UNIT"/>
    <m/>
    <m/>
    <n v="1"/>
    <s v="3BPDLK0X4SF693905"/>
    <n v="0"/>
    <m/>
    <m/>
    <s v="TRUCKS AND TRAILERS"/>
    <s v="AUTOMATED SIDE LOADER"/>
    <s v="Automated Side Loader"/>
    <m/>
    <m/>
    <d v="2024-06-06T00:00:00"/>
    <d v="2024-06-06T00:00:00"/>
    <s v="2111-24-0006-1"/>
    <n v="500"/>
    <n v="14040"/>
    <n v="601.70000000000005"/>
    <n v="14046"/>
    <n v="40.119999999999997"/>
    <n v="561.58000000000004"/>
    <n v="40.119999999999997"/>
    <n v="51260"/>
    <n v="10.029999999999999"/>
    <s v="P"/>
    <m/>
    <m/>
    <s v=" "/>
    <s v="STL"/>
    <s v="YES"/>
    <s v="TBD"/>
    <m/>
    <x v="9"/>
    <n v="6"/>
    <n v="2024"/>
    <n v="2029"/>
    <n v="2029.5"/>
    <n v="10.028333333333334"/>
    <n v="120.34"/>
    <n v="120.34"/>
    <n v="0"/>
    <n v="120.34"/>
    <n v="481.36"/>
    <s v="No"/>
  </r>
  <r>
    <n v="2111"/>
    <n v="417685"/>
    <n v="413706"/>
    <s v="Capitalized"/>
    <s v="DRIVE CAM UNIT"/>
    <m/>
    <m/>
    <n v="1"/>
    <s v="JALC4W168N7K03030"/>
    <n v="0"/>
    <m/>
    <m/>
    <s v="TRUCKS AND TRAILERS"/>
    <s v="CONTAINER DELIVERY TRUCK"/>
    <s v="Container Delivery Truck"/>
    <m/>
    <m/>
    <d v="2024-06-28T00:00:00"/>
    <d v="2024-06-28T00:00:00"/>
    <s v="2111-24-0017-1"/>
    <n v="500"/>
    <n v="14040"/>
    <n v="601.70000000000005"/>
    <n v="14046"/>
    <n v="30.09"/>
    <n v="571.61"/>
    <n v="30.09"/>
    <n v="51260"/>
    <n v="10.029999999999999"/>
    <s v="P"/>
    <m/>
    <m/>
    <s v=" "/>
    <s v="STL"/>
    <s v="YES"/>
    <s v="C-16"/>
    <s v="Cont. Del"/>
    <x v="2"/>
    <n v="6"/>
    <n v="2024"/>
    <n v="2029"/>
    <n v="2029.5"/>
    <n v="10.028333333333334"/>
    <n v="120.34"/>
    <n v="120.34"/>
    <n v="0"/>
    <n v="120.34"/>
    <n v="481.36"/>
    <s v="No"/>
  </r>
  <r>
    <n v="2111"/>
    <n v="417572"/>
    <n v="406464"/>
    <s v="Capitalized"/>
    <s v="DRIVE CAM UNIT"/>
    <m/>
    <m/>
    <n v="1"/>
    <s v="7GZ37TC79PN001313"/>
    <n v="0"/>
    <m/>
    <m/>
    <s v="TRUCKS AND TRAILERS"/>
    <s v="SERVICE TRUCK"/>
    <s v="Service Truck"/>
    <m/>
    <m/>
    <d v="2024-08-29T00:00:00"/>
    <d v="2024-08-29T00:00:00"/>
    <s v="2111-24-0011-1"/>
    <n v="500"/>
    <n v="14040"/>
    <n v="601.70000000000005"/>
    <n v="14046"/>
    <n v="10.029999999999999"/>
    <n v="591.67000000000007"/>
    <n v="10.029999999999999"/>
    <n v="51260"/>
    <n v="10.029999999999999"/>
    <s v="P"/>
    <m/>
    <m/>
    <s v=" "/>
    <s v="STL"/>
    <s v="YES"/>
    <s v="129"/>
    <s v="Service Truck"/>
    <x v="9"/>
    <n v="8"/>
    <n v="2024"/>
    <n v="2029"/>
    <n v="2029.6666666666667"/>
    <n v="10.028333333333334"/>
    <n v="120.34"/>
    <n v="120.34"/>
    <n v="0"/>
    <n v="120.34"/>
    <n v="481.36"/>
    <s v="No"/>
  </r>
  <r>
    <n v="2111"/>
    <n v="416319"/>
    <s v="P"/>
    <s v="Capitalized"/>
    <s v="24 Gallon Carts"/>
    <m/>
    <m/>
    <n v="200"/>
    <m/>
    <n v="0"/>
    <m/>
    <m/>
    <s v="CONTAINERS"/>
    <s v="CARTS PLASTIC"/>
    <m/>
    <s v="20 Gal"/>
    <s v="Carts/Toters"/>
    <d v="2024-08-24T00:00:00"/>
    <d v="2024-08-24T00:00:00"/>
    <s v="2111-24-0033-1"/>
    <n v="700"/>
    <n v="14050"/>
    <n v="10706.55"/>
    <n v="14056"/>
    <n v="127.46"/>
    <n v="10579.09"/>
    <n v="127.46"/>
    <n v="54260"/>
    <n v="127.46"/>
    <s v="P"/>
    <m/>
    <m/>
    <s v=" "/>
    <s v="STL"/>
    <s v="YES"/>
    <s v="TBD"/>
    <m/>
    <x v="7"/>
    <n v="8"/>
    <n v="2024"/>
    <n v="2031"/>
    <n v="2031.6666666666667"/>
    <n v="127.45892857142856"/>
    <n v="1529.5071428571428"/>
    <n v="1529.5071428571428"/>
    <n v="0"/>
    <n v="1529.5071428571428"/>
    <n v="9177.0428571428565"/>
    <s v="No"/>
  </r>
  <r>
    <n v="2111"/>
    <n v="416317"/>
    <s v="P"/>
    <s v="Capitalized"/>
    <s v="10 Gallon Inserts"/>
    <m/>
    <m/>
    <n v="200"/>
    <m/>
    <n v="0"/>
    <m/>
    <m/>
    <s v="CONTAINERS"/>
    <s v="CARTS PLASTIC"/>
    <m/>
    <s v="20 Gal"/>
    <s v="Carts/Toters"/>
    <d v="2024-08-24T00:00:00"/>
    <d v="2024-08-24T00:00:00"/>
    <s v="2111-24-0033-1"/>
    <n v="700"/>
    <n v="14050"/>
    <n v="7214.16"/>
    <n v="14056"/>
    <n v="85.88"/>
    <n v="7128.28"/>
    <n v="85.88"/>
    <n v="54260"/>
    <n v="85.88"/>
    <s v="P"/>
    <m/>
    <m/>
    <s v=" "/>
    <s v="STL"/>
    <s v="YES"/>
    <s v="TBD"/>
    <m/>
    <x v="7"/>
    <n v="8"/>
    <n v="2024"/>
    <n v="2031"/>
    <n v="2031.6666666666667"/>
    <n v="85.882857142857134"/>
    <n v="1030.5942857142857"/>
    <n v="1030.5942857142857"/>
    <n v="0"/>
    <n v="1030.5942857142857"/>
    <n v="6183.5657142857144"/>
    <s v="No"/>
  </r>
  <r>
    <n v="2111"/>
    <n v="416013"/>
    <s v="P"/>
    <s v="Capitalized"/>
    <s v="1.5 YD REL CONTAINERS"/>
    <m/>
    <m/>
    <n v="14"/>
    <m/>
    <n v="0"/>
    <m/>
    <m/>
    <s v="CONTAINERS"/>
    <s v="FEL METAL"/>
    <m/>
    <s v="1.5 YD"/>
    <s v="FEL/REL/SL Metal"/>
    <d v="2024-04-29T00:00:00"/>
    <d v="2024-04-29T00:00:00"/>
    <s v="2111-24-0026-2"/>
    <n v="1200"/>
    <n v="14050"/>
    <n v="12870.69"/>
    <n v="14056"/>
    <n v="446.9"/>
    <n v="12423.79"/>
    <n v="446.9"/>
    <n v="54260"/>
    <n v="89.38"/>
    <s v="P"/>
    <m/>
    <m/>
    <s v=" "/>
    <s v="STL"/>
    <s v="YES"/>
    <s v="TBD"/>
    <m/>
    <x v="5"/>
    <n v="4"/>
    <n v="2024"/>
    <n v="2036"/>
    <n v="2036.3333333333333"/>
    <n v="89.379791666666677"/>
    <n v="1072.5575000000001"/>
    <n v="1072.5575000000001"/>
    <n v="0"/>
    <n v="1072.5575000000001"/>
    <n v="11798.1325"/>
    <s v="No"/>
  </r>
  <r>
    <n v="2111"/>
    <n v="416012"/>
    <s v="P"/>
    <s v="Capitalized"/>
    <s v="1.5 YD REL CONTAINERS"/>
    <m/>
    <m/>
    <n v="5"/>
    <m/>
    <n v="0"/>
    <m/>
    <m/>
    <s v="CONTAINERS"/>
    <s v="FEL METAL"/>
    <m/>
    <s v="1.5 YD"/>
    <s v="FEL/REL/SL Metal"/>
    <d v="2024-04-29T00:00:00"/>
    <d v="2024-04-29T00:00:00"/>
    <s v="2111-24-0026-2"/>
    <n v="1200"/>
    <n v="14050"/>
    <n v="4976.0200000000004"/>
    <n v="14056"/>
    <n v="172.78"/>
    <n v="4803.2400000000007"/>
    <n v="172.78"/>
    <n v="54260"/>
    <n v="34.56"/>
    <s v="P"/>
    <m/>
    <m/>
    <s v=" "/>
    <s v="STL"/>
    <s v="YES"/>
    <s v="TBD"/>
    <m/>
    <x v="5"/>
    <n v="4"/>
    <n v="2024"/>
    <n v="2036"/>
    <n v="2036.3333333333333"/>
    <n v="34.555694444444448"/>
    <n v="414.66833333333341"/>
    <n v="414.66833333333341"/>
    <n v="0"/>
    <n v="414.66833333333341"/>
    <n v="4561.3516666666674"/>
    <s v="No"/>
  </r>
  <r>
    <n v="2111"/>
    <n v="415981"/>
    <s v="P"/>
    <s v="Capitalized"/>
    <s v="1.5 YD REL CONTAINERS"/>
    <m/>
    <m/>
    <n v="7"/>
    <m/>
    <n v="0"/>
    <m/>
    <m/>
    <s v="CONTAINERS"/>
    <s v="REL METAL"/>
    <m/>
    <s v="1.5 YD"/>
    <s v="FEL/REL/SL Metal"/>
    <d v="2024-04-29T00:00:00"/>
    <d v="2024-04-29T00:00:00"/>
    <s v="2111-24-0026-1"/>
    <n v="1200"/>
    <n v="14050"/>
    <n v="6056"/>
    <n v="14056"/>
    <n v="210.28"/>
    <n v="5845.72"/>
    <n v="210.28"/>
    <n v="54260"/>
    <n v="42.06"/>
    <s v="P"/>
    <m/>
    <m/>
    <s v=" "/>
    <s v="STL"/>
    <s v="YES"/>
    <s v="TBD"/>
    <m/>
    <x v="5"/>
    <n v="4"/>
    <n v="2024"/>
    <n v="2036"/>
    <n v="2036.3333333333333"/>
    <n v="42.055555555555557"/>
    <n v="504.66666666666669"/>
    <n v="504.66666666666669"/>
    <n v="0"/>
    <n v="504.66666666666669"/>
    <n v="5551.333333333333"/>
    <s v="No"/>
  </r>
  <r>
    <n v="2111"/>
    <n v="415979"/>
    <s v="P"/>
    <s v="Capitalized"/>
    <s v="6 YD FL CONTAINERS"/>
    <m/>
    <m/>
    <n v="7"/>
    <m/>
    <n v="0"/>
    <m/>
    <m/>
    <s v="CONTAINERS"/>
    <s v="REL METAL"/>
    <m/>
    <s v="6 YD"/>
    <s v="FEL/REL/SL Metal"/>
    <d v="2024-04-29T00:00:00"/>
    <d v="2024-04-29T00:00:00"/>
    <s v="2111-24-0026-1"/>
    <n v="1200"/>
    <n v="14050"/>
    <n v="10751.27"/>
    <n v="14056"/>
    <n v="373.3"/>
    <n v="10377.970000000001"/>
    <n v="373.3"/>
    <n v="54260"/>
    <n v="74.66"/>
    <s v="P"/>
    <m/>
    <m/>
    <s v=" "/>
    <s v="STL"/>
    <s v="YES"/>
    <s v="TBD"/>
    <m/>
    <x v="5"/>
    <n v="4"/>
    <n v="2024"/>
    <n v="2036"/>
    <n v="2036.3333333333333"/>
    <n v="74.661597222222227"/>
    <n v="895.93916666666678"/>
    <n v="895.93916666666678"/>
    <n v="0"/>
    <n v="895.93916666666678"/>
    <n v="9855.3308333333334"/>
    <s v="No"/>
  </r>
  <r>
    <n v="2111"/>
    <n v="415960"/>
    <s v="P"/>
    <s v="Capitalized"/>
    <s v="1.5 YD REL CONTAINERS"/>
    <m/>
    <m/>
    <n v="14"/>
    <m/>
    <n v="0"/>
    <m/>
    <m/>
    <s v="CONTAINERS"/>
    <s v="FEL METAL"/>
    <m/>
    <s v="1.5 YD"/>
    <s v="FEL/REL/SL Metal"/>
    <d v="2024-04-29T00:00:00"/>
    <d v="2024-04-29T00:00:00"/>
    <s v="2111-24-0026-2"/>
    <n v="1200"/>
    <n v="14050"/>
    <n v="12870.69"/>
    <n v="14056"/>
    <n v="446.9"/>
    <n v="12423.79"/>
    <n v="446.9"/>
    <n v="54260"/>
    <n v="89.38"/>
    <s v="P"/>
    <m/>
    <m/>
    <s v=" "/>
    <s v="STL"/>
    <s v="YES"/>
    <s v="TBD"/>
    <m/>
    <x v="5"/>
    <n v="4"/>
    <n v="2024"/>
    <n v="2036"/>
    <n v="2036.3333333333333"/>
    <n v="89.379791666666677"/>
    <n v="1072.5575000000001"/>
    <n v="1072.5575000000001"/>
    <n v="0"/>
    <n v="1072.5575000000001"/>
    <n v="11798.1325"/>
    <s v="No"/>
  </r>
  <r>
    <n v="2111"/>
    <n v="415959"/>
    <s v="P"/>
    <s v="Capitalized"/>
    <s v="6 YD FL CONTAINERS"/>
    <m/>
    <m/>
    <n v="6"/>
    <m/>
    <n v="0"/>
    <m/>
    <m/>
    <s v="CONTAINERS"/>
    <s v="REL METAL"/>
    <m/>
    <s v="6 YD"/>
    <s v="FEL/REL/SL Metal"/>
    <d v="2024-04-29T00:00:00"/>
    <d v="2024-04-29T00:00:00"/>
    <s v="2111-24-0026-1"/>
    <n v="1200"/>
    <n v="14050"/>
    <n v="9215.3700000000008"/>
    <n v="14056"/>
    <n v="319.98"/>
    <n v="8895.3900000000012"/>
    <n v="319.98"/>
    <n v="54260"/>
    <n v="64"/>
    <s v="P"/>
    <m/>
    <m/>
    <s v=" "/>
    <s v="STL"/>
    <s v="YES"/>
    <s v="TBD"/>
    <m/>
    <x v="5"/>
    <n v="4"/>
    <n v="2024"/>
    <n v="2036"/>
    <n v="2036.3333333333333"/>
    <n v="63.995625000000011"/>
    <n v="767.9475000000001"/>
    <n v="767.9475000000001"/>
    <n v="0"/>
    <n v="767.9475000000001"/>
    <n v="8447.4225000000006"/>
    <s v="No"/>
  </r>
  <r>
    <n v="2111"/>
    <n v="415958"/>
    <s v="P"/>
    <s v="Capitalized"/>
    <s v="6 YD FL CONTAINERS"/>
    <m/>
    <m/>
    <n v="7"/>
    <m/>
    <n v="0"/>
    <m/>
    <m/>
    <s v="CONTAINERS"/>
    <s v="REL METAL"/>
    <m/>
    <s v="6 YD"/>
    <s v="FEL/REL/SL Metal"/>
    <d v="2024-04-29T00:00:00"/>
    <d v="2024-04-29T00:00:00"/>
    <s v="2111-24-0026-1"/>
    <n v="1200"/>
    <n v="14050"/>
    <n v="10751.27"/>
    <n v="14056"/>
    <n v="373.3"/>
    <n v="10377.970000000001"/>
    <n v="373.3"/>
    <n v="54260"/>
    <n v="74.66"/>
    <s v="P"/>
    <m/>
    <m/>
    <s v=" "/>
    <s v="STL"/>
    <s v="YES"/>
    <s v="TBD"/>
    <m/>
    <x v="5"/>
    <n v="4"/>
    <n v="2024"/>
    <n v="2036"/>
    <n v="2036.3333333333333"/>
    <n v="74.661597222222227"/>
    <n v="895.93916666666678"/>
    <n v="895.93916666666678"/>
    <n v="0"/>
    <n v="895.93916666666678"/>
    <n v="9855.3308333333334"/>
    <s v="No"/>
  </r>
  <r>
    <n v="2111"/>
    <n v="414761"/>
    <n v="406463"/>
    <s v="Capitalized"/>
    <s v="2024 Peterbilt FEL Truck- Body"/>
    <m/>
    <m/>
    <n v="1"/>
    <s v="3BPDXKEX3RF697497"/>
    <n v="2024"/>
    <m/>
    <s v="Peterbilt"/>
    <s v="TRUCKS AND TRAILERS"/>
    <s v="FRONT LOADER"/>
    <s v="Front Loader"/>
    <m/>
    <m/>
    <d v="2024-06-14T00:00:00"/>
    <d v="2024-06-14T00:00:00"/>
    <s v="2111-24-0009-1"/>
    <n v="1000"/>
    <n v="14040"/>
    <n v="194590.46"/>
    <n v="14046"/>
    <n v="6486.36"/>
    <n v="188104.1"/>
    <n v="6486.36"/>
    <n v="51260"/>
    <n v="1621.59"/>
    <s v="P"/>
    <m/>
    <m/>
    <s v=" "/>
    <s v="STL"/>
    <s v="YES"/>
    <s v="921"/>
    <s v="Front Load"/>
    <x v="0"/>
    <n v="6"/>
    <n v="2024"/>
    <n v="2034"/>
    <n v="2034.5"/>
    <n v="1621.5871666666665"/>
    <n v="19459.045999999998"/>
    <n v="19459.045999999998"/>
    <n v="0"/>
    <n v="19459.045999999998"/>
    <n v="175131.41399999999"/>
    <s v="No"/>
  </r>
  <r>
    <n v="2111"/>
    <n v="414527"/>
    <s v="P"/>
    <s v="Capitalized"/>
    <s v="20 Gallon Garbage Inserts"/>
    <m/>
    <m/>
    <n v="200"/>
    <m/>
    <n v="0"/>
    <m/>
    <m/>
    <s v="CONTAINERS"/>
    <s v="CARTS PLASTIC"/>
    <m/>
    <s v="21 Gal"/>
    <s v="Carts/Toters"/>
    <d v="2024-07-23T00:00:00"/>
    <d v="2024-07-23T00:00:00"/>
    <s v="2111-24-0031-1"/>
    <n v="700"/>
    <n v="14050"/>
    <n v="5994.94"/>
    <n v="14056"/>
    <n v="142.74"/>
    <n v="5852.2"/>
    <n v="142.74"/>
    <n v="54260"/>
    <n v="71.37"/>
    <s v="P"/>
    <m/>
    <m/>
    <s v=" "/>
    <s v="STL"/>
    <s v="YES"/>
    <s v="TBD"/>
    <m/>
    <x v="7"/>
    <n v="7"/>
    <n v="2024"/>
    <n v="2031"/>
    <n v="2031.5833333333333"/>
    <n v="71.368333333333325"/>
    <n v="856.41999999999985"/>
    <n v="856.41999999999985"/>
    <n v="0"/>
    <n v="856.41999999999985"/>
    <n v="5138.5199999999995"/>
    <s v="No"/>
  </r>
  <r>
    <n v="2111"/>
    <n v="413846"/>
    <n v="406463"/>
    <s v="Capitalized"/>
    <s v="Install of Graphics"/>
    <m/>
    <m/>
    <n v="1"/>
    <s v="Truck 921"/>
    <n v="0"/>
    <m/>
    <m/>
    <s v="TRUCKS AND TRAILERS"/>
    <s v="FRONT LOADER"/>
    <s v="Front Loader"/>
    <m/>
    <m/>
    <d v="2024-06-14T00:00:00"/>
    <d v="2024-06-14T00:00:00"/>
    <s v="2111-24-0009-1"/>
    <n v="1000"/>
    <n v="14040"/>
    <n v="1167.06"/>
    <n v="14046"/>
    <n v="38.92"/>
    <n v="1128.1399999999999"/>
    <n v="38.92"/>
    <n v="51260"/>
    <n v="9.73"/>
    <s v="P"/>
    <m/>
    <m/>
    <s v=" "/>
    <s v="STL"/>
    <s v="YES"/>
    <s v="921"/>
    <s v="Front Load"/>
    <x v="0"/>
    <n v="6"/>
    <n v="2024"/>
    <n v="2034"/>
    <n v="2034.5"/>
    <n v="9.7254999999999985"/>
    <n v="116.70599999999999"/>
    <n v="116.70599999999999"/>
    <n v="0"/>
    <n v="116.70599999999999"/>
    <n v="1050.354"/>
    <s v="No"/>
  </r>
  <r>
    <n v="2111"/>
    <n v="413776"/>
    <n v="406463"/>
    <s v="Capitalized"/>
    <s v="Licensing Truck 921"/>
    <m/>
    <m/>
    <n v="1"/>
    <s v="3BPDXKEX3RF697497"/>
    <n v="0"/>
    <m/>
    <m/>
    <s v="TRUCKS AND TRAILERS"/>
    <s v="FRONT LOADER"/>
    <s v="Front Loader"/>
    <m/>
    <m/>
    <d v="2024-06-14T00:00:00"/>
    <d v="2024-06-14T00:00:00"/>
    <s v="2111-24-0009-1"/>
    <n v="1000"/>
    <n v="14040"/>
    <n v="1414.12"/>
    <n v="14046"/>
    <n v="47.12"/>
    <n v="1367"/>
    <n v="47.12"/>
    <n v="51260"/>
    <n v="11.78"/>
    <s v="P"/>
    <m/>
    <m/>
    <s v=" "/>
    <s v="STL"/>
    <s v="YES"/>
    <s v="921"/>
    <s v="Front Load"/>
    <x v="0"/>
    <n v="6"/>
    <n v="2024"/>
    <n v="2034"/>
    <n v="2034.5"/>
    <n v="11.784333333333331"/>
    <n v="141.41199999999998"/>
    <n v="141.41199999999998"/>
    <n v="0"/>
    <n v="141.41199999999998"/>
    <n v="1272.7079999999999"/>
    <s v="No"/>
  </r>
  <r>
    <n v="2111"/>
    <n v="413706"/>
    <s v="P"/>
    <s v="Capitalized"/>
    <s v="2022 Isuzu Box Van Truck - PKG"/>
    <m/>
    <m/>
    <n v="1"/>
    <s v="JALC4W168N7K03030"/>
    <n v="2022"/>
    <m/>
    <s v="Isuzu"/>
    <s v="TRUCKS AND TRAILERS"/>
    <s v="CONTAINER DELIVERY TRUCK"/>
    <s v="Container Delivery Truck"/>
    <m/>
    <m/>
    <d v="2024-06-28T00:00:00"/>
    <d v="2024-06-28T00:00:00"/>
    <s v="2111-24-0017-1"/>
    <n v="800"/>
    <n v="14040"/>
    <n v="63415.6"/>
    <n v="14046"/>
    <n v="1981.74"/>
    <n v="61433.86"/>
    <n v="1981.74"/>
    <n v="51260"/>
    <n v="660.58"/>
    <s v="P"/>
    <m/>
    <m/>
    <s v=" "/>
    <s v="STL"/>
    <s v="YES"/>
    <s v="C-16"/>
    <s v="Cont. Del"/>
    <x v="2"/>
    <n v="6"/>
    <n v="2024"/>
    <n v="2032"/>
    <n v="2032.5"/>
    <n v="660.57916666666665"/>
    <n v="7926.95"/>
    <n v="7926.95"/>
    <n v="0"/>
    <n v="7926.95"/>
    <n v="55488.65"/>
    <s v="No"/>
  </r>
  <r>
    <n v="2111"/>
    <n v="412943"/>
    <s v="P"/>
    <s v="Capitalized"/>
    <s v="2025 Peterbilt ASL Truck"/>
    <m/>
    <m/>
    <n v="1"/>
    <s v="3BPDLK0X4SF693905"/>
    <n v="2025"/>
    <m/>
    <s v="Peterbilt"/>
    <s v="TRUCKS AND TRAILERS"/>
    <s v="AUTOMATED SIDE LOADER"/>
    <s v="Automated Side Loader"/>
    <m/>
    <m/>
    <d v="2024-06-06T00:00:00"/>
    <d v="2024-06-06T00:00:00"/>
    <s v="2111-24-0006-1"/>
    <n v="1000"/>
    <n v="14040"/>
    <n v="240512.84"/>
    <n v="14046"/>
    <n v="8017.08"/>
    <n v="232495.76"/>
    <n v="8017.08"/>
    <n v="51260"/>
    <n v="2004.27"/>
    <s v="P"/>
    <m/>
    <m/>
    <s v=" "/>
    <s v="STL"/>
    <s v="YES"/>
    <s v="TBD"/>
    <m/>
    <x v="0"/>
    <n v="6"/>
    <n v="2024"/>
    <n v="2034"/>
    <n v="2034.5"/>
    <n v="2004.2736666666667"/>
    <n v="24051.284"/>
    <n v="24051.284"/>
    <n v="0"/>
    <n v="24051.284"/>
    <n v="216461.55599999998"/>
    <s v="No"/>
  </r>
  <r>
    <n v="2111"/>
    <n v="412331"/>
    <s v="P"/>
    <s v="Capitalized"/>
    <s v="95 GAL YW CARTS"/>
    <m/>
    <m/>
    <n v="702"/>
    <m/>
    <n v="0"/>
    <m/>
    <m/>
    <s v="CONTAINERS"/>
    <s v="CARTS PLASTIC"/>
    <m/>
    <s v="95 Gal"/>
    <s v="Carts/Toters"/>
    <d v="2024-06-22T00:00:00"/>
    <d v="2024-06-22T00:00:00"/>
    <s v="2111-24-0029-1"/>
    <n v="700"/>
    <n v="14050"/>
    <n v="40384.129999999997"/>
    <n v="14056"/>
    <n v="1442.28"/>
    <n v="38941.85"/>
    <n v="1442.28"/>
    <n v="54260"/>
    <n v="480.76"/>
    <s v="P"/>
    <m/>
    <m/>
    <s v=" "/>
    <s v="STL"/>
    <s v="YES"/>
    <s v="TBD"/>
    <m/>
    <x v="7"/>
    <n v="6"/>
    <n v="2024"/>
    <n v="2031"/>
    <n v="2031.5"/>
    <n v="480.7634523809524"/>
    <n v="5769.1614285714286"/>
    <n v="5769.1614285714286"/>
    <n v="0"/>
    <n v="5769.1614285714286"/>
    <n v="34614.968571428566"/>
    <s v="No"/>
  </r>
  <r>
    <n v="2111"/>
    <n v="412330"/>
    <s v="P"/>
    <s v="Capitalized"/>
    <s v="2 YD REL CONTAINERS"/>
    <m/>
    <m/>
    <n v="14"/>
    <m/>
    <n v="0"/>
    <m/>
    <m/>
    <s v="CONTAINERS"/>
    <s v="REL METAL"/>
    <m/>
    <s v="2 YD"/>
    <s v="FEL/REL/SL Metal"/>
    <d v="2024-04-29T00:00:00"/>
    <d v="2024-04-29T00:00:00"/>
    <s v="2111-24-0026-1"/>
    <n v="1200"/>
    <n v="14050"/>
    <n v="13101.9"/>
    <n v="14056"/>
    <n v="454.94"/>
    <n v="12646.96"/>
    <n v="454.94"/>
    <n v="54260"/>
    <n v="90.99"/>
    <s v="P"/>
    <m/>
    <m/>
    <s v=" "/>
    <s v="STL"/>
    <s v="YES"/>
    <s v="TBD"/>
    <m/>
    <x v="5"/>
    <n v="4"/>
    <n v="2024"/>
    <n v="2036"/>
    <n v="2036.3333333333333"/>
    <n v="90.985416666666666"/>
    <n v="1091.825"/>
    <n v="1091.825"/>
    <n v="0"/>
    <n v="1091.825"/>
    <n v="12010.074999999999"/>
    <s v="No"/>
  </r>
  <r>
    <n v="2111"/>
    <n v="412264"/>
    <s v="P"/>
    <s v="Capitalized"/>
    <s v="2 YD REL CONTAINERS"/>
    <m/>
    <m/>
    <n v="6"/>
    <m/>
    <n v="0"/>
    <m/>
    <m/>
    <s v="CONTAINERS"/>
    <s v="REL METAL"/>
    <m/>
    <s v="2 YD"/>
    <s v="FEL/REL/SL Metal"/>
    <d v="2024-04-29T00:00:00"/>
    <d v="2024-04-29T00:00:00"/>
    <s v="2111-24-0026-1"/>
    <n v="1200"/>
    <n v="14050"/>
    <n v="5615.1"/>
    <n v="14056"/>
    <n v="194.95"/>
    <n v="5420.1500000000005"/>
    <n v="194.95"/>
    <n v="54260"/>
    <n v="38.99"/>
    <s v="P"/>
    <m/>
    <m/>
    <s v=" "/>
    <s v="STL"/>
    <s v="YES"/>
    <s v="TBD"/>
    <m/>
    <x v="5"/>
    <n v="4"/>
    <n v="2024"/>
    <n v="2036"/>
    <n v="2036.3333333333333"/>
    <n v="38.993749999999999"/>
    <n v="467.92499999999995"/>
    <n v="467.92499999999995"/>
    <n v="0"/>
    <n v="467.92499999999995"/>
    <n v="5147.1750000000002"/>
    <s v="No"/>
  </r>
  <r>
    <n v="2111"/>
    <n v="412256"/>
    <s v="P"/>
    <s v="Capitalized"/>
    <s v="95 GAL RECYCLE CARTS"/>
    <m/>
    <m/>
    <n v="702"/>
    <m/>
    <n v="0"/>
    <m/>
    <m/>
    <s v="CONTAINERS"/>
    <s v="CARTS PLASTIC"/>
    <m/>
    <s v="95 Gal"/>
    <s v="Carts/Toters"/>
    <d v="2024-06-22T00:00:00"/>
    <d v="2024-06-22T00:00:00"/>
    <s v="2111-24-0029-1"/>
    <n v="700"/>
    <n v="14050"/>
    <n v="40384.129999999997"/>
    <n v="14056"/>
    <n v="1442.28"/>
    <n v="38941.85"/>
    <n v="1442.28"/>
    <n v="54260"/>
    <n v="480.76"/>
    <s v="P"/>
    <m/>
    <m/>
    <s v=" "/>
    <s v="STL"/>
    <s v="YES"/>
    <s v="TBD"/>
    <m/>
    <x v="7"/>
    <n v="6"/>
    <n v="2024"/>
    <n v="2031"/>
    <n v="2031.5"/>
    <n v="480.7634523809524"/>
    <n v="5769.1614285714286"/>
    <n v="5769.1614285714286"/>
    <n v="0"/>
    <n v="5769.1614285714286"/>
    <n v="34614.968571428566"/>
    <s v="No"/>
  </r>
  <r>
    <n v="2111"/>
    <n v="411492"/>
    <s v="P"/>
    <s v="Capitalized"/>
    <s v="HP USB-C G5 Essential Dock - SN; 2TK406ZGMH"/>
    <m/>
    <m/>
    <n v="1"/>
    <m/>
    <n v="0"/>
    <m/>
    <m/>
    <s v="HARDWARE AND SOFTWARE"/>
    <s v="COMPUTERS"/>
    <m/>
    <m/>
    <m/>
    <d v="2024-04-29T00:00:00"/>
    <d v="2024-04-29T00:00:00"/>
    <s v="2111-24-0027-1"/>
    <n v="300"/>
    <n v="14110"/>
    <n v="246.61"/>
    <n v="14116"/>
    <n v="34.25"/>
    <n v="212.36"/>
    <n v="34.25"/>
    <n v="70260"/>
    <n v="6.85"/>
    <s v="P"/>
    <m/>
    <m/>
    <s v=" "/>
    <s v="STL"/>
    <s v="YES"/>
    <s v="TBD"/>
    <m/>
    <x v="10"/>
    <n v="4"/>
    <n v="2024"/>
    <n v="2027"/>
    <n v="2027.3333333333333"/>
    <n v="6.8502777777777775"/>
    <n v="82.203333333333333"/>
    <n v="82.203333333333333"/>
    <n v="0"/>
    <n v="82.203333333333333"/>
    <n v="164.40666666666669"/>
    <s v="No"/>
  </r>
  <r>
    <n v="2111"/>
    <n v="411490"/>
    <s v="P"/>
    <s v="Capitalized"/>
    <s v="HP ProBook 450 G10 15.6 Notebook - SN: 5CD4101NKC"/>
    <m/>
    <m/>
    <n v="1"/>
    <m/>
    <n v="0"/>
    <m/>
    <m/>
    <s v="HARDWARE AND SOFTWARE"/>
    <s v="COMPUTERS"/>
    <m/>
    <m/>
    <m/>
    <d v="2024-04-29T00:00:00"/>
    <d v="2024-04-29T00:00:00"/>
    <s v="2111-24-0027-1"/>
    <n v="300"/>
    <n v="14110"/>
    <n v="1073.42"/>
    <n v="14116"/>
    <n v="149.1"/>
    <n v="924.32"/>
    <n v="149.1"/>
    <n v="70260"/>
    <n v="29.82"/>
    <s v="P"/>
    <m/>
    <m/>
    <s v=" "/>
    <s v="STL"/>
    <s v="YES"/>
    <s v="TBD"/>
    <m/>
    <x v="10"/>
    <n v="4"/>
    <n v="2024"/>
    <n v="2027"/>
    <n v="2027.3333333333333"/>
    <n v="29.817222222222224"/>
    <n v="357.80666666666667"/>
    <n v="357.80666666666667"/>
    <n v="0"/>
    <n v="357.80666666666667"/>
    <n v="715.61333333333346"/>
    <s v="No"/>
  </r>
  <r>
    <n v="2111"/>
    <n v="410703"/>
    <s v="P"/>
    <s v="Capitalized"/>
    <s v="HP USB-C G5 Essential Dock - SN: 2TK406ZK93"/>
    <m/>
    <m/>
    <n v="1"/>
    <m/>
    <n v="0"/>
    <m/>
    <m/>
    <s v="HARDWARE AND SOFTWARE"/>
    <s v="COMPUTERS"/>
    <m/>
    <m/>
    <m/>
    <d v="2024-06-07T00:00:00"/>
    <d v="2024-06-07T00:00:00"/>
    <s v="2111-24-0030-1"/>
    <n v="300"/>
    <n v="14110"/>
    <n v="246.61"/>
    <n v="14116"/>
    <n v="27.4"/>
    <n v="219.21"/>
    <n v="27.4"/>
    <n v="70260"/>
    <n v="6.85"/>
    <s v="P"/>
    <m/>
    <m/>
    <s v=" "/>
    <s v="STL"/>
    <s v="YES"/>
    <s v="TBD"/>
    <m/>
    <x v="10"/>
    <n v="6"/>
    <n v="2024"/>
    <n v="2027"/>
    <n v="2027.5"/>
    <n v="6.8502777777777775"/>
    <n v="82.203333333333333"/>
    <n v="82.203333333333333"/>
    <n v="0"/>
    <n v="82.203333333333333"/>
    <n v="164.40666666666669"/>
    <s v="No"/>
  </r>
  <r>
    <n v="2111"/>
    <n v="410669"/>
    <s v="P"/>
    <s v="Capitalized"/>
    <s v="HP ProBook 450 G10 15.6 Notebook - SN: 5CD351K1LL"/>
    <m/>
    <m/>
    <n v="1"/>
    <m/>
    <n v="0"/>
    <m/>
    <m/>
    <s v="HARDWARE AND SOFTWARE"/>
    <s v="COMPUTERS"/>
    <m/>
    <m/>
    <m/>
    <d v="2024-06-07T00:00:00"/>
    <d v="2024-06-07T00:00:00"/>
    <s v="2111-24-0030-1"/>
    <n v="300"/>
    <n v="14110"/>
    <n v="1066.18"/>
    <n v="14116"/>
    <n v="118.48"/>
    <n v="947.7"/>
    <n v="118.48"/>
    <n v="70260"/>
    <n v="29.62"/>
    <s v="P"/>
    <m/>
    <m/>
    <s v=" "/>
    <s v="STL"/>
    <s v="YES"/>
    <s v="TBD"/>
    <m/>
    <x v="10"/>
    <n v="6"/>
    <n v="2024"/>
    <n v="2027"/>
    <n v="2027.5"/>
    <n v="29.616111111111113"/>
    <n v="355.39333333333337"/>
    <n v="355.39333333333337"/>
    <n v="0"/>
    <n v="355.39333333333337"/>
    <n v="710.78666666666663"/>
    <s v="No"/>
  </r>
  <r>
    <n v="2111"/>
    <n v="410046"/>
    <s v="P"/>
    <s v="Capitalized"/>
    <s v="65 Gallon MSW Carts"/>
    <m/>
    <m/>
    <n v="816"/>
    <m/>
    <n v="0"/>
    <m/>
    <m/>
    <s v="CONTAINERS"/>
    <s v="CARTS PLASTIC"/>
    <m/>
    <s v="65 Gal"/>
    <s v="Carts/Toters"/>
    <d v="2024-04-16T00:00:00"/>
    <d v="2024-04-16T00:00:00"/>
    <s v="2111-24-0025-1"/>
    <n v="700"/>
    <n v="14050"/>
    <n v="44184.1"/>
    <n v="14056"/>
    <n v="2630"/>
    <n v="41554.1"/>
    <n v="2630"/>
    <n v="54260"/>
    <n v="526"/>
    <s v="P"/>
    <m/>
    <m/>
    <s v=" "/>
    <s v="STL"/>
    <s v="YES"/>
    <s v="TBD"/>
    <m/>
    <x v="7"/>
    <n v="4"/>
    <n v="2024"/>
    <n v="2031"/>
    <n v="2031.3333333333333"/>
    <n v="526.00119047619046"/>
    <n v="6312.0142857142855"/>
    <n v="6312.0142857142855"/>
    <n v="0"/>
    <n v="6312.0142857142855"/>
    <n v="37872.085714285713"/>
    <s v="No"/>
  </r>
  <r>
    <n v="2111"/>
    <n v="410038"/>
    <s v="P"/>
    <s v="Capitalized"/>
    <s v="20 Gallon Garbage Inserts"/>
    <m/>
    <m/>
    <n v="200"/>
    <m/>
    <n v="0"/>
    <m/>
    <m/>
    <s v="CONTAINERS"/>
    <s v="CARTS PLASTIC"/>
    <m/>
    <s v="21 Gal"/>
    <s v="Carts/Toters"/>
    <d v="2024-04-11T00:00:00"/>
    <d v="2024-04-11T00:00:00"/>
    <s v="2111-24-0024-1"/>
    <n v="700"/>
    <n v="14050"/>
    <n v="8036.75"/>
    <n v="14056"/>
    <n v="574.05999999999995"/>
    <n v="7462.6900000000005"/>
    <n v="574.05999999999995"/>
    <n v="54260"/>
    <n v="95.68"/>
    <s v="P"/>
    <m/>
    <m/>
    <s v=" "/>
    <s v="STL"/>
    <s v="YES"/>
    <s v="TBD"/>
    <m/>
    <x v="7"/>
    <n v="4"/>
    <n v="2024"/>
    <n v="2031"/>
    <n v="2031.3333333333333"/>
    <n v="95.675595238095241"/>
    <n v="1148.1071428571429"/>
    <n v="1148.1071428571429"/>
    <n v="0"/>
    <n v="1148.1071428571429"/>
    <n v="6888.6428571428569"/>
    <s v="No"/>
  </r>
  <r>
    <n v="2111"/>
    <n v="408957"/>
    <n v="400287"/>
    <s v="Capitalized"/>
    <s v="Lettering Applied to Truck 883"/>
    <m/>
    <m/>
    <n v="1"/>
    <s v="3BPDLK0X9RF116264"/>
    <n v="0"/>
    <m/>
    <m/>
    <s v="TRUCKS AND TRAILERS"/>
    <s v="AUTOMATED SIDE LOADER"/>
    <s v="Automated Side Loader"/>
    <m/>
    <m/>
    <d v="2024-03-27T00:00:00"/>
    <d v="2024-03-27T00:00:00"/>
    <s v="2111-24-0018-1"/>
    <n v="1000"/>
    <n v="14040"/>
    <n v="1304.69"/>
    <n v="14046"/>
    <n v="65.22"/>
    <n v="1239.47"/>
    <n v="65.22"/>
    <n v="51260"/>
    <n v="10.87"/>
    <s v="P"/>
    <m/>
    <m/>
    <s v=" "/>
    <s v="STL"/>
    <s v="YES"/>
    <s v="883"/>
    <s v="Automated"/>
    <x v="0"/>
    <n v="3"/>
    <n v="2024"/>
    <n v="2034"/>
    <n v="2034.25"/>
    <n v="10.872416666666666"/>
    <n v="130.46899999999999"/>
    <n v="130.46899999999999"/>
    <n v="10.872416666656818"/>
    <n v="141.34141666665681"/>
    <n v="1163.3485833333432"/>
    <s v="No"/>
  </r>
  <r>
    <n v="2111"/>
    <n v="408919"/>
    <s v="P"/>
    <s v="Capitalized"/>
    <s v="Truck Tire Changer"/>
    <m/>
    <m/>
    <n v="1"/>
    <m/>
    <n v="0"/>
    <m/>
    <m/>
    <s v="SHOP EQUIPMENT"/>
    <s v="MISC"/>
    <m/>
    <m/>
    <m/>
    <d v="2024-04-01T00:00:00"/>
    <d v="2024-04-01T00:00:00"/>
    <s v="2111-24-0028-1"/>
    <n v="500"/>
    <n v="14070"/>
    <n v="21177.74"/>
    <n v="14076"/>
    <n v="2117.7600000000002"/>
    <n v="19059.980000000003"/>
    <n v="2117.7600000000002"/>
    <n v="51260"/>
    <n v="352.96"/>
    <s v="P"/>
    <m/>
    <m/>
    <s v=" "/>
    <s v="STL"/>
    <s v="YES"/>
    <s v="TBD"/>
    <m/>
    <x v="1"/>
    <n v="4"/>
    <n v="2024"/>
    <n v="2029"/>
    <n v="2029.3333333333333"/>
    <n v="352.96233333333339"/>
    <n v="4235.5480000000007"/>
    <n v="4235.5480000000007"/>
    <n v="0"/>
    <n v="4235.5480000000007"/>
    <n v="16942.192000000003"/>
    <s v="No"/>
  </r>
  <r>
    <n v="2111"/>
    <n v="407409"/>
    <s v="P"/>
    <s v="Capitalized"/>
    <s v="95 Gallon MSW Carts"/>
    <m/>
    <m/>
    <n v="702"/>
    <m/>
    <n v="0"/>
    <m/>
    <m/>
    <s v="CONTAINERS"/>
    <s v="CARTS PLASTIC"/>
    <m/>
    <s v="95 Gal"/>
    <s v="Carts/Toters"/>
    <d v="2024-04-16T00:00:00"/>
    <d v="2024-04-16T00:00:00"/>
    <s v="2111-24-0025-1"/>
    <n v="700"/>
    <n v="14050"/>
    <n v="39997.68"/>
    <n v="14056"/>
    <n v="2380.8000000000002"/>
    <n v="37616.879999999997"/>
    <n v="2380.8000000000002"/>
    <n v="54260"/>
    <n v="476.16"/>
    <s v="P"/>
    <m/>
    <m/>
    <s v=" "/>
    <s v="STL"/>
    <s v="YES"/>
    <s v="TBD"/>
    <s v="Yard waste"/>
    <x v="4"/>
    <n v="4"/>
    <n v="2024"/>
    <n v="2031"/>
    <n v="2031.3333333333333"/>
    <n v="476.16285714285715"/>
    <n v="5713.954285714286"/>
    <n v="5713.954285714286"/>
    <n v="0"/>
    <n v="5713.954285714286"/>
    <n v="34283.725714285712"/>
    <s v="No"/>
  </r>
  <r>
    <n v="2111"/>
    <n v="407152"/>
    <s v="P"/>
    <s v="Capitalized"/>
    <s v="95 Gallon Recycle Carts"/>
    <m/>
    <m/>
    <n v="351"/>
    <m/>
    <n v="0"/>
    <m/>
    <m/>
    <s v="CONTAINERS"/>
    <s v="CARTS PLASTIC"/>
    <m/>
    <s v="95 Gal"/>
    <s v="Carts/Toters"/>
    <d v="2024-04-16T00:00:00"/>
    <d v="2024-04-16T00:00:00"/>
    <s v="2111-24-0025-1"/>
    <n v="700"/>
    <n v="14050"/>
    <n v="19998.84"/>
    <n v="14056"/>
    <n v="1190.4000000000001"/>
    <n v="18808.439999999999"/>
    <n v="1190.4000000000001"/>
    <n v="54260"/>
    <n v="238.08"/>
    <s v="P"/>
    <m/>
    <m/>
    <s v=" "/>
    <s v="STL"/>
    <s v="YES"/>
    <s v="TBD"/>
    <s v="Yard waste"/>
    <x v="4"/>
    <n v="4"/>
    <n v="2024"/>
    <n v="2031"/>
    <n v="2031.3333333333333"/>
    <n v="238.08142857142857"/>
    <n v="2856.977142857143"/>
    <n v="2856.977142857143"/>
    <n v="0"/>
    <n v="2856.977142857143"/>
    <n v="17141.862857142856"/>
    <s v="No"/>
  </r>
  <r>
    <n v="2111"/>
    <n v="407151"/>
    <s v="P"/>
    <s v="Capitalized"/>
    <s v="95 Gallon Yardwaste Carts"/>
    <m/>
    <m/>
    <n v="351"/>
    <m/>
    <n v="0"/>
    <m/>
    <m/>
    <s v="CONTAINERS"/>
    <s v="CARTS PLASTIC"/>
    <m/>
    <s v="95 Gal"/>
    <s v="Carts/Toters"/>
    <d v="2024-04-16T00:00:00"/>
    <d v="2024-04-16T00:00:00"/>
    <s v="2111-24-0025-1"/>
    <n v="700"/>
    <n v="14050"/>
    <n v="19998.84"/>
    <n v="14056"/>
    <n v="1190.4000000000001"/>
    <n v="18808.439999999999"/>
    <n v="1190.4000000000001"/>
    <n v="54260"/>
    <n v="238.08"/>
    <s v="P"/>
    <m/>
    <m/>
    <s v=" "/>
    <s v="STL"/>
    <s v="YES"/>
    <s v="TBD"/>
    <s v="Yard waste"/>
    <x v="4"/>
    <n v="4"/>
    <n v="2024"/>
    <n v="2031"/>
    <n v="2031.3333333333333"/>
    <n v="238.08142857142857"/>
    <n v="2856.977142857143"/>
    <n v="2856.977142857143"/>
    <n v="0"/>
    <n v="2856.977142857143"/>
    <n v="17141.862857142856"/>
    <s v="No"/>
  </r>
  <r>
    <n v="2111"/>
    <n v="406818"/>
    <n v="400287"/>
    <s v="Capitalized"/>
    <s v="2024 Peterbilt ASL Truck - Body - Rollover 2111-23-0010"/>
    <m/>
    <m/>
    <n v="1"/>
    <s v="3BPDLK0X9RF116264"/>
    <n v="2024"/>
    <m/>
    <s v="Peterbilt"/>
    <s v="TRUCKS AND TRAILERS"/>
    <s v="AUTOMATED SIDE LOADER"/>
    <s v="Automated Side Loader"/>
    <m/>
    <m/>
    <d v="2024-03-27T00:00:00"/>
    <d v="2024-03-27T00:00:00"/>
    <s v="2111-24-0018-1"/>
    <n v="1000"/>
    <n v="14040"/>
    <n v="206303.82"/>
    <n v="14046"/>
    <n v="10315.200000000001"/>
    <n v="195988.62"/>
    <n v="10315.200000000001"/>
    <n v="51260"/>
    <n v="1719.2"/>
    <s v="P"/>
    <m/>
    <m/>
    <s v=" "/>
    <s v="STL"/>
    <s v="YES"/>
    <s v="883"/>
    <s v="Automated"/>
    <x v="0"/>
    <n v="3"/>
    <n v="2024"/>
    <n v="2034"/>
    <n v="2034.25"/>
    <n v="1719.1985000000002"/>
    <n v="20630.382000000001"/>
    <n v="20630.382000000001"/>
    <n v="1719.198499998427"/>
    <n v="22349.580499998428"/>
    <n v="183954.23950000157"/>
    <s v="No"/>
  </r>
  <r>
    <n v="2111"/>
    <n v="406519"/>
    <n v="400287"/>
    <s v="Capitalized"/>
    <s v="TRUCK LICENSING 883"/>
    <m/>
    <m/>
    <n v="1"/>
    <s v="3BPDLK0X9RF116264"/>
    <n v="0"/>
    <m/>
    <m/>
    <s v="TRUCKS AND TRAILERS"/>
    <s v="TBA"/>
    <m/>
    <m/>
    <m/>
    <d v="2024-01-02T00:00:00"/>
    <d v="2024-01-02T00:00:00"/>
    <s v="2111-23-0010-1"/>
    <n v="1000"/>
    <n v="14040"/>
    <n v="1380.22"/>
    <n v="14046"/>
    <n v="103.5"/>
    <n v="1276.72"/>
    <n v="103.5"/>
    <n v="51260"/>
    <n v="11.5"/>
    <s v="P"/>
    <m/>
    <m/>
    <s v=" "/>
    <s v="STL"/>
    <s v="YES"/>
    <s v="883"/>
    <s v="Automated"/>
    <x v="0"/>
    <n v="1"/>
    <n v="2024"/>
    <n v="2034"/>
    <n v="2034.0833333333333"/>
    <n v="11.501833333333332"/>
    <n v="138.02199999999999"/>
    <n v="138.02199999999999"/>
    <n v="34.505500000000211"/>
    <n v="172.5275000000002"/>
    <n v="1207.6924999999999"/>
    <s v="No"/>
  </r>
  <r>
    <n v="2111"/>
    <n v="406464"/>
    <s v="P"/>
    <s v="Capitalized"/>
    <s v="2023 Gas GMC Savana 3500 Highroof Van"/>
    <m/>
    <m/>
    <n v="1"/>
    <s v="7GZ37TC79PN001313"/>
    <n v="2023"/>
    <m/>
    <s v="GMC"/>
    <s v="TRUCKS AND TRAILERS"/>
    <s v="SERVICE TRUCK"/>
    <s v="Service Truck"/>
    <m/>
    <m/>
    <d v="2024-06-30T00:00:00"/>
    <d v="2024-04-23T00:00:00"/>
    <s v="2111-24-0011-1"/>
    <n v="1000"/>
    <n v="14040"/>
    <n v="68787.69"/>
    <n v="14046"/>
    <n v="1719.69"/>
    <n v="67068"/>
    <n v="1719.69"/>
    <n v="51260"/>
    <n v="573.23"/>
    <s v="P"/>
    <m/>
    <m/>
    <s v=" "/>
    <s v="STL"/>
    <s v="YES"/>
    <s v="129"/>
    <s v="Service Truck"/>
    <x v="9"/>
    <n v="6"/>
    <n v="2024"/>
    <n v="2034"/>
    <n v="2034.5"/>
    <n v="573.23075000000006"/>
    <n v="6878.7690000000002"/>
    <n v="6878.7690000000002"/>
    <n v="0"/>
    <n v="6878.7690000000002"/>
    <n v="61908.921000000002"/>
    <s v="No"/>
  </r>
  <r>
    <n v="2111"/>
    <n v="406463"/>
    <s v="P"/>
    <s v="Capitalized"/>
    <s v="2024 Peterbilt FEL Truck"/>
    <m/>
    <m/>
    <n v="1"/>
    <s v="3BPDXKEX3RF697497"/>
    <n v="2024"/>
    <m/>
    <s v="Peterbilt"/>
    <s v="TRUCKS AND TRAILERS"/>
    <s v="FRONT LOADER"/>
    <s v="Front Loader"/>
    <m/>
    <m/>
    <d v="2024-06-14T00:00:00"/>
    <d v="2024-04-23T00:00:00"/>
    <s v="2111-24-0009-1"/>
    <n v="1000"/>
    <n v="14040"/>
    <n v="240006.76"/>
    <n v="14046"/>
    <n v="8000.24"/>
    <n v="232006.52000000002"/>
    <n v="8000.24"/>
    <n v="51260"/>
    <n v="2000.06"/>
    <s v="P"/>
    <m/>
    <m/>
    <s v=" "/>
    <s v="STL"/>
    <s v="YES"/>
    <s v="921"/>
    <s v="Front Load"/>
    <x v="0"/>
    <n v="6"/>
    <n v="2024"/>
    <n v="2034"/>
    <n v="2034.5"/>
    <n v="2000.0563333333332"/>
    <n v="24000.675999999999"/>
    <n v="24000.675999999999"/>
    <n v="0"/>
    <n v="24000.675999999999"/>
    <n v="216006.084"/>
    <s v="No"/>
  </r>
  <r>
    <n v="2111"/>
    <n v="405339"/>
    <n v="400146"/>
    <s v="Capitalized"/>
    <s v="Truck Licensing"/>
    <m/>
    <m/>
    <n v="1"/>
    <m/>
    <n v="0"/>
    <m/>
    <m/>
    <s v="TRUCKS AND TRAILERS"/>
    <s v="TBA"/>
    <m/>
    <m/>
    <m/>
    <d v="2024-01-02T00:00:00"/>
    <d v="2024-01-02T00:00:00"/>
    <s v="2111-23-0012-1"/>
    <n v="1000"/>
    <n v="14040"/>
    <n v="755.25"/>
    <n v="14046"/>
    <n v="56.61"/>
    <n v="698.64"/>
    <n v="56.61"/>
    <n v="51260"/>
    <n v="6.29"/>
    <s v="P"/>
    <m/>
    <m/>
    <s v=" "/>
    <s v="STL"/>
    <s v="YES"/>
    <s v="TBD"/>
    <m/>
    <x v="0"/>
    <n v="1"/>
    <n v="2024"/>
    <n v="2034"/>
    <n v="2034.0833333333333"/>
    <n v="6.2937500000000002"/>
    <n v="75.525000000000006"/>
    <n v="75.525000000000006"/>
    <n v="18.881250000000023"/>
    <n v="94.406250000000028"/>
    <n v="660.84375"/>
    <s v="No"/>
  </r>
  <r>
    <n v="2111"/>
    <n v="405235"/>
    <n v="400176"/>
    <s v="Capitalized"/>
    <s v="Truck Licensing"/>
    <m/>
    <m/>
    <n v="1"/>
    <s v="3BPDLK0X8RF116269"/>
    <n v="0"/>
    <m/>
    <m/>
    <s v="TRUCKS AND TRAILERS"/>
    <s v="AUTOMATED SIDE LOADER"/>
    <s v="Automated Side Loader"/>
    <m/>
    <m/>
    <d v="2024-02-08T00:00:00"/>
    <d v="2024-03-31T00:00:00"/>
    <s v="2111-24-0019-1"/>
    <n v="1000"/>
    <n v="14040"/>
    <n v="755.24"/>
    <n v="14046"/>
    <n v="50.32"/>
    <n v="704.92"/>
    <n v="50.32"/>
    <n v="51260"/>
    <n v="6.29"/>
    <s v="P"/>
    <m/>
    <m/>
    <s v=" "/>
    <s v="STL"/>
    <s v="YES"/>
    <s v="TBD"/>
    <m/>
    <x v="0"/>
    <n v="2"/>
    <n v="2024"/>
    <n v="2034"/>
    <n v="2034.1666666666667"/>
    <n v="6.2936666666666667"/>
    <n v="75.524000000000001"/>
    <n v="75.524000000000001"/>
    <n v="12.587333333321908"/>
    <n v="88.111333333321909"/>
    <n v="667.1286666666781"/>
    <s v="No"/>
  </r>
  <r>
    <n v="2111"/>
    <n v="405104"/>
    <n v="319564"/>
    <s v="Capitalized"/>
    <s v="Truck Licensing"/>
    <m/>
    <m/>
    <n v="1"/>
    <s v="3BPDLK0X4RF116270"/>
    <n v="0"/>
    <m/>
    <m/>
    <s v="TRUCKS AND TRAILERS"/>
    <s v="TBA"/>
    <m/>
    <m/>
    <m/>
    <d v="2024-01-02T00:00:00"/>
    <d v="2024-01-02T00:00:00"/>
    <s v="2111-23-0022-1"/>
    <n v="1000"/>
    <n v="14040"/>
    <n v="755.25"/>
    <n v="14046"/>
    <n v="56.61"/>
    <n v="698.64"/>
    <n v="56.61"/>
    <n v="51260"/>
    <n v="6.29"/>
    <s v="P"/>
    <m/>
    <m/>
    <s v=" "/>
    <s v="STL"/>
    <s v="YES"/>
    <s v="881"/>
    <s v="Automated"/>
    <x v="0"/>
    <n v="1"/>
    <n v="2024"/>
    <n v="2034"/>
    <n v="2034.0833333333333"/>
    <n v="6.2937500000000002"/>
    <n v="75.525000000000006"/>
    <n v="75.525000000000006"/>
    <n v="18.881250000000023"/>
    <n v="94.406250000000028"/>
    <n v="660.84375"/>
    <s v="No"/>
  </r>
  <r>
    <n v="2111"/>
    <n v="405103"/>
    <n v="319563"/>
    <s v="Capitalized"/>
    <s v="Truck Licensing"/>
    <m/>
    <m/>
    <n v="1"/>
    <s v="3BPDLK0X4RF116267"/>
    <n v="0"/>
    <m/>
    <m/>
    <s v="TRUCKS AND TRAILERS"/>
    <s v="TBA"/>
    <m/>
    <m/>
    <m/>
    <d v="2024-01-02T00:00:00"/>
    <d v="2024-01-02T00:00:00"/>
    <s v="2111-23-0021-1"/>
    <n v="1000"/>
    <n v="14040"/>
    <n v="1255.29"/>
    <n v="14046"/>
    <n v="94.14"/>
    <n v="1161.1499999999999"/>
    <n v="94.14"/>
    <n v="51260"/>
    <n v="10.46"/>
    <s v="P"/>
    <m/>
    <m/>
    <s v=" "/>
    <s v="STL"/>
    <s v="YES"/>
    <s v="878"/>
    <s v="Automated"/>
    <x v="0"/>
    <n v="1"/>
    <n v="2024"/>
    <n v="2034"/>
    <n v="2034.0833333333333"/>
    <n v="10.460749999999999"/>
    <n v="125.529"/>
    <n v="125.529"/>
    <n v="31.382250000000113"/>
    <n v="156.91125000000011"/>
    <n v="1098.3787499999999"/>
    <s v="No"/>
  </r>
  <r>
    <n v="2111"/>
    <n v="405102"/>
    <n v="319562"/>
    <s v="Capitalized"/>
    <s v="Truck Licensing"/>
    <m/>
    <m/>
    <n v="1"/>
    <s v="3BPDLK0X0RF116265"/>
    <n v="0"/>
    <m/>
    <m/>
    <s v="TRUCKS AND TRAILERS"/>
    <s v="TBA"/>
    <m/>
    <m/>
    <m/>
    <d v="2024-01-02T00:00:00"/>
    <d v="2024-01-02T00:00:00"/>
    <s v="2111-23-0011-1"/>
    <n v="1000"/>
    <n v="14040"/>
    <n v="755.25"/>
    <n v="14046"/>
    <n v="56.61"/>
    <n v="698.64"/>
    <n v="56.61"/>
    <n v="51260"/>
    <n v="6.29"/>
    <s v="P"/>
    <m/>
    <m/>
    <s v=" "/>
    <s v="STL"/>
    <s v="YES"/>
    <s v="877"/>
    <s v="Automated"/>
    <x v="0"/>
    <n v="1"/>
    <n v="2024"/>
    <n v="2034"/>
    <n v="2034.0833333333333"/>
    <n v="6.2937500000000002"/>
    <n v="75.525000000000006"/>
    <n v="75.525000000000006"/>
    <n v="18.881250000000023"/>
    <n v="94.406250000000028"/>
    <n v="660.84375"/>
    <s v="No"/>
  </r>
  <r>
    <n v="2111"/>
    <n v="404175"/>
    <n v="400146"/>
    <s v="Capitalized"/>
    <s v="Truck Lettering"/>
    <m/>
    <m/>
    <n v="1"/>
    <s v="3BPDLK0X2RF116266"/>
    <n v="0"/>
    <m/>
    <m/>
    <s v="TRUCKS AND TRAILERS"/>
    <s v="TBA"/>
    <m/>
    <m/>
    <m/>
    <d v="2024-01-02T00:00:00"/>
    <d v="2024-01-02T00:00:00"/>
    <s v="2111-23-0012-1"/>
    <n v="1000"/>
    <n v="14040"/>
    <n v="1304.68"/>
    <n v="14046"/>
    <n v="97.83"/>
    <n v="1206.8500000000001"/>
    <n v="97.83"/>
    <n v="51260"/>
    <n v="10.87"/>
    <s v="P"/>
    <m/>
    <m/>
    <s v=" "/>
    <s v="STL"/>
    <s v="YES"/>
    <s v="TBD"/>
    <m/>
    <x v="0"/>
    <n v="1"/>
    <n v="2024"/>
    <n v="2034"/>
    <n v="2034.0833333333333"/>
    <n v="10.872333333333335"/>
    <n v="130.46800000000002"/>
    <n v="130.46800000000002"/>
    <n v="32.616999999999734"/>
    <n v="163.08499999999975"/>
    <n v="1141.5950000000003"/>
    <s v="No"/>
  </r>
  <r>
    <n v="2111"/>
    <n v="402948"/>
    <n v="319318"/>
    <s v="Capitalized"/>
    <s v="Installing Graphics #920"/>
    <m/>
    <m/>
    <n v="1"/>
    <n v="920"/>
    <n v="0"/>
    <m/>
    <m/>
    <s v="TRUCKS AND TRAILERS"/>
    <s v="TBA"/>
    <m/>
    <m/>
    <m/>
    <d v="2024-01-02T00:00:00"/>
    <d v="2023-12-07T00:00:00"/>
    <s v="2111-23-0027-1"/>
    <n v="1000"/>
    <n v="14040"/>
    <n v="1304.68"/>
    <n v="14046"/>
    <n v="97.83"/>
    <n v="1206.8500000000001"/>
    <n v="97.83"/>
    <n v="51260"/>
    <n v="10.87"/>
    <s v="P"/>
    <m/>
    <m/>
    <s v=" "/>
    <s v="STL"/>
    <s v="YES"/>
    <s v="920"/>
    <s v="Front Load"/>
    <x v="0"/>
    <n v="1"/>
    <n v="2024"/>
    <n v="2034"/>
    <n v="2034.0833333333333"/>
    <n v="10.872333333333335"/>
    <n v="130.46800000000002"/>
    <n v="130.46800000000002"/>
    <n v="32.616999999999734"/>
    <n v="163.08499999999975"/>
    <n v="1141.5950000000003"/>
    <s v="No"/>
  </r>
  <r>
    <n v="2111"/>
    <n v="402947"/>
    <n v="319563"/>
    <s v="Capitalized"/>
    <s v="DECALS 2024 ASL TRUCK"/>
    <m/>
    <m/>
    <n v="1"/>
    <s v="3BPDLK0X4RF116267"/>
    <n v="0"/>
    <m/>
    <m/>
    <s v="TRUCKS AND TRAILERS"/>
    <s v="TBA"/>
    <m/>
    <m/>
    <m/>
    <d v="2024-01-02T00:00:00"/>
    <d v="2023-12-14T00:00:00"/>
    <s v="2111-23-0021-1"/>
    <n v="1000"/>
    <n v="14040"/>
    <n v="1238.6300000000001"/>
    <n v="14046"/>
    <n v="92.88"/>
    <n v="1145.75"/>
    <n v="92.88"/>
    <n v="51260"/>
    <n v="10.32"/>
    <s v="P"/>
    <m/>
    <m/>
    <s v=" "/>
    <s v="STL"/>
    <s v="YES"/>
    <s v="878"/>
    <s v="Automated"/>
    <x v="0"/>
    <n v="1"/>
    <n v="2024"/>
    <n v="2034"/>
    <n v="2034.0833333333333"/>
    <n v="10.321916666666668"/>
    <n v="123.86300000000003"/>
    <n v="123.86300000000003"/>
    <n v="30.965749999999844"/>
    <n v="154.82874999999987"/>
    <n v="1083.8012500000002"/>
    <s v="No"/>
  </r>
  <r>
    <n v="2111"/>
    <n v="402705"/>
    <n v="319317"/>
    <s v="Capitalized"/>
    <s v="Graphics to Cab of Tractor #453"/>
    <m/>
    <m/>
    <n v="1"/>
    <s v="1NPCX4EX6RD641402"/>
    <n v="0"/>
    <m/>
    <s v="N/A"/>
    <s v="TRUCKS AND TRAILERS"/>
    <s v="TBA"/>
    <m/>
    <m/>
    <m/>
    <d v="2024-01-02T00:00:00"/>
    <d v="1900-01-01T00:00:00"/>
    <s v="2111-23-0004-1"/>
    <n v="1000"/>
    <n v="14040"/>
    <n v="357.83"/>
    <n v="14046"/>
    <n v="26.82"/>
    <n v="331.01"/>
    <n v="26.82"/>
    <n v="51260"/>
    <n v="2.98"/>
    <s v="P"/>
    <m/>
    <m/>
    <s v=" "/>
    <s v="STL"/>
    <s v="YES"/>
    <s v="453"/>
    <s v="Roll Off"/>
    <x v="11"/>
    <n v="1"/>
    <n v="2024"/>
    <n v="2034"/>
    <n v="2034.0833333333333"/>
    <n v="2.9819166666666668"/>
    <n v="35.783000000000001"/>
    <n v="35.783000000000001"/>
    <n v="8.9457499999999754"/>
    <n v="44.728749999999977"/>
    <n v="313.10124999999999"/>
    <s v="No"/>
  </r>
  <r>
    <n v="2111"/>
    <n v="402019"/>
    <s v="P"/>
    <s v="Capitalized"/>
    <s v="95 Gal Carts"/>
    <m/>
    <m/>
    <n v="702"/>
    <m/>
    <n v="0"/>
    <m/>
    <m/>
    <s v="CONTAINERS"/>
    <s v="CARTS PLASTIC"/>
    <m/>
    <s v="95 Gal"/>
    <s v="Carts/Toters"/>
    <d v="2024-01-22T00:00:00"/>
    <d v="2024-01-22T00:00:00"/>
    <s v="2111-24-0022-1"/>
    <n v="700"/>
    <n v="14050"/>
    <n v="42509.61"/>
    <n v="14056"/>
    <n v="4048.56"/>
    <n v="38461.050000000003"/>
    <n v="4048.56"/>
    <n v="54260"/>
    <n v="506.07"/>
    <s v="P"/>
    <m/>
    <m/>
    <s v=" "/>
    <s v="STL"/>
    <s v="YES"/>
    <s v="TBD"/>
    <m/>
    <x v="7"/>
    <n v="1"/>
    <n v="2024"/>
    <n v="2031"/>
    <n v="2031.0833333333333"/>
    <n v="506.06678571428574"/>
    <n v="6072.8014285714289"/>
    <n v="6072.8014285714289"/>
    <n v="1518.2003571428577"/>
    <n v="7591.0017857142866"/>
    <n v="34918.608214285712"/>
    <s v="No"/>
  </r>
  <r>
    <n v="2111"/>
    <n v="402005"/>
    <n v="400531"/>
    <s v="Capitalized"/>
    <s v="New Walking Floor Trailer (UTC) - Licensing"/>
    <m/>
    <m/>
    <n v="1"/>
    <s v="1W91S5348RM288188"/>
    <n v="0"/>
    <m/>
    <s v="N/A"/>
    <s v="TRUCKS AND TRAILERS"/>
    <s v="WALKING FLOOR TRAILER"/>
    <s v="Walking Floor Trailer"/>
    <m/>
    <m/>
    <d v="2024-01-02T00:00:00"/>
    <d v="2024-01-02T00:00:00"/>
    <s v="2111-23-0026-1"/>
    <n v="700"/>
    <n v="14040"/>
    <n v="16360.28"/>
    <n v="14046"/>
    <n v="1752.93"/>
    <n v="14607.35"/>
    <n v="1752.93"/>
    <n v="51260"/>
    <n v="194.77"/>
    <s v="P"/>
    <m/>
    <m/>
    <s v=" "/>
    <s v="STL"/>
    <s v="YES"/>
    <s v="TBD"/>
    <m/>
    <x v="12"/>
    <n v="1"/>
    <n v="2024"/>
    <n v="2031"/>
    <n v="2031.0833333333333"/>
    <n v="194.76523809523812"/>
    <n v="2337.1828571428573"/>
    <n v="2337.1828571428573"/>
    <n v="584.29571428571398"/>
    <n v="2921.4785714285713"/>
    <n v="13438.801428571429"/>
    <s v="No"/>
  </r>
  <r>
    <n v="2111"/>
    <n v="401986"/>
    <n v="400530"/>
    <s v="Capitalized"/>
    <s v="New Walking Floor Trailer (UTC) - Licensing"/>
    <m/>
    <m/>
    <n v="1"/>
    <s v="1W91S5346RM288187"/>
    <n v="0"/>
    <m/>
    <s v="N/A"/>
    <s v="TRUCKS AND TRAILERS"/>
    <s v="WALKING FLOOR TRAILER"/>
    <s v="Walking Floor Trailer"/>
    <m/>
    <m/>
    <d v="2024-01-02T00:00:00"/>
    <d v="2024-01-02T00:00:00"/>
    <s v="2111-23-0025-1"/>
    <n v="700"/>
    <n v="14040"/>
    <n v="16360.28"/>
    <n v="14046"/>
    <n v="1752.93"/>
    <n v="14607.35"/>
    <n v="1752.93"/>
    <n v="51260"/>
    <n v="194.77"/>
    <s v="P"/>
    <m/>
    <m/>
    <s v=" "/>
    <s v="STL"/>
    <s v="YES"/>
    <s v="WF-32"/>
    <s v="Trailer"/>
    <x v="12"/>
    <n v="1"/>
    <n v="2024"/>
    <n v="2031"/>
    <n v="2031.0833333333333"/>
    <n v="194.76523809523812"/>
    <n v="2337.1828571428573"/>
    <n v="2337.1828571428573"/>
    <n v="584.29571428571398"/>
    <n v="2921.4785714285713"/>
    <n v="13438.801428571429"/>
    <s v="No"/>
  </r>
  <r>
    <n v="2111"/>
    <n v="401824"/>
    <s v="P"/>
    <s v="Capitalized"/>
    <s v="95 Gal Carts"/>
    <m/>
    <m/>
    <n v="702"/>
    <m/>
    <n v="0"/>
    <m/>
    <m/>
    <s v="CONTAINERS"/>
    <s v="CARTS PLASTIC"/>
    <m/>
    <s v="95 Gal"/>
    <s v="Carts/Toters"/>
    <d v="2024-01-22T00:00:00"/>
    <d v="2024-01-22T00:00:00"/>
    <s v="2111-24-0022-1"/>
    <n v="700"/>
    <n v="14050"/>
    <n v="42509.61"/>
    <n v="14056"/>
    <n v="4048.56"/>
    <n v="38461.050000000003"/>
    <n v="4048.56"/>
    <n v="54260"/>
    <n v="506.07"/>
    <s v="P"/>
    <m/>
    <m/>
    <s v=" "/>
    <s v="STL"/>
    <s v="YES"/>
    <s v="TBD"/>
    <m/>
    <x v="7"/>
    <n v="1"/>
    <n v="2024"/>
    <n v="2031"/>
    <n v="2031.0833333333333"/>
    <n v="506.06678571428574"/>
    <n v="6072.8014285714289"/>
    <n v="6072.8014285714289"/>
    <n v="1518.2003571428577"/>
    <n v="7591.0017857142866"/>
    <n v="34918.608214285712"/>
    <s v="No"/>
  </r>
  <r>
    <n v="2111"/>
    <n v="401747"/>
    <s v="P"/>
    <s v="Capitalized"/>
    <s v="2024 Peterbilt ASL Truck - Body - Rollover 2111-23-0012"/>
    <m/>
    <m/>
    <n v="1"/>
    <s v="3BPDLK0X2RF116266"/>
    <n v="2024"/>
    <m/>
    <s v="Peterbilt"/>
    <s v="TRUCKS AND TRAILERS"/>
    <s v="AUTOMATED SIDE LOADER"/>
    <s v="Automated Side Loader"/>
    <m/>
    <m/>
    <d v="2024-01-11T00:00:00"/>
    <d v="1900-01-01T00:00:00"/>
    <s v="2111-24-0021-1"/>
    <n v="1000"/>
    <n v="14040"/>
    <n v="206303.82"/>
    <n v="14046"/>
    <n v="15472.8"/>
    <n v="190831.02000000002"/>
    <n v="15472.8"/>
    <n v="51260"/>
    <n v="1719.2"/>
    <s v="P"/>
    <m/>
    <m/>
    <s v=" "/>
    <s v="STL"/>
    <s v="YES"/>
    <s v="880"/>
    <s v="Automated"/>
    <x v="0"/>
    <n v="1"/>
    <n v="2024"/>
    <n v="2034"/>
    <n v="2034.0833333333333"/>
    <n v="1719.1985000000002"/>
    <n v="20630.382000000001"/>
    <n v="20630.382000000001"/>
    <n v="5157.5954999999958"/>
    <n v="25787.977499999997"/>
    <n v="180515.8425"/>
    <s v="No"/>
  </r>
  <r>
    <n v="2111"/>
    <n v="400956"/>
    <n v="319318"/>
    <s v="Capitalized"/>
    <s v="Licensing Truck 453"/>
    <m/>
    <m/>
    <n v="1"/>
    <m/>
    <n v="0"/>
    <s v="WA DOL LIC &amp; REG 31150"/>
    <m/>
    <s v="TRUCKS AND TRAILERS"/>
    <s v="FRONT LOADER"/>
    <s v="Uninsured"/>
    <m/>
    <m/>
    <d v="2024-01-02T00:00:00"/>
    <d v="2024-01-02T00:00:00"/>
    <s v="2111-23-0027-1"/>
    <n v="1000"/>
    <n v="14040"/>
    <n v="942.71"/>
    <n v="14046"/>
    <n v="70.739999999999995"/>
    <n v="871.97"/>
    <n v="70.739999999999995"/>
    <n v="51260"/>
    <n v="7.86"/>
    <s v="P"/>
    <m/>
    <m/>
    <s v=" "/>
    <s v="STL"/>
    <s v="YES"/>
    <s v="920"/>
    <s v="Front Load"/>
    <x v="0"/>
    <n v="1"/>
    <n v="2024"/>
    <n v="2034"/>
    <n v="2034.0833333333333"/>
    <n v="7.8559166666666664"/>
    <n v="94.271000000000001"/>
    <n v="94.271000000000001"/>
    <n v="23.567750000000046"/>
    <n v="117.83875000000005"/>
    <n v="824.87125000000003"/>
    <s v="No"/>
  </r>
  <r>
    <n v="2111"/>
    <n v="400955"/>
    <n v="319316"/>
    <s v="Capitalized"/>
    <s v="Lettering for Sideload 879"/>
    <m/>
    <m/>
    <n v="1"/>
    <m/>
    <n v="0"/>
    <s v="LARSEN SIGN CO"/>
    <m/>
    <s v="TRUCKS AND TRAILERS"/>
    <s v="AUTOMATED SIDE LOADER"/>
    <s v="Uninsured"/>
    <m/>
    <m/>
    <d v="2024-01-02T00:00:00"/>
    <d v="2024-01-02T00:00:00"/>
    <s v="2111-23-0023-1"/>
    <n v="1000"/>
    <n v="14040"/>
    <n v="1304.68"/>
    <n v="14046"/>
    <n v="97.83"/>
    <n v="1206.8500000000001"/>
    <n v="97.83"/>
    <n v="51260"/>
    <n v="10.87"/>
    <s v="P"/>
    <m/>
    <m/>
    <s v=" "/>
    <s v="STL"/>
    <s v="YES"/>
    <s v="879"/>
    <s v="Automated"/>
    <x v="0"/>
    <n v="1"/>
    <n v="2024"/>
    <n v="2034"/>
    <n v="2034.0833333333333"/>
    <n v="10.872333333333335"/>
    <n v="130.46800000000002"/>
    <n v="130.46800000000002"/>
    <n v="32.616999999999734"/>
    <n v="163.08499999999975"/>
    <n v="1141.5950000000003"/>
    <s v="No"/>
  </r>
  <r>
    <n v="2111"/>
    <n v="400954"/>
    <n v="319316"/>
    <s v="Capitalized"/>
    <s v="Licensing Truck 879"/>
    <m/>
    <m/>
    <n v="1"/>
    <m/>
    <n v="0"/>
    <s v="WA DOL LIC &amp; REG 31150"/>
    <m/>
    <s v="TRUCKS AND TRAILERS"/>
    <s v="AUTOMATED SIDE LOADER"/>
    <s v="Uninsured"/>
    <m/>
    <m/>
    <d v="2024-01-02T00:00:00"/>
    <d v="2024-01-02T00:00:00"/>
    <s v="2111-23-0023-1"/>
    <n v="1000"/>
    <n v="14040"/>
    <n v="942.7"/>
    <n v="14046"/>
    <n v="70.739999999999995"/>
    <n v="871.96"/>
    <n v="70.739999999999995"/>
    <n v="51260"/>
    <n v="7.86"/>
    <s v="P"/>
    <m/>
    <m/>
    <s v=" "/>
    <s v="STL"/>
    <s v="YES"/>
    <s v="879"/>
    <s v="Automated"/>
    <x v="0"/>
    <n v="1"/>
    <n v="2024"/>
    <n v="2034"/>
    <n v="2034.0833333333333"/>
    <n v="7.8558333333333339"/>
    <n v="94.27000000000001"/>
    <n v="94.27000000000001"/>
    <n v="23.567499999999995"/>
    <n v="117.83750000000001"/>
    <n v="824.86250000000007"/>
    <s v="No"/>
  </r>
  <r>
    <n v="2111"/>
    <n v="400953"/>
    <n v="319564"/>
    <s v="Capitalized"/>
    <s v="Lettering Sideload 881"/>
    <m/>
    <m/>
    <n v="1"/>
    <m/>
    <n v="0"/>
    <s v="LARSEN SIGN"/>
    <m/>
    <s v="TRUCKS AND TRAILERS"/>
    <s v="AUTOMATED SIDE LOADER"/>
    <s v="Uninsured"/>
    <m/>
    <m/>
    <d v="2024-01-02T00:00:00"/>
    <d v="2024-01-02T00:00:00"/>
    <s v="2111-23-0022-1"/>
    <n v="1000"/>
    <n v="14040"/>
    <n v="1304.69"/>
    <n v="14046"/>
    <n v="97.83"/>
    <n v="1206.8600000000001"/>
    <n v="97.83"/>
    <n v="51260"/>
    <n v="10.87"/>
    <s v="P"/>
    <m/>
    <m/>
    <s v=" "/>
    <s v="STL"/>
    <s v="YES"/>
    <s v="881"/>
    <s v="Automated"/>
    <x v="0"/>
    <n v="1"/>
    <n v="2024"/>
    <n v="2034"/>
    <n v="2034.0833333333333"/>
    <n v="10.872416666666666"/>
    <n v="130.46899999999999"/>
    <n v="130.46899999999999"/>
    <n v="32.617250000000013"/>
    <n v="163.08625000000001"/>
    <n v="1141.60375"/>
    <s v="No"/>
  </r>
  <r>
    <n v="2111"/>
    <n v="400952"/>
    <n v="319562"/>
    <s v="Capitalized"/>
    <s v="Lettering Applied"/>
    <m/>
    <m/>
    <n v="1"/>
    <m/>
    <n v="0"/>
    <s v="LARSEN SIGN"/>
    <m/>
    <s v="TRUCKS AND TRAILERS"/>
    <s v="AUTOMATED SIDE LOADER"/>
    <s v="Uninsured"/>
    <m/>
    <m/>
    <d v="2024-01-02T00:00:00"/>
    <d v="2024-01-02T00:00:00"/>
    <s v="2111-23-0011-1"/>
    <n v="1000"/>
    <n v="14040"/>
    <n v="1304.68"/>
    <n v="14046"/>
    <n v="97.83"/>
    <n v="1206.8500000000001"/>
    <n v="97.83"/>
    <n v="51260"/>
    <n v="10.87"/>
    <s v="P"/>
    <m/>
    <m/>
    <s v=" "/>
    <s v="STL"/>
    <s v="YES"/>
    <s v="877"/>
    <s v="Automated"/>
    <x v="0"/>
    <n v="1"/>
    <n v="2024"/>
    <n v="2034"/>
    <n v="2034.0833333333333"/>
    <n v="10.872333333333335"/>
    <n v="130.46800000000002"/>
    <n v="130.46800000000002"/>
    <n v="32.616999999999734"/>
    <n v="163.08499999999975"/>
    <n v="1141.5950000000003"/>
    <s v="No"/>
  </r>
  <r>
    <n v="2111"/>
    <n v="400951"/>
    <n v="319317"/>
    <s v="Capitalized"/>
    <s v="Licensing Truck 920"/>
    <m/>
    <m/>
    <n v="1"/>
    <m/>
    <n v="0"/>
    <s v="WA DOL LIC &amp; REG 31150"/>
    <m/>
    <s v="TRUCKS AND TRAILERS"/>
    <s v="ROLL OFF"/>
    <s v="Uninsured"/>
    <m/>
    <m/>
    <d v="2024-01-02T00:00:00"/>
    <d v="2024-01-02T00:00:00"/>
    <s v="2111-23-0004-1"/>
    <n v="1000"/>
    <n v="14040"/>
    <n v="1148.71"/>
    <n v="14046"/>
    <n v="86.13"/>
    <n v="1062.58"/>
    <n v="86.13"/>
    <n v="51260"/>
    <n v="9.57"/>
    <s v="P"/>
    <m/>
    <m/>
    <s v=" "/>
    <s v="STL"/>
    <s v="YES"/>
    <s v="453"/>
    <s v="Roll Off"/>
    <x v="11"/>
    <n v="1"/>
    <n v="2024"/>
    <n v="2034"/>
    <n v="2034.0833333333333"/>
    <n v="9.5725833333333341"/>
    <n v="114.87100000000001"/>
    <n v="114.87100000000001"/>
    <n v="28.717750000000024"/>
    <n v="143.58875000000003"/>
    <n v="1005.12125"/>
    <s v="No"/>
  </r>
  <r>
    <n v="2111"/>
    <n v="400531"/>
    <s v="P"/>
    <s v="Capitalized"/>
    <s v="2024 Wilkens Walking Floor Trailer"/>
    <m/>
    <m/>
    <n v="1"/>
    <s v="1W91S5348RM288188"/>
    <n v="2024"/>
    <s v="184 SOUTH COUNTY ROAD 22"/>
    <s v="Wilkens"/>
    <s v="TRUCKS AND TRAILERS"/>
    <s v="WALKING FLOOR TRAILER"/>
    <s v="Other Trailer"/>
    <m/>
    <m/>
    <d v="2024-01-02T00:00:00"/>
    <d v="2024-01-02T00:00:00"/>
    <s v="2111-23-0026-1"/>
    <n v="700"/>
    <n v="14040"/>
    <n v="197630.38"/>
    <n v="14046"/>
    <n v="21174.66"/>
    <n v="176455.72"/>
    <n v="21174.66"/>
    <n v="51260"/>
    <n v="2352.7399999999998"/>
    <s v="P"/>
    <m/>
    <m/>
    <s v=" "/>
    <s v="STL"/>
    <s v="YES"/>
    <s v="TBD"/>
    <m/>
    <x v="12"/>
    <n v="1"/>
    <n v="2024"/>
    <n v="2031"/>
    <n v="2031.0833333333333"/>
    <n v="2352.742619047619"/>
    <n v="28232.911428571428"/>
    <n v="28232.911428571428"/>
    <n v="7058.2278571428615"/>
    <n v="35291.139285714293"/>
    <n v="162339.2407142857"/>
    <s v="No"/>
  </r>
  <r>
    <n v="2111"/>
    <n v="400530"/>
    <s v="P"/>
    <s v="Capitalized"/>
    <s v="2024 Wilkens Walking Floor Trailer"/>
    <m/>
    <m/>
    <n v="1"/>
    <s v="1W91S5346RM288187"/>
    <n v="2024"/>
    <s v="184 SOUTH COUNTY ROAD 22"/>
    <s v="Wilkens"/>
    <s v="TRUCKS AND TRAILERS"/>
    <s v="WALKING FLOOR TRAILER"/>
    <s v="Other Trailer"/>
    <m/>
    <m/>
    <d v="2024-01-02T00:00:00"/>
    <d v="2024-01-02T00:00:00"/>
    <s v="2111-23-0025-1"/>
    <n v="700"/>
    <n v="14040"/>
    <n v="197630.38"/>
    <n v="14046"/>
    <n v="21174.66"/>
    <n v="176455.72"/>
    <n v="21174.66"/>
    <n v="51260"/>
    <n v="2352.7399999999998"/>
    <s v="P"/>
    <m/>
    <m/>
    <s v=" "/>
    <s v="STL"/>
    <s v="YES"/>
    <s v="WF-32"/>
    <s v="Trailer"/>
    <x v="12"/>
    <n v="1"/>
    <n v="2024"/>
    <n v="2031"/>
    <n v="2031.0833333333333"/>
    <n v="2352.742619047619"/>
    <n v="28232.911428571428"/>
    <n v="28232.911428571428"/>
    <n v="7058.2278571428615"/>
    <n v="35291.139285714293"/>
    <n v="162339.2407142857"/>
    <s v="No"/>
  </r>
  <r>
    <n v="2111"/>
    <n v="400529"/>
    <n v="302420"/>
    <s v="Capitalized"/>
    <s v="Capital Improvement - Install Wet Kit "/>
    <m/>
    <m/>
    <n v="1"/>
    <m/>
    <n v="0"/>
    <s v="PO BOX 13040"/>
    <m/>
    <s v="TRUCKS AND TRAILERS"/>
    <s v="TRANSFER TRACTOR"/>
    <s v="Uninsured"/>
    <m/>
    <m/>
    <d v="2024-01-02T00:00:00"/>
    <d v="2024-01-02T00:00:00"/>
    <s v="2111-23-0046-1"/>
    <n v="300"/>
    <n v="14040"/>
    <n v="16507.23"/>
    <n v="14046"/>
    <n v="4126.7700000000004"/>
    <n v="12380.46"/>
    <n v="4126.7700000000004"/>
    <n v="51260"/>
    <n v="458.53"/>
    <s v="P"/>
    <m/>
    <m/>
    <s v=" "/>
    <s v="STL"/>
    <s v="YES"/>
    <s v="159"/>
    <s v="Tractor"/>
    <x v="12"/>
    <n v="1"/>
    <n v="2024"/>
    <n v="2027"/>
    <n v="2027.0833333333333"/>
    <n v="458.53416666666664"/>
    <n v="5502.41"/>
    <n v="5502.41"/>
    <n v="1375.6025000000009"/>
    <n v="6878.0125000000007"/>
    <n v="9629.2174999999988"/>
    <s v="No"/>
  </r>
  <r>
    <n v="2111"/>
    <n v="400521"/>
    <n v="319317"/>
    <s v="Capitalized"/>
    <s v="2024 Peterbilt ROL Truck - Body"/>
    <m/>
    <m/>
    <n v="1"/>
    <s v="1NPCX4EX6RD641402"/>
    <n v="2024"/>
    <s v="PO BOX 13040"/>
    <s v="Peterbilt"/>
    <s v="TRUCKS AND TRAILERS"/>
    <s v="ROLL OFF"/>
    <s v="Roll Off"/>
    <m/>
    <m/>
    <d v="2024-01-02T00:00:00"/>
    <d v="2024-01-02T00:00:00"/>
    <s v="2111-23-0004-1"/>
    <n v="1000"/>
    <n v="14040"/>
    <n v="106334.58"/>
    <n v="14046"/>
    <n v="7975.08"/>
    <n v="98359.5"/>
    <n v="7975.08"/>
    <n v="51260"/>
    <n v="886.12"/>
    <s v="P"/>
    <m/>
    <m/>
    <s v=" "/>
    <s v="STL"/>
    <s v="YES"/>
    <s v="453"/>
    <s v="Roll Off"/>
    <x v="11"/>
    <n v="1"/>
    <n v="2024"/>
    <n v="2034"/>
    <n v="2034.0833333333333"/>
    <n v="886.12150000000008"/>
    <n v="10633.458000000001"/>
    <n v="10633.458000000001"/>
    <n v="2658.364499999996"/>
    <n v="13291.822499999997"/>
    <n v="93042.757500000007"/>
    <s v="No"/>
  </r>
  <r>
    <n v="2111"/>
    <n v="400423"/>
    <s v="P"/>
    <s v="Capitalized"/>
    <s v="Leachate Collection Improvements - Sanitary Sewer Tie-In"/>
    <m/>
    <m/>
    <n v="1"/>
    <m/>
    <n v="0"/>
    <s v="6921 12TH ST E."/>
    <m/>
    <s v="LAND IMPROVEMENTS"/>
    <s v="OTHER"/>
    <m/>
    <m/>
    <m/>
    <d v="2024-01-02T00:00:00"/>
    <d v="2024-01-02T00:00:00"/>
    <s v="2111-23-0002-1"/>
    <n v="1000"/>
    <n v="14010"/>
    <n v="11560.5"/>
    <n v="14016"/>
    <n v="867.06"/>
    <n v="10693.44"/>
    <n v="867.06"/>
    <n v="57260"/>
    <n v="96.34"/>
    <s v="P"/>
    <m/>
    <m/>
    <s v=" "/>
    <s v="STL"/>
    <s v="YES"/>
    <s v="TBD"/>
    <m/>
    <x v="13"/>
    <n v="1"/>
    <n v="2024"/>
    <n v="2034"/>
    <n v="2034.0833333333333"/>
    <n v="96.337499999999991"/>
    <n v="1156.05"/>
    <n v="1156.05"/>
    <n v="289.01250000000073"/>
    <n v="1445.0625000000007"/>
    <n v="10115.4375"/>
    <s v="No"/>
  </r>
  <r>
    <n v="2111"/>
    <n v="400287"/>
    <s v="P"/>
    <s v="Capitalized"/>
    <s v="2024 Peterbilt ASL Truck"/>
    <m/>
    <m/>
    <n v="1"/>
    <s v="3BPDLK0X9RF116264"/>
    <n v="2024"/>
    <m/>
    <m/>
    <s v="TRUCKS AND TRAILERS"/>
    <s v="TBA"/>
    <s v="Automated Side Loader"/>
    <m/>
    <m/>
    <d v="2024-03-27T00:00:00"/>
    <d v="2023-10-18T00:00:00"/>
    <s v="2111-23-0010-1"/>
    <n v="1000"/>
    <n v="14040"/>
    <n v="228482.86"/>
    <n v="14046"/>
    <n v="11424.12"/>
    <n v="217058.74"/>
    <n v="11424.12"/>
    <n v="51260"/>
    <n v="1904.02"/>
    <s v="P"/>
    <m/>
    <m/>
    <s v=" "/>
    <s v="STL"/>
    <s v="YES"/>
    <s v="883"/>
    <s v="Automated"/>
    <x v="0"/>
    <n v="3"/>
    <n v="2024"/>
    <n v="2034"/>
    <n v="2034.25"/>
    <n v="1904.0238333333334"/>
    <n v="22848.286"/>
    <n v="22848.286"/>
    <n v="1904.0238333315647"/>
    <n v="24752.309833331565"/>
    <n v="203730.55016666843"/>
    <s v="No"/>
  </r>
  <r>
    <n v="2111"/>
    <n v="400176"/>
    <s v="P"/>
    <s v="Capitalized"/>
    <s v="2024 Peterbilt ASL Truck-Chassis "/>
    <m/>
    <m/>
    <n v="1"/>
    <s v="3BPDLK0X8RF116269"/>
    <n v="0"/>
    <s v="PO BOX 24065"/>
    <m/>
    <s v="TRUCKS AND TRAILERS"/>
    <s v="AUTOMATED SIDE LOADER"/>
    <m/>
    <m/>
    <m/>
    <d v="2024-02-08T00:00:00"/>
    <d v="2023-07-12T00:00:00"/>
    <s v="2111-23-0024-1"/>
    <n v="1000"/>
    <n v="14040"/>
    <n v="434790.87"/>
    <n v="14046"/>
    <n v="28986.080000000002"/>
    <n v="405804.79"/>
    <n v="28986.080000000002"/>
    <n v="51260"/>
    <n v="3623.26"/>
    <s v="P"/>
    <m/>
    <m/>
    <s v=" "/>
    <s v="STL"/>
    <s v="YES"/>
    <s v="TBD"/>
    <m/>
    <x v="0"/>
    <n v="2"/>
    <n v="2024"/>
    <n v="2034"/>
    <n v="2034.1666666666667"/>
    <n v="3623.2572500000001"/>
    <n v="43479.087"/>
    <n v="43479.087"/>
    <n v="7246.5144999934128"/>
    <n v="50725.601499993412"/>
    <n v="384065.26850000658"/>
    <s v="No"/>
  </r>
  <r>
    <n v="2111"/>
    <n v="400146"/>
    <s v="P"/>
    <s v="Capitalized"/>
    <s v="2024 Peterbilt ASL Truck"/>
    <m/>
    <m/>
    <n v="1"/>
    <s v="3BPDLK0X2RF116266"/>
    <n v="0"/>
    <s v="PO BOX 24065"/>
    <m/>
    <s v="TRUCKS AND TRAILERS"/>
    <s v="TBA"/>
    <m/>
    <m/>
    <m/>
    <d v="2024-01-11T00:00:00"/>
    <d v="2023-06-06T00:00:00"/>
    <s v="2111-23-0012-1"/>
    <n v="1000"/>
    <n v="14040"/>
    <n v="228483.05"/>
    <n v="14046"/>
    <n v="17136.27"/>
    <n v="211346.78"/>
    <n v="17136.27"/>
    <n v="51260"/>
    <n v="1904.03"/>
    <s v="P"/>
    <m/>
    <m/>
    <s v=" "/>
    <s v="STL"/>
    <s v="YES"/>
    <s v="TBD"/>
    <m/>
    <x v="0"/>
    <n v="1"/>
    <n v="2024"/>
    <n v="2034"/>
    <n v="2034.0833333333333"/>
    <n v="1904.0254166666666"/>
    <n v="22848.305"/>
    <n v="22848.305"/>
    <n v="5712.0762499999837"/>
    <n v="28560.381249999984"/>
    <n v="199922.66875000001"/>
    <s v="No"/>
  </r>
  <r>
    <n v="2111"/>
    <n v="321449"/>
    <n v="315528"/>
    <s v="Capitalized"/>
    <s v="Onsite Install Vinyl"/>
    <m/>
    <m/>
    <n v="1"/>
    <m/>
    <n v="0"/>
    <s v="LARSEN SIGN CO"/>
    <m/>
    <s v="TRUCKS AND TRAILERS"/>
    <s v="TBA"/>
    <s v="Non-Rolling Stock"/>
    <m/>
    <m/>
    <d v="2023-09-29T00:00:00"/>
    <d v="2023-09-29T00:00:00"/>
    <s v="2111-23-0005-1"/>
    <n v="1000"/>
    <n v="14040"/>
    <n v="456.92"/>
    <n v="14046"/>
    <n v="45.71"/>
    <n v="411.21000000000004"/>
    <n v="34.29"/>
    <n v="51260"/>
    <n v="3.81"/>
    <s v="P"/>
    <m/>
    <m/>
    <s v=" "/>
    <s v="STL"/>
    <s v="YES"/>
    <s v="TBD"/>
    <m/>
    <x v="0"/>
    <n v="9"/>
    <n v="2023"/>
    <n v="2033"/>
    <n v="2033.75"/>
    <n v="3.8076666666666665"/>
    <n v="45.692"/>
    <n v="45.692"/>
    <n v="26.653666666663241"/>
    <n v="72.345666666663249"/>
    <n v="384.57433333333677"/>
    <s v="No"/>
  </r>
  <r>
    <n v="2111"/>
    <n v="321002"/>
    <n v="320999"/>
    <s v="Capitalized"/>
    <s v="Vancouver_Dorr Excise Tax Refund"/>
    <m/>
    <m/>
    <n v="1"/>
    <m/>
    <n v="0"/>
    <m/>
    <m/>
    <s v="SHOP EQUIPMENT"/>
    <s v="TBA"/>
    <m/>
    <m/>
    <m/>
    <d v="2012-01-01T00:00:00"/>
    <d v="2012-01-01T00:00:00"/>
    <m/>
    <n v="500"/>
    <n v="14070"/>
    <n v="-381.2"/>
    <n v="14076"/>
    <n v="-381.2"/>
    <n v="0"/>
    <n v="0"/>
    <n v="51260"/>
    <n v="0"/>
    <s v="P"/>
    <m/>
    <m/>
    <s v=" "/>
    <s v="STL"/>
    <s v="YES"/>
    <s v="TBD"/>
    <m/>
    <x v="0"/>
    <n v="1"/>
    <n v="2012"/>
    <n v="2017"/>
    <n v="2017.0833333333333"/>
    <n v="-6.3533333333333326"/>
    <n v="-76.239999999999995"/>
    <n v="0"/>
    <n v="-381.2"/>
    <n v="-381.2"/>
    <n v="0"/>
    <s v="No"/>
  </r>
  <r>
    <n v="2111"/>
    <n v="321001"/>
    <n v="320999"/>
    <s v="Capitalized"/>
    <s v="Department of Revenue audit assessment, district 2010, 2113, 2053"/>
    <m/>
    <m/>
    <n v="1"/>
    <m/>
    <n v="0"/>
    <s v="Department of Revenue"/>
    <m/>
    <s v="SHOP EQUIPMENT"/>
    <s v="TBA"/>
    <s v="Non-Rolling Stock"/>
    <m/>
    <m/>
    <d v="2012-01-01T00:00:00"/>
    <d v="2012-01-01T00:00:00"/>
    <s v="2010-11-0035-1"/>
    <n v="500"/>
    <n v="14070"/>
    <n v="1091.83"/>
    <n v="14076"/>
    <n v="1091.83"/>
    <n v="0"/>
    <n v="0"/>
    <n v="51260"/>
    <n v="0"/>
    <s v="P"/>
    <m/>
    <m/>
    <s v=" "/>
    <s v="STL"/>
    <s v="YES"/>
    <s v="TBD"/>
    <m/>
    <x v="0"/>
    <n v="1"/>
    <n v="2012"/>
    <n v="2017"/>
    <n v="2017.0833333333333"/>
    <n v="18.197166666666664"/>
    <n v="218.36599999999999"/>
    <n v="0"/>
    <n v="1091.83"/>
    <n v="1091.83"/>
    <n v="0"/>
    <s v="No"/>
  </r>
  <r>
    <n v="2111"/>
    <n v="321000"/>
    <n v="320999"/>
    <s v="Capitalized"/>
    <s v="Signage for truck #613 PO 2009-9-0042"/>
    <m/>
    <m/>
    <n v="1"/>
    <m/>
    <n v="2010"/>
    <m/>
    <m/>
    <s v="TRUCKS AND TRAILERS"/>
    <s v="TBA"/>
    <s v="Non-Rolling Stock"/>
    <m/>
    <m/>
    <d v="2009-12-31T00:00:00"/>
    <d v="2009-12-31T00:00:00"/>
    <s v="2009-9-0042-1"/>
    <n v="1000"/>
    <n v="14040"/>
    <n v="727.56"/>
    <n v="14046"/>
    <n v="727.56"/>
    <n v="0"/>
    <n v="0"/>
    <n v="51260"/>
    <n v="0"/>
    <s v="P"/>
    <m/>
    <n v="613"/>
    <s v=" "/>
    <s v="STL"/>
    <s v="YES"/>
    <s v="TBD"/>
    <m/>
    <x v="0"/>
    <n v="12"/>
    <n v="2009"/>
    <n v="2019"/>
    <n v="2020"/>
    <n v="6.0629999999999997"/>
    <n v="72.756"/>
    <n v="0"/>
    <n v="727.56"/>
    <n v="727.56"/>
    <n v="0"/>
    <s v="No"/>
  </r>
  <r>
    <n v="2111"/>
    <n v="320999"/>
    <s v="P"/>
    <s v="Capitalized"/>
    <s v="2010 New 340 Peterbilt"/>
    <m/>
    <m/>
    <n v="1"/>
    <s v="2NPRHN8X5AM107590"/>
    <n v="2010"/>
    <s v="Peterbilt 340"/>
    <s v="McNeilus"/>
    <s v="TRUCKS AND TRAILERS"/>
    <s v="TBA"/>
    <s v="Rear Loader"/>
    <m/>
    <m/>
    <d v="2009-12-31T00:00:00"/>
    <d v="2009-12-31T00:00:00"/>
    <s v="2009-9-0042-1"/>
    <n v="1000"/>
    <n v="14040"/>
    <n v="159025.43"/>
    <n v="14046"/>
    <n v="159025.43"/>
    <n v="0"/>
    <n v="0"/>
    <n v="51260"/>
    <n v="0"/>
    <s v="P"/>
    <m/>
    <n v="613"/>
    <s v=" "/>
    <s v="STL"/>
    <s v="YES"/>
    <s v="TBD"/>
    <m/>
    <x v="0"/>
    <n v="12"/>
    <n v="2009"/>
    <n v="2019"/>
    <n v="2020"/>
    <n v="1325.2119166666666"/>
    <n v="15902.543"/>
    <n v="0"/>
    <n v="159025.43"/>
    <n v="159025.43"/>
    <n v="0"/>
    <s v="No"/>
  </r>
  <r>
    <n v="2111"/>
    <n v="320784"/>
    <n v="305425"/>
    <s v="Capitalized"/>
    <s v="Install Vinyl"/>
    <m/>
    <m/>
    <n v="1"/>
    <m/>
    <n v="0"/>
    <s v="LARSEN SIGN CO"/>
    <m/>
    <s v="TRUCKS AND TRAILERS"/>
    <s v="TBA"/>
    <s v="Non-Rolling Stock"/>
    <m/>
    <m/>
    <d v="2023-05-19T00:00:00"/>
    <d v="2023-05-19T00:00:00"/>
    <s v="2111-23-0017-1"/>
    <n v="1000"/>
    <n v="14040"/>
    <n v="930.35"/>
    <n v="14046"/>
    <n v="124.02"/>
    <n v="806.33"/>
    <n v="69.75"/>
    <n v="51260"/>
    <n v="7.75"/>
    <s v="P"/>
    <m/>
    <m/>
    <s v=" "/>
    <s v="STL"/>
    <s v="YES"/>
    <s v="TBD"/>
    <m/>
    <x v="0"/>
    <n v="5"/>
    <n v="2023"/>
    <n v="2033"/>
    <n v="2033.4166666666667"/>
    <n v="7.7529166666666667"/>
    <n v="93.034999999999997"/>
    <n v="93.034999999999997"/>
    <n v="85.282083333319292"/>
    <n v="178.31708333331929"/>
    <n v="752.03291666668076"/>
    <s v="No"/>
  </r>
  <r>
    <n v="2111"/>
    <n v="320783"/>
    <n v="315529"/>
    <s v="Capitalized"/>
    <s v="Vinyl Install"/>
    <m/>
    <m/>
    <n v="1"/>
    <m/>
    <n v="0"/>
    <s v="LARSEN SIGN CO"/>
    <m/>
    <s v="TRUCKS AND TRAILERS"/>
    <s v="TBA"/>
    <s v="Non-Rolling Stock"/>
    <m/>
    <m/>
    <d v="2023-10-06T00:00:00"/>
    <d v="2023-10-06T00:00:00"/>
    <s v="2111-23-0008-1"/>
    <n v="1000"/>
    <n v="14040"/>
    <n v="1299.18"/>
    <n v="14046"/>
    <n v="129.94999999999999"/>
    <n v="1169.23"/>
    <n v="97.47"/>
    <n v="51260"/>
    <n v="10.83"/>
    <s v="P"/>
    <m/>
    <m/>
    <s v=" "/>
    <s v="STL"/>
    <s v="YES"/>
    <s v="TBD"/>
    <m/>
    <x v="0"/>
    <n v="10"/>
    <n v="2023"/>
    <n v="2033"/>
    <n v="2033.8333333333333"/>
    <n v="10.826500000000001"/>
    <n v="129.91800000000001"/>
    <n v="129.91800000000001"/>
    <n v="64.958999999999833"/>
    <n v="194.87699999999984"/>
    <n v="1104.3030000000003"/>
    <s v="No"/>
  </r>
  <r>
    <n v="2111"/>
    <n v="320540"/>
    <n v="319564"/>
    <s v="Capitalized"/>
    <s v="2024 Peterbilt ASL Truck - Body"/>
    <m/>
    <m/>
    <n v="1"/>
    <s v="3BPDLK0X4RF116270"/>
    <n v="0"/>
    <s v="PO BOX 13040"/>
    <m/>
    <s v="TRUCKS AND TRAILERS"/>
    <s v="TBA"/>
    <s v="Non-Rolling Stock"/>
    <m/>
    <m/>
    <d v="2023-12-21T00:00:00"/>
    <d v="2023-12-21T00:00:00"/>
    <s v="2111-23-0022-1"/>
    <n v="1000"/>
    <n v="14040"/>
    <n v="206303.82"/>
    <n v="14046"/>
    <n v="15472.8"/>
    <n v="190831.02000000002"/>
    <n v="15472.8"/>
    <n v="51260"/>
    <n v="1719.2"/>
    <s v="P"/>
    <m/>
    <m/>
    <s v=" "/>
    <s v="STL"/>
    <s v="YES"/>
    <s v="TBD"/>
    <m/>
    <x v="0"/>
    <n v="12"/>
    <n v="2023"/>
    <n v="2033"/>
    <n v="2034"/>
    <n v="1719.1985000000002"/>
    <n v="20630.382000000001"/>
    <n v="20630.382000000001"/>
    <n v="6876.7939999984228"/>
    <n v="27507.175999998424"/>
    <n v="178796.64400000157"/>
    <s v="No"/>
  </r>
  <r>
    <n v="2111"/>
    <n v="320537"/>
    <n v="319562"/>
    <s v="Capitalized"/>
    <s v="2024 Peterbilt ASL Truck - Body"/>
    <m/>
    <m/>
    <n v="1"/>
    <s v="3BPDLK0X0RF116265"/>
    <n v="0"/>
    <s v="PO BOX 13040"/>
    <m/>
    <s v="TRUCKS AND TRAILERS"/>
    <s v="TBA"/>
    <s v="Non-Rolling Stock"/>
    <m/>
    <m/>
    <d v="2023-12-21T00:00:00"/>
    <d v="2023-12-21T00:00:00"/>
    <s v="2111-23-0011-1"/>
    <n v="1000"/>
    <n v="14040"/>
    <n v="206303.82"/>
    <n v="14046"/>
    <n v="15472.8"/>
    <n v="190831.02000000002"/>
    <n v="15472.8"/>
    <n v="51260"/>
    <n v="1719.2"/>
    <s v="P"/>
    <m/>
    <m/>
    <s v=" "/>
    <s v="STL"/>
    <s v="YES"/>
    <s v="TBD"/>
    <m/>
    <x v="0"/>
    <n v="12"/>
    <n v="2023"/>
    <n v="2033"/>
    <n v="2034"/>
    <n v="1719.1985000000002"/>
    <n v="20630.382000000001"/>
    <n v="20630.382000000001"/>
    <n v="6876.7939999984228"/>
    <n v="27507.175999998424"/>
    <n v="178796.64400000157"/>
    <s v="No"/>
  </r>
  <r>
    <n v="2111"/>
    <n v="320067"/>
    <n v="319318"/>
    <s v="Capitalized"/>
    <s v="2024 Peterbilt FEL Truck-Body"/>
    <m/>
    <m/>
    <n v="1"/>
    <s v="3BPDLK0X3RF116275"/>
    <n v="2024"/>
    <s v="PO BOX 13040"/>
    <m/>
    <s v="TRUCKS AND TRAILERS"/>
    <s v="TBA"/>
    <s v="Non-Rolling Stock"/>
    <m/>
    <m/>
    <d v="2023-12-07T00:00:00"/>
    <d v="2023-12-07T00:00:00"/>
    <s v="2111-23-0027-1"/>
    <n v="1000"/>
    <n v="14040"/>
    <n v="187353.34"/>
    <n v="14046"/>
    <n v="15612.8"/>
    <n v="171740.54"/>
    <n v="14051.52"/>
    <n v="51260"/>
    <n v="1561.28"/>
    <s v="P"/>
    <m/>
    <m/>
    <s v=" "/>
    <s v="STL"/>
    <s v="YES"/>
    <s v="TBD"/>
    <m/>
    <x v="0"/>
    <n v="12"/>
    <n v="2023"/>
    <n v="2033"/>
    <n v="2034"/>
    <n v="1561.2778333333333"/>
    <n v="18735.333999999999"/>
    <n v="18735.333999999999"/>
    <n v="6245.1113333319081"/>
    <n v="24980.445333331907"/>
    <n v="162372.89466666809"/>
    <s v="No"/>
  </r>
  <r>
    <n v="2111"/>
    <n v="320066"/>
    <n v="319316"/>
    <s v="Capitalized"/>
    <s v="2024 Peterbilt ASL Truck-Body"/>
    <m/>
    <m/>
    <n v="1"/>
    <s v="3BPDLK0X6RF116268"/>
    <n v="2024"/>
    <s v="PO BOX 13040"/>
    <m/>
    <s v="TRUCKS AND TRAILERS"/>
    <s v="TBA"/>
    <s v="Non-Rolling Stock"/>
    <m/>
    <m/>
    <d v="2023-12-07T00:00:00"/>
    <d v="2023-12-07T00:00:00"/>
    <s v="2111-23-0023-1"/>
    <n v="1000"/>
    <n v="14040"/>
    <n v="206303.82"/>
    <n v="14046"/>
    <n v="17192"/>
    <n v="189111.82"/>
    <n v="15472.8"/>
    <n v="51260"/>
    <n v="1719.2"/>
    <s v="P"/>
    <m/>
    <m/>
    <s v=" "/>
    <s v="STL"/>
    <s v="YES"/>
    <s v="TBD"/>
    <m/>
    <x v="0"/>
    <n v="12"/>
    <n v="2023"/>
    <n v="2033"/>
    <n v="2034"/>
    <n v="1719.1985000000002"/>
    <n v="20630.382000000001"/>
    <n v="20630.382000000001"/>
    <n v="6876.7939999984228"/>
    <n v="27507.175999998424"/>
    <n v="178796.64400000157"/>
    <s v="No"/>
  </r>
  <r>
    <n v="2111"/>
    <n v="320065"/>
    <n v="319563"/>
    <s v="Capitalized"/>
    <s v="2024 Peterbilt ASL Truck-Body"/>
    <m/>
    <m/>
    <n v="1"/>
    <s v="3BPDLK0X4RF116267"/>
    <n v="2024"/>
    <s v="PO BOX 13040"/>
    <m/>
    <s v="TRUCKS AND TRAILERS"/>
    <s v="TBA"/>
    <s v="Non-Rolling Stock"/>
    <m/>
    <m/>
    <d v="2023-12-14T00:00:00"/>
    <d v="2023-12-14T00:00:00"/>
    <s v="2111-23-0021-1"/>
    <n v="1000"/>
    <n v="14040"/>
    <n v="206303.82"/>
    <n v="14046"/>
    <n v="17192"/>
    <n v="189111.82"/>
    <n v="15472.8"/>
    <n v="51260"/>
    <n v="1719.2"/>
    <s v="P"/>
    <m/>
    <m/>
    <s v=" "/>
    <s v="STL"/>
    <s v="YES"/>
    <s v="TBD"/>
    <m/>
    <x v="0"/>
    <n v="12"/>
    <n v="2023"/>
    <n v="2033"/>
    <n v="2034"/>
    <n v="1719.1985000000002"/>
    <n v="20630.382000000001"/>
    <n v="20630.382000000001"/>
    <n v="6876.7939999984228"/>
    <n v="27507.175999998424"/>
    <n v="178796.64400000157"/>
    <s v="No"/>
  </r>
  <r>
    <n v="2111"/>
    <n v="319564"/>
    <s v="P"/>
    <s v="Capitalized"/>
    <s v="2024 Peterbilt ASL Truck"/>
    <m/>
    <m/>
    <n v="1"/>
    <s v="3BPDLK0X4RF116270"/>
    <n v="2024"/>
    <m/>
    <m/>
    <s v="TRUCKS AND TRAILERS"/>
    <s v="TBA"/>
    <s v="Automated Side Loader"/>
    <m/>
    <m/>
    <d v="2023-12-21T00:00:00"/>
    <d v="2023-12-21T00:00:00"/>
    <s v="2111-23-0022-1"/>
    <n v="1000"/>
    <n v="14040"/>
    <n v="228483.05"/>
    <n v="14046"/>
    <n v="17136.27"/>
    <n v="211346.78"/>
    <n v="17136.27"/>
    <n v="51260"/>
    <n v="1904.03"/>
    <s v="P"/>
    <m/>
    <m/>
    <s v=" "/>
    <s v="STL"/>
    <s v="YES"/>
    <s v="TBD"/>
    <m/>
    <x v="0"/>
    <n v="12"/>
    <n v="2023"/>
    <n v="2033"/>
    <n v="2034"/>
    <n v="1904.0254166666666"/>
    <n v="22848.305"/>
    <n v="22848.305"/>
    <n v="7616.1016666649375"/>
    <n v="30464.406666664938"/>
    <n v="198018.64333333506"/>
    <s v="No"/>
  </r>
  <r>
    <n v="2111"/>
    <n v="319563"/>
    <s v="P"/>
    <s v="Capitalized"/>
    <s v="2024 Peterbilt ASL Truck"/>
    <m/>
    <m/>
    <n v="1"/>
    <s v="3BPDLK0X4RF116267"/>
    <n v="2024"/>
    <m/>
    <m/>
    <s v="TRUCKS AND TRAILERS"/>
    <s v="TBA"/>
    <s v="Automated Side Loader"/>
    <m/>
    <m/>
    <d v="2023-12-14T00:00:00"/>
    <d v="2023-12-14T00:00:00"/>
    <s v="2111-23-0021-1"/>
    <n v="1000"/>
    <n v="14040"/>
    <n v="227582.96"/>
    <n v="14046"/>
    <n v="18965.21"/>
    <n v="208617.75"/>
    <n v="17068.68"/>
    <n v="51260"/>
    <n v="1896.52"/>
    <s v="P"/>
    <m/>
    <m/>
    <s v=" "/>
    <s v="STL"/>
    <s v="YES"/>
    <s v="TBD"/>
    <m/>
    <x v="0"/>
    <n v="12"/>
    <n v="2023"/>
    <n v="2033"/>
    <n v="2034"/>
    <n v="1896.5246666666665"/>
    <n v="22758.295999999998"/>
    <n v="22758.295999999998"/>
    <n v="7586.0986666649696"/>
    <n v="30344.394666664968"/>
    <n v="197238.56533333502"/>
    <s v="No"/>
  </r>
  <r>
    <n v="2111"/>
    <n v="319562"/>
    <s v="P"/>
    <s v="Capitalized"/>
    <s v="2024 Peterbilt ASL Truck"/>
    <m/>
    <m/>
    <n v="1"/>
    <s v="3BPDLK0X0RF116265"/>
    <n v="2024"/>
    <m/>
    <m/>
    <s v="TRUCKS AND TRAILERS"/>
    <s v="TBA"/>
    <s v="Automated Side Loader"/>
    <m/>
    <m/>
    <d v="2023-12-21T00:00:00"/>
    <d v="2023-12-21T00:00:00"/>
    <s v="2111-23-0011-1"/>
    <n v="1000"/>
    <n v="14040"/>
    <n v="228483.05"/>
    <n v="14046"/>
    <n v="17136.27"/>
    <n v="211346.78"/>
    <n v="17136.27"/>
    <n v="51260"/>
    <n v="1904.03"/>
    <s v="P"/>
    <m/>
    <m/>
    <s v=" "/>
    <s v="STL"/>
    <s v="YES"/>
    <s v="TBD"/>
    <m/>
    <x v="0"/>
    <n v="12"/>
    <n v="2023"/>
    <n v="2033"/>
    <n v="2034"/>
    <n v="1904.0254166666666"/>
    <n v="22848.305"/>
    <n v="22848.305"/>
    <n v="7616.1016666649375"/>
    <n v="30464.406666664938"/>
    <n v="198018.64333333506"/>
    <s v="No"/>
  </r>
  <r>
    <n v="2111"/>
    <n v="319454"/>
    <s v="P"/>
    <s v="Capitalized"/>
    <s v="20 Gal Carts"/>
    <m/>
    <m/>
    <n v="200"/>
    <m/>
    <n v="0"/>
    <s v="FILE 2524"/>
    <m/>
    <s v="CONTAINERS"/>
    <s v="TBA"/>
    <m/>
    <m/>
    <m/>
    <d v="2023-11-25T00:00:00"/>
    <d v="2023-11-25T00:00:00"/>
    <s v="2111-23-0044-1"/>
    <n v="700"/>
    <n v="14050"/>
    <n v="6884.17"/>
    <n v="14056"/>
    <n v="819.51"/>
    <n v="6064.66"/>
    <n v="737.55"/>
    <n v="54260"/>
    <n v="81.95"/>
    <s v="P"/>
    <m/>
    <m/>
    <s v=" "/>
    <s v="STL"/>
    <s v="YES"/>
    <s v="TBD"/>
    <m/>
    <x v="7"/>
    <n v="11"/>
    <n v="2023"/>
    <n v="2030"/>
    <n v="2030.9166666666667"/>
    <n v="81.954404761904769"/>
    <n v="983.45285714285728"/>
    <n v="983.45285714285728"/>
    <n v="409.77202380937433"/>
    <n v="1393.2248809522316"/>
    <n v="5490.9451190477685"/>
    <s v="No"/>
  </r>
  <r>
    <n v="2111"/>
    <n v="319318"/>
    <s v="P"/>
    <s v="Capitalized"/>
    <s v="2024 Peterbilt FEL Truck"/>
    <m/>
    <m/>
    <n v="1"/>
    <s v="3BPDLK0X3RF116275"/>
    <n v="2024"/>
    <m/>
    <m/>
    <s v="TRUCKS AND TRAILERS"/>
    <s v="TBA"/>
    <s v="Front Loader"/>
    <m/>
    <m/>
    <d v="2023-12-07T00:00:00"/>
    <d v="2023-12-07T00:00:00"/>
    <s v="2111-23-0027-1"/>
    <n v="1000"/>
    <n v="14040"/>
    <n v="224947.36"/>
    <n v="14046"/>
    <n v="18745.599999999999"/>
    <n v="206201.75999999998"/>
    <n v="16871.04"/>
    <n v="51260"/>
    <n v="1874.56"/>
    <s v="P"/>
    <m/>
    <m/>
    <s v=" "/>
    <s v="STL"/>
    <s v="YES"/>
    <s v="TBD"/>
    <m/>
    <x v="0"/>
    <n v="12"/>
    <n v="2023"/>
    <n v="2033"/>
    <n v="2034"/>
    <n v="1874.5613333333331"/>
    <n v="22494.735999999997"/>
    <n v="22494.735999999997"/>
    <n v="7498.2453333316371"/>
    <n v="29992.981333331634"/>
    <n v="194954.37866666834"/>
    <s v="No"/>
  </r>
  <r>
    <n v="2111"/>
    <n v="319317"/>
    <s v="P"/>
    <s v="Capitalized"/>
    <s v="2024 Peterbilt ROL Truck"/>
    <m/>
    <m/>
    <n v="1"/>
    <s v="1NPCX4EX6RD641402"/>
    <n v="2024"/>
    <m/>
    <m/>
    <s v="TRUCKS AND TRAILERS"/>
    <s v="TBA"/>
    <s v="Roll Off"/>
    <m/>
    <m/>
    <d v="2023-12-07T00:00:00"/>
    <d v="2023-12-07T00:00:00"/>
    <s v="2111-23-0004-1"/>
    <n v="1000"/>
    <n v="14040"/>
    <n v="237693.5"/>
    <n v="14046"/>
    <n v="19807.8"/>
    <n v="217885.7"/>
    <n v="17827.02"/>
    <n v="51260"/>
    <n v="1980.78"/>
    <s v="P"/>
    <m/>
    <m/>
    <s v=" "/>
    <s v="STL"/>
    <s v="YES"/>
    <s v="TBD"/>
    <m/>
    <x v="0"/>
    <n v="12"/>
    <n v="2023"/>
    <n v="2033"/>
    <n v="2034"/>
    <n v="1980.7791666666665"/>
    <n v="23769.35"/>
    <n v="23769.35"/>
    <n v="7923.1166666648933"/>
    <n v="31692.466666664892"/>
    <n v="206001.0333333351"/>
    <s v="No"/>
  </r>
  <r>
    <n v="2111"/>
    <n v="319316"/>
    <s v="P"/>
    <s v="Capitalized"/>
    <s v="2024 Peterbilt ASL Truck"/>
    <m/>
    <m/>
    <n v="1"/>
    <s v="3BPDLK0X6RF116268"/>
    <n v="2024"/>
    <m/>
    <m/>
    <s v="TRUCKS AND TRAILERS"/>
    <s v="TBA"/>
    <s v="Automated Side Loader"/>
    <m/>
    <m/>
    <d v="2023-12-07T00:00:00"/>
    <d v="2023-12-07T00:00:00"/>
    <s v="2111-23-0023-1"/>
    <n v="1000"/>
    <n v="14040"/>
    <n v="227583.04"/>
    <n v="14046"/>
    <n v="18965.3"/>
    <n v="208617.74000000002"/>
    <n v="17068.77"/>
    <n v="51260"/>
    <n v="1896.53"/>
    <s v="P"/>
    <m/>
    <m/>
    <s v=" "/>
    <s v="STL"/>
    <s v="YES"/>
    <s v="TBD"/>
    <m/>
    <x v="0"/>
    <n v="12"/>
    <n v="2023"/>
    <n v="2033"/>
    <n v="2034"/>
    <n v="1896.5253333333333"/>
    <n v="22758.304"/>
    <n v="22758.304"/>
    <n v="7586.1013333316369"/>
    <n v="30344.405333331637"/>
    <n v="197238.63466666837"/>
    <s v="No"/>
  </r>
  <r>
    <n v="2111"/>
    <n v="319301"/>
    <n v="309961"/>
    <s v="Capitalized"/>
    <s v="Leachate Collection Improvements-Stormwater Peak Flow Concerns by City of Tacoma"/>
    <m/>
    <m/>
    <n v="1"/>
    <m/>
    <n v="0"/>
    <m/>
    <m/>
    <s v="LAND IMPROVEMENTS"/>
    <s v="TBA"/>
    <m/>
    <m/>
    <m/>
    <d v="2023-10-23T00:00:00"/>
    <d v="2023-10-23T00:00:00"/>
    <s v="2111-23-0002-1"/>
    <n v="1000"/>
    <n v="14010"/>
    <n v="789.5"/>
    <n v="14016"/>
    <n v="72.38"/>
    <n v="717.12"/>
    <n v="59.22"/>
    <n v="57260"/>
    <n v="6.58"/>
    <s v="P"/>
    <m/>
    <m/>
    <s v=" "/>
    <s v="STL"/>
    <s v="YES"/>
    <s v="TBD"/>
    <m/>
    <x v="6"/>
    <n v="10"/>
    <n v="2023"/>
    <n v="2033"/>
    <n v="2033.8333333333333"/>
    <n v="6.5791666666666666"/>
    <n v="78.95"/>
    <n v="78.95"/>
    <n v="39.475000000000023"/>
    <n v="118.42500000000003"/>
    <n v="671.07499999999993"/>
    <s v="No"/>
  </r>
  <r>
    <n v="2111"/>
    <n v="319167"/>
    <s v="P"/>
    <s v="Capitalized"/>
    <s v="65 Gal Carts"/>
    <m/>
    <m/>
    <n v="936"/>
    <m/>
    <n v="0"/>
    <s v="FILE 2524"/>
    <m/>
    <s v="CONTAINERS"/>
    <s v="TBA"/>
    <m/>
    <m/>
    <m/>
    <d v="2023-10-31T00:00:00"/>
    <d v="2023-10-31T00:00:00"/>
    <s v="2111-23-0043-1"/>
    <n v="700"/>
    <n v="14050"/>
    <n v="51042.45"/>
    <n v="14056"/>
    <n v="6684.15"/>
    <n v="44358.299999999996"/>
    <n v="5468.85"/>
    <n v="54260"/>
    <n v="607.65"/>
    <s v="P"/>
    <m/>
    <m/>
    <s v=" "/>
    <s v="STL"/>
    <s v="YES"/>
    <s v="TBD"/>
    <m/>
    <x v="7"/>
    <n v="10"/>
    <n v="2023"/>
    <n v="2030"/>
    <n v="2030.8333333333333"/>
    <n v="607.64821428571429"/>
    <n v="7291.778571428571"/>
    <n v="7291.778571428571"/>
    <n v="3645.8892857142855"/>
    <n v="10937.667857142857"/>
    <n v="40104.782142857141"/>
    <s v="No"/>
  </r>
  <r>
    <n v="2111"/>
    <n v="319166"/>
    <s v="P"/>
    <s v="Capitalized"/>
    <s v="95 Gal Carts"/>
    <m/>
    <m/>
    <n v="702"/>
    <m/>
    <n v="0"/>
    <s v="FILE 2524"/>
    <m/>
    <s v="CONTAINERS"/>
    <s v="TBA"/>
    <m/>
    <m/>
    <m/>
    <d v="2023-10-31T00:00:00"/>
    <d v="2023-10-31T00:00:00"/>
    <s v="2111-23-0043-1"/>
    <n v="700"/>
    <n v="14050"/>
    <n v="43367.54"/>
    <n v="14056"/>
    <n v="5679.08"/>
    <n v="37688.46"/>
    <n v="4646.5200000000004"/>
    <n v="54260"/>
    <n v="516.28"/>
    <s v="P"/>
    <m/>
    <m/>
    <s v=" "/>
    <s v="STL"/>
    <s v="YES"/>
    <s v="TBD"/>
    <m/>
    <x v="7"/>
    <n v="10"/>
    <n v="2023"/>
    <n v="2030"/>
    <n v="2030.8333333333333"/>
    <n v="516.28023809523813"/>
    <n v="6195.362857142858"/>
    <n v="6195.362857142858"/>
    <n v="3097.6814285714281"/>
    <n v="9293.0442857142862"/>
    <n v="34074.495714285717"/>
    <s v="No"/>
  </r>
  <r>
    <n v="2111"/>
    <n v="319165"/>
    <s v="P"/>
    <s v="Capitalized"/>
    <s v="95 Gal Carts"/>
    <m/>
    <m/>
    <n v="702"/>
    <m/>
    <n v="0"/>
    <s v="FILE 2524"/>
    <m/>
    <s v="CONTAINERS"/>
    <s v="TBA"/>
    <m/>
    <m/>
    <m/>
    <d v="2023-10-31T00:00:00"/>
    <d v="2023-10-31T00:00:00"/>
    <s v="2111-23-0043-1"/>
    <n v="700"/>
    <n v="14050"/>
    <n v="43367.54"/>
    <n v="14056"/>
    <n v="5679.08"/>
    <n v="37688.46"/>
    <n v="4646.5200000000004"/>
    <n v="54260"/>
    <n v="516.28"/>
    <s v="P"/>
    <m/>
    <m/>
    <s v=" "/>
    <s v="STL"/>
    <s v="YES"/>
    <s v="TBD"/>
    <m/>
    <x v="7"/>
    <n v="10"/>
    <n v="2023"/>
    <n v="2030"/>
    <n v="2030.8333333333333"/>
    <n v="516.28023809523813"/>
    <n v="6195.362857142858"/>
    <n v="6195.362857142858"/>
    <n v="3097.6814285714281"/>
    <n v="9293.0442857142862"/>
    <n v="34074.495714285717"/>
    <s v="No"/>
  </r>
  <r>
    <n v="2111"/>
    <n v="319156"/>
    <n v="319318"/>
    <s v="Capitalized"/>
    <s v="Radio Kit for Truck 920 sn C3611635"/>
    <m/>
    <m/>
    <n v="1"/>
    <m/>
    <n v="0"/>
    <s v="2875 R.W. JOHNSON BLVD"/>
    <m/>
    <s v="TRUCKS AND TRAILERS"/>
    <s v="TBA"/>
    <s v="Non-Rolling Stock"/>
    <m/>
    <m/>
    <d v="2023-10-19T00:00:00"/>
    <d v="2023-10-19T00:00:00"/>
    <s v="2111-23-0027-1"/>
    <n v="500"/>
    <n v="14040"/>
    <n v="900.01"/>
    <n v="14046"/>
    <n v="165"/>
    <n v="735.01"/>
    <n v="135"/>
    <n v="51260"/>
    <n v="15"/>
    <s v="P"/>
    <m/>
    <m/>
    <s v=" "/>
    <s v="STL"/>
    <s v="YES"/>
    <s v="TBD"/>
    <m/>
    <x v="14"/>
    <n v="10"/>
    <n v="2023"/>
    <n v="2028"/>
    <n v="2028.8333333333333"/>
    <n v="15.000166666666667"/>
    <n v="180.00200000000001"/>
    <n v="180.00200000000001"/>
    <n v="90.000999999999976"/>
    <n v="270.00299999999999"/>
    <n v="630.00700000000006"/>
    <s v="No"/>
  </r>
  <r>
    <n v="2111"/>
    <n v="319153"/>
    <n v="319563"/>
    <s v="Capitalized"/>
    <s v="Radio Kit for Truck 879 sn C3513241"/>
    <m/>
    <m/>
    <n v="1"/>
    <m/>
    <n v="0"/>
    <s v="2875 R.W. JOHNSON BLVD"/>
    <m/>
    <s v="TRUCKS AND TRAILERS"/>
    <s v="TBA"/>
    <s v="Non-Rolling Stock"/>
    <m/>
    <m/>
    <d v="2023-10-19T00:00:00"/>
    <d v="2023-10-19T00:00:00"/>
    <s v="2111-23-0021-1"/>
    <n v="500"/>
    <n v="14040"/>
    <n v="900.01"/>
    <n v="14046"/>
    <n v="165"/>
    <n v="735.01"/>
    <n v="135"/>
    <n v="51260"/>
    <n v="15"/>
    <s v="P"/>
    <m/>
    <m/>
    <s v=" "/>
    <s v="STL"/>
    <s v="YES"/>
    <s v="TBD"/>
    <m/>
    <x v="0"/>
    <n v="10"/>
    <n v="2023"/>
    <n v="2028"/>
    <n v="2028.8333333333333"/>
    <n v="15.000166666666667"/>
    <n v="180.00200000000001"/>
    <n v="180.00200000000001"/>
    <n v="90.000999999999976"/>
    <n v="270.00299999999999"/>
    <n v="630.00700000000006"/>
    <s v="No"/>
  </r>
  <r>
    <n v="2111"/>
    <n v="319152"/>
    <n v="319563"/>
    <s v="Capitalized"/>
    <s v="Radio Kit for Truck 878 sn C3610131"/>
    <m/>
    <m/>
    <n v="1"/>
    <m/>
    <n v="0"/>
    <s v="2875 R.W. JOHNSON BLVD"/>
    <m/>
    <s v="TRUCKS AND TRAILERS"/>
    <s v="TBA"/>
    <s v="Non-Rolling Stock"/>
    <m/>
    <m/>
    <d v="2023-10-19T00:00:00"/>
    <d v="2023-10-19T00:00:00"/>
    <s v="2111-23-0021-1"/>
    <n v="500"/>
    <n v="14040"/>
    <n v="900.01"/>
    <n v="14046"/>
    <n v="165"/>
    <n v="735.01"/>
    <n v="135"/>
    <n v="51260"/>
    <n v="15"/>
    <s v="P"/>
    <m/>
    <m/>
    <s v=" "/>
    <s v="STL"/>
    <s v="YES"/>
    <s v="TBD"/>
    <m/>
    <x v="0"/>
    <n v="10"/>
    <n v="2023"/>
    <n v="2028"/>
    <n v="2028.8333333333333"/>
    <n v="15.000166666666667"/>
    <n v="180.00200000000001"/>
    <n v="180.00200000000001"/>
    <n v="90.000999999999976"/>
    <n v="270.00299999999999"/>
    <n v="630.00700000000006"/>
    <s v="No"/>
  </r>
  <r>
    <n v="2111"/>
    <n v="319149"/>
    <n v="315529"/>
    <s v="Capitalized"/>
    <s v="Radio Kit for Truck 919"/>
    <m/>
    <m/>
    <n v="1"/>
    <m/>
    <n v="0"/>
    <s v="2875 R.W. JOHNSON BLVD"/>
    <m/>
    <s v="TRUCKS AND TRAILERS"/>
    <s v="TBA"/>
    <s v="Non-Rolling Stock"/>
    <m/>
    <m/>
    <d v="2023-10-06T00:00:00"/>
    <d v="2023-10-06T00:00:00"/>
    <s v="2111-23-0008-1"/>
    <n v="500"/>
    <n v="14040"/>
    <n v="900.01"/>
    <n v="14046"/>
    <n v="180"/>
    <n v="720.01"/>
    <n v="135"/>
    <n v="51260"/>
    <n v="15"/>
    <s v="P"/>
    <m/>
    <m/>
    <s v=" "/>
    <s v="STL"/>
    <s v="YES"/>
    <s v="TBD"/>
    <m/>
    <x v="0"/>
    <n v="10"/>
    <n v="2023"/>
    <n v="2028"/>
    <n v="2028.8333333333333"/>
    <n v="15.000166666666667"/>
    <n v="180.00200000000001"/>
    <n v="180.00200000000001"/>
    <n v="90.000999999999976"/>
    <n v="270.00299999999999"/>
    <n v="630.00700000000006"/>
    <s v="No"/>
  </r>
  <r>
    <n v="2111"/>
    <n v="319148"/>
    <n v="315528"/>
    <s v="Capitalized"/>
    <s v="Radio Kit for Truck 452 sn C3610134"/>
    <m/>
    <m/>
    <n v="1"/>
    <m/>
    <n v="0"/>
    <s v="2875 R.W. JOHNSON BLVD"/>
    <m/>
    <s v="TRUCKS AND TRAILERS"/>
    <s v="TBA"/>
    <s v="Non-Rolling Stock"/>
    <m/>
    <m/>
    <d v="2023-09-29T00:00:00"/>
    <d v="2023-09-29T00:00:00"/>
    <s v="2111-23-0005-1"/>
    <n v="500"/>
    <n v="14040"/>
    <n v="900.01"/>
    <n v="14046"/>
    <n v="180"/>
    <n v="720.01"/>
    <n v="135"/>
    <n v="51260"/>
    <n v="15"/>
    <s v="P"/>
    <m/>
    <m/>
    <s v=" "/>
    <s v="STL"/>
    <s v="YES"/>
    <s v="TBD"/>
    <m/>
    <x v="0"/>
    <n v="9"/>
    <n v="2023"/>
    <n v="2028"/>
    <n v="2028.75"/>
    <n v="15.000166666666667"/>
    <n v="180.00200000000001"/>
    <n v="180.00200000000001"/>
    <n v="105.00116666665303"/>
    <n v="285.00316666665304"/>
    <n v="615.006833333347"/>
    <s v="No"/>
  </r>
  <r>
    <n v="2111"/>
    <n v="319147"/>
    <n v="319317"/>
    <s v="Capitalized"/>
    <s v="Radio Kit for Truck 453 sn C3513245"/>
    <m/>
    <m/>
    <n v="1"/>
    <m/>
    <n v="0"/>
    <s v="2875 R.W. JOHNSON BLVD"/>
    <m/>
    <s v="TRUCKS AND TRAILERS"/>
    <s v="TBA"/>
    <s v="Non-Rolling Stock"/>
    <m/>
    <m/>
    <d v="2023-10-19T00:00:00"/>
    <d v="2023-10-19T00:00:00"/>
    <s v="2111-23-0004-1"/>
    <n v="500"/>
    <n v="14040"/>
    <n v="900.01"/>
    <n v="14046"/>
    <n v="165"/>
    <n v="735.01"/>
    <n v="135"/>
    <n v="51260"/>
    <n v="15"/>
    <s v="P"/>
    <m/>
    <m/>
    <s v=" "/>
    <s v="STL"/>
    <s v="YES"/>
    <s v="TBD"/>
    <m/>
    <x v="0"/>
    <n v="10"/>
    <n v="2023"/>
    <n v="2028"/>
    <n v="2028.8333333333333"/>
    <n v="15.000166666666667"/>
    <n v="180.00200000000001"/>
    <n v="180.00200000000001"/>
    <n v="90.000999999999976"/>
    <n v="270.00299999999999"/>
    <n v="630.00700000000006"/>
    <s v="No"/>
  </r>
  <r>
    <n v="2111"/>
    <n v="318872"/>
    <n v="305425"/>
    <s v="Capitalized"/>
    <s v="Install new kick arms and kick bar"/>
    <m/>
    <m/>
    <n v="1"/>
    <m/>
    <n v="0"/>
    <s v="PO BOX 13040"/>
    <m/>
    <s v="TRUCKS AND TRAILERS"/>
    <s v="TBA"/>
    <s v="Non-Rolling Stock"/>
    <m/>
    <m/>
    <d v="2023-05-19T00:00:00"/>
    <d v="2023-05-19T00:00:00"/>
    <s v="2111-23-0017-1"/>
    <n v="1000"/>
    <n v="14040"/>
    <n v="6411.1"/>
    <n v="14046"/>
    <n v="854.85"/>
    <n v="5556.25"/>
    <n v="480.87"/>
    <n v="51260"/>
    <n v="53.43"/>
    <s v="P"/>
    <m/>
    <m/>
    <s v=" "/>
    <s v="STL"/>
    <s v="YES"/>
    <s v="TBD"/>
    <m/>
    <x v="14"/>
    <n v="5"/>
    <n v="2023"/>
    <n v="2033"/>
    <n v="2033.4166666666667"/>
    <n v="53.425833333333337"/>
    <n v="641.11"/>
    <n v="641.11"/>
    <n v="587.68416666656958"/>
    <n v="1228.7941666665697"/>
    <n v="5182.3058333334302"/>
    <s v="No"/>
  </r>
  <r>
    <n v="2111"/>
    <n v="317812"/>
    <n v="315529"/>
    <s v="Capitalized"/>
    <s v="Install Quick Release Power Dock"/>
    <m/>
    <m/>
    <n v="1"/>
    <m/>
    <n v="0"/>
    <s v="PROCLIP USA LLC"/>
    <m/>
    <s v="TRUCKS AND TRAILERS"/>
    <s v="TBA"/>
    <s v="Non-Rolling Stock"/>
    <m/>
    <m/>
    <d v="2023-10-06T00:00:00"/>
    <d v="2023-10-06T00:00:00"/>
    <s v="2111-23-0008-1"/>
    <n v="1000"/>
    <n v="14040"/>
    <n v="403.39"/>
    <n v="14046"/>
    <n v="40.33"/>
    <n v="363.06"/>
    <n v="30.24"/>
    <n v="51260"/>
    <n v="3.36"/>
    <s v="P"/>
    <m/>
    <m/>
    <s v=" "/>
    <s v="STL"/>
    <s v="YES"/>
    <s v="TBD"/>
    <m/>
    <x v="0"/>
    <n v="10"/>
    <n v="2023"/>
    <n v="2033"/>
    <n v="2033.8333333333333"/>
    <n v="3.3615833333333334"/>
    <n v="40.338999999999999"/>
    <n v="40.338999999999999"/>
    <n v="20.169499999999971"/>
    <n v="60.50849999999997"/>
    <n v="342.88150000000002"/>
    <s v="No"/>
  </r>
  <r>
    <n v="2111"/>
    <n v="317811"/>
    <n v="315528"/>
    <s v="Capitalized"/>
    <s v="Roll Off-Install Quick release Power Dock"/>
    <m/>
    <m/>
    <n v="1"/>
    <m/>
    <n v="0"/>
    <s v="PROCLIP USA LLC"/>
    <m/>
    <s v="TRUCKS AND TRAILERS"/>
    <s v="TBA"/>
    <s v="Non-Rolling Stock"/>
    <m/>
    <m/>
    <d v="2023-09-29T00:00:00"/>
    <d v="2023-09-29T00:00:00"/>
    <s v="2111-23-0005-1"/>
    <n v="1000"/>
    <n v="14040"/>
    <n v="403.31"/>
    <n v="14046"/>
    <n v="40.32"/>
    <n v="362.99"/>
    <n v="30.24"/>
    <n v="51260"/>
    <n v="3.36"/>
    <s v="P"/>
    <m/>
    <m/>
    <s v=" "/>
    <s v="STL"/>
    <s v="YES"/>
    <s v="TBD"/>
    <m/>
    <x v="0"/>
    <n v="9"/>
    <n v="2023"/>
    <n v="2033"/>
    <n v="2033.75"/>
    <n v="3.3609166666666668"/>
    <n v="40.331000000000003"/>
    <n v="40.331000000000003"/>
    <n v="23.526416666663579"/>
    <n v="63.857416666663582"/>
    <n v="339.45258333333641"/>
    <s v="No"/>
  </r>
  <r>
    <n v="2111"/>
    <n v="316475"/>
    <n v="309961"/>
    <s v="Capitalized"/>
    <s v="Leachate Collection Improvements"/>
    <m/>
    <m/>
    <n v="1"/>
    <m/>
    <n v="0"/>
    <s v="4412 SW CORBETT"/>
    <m/>
    <s v="LAND IMPROVEMENTS"/>
    <s v="TBA"/>
    <m/>
    <m/>
    <m/>
    <d v="2023-07-28T00:00:00"/>
    <d v="2023-07-28T00:00:00"/>
    <s v="2111-23-0002-1"/>
    <n v="1000"/>
    <n v="14010"/>
    <n v="4900.25"/>
    <n v="14016"/>
    <n v="571.74"/>
    <n v="4328.51"/>
    <n v="367.56"/>
    <n v="57260"/>
    <n v="40.840000000000003"/>
    <s v="P"/>
    <m/>
    <m/>
    <s v=" "/>
    <s v="STL"/>
    <s v="YES"/>
    <s v="TBD"/>
    <m/>
    <x v="6"/>
    <n v="7"/>
    <n v="2023"/>
    <n v="2033"/>
    <n v="2033.5833333333333"/>
    <n v="40.835416666666667"/>
    <n v="490.02499999999998"/>
    <n v="490.02499999999998"/>
    <n v="367.51875000000018"/>
    <n v="857.54375000000016"/>
    <n v="4042.7062499999997"/>
    <s v="No"/>
  </r>
  <r>
    <n v="2111"/>
    <n v="316364"/>
    <s v="P"/>
    <s v="Capitalized"/>
    <s v="Chassis"/>
    <m/>
    <m/>
    <n v="1"/>
    <s v="1H9CC53416T347109"/>
    <n v="2006"/>
    <s v="Helm"/>
    <s v="Other"/>
    <s v="TRUCKS AND TRAILERS"/>
    <s v="TBA"/>
    <s v="Container Chassis"/>
    <m/>
    <m/>
    <d v="2006-12-08T00:00:00"/>
    <d v="2006-12-08T00:00:00"/>
    <s v="06-2113-027"/>
    <n v="700"/>
    <n v="14040"/>
    <n v="41353.599999999999"/>
    <n v="14046"/>
    <n v="41353.599999999999"/>
    <n v="0"/>
    <n v="0"/>
    <n v="51260"/>
    <n v="0"/>
    <s v="P"/>
    <m/>
    <s v="LEX45"/>
    <s v=" "/>
    <s v="STL"/>
    <s v="YES"/>
    <s v="C1"/>
    <s v="Trailer"/>
    <x v="12"/>
    <n v="12"/>
    <n v="2006"/>
    <n v="2013"/>
    <n v="2014"/>
    <n v="492.30476190476185"/>
    <n v="5907.6571428571424"/>
    <n v="0"/>
    <n v="41353.599999999999"/>
    <n v="41353.599999999999"/>
    <n v="0"/>
    <s v="No"/>
  </r>
  <r>
    <n v="2111"/>
    <n v="316363"/>
    <s v="P"/>
    <s v="Capitalized"/>
    <s v="Chassis"/>
    <m/>
    <m/>
    <n v="1"/>
    <s v="1H9CC534X6T347108"/>
    <n v="2006"/>
    <s v="Helm"/>
    <s v="Other"/>
    <s v="TRUCKS AND TRAILERS"/>
    <s v="TBA"/>
    <s v="Container Chassis"/>
    <m/>
    <m/>
    <d v="2006-12-08T00:00:00"/>
    <d v="2006-12-08T00:00:00"/>
    <s v="06-2113-026"/>
    <n v="700"/>
    <n v="14040"/>
    <n v="41353.599999999999"/>
    <n v="14046"/>
    <n v="41353.599999999999"/>
    <n v="0"/>
    <n v="0"/>
    <n v="51260"/>
    <n v="0"/>
    <s v="P"/>
    <n v="0"/>
    <s v="LEX-44"/>
    <s v=" "/>
    <s v="STL"/>
    <s v="YES"/>
    <s v="C4"/>
    <s v="Trailer"/>
    <x v="12"/>
    <n v="12"/>
    <n v="2006"/>
    <n v="2013"/>
    <n v="2014"/>
    <n v="492.30476190476185"/>
    <n v="5907.6571428571424"/>
    <n v="0"/>
    <n v="41353.599999999999"/>
    <n v="41353.599999999999"/>
    <n v="0"/>
    <s v="No"/>
  </r>
  <r>
    <n v="2111"/>
    <n v="316362"/>
    <s v="P"/>
    <s v="Capitalized"/>
    <s v="chassis"/>
    <m/>
    <m/>
    <n v="1"/>
    <s v="1H9CC53426T347104"/>
    <n v="2006"/>
    <s v="Helm"/>
    <s v="Other"/>
    <s v="TRUCKS AND TRAILERS"/>
    <s v="TBA"/>
    <s v="Container Chassis"/>
    <m/>
    <m/>
    <d v="2006-12-08T00:00:00"/>
    <d v="2006-12-08T00:00:00"/>
    <s v="06-2113-024"/>
    <n v="700"/>
    <n v="14040"/>
    <n v="41353.599999999999"/>
    <n v="14046"/>
    <n v="41353.599999999999"/>
    <n v="0"/>
    <n v="0"/>
    <n v="51260"/>
    <n v="0"/>
    <s v="P"/>
    <n v="0"/>
    <s v="LEX-42"/>
    <s v=" "/>
    <s v="STL"/>
    <s v="YES"/>
    <s v="C6"/>
    <s v="Trailer"/>
    <x v="12"/>
    <n v="12"/>
    <n v="2006"/>
    <n v="2013"/>
    <n v="2014"/>
    <n v="492.30476190476185"/>
    <n v="5907.6571428571424"/>
    <n v="0"/>
    <n v="41353.599999999999"/>
    <n v="41353.599999999999"/>
    <n v="0"/>
    <s v="No"/>
  </r>
  <r>
    <n v="2111"/>
    <n v="316361"/>
    <s v="P"/>
    <s v="Capitalized"/>
    <s v="chassis"/>
    <m/>
    <m/>
    <n v="1"/>
    <s v="1H9CC53487T347111"/>
    <n v="2006"/>
    <s v="Helm"/>
    <s v="Other"/>
    <s v="TRUCKS AND TRAILERS"/>
    <s v="TBA"/>
    <s v="Container Chassis"/>
    <m/>
    <m/>
    <d v="2006-10-27T00:00:00"/>
    <d v="2006-10-27T00:00:00"/>
    <s v="06-2113-029"/>
    <n v="700"/>
    <n v="14040"/>
    <n v="41353.599999999999"/>
    <n v="14046"/>
    <n v="41353.599999999999"/>
    <n v="0"/>
    <n v="0"/>
    <n v="51260"/>
    <n v="0"/>
    <s v="P"/>
    <n v="0"/>
    <s v="LEX-46"/>
    <s v=" "/>
    <s v="STL"/>
    <s v="YES"/>
    <s v="C2"/>
    <s v="Trailer"/>
    <x v="12"/>
    <n v="10"/>
    <n v="2006"/>
    <n v="2013"/>
    <n v="2013.8333333333333"/>
    <n v="492.30476190476185"/>
    <n v="5907.6571428571424"/>
    <n v="0"/>
    <n v="41353.599999999999"/>
    <n v="41353.599999999999"/>
    <n v="0"/>
    <s v="No"/>
  </r>
  <r>
    <n v="2111"/>
    <n v="316360"/>
    <s v="P"/>
    <s v="Capitalized"/>
    <s v="Brentwood chassis"/>
    <m/>
    <m/>
    <n v="1"/>
    <s v="2B9RSXBL03B304540"/>
    <n v="2003"/>
    <s v="Other"/>
    <s v="Other"/>
    <s v="HEAVY EQUIPMENT"/>
    <s v="TBA"/>
    <s v="Other Trailer"/>
    <m/>
    <m/>
    <d v="2004-11-01T00:00:00"/>
    <d v="2004-11-01T00:00:00"/>
    <m/>
    <n v="800"/>
    <n v="14030"/>
    <n v="20000"/>
    <n v="14036"/>
    <n v="20000"/>
    <n v="0"/>
    <n v="0"/>
    <n v="51260"/>
    <n v="0"/>
    <s v="A"/>
    <s v="NWCS"/>
    <s v="LEX-17"/>
    <s v=" "/>
    <s v="STL"/>
    <s v="YES"/>
    <s v="TBD"/>
    <m/>
    <x v="0"/>
    <n v="11"/>
    <n v="2004"/>
    <n v="2012"/>
    <n v="2012.9166666666667"/>
    <n v="208.33333333333334"/>
    <n v="2500"/>
    <n v="0"/>
    <n v="20000"/>
    <n v="20000"/>
    <n v="0"/>
    <s v="No"/>
  </r>
  <r>
    <n v="2111"/>
    <n v="316069"/>
    <s v="P"/>
    <s v="Capitalized"/>
    <s v="2013 53 ft. Quad Axle Container Chassis"/>
    <m/>
    <m/>
    <n v="1"/>
    <s v="1H9CC53433T347152"/>
    <n v="2013"/>
    <s v="Helm"/>
    <s v="Helm"/>
    <s v="TRUCKS AND TRAILERS"/>
    <s v="TBA"/>
    <s v="Container Chassis"/>
    <m/>
    <m/>
    <d v="2013-08-20T00:00:00"/>
    <d v="2013-08-20T00:00:00"/>
    <s v="2111-13-0016-1"/>
    <n v="600"/>
    <n v="14040"/>
    <n v="39274.82"/>
    <n v="14046"/>
    <n v="39274.82"/>
    <n v="0"/>
    <n v="0"/>
    <n v="51260"/>
    <n v="0"/>
    <s v="P"/>
    <n v="0"/>
    <s v="LEX-20"/>
    <s v=" "/>
    <s v="STL"/>
    <s v="YES"/>
    <s v="TBD"/>
    <m/>
    <x v="5"/>
    <n v="8"/>
    <n v="2013"/>
    <n v="2019"/>
    <n v="2019.6666666666667"/>
    <n v="545.48361111111114"/>
    <n v="6545.8033333333333"/>
    <n v="0"/>
    <n v="39274.82"/>
    <n v="39274.82"/>
    <n v="0"/>
    <s v="No"/>
  </r>
  <r>
    <n v="2111"/>
    <n v="315938"/>
    <s v="P"/>
    <s v="Capitalized"/>
    <s v="95g YW Carts"/>
    <m/>
    <m/>
    <n v="702"/>
    <m/>
    <n v="0"/>
    <s v="FILE 2524"/>
    <m/>
    <s v="CONTAINERS"/>
    <s v="TBA"/>
    <m/>
    <m/>
    <m/>
    <d v="2023-06-14T00:00:00"/>
    <d v="2023-06-14T00:00:00"/>
    <s v="2111-23-0040-1"/>
    <n v="700"/>
    <n v="14050"/>
    <n v="44741.26"/>
    <n v="14056"/>
    <n v="8522.11"/>
    <n v="36219.15"/>
    <n v="4793.67"/>
    <n v="54260"/>
    <n v="532.63"/>
    <s v="P"/>
    <m/>
    <m/>
    <s v=" "/>
    <s v="STL"/>
    <s v="YES"/>
    <s v="TBD"/>
    <m/>
    <x v="7"/>
    <n v="6"/>
    <n v="2023"/>
    <n v="2030"/>
    <n v="2030.5"/>
    <n v="532.63404761904769"/>
    <n v="6391.6085714285728"/>
    <n v="6391.6085714285728"/>
    <n v="5326.3404761899874"/>
    <n v="11717.94904761856"/>
    <n v="33023.310952381442"/>
    <s v="No"/>
  </r>
  <r>
    <n v="2111"/>
    <n v="315937"/>
    <s v="P"/>
    <s v="Capitalized"/>
    <s v="95g Rec Carts"/>
    <m/>
    <m/>
    <n v="702"/>
    <m/>
    <n v="0"/>
    <s v="FILE 2524"/>
    <m/>
    <s v="CONTAINERS"/>
    <s v="TBA"/>
    <m/>
    <m/>
    <m/>
    <d v="2023-06-14T00:00:00"/>
    <d v="2023-06-14T00:00:00"/>
    <s v="2111-23-0040-1"/>
    <n v="700"/>
    <n v="14050"/>
    <n v="44741.27"/>
    <n v="14056"/>
    <n v="8522.11"/>
    <n v="36219.159999999996"/>
    <n v="4793.67"/>
    <n v="54260"/>
    <n v="532.63"/>
    <s v="P"/>
    <m/>
    <m/>
    <s v=" "/>
    <s v="STL"/>
    <s v="YES"/>
    <s v="TBD"/>
    <m/>
    <x v="7"/>
    <n v="6"/>
    <n v="2023"/>
    <n v="2030"/>
    <n v="2030.5"/>
    <n v="532.6341666666666"/>
    <n v="6391.6099999999988"/>
    <n v="6391.6099999999988"/>
    <n v="5326.3416666661869"/>
    <n v="11717.951666666186"/>
    <n v="33023.318333333809"/>
    <s v="No"/>
  </r>
  <r>
    <n v="2111"/>
    <n v="315919"/>
    <n v="315529"/>
    <s v="Capitalized"/>
    <s v="2024 Peterbilt FEL Truck- Body"/>
    <m/>
    <m/>
    <n v="1"/>
    <s v="3BPDLK0X7RF116277"/>
    <n v="2024"/>
    <s v="PO BOX 13040"/>
    <m/>
    <s v="TRUCKS AND TRAILERS"/>
    <s v="TBA"/>
    <s v="Non-Rolling Stock"/>
    <m/>
    <m/>
    <d v="2023-10-06T00:00:00"/>
    <d v="2023-10-06T00:00:00"/>
    <s v="2111-23-0008-1"/>
    <n v="1000"/>
    <n v="14040"/>
    <n v="187199.07"/>
    <n v="14046"/>
    <n v="18719.88"/>
    <n v="168479.19"/>
    <n v="14039.91"/>
    <n v="51260"/>
    <n v="1559.99"/>
    <s v="P"/>
    <m/>
    <m/>
    <s v=" "/>
    <s v="STL"/>
    <s v="YES"/>
    <s v="TBD"/>
    <m/>
    <x v="0"/>
    <n v="10"/>
    <n v="2023"/>
    <n v="2033"/>
    <n v="2033.8333333333333"/>
    <n v="1559.99225"/>
    <n v="18719.906999999999"/>
    <n v="18719.906999999999"/>
    <n v="9359.9535000000033"/>
    <n v="28079.860500000003"/>
    <n v="159119.2095"/>
    <s v="No"/>
  </r>
  <r>
    <n v="2111"/>
    <n v="315918"/>
    <n v="315528"/>
    <s v="Capitalized"/>
    <s v="2023 Peterbilt ROL Truck- Body"/>
    <m/>
    <m/>
    <n v="1"/>
    <s v="1NPCX4EX1PD867893"/>
    <n v="2023"/>
    <s v="PO BOX 13040"/>
    <m/>
    <s v="TRUCKS AND TRAILERS"/>
    <s v="TBA"/>
    <s v="Non-Rolling Stock"/>
    <m/>
    <m/>
    <d v="2023-09-29T00:00:00"/>
    <d v="2023-09-29T00:00:00"/>
    <s v="2111-23-0005-1"/>
    <n v="1000"/>
    <n v="14040"/>
    <n v="106334.58"/>
    <n v="14046"/>
    <n v="10633.45"/>
    <n v="95701.13"/>
    <n v="7975.08"/>
    <n v="51260"/>
    <n v="886.12"/>
    <s v="P"/>
    <m/>
    <m/>
    <s v=" "/>
    <s v="STL"/>
    <s v="YES"/>
    <s v="TBD"/>
    <m/>
    <x v="0"/>
    <n v="9"/>
    <n v="2023"/>
    <n v="2033"/>
    <n v="2033.75"/>
    <n v="886.12150000000008"/>
    <n v="10633.458000000001"/>
    <n v="10633.458000000001"/>
    <n v="6202.8504999991856"/>
    <n v="16836.308499999184"/>
    <n v="89498.271500000817"/>
    <s v="No"/>
  </r>
  <r>
    <n v="2111"/>
    <n v="315584"/>
    <n v="309961"/>
    <s v="Capitalized"/>
    <s v="Leachate Collection Improvements"/>
    <m/>
    <m/>
    <n v="1"/>
    <m/>
    <n v="0"/>
    <s v="ATTN: ACCOUNTS PAYABLE"/>
    <m/>
    <s v="LAND IMPROVEMENTS"/>
    <s v="TBA"/>
    <m/>
    <m/>
    <m/>
    <d v="2023-07-28T00:00:00"/>
    <d v="2023-07-28T00:00:00"/>
    <s v="2111-23-0002-1"/>
    <n v="1000"/>
    <n v="14010"/>
    <n v="919.6"/>
    <n v="14016"/>
    <n v="107.26"/>
    <n v="812.34"/>
    <n v="68.94"/>
    <n v="57260"/>
    <n v="7.66"/>
    <s v="P"/>
    <m/>
    <m/>
    <s v=" "/>
    <s v="STL"/>
    <s v="YES"/>
    <s v="TBD"/>
    <m/>
    <x v="6"/>
    <n v="7"/>
    <n v="2023"/>
    <n v="2033"/>
    <n v="2033.5833333333333"/>
    <n v="7.663333333333334"/>
    <n v="91.960000000000008"/>
    <n v="91.960000000000008"/>
    <n v="68.969999999999914"/>
    <n v="160.92999999999992"/>
    <n v="758.67000000000007"/>
    <s v="No"/>
  </r>
  <r>
    <n v="2111"/>
    <n v="315529"/>
    <s v="P"/>
    <s v="Capitalized"/>
    <s v="2024 Peterbilt FEL Truck"/>
    <m/>
    <m/>
    <n v="1"/>
    <s v="3BPDLK0X7RF116277"/>
    <n v="2024"/>
    <m/>
    <m/>
    <s v="TRUCKS AND TRAILERS"/>
    <s v="TBA"/>
    <s v="Front Loader"/>
    <m/>
    <m/>
    <d v="2023-10-02T00:00:00"/>
    <d v="2023-10-02T00:00:00"/>
    <s v="2111-23-0008-1"/>
    <n v="1000"/>
    <n v="14040"/>
    <n v="224135.07"/>
    <n v="14046"/>
    <n v="22413.49"/>
    <n v="201721.58000000002"/>
    <n v="16810.11"/>
    <n v="51260"/>
    <n v="1867.79"/>
    <s v="P"/>
    <m/>
    <m/>
    <s v=" "/>
    <s v="STL"/>
    <s v="YES"/>
    <s v="TBD"/>
    <m/>
    <x v="0"/>
    <n v="10"/>
    <n v="2023"/>
    <n v="2033"/>
    <n v="2033.8333333333333"/>
    <n v="1867.7922500000002"/>
    <n v="22413.507000000001"/>
    <n v="22413.507000000001"/>
    <n v="11206.753499999992"/>
    <n v="33620.260499999989"/>
    <n v="190514.80950000003"/>
    <s v="No"/>
  </r>
  <r>
    <n v="2111"/>
    <n v="315528"/>
    <s v="P"/>
    <s v="Capitalized"/>
    <s v="2023 Peterbilt ROL Truck"/>
    <m/>
    <m/>
    <n v="1"/>
    <s v="1NPCX4EX1PD867893"/>
    <n v="2023"/>
    <m/>
    <m/>
    <s v="TRUCKS AND TRAILERS"/>
    <s v="TBA"/>
    <s v="Roll Off"/>
    <m/>
    <m/>
    <d v="2023-09-29T00:00:00"/>
    <d v="2023-09-29T00:00:00"/>
    <s v="2111-23-0005-1"/>
    <n v="1000"/>
    <n v="14040"/>
    <n v="234095.54"/>
    <n v="14046"/>
    <n v="23409.59"/>
    <n v="210685.95"/>
    <n v="17557.2"/>
    <n v="51260"/>
    <n v="1950.8"/>
    <s v="P"/>
    <m/>
    <m/>
    <s v=" "/>
    <s v="STL"/>
    <s v="YES"/>
    <s v="TBD"/>
    <m/>
    <x v="0"/>
    <n v="9"/>
    <n v="2023"/>
    <n v="2033"/>
    <n v="2033.75"/>
    <n v="1950.7961666666667"/>
    <n v="23409.554"/>
    <n v="23409.554"/>
    <n v="13655.573166664894"/>
    <n v="37065.127166664897"/>
    <n v="197030.41283333511"/>
    <s v="No"/>
  </r>
  <r>
    <n v="2111"/>
    <n v="314962"/>
    <n v="309969"/>
    <s v="Capitalized"/>
    <s v="2023 Peterbilt REL Truck -Custom cart tipper"/>
    <m/>
    <m/>
    <n v="1"/>
    <s v="3BPDLK0XXPF115380"/>
    <n v="2023"/>
    <s v="PO BOX 13040"/>
    <m/>
    <s v="TRUCKS AND TRAILERS"/>
    <s v="TBA"/>
    <s v="Non-Rolling Stock"/>
    <m/>
    <m/>
    <d v="2023-06-28T00:00:00"/>
    <d v="2023-06-28T00:00:00"/>
    <s v="2111-23-0018-1"/>
    <n v="1000"/>
    <n v="14040"/>
    <n v="11089.45"/>
    <n v="14046"/>
    <n v="1386.16"/>
    <n v="9703.2900000000009"/>
    <n v="831.69"/>
    <n v="51260"/>
    <n v="92.41"/>
    <s v="P"/>
    <m/>
    <m/>
    <s v=" "/>
    <s v="STL"/>
    <s v="YES"/>
    <s v="TBD"/>
    <m/>
    <x v="0"/>
    <n v="6"/>
    <n v="2023"/>
    <n v="2033"/>
    <n v="2033.5"/>
    <n v="92.412083333333342"/>
    <n v="1108.9450000000002"/>
    <n v="1108.9450000000002"/>
    <n v="924.12083333324881"/>
    <n v="2033.065833333249"/>
    <n v="9056.3841666667522"/>
    <s v="No"/>
  </r>
  <r>
    <n v="2111"/>
    <n v="314541"/>
    <n v="309969"/>
    <s v="Capitalized"/>
    <s v="2023 Peterbilt REL Truck - Registration"/>
    <m/>
    <m/>
    <n v="1"/>
    <s v="3BPDLK0XXPF115380"/>
    <n v="0"/>
    <s v="DEPARTMENT OF LICENSING"/>
    <m/>
    <s v="TRUCKS AND TRAILERS"/>
    <s v="TBA"/>
    <s v="Non-Rolling Stock"/>
    <m/>
    <m/>
    <d v="2023-06-28T00:00:00"/>
    <d v="2023-06-28T00:00:00"/>
    <s v="2111-23-0018-1"/>
    <n v="1000"/>
    <n v="14040"/>
    <n v="477.66"/>
    <n v="14046"/>
    <n v="59.7"/>
    <n v="417.96000000000004"/>
    <n v="35.82"/>
    <n v="51260"/>
    <n v="3.98"/>
    <s v="P"/>
    <m/>
    <m/>
    <s v=" "/>
    <s v="STL"/>
    <s v="YES"/>
    <s v="TBD"/>
    <m/>
    <x v="0"/>
    <n v="6"/>
    <n v="2023"/>
    <n v="2033"/>
    <n v="2033.5"/>
    <n v="3.9805000000000006"/>
    <n v="47.766000000000005"/>
    <n v="47.766000000000005"/>
    <n v="39.804999999996312"/>
    <n v="87.570999999996317"/>
    <n v="390.08900000000369"/>
    <s v="No"/>
  </r>
  <r>
    <n v="2111"/>
    <n v="312926"/>
    <s v="P"/>
    <s v="Capitalized"/>
    <s v="95g YW Carts"/>
    <m/>
    <m/>
    <n v="702"/>
    <m/>
    <n v="0"/>
    <s v="FILE 2524"/>
    <m/>
    <s v="CONTAINERS"/>
    <s v="TBA"/>
    <m/>
    <m/>
    <m/>
    <d v="2023-08-15T00:00:00"/>
    <d v="2023-08-15T00:00:00"/>
    <s v="2111-23-0042-1"/>
    <n v="700"/>
    <n v="14050"/>
    <n v="44233.18"/>
    <n v="14056"/>
    <n v="7372.24"/>
    <n v="36860.94"/>
    <n v="4739.3100000000004"/>
    <n v="54260"/>
    <n v="526.59"/>
    <s v="P"/>
    <m/>
    <m/>
    <s v=" "/>
    <s v="STL"/>
    <s v="YES"/>
    <s v="TBD"/>
    <m/>
    <x v="7"/>
    <n v="8"/>
    <n v="2023"/>
    <n v="2030"/>
    <n v="2030.6666666666667"/>
    <n v="526.58547619047624"/>
    <n v="6319.0257142857154"/>
    <n v="6319.0257142857154"/>
    <n v="4212.683809522845"/>
    <n v="10531.70952380856"/>
    <n v="33701.47047619144"/>
    <s v="No"/>
  </r>
  <r>
    <n v="2111"/>
    <n v="312328"/>
    <n v="309961"/>
    <s v="Capitalized"/>
    <s v="Leachate Collection Improvements/Employee and Trailer Parking - Engineering"/>
    <m/>
    <m/>
    <n v="1"/>
    <m/>
    <n v="0"/>
    <s v="ATTN: ACCOUNTS PAYABLE"/>
    <m/>
    <s v="LAND IMPROVEMENTS"/>
    <s v="TBA"/>
    <m/>
    <m/>
    <m/>
    <d v="2023-06-26T00:00:00"/>
    <d v="2023-06-26T00:00:00"/>
    <s v="2111-23-0002-1"/>
    <n v="1000"/>
    <n v="14010"/>
    <n v="2447.5"/>
    <n v="14016"/>
    <n v="305.98"/>
    <n v="2141.52"/>
    <n v="183.6"/>
    <n v="57260"/>
    <n v="20.399999999999999"/>
    <s v="P"/>
    <m/>
    <m/>
    <s v=" "/>
    <s v="STL"/>
    <s v="YES"/>
    <s v="TBD"/>
    <m/>
    <x v="6"/>
    <n v="6"/>
    <n v="2023"/>
    <n v="2033"/>
    <n v="2033.5"/>
    <n v="20.395833333333332"/>
    <n v="244.75"/>
    <n v="244.75"/>
    <n v="203.95833333331484"/>
    <n v="448.70833333331484"/>
    <n v="1998.7916666666852"/>
    <s v="No"/>
  </r>
  <r>
    <n v="2111"/>
    <n v="312156"/>
    <n v="309969"/>
    <s v="Capitalized"/>
    <s v="New REL Peterbilt - Truck Signage"/>
    <m/>
    <m/>
    <n v="1"/>
    <m/>
    <n v="0"/>
    <s v="LARSEN SIGN"/>
    <m/>
    <s v="TRUCKS AND TRAILERS"/>
    <s v="TBA"/>
    <s v="Non-Rolling Stock"/>
    <m/>
    <m/>
    <d v="2023-06-28T00:00:00"/>
    <d v="2023-06-28T00:00:00"/>
    <s v="2111-23-0018-1"/>
    <n v="1000"/>
    <n v="14040"/>
    <n v="962.5"/>
    <n v="14046"/>
    <n v="120.31"/>
    <n v="842.19"/>
    <n v="72.180000000000007"/>
    <n v="51260"/>
    <n v="8.02"/>
    <s v="P"/>
    <m/>
    <m/>
    <s v=" "/>
    <s v="STL"/>
    <s v="YES"/>
    <s v="TBD"/>
    <m/>
    <x v="0"/>
    <n v="6"/>
    <n v="2023"/>
    <n v="2033"/>
    <n v="2033.5"/>
    <n v="8.0208333333333339"/>
    <n v="96.25"/>
    <n v="96.25"/>
    <n v="80.208333333325982"/>
    <n v="176.45833333332598"/>
    <n v="786.04166666667402"/>
    <s v="No"/>
  </r>
  <r>
    <n v="2111"/>
    <n v="311681"/>
    <n v="309969"/>
    <s v="Capitalized"/>
    <s v="2023 Peterbilt REL Truck - Body - Rollover 2111-22-0009"/>
    <m/>
    <m/>
    <n v="1"/>
    <s v="3BPDLK0XXPF115380"/>
    <n v="0"/>
    <s v="PO BOX 13040"/>
    <m/>
    <s v="TRUCKS AND TRAILERS"/>
    <s v="TBA"/>
    <s v="Non-Rolling Stock"/>
    <m/>
    <m/>
    <d v="2023-06-28T00:00:00"/>
    <d v="2023-06-28T00:00:00"/>
    <s v="2111-23-0018-1"/>
    <n v="1000"/>
    <n v="14040"/>
    <n v="126489"/>
    <n v="14046"/>
    <n v="15811.17"/>
    <n v="110677.83"/>
    <n v="9486.7199999999993"/>
    <n v="51260"/>
    <n v="1054.08"/>
    <s v="P"/>
    <m/>
    <m/>
    <s v=" "/>
    <s v="STL"/>
    <s v="YES"/>
    <s v="TBD"/>
    <m/>
    <x v="0"/>
    <n v="6"/>
    <n v="2023"/>
    <n v="2033"/>
    <n v="2033.5"/>
    <n v="1054.075"/>
    <n v="12648.900000000001"/>
    <n v="12648.900000000001"/>
    <n v="10540.74999999904"/>
    <n v="23189.649999999041"/>
    <n v="103299.35000000097"/>
    <s v="No"/>
  </r>
  <r>
    <n v="2111"/>
    <n v="310496"/>
    <s v="P"/>
    <s v="Capitalized"/>
    <s v="95g MSW Carts - Plastic"/>
    <m/>
    <m/>
    <n v="702"/>
    <m/>
    <n v="0"/>
    <s v="FILE 2524"/>
    <m/>
    <s v="CONTAINERS"/>
    <s v="TBA"/>
    <m/>
    <m/>
    <m/>
    <d v="2023-06-14T00:00:00"/>
    <d v="2023-06-14T00:00:00"/>
    <s v="2111-23-0040-1"/>
    <n v="700"/>
    <n v="14050"/>
    <n v="44741.27"/>
    <n v="14056"/>
    <n v="8522.11"/>
    <n v="36219.159999999996"/>
    <n v="4793.67"/>
    <n v="54260"/>
    <n v="532.63"/>
    <s v="P"/>
    <m/>
    <m/>
    <s v=" "/>
    <s v="STL"/>
    <s v="YES"/>
    <s v="TBD"/>
    <m/>
    <x v="7"/>
    <n v="6"/>
    <n v="2023"/>
    <n v="2030"/>
    <n v="2030.5"/>
    <n v="532.6341666666666"/>
    <n v="6391.6099999999988"/>
    <n v="6391.6099999999988"/>
    <n v="5326.3416666661869"/>
    <n v="11717.951666666186"/>
    <n v="33023.318333333809"/>
    <s v="No"/>
  </r>
  <r>
    <n v="2111"/>
    <n v="310045"/>
    <s v="P"/>
    <s v="Capitalized"/>
    <s v="2004 Genie Man Lift Z45/25"/>
    <m/>
    <m/>
    <n v="1"/>
    <s v="Z452504-22889"/>
    <n v="2004"/>
    <m/>
    <m/>
    <s v="HEAVY EQUIPMENT"/>
    <s v="TBA"/>
    <s v="Manlift"/>
    <m/>
    <m/>
    <d v="2023-07-01T00:00:00"/>
    <d v="2023-07-01T00:00:00"/>
    <m/>
    <n v="0"/>
    <n v="14030"/>
    <n v="0"/>
    <n v="14036"/>
    <n v="0"/>
    <n v="0"/>
    <n v="0"/>
    <n v="51260"/>
    <n v="0"/>
    <s v="P"/>
    <m/>
    <m/>
    <s v=" "/>
    <s v="STL"/>
    <s v="NO"/>
    <s v="TBD"/>
    <m/>
    <x v="15"/>
    <n v="7"/>
    <n v="2023"/>
    <n v="2023"/>
    <n v="2023.5833333333333"/>
    <n v="0"/>
    <n v="0"/>
    <n v="0"/>
    <n v="0"/>
    <n v="0"/>
    <n v="0"/>
    <s v="No"/>
  </r>
  <r>
    <n v="2111"/>
    <n v="309971"/>
    <n v="110969"/>
    <s v="Capitalized"/>
    <s v="Truck 127 Engine Replacement"/>
    <m/>
    <m/>
    <n v="1"/>
    <m/>
    <n v="0"/>
    <m/>
    <m/>
    <s v="TRUCKS AND TRAILERS"/>
    <s v="TBA"/>
    <s v="Non-Rolling Stock"/>
    <m/>
    <m/>
    <d v="2023-07-06T00:00:00"/>
    <d v="2023-07-06T00:00:00"/>
    <s v="2111-23-0041-1"/>
    <n v="300"/>
    <n v="14040"/>
    <n v="14812.67"/>
    <n v="14046"/>
    <n v="6171.92"/>
    <n v="8640.75"/>
    <n v="3703.14"/>
    <n v="51260"/>
    <n v="411.46"/>
    <s v="P"/>
    <m/>
    <m/>
    <s v=" "/>
    <s v="STL"/>
    <s v="YES"/>
    <s v="TBD"/>
    <m/>
    <x v="0"/>
    <n v="7"/>
    <n v="2023"/>
    <n v="2026"/>
    <n v="2026.5833333333333"/>
    <n v="411.46305555555551"/>
    <n v="4937.5566666666664"/>
    <n v="4937.5566666666664"/>
    <n v="3703.1675000000014"/>
    <n v="8640.7241666666669"/>
    <n v="6171.9458333333332"/>
    <s v="No"/>
  </r>
  <r>
    <n v="2111"/>
    <n v="309970"/>
    <n v="309969"/>
    <s v="Capitalized"/>
    <s v="2023 Peterbilt REL Truck - Remaining Balance - Rollover 2111-22-0009"/>
    <m/>
    <m/>
    <n v="1"/>
    <s v="3BPDLK0XXPF115380"/>
    <n v="2023"/>
    <m/>
    <m/>
    <s v="TRUCKS AND TRAILERS"/>
    <s v="TBA"/>
    <s v="Non-Rolling Stock"/>
    <m/>
    <m/>
    <d v="2023-07-13T00:00:00"/>
    <d v="2023-07-13T00:00:00"/>
    <s v="2111-23-0018-1"/>
    <n v="1000"/>
    <n v="14040"/>
    <n v="3977.06"/>
    <n v="14046"/>
    <n v="497.11"/>
    <n v="3479.95"/>
    <n v="298.26"/>
    <n v="51260"/>
    <n v="33.14"/>
    <s v="P"/>
    <m/>
    <m/>
    <s v=" "/>
    <s v="STL"/>
    <s v="YES"/>
    <s v="TBD"/>
    <m/>
    <x v="0"/>
    <n v="7"/>
    <n v="2023"/>
    <n v="2033"/>
    <n v="2033.5833333333333"/>
    <n v="33.142166666666668"/>
    <n v="397.70600000000002"/>
    <n v="397.70600000000002"/>
    <n v="298.27949999999964"/>
    <n v="695.98549999999966"/>
    <n v="3281.0745000000002"/>
    <s v="No"/>
  </r>
  <r>
    <n v="2111"/>
    <n v="309969"/>
    <s v="P"/>
    <s v="Capitalized"/>
    <s v="2023 Peterbilt REL Truck-Chassis"/>
    <m/>
    <m/>
    <n v="1"/>
    <s v="3BPDLK0XXPF115380"/>
    <n v="2023"/>
    <m/>
    <m/>
    <s v="TRUCKS AND TRAILERS"/>
    <s v="TBA"/>
    <s v="Rear Loader"/>
    <m/>
    <m/>
    <d v="2023-07-13T00:00:00"/>
    <d v="2023-07-13T00:00:00"/>
    <s v="2111-22-0009-1"/>
    <n v="1000"/>
    <n v="14040"/>
    <n v="192304"/>
    <n v="14046"/>
    <n v="24037.97"/>
    <n v="168266.03"/>
    <n v="14422.77"/>
    <n v="51260"/>
    <n v="1602.53"/>
    <s v="P"/>
    <m/>
    <m/>
    <s v=" "/>
    <s v="STL"/>
    <s v="YES"/>
    <s v="TBD"/>
    <m/>
    <x v="0"/>
    <n v="7"/>
    <n v="2023"/>
    <n v="2033"/>
    <n v="2033.5833333333333"/>
    <n v="1602.5333333333335"/>
    <n v="19230.400000000001"/>
    <n v="19230.400000000001"/>
    <n v="14422.799999999988"/>
    <n v="33653.19999999999"/>
    <n v="158650.80000000002"/>
    <s v="No"/>
  </r>
  <r>
    <n v="2111"/>
    <n v="309961"/>
    <s v="P"/>
    <s v="Capitalized"/>
    <s v="Employee and Trailer Parking"/>
    <m/>
    <m/>
    <n v="1"/>
    <m/>
    <n v="0"/>
    <m/>
    <m/>
    <s v="LAND IMPROVEMENTS"/>
    <s v="TBA"/>
    <m/>
    <m/>
    <m/>
    <d v="2023-06-26T00:00:00"/>
    <d v="2023-06-26T00:00:00"/>
    <s v="2111-23-0002-1"/>
    <n v="1000"/>
    <n v="14010"/>
    <n v="688955.5"/>
    <n v="14016"/>
    <n v="86119.48"/>
    <n v="602836.02"/>
    <n v="51671.7"/>
    <n v="57260"/>
    <n v="5741.3"/>
    <s v="P"/>
    <m/>
    <m/>
    <s v=" "/>
    <s v="STL"/>
    <s v="YES"/>
    <s v="TBD"/>
    <m/>
    <x v="6"/>
    <n v="6"/>
    <n v="2023"/>
    <n v="2033"/>
    <n v="2033.5"/>
    <n v="5741.2958333333336"/>
    <n v="68895.55"/>
    <n v="68895.55"/>
    <n v="57412.958333328133"/>
    <n v="126308.50833332814"/>
    <n v="562646.99166667182"/>
    <s v="No"/>
  </r>
  <r>
    <n v="2111"/>
    <n v="309959"/>
    <s v="P"/>
    <s v="Capitalized"/>
    <s v="2004 Genie Man Lift Z45/25"/>
    <m/>
    <m/>
    <n v="1"/>
    <s v="Z452504-22889"/>
    <n v="2004"/>
    <m/>
    <m/>
    <s v="HEAVY EQUIPMENT"/>
    <s v="TBA"/>
    <s v="Manlift"/>
    <m/>
    <m/>
    <d v="2023-07-01T00:00:00"/>
    <d v="2023-07-01T00:00:00"/>
    <m/>
    <n v="0"/>
    <n v="14030"/>
    <n v="0"/>
    <n v="14036"/>
    <n v="0"/>
    <n v="0"/>
    <n v="0"/>
    <n v="51260"/>
    <n v="0"/>
    <s v="P"/>
    <m/>
    <m/>
    <s v=" "/>
    <s v="STL"/>
    <s v="NO"/>
    <s v="TBD"/>
    <m/>
    <x v="15"/>
    <n v="7"/>
    <n v="2023"/>
    <n v="2023"/>
    <n v="2023.5833333333333"/>
    <n v="0"/>
    <n v="0"/>
    <n v="0"/>
    <n v="0"/>
    <n v="0"/>
    <n v="0"/>
    <s v="No"/>
  </r>
  <r>
    <n v="2111"/>
    <n v="309753"/>
    <n v="110969"/>
    <s v="Capitalized"/>
    <s v="Truck 127 Engine Replacement"/>
    <m/>
    <m/>
    <n v="1"/>
    <m/>
    <n v="0"/>
    <s v="DIESEL SERVICES NORTHWEST"/>
    <m/>
    <s v="TRUCKS AND TRAILERS"/>
    <s v="TBA"/>
    <s v="Non-Rolling Stock"/>
    <m/>
    <m/>
    <d v="2023-06-07T00:00:00"/>
    <d v="2023-06-07T00:00:00"/>
    <s v="2111-23-0041-1"/>
    <n v="300"/>
    <n v="14040"/>
    <n v="5740.68"/>
    <n v="14046"/>
    <n v="2551.38"/>
    <n v="3189.3"/>
    <n v="1435.14"/>
    <n v="51260"/>
    <n v="159.46"/>
    <s v="P"/>
    <m/>
    <m/>
    <s v=" "/>
    <s v="STL"/>
    <s v="YES"/>
    <s v="TBD"/>
    <m/>
    <x v="0"/>
    <n v="6"/>
    <n v="2023"/>
    <n v="2026"/>
    <n v="2026.5"/>
    <n v="159.46333333333334"/>
    <n v="1913.56"/>
    <n v="1913.56"/>
    <n v="1594.6333333331886"/>
    <n v="3508.1933333331885"/>
    <n v="2232.4866666668117"/>
    <s v="No"/>
  </r>
  <r>
    <n v="2111"/>
    <n v="309344"/>
    <s v="P"/>
    <s v="Capitalized"/>
    <s v="2 YD REL Bear"/>
    <m/>
    <m/>
    <n v="9"/>
    <m/>
    <n v="0"/>
    <s v="PO BOX 80983"/>
    <m/>
    <s v="CONTAINERS"/>
    <s v="TBA"/>
    <m/>
    <s v="2 YD"/>
    <s v="FEL/REL/SL Metal"/>
    <d v="2023-03-09T00:00:00"/>
    <d v="2023-03-09T00:00:00"/>
    <s v="2111-23-0030-2"/>
    <n v="1200"/>
    <n v="14050"/>
    <n v="20158"/>
    <n v="14056"/>
    <n v="2659.77"/>
    <n v="17498.23"/>
    <n v="1259.9100000000001"/>
    <n v="54260"/>
    <n v="139.99"/>
    <s v="P"/>
    <m/>
    <m/>
    <s v=" "/>
    <s v="STL"/>
    <s v="YES"/>
    <s v="TBD"/>
    <m/>
    <x v="5"/>
    <n v="3"/>
    <n v="2023"/>
    <n v="2035"/>
    <n v="2035.25"/>
    <n v="139.98611111111111"/>
    <n v="1679.8333333333335"/>
    <n v="1679.8333333333335"/>
    <n v="1819.8194444443179"/>
    <n v="3499.6527777776514"/>
    <n v="16658.34722222235"/>
    <s v="No"/>
  </r>
  <r>
    <n v="2111"/>
    <n v="309343"/>
    <s v="P"/>
    <s v="Capitalized"/>
    <s v="2 YD REL Bear"/>
    <m/>
    <m/>
    <n v="1"/>
    <m/>
    <n v="0"/>
    <s v="PO BOX 80983"/>
    <m/>
    <s v="CONTAINERS"/>
    <s v="TBA"/>
    <m/>
    <s v="2 YD"/>
    <s v="FEL/REL/SL Metal"/>
    <d v="2023-03-09T00:00:00"/>
    <d v="2023-03-09T00:00:00"/>
    <s v="2111-23-0030-1"/>
    <n v="1200"/>
    <n v="14050"/>
    <n v="687"/>
    <n v="14056"/>
    <n v="90.61"/>
    <n v="596.39"/>
    <n v="42.93"/>
    <n v="54260"/>
    <n v="4.7699999999999996"/>
    <s v="P"/>
    <m/>
    <m/>
    <s v=" "/>
    <s v="STL"/>
    <s v="YES"/>
    <s v="TBD"/>
    <m/>
    <x v="5"/>
    <n v="3"/>
    <n v="2023"/>
    <n v="2035"/>
    <n v="2035.25"/>
    <n v="4.770833333333333"/>
    <n v="57.25"/>
    <n v="57.25"/>
    <n v="62.020833333329051"/>
    <n v="119.27083333332905"/>
    <n v="567.72916666667095"/>
    <s v="No"/>
  </r>
  <r>
    <n v="2111"/>
    <n v="308357"/>
    <s v="P"/>
    <s v="Capitalized"/>
    <s v="4 Yard FEL Containers"/>
    <m/>
    <m/>
    <n v="14"/>
    <m/>
    <n v="0"/>
    <m/>
    <m/>
    <s v="CONTAINERS"/>
    <s v="TBA"/>
    <m/>
    <s v="4 YD"/>
    <s v="FEL/REL/SL Metal"/>
    <d v="2003-09-17T00:00:00"/>
    <d v="2003-09-17T00:00:00"/>
    <m/>
    <n v="700"/>
    <n v="14050"/>
    <n v="923.68"/>
    <n v="14056"/>
    <n v="923.68"/>
    <n v="0"/>
    <n v="0"/>
    <n v="54260"/>
    <n v="0"/>
    <s v="A"/>
    <s v="GreenTeam of San Jose"/>
    <s v="NA"/>
    <s v=" "/>
    <s v="STL"/>
    <s v="YES"/>
    <s v="TBD"/>
    <m/>
    <x v="5"/>
    <n v="9"/>
    <n v="2003"/>
    <n v="2010"/>
    <n v="2010.75"/>
    <n v="10.996190476190476"/>
    <n v="131.9542857142857"/>
    <n v="0"/>
    <n v="923.68"/>
    <n v="923.68"/>
    <n v="0"/>
    <s v="No"/>
  </r>
  <r>
    <n v="2111"/>
    <n v="308149"/>
    <s v="P"/>
    <s v="Capitalized"/>
    <s v="6 Yard Commercial Containers"/>
    <m/>
    <m/>
    <n v="16"/>
    <m/>
    <n v="0"/>
    <m/>
    <m/>
    <s v="CONTAINERS"/>
    <s v="TBA"/>
    <m/>
    <s v="6 YD"/>
    <s v="FEL/REL/SL Metal"/>
    <d v="2008-11-03T00:00:00"/>
    <d v="2008-11-03T00:00:00"/>
    <m/>
    <n v="700"/>
    <n v="14050"/>
    <n v="137.61000000000001"/>
    <n v="14056"/>
    <n v="137.61000000000001"/>
    <n v="0"/>
    <n v="0"/>
    <n v="54260"/>
    <n v="0"/>
    <s v="A"/>
    <s v="LeMay Enterprises"/>
    <s v="NA"/>
    <s v=" "/>
    <s v="STL"/>
    <s v="YES"/>
    <s v="TBD"/>
    <m/>
    <x v="5"/>
    <n v="11"/>
    <n v="2008"/>
    <n v="2015"/>
    <n v="2015.9166666666667"/>
    <n v="1.6382142857142858"/>
    <n v="19.658571428571431"/>
    <n v="0"/>
    <n v="137.61000000000001"/>
    <n v="137.61000000000001"/>
    <n v="0"/>
    <s v="No"/>
  </r>
  <r>
    <n v="2111"/>
    <n v="307814"/>
    <s v="P"/>
    <s v="Capitalized"/>
    <s v="6 Yard Commercial Containers"/>
    <m/>
    <m/>
    <n v="39"/>
    <m/>
    <n v="0"/>
    <m/>
    <m/>
    <s v="CONTAINERS"/>
    <s v="TBA"/>
    <m/>
    <s v="6 YD"/>
    <s v="FEL/REL/SL Metal"/>
    <d v="2008-11-03T00:00:00"/>
    <d v="2008-11-03T00:00:00"/>
    <m/>
    <n v="700"/>
    <n v="14050"/>
    <n v="1507.14"/>
    <n v="14056"/>
    <n v="1507.14"/>
    <n v="0"/>
    <n v="0"/>
    <n v="54260"/>
    <n v="0"/>
    <s v="A"/>
    <s v="LeMay Enterprises"/>
    <s v="NA"/>
    <s v=" "/>
    <s v="STL"/>
    <s v="YES"/>
    <s v="TBD"/>
    <m/>
    <x v="5"/>
    <n v="11"/>
    <n v="2008"/>
    <n v="2015"/>
    <n v="2015.9166666666667"/>
    <n v="17.942142857142859"/>
    <n v="215.30571428571432"/>
    <n v="0"/>
    <n v="1507.14"/>
    <n v="1507.14"/>
    <n v="0"/>
    <s v="No"/>
  </r>
  <r>
    <n v="2111"/>
    <n v="307782"/>
    <s v="P"/>
    <s v="Capitalized"/>
    <s v="6 Yard Commercial Containers"/>
    <m/>
    <m/>
    <n v="27"/>
    <m/>
    <n v="0"/>
    <m/>
    <m/>
    <s v="CONTAINERS"/>
    <s v="TBA"/>
    <m/>
    <s v="6 YD"/>
    <s v="FEL/REL/SL Metal"/>
    <d v="2008-11-03T00:00:00"/>
    <d v="2008-11-03T00:00:00"/>
    <m/>
    <n v="1200"/>
    <n v="14050"/>
    <n v="1600"/>
    <n v="14056"/>
    <n v="1600"/>
    <n v="0"/>
    <n v="0"/>
    <n v="54260"/>
    <n v="0"/>
    <s v="A"/>
    <s v="LeMay Enterprises"/>
    <s v="NA"/>
    <s v=" "/>
    <s v="STL"/>
    <s v="YES"/>
    <s v="TBD"/>
    <m/>
    <x v="5"/>
    <n v="11"/>
    <n v="2008"/>
    <n v="2020"/>
    <n v="2020.9166666666667"/>
    <n v="11.111111111111112"/>
    <n v="133.33333333333334"/>
    <n v="0"/>
    <n v="1600"/>
    <n v="1600"/>
    <n v="0"/>
    <s v="No"/>
  </r>
  <r>
    <n v="2111"/>
    <n v="307549"/>
    <s v="P"/>
    <s v="Capitalized"/>
    <s v="6YD Containers"/>
    <m/>
    <m/>
    <n v="97"/>
    <m/>
    <n v="0"/>
    <m/>
    <m/>
    <s v="CONTAINERS"/>
    <s v="TBA"/>
    <m/>
    <s v="6 YD"/>
    <s v="FEL/REL/SL Metal"/>
    <d v="2008-11-03T00:00:00"/>
    <d v="2008-11-03T00:00:00"/>
    <m/>
    <n v="700"/>
    <n v="14050"/>
    <n v="13135.68"/>
    <n v="14056"/>
    <n v="13135.68"/>
    <n v="0"/>
    <n v="0"/>
    <n v="54260"/>
    <n v="0"/>
    <s v="A"/>
    <s v="LeMay Enterprises"/>
    <s v="NA"/>
    <s v=" "/>
    <s v="STL"/>
    <s v="YES"/>
    <s v="TBD"/>
    <m/>
    <x v="5"/>
    <n v="11"/>
    <n v="2008"/>
    <n v="2015"/>
    <n v="2015.9166666666667"/>
    <n v="156.37714285714284"/>
    <n v="1876.525714285714"/>
    <n v="0"/>
    <n v="13135.68"/>
    <n v="13135.68"/>
    <n v="0"/>
    <s v="No"/>
  </r>
  <r>
    <n v="2111"/>
    <n v="307520"/>
    <s v="P"/>
    <s v="Capitalized"/>
    <s v="25 YD Drop-Boxes"/>
    <m/>
    <m/>
    <n v="2"/>
    <m/>
    <n v="0"/>
    <s v="Enterprise Sales, Inc"/>
    <m/>
    <s v="CONTAINERS"/>
    <s v="TBA"/>
    <m/>
    <s v="25 YD"/>
    <s v="RO Box"/>
    <d v="2004-06-30T00:00:00"/>
    <d v="2004-06-30T00:00:00"/>
    <m/>
    <n v="1200"/>
    <n v="14050"/>
    <n v="6796.68"/>
    <n v="14056"/>
    <n v="6796.68"/>
    <n v="0"/>
    <n v="0"/>
    <n v="54260"/>
    <n v="0"/>
    <s v="P"/>
    <n v="0"/>
    <m/>
    <s v=" "/>
    <s v="STL"/>
    <s v="YES"/>
    <s v="TBD"/>
    <m/>
    <x v="16"/>
    <n v="6"/>
    <n v="2004"/>
    <n v="2016"/>
    <n v="2016.5"/>
    <n v="47.199166666666663"/>
    <n v="566.39"/>
    <n v="0"/>
    <n v="6796.68"/>
    <n v="6796.68"/>
    <n v="0"/>
    <s v="No"/>
  </r>
  <r>
    <n v="2111"/>
    <n v="307346"/>
    <s v="P"/>
    <s v="Capitalized"/>
    <s v="6 YD FEL Containers Peak Style"/>
    <m/>
    <m/>
    <n v="4"/>
    <m/>
    <n v="0"/>
    <s v="PO BOX 80983"/>
    <m/>
    <s v="CONTAINERS"/>
    <s v="TBA"/>
    <m/>
    <s v="6 YD"/>
    <s v="FEL/REL/SL Metal"/>
    <d v="2023-03-09T00:00:00"/>
    <d v="2023-03-09T00:00:00"/>
    <s v="2111-23-0030-2"/>
    <n v="1200"/>
    <n v="14050"/>
    <n v="6358"/>
    <n v="14056"/>
    <n v="838.88"/>
    <n v="5519.12"/>
    <n v="397.35"/>
    <n v="54260"/>
    <n v="44.15"/>
    <s v="P"/>
    <m/>
    <m/>
    <s v=" "/>
    <s v="STL"/>
    <s v="YES"/>
    <s v="TBD"/>
    <m/>
    <x v="5"/>
    <n v="3"/>
    <n v="2023"/>
    <n v="2035"/>
    <n v="2035.25"/>
    <n v="44.152777777777779"/>
    <n v="529.83333333333337"/>
    <n v="529.83333333333337"/>
    <n v="573.9861111110713"/>
    <n v="1103.8194444444048"/>
    <n v="5254.1805555555948"/>
    <s v="No"/>
  </r>
  <r>
    <n v="2111"/>
    <n v="307345"/>
    <s v="P"/>
    <s v="Capitalized"/>
    <s v="6 YD FEL Containers Peak Style"/>
    <m/>
    <m/>
    <n v="8"/>
    <m/>
    <n v="0"/>
    <s v="PO BOX 80983"/>
    <m/>
    <s v="CONTAINERS"/>
    <s v="TBA"/>
    <m/>
    <s v="6 YD"/>
    <s v="FEL/REL/SL Metal"/>
    <d v="2023-03-09T00:00:00"/>
    <d v="2023-03-09T00:00:00"/>
    <s v="2111-23-0030-2"/>
    <n v="1200"/>
    <n v="14050"/>
    <n v="12716"/>
    <n v="14056"/>
    <n v="1677.85"/>
    <n v="11038.15"/>
    <n v="794.79"/>
    <n v="54260"/>
    <n v="88.31"/>
    <s v="P"/>
    <m/>
    <m/>
    <s v=" "/>
    <s v="STL"/>
    <s v="YES"/>
    <s v="TBD"/>
    <m/>
    <x v="5"/>
    <n v="3"/>
    <n v="2023"/>
    <n v="2035"/>
    <n v="2035.25"/>
    <n v="88.305555555555557"/>
    <n v="1059.6666666666667"/>
    <n v="1059.6666666666667"/>
    <n v="1147.9722222221426"/>
    <n v="2207.6388888888096"/>
    <n v="10508.36111111119"/>
    <s v="No"/>
  </r>
  <r>
    <n v="2111"/>
    <n v="307344"/>
    <s v="P"/>
    <s v="Capitalized"/>
    <s v="6 YD FEL Containers Peak Style"/>
    <m/>
    <m/>
    <n v="8"/>
    <m/>
    <n v="0"/>
    <s v="PO BOX 80983"/>
    <m/>
    <s v="CONTAINERS"/>
    <s v="TBA"/>
    <m/>
    <s v="6 YD"/>
    <s v="FEL/REL/SL Metal"/>
    <d v="2023-03-09T00:00:00"/>
    <d v="2023-03-09T00:00:00"/>
    <s v="2111-23-0030-2"/>
    <n v="1200"/>
    <n v="14050"/>
    <n v="12716"/>
    <n v="14056"/>
    <n v="1677.85"/>
    <n v="11038.15"/>
    <n v="794.79"/>
    <n v="54260"/>
    <n v="88.31"/>
    <s v="P"/>
    <m/>
    <m/>
    <s v=" "/>
    <s v="STL"/>
    <s v="YES"/>
    <s v="TBD"/>
    <m/>
    <x v="5"/>
    <n v="3"/>
    <n v="2023"/>
    <n v="2035"/>
    <n v="2035.25"/>
    <n v="88.305555555555557"/>
    <n v="1059.6666666666667"/>
    <n v="1059.6666666666667"/>
    <n v="1147.9722222221426"/>
    <n v="2207.6388888888096"/>
    <n v="10508.36111111119"/>
    <s v="No"/>
  </r>
  <r>
    <n v="2111"/>
    <n v="307343"/>
    <s v="P"/>
    <s v="Capitalized"/>
    <s v="6 YD FEL Containers Peak Style"/>
    <m/>
    <m/>
    <n v="8"/>
    <m/>
    <n v="0"/>
    <s v="PO BOX 80983"/>
    <m/>
    <s v="CONTAINERS"/>
    <s v="TBA"/>
    <m/>
    <s v="6 YD"/>
    <s v="FEL/REL/SL Metal"/>
    <d v="2023-03-09T00:00:00"/>
    <d v="2023-03-09T00:00:00"/>
    <s v="2111-23-0030-2"/>
    <n v="1200"/>
    <n v="14050"/>
    <n v="12716"/>
    <n v="14056"/>
    <n v="1677.85"/>
    <n v="11038.15"/>
    <n v="794.79"/>
    <n v="54260"/>
    <n v="88.31"/>
    <s v="P"/>
    <m/>
    <m/>
    <s v=" "/>
    <s v="STL"/>
    <s v="YES"/>
    <s v="TBD"/>
    <m/>
    <x v="5"/>
    <n v="3"/>
    <n v="2023"/>
    <n v="2035"/>
    <n v="2035.25"/>
    <n v="88.305555555555557"/>
    <n v="1059.6666666666667"/>
    <n v="1059.6666666666667"/>
    <n v="1147.9722222221426"/>
    <n v="2207.6388888888096"/>
    <n v="10508.36111111119"/>
    <s v="No"/>
  </r>
  <r>
    <n v="2111"/>
    <n v="307342"/>
    <s v="P"/>
    <s v="Capitalized"/>
    <s v="6 YD FEL Containers Peak Style"/>
    <m/>
    <m/>
    <n v="8"/>
    <m/>
    <n v="0"/>
    <s v="PO BOX 80983"/>
    <m/>
    <s v="CONTAINERS"/>
    <s v="TBA"/>
    <m/>
    <s v="6 YD"/>
    <s v="FEL/REL/SL Metal"/>
    <d v="2023-03-09T00:00:00"/>
    <d v="2023-03-09T00:00:00"/>
    <s v="2111-23-0030-2"/>
    <n v="1200"/>
    <n v="14050"/>
    <n v="12716"/>
    <n v="14056"/>
    <n v="1677.85"/>
    <n v="11038.15"/>
    <n v="794.79"/>
    <n v="54260"/>
    <n v="88.31"/>
    <s v="P"/>
    <m/>
    <m/>
    <s v=" "/>
    <s v="STL"/>
    <s v="YES"/>
    <s v="TBD"/>
    <m/>
    <x v="5"/>
    <n v="3"/>
    <n v="2023"/>
    <n v="2035"/>
    <n v="2035.25"/>
    <n v="88.305555555555557"/>
    <n v="1059.6666666666667"/>
    <n v="1059.6666666666667"/>
    <n v="1147.9722222221426"/>
    <n v="2207.6388888888096"/>
    <n v="10508.36111111119"/>
    <s v="No"/>
  </r>
  <r>
    <n v="2111"/>
    <n v="307341"/>
    <s v="P"/>
    <s v="Capitalized"/>
    <s v="6 YD FEL Containers Peak style"/>
    <m/>
    <m/>
    <n v="3"/>
    <m/>
    <n v="0"/>
    <s v="PO BOX 80983"/>
    <m/>
    <s v="CONTAINERS"/>
    <s v="TBA"/>
    <m/>
    <s v="6 YD"/>
    <s v="FEL/REL/SL Metal"/>
    <d v="2023-03-09T00:00:00"/>
    <d v="2023-03-09T00:00:00"/>
    <s v="2111-23-0030-2"/>
    <n v="1200"/>
    <n v="14050"/>
    <n v="4768.5"/>
    <n v="14056"/>
    <n v="629.14"/>
    <n v="4139.3599999999997"/>
    <n v="297.99"/>
    <n v="54260"/>
    <n v="33.11"/>
    <s v="P"/>
    <m/>
    <m/>
    <s v=" "/>
    <s v="STL"/>
    <s v="YES"/>
    <s v="TBD"/>
    <m/>
    <x v="5"/>
    <n v="3"/>
    <n v="2023"/>
    <n v="2035"/>
    <n v="2035.25"/>
    <n v="33.114583333333336"/>
    <n v="397.375"/>
    <n v="397.375"/>
    <n v="430.48958333330302"/>
    <n v="827.86458333330302"/>
    <n v="3940.635416666697"/>
    <s v="No"/>
  </r>
  <r>
    <n v="2111"/>
    <n v="307340"/>
    <s v="P"/>
    <s v="Capitalized"/>
    <s v="6 YD FEL Containers Peak Style"/>
    <m/>
    <m/>
    <n v="1"/>
    <m/>
    <n v="0"/>
    <s v="PO BOX 80983"/>
    <m/>
    <s v="CONTAINERS"/>
    <s v="TBA"/>
    <m/>
    <s v="6 YD"/>
    <s v="FEL/REL/SL Metal"/>
    <d v="2023-03-09T00:00:00"/>
    <d v="2023-03-09T00:00:00"/>
    <s v="2111-23-0030-1"/>
    <n v="1200"/>
    <n v="14050"/>
    <n v="1589.5"/>
    <n v="14056"/>
    <n v="209.74"/>
    <n v="1379.76"/>
    <n v="99.36"/>
    <n v="54260"/>
    <n v="11.04"/>
    <s v="P"/>
    <m/>
    <m/>
    <s v=" "/>
    <s v="STL"/>
    <s v="YES"/>
    <s v="TBD"/>
    <m/>
    <x v="5"/>
    <n v="3"/>
    <n v="2023"/>
    <n v="2035"/>
    <n v="2035.25"/>
    <n v="11.038194444444445"/>
    <n v="132.45833333333334"/>
    <n v="132.45833333333334"/>
    <n v="143.49652777776782"/>
    <n v="275.9548611111012"/>
    <n v="1313.5451388888987"/>
    <s v="No"/>
  </r>
  <r>
    <n v="2111"/>
    <n v="307305"/>
    <n v="305425"/>
    <s v="Capitalized"/>
    <s v="2023 Peterbilt REL Truck - Body - Rollover 2111-22-0010"/>
    <m/>
    <m/>
    <n v="1"/>
    <s v="3BPDLK0X3PF115379"/>
    <n v="2023"/>
    <s v="PO BOX 13040"/>
    <m/>
    <s v="TRUCKS AND TRAILERS"/>
    <s v="TBA"/>
    <s v="Non-Rolling Stock"/>
    <m/>
    <m/>
    <d v="2023-05-19T00:00:00"/>
    <d v="2023-05-19T00:00:00"/>
    <s v="2111-23-0017-1"/>
    <n v="1000"/>
    <n v="14040"/>
    <n v="126466.06"/>
    <n v="14046"/>
    <n v="16862.099999999999"/>
    <n v="109603.95999999999"/>
    <n v="9484.92"/>
    <n v="51260"/>
    <n v="1053.8800000000001"/>
    <s v="P"/>
    <m/>
    <m/>
    <s v=" "/>
    <s v="STL"/>
    <s v="YES"/>
    <s v="TBD"/>
    <m/>
    <x v="0"/>
    <n v="5"/>
    <n v="2023"/>
    <n v="2033"/>
    <n v="2033.4166666666667"/>
    <n v="1053.8838333333333"/>
    <n v="12646.606"/>
    <n v="12646.606"/>
    <n v="11592.722166664753"/>
    <n v="24239.328166664753"/>
    <n v="102226.73183333525"/>
    <s v="No"/>
  </r>
  <r>
    <n v="2111"/>
    <n v="307304"/>
    <n v="305425"/>
    <s v="Capitalized"/>
    <s v="2023 Peterbilt REL Truck-Remaining Balance"/>
    <m/>
    <m/>
    <n v="1"/>
    <s v="3BPDLK0X3PF115379"/>
    <n v="2023"/>
    <s v="PO BOX 13040"/>
    <m/>
    <s v="TRUCKS AND TRAILERS"/>
    <s v="TBA"/>
    <s v="Non-Rolling Stock"/>
    <m/>
    <m/>
    <d v="2023-05-19T00:00:00"/>
    <d v="2023-05-19T00:00:00"/>
    <s v="2111-22-0010-1"/>
    <n v="1000"/>
    <n v="14040"/>
    <n v="22.94"/>
    <n v="14046"/>
    <n v="3.04"/>
    <n v="19.900000000000002"/>
    <n v="1.71"/>
    <n v="51260"/>
    <n v="0.19"/>
    <s v="P"/>
    <m/>
    <m/>
    <s v=" "/>
    <s v="STL"/>
    <s v="YES"/>
    <s v="TBD"/>
    <m/>
    <x v="0"/>
    <n v="5"/>
    <n v="2023"/>
    <n v="2033"/>
    <n v="2033.4166666666667"/>
    <n v="0.19116666666666668"/>
    <n v="2.294"/>
    <n v="2.294"/>
    <n v="2.1028333333329847"/>
    <n v="4.3968333333329852"/>
    <n v="18.543166666667016"/>
    <s v="No"/>
  </r>
  <r>
    <n v="2111"/>
    <n v="306810"/>
    <s v="P"/>
    <s v="Capitalized"/>
    <s v="2 Yard REL Containers"/>
    <m/>
    <m/>
    <n v="13"/>
    <m/>
    <n v="0"/>
    <s v="RULE STEEL TANKS INC"/>
    <m/>
    <s v="CONTAINERS"/>
    <s v="TBA"/>
    <m/>
    <s v="2 YD"/>
    <s v="FEL/REL/SL Metal"/>
    <d v="2010-06-03T00:00:00"/>
    <d v="2010-06-03T00:00:00"/>
    <s v="2180-10-0018-1"/>
    <n v="1200"/>
    <n v="14050"/>
    <n v="6771.14"/>
    <n v="14056"/>
    <n v="6771.14"/>
    <n v="0"/>
    <n v="0"/>
    <n v="54260"/>
    <n v="0"/>
    <s v="P"/>
    <m/>
    <m/>
    <s v=" "/>
    <s v="STL"/>
    <s v="YES"/>
    <s v="TBD"/>
    <m/>
    <x v="5"/>
    <n v="6"/>
    <n v="2010"/>
    <n v="2022"/>
    <n v="2022.5"/>
    <n v="47.021805555555552"/>
    <n v="564.26166666666666"/>
    <n v="0"/>
    <n v="6771.14"/>
    <n v="6771.14"/>
    <n v="0"/>
    <s v="No"/>
  </r>
  <r>
    <n v="2111"/>
    <n v="306503"/>
    <s v="P"/>
    <s v="Capitalized"/>
    <s v="Weld Shop Demo and Paving"/>
    <m/>
    <m/>
    <n v="1"/>
    <m/>
    <n v="0"/>
    <m/>
    <m/>
    <s v="LAND IMPROVEMENTS"/>
    <s v="TBA"/>
    <m/>
    <m/>
    <m/>
    <d v="2023-06-30T00:00:00"/>
    <d v="2023-06-30T00:00:00"/>
    <s v="2111-22-0019-1"/>
    <n v="1000"/>
    <n v="14010"/>
    <n v="97119.79"/>
    <n v="14016"/>
    <n v="12139.96"/>
    <n v="84979.829999999987"/>
    <n v="7283.97"/>
    <n v="57260"/>
    <n v="809.33"/>
    <s v="P"/>
    <m/>
    <m/>
    <s v=" "/>
    <s v="STL"/>
    <s v="YES"/>
    <s v="TBD"/>
    <m/>
    <x v="6"/>
    <n v="6"/>
    <n v="2023"/>
    <n v="2033"/>
    <n v="2033.5"/>
    <n v="809.33158333333324"/>
    <n v="9711.9789999999994"/>
    <n v="9711.9789999999994"/>
    <n v="8093.3158333325991"/>
    <n v="17805.294833332599"/>
    <n v="79314.495166667388"/>
    <s v="No"/>
  </r>
  <r>
    <n v="2111"/>
    <n v="306502"/>
    <s v="P"/>
    <s v="Capitalized"/>
    <s v="Scales"/>
    <m/>
    <m/>
    <n v="1"/>
    <m/>
    <n v="0"/>
    <m/>
    <m/>
    <s v="LAND IMPROVEMENTS"/>
    <s v="TBA"/>
    <m/>
    <m/>
    <m/>
    <d v="2023-04-14T00:00:00"/>
    <d v="2023-04-14T00:00:00"/>
    <s v="2111-22-0018-1"/>
    <n v="1000"/>
    <n v="14010"/>
    <n v="343103.5"/>
    <n v="14016"/>
    <n v="51465.56"/>
    <n v="291637.94"/>
    <n v="25732.799999999999"/>
    <n v="57260"/>
    <n v="2859.2"/>
    <s v="P"/>
    <m/>
    <m/>
    <s v=" "/>
    <s v="STL"/>
    <s v="YES"/>
    <s v="TBD"/>
    <m/>
    <x v="13"/>
    <n v="4"/>
    <n v="2023"/>
    <n v="2033"/>
    <n v="2033.3333333333333"/>
    <n v="2859.1958333333332"/>
    <n v="34310.35"/>
    <n v="34310.35"/>
    <n v="34310.350000000035"/>
    <n v="68620.700000000041"/>
    <n v="274482.79999999993"/>
    <s v="No"/>
  </r>
  <r>
    <n v="2111"/>
    <n v="305962"/>
    <s v="P"/>
    <s v="Capitalized"/>
    <s v="20 Gallon MSW Cart Inserts"/>
    <m/>
    <m/>
    <n v="42"/>
    <m/>
    <n v="0"/>
    <s v="PO BOX 514457"/>
    <m/>
    <s v="CONTAINERS"/>
    <s v="TBA"/>
    <m/>
    <m/>
    <m/>
    <d v="2023-04-03T00:00:00"/>
    <d v="2023-04-03T00:00:00"/>
    <s v="2111-23-0038-1"/>
    <n v="700"/>
    <n v="14050"/>
    <n v="831.6"/>
    <n v="14056"/>
    <n v="178.2"/>
    <n v="653.40000000000009"/>
    <n v="89.1"/>
    <n v="54260"/>
    <n v="9.9"/>
    <s v="P"/>
    <m/>
    <m/>
    <s v=" "/>
    <s v="STL"/>
    <s v="YES"/>
    <s v="TBD"/>
    <m/>
    <x v="7"/>
    <n v="4"/>
    <n v="2023"/>
    <n v="2030"/>
    <n v="2030.3333333333333"/>
    <n v="9.9"/>
    <n v="118.80000000000001"/>
    <n v="118.80000000000001"/>
    <n v="118.79999999999995"/>
    <n v="237.59999999999997"/>
    <n v="594"/>
    <s v="No"/>
  </r>
  <r>
    <n v="2111"/>
    <n v="305961"/>
    <s v="P"/>
    <s v="Capitalized"/>
    <s v="80L NB GARBAGE ROC FOREST Carts"/>
    <m/>
    <m/>
    <n v="180"/>
    <m/>
    <n v="0"/>
    <s v="PO BOX 514457"/>
    <m/>
    <s v="CONTAINERS"/>
    <s v="TBA"/>
    <m/>
    <m/>
    <m/>
    <d v="2023-04-03T00:00:00"/>
    <d v="2023-04-03T00:00:00"/>
    <s v="2111-23-0038-1"/>
    <n v="700"/>
    <n v="14050"/>
    <n v="9262.75"/>
    <n v="14056"/>
    <n v="1984.87"/>
    <n v="7277.88"/>
    <n v="992.43"/>
    <n v="54260"/>
    <n v="110.27"/>
    <s v="P"/>
    <m/>
    <m/>
    <s v=" "/>
    <s v="STL"/>
    <s v="YES"/>
    <s v="TBD"/>
    <m/>
    <x v="7"/>
    <n v="4"/>
    <n v="2023"/>
    <n v="2030"/>
    <n v="2030.3333333333333"/>
    <n v="110.27083333333333"/>
    <n v="1323.25"/>
    <n v="1323.25"/>
    <n v="1323.25"/>
    <n v="2646.5"/>
    <n v="6616.25"/>
    <s v="No"/>
  </r>
  <r>
    <n v="2111"/>
    <n v="305960"/>
    <s v="P"/>
    <s v="Capitalized"/>
    <s v="20 Gallon MB GARBAGE ROC BLACK Carts"/>
    <m/>
    <m/>
    <n v="138"/>
    <m/>
    <n v="0"/>
    <s v="PO BOX 514457"/>
    <m/>
    <s v="CONTAINERS"/>
    <s v="TBA"/>
    <m/>
    <m/>
    <m/>
    <d v="2023-04-03T00:00:00"/>
    <d v="2023-04-03T00:00:00"/>
    <s v="2111-23-0038-1"/>
    <n v="700"/>
    <n v="14050"/>
    <n v="3557.42"/>
    <n v="14056"/>
    <n v="762.3"/>
    <n v="2795.12"/>
    <n v="381.15"/>
    <n v="54260"/>
    <n v="42.35"/>
    <s v="P"/>
    <m/>
    <m/>
    <s v=" "/>
    <s v="STL"/>
    <s v="YES"/>
    <s v="TBD"/>
    <m/>
    <x v="7"/>
    <n v="4"/>
    <n v="2023"/>
    <n v="2030"/>
    <n v="2030.3333333333333"/>
    <n v="42.350238095238097"/>
    <n v="508.20285714285717"/>
    <n v="508.20285714285717"/>
    <n v="508.20285714285728"/>
    <n v="1016.4057142857145"/>
    <n v="2541.0142857142855"/>
    <s v="No"/>
  </r>
  <r>
    <n v="2111"/>
    <n v="305959"/>
    <s v="P"/>
    <s v="Capitalized"/>
    <s v="10 Gal MSW Cart inserts"/>
    <m/>
    <m/>
    <n v="100"/>
    <m/>
    <n v="0"/>
    <s v="C/O WASTEQUIP LLC"/>
    <m/>
    <s v="CONTAINERS"/>
    <s v="TBA"/>
    <m/>
    <m/>
    <m/>
    <d v="2023-04-03T00:00:00"/>
    <d v="2023-04-03T00:00:00"/>
    <s v="2111-23-0038-1"/>
    <n v="700"/>
    <n v="14050"/>
    <n v="4013.91"/>
    <n v="14056"/>
    <n v="860.07"/>
    <n v="3153.8399999999997"/>
    <n v="430.02"/>
    <n v="54260"/>
    <n v="47.78"/>
    <s v="P"/>
    <m/>
    <m/>
    <s v=" "/>
    <s v="STL"/>
    <s v="YES"/>
    <s v="TBD"/>
    <m/>
    <x v="7"/>
    <n v="4"/>
    <n v="2023"/>
    <n v="2030"/>
    <n v="2030.3333333333333"/>
    <n v="47.784642857142849"/>
    <n v="573.41571428571422"/>
    <n v="573.41571428571422"/>
    <n v="573.41571428571478"/>
    <n v="1146.8314285714291"/>
    <n v="2867.0785714285707"/>
    <s v="No"/>
  </r>
  <r>
    <n v="2111"/>
    <n v="305542"/>
    <n v="304390"/>
    <s v="Capitalized"/>
    <s v="New Security System- Container Storage Yard"/>
    <m/>
    <m/>
    <n v="1"/>
    <m/>
    <n v="0"/>
    <m/>
    <m/>
    <s v="SHOP EQUIPMENT"/>
    <s v="TBA"/>
    <m/>
    <m/>
    <m/>
    <d v="2023-03-07T00:00:00"/>
    <d v="2023-03-07T00:00:00"/>
    <s v="2111-23-0032-2"/>
    <n v="500"/>
    <n v="14070"/>
    <n v="4116.12"/>
    <n v="14076"/>
    <n v="1303.4100000000001"/>
    <n v="2812.71"/>
    <n v="617.4"/>
    <n v="51260"/>
    <n v="68.599999999999994"/>
    <s v="P"/>
    <m/>
    <m/>
    <s v=" "/>
    <s v="STL"/>
    <s v="YES"/>
    <s v="TBD"/>
    <m/>
    <x v="5"/>
    <n v="3"/>
    <n v="2023"/>
    <n v="2028"/>
    <n v="2028.25"/>
    <n v="68.60199999999999"/>
    <n v="823.22399999999993"/>
    <n v="823.22399999999993"/>
    <n v="891.82599999993818"/>
    <n v="1715.0499999999381"/>
    <n v="2401.0700000000616"/>
    <s v="No"/>
  </r>
  <r>
    <n v="2111"/>
    <n v="305503"/>
    <n v="291161"/>
    <s v="Capitalized"/>
    <s v="Fuel Island"/>
    <m/>
    <m/>
    <n v="1"/>
    <m/>
    <n v="0"/>
    <m/>
    <m/>
    <s v="LAND IMPROVEMENTS"/>
    <s v="TBA"/>
    <m/>
    <m/>
    <m/>
    <d v="2023-01-02T00:00:00"/>
    <d v="2023-01-02T00:00:00"/>
    <s v="2111-23-0037-1"/>
    <n v="1000"/>
    <n v="14010"/>
    <n v="154.9"/>
    <n v="14016"/>
    <n v="27.09"/>
    <n v="127.81"/>
    <n v="11.61"/>
    <n v="57260"/>
    <n v="1.29"/>
    <s v="P"/>
    <m/>
    <m/>
    <s v=" "/>
    <s v="STL"/>
    <s v="YES"/>
    <s v="TBD"/>
    <m/>
    <x v="17"/>
    <n v="1"/>
    <n v="2023"/>
    <n v="2033"/>
    <n v="2033.0833333333333"/>
    <n v="1.2908333333333333"/>
    <n v="15.489999999999998"/>
    <n v="15.489999999999998"/>
    <n v="19.362500000000011"/>
    <n v="34.852500000000006"/>
    <n v="120.0475"/>
    <s v="No"/>
  </r>
  <r>
    <n v="2111"/>
    <n v="305425"/>
    <s v="P"/>
    <s v="Capitalized"/>
    <s v="2023 Peterbilt REL Truck-Chassis"/>
    <m/>
    <m/>
    <n v="1"/>
    <s v="3BPDLK0X3PF115379"/>
    <n v="2023"/>
    <m/>
    <m/>
    <s v="TRUCKS AND TRAILERS"/>
    <s v="TBA"/>
    <s v="Rear Loader"/>
    <m/>
    <m/>
    <d v="2023-05-19T00:00:00"/>
    <d v="2023-05-19T00:00:00"/>
    <s v="2111-22-0010-1"/>
    <n v="1000"/>
    <n v="14040"/>
    <n v="196281.06"/>
    <n v="14046"/>
    <n v="26170.85"/>
    <n v="170110.21"/>
    <n v="14721.12"/>
    <n v="51260"/>
    <n v="1635.68"/>
    <s v="P"/>
    <m/>
    <m/>
    <s v=" "/>
    <s v="STL"/>
    <s v="YES"/>
    <s v="TBD"/>
    <m/>
    <x v="0"/>
    <n v="5"/>
    <n v="2023"/>
    <n v="2033"/>
    <n v="2033.4166666666667"/>
    <n v="1635.6755000000001"/>
    <n v="19628.106"/>
    <n v="19628.106"/>
    <n v="17992.430499997019"/>
    <n v="37620.536499997019"/>
    <n v="158660.52350000298"/>
    <s v="No"/>
  </r>
  <r>
    <n v="2111"/>
    <n v="305299"/>
    <s v="P"/>
    <s v="Capitalized"/>
    <s v="2 Yd Rear Load Containers"/>
    <m/>
    <m/>
    <n v="8"/>
    <m/>
    <n v="0"/>
    <s v="PO BOX 80983"/>
    <m/>
    <s v="CONTAINERS"/>
    <s v="TBA"/>
    <m/>
    <s v="2 YD"/>
    <s v="FEL/REL/SL Metal"/>
    <d v="2023-03-09T00:00:00"/>
    <d v="2023-03-09T00:00:00"/>
    <s v="2111-23-0030-1"/>
    <n v="1200"/>
    <n v="14050"/>
    <n v="7480"/>
    <n v="14056"/>
    <n v="986.91"/>
    <n v="6493.09"/>
    <n v="467.46"/>
    <n v="54260"/>
    <n v="51.94"/>
    <s v="P"/>
    <m/>
    <m/>
    <s v=" "/>
    <s v="STL"/>
    <s v="YES"/>
    <s v="TBD"/>
    <m/>
    <x v="5"/>
    <n v="3"/>
    <n v="2023"/>
    <n v="2035"/>
    <n v="2035.25"/>
    <n v="51.94444444444445"/>
    <n v="623.33333333333337"/>
    <n v="623.33333333333337"/>
    <n v="675.27777777773008"/>
    <n v="1298.6111111110636"/>
    <n v="6181.388888888936"/>
    <s v="No"/>
  </r>
  <r>
    <n v="2111"/>
    <n v="305298"/>
    <s v="P"/>
    <s v="Capitalized"/>
    <s v="2 Yd Rear Load Containers"/>
    <m/>
    <m/>
    <n v="16"/>
    <m/>
    <n v="0"/>
    <s v="PO BOX 80983"/>
    <m/>
    <s v="CONTAINERS"/>
    <s v="TBA"/>
    <m/>
    <s v="2 YD"/>
    <s v="FEL/REL/SL Metal"/>
    <d v="2023-03-09T00:00:00"/>
    <d v="2023-03-09T00:00:00"/>
    <s v="2111-23-0030-1"/>
    <n v="1200"/>
    <n v="14050"/>
    <n v="14960"/>
    <n v="14056"/>
    <n v="1973.9"/>
    <n v="12986.1"/>
    <n v="935.01"/>
    <n v="54260"/>
    <n v="103.89"/>
    <s v="P"/>
    <m/>
    <m/>
    <s v=" "/>
    <s v="STL"/>
    <s v="YES"/>
    <s v="TBD"/>
    <m/>
    <x v="5"/>
    <n v="3"/>
    <n v="2023"/>
    <n v="2035"/>
    <n v="2035.25"/>
    <n v="103.8888888888889"/>
    <n v="1246.6666666666667"/>
    <n v="1246.6666666666667"/>
    <n v="1350.5555555554602"/>
    <n v="2597.2222222221271"/>
    <n v="12362.777777777872"/>
    <s v="No"/>
  </r>
  <r>
    <n v="2111"/>
    <n v="304392"/>
    <n v="304390"/>
    <s v="Capitalized"/>
    <s v="New Security System- Tire Shop"/>
    <m/>
    <m/>
    <n v="1"/>
    <m/>
    <n v="0"/>
    <s v="ADT COMMERCIAL"/>
    <m/>
    <s v="SHOP EQUIPMENT"/>
    <s v="TBA"/>
    <m/>
    <m/>
    <m/>
    <d v="2023-03-27T00:00:00"/>
    <d v="2023-03-27T00:00:00"/>
    <s v="2111-23-0032-2"/>
    <n v="500"/>
    <n v="14070"/>
    <n v="1370.93"/>
    <n v="14076"/>
    <n v="411.29"/>
    <n v="959.6400000000001"/>
    <n v="205.65"/>
    <n v="51260"/>
    <n v="22.85"/>
    <s v="P"/>
    <m/>
    <m/>
    <s v=" "/>
    <s v="STL"/>
    <s v="YES"/>
    <s v="TBD"/>
    <m/>
    <x v="6"/>
    <n v="3"/>
    <n v="2023"/>
    <n v="2028"/>
    <n v="2028.25"/>
    <n v="22.848833333333335"/>
    <n v="274.18600000000004"/>
    <n v="274.18600000000004"/>
    <n v="297.03483333331246"/>
    <n v="571.2208333333125"/>
    <n v="799.70916666668757"/>
    <s v="No"/>
  </r>
  <r>
    <n v="2111"/>
    <n v="304391"/>
    <n v="301652"/>
    <s v="Capitalized"/>
    <s v="New Security System- Tire Shop"/>
    <m/>
    <m/>
    <n v="1"/>
    <m/>
    <n v="0"/>
    <s v="ADT COMMERCIAL"/>
    <m/>
    <s v="SHOP EQUIPMENT"/>
    <s v="TBA"/>
    <m/>
    <m/>
    <m/>
    <d v="2023-02-17T00:00:00"/>
    <d v="2023-02-17T00:00:00"/>
    <s v="2111-23-0032-1"/>
    <n v="500"/>
    <n v="14070"/>
    <n v="1033"/>
    <n v="14076"/>
    <n v="327.14999999999998"/>
    <n v="705.85"/>
    <n v="154.97999999999999"/>
    <n v="51260"/>
    <n v="17.22"/>
    <s v="P"/>
    <m/>
    <m/>
    <s v=" "/>
    <s v="STL"/>
    <s v="YES"/>
    <s v="TBD"/>
    <m/>
    <x v="6"/>
    <n v="2"/>
    <n v="2023"/>
    <n v="2028"/>
    <n v="2028.1666666666667"/>
    <n v="17.216666666666665"/>
    <n v="206.59999999999997"/>
    <n v="206.59999999999997"/>
    <n v="241.03333333330204"/>
    <n v="447.63333333330201"/>
    <n v="585.36666666669794"/>
    <s v="No"/>
  </r>
  <r>
    <n v="2111"/>
    <n v="304390"/>
    <s v="P"/>
    <s v="Capitalized"/>
    <s v="New Security System- Container Storage Yard"/>
    <m/>
    <m/>
    <n v="1"/>
    <m/>
    <n v="0"/>
    <s v="ADT COMMERCIAL"/>
    <m/>
    <s v="SHOP EQUIPMENT"/>
    <s v="TBA"/>
    <m/>
    <m/>
    <m/>
    <d v="2023-03-27T00:00:00"/>
    <d v="2023-03-27T00:00:00"/>
    <s v="2111-23-0032-2"/>
    <n v="500"/>
    <n v="14070"/>
    <n v="3214.81"/>
    <n v="14076"/>
    <n v="964.44"/>
    <n v="2250.37"/>
    <n v="482.22"/>
    <n v="51260"/>
    <n v="53.58"/>
    <s v="P"/>
    <m/>
    <m/>
    <s v=" "/>
    <s v="STL"/>
    <s v="YES"/>
    <s v="TBD"/>
    <m/>
    <x v="5"/>
    <n v="3"/>
    <n v="2023"/>
    <n v="2028"/>
    <n v="2028.25"/>
    <n v="53.580166666666663"/>
    <n v="642.96199999999999"/>
    <n v="642.96199999999999"/>
    <n v="696.54216666661796"/>
    <n v="1339.5041666666179"/>
    <n v="1875.305833333382"/>
    <s v="No"/>
  </r>
  <r>
    <n v="2111"/>
    <n v="304231"/>
    <n v="102169"/>
    <s v="Capitalized"/>
    <s v="Peterbilt 378 Tractor Engine Replacement"/>
    <m/>
    <m/>
    <n v="1"/>
    <m/>
    <n v="0"/>
    <s v="CUMMINS INC"/>
    <m/>
    <s v="TRUCKS AND TRAILERS"/>
    <s v="TBA"/>
    <s v="Non-Rolling Stock"/>
    <m/>
    <m/>
    <d v="2023-04-21T00:00:00"/>
    <d v="2023-04-21T00:00:00"/>
    <s v="2111-23-0039-1"/>
    <n v="300"/>
    <n v="14040"/>
    <n v="43585.65"/>
    <n v="14046"/>
    <n v="20582.080000000002"/>
    <n v="23003.57"/>
    <n v="10896.39"/>
    <n v="51260"/>
    <n v="1210.71"/>
    <s v="P"/>
    <m/>
    <m/>
    <s v=" "/>
    <s v="STL"/>
    <s v="YES"/>
    <s v="TBD"/>
    <m/>
    <x v="0"/>
    <n v="4"/>
    <n v="2023"/>
    <n v="2026"/>
    <n v="2026.3333333333333"/>
    <n v="1210.7125000000001"/>
    <n v="14528.550000000001"/>
    <n v="14528.550000000001"/>
    <n v="14528.55"/>
    <n v="29057.1"/>
    <n v="14528.550000000003"/>
    <s v="No"/>
  </r>
  <r>
    <n v="2111"/>
    <n v="303990"/>
    <s v="P"/>
    <s v="Capitalized"/>
    <s v="2022 International REL Truck"/>
    <m/>
    <m/>
    <n v="1"/>
    <s v="3HAEKTAR7NL467064"/>
    <n v="2022"/>
    <m/>
    <m/>
    <s v="TRUCKS AND TRAILERS"/>
    <s v="TBA"/>
    <s v="Rear Loader"/>
    <m/>
    <m/>
    <d v="2023-04-14T00:00:00"/>
    <d v="2023-04-14T00:00:00"/>
    <s v="2111-22-0029-1"/>
    <n v="1000"/>
    <n v="14040"/>
    <n v="215072.21"/>
    <n v="14046"/>
    <n v="32260.85"/>
    <n v="182811.36"/>
    <n v="16130.43"/>
    <n v="51260"/>
    <n v="1792.27"/>
    <s v="P"/>
    <m/>
    <m/>
    <s v=" "/>
    <s v="STL"/>
    <s v="YES"/>
    <s v="TBD"/>
    <m/>
    <x v="0"/>
    <n v="4"/>
    <n v="2023"/>
    <n v="2033"/>
    <n v="2033.3333333333333"/>
    <n v="1792.2684166666666"/>
    <n v="21507.220999999998"/>
    <n v="21507.220999999998"/>
    <n v="21507.22099999999"/>
    <n v="43014.441999999988"/>
    <n v="172057.76800000001"/>
    <s v="No"/>
  </r>
  <r>
    <n v="2111"/>
    <n v="303699"/>
    <s v="P"/>
    <s v="Capitalized"/>
    <s v="2022 International REL Truck"/>
    <m/>
    <m/>
    <n v="1"/>
    <s v="3HAEKTAR0NL467066"/>
    <n v="2022"/>
    <m/>
    <m/>
    <s v="TRUCKS AND TRAILERS"/>
    <s v="TBA"/>
    <s v="Rear Loader"/>
    <m/>
    <m/>
    <d v="2023-04-14T00:00:00"/>
    <d v="2023-04-14T00:00:00"/>
    <s v="2111-22-0030-1"/>
    <n v="1000"/>
    <n v="14040"/>
    <n v="215072.21"/>
    <n v="14046"/>
    <n v="32260.85"/>
    <n v="182811.36"/>
    <n v="16130.43"/>
    <n v="51260"/>
    <n v="1792.27"/>
    <s v="P"/>
    <m/>
    <m/>
    <s v=" "/>
    <s v="STL"/>
    <s v="YES"/>
    <s v="TBD"/>
    <m/>
    <x v="0"/>
    <n v="4"/>
    <n v="2023"/>
    <n v="2033"/>
    <n v="2033.3333333333333"/>
    <n v="1792.2684166666666"/>
    <n v="21507.220999999998"/>
    <n v="21507.220999999998"/>
    <n v="21507.22099999999"/>
    <n v="43014.441999999988"/>
    <n v="172057.76800000001"/>
    <s v="No"/>
  </r>
  <r>
    <n v="2111"/>
    <n v="303373"/>
    <s v="P"/>
    <s v="Capitalized"/>
    <s v="4 YD Front Load Containers w/ Lockbars"/>
    <m/>
    <m/>
    <n v="9"/>
    <m/>
    <n v="0"/>
    <s v="CAPITAL INDUSTRIES INC"/>
    <m/>
    <s v="CONTAINERS"/>
    <s v="TBA"/>
    <m/>
    <s v="4 YD"/>
    <s v="FEL/REL/SL Metal"/>
    <d v="2023-03-09T00:00:00"/>
    <d v="2023-03-09T00:00:00"/>
    <s v="2111-23-0030-1"/>
    <n v="1200"/>
    <n v="14050"/>
    <n v="10444.5"/>
    <n v="14056"/>
    <n v="1378.08"/>
    <n v="9066.42"/>
    <n v="652.77"/>
    <n v="54260"/>
    <n v="72.53"/>
    <s v="P"/>
    <m/>
    <m/>
    <s v=" "/>
    <s v="STL"/>
    <s v="YES"/>
    <s v="TBD"/>
    <m/>
    <x v="5"/>
    <n v="3"/>
    <n v="2023"/>
    <n v="2035"/>
    <n v="2035.25"/>
    <n v="72.53125"/>
    <n v="870.375"/>
    <n v="870.375"/>
    <n v="942.90624999993452"/>
    <n v="1813.2812499999345"/>
    <n v="8631.2187500000655"/>
    <s v="No"/>
  </r>
  <r>
    <n v="2111"/>
    <n v="303372"/>
    <s v="P"/>
    <s v="Capitalized"/>
    <s v="4 Yd Front Load Containers"/>
    <m/>
    <m/>
    <n v="4"/>
    <m/>
    <n v="0"/>
    <s v="CAPITAL INDUSTRIES INC"/>
    <m/>
    <s v="CONTAINERS"/>
    <s v="TBA"/>
    <m/>
    <s v="4 YD"/>
    <s v="FEL/REL/SL Metal"/>
    <d v="2023-03-09T00:00:00"/>
    <d v="2023-03-09T00:00:00"/>
    <s v="2111-23-0030-2"/>
    <n v="1200"/>
    <n v="14050"/>
    <n v="4642"/>
    <n v="14056"/>
    <n v="612.52"/>
    <n v="4029.48"/>
    <n v="290.16000000000003"/>
    <n v="54260"/>
    <n v="32.24"/>
    <s v="P"/>
    <m/>
    <m/>
    <s v=" "/>
    <s v="STL"/>
    <s v="YES"/>
    <s v="TBD"/>
    <m/>
    <x v="5"/>
    <n v="3"/>
    <n v="2023"/>
    <n v="2035"/>
    <n v="2035.25"/>
    <n v="32.236111111111107"/>
    <n v="386.83333333333326"/>
    <n v="386.83333333333326"/>
    <n v="419.06944444441524"/>
    <n v="805.9027777777485"/>
    <n v="3836.0972222222517"/>
    <s v="No"/>
  </r>
  <r>
    <n v="2111"/>
    <n v="303371"/>
    <s v="P"/>
    <s v="Capitalized"/>
    <s v="4 Yd Front Load Containers"/>
    <m/>
    <m/>
    <n v="10"/>
    <m/>
    <n v="0"/>
    <s v="CAPITAL INDUSTRIES INC"/>
    <m/>
    <s v="CONTAINERS"/>
    <s v="TBA"/>
    <m/>
    <s v="4 YD"/>
    <s v="FEL/REL/SL Metal"/>
    <d v="2023-03-09T00:00:00"/>
    <d v="2023-03-09T00:00:00"/>
    <s v="2111-23-0030-2"/>
    <n v="1200"/>
    <n v="14050"/>
    <n v="11605"/>
    <n v="14056"/>
    <n v="1531.21"/>
    <n v="10073.790000000001"/>
    <n v="725.31"/>
    <n v="54260"/>
    <n v="80.59"/>
    <s v="P"/>
    <m/>
    <m/>
    <s v=" "/>
    <s v="STL"/>
    <s v="YES"/>
    <s v="TBD"/>
    <m/>
    <x v="5"/>
    <n v="3"/>
    <n v="2023"/>
    <n v="2035"/>
    <n v="2035.25"/>
    <n v="80.590277777777786"/>
    <n v="967.08333333333348"/>
    <n v="967.08333333333348"/>
    <n v="1047.6736111110367"/>
    <n v="2014.7569444443702"/>
    <n v="9590.2430555556293"/>
    <s v="No"/>
  </r>
  <r>
    <n v="2111"/>
    <n v="303370"/>
    <s v="P"/>
    <s v="Capitalized"/>
    <s v="4 Yd Front Load Containers"/>
    <m/>
    <m/>
    <n v="10"/>
    <m/>
    <n v="0"/>
    <s v="CAPITAL INDUSTRIES INC"/>
    <m/>
    <s v="CONTAINERS"/>
    <s v="TBA"/>
    <m/>
    <s v="4 YD"/>
    <s v="FEL/REL/SL Metal"/>
    <d v="2023-03-09T00:00:00"/>
    <d v="2023-03-09T00:00:00"/>
    <s v="2111-23-0030-2"/>
    <n v="1200"/>
    <n v="14050"/>
    <n v="11605"/>
    <n v="14056"/>
    <n v="1531.21"/>
    <n v="10073.790000000001"/>
    <n v="725.31"/>
    <n v="54260"/>
    <n v="80.59"/>
    <s v="P"/>
    <m/>
    <m/>
    <s v=" "/>
    <s v="STL"/>
    <s v="YES"/>
    <s v="TBD"/>
    <m/>
    <x v="5"/>
    <n v="3"/>
    <n v="2023"/>
    <n v="2035"/>
    <n v="2035.25"/>
    <n v="80.590277777777786"/>
    <n v="967.08333333333348"/>
    <n v="967.08333333333348"/>
    <n v="1047.6736111110367"/>
    <n v="2014.7569444443702"/>
    <n v="9590.2430555556293"/>
    <s v="No"/>
  </r>
  <r>
    <n v="2111"/>
    <n v="303369"/>
    <s v="P"/>
    <s v="Capitalized"/>
    <s v="4 Yd Front Load Containers"/>
    <m/>
    <m/>
    <n v="5"/>
    <m/>
    <n v="0"/>
    <s v="CAPITAL INDUSTRIES INC"/>
    <m/>
    <s v="CONTAINERS"/>
    <s v="TBA"/>
    <m/>
    <s v="4 YD"/>
    <s v="FEL/REL/SL Metal"/>
    <d v="2023-03-09T00:00:00"/>
    <d v="2023-03-09T00:00:00"/>
    <s v="2111-23-0030-1"/>
    <n v="1200"/>
    <n v="14050"/>
    <n v="5802.5"/>
    <n v="14056"/>
    <n v="765.65"/>
    <n v="5036.8500000000004"/>
    <n v="362.7"/>
    <n v="54260"/>
    <n v="40.299999999999997"/>
    <s v="P"/>
    <m/>
    <m/>
    <s v=" "/>
    <s v="STL"/>
    <s v="YES"/>
    <s v="TBD"/>
    <m/>
    <x v="5"/>
    <n v="3"/>
    <n v="2023"/>
    <n v="2035"/>
    <n v="2035.25"/>
    <n v="40.295138888888893"/>
    <n v="483.54166666666674"/>
    <n v="483.54166666666674"/>
    <n v="523.83680555551837"/>
    <n v="1007.3784722221851"/>
    <n v="4795.1215277778147"/>
    <s v="No"/>
  </r>
  <r>
    <n v="2111"/>
    <n v="303368"/>
    <s v="P"/>
    <s v="Capitalized"/>
    <s v="4 Yd Front Load Containers"/>
    <m/>
    <m/>
    <n v="2"/>
    <m/>
    <n v="0"/>
    <s v="CAPITAL INDUSTRIES INC"/>
    <m/>
    <s v="CONTAINERS"/>
    <s v="TBA"/>
    <m/>
    <s v="4 YD"/>
    <s v="FEL/REL/SL Metal"/>
    <d v="2023-03-09T00:00:00"/>
    <d v="2023-03-09T00:00:00"/>
    <s v="2111-23-0030-1"/>
    <n v="1200"/>
    <n v="14050"/>
    <n v="2321"/>
    <n v="14056"/>
    <n v="306.26"/>
    <n v="2014.74"/>
    <n v="145.08000000000001"/>
    <n v="54260"/>
    <n v="16.12"/>
    <s v="P"/>
    <m/>
    <m/>
    <s v=" "/>
    <s v="STL"/>
    <s v="YES"/>
    <s v="TBD"/>
    <m/>
    <x v="5"/>
    <n v="3"/>
    <n v="2023"/>
    <n v="2035"/>
    <n v="2035.25"/>
    <n v="16.118055555555554"/>
    <n v="193.41666666666663"/>
    <n v="193.41666666666663"/>
    <n v="209.53472222220762"/>
    <n v="402.95138888887425"/>
    <n v="1918.0486111111259"/>
    <s v="No"/>
  </r>
  <r>
    <n v="2111"/>
    <n v="303362"/>
    <s v="P"/>
    <s v="Capitalized"/>
    <s v="2 Yd Rear Load Containers"/>
    <m/>
    <m/>
    <n v="1"/>
    <m/>
    <n v="0"/>
    <s v="CAPITAL INDUSTRIES INC"/>
    <m/>
    <s v="CONTAINERS"/>
    <s v="TBA"/>
    <m/>
    <s v="2 YD"/>
    <s v="FEL/REL/SL Metal"/>
    <d v="2023-03-09T00:00:00"/>
    <d v="2023-03-09T00:00:00"/>
    <s v="2111-23-0030-1"/>
    <n v="1200"/>
    <n v="14050"/>
    <n v="874.5"/>
    <n v="14056"/>
    <n v="115.36"/>
    <n v="759.14"/>
    <n v="54.63"/>
    <n v="54260"/>
    <n v="6.07"/>
    <s v="P"/>
    <m/>
    <m/>
    <s v=" "/>
    <s v="STL"/>
    <s v="YES"/>
    <s v="TBD"/>
    <m/>
    <x v="5"/>
    <n v="3"/>
    <n v="2023"/>
    <n v="2035"/>
    <n v="2035.25"/>
    <n v="6.072916666666667"/>
    <n v="72.875"/>
    <n v="72.875"/>
    <n v="78.947916666661058"/>
    <n v="151.82291666666106"/>
    <n v="722.67708333333894"/>
    <s v="No"/>
  </r>
  <r>
    <n v="2111"/>
    <n v="303361"/>
    <s v="P"/>
    <s v="Capitalized"/>
    <s v="2 Yd Rear Load Containers"/>
    <m/>
    <m/>
    <n v="8"/>
    <m/>
    <n v="0"/>
    <s v="CAPITAL INDUSTRIES INC"/>
    <m/>
    <s v="CONTAINERS"/>
    <s v="TBA"/>
    <m/>
    <s v="2 YD"/>
    <s v="FEL/REL/SL Metal"/>
    <d v="2023-03-09T00:00:00"/>
    <d v="2023-03-09T00:00:00"/>
    <s v="2111-23-0030-1"/>
    <n v="1200"/>
    <n v="14050"/>
    <n v="6996"/>
    <n v="14056"/>
    <n v="923.05"/>
    <n v="6072.95"/>
    <n v="437.22"/>
    <n v="54260"/>
    <n v="48.58"/>
    <s v="P"/>
    <m/>
    <m/>
    <s v=" "/>
    <s v="STL"/>
    <s v="YES"/>
    <s v="TBD"/>
    <m/>
    <x v="5"/>
    <n v="3"/>
    <n v="2023"/>
    <n v="2035"/>
    <n v="2035.25"/>
    <n v="48.583333333333336"/>
    <n v="583"/>
    <n v="583"/>
    <n v="631.58333333328846"/>
    <n v="1214.5833333332885"/>
    <n v="5781.4166666667115"/>
    <s v="No"/>
  </r>
  <r>
    <n v="2111"/>
    <n v="303360"/>
    <s v="P"/>
    <s v="Capitalized"/>
    <s v="2 Yd Rear Load Containers"/>
    <m/>
    <m/>
    <n v="15"/>
    <m/>
    <n v="0"/>
    <s v="CAPITAL INDUSTRIES INC"/>
    <m/>
    <s v="CONTAINERS"/>
    <s v="TBA"/>
    <m/>
    <s v="2 YD"/>
    <s v="FEL/REL/SL Metal"/>
    <d v="2023-03-09T00:00:00"/>
    <d v="2023-03-09T00:00:00"/>
    <s v="2111-23-0030-1"/>
    <n v="1200"/>
    <n v="14050"/>
    <n v="13117.5"/>
    <n v="14056"/>
    <n v="1730.75"/>
    <n v="11386.75"/>
    <n v="819.81"/>
    <n v="54260"/>
    <n v="91.09"/>
    <s v="P"/>
    <m/>
    <m/>
    <s v=" "/>
    <s v="STL"/>
    <s v="YES"/>
    <s v="TBD"/>
    <m/>
    <x v="5"/>
    <n v="3"/>
    <n v="2023"/>
    <n v="2035"/>
    <n v="2035.25"/>
    <n v="91.09375"/>
    <n v="1093.125"/>
    <n v="1093.125"/>
    <n v="1184.2187499999163"/>
    <n v="2277.3437499999163"/>
    <n v="10840.156250000084"/>
    <s v="No"/>
  </r>
  <r>
    <n v="2111"/>
    <n v="303359"/>
    <s v="P"/>
    <s v="Capitalized"/>
    <s v="2 Yd Rear Load Containers"/>
    <m/>
    <m/>
    <n v="1"/>
    <m/>
    <n v="0"/>
    <s v="CAPITAL INDUSTRIES INC"/>
    <m/>
    <s v="CONTAINERS"/>
    <s v="TBA"/>
    <m/>
    <s v="2 YD"/>
    <s v="FEL/REL/SL Metal"/>
    <d v="2023-03-09T00:00:00"/>
    <d v="2023-03-09T00:00:00"/>
    <s v="2111-23-0030-1"/>
    <n v="1200"/>
    <n v="14050"/>
    <n v="935"/>
    <n v="14056"/>
    <n v="123.34"/>
    <n v="811.66"/>
    <n v="58.41"/>
    <n v="54260"/>
    <n v="6.49"/>
    <s v="P"/>
    <m/>
    <m/>
    <s v=" "/>
    <s v="STL"/>
    <s v="YES"/>
    <s v="TBD"/>
    <m/>
    <x v="5"/>
    <n v="3"/>
    <n v="2023"/>
    <n v="2035"/>
    <n v="2035.25"/>
    <n v="6.4930555555555562"/>
    <n v="77.916666666666671"/>
    <n v="77.916666666666671"/>
    <n v="84.40972222221626"/>
    <n v="162.32638888888295"/>
    <n v="772.673611111117"/>
    <s v="No"/>
  </r>
  <r>
    <n v="2111"/>
    <n v="303358"/>
    <s v="P"/>
    <s v="Capitalized"/>
    <s v="2 Yd Rear Load Containers"/>
    <m/>
    <m/>
    <n v="8"/>
    <m/>
    <n v="0"/>
    <s v="CAPITAL INDUSTRIES INC"/>
    <m/>
    <s v="CONTAINERS"/>
    <s v="TBA"/>
    <m/>
    <s v="2 YD"/>
    <s v="FEL/REL/SL Metal"/>
    <d v="2023-03-09T00:00:00"/>
    <d v="2023-03-09T00:00:00"/>
    <s v="2111-23-0030-1"/>
    <n v="1200"/>
    <n v="14050"/>
    <n v="7480"/>
    <n v="14056"/>
    <n v="986.91"/>
    <n v="6493.09"/>
    <n v="467.46"/>
    <n v="54260"/>
    <n v="51.94"/>
    <s v="P"/>
    <m/>
    <m/>
    <s v=" "/>
    <s v="STL"/>
    <s v="YES"/>
    <s v="TBD"/>
    <m/>
    <x v="5"/>
    <n v="3"/>
    <n v="2023"/>
    <n v="2035"/>
    <n v="2035.25"/>
    <n v="51.94444444444445"/>
    <n v="623.33333333333337"/>
    <n v="623.33333333333337"/>
    <n v="675.27777777773008"/>
    <n v="1298.6111111110636"/>
    <n v="6181.388888888936"/>
    <s v="No"/>
  </r>
  <r>
    <n v="2111"/>
    <n v="303357"/>
    <s v="P"/>
    <s v="Capitalized"/>
    <s v="2 Yd Rear Load Containers"/>
    <m/>
    <m/>
    <n v="16"/>
    <m/>
    <n v="0"/>
    <s v="CAPITAL INDUSTRIES INC"/>
    <m/>
    <s v="CONTAINERS"/>
    <s v="TBA"/>
    <m/>
    <s v="2 YD"/>
    <s v="FEL/REL/SL Metal"/>
    <d v="2023-03-09T00:00:00"/>
    <d v="2023-03-09T00:00:00"/>
    <s v="2111-23-0030-1"/>
    <n v="1200"/>
    <n v="14050"/>
    <n v="13992"/>
    <n v="14056"/>
    <n v="1846.2"/>
    <n v="12145.8"/>
    <n v="874.53"/>
    <n v="54260"/>
    <n v="97.17"/>
    <s v="P"/>
    <m/>
    <m/>
    <s v=" "/>
    <s v="STL"/>
    <s v="YES"/>
    <s v="TBD"/>
    <m/>
    <x v="5"/>
    <n v="3"/>
    <n v="2023"/>
    <n v="2035"/>
    <n v="2035.25"/>
    <n v="97.166666666666671"/>
    <n v="1166"/>
    <n v="1166"/>
    <n v="1263.1666666665769"/>
    <n v="2429.1666666665769"/>
    <n v="11562.833333333423"/>
    <s v="No"/>
  </r>
  <r>
    <n v="2111"/>
    <n v="303356"/>
    <s v="P"/>
    <s v="Capitalized"/>
    <s v="2 Yd Rear Load Containers"/>
    <m/>
    <m/>
    <n v="7"/>
    <m/>
    <n v="0"/>
    <s v="CAPITAL INDUSTRIES INC"/>
    <m/>
    <s v="CONTAINERS"/>
    <s v="TBA"/>
    <m/>
    <s v="2 YD"/>
    <s v="FEL/REL/SL Metal"/>
    <d v="2023-03-09T00:00:00"/>
    <d v="2023-03-09T00:00:00"/>
    <s v="2111-23-0030-1"/>
    <n v="1200"/>
    <n v="14050"/>
    <n v="6545"/>
    <n v="14056"/>
    <n v="863.56"/>
    <n v="5681.4400000000005"/>
    <n v="409.05"/>
    <n v="54260"/>
    <n v="45.45"/>
    <s v="P"/>
    <m/>
    <m/>
    <s v=" "/>
    <s v="STL"/>
    <s v="YES"/>
    <s v="TBD"/>
    <m/>
    <x v="5"/>
    <n v="3"/>
    <n v="2023"/>
    <n v="2035"/>
    <n v="2035.25"/>
    <n v="45.451388888888886"/>
    <n v="545.41666666666663"/>
    <n v="545.41666666666663"/>
    <n v="590.86805555551473"/>
    <n v="1136.2847222221812"/>
    <n v="5408.7152777778192"/>
    <s v="No"/>
  </r>
  <r>
    <n v="2111"/>
    <n v="302420"/>
    <s v="P"/>
    <s v="Capitalized"/>
    <s v="2019 Peterbilt Transfer Tractor"/>
    <m/>
    <m/>
    <n v="1"/>
    <s v="1XPCPP9X8KD606562"/>
    <n v="2019"/>
    <m/>
    <m/>
    <s v="TRUCKS AND TRAILERS"/>
    <s v="TBA"/>
    <s v="Road Tractor"/>
    <m/>
    <m/>
    <d v="2021-08-02T00:00:00"/>
    <d v="2021-08-02T00:00:00"/>
    <s v="2112-21-0029"/>
    <n v="700"/>
    <n v="14040"/>
    <n v="131947.5"/>
    <n v="14046"/>
    <n v="59690.5"/>
    <n v="72257"/>
    <n v="14137.2"/>
    <n v="51260"/>
    <n v="1570.8"/>
    <s v="P"/>
    <m/>
    <n v="158"/>
    <s v=" "/>
    <s v="STL"/>
    <s v="YES"/>
    <s v="TBD"/>
    <m/>
    <x v="14"/>
    <n v="8"/>
    <n v="2021"/>
    <n v="2028"/>
    <n v="2028.6666666666667"/>
    <n v="1570.8035714285716"/>
    <n v="18849.642857142859"/>
    <n v="18849.642857142859"/>
    <n v="50265.714285711423"/>
    <n v="69115.357142854278"/>
    <n v="62832.142857145722"/>
    <s v="No"/>
  </r>
  <r>
    <n v="2111"/>
    <n v="301699"/>
    <n v="301698"/>
    <s v="Capitalized"/>
    <s v="HP USB-C G5 Essential Dock - SN: 5CG244VQ4H"/>
    <m/>
    <m/>
    <n v="1"/>
    <m/>
    <n v="0"/>
    <s v="CDW DIR #14111"/>
    <m/>
    <s v="HARDWARE AND SOFTWARE"/>
    <s v="TBA"/>
    <m/>
    <m/>
    <m/>
    <d v="2023-03-07T00:00:00"/>
    <d v="2023-03-07T00:00:00"/>
    <s v="2111-23-0036-1"/>
    <n v="300"/>
    <n v="14110"/>
    <n v="270.11"/>
    <n v="14116"/>
    <n v="142.53"/>
    <n v="127.58000000000001"/>
    <n v="67.5"/>
    <n v="70260"/>
    <n v="7.5"/>
    <s v="P"/>
    <m/>
    <m/>
    <s v=" "/>
    <s v="STL"/>
    <s v="YES"/>
    <s v="TBD"/>
    <m/>
    <x v="10"/>
    <n v="3"/>
    <n v="2023"/>
    <n v="2026"/>
    <n v="2026.25"/>
    <n v="7.503055555555556"/>
    <n v="90.036666666666676"/>
    <n v="90.036666666666676"/>
    <n v="97.539722222215403"/>
    <n v="187.57638888888209"/>
    <n v="82.533611111117921"/>
    <s v="No"/>
  </r>
  <r>
    <n v="2111"/>
    <n v="301698"/>
    <s v="P"/>
    <s v="Capitalized"/>
    <s v="HP ProBook 450 G9 Notebook - SN: 5CD3072ZSJ"/>
    <m/>
    <m/>
    <n v="1"/>
    <m/>
    <n v="0"/>
    <s v="CDW DIR #14111"/>
    <m/>
    <s v="HARDWARE AND SOFTWARE"/>
    <s v="TBA"/>
    <m/>
    <m/>
    <m/>
    <d v="2023-03-07T00:00:00"/>
    <d v="2023-03-07T00:00:00"/>
    <s v="2111-23-0036-1"/>
    <n v="300"/>
    <n v="14110"/>
    <n v="1033.43"/>
    <n v="14116"/>
    <n v="545.45000000000005"/>
    <n v="487.98"/>
    <n v="258.39"/>
    <n v="70260"/>
    <n v="28.71"/>
    <s v="P"/>
    <m/>
    <m/>
    <s v=" "/>
    <s v="STL"/>
    <s v="YES"/>
    <s v="TBD"/>
    <m/>
    <x v="10"/>
    <n v="3"/>
    <n v="2023"/>
    <n v="2026"/>
    <n v="2026.25"/>
    <n v="28.706388888888892"/>
    <n v="344.47666666666669"/>
    <n v="344.47666666666669"/>
    <n v="373.18305555552945"/>
    <n v="717.65972222219614"/>
    <n v="315.77027777780393"/>
    <s v="No"/>
  </r>
  <r>
    <n v="2111"/>
    <n v="301652"/>
    <s v="P"/>
    <s v="Capitalized"/>
    <s v="New Security System - Tire Shop"/>
    <m/>
    <m/>
    <n v="1"/>
    <m/>
    <n v="0"/>
    <s v="ADT COMMERCIAL"/>
    <m/>
    <s v="SHOP EQUIPMENT"/>
    <s v="TBA"/>
    <m/>
    <m/>
    <m/>
    <d v="2023-02-17T00:00:00"/>
    <d v="2023-02-17T00:00:00"/>
    <s v="2111-23-0032-1"/>
    <n v="500"/>
    <n v="14070"/>
    <n v="1377.77"/>
    <n v="14076"/>
    <n v="436.27"/>
    <n v="941.5"/>
    <n v="206.64"/>
    <n v="51260"/>
    <n v="22.96"/>
    <s v="P"/>
    <m/>
    <m/>
    <s v=" "/>
    <s v="STL"/>
    <s v="YES"/>
    <s v="TBD"/>
    <m/>
    <x v="6"/>
    <n v="2"/>
    <n v="2023"/>
    <n v="2028"/>
    <n v="2028.1666666666667"/>
    <n v="22.962833333333332"/>
    <n v="275.55399999999997"/>
    <n v="275.55399999999997"/>
    <n v="321.47966666662501"/>
    <n v="597.03366666662498"/>
    <n v="780.736333333375"/>
    <s v="No"/>
  </r>
  <r>
    <n v="2111"/>
    <n v="301546"/>
    <n v="298302"/>
    <s v="Capitalized"/>
    <s v="Install Lift Gate-2022 Van"/>
    <m/>
    <m/>
    <n v="1"/>
    <m/>
    <n v="0"/>
    <s v="NATIONAL TRUCK AND PAINT"/>
    <m/>
    <s v="TRUCKS AND TRAILERS"/>
    <s v="TBA"/>
    <s v="Non-Rolling Stock"/>
    <m/>
    <m/>
    <d v="2023-02-06T00:00:00"/>
    <d v="2023-02-06T00:00:00"/>
    <s v="2111-23-0034-1"/>
    <n v="300"/>
    <n v="14040"/>
    <n v="8811.31"/>
    <n v="14046"/>
    <n v="4895.1899999999996"/>
    <n v="3916.12"/>
    <n v="2202.84"/>
    <n v="51260"/>
    <n v="244.76"/>
    <s v="P"/>
    <m/>
    <m/>
    <s v=" "/>
    <s v="STL"/>
    <s v="YES"/>
    <s v="TBD"/>
    <m/>
    <x v="2"/>
    <n v="2"/>
    <n v="2023"/>
    <n v="2026"/>
    <n v="2026.1666666666667"/>
    <n v="244.75861111111109"/>
    <n v="2937.103333333333"/>
    <n v="2937.103333333333"/>
    <n v="3426.6205555551105"/>
    <n v="6363.723888888444"/>
    <n v="2447.5861111115555"/>
    <s v="No"/>
  </r>
  <r>
    <n v="2111"/>
    <n v="300746"/>
    <n v="291161"/>
    <s v="Capitalized"/>
    <s v="Fuel Island-Remaining balance"/>
    <m/>
    <m/>
    <n v="1"/>
    <m/>
    <n v="0"/>
    <s v="NORTHWEST PUMP &amp; EQUIPMEN"/>
    <m/>
    <s v="LAND IMPROVEMENTS"/>
    <s v="TBA"/>
    <m/>
    <m/>
    <m/>
    <d v="2023-01-02T00:00:00"/>
    <d v="2023-01-02T00:00:00"/>
    <s v="2111-23-0037-1"/>
    <n v="1000"/>
    <n v="14010"/>
    <n v="10800.76"/>
    <n v="14016"/>
    <n v="1890.17"/>
    <n v="8910.59"/>
    <n v="810.09"/>
    <n v="57260"/>
    <n v="90.01"/>
    <s v="P"/>
    <m/>
    <m/>
    <s v=" "/>
    <s v="STL"/>
    <s v="YES"/>
    <s v="TBD"/>
    <m/>
    <x v="17"/>
    <n v="1"/>
    <n v="2023"/>
    <n v="2033"/>
    <n v="2033.0833333333333"/>
    <n v="90.00633333333333"/>
    <n v="1080.076"/>
    <n v="1080.076"/>
    <n v="1350.0950000000012"/>
    <n v="2430.1710000000012"/>
    <n v="8370.5889999999999"/>
    <s v="No"/>
  </r>
  <r>
    <n v="2111"/>
    <n v="300332"/>
    <s v="P"/>
    <s v="Capitalized"/>
    <s v="HP ProBook 450 G9 Notebook -Wolf Pro Security - 15.6 - SN: 5CD3031V42"/>
    <m/>
    <m/>
    <n v="1"/>
    <m/>
    <n v="0"/>
    <s v="CDW DIR #70302"/>
    <m/>
    <s v="HARDWARE AND SOFTWARE"/>
    <s v="TBA"/>
    <m/>
    <m/>
    <m/>
    <d v="2023-02-02T00:00:00"/>
    <d v="2023-02-02T00:00:00"/>
    <s v="2111-23-0033-1"/>
    <n v="300"/>
    <n v="14110"/>
    <n v="1304.52"/>
    <n v="14116"/>
    <n v="724.76"/>
    <n v="579.76"/>
    <n v="326.16000000000003"/>
    <n v="70260"/>
    <n v="36.24"/>
    <s v="P"/>
    <m/>
    <m/>
    <s v=" "/>
    <s v="STL"/>
    <s v="YES"/>
    <s v="TBD"/>
    <m/>
    <x v="10"/>
    <n v="2"/>
    <n v="2023"/>
    <n v="2026"/>
    <n v="2026.1666666666667"/>
    <n v="36.236666666666665"/>
    <n v="434.84"/>
    <n v="434.84"/>
    <n v="507.31333333326745"/>
    <n v="942.15333333326748"/>
    <n v="362.3666666667325"/>
    <s v="No"/>
  </r>
  <r>
    <n v="2111"/>
    <n v="300331"/>
    <s v="P"/>
    <s v="Capitalized"/>
    <s v="New Security System - Labor and Materials"/>
    <m/>
    <m/>
    <n v="1"/>
    <m/>
    <n v="0"/>
    <s v="ADT"/>
    <m/>
    <s v="SHOP EQUIPMENT"/>
    <s v="TBA"/>
    <m/>
    <m/>
    <m/>
    <d v="2023-01-02T00:00:00"/>
    <d v="2023-01-02T00:00:00"/>
    <s v="2111-22-0046-1"/>
    <n v="500"/>
    <n v="14070"/>
    <n v="7112.99"/>
    <n v="14076"/>
    <n v="2489.5500000000002"/>
    <n v="4623.4399999999996"/>
    <n v="1066.95"/>
    <n v="51260"/>
    <n v="118.55"/>
    <s v="P"/>
    <m/>
    <m/>
    <s v=" "/>
    <s v="STL"/>
    <s v="YES"/>
    <s v="TBD"/>
    <m/>
    <x v="6"/>
    <n v="1"/>
    <n v="2023"/>
    <n v="2028"/>
    <n v="2028.0833333333333"/>
    <n v="118.54983333333332"/>
    <n v="1422.598"/>
    <n v="1422.598"/>
    <n v="1778.2475000000004"/>
    <n v="3200.8455000000004"/>
    <n v="3912.1444999999994"/>
    <s v="No"/>
  </r>
  <r>
    <n v="2111"/>
    <n v="300330"/>
    <s v="P"/>
    <s v="Capitalized"/>
    <s v="New Security System - Labor and Materials"/>
    <m/>
    <m/>
    <n v="1"/>
    <m/>
    <n v="0"/>
    <s v="ADT"/>
    <m/>
    <s v="SHOP EQUIPMENT"/>
    <s v="TBA"/>
    <m/>
    <m/>
    <m/>
    <d v="2023-01-02T00:00:00"/>
    <d v="2023-01-02T00:00:00"/>
    <s v="2111-22-0046-1"/>
    <n v="500"/>
    <n v="14070"/>
    <n v="15012.97"/>
    <n v="14076"/>
    <n v="5254.57"/>
    <n v="9758.4"/>
    <n v="2251.98"/>
    <n v="51260"/>
    <n v="250.22"/>
    <s v="P"/>
    <m/>
    <m/>
    <s v=" "/>
    <s v="STL"/>
    <s v="YES"/>
    <s v="TBD"/>
    <m/>
    <x v="6"/>
    <n v="1"/>
    <n v="2023"/>
    <n v="2028"/>
    <n v="2028.0833333333333"/>
    <n v="250.21616666666668"/>
    <n v="3002.5940000000001"/>
    <n v="3002.5940000000001"/>
    <n v="3753.2424999999985"/>
    <n v="6755.8364999999985"/>
    <n v="8257.1334999999999"/>
    <s v="No"/>
  </r>
  <r>
    <n v="2111"/>
    <n v="300329"/>
    <s v="P"/>
    <s v="Capitalized"/>
    <s v="New Security System - Labor install charge"/>
    <m/>
    <m/>
    <n v="1"/>
    <m/>
    <n v="0"/>
    <s v="ADT"/>
    <m/>
    <s v="SHOP EQUIPMENT"/>
    <s v="TBA"/>
    <m/>
    <m/>
    <m/>
    <d v="2023-01-02T00:00:00"/>
    <d v="2023-01-02T00:00:00"/>
    <s v="2111-22-0046-1"/>
    <n v="500"/>
    <n v="14070"/>
    <n v="756.8"/>
    <n v="14076"/>
    <n v="264.85000000000002"/>
    <n v="491.94999999999993"/>
    <n v="113.49"/>
    <n v="51260"/>
    <n v="12.61"/>
    <s v="P"/>
    <m/>
    <m/>
    <s v=" "/>
    <s v="STL"/>
    <s v="YES"/>
    <s v="TBD"/>
    <m/>
    <x v="6"/>
    <n v="1"/>
    <n v="2023"/>
    <n v="2028"/>
    <n v="2028.0833333333333"/>
    <n v="12.613333333333332"/>
    <n v="151.35999999999999"/>
    <n v="151.35999999999999"/>
    <n v="189.20000000000005"/>
    <n v="340.56000000000006"/>
    <n v="416.2399999999999"/>
    <s v="No"/>
  </r>
  <r>
    <n v="2111"/>
    <n v="300287"/>
    <s v="P"/>
    <s v="Capitalized"/>
    <s v="New Security System"/>
    <m/>
    <m/>
    <n v="1"/>
    <m/>
    <n v="0"/>
    <s v="ADT COMMERCIAL"/>
    <m/>
    <s v="SHOP EQUIPMENT"/>
    <s v="TBA"/>
    <m/>
    <m/>
    <m/>
    <d v="2023-02-28T00:00:00"/>
    <d v="2023-02-28T00:00:00"/>
    <s v="2111-22-0046-1"/>
    <n v="500"/>
    <n v="14070"/>
    <n v="4034"/>
    <n v="14076"/>
    <n v="1277.4000000000001"/>
    <n v="2756.6"/>
    <n v="605.07000000000005"/>
    <n v="51260"/>
    <n v="67.23"/>
    <s v="P"/>
    <m/>
    <m/>
    <s v=" "/>
    <s v="STL"/>
    <s v="YES"/>
    <s v="TBD"/>
    <m/>
    <x v="6"/>
    <n v="2"/>
    <n v="2023"/>
    <n v="2028"/>
    <n v="2028.1666666666667"/>
    <n v="67.233333333333334"/>
    <n v="806.8"/>
    <n v="806.8"/>
    <n v="941.26666666654455"/>
    <n v="1748.0666666665445"/>
    <n v="2285.9333333334553"/>
    <s v="No"/>
  </r>
  <r>
    <n v="2111"/>
    <n v="300089"/>
    <n v="299121"/>
    <s v="Capitalized"/>
    <s v="License &amp; Registration Truck 1HTEJTAL5NH670278"/>
    <m/>
    <m/>
    <n v="1"/>
    <m/>
    <n v="0"/>
    <s v="WA DOL LIC &amp; REG 31150"/>
    <m/>
    <s v="TRUCKS AND TRAILERS"/>
    <s v="TBA"/>
    <s v="Non-Rolling Stock"/>
    <m/>
    <m/>
    <d v="2023-02-06T00:00:00"/>
    <d v="2023-02-06T00:00:00"/>
    <s v="2111-22-0005-1"/>
    <n v="1000"/>
    <n v="14040"/>
    <n v="1482.43"/>
    <n v="14046"/>
    <n v="247.04"/>
    <n v="1235.3900000000001"/>
    <n v="111.15"/>
    <n v="51260"/>
    <n v="12.35"/>
    <s v="P"/>
    <m/>
    <m/>
    <s v=" "/>
    <s v="STL"/>
    <s v="YES"/>
    <s v="TBD"/>
    <m/>
    <x v="0"/>
    <n v="2"/>
    <n v="2023"/>
    <n v="2033"/>
    <n v="2033.1666666666667"/>
    <n v="12.353583333333333"/>
    <n v="148.24299999999999"/>
    <n v="148.24299999999999"/>
    <n v="172.95016666664424"/>
    <n v="321.19316666664423"/>
    <n v="1161.2368333333559"/>
    <s v="No"/>
  </r>
  <r>
    <n v="2111"/>
    <n v="299609"/>
    <n v="291392"/>
    <s v="Capitalized"/>
    <s v="Tire Maintenance Storage Building"/>
    <m/>
    <m/>
    <n v="1"/>
    <m/>
    <n v="0"/>
    <m/>
    <m/>
    <s v="BUILDINGS"/>
    <s v="TBA"/>
    <m/>
    <m/>
    <m/>
    <d v="2023-01-02T00:00:00"/>
    <d v="2023-01-02T00:00:00"/>
    <s v="2111-22-0021"/>
    <n v="1000"/>
    <n v="14080"/>
    <n v="84926.9"/>
    <n v="14086"/>
    <n v="14862.17"/>
    <n v="70064.73"/>
    <n v="6369.48"/>
    <n v="57260"/>
    <n v="707.72"/>
    <s v="P"/>
    <m/>
    <m/>
    <s v=" "/>
    <s v="STL"/>
    <s v="YES"/>
    <s v="TBD"/>
    <m/>
    <x v="6"/>
    <n v="1"/>
    <n v="2023"/>
    <n v="2033"/>
    <n v="2033.0833333333333"/>
    <n v="707.72416666666652"/>
    <n v="8492.6899999999987"/>
    <n v="8492.6899999999987"/>
    <n v="10615.862500000003"/>
    <n v="19108.552500000002"/>
    <n v="65818.347499999989"/>
    <s v="No"/>
  </r>
  <r>
    <n v="2111"/>
    <n v="299571"/>
    <n v="299121"/>
    <s v="Capitalized"/>
    <s v="2023 Peterbilt ASL Truck-Body"/>
    <m/>
    <m/>
    <n v="1"/>
    <s v="3BPDLK0X0PF114125"/>
    <n v="2023"/>
    <m/>
    <m/>
    <s v="TRUCKS AND TRAILERS"/>
    <s v="TBA"/>
    <s v="Automated Side Loader"/>
    <m/>
    <m/>
    <d v="2023-01-02T00:00:00"/>
    <d v="2023-01-02T00:00:00"/>
    <s v="2111-22-0005"/>
    <n v="1000"/>
    <n v="14040"/>
    <n v="203250.03"/>
    <n v="14046"/>
    <n v="35568.75"/>
    <n v="167681.28"/>
    <n v="15243.75"/>
    <n v="51260"/>
    <n v="1693.75"/>
    <s v="P"/>
    <m/>
    <m/>
    <s v=" "/>
    <s v="STL"/>
    <s v="YES"/>
    <s v="TBD"/>
    <m/>
    <x v="0"/>
    <n v="1"/>
    <n v="2023"/>
    <n v="2033"/>
    <n v="2033.0833333333333"/>
    <n v="1693.7502500000001"/>
    <n v="20325.003000000001"/>
    <n v="20325.003000000001"/>
    <n v="25406.253750000003"/>
    <n v="45731.25675"/>
    <n v="157518.77325"/>
    <s v="No"/>
  </r>
  <r>
    <n v="2111"/>
    <n v="299292"/>
    <s v="P"/>
    <s v="Capitalized"/>
    <s v="65 GAL MSW CARTS"/>
    <m/>
    <m/>
    <n v="936"/>
    <m/>
    <n v="0"/>
    <s v="REHRIG PACIFIC COMPANY IN"/>
    <m/>
    <s v="CONTAINERS"/>
    <s v="TBA"/>
    <m/>
    <m/>
    <m/>
    <d v="2023-01-02T00:00:00"/>
    <d v="2023-01-02T00:00:00"/>
    <s v="2111-23-0031-1"/>
    <n v="700"/>
    <n v="14050"/>
    <n v="52396.35"/>
    <n v="14056"/>
    <n v="13099.12"/>
    <n v="39297.229999999996"/>
    <n v="5613.93"/>
    <n v="54260"/>
    <n v="623.77"/>
    <s v="P"/>
    <m/>
    <m/>
    <s v=" "/>
    <s v="STL"/>
    <s v="YES"/>
    <s v="TBD"/>
    <m/>
    <x v="7"/>
    <n v="1"/>
    <n v="2023"/>
    <n v="2030"/>
    <n v="2030.0833333333333"/>
    <n v="623.76607142857142"/>
    <n v="7485.1928571428571"/>
    <n v="7485.1928571428571"/>
    <n v="9356.4910714285725"/>
    <n v="16841.68392857143"/>
    <n v="35554.666071428568"/>
    <s v="No"/>
  </r>
  <r>
    <n v="2111"/>
    <n v="299121"/>
    <s v="P"/>
    <s v="Capitalized"/>
    <s v="2023 Peterbilt ASL Truck-Chassis"/>
    <m/>
    <m/>
    <n v="1"/>
    <s v="3BPDLK0X0PF114125"/>
    <n v="2023"/>
    <m/>
    <m/>
    <s v="TRUCKS AND TRAILERS"/>
    <s v="TBA"/>
    <s v="Automated Side Loader"/>
    <m/>
    <m/>
    <d v="2023-01-02T00:00:00"/>
    <d v="2023-01-02T00:00:00"/>
    <s v="2111-22-0005"/>
    <n v="1000"/>
    <n v="14040"/>
    <n v="201702.8"/>
    <n v="14046"/>
    <n v="35298.019999999997"/>
    <n v="166404.78"/>
    <n v="15127.74"/>
    <n v="51260"/>
    <n v="1680.86"/>
    <s v="P"/>
    <m/>
    <m/>
    <s v=" "/>
    <s v="STL"/>
    <s v="YES"/>
    <s v="TBD"/>
    <m/>
    <x v="0"/>
    <n v="1"/>
    <n v="2023"/>
    <n v="2033"/>
    <n v="2033.0833333333333"/>
    <n v="1680.8566666666666"/>
    <n v="20170.28"/>
    <n v="20170.28"/>
    <n v="25212.850000000006"/>
    <n v="45383.130000000005"/>
    <n v="156319.66999999998"/>
    <s v="No"/>
  </r>
  <r>
    <n v="2111"/>
    <n v="298959"/>
    <n v="298243"/>
    <s v="Capitalized"/>
    <s v="Event recorder- 2023 ASL"/>
    <m/>
    <m/>
    <n v="1"/>
    <m/>
    <n v="0"/>
    <s v="LYTX INC"/>
    <m/>
    <s v="TRUCKS AND TRAILERS"/>
    <s v="TBA"/>
    <s v="Non-Rolling Stock"/>
    <m/>
    <m/>
    <d v="2023-01-02T00:00:00"/>
    <d v="2023-01-02T00:00:00"/>
    <s v="2111-22-0007-1"/>
    <n v="500"/>
    <n v="14040"/>
    <n v="353.65"/>
    <n v="14046"/>
    <n v="123.74"/>
    <n v="229.90999999999997"/>
    <n v="53.01"/>
    <n v="51260"/>
    <n v="5.89"/>
    <s v="P"/>
    <m/>
    <m/>
    <s v=" "/>
    <s v="STL"/>
    <s v="YES"/>
    <s v="TBD"/>
    <m/>
    <x v="0"/>
    <n v="1"/>
    <n v="2023"/>
    <n v="2028"/>
    <n v="2028.0833333333333"/>
    <n v="5.8941666666666661"/>
    <n v="70.72999999999999"/>
    <n v="70.72999999999999"/>
    <n v="88.412500000000023"/>
    <n v="159.14250000000001"/>
    <n v="194.50749999999996"/>
    <s v="No"/>
  </r>
  <r>
    <n v="2111"/>
    <n v="298658"/>
    <n v="299121"/>
    <s v="Capitalized"/>
    <s v="New ASL Peterbilt - Event Recorder"/>
    <m/>
    <m/>
    <n v="1"/>
    <m/>
    <n v="0"/>
    <s v="LYTX INC"/>
    <m/>
    <s v="TRUCKS AND TRAILERS"/>
    <s v="TBA"/>
    <s v="Non-Rolling Stock"/>
    <m/>
    <m/>
    <d v="2023-01-10T00:00:00"/>
    <d v="2023-01-10T00:00:00"/>
    <s v="2111-22-0005-1"/>
    <n v="500"/>
    <n v="14040"/>
    <n v="353.65"/>
    <n v="14046"/>
    <n v="123.74"/>
    <n v="229.90999999999997"/>
    <n v="53.01"/>
    <n v="51260"/>
    <n v="5.89"/>
    <s v="P"/>
    <m/>
    <m/>
    <s v=" "/>
    <s v="STL"/>
    <s v="YES"/>
    <s v="TBD"/>
    <m/>
    <x v="0"/>
    <n v="1"/>
    <n v="2023"/>
    <n v="2028"/>
    <n v="2028.0833333333333"/>
    <n v="5.8941666666666661"/>
    <n v="70.72999999999999"/>
    <n v="70.72999999999999"/>
    <n v="88.412500000000023"/>
    <n v="159.14250000000001"/>
    <n v="194.50749999999996"/>
    <s v="No"/>
  </r>
  <r>
    <n v="2111"/>
    <n v="298538"/>
    <s v="P"/>
    <s v="Capitalized"/>
    <s v="95g MSW Carts"/>
    <m/>
    <m/>
    <n v="702"/>
    <m/>
    <n v="0"/>
    <s v="REHRIG PACIFIC COMPANY IN"/>
    <m/>
    <s v="CONTAINERS"/>
    <s v="TBA"/>
    <m/>
    <m/>
    <m/>
    <d v="2023-01-02T00:00:00"/>
    <d v="2023-01-02T00:00:00"/>
    <s v="2111-23-0031-1"/>
    <n v="700"/>
    <n v="14050"/>
    <n v="43660.19"/>
    <n v="14056"/>
    <n v="10915.01"/>
    <n v="32745.18"/>
    <n v="4677.84"/>
    <n v="54260"/>
    <n v="519.76"/>
    <s v="P"/>
    <m/>
    <m/>
    <s v=" "/>
    <s v="STL"/>
    <s v="YES"/>
    <s v="TBD"/>
    <m/>
    <x v="7"/>
    <n v="1"/>
    <n v="2023"/>
    <n v="2030"/>
    <n v="2030.0833333333333"/>
    <n v="519.76416666666671"/>
    <n v="6237.17"/>
    <n v="6237.17"/>
    <n v="7796.4625000000015"/>
    <n v="14033.632500000002"/>
    <n v="29626.557500000003"/>
    <s v="No"/>
  </r>
  <r>
    <n v="2111"/>
    <n v="298537"/>
    <s v="P"/>
    <s v="Capitalized"/>
    <s v="95g YW Carts"/>
    <m/>
    <m/>
    <n v="702"/>
    <m/>
    <n v="0"/>
    <s v="REHRIG PACIFIC COMPANY IN"/>
    <m/>
    <s v="CONTAINERS"/>
    <s v="TBA"/>
    <m/>
    <m/>
    <m/>
    <d v="2023-01-02T00:00:00"/>
    <d v="2023-01-02T00:00:00"/>
    <s v="2111-23-0031-1"/>
    <n v="700"/>
    <n v="14050"/>
    <n v="43660.19"/>
    <n v="14056"/>
    <n v="10915.01"/>
    <n v="32745.18"/>
    <n v="4677.84"/>
    <n v="54260"/>
    <n v="519.76"/>
    <s v="P"/>
    <m/>
    <m/>
    <s v=" "/>
    <s v="STL"/>
    <s v="YES"/>
    <s v="TBD"/>
    <m/>
    <x v="7"/>
    <n v="1"/>
    <n v="2023"/>
    <n v="2030"/>
    <n v="2030.0833333333333"/>
    <n v="519.76416666666671"/>
    <n v="6237.17"/>
    <n v="6237.17"/>
    <n v="7796.4625000000015"/>
    <n v="14033.632500000002"/>
    <n v="29626.557500000003"/>
    <s v="No"/>
  </r>
  <r>
    <n v="2111"/>
    <n v="298536"/>
    <s v="P"/>
    <s v="Capitalized"/>
    <s v="95g YW Carts"/>
    <m/>
    <m/>
    <n v="702"/>
    <m/>
    <n v="0"/>
    <s v="REHRIG PACIFIC COMPANY IN"/>
    <m/>
    <s v="CONTAINERS"/>
    <s v="TBA"/>
    <m/>
    <m/>
    <m/>
    <d v="2023-01-02T00:00:00"/>
    <d v="2023-01-02T00:00:00"/>
    <s v="2111-23-0031-1"/>
    <n v="700"/>
    <n v="14050"/>
    <n v="43660.19"/>
    <n v="14056"/>
    <n v="10915.01"/>
    <n v="32745.18"/>
    <n v="4677.84"/>
    <n v="54260"/>
    <n v="519.76"/>
    <s v="P"/>
    <m/>
    <m/>
    <s v=" "/>
    <s v="STL"/>
    <s v="YES"/>
    <s v="TBD"/>
    <m/>
    <x v="7"/>
    <n v="1"/>
    <n v="2023"/>
    <n v="2030"/>
    <n v="2030.0833333333333"/>
    <n v="519.76416666666671"/>
    <n v="6237.17"/>
    <n v="6237.17"/>
    <n v="7796.4625000000015"/>
    <n v="14033.632500000002"/>
    <n v="29626.557500000003"/>
    <s v="No"/>
  </r>
  <r>
    <n v="2111"/>
    <n v="298302"/>
    <s v="P"/>
    <s v="Capitalized"/>
    <s v="2022 Chevrolet Express 3500 CD Box Van Truck"/>
    <m/>
    <m/>
    <n v="1"/>
    <s v="1GB3GSC78N1234809"/>
    <n v="2022"/>
    <m/>
    <m/>
    <s v="TRUCKS AND TRAILERS"/>
    <s v="TBA"/>
    <s v="Box Van"/>
    <m/>
    <m/>
    <d v="2023-01-02T00:00:00"/>
    <d v="2023-01-02T00:00:00"/>
    <s v="2111-22-0050"/>
    <n v="1000"/>
    <n v="14040"/>
    <n v="64798.29"/>
    <n v="14046"/>
    <n v="11339.74"/>
    <n v="53458.55"/>
    <n v="4859.91"/>
    <n v="51260"/>
    <n v="539.99"/>
    <s v="P"/>
    <m/>
    <m/>
    <s v=" "/>
    <s v="STL"/>
    <s v="YES"/>
    <s v="TBD"/>
    <m/>
    <x v="2"/>
    <n v="1"/>
    <n v="2023"/>
    <n v="2033"/>
    <n v="2033.0833333333333"/>
    <n v="539.98574999999994"/>
    <n v="6479.8289999999997"/>
    <n v="6479.8289999999997"/>
    <n v="8099.7862500000047"/>
    <n v="14579.615250000004"/>
    <n v="50218.674749999998"/>
    <s v="No"/>
  </r>
  <r>
    <n v="2111"/>
    <n v="298243"/>
    <s v="P"/>
    <s v="Capitalized"/>
    <s v="2023 Peterbilt ASL Truck"/>
    <m/>
    <m/>
    <n v="1"/>
    <s v="3BPDLK0X4PF114127"/>
    <n v="2023"/>
    <m/>
    <m/>
    <s v="TRUCKS AND TRAILERS"/>
    <s v="TBA"/>
    <s v="Automated Side Loader"/>
    <m/>
    <m/>
    <d v="2023-01-02T00:00:00"/>
    <d v="2023-01-02T00:00:00"/>
    <s v="2111-22-0007"/>
    <n v="1000"/>
    <n v="14040"/>
    <n v="404952.83"/>
    <n v="14046"/>
    <n v="70866.77"/>
    <n v="334086.06"/>
    <n v="30371.49"/>
    <n v="51260"/>
    <n v="3374.61"/>
    <s v="P"/>
    <m/>
    <m/>
    <s v=" "/>
    <s v="STL"/>
    <s v="YES"/>
    <s v="TBD"/>
    <m/>
    <x v="0"/>
    <n v="1"/>
    <n v="2023"/>
    <n v="2033"/>
    <n v="2033.0833333333333"/>
    <n v="3374.6069166666671"/>
    <n v="40495.283000000003"/>
    <n v="40495.283000000003"/>
    <n v="50619.103749999951"/>
    <n v="91114.386749999947"/>
    <n v="313838.44325000007"/>
    <s v="No"/>
  </r>
  <r>
    <n v="2111"/>
    <n v="297971"/>
    <n v="291161"/>
    <s v="Capitalized"/>
    <s v="Fuel Island - Landscaping"/>
    <m/>
    <m/>
    <n v="1"/>
    <m/>
    <n v="0"/>
    <s v="BUCKLEY NURSERY COMPANY"/>
    <m/>
    <s v="LAND IMPROVEMENTS"/>
    <s v="TBA"/>
    <m/>
    <m/>
    <m/>
    <d v="2023-01-02T00:00:00"/>
    <d v="2023-01-02T00:00:00"/>
    <s v="2111-22-0024-1"/>
    <n v="1000"/>
    <n v="14010"/>
    <n v="24471.7"/>
    <n v="14016"/>
    <n v="4282.5200000000004"/>
    <n v="20189.18"/>
    <n v="1835.37"/>
    <n v="57260"/>
    <n v="203.93"/>
    <s v="P"/>
    <m/>
    <m/>
    <s v=" "/>
    <s v="STL"/>
    <s v="YES"/>
    <s v="TBD"/>
    <m/>
    <x v="17"/>
    <n v="1"/>
    <n v="2023"/>
    <n v="2033"/>
    <n v="2033.0833333333333"/>
    <n v="203.93083333333334"/>
    <n v="2447.17"/>
    <n v="2447.17"/>
    <n v="3058.9625000000015"/>
    <n v="5506.1325000000015"/>
    <n v="18965.567499999997"/>
    <s v="No"/>
  </r>
  <r>
    <n v="2111"/>
    <n v="297501"/>
    <s v="P"/>
    <s v="Capitalized"/>
    <s v="Reefer EMCU528844 45-foot-high cube"/>
    <m/>
    <m/>
    <n v="1"/>
    <m/>
    <n v="0"/>
    <m/>
    <m/>
    <s v="CONTAINERS"/>
    <s v="TBA"/>
    <m/>
    <m/>
    <m/>
    <d v="2022-12-31T00:00:00"/>
    <d v="2022-12-31T00:00:00"/>
    <s v="2111-22-0049-1"/>
    <n v="1200"/>
    <n v="14050"/>
    <n v="23770.959999999999"/>
    <n v="14056"/>
    <n v="3466.63"/>
    <n v="20304.329999999998"/>
    <n v="1485.72"/>
    <n v="54260"/>
    <n v="165.08"/>
    <s v="P"/>
    <m/>
    <m/>
    <s v=" "/>
    <s v="STL"/>
    <s v="YES"/>
    <s v="TBD"/>
    <m/>
    <x v="5"/>
    <n v="12"/>
    <n v="2022"/>
    <n v="2034"/>
    <n v="2035"/>
    <n v="165.07611111111109"/>
    <n v="1980.913333333333"/>
    <n v="1980.913333333333"/>
    <n v="2641.2177777776305"/>
    <n v="4622.1311111109635"/>
    <n v="19148.828888889035"/>
    <s v="No"/>
  </r>
  <r>
    <n v="2111"/>
    <n v="297391"/>
    <n v="173323"/>
    <s v="Capitalized"/>
    <s v="Transmission Repair"/>
    <m/>
    <m/>
    <n v="1"/>
    <m/>
    <n v="0"/>
    <m/>
    <m/>
    <s v="TRUCKS AND TRAILERS"/>
    <s v="TBA"/>
    <s v="Non-Rolling Stock"/>
    <m/>
    <m/>
    <d v="2022-09-07T00:00:00"/>
    <d v="2022-09-07T00:00:00"/>
    <s v="2111-22-0048-1"/>
    <n v="300"/>
    <n v="14040"/>
    <n v="14508.42"/>
    <n v="14046"/>
    <n v="10075.280000000001"/>
    <n v="4433.1399999999994"/>
    <n v="3627.09"/>
    <n v="51260"/>
    <n v="403.01"/>
    <s v="P"/>
    <m/>
    <m/>
    <s v=" "/>
    <s v="STL"/>
    <s v="YES"/>
    <s v="TBD"/>
    <m/>
    <x v="0"/>
    <n v="9"/>
    <n v="2022"/>
    <n v="2025"/>
    <n v="2025.75"/>
    <n v="403.01166666666671"/>
    <n v="4836.1400000000003"/>
    <n v="4836.1400000000003"/>
    <n v="7657.2216666662998"/>
    <n v="12493.3616666663"/>
    <n v="2015.0583333336999"/>
    <s v="No"/>
  </r>
  <r>
    <n v="2111"/>
    <n v="296257"/>
    <s v="P"/>
    <s v="Capitalized"/>
    <s v="2023 Peterbilt ASL Truck"/>
    <m/>
    <m/>
    <n v="1"/>
    <s v="3BPDLK0X2PF114126"/>
    <n v="2023"/>
    <m/>
    <m/>
    <s v="TRUCKS AND TRAILERS"/>
    <s v="TBA"/>
    <s v="Automated Side Loader"/>
    <m/>
    <m/>
    <d v="2022-12-16T00:00:00"/>
    <d v="2022-12-16T00:00:00"/>
    <s v="2111-22-0006-1"/>
    <n v="1000"/>
    <n v="14040"/>
    <n v="404952.83"/>
    <n v="14046"/>
    <n v="70866.77"/>
    <n v="334086.06"/>
    <n v="30371.49"/>
    <n v="51260"/>
    <n v="3374.61"/>
    <s v="P"/>
    <m/>
    <m/>
    <s v=" "/>
    <s v="STL"/>
    <s v="YES"/>
    <s v="TBD"/>
    <m/>
    <x v="0"/>
    <n v="12"/>
    <n v="2022"/>
    <n v="2032"/>
    <n v="2033"/>
    <n v="3374.6069166666671"/>
    <n v="40495.283000000003"/>
    <n v="40495.283000000003"/>
    <n v="53993.710666663595"/>
    <n v="94488.993666663591"/>
    <n v="310463.83633333643"/>
    <s v="No"/>
  </r>
  <r>
    <n v="2111"/>
    <n v="295716"/>
    <n v="291161"/>
    <s v="Capitalized"/>
    <s v="Fuel Island - Remove Concrete, Apply Asphalt Raised Edge"/>
    <m/>
    <m/>
    <n v="1"/>
    <m/>
    <n v="0"/>
    <s v="ASPHALT PATCH SYSTEMS INC"/>
    <m/>
    <s v="LAND IMPROVEMENTS"/>
    <s v="TBA"/>
    <m/>
    <m/>
    <m/>
    <d v="2022-08-30T00:00:00"/>
    <d v="2022-08-30T00:00:00"/>
    <s v="2111-22-0024-1"/>
    <n v="1000"/>
    <n v="14010"/>
    <n v="10120"/>
    <n v="14016"/>
    <n v="2108.3000000000002"/>
    <n v="8011.7"/>
    <n v="758.97"/>
    <n v="57260"/>
    <n v="84.33"/>
    <s v="P"/>
    <m/>
    <m/>
    <s v=" "/>
    <s v="STL"/>
    <s v="YES"/>
    <s v="TBD"/>
    <m/>
    <x v="17"/>
    <n v="8"/>
    <n v="2022"/>
    <n v="2032"/>
    <n v="2032.6666666666667"/>
    <n v="84.333333333333329"/>
    <n v="1012"/>
    <n v="1012"/>
    <n v="1686.6666666665133"/>
    <n v="2698.6666666665133"/>
    <n v="7421.3333333334867"/>
    <s v="No"/>
  </r>
  <r>
    <n v="2111"/>
    <n v="294987"/>
    <n v="291161"/>
    <s v="Capitalized"/>
    <s v="Fuel Island - Engineering Services for Stormwater Pond and Equipment Parking Imp"/>
    <m/>
    <m/>
    <n v="1"/>
    <m/>
    <n v="0"/>
    <s v="MIGIZI GROUP INC"/>
    <m/>
    <s v="LAND IMPROVEMENTS"/>
    <s v="TBA"/>
    <m/>
    <m/>
    <m/>
    <d v="2022-08-30T00:00:00"/>
    <d v="2022-08-30T00:00:00"/>
    <s v="2111-22-0024-1"/>
    <n v="1000"/>
    <n v="14010"/>
    <n v="345"/>
    <n v="14016"/>
    <n v="71.92"/>
    <n v="273.08"/>
    <n v="25.92"/>
    <n v="57260"/>
    <n v="2.88"/>
    <s v="P"/>
    <m/>
    <m/>
    <s v=" "/>
    <s v="STL"/>
    <s v="YES"/>
    <s v="TBD"/>
    <m/>
    <x v="17"/>
    <n v="8"/>
    <n v="2022"/>
    <n v="2032"/>
    <n v="2032.6666666666667"/>
    <n v="2.875"/>
    <n v="34.5"/>
    <n v="34.5"/>
    <n v="57.49999999999477"/>
    <n v="91.99999999999477"/>
    <n v="253.00000000000523"/>
    <s v="No"/>
  </r>
  <r>
    <n v="2111"/>
    <n v="294986"/>
    <n v="291161"/>
    <s v="Capitalized"/>
    <s v="Fuel Island - Engineer Improvements for Stormwater Pond &amp; Equipment Parking"/>
    <m/>
    <m/>
    <n v="1"/>
    <m/>
    <n v="0"/>
    <s v="MIGIZI GROUP INC"/>
    <m/>
    <s v="LAND IMPROVEMENTS"/>
    <s v="TBA"/>
    <m/>
    <m/>
    <m/>
    <d v="2022-08-30T00:00:00"/>
    <d v="2022-08-30T00:00:00"/>
    <s v="2111-22-0024-1"/>
    <n v="1000"/>
    <n v="14010"/>
    <n v="1381.3"/>
    <n v="14016"/>
    <n v="287.76"/>
    <n v="1093.54"/>
    <n v="103.59"/>
    <n v="57260"/>
    <n v="11.51"/>
    <s v="P"/>
    <m/>
    <m/>
    <s v=" "/>
    <s v="STL"/>
    <s v="YES"/>
    <s v="TBD"/>
    <m/>
    <x v="17"/>
    <n v="8"/>
    <n v="2022"/>
    <n v="2032"/>
    <n v="2032.6666666666667"/>
    <n v="11.510833333333332"/>
    <n v="138.13"/>
    <n v="138.13"/>
    <n v="230.21666666664578"/>
    <n v="368.34666666664577"/>
    <n v="1012.9533333333542"/>
    <s v="No"/>
  </r>
  <r>
    <n v="2111"/>
    <n v="294985"/>
    <n v="291161"/>
    <s v="Capitalized"/>
    <s v="Fuel Island - Building Permit Submittal"/>
    <m/>
    <m/>
    <n v="1"/>
    <m/>
    <n v="0"/>
    <s v="SITTS &amp; HILL ENGINEERS IN"/>
    <m/>
    <s v="LAND IMPROVEMENTS"/>
    <s v="TBA"/>
    <m/>
    <m/>
    <m/>
    <d v="2022-08-30T00:00:00"/>
    <d v="2022-08-30T00:00:00"/>
    <s v="2111-22-0024-1"/>
    <n v="1000"/>
    <n v="14010"/>
    <n v="8422.75"/>
    <n v="14016"/>
    <n v="1754.75"/>
    <n v="6668"/>
    <n v="631.71"/>
    <n v="57260"/>
    <n v="70.19"/>
    <s v="P"/>
    <m/>
    <m/>
    <s v=" "/>
    <s v="STL"/>
    <s v="YES"/>
    <s v="TBD"/>
    <m/>
    <x v="17"/>
    <n v="8"/>
    <n v="2022"/>
    <n v="2032"/>
    <n v="2032.6666666666667"/>
    <n v="70.189583333333331"/>
    <n v="842.27499999999998"/>
    <n v="842.27499999999998"/>
    <n v="1403.7916666665387"/>
    <n v="2246.0666666665388"/>
    <n v="6176.6833333334616"/>
    <s v="No"/>
  </r>
  <r>
    <n v="2111"/>
    <n v="294979"/>
    <s v="P"/>
    <s v="Capitalized"/>
    <s v="3rd Eye Installs"/>
    <m/>
    <m/>
    <n v="1"/>
    <m/>
    <n v="0"/>
    <s v="VELOCITI INC"/>
    <m/>
    <s v="SHOP EQUIPMENT"/>
    <s v="TBA"/>
    <m/>
    <m/>
    <m/>
    <d v="2022-10-31T00:00:00"/>
    <d v="2022-10-31T00:00:00"/>
    <s v="1010-22-0041-1"/>
    <n v="500"/>
    <n v="14070"/>
    <n v="1804"/>
    <n v="14076"/>
    <n v="691.56"/>
    <n v="1112.44"/>
    <n v="270.63"/>
    <n v="51260"/>
    <n v="30.07"/>
    <s v="P"/>
    <m/>
    <m/>
    <s v=" "/>
    <s v="STL"/>
    <s v="YES"/>
    <s v="TBD"/>
    <m/>
    <x v="1"/>
    <n v="10"/>
    <n v="2022"/>
    <n v="2027"/>
    <n v="2027.8333333333333"/>
    <n v="30.066666666666666"/>
    <n v="360.8"/>
    <n v="360.8"/>
    <n v="541.20000000000005"/>
    <n v="902"/>
    <n v="902"/>
    <s v="No"/>
  </r>
  <r>
    <n v="2111"/>
    <n v="294816"/>
    <s v="P"/>
    <s v="Capitalized"/>
    <s v="WasteWORKs Automated Scale"/>
    <m/>
    <m/>
    <n v="1"/>
    <m/>
    <n v="0"/>
    <s v="CAROLINA SOFTWARE"/>
    <m/>
    <s v="HARDWARE AND SOFTWARE"/>
    <s v="TBA"/>
    <m/>
    <m/>
    <m/>
    <d v="2022-12-01T00:00:00"/>
    <d v="2022-12-01T00:00:00"/>
    <s v="2111-22-0023-1"/>
    <n v="300"/>
    <n v="14110"/>
    <n v="29604.04"/>
    <n v="14116"/>
    <n v="18091.32"/>
    <n v="11512.720000000001"/>
    <n v="7400.97"/>
    <n v="70260"/>
    <n v="822.33"/>
    <s v="P"/>
    <m/>
    <m/>
    <s v=" "/>
    <s v="STL"/>
    <s v="YES"/>
    <s v="TBD"/>
    <m/>
    <x v="13"/>
    <n v="12"/>
    <n v="2022"/>
    <n v="2025"/>
    <n v="2026"/>
    <n v="822.33444444444456"/>
    <n v="9868.0133333333342"/>
    <n v="9868.0133333333342"/>
    <n v="13157.351111110362"/>
    <n v="23025.364444443694"/>
    <n v="6578.6755555563068"/>
    <s v="No"/>
  </r>
  <r>
    <n v="2111"/>
    <n v="294815"/>
    <n v="289376"/>
    <s v="Capitalized"/>
    <s v="Navastar engine diagnostics for laptop"/>
    <m/>
    <m/>
    <n v="1"/>
    <m/>
    <n v="0"/>
    <s v="NOREGON SYSTEMS INC"/>
    <m/>
    <s v="HARDWARE AND SOFTWARE"/>
    <s v="TBA"/>
    <m/>
    <m/>
    <m/>
    <d v="2022-07-08T00:00:00"/>
    <d v="2022-07-08T00:00:00"/>
    <s v="2111-22-0040-1"/>
    <n v="300"/>
    <n v="14110"/>
    <n v="1482.8"/>
    <n v="14116"/>
    <n v="1112.1099999999999"/>
    <n v="370.69000000000005"/>
    <n v="370.71"/>
    <n v="70260"/>
    <n v="41.19"/>
    <s v="P"/>
    <m/>
    <m/>
    <s v=" "/>
    <s v="STL"/>
    <s v="YES"/>
    <s v="TBD"/>
    <s v="Shop"/>
    <x v="1"/>
    <n v="7"/>
    <n v="2022"/>
    <n v="2025"/>
    <n v="2025.5833333333333"/>
    <n v="41.18888888888889"/>
    <n v="494.26666666666665"/>
    <n v="494.26666666666665"/>
    <n v="864.96666666666658"/>
    <n v="1359.2333333333331"/>
    <n v="123.56666666666683"/>
    <s v="No"/>
  </r>
  <r>
    <n v="2111"/>
    <n v="294773"/>
    <s v="P"/>
    <s v="Capitalized"/>
    <s v="2YD REL Containers w/Cage w/Lids"/>
    <m/>
    <m/>
    <n v="15"/>
    <m/>
    <n v="0"/>
    <s v="CAPITAL INDUSTRIES INC"/>
    <m/>
    <s v="CONTAINERS"/>
    <s v="TBA"/>
    <m/>
    <s v="2 YD"/>
    <s v="FEL/REL/SL Metal"/>
    <d v="2022-11-14T00:00:00"/>
    <d v="2022-11-14T00:00:00"/>
    <s v="2111-22-0045-2"/>
    <n v="1200"/>
    <n v="14050"/>
    <n v="15345"/>
    <n v="14056"/>
    <n v="2450.92"/>
    <n v="12894.08"/>
    <n v="959.04"/>
    <n v="54260"/>
    <n v="106.56"/>
    <s v="P"/>
    <m/>
    <m/>
    <s v=" "/>
    <s v="STL"/>
    <s v="YES"/>
    <s v="TBD"/>
    <m/>
    <x v="5"/>
    <n v="11"/>
    <n v="2022"/>
    <n v="2034"/>
    <n v="2034.9166666666667"/>
    <n v="106.5625"/>
    <n v="1278.75"/>
    <n v="1278.75"/>
    <n v="1811.5624999998054"/>
    <n v="3090.3124999998054"/>
    <n v="12254.687500000195"/>
    <s v="No"/>
  </r>
  <r>
    <n v="2111"/>
    <n v="294699"/>
    <n v="291161"/>
    <s v="Capitalized"/>
    <s v="Fuel Island - PI Decal No Smoking Stop Engine"/>
    <m/>
    <m/>
    <n v="1"/>
    <m/>
    <n v="0"/>
    <s v="NORTHWEST PUMP &amp; EQUIPMEN"/>
    <m/>
    <s v="LAND IMPROVEMENTS"/>
    <s v="TBA"/>
    <m/>
    <m/>
    <m/>
    <d v="2022-08-30T00:00:00"/>
    <d v="2022-08-30T00:00:00"/>
    <s v="2111-22-0024-1"/>
    <n v="1000"/>
    <n v="14010"/>
    <n v="31.02"/>
    <n v="14016"/>
    <n v="6.47"/>
    <n v="24.55"/>
    <n v="2.34"/>
    <n v="57260"/>
    <n v="0.26"/>
    <s v="P"/>
    <m/>
    <m/>
    <s v=" "/>
    <s v="STL"/>
    <s v="YES"/>
    <s v="TBD"/>
    <m/>
    <x v="17"/>
    <n v="8"/>
    <n v="2022"/>
    <n v="2032"/>
    <n v="2032.6666666666667"/>
    <n v="0.25850000000000001"/>
    <n v="3.1020000000000003"/>
    <n v="3.1020000000000003"/>
    <n v="5.1699999999995292"/>
    <n v="8.2719999999995295"/>
    <n v="22.74800000000047"/>
    <s v="No"/>
  </r>
  <r>
    <n v="2111"/>
    <n v="294698"/>
    <n v="291161"/>
    <s v="Capitalized"/>
    <s v="Fuel Island - PI Decal Diesel"/>
    <m/>
    <m/>
    <n v="1"/>
    <m/>
    <n v="0"/>
    <s v="NORTHWEST PUMP &amp; EQUIPMEN"/>
    <m/>
    <s v="LAND IMPROVEMENTS"/>
    <s v="TBA"/>
    <m/>
    <m/>
    <m/>
    <d v="2022-08-30T00:00:00"/>
    <d v="2022-08-30T00:00:00"/>
    <s v="2111-22-0024-1"/>
    <n v="1000"/>
    <n v="14010"/>
    <n v="41.14"/>
    <n v="14016"/>
    <n v="8.5399999999999991"/>
    <n v="32.6"/>
    <n v="3.06"/>
    <n v="57260"/>
    <n v="0.34"/>
    <s v="P"/>
    <m/>
    <m/>
    <s v=" "/>
    <s v="STL"/>
    <s v="YES"/>
    <s v="TBD"/>
    <m/>
    <x v="17"/>
    <n v="8"/>
    <n v="2022"/>
    <n v="2032"/>
    <n v="2032.6666666666667"/>
    <n v="0.34283333333333332"/>
    <n v="4.1139999999999999"/>
    <n v="4.1139999999999999"/>
    <n v="6.8566666666660439"/>
    <n v="10.970666666666045"/>
    <n v="30.169333333333956"/>
    <s v="No"/>
  </r>
  <r>
    <n v="2111"/>
    <n v="294697"/>
    <n v="291161"/>
    <s v="Capitalized"/>
    <s v="Fuel Island - Site Start Up"/>
    <m/>
    <m/>
    <n v="1"/>
    <m/>
    <n v="0"/>
    <s v="NORTHWEST PUMP &amp; EQUIPMEN"/>
    <m/>
    <s v="LAND IMPROVEMENTS"/>
    <s v="TBA"/>
    <m/>
    <m/>
    <m/>
    <d v="2022-08-30T00:00:00"/>
    <d v="2022-08-30T00:00:00"/>
    <s v="2111-22-0024-1"/>
    <n v="1000"/>
    <n v="14010"/>
    <n v="8250"/>
    <n v="14016"/>
    <n v="1718.75"/>
    <n v="6531.25"/>
    <n v="618.75"/>
    <n v="57260"/>
    <n v="68.75"/>
    <s v="P"/>
    <m/>
    <m/>
    <s v=" "/>
    <s v="STL"/>
    <s v="YES"/>
    <s v="TBD"/>
    <m/>
    <x v="17"/>
    <n v="8"/>
    <n v="2022"/>
    <n v="2032"/>
    <n v="2032.6666666666667"/>
    <n v="68.75"/>
    <n v="825"/>
    <n v="825"/>
    <n v="1374.9999999998745"/>
    <n v="2199.9999999998745"/>
    <n v="6050.0000000001255"/>
    <s v="No"/>
  </r>
  <r>
    <n v="2111"/>
    <n v="294696"/>
    <n v="291161"/>
    <s v="Capitalized"/>
    <s v="Fuel Island - Returned Reference invoice 3270762-01"/>
    <m/>
    <m/>
    <n v="1"/>
    <m/>
    <n v="0"/>
    <s v="NORTHWEST PUMP &amp; EQUIPMEN"/>
    <m/>
    <s v="LAND IMPROVEMENTS"/>
    <s v="TBA"/>
    <m/>
    <m/>
    <m/>
    <d v="2022-08-30T00:00:00"/>
    <d v="2022-08-30T00:00:00"/>
    <s v="2111-22-0024-1"/>
    <n v="1000"/>
    <n v="14010"/>
    <n v="-357.51"/>
    <n v="14016"/>
    <n v="-74.489999999999995"/>
    <n v="-283.02"/>
    <n v="-26.82"/>
    <n v="57260"/>
    <n v="-2.98"/>
    <s v="P"/>
    <m/>
    <m/>
    <s v=" "/>
    <s v="STL"/>
    <s v="YES"/>
    <s v="TBD"/>
    <m/>
    <x v="17"/>
    <n v="8"/>
    <n v="2022"/>
    <n v="2032"/>
    <n v="2032.6666666666667"/>
    <n v="-2.97925"/>
    <n v="-35.750999999999998"/>
    <n v="-35.750999999999998"/>
    <n v="-59.584999999994579"/>
    <n v="-95.335999999994584"/>
    <n v="-262.17400000000544"/>
    <s v="No"/>
  </r>
  <r>
    <n v="2111"/>
    <n v="294695"/>
    <n v="291161"/>
    <s v="Capitalized"/>
    <s v="Fuel Island - Returned Reference Invoice 3267866-00"/>
    <m/>
    <m/>
    <n v="1"/>
    <m/>
    <n v="0"/>
    <s v="NORTHWEST PUMP &amp; EQUIPMEN"/>
    <m/>
    <s v="LAND IMPROVEMENTS"/>
    <s v="TBA"/>
    <m/>
    <m/>
    <m/>
    <d v="2022-08-30T00:00:00"/>
    <d v="2022-08-30T00:00:00"/>
    <s v="2111-22-0024-1"/>
    <n v="1000"/>
    <n v="14010"/>
    <n v="-2800.8"/>
    <n v="14016"/>
    <n v="-583.5"/>
    <n v="-2217.3000000000002"/>
    <n v="-210.06"/>
    <n v="57260"/>
    <n v="-23.34"/>
    <s v="P"/>
    <m/>
    <m/>
    <s v=" "/>
    <s v="STL"/>
    <s v="YES"/>
    <s v="TBD"/>
    <m/>
    <x v="17"/>
    <n v="8"/>
    <n v="2022"/>
    <n v="2032"/>
    <n v="2032.6666666666667"/>
    <n v="-23.340000000000003"/>
    <n v="-280.08000000000004"/>
    <n v="-280.08000000000004"/>
    <n v="-466.79999999995744"/>
    <n v="-746.87999999995748"/>
    <n v="-2053.9200000000428"/>
    <s v="No"/>
  </r>
  <r>
    <n v="2111"/>
    <n v="294157"/>
    <s v="P"/>
    <s v="Capitalized"/>
    <s v="6YD FEL Containers"/>
    <m/>
    <m/>
    <n v="1"/>
    <m/>
    <n v="0"/>
    <s v="CAPITAL INDUSTRIES INC"/>
    <m/>
    <s v="CONTAINERS"/>
    <s v="TBA"/>
    <m/>
    <s v="6 YD"/>
    <s v="FEL/REL/SL Metal"/>
    <d v="2022-10-18T00:00:00"/>
    <d v="2022-10-18T00:00:00"/>
    <s v="2111-22-0045-2"/>
    <n v="1200"/>
    <n v="14050"/>
    <n v="2007.5"/>
    <n v="14056"/>
    <n v="320.63"/>
    <n v="1686.87"/>
    <n v="125.46"/>
    <n v="54260"/>
    <n v="13.94"/>
    <s v="P"/>
    <m/>
    <m/>
    <s v=" "/>
    <s v="STL"/>
    <s v="YES"/>
    <s v="TBD"/>
    <m/>
    <x v="5"/>
    <n v="10"/>
    <n v="2022"/>
    <n v="2034"/>
    <n v="2034.8333333333333"/>
    <n v="13.940972222222221"/>
    <n v="167.29166666666666"/>
    <n v="167.29166666666666"/>
    <n v="250.9375"/>
    <n v="418.22916666666663"/>
    <n v="1589.2708333333335"/>
    <s v="No"/>
  </r>
  <r>
    <n v="2111"/>
    <n v="294156"/>
    <s v="P"/>
    <s v="Capitalized"/>
    <s v="6YD FEL Containers"/>
    <m/>
    <m/>
    <n v="7"/>
    <m/>
    <n v="0"/>
    <s v="CAPITAL INDUSTRIES INC"/>
    <m/>
    <s v="CONTAINERS"/>
    <s v="TBA"/>
    <m/>
    <s v="6 YD"/>
    <s v="FEL/REL/SL Metal"/>
    <d v="2022-10-18T00:00:00"/>
    <d v="2022-10-18T00:00:00"/>
    <s v="2111-22-0045-2"/>
    <n v="1200"/>
    <n v="14050"/>
    <n v="14052.5"/>
    <n v="14056"/>
    <n v="2244.52"/>
    <n v="11807.98"/>
    <n v="878.31"/>
    <n v="54260"/>
    <n v="97.59"/>
    <s v="P"/>
    <m/>
    <m/>
    <s v=" "/>
    <s v="STL"/>
    <s v="YES"/>
    <s v="TBD"/>
    <m/>
    <x v="5"/>
    <n v="10"/>
    <n v="2022"/>
    <n v="2034"/>
    <n v="2034.8333333333333"/>
    <n v="97.586805555555557"/>
    <n v="1171.0416666666667"/>
    <n v="1171.0416666666667"/>
    <n v="1756.5625"/>
    <n v="2927.604166666667"/>
    <n v="11124.895833333332"/>
    <s v="No"/>
  </r>
  <r>
    <n v="2111"/>
    <n v="294155"/>
    <s v="P"/>
    <s v="Capitalized"/>
    <s v="6YD FEL Containers"/>
    <m/>
    <m/>
    <n v="8"/>
    <m/>
    <n v="0"/>
    <s v="CAPITAL INDUSTRIES INC"/>
    <m/>
    <s v="CONTAINERS"/>
    <s v="TBA"/>
    <m/>
    <s v="6 YD"/>
    <s v="FEL/REL/SL Metal"/>
    <d v="2022-10-18T00:00:00"/>
    <d v="2022-10-18T00:00:00"/>
    <s v="2111-22-0045-2"/>
    <n v="1200"/>
    <n v="14050"/>
    <n v="16060"/>
    <n v="14056"/>
    <n v="2565.16"/>
    <n v="13494.84"/>
    <n v="1003.77"/>
    <n v="54260"/>
    <n v="111.53"/>
    <s v="P"/>
    <m/>
    <m/>
    <s v=" "/>
    <s v="STL"/>
    <s v="YES"/>
    <s v="TBD"/>
    <m/>
    <x v="5"/>
    <n v="10"/>
    <n v="2022"/>
    <n v="2034"/>
    <n v="2034.8333333333333"/>
    <n v="111.52777777777777"/>
    <n v="1338.3333333333333"/>
    <n v="1338.3333333333333"/>
    <n v="2007.5"/>
    <n v="3345.833333333333"/>
    <n v="12714.166666666668"/>
    <s v="No"/>
  </r>
  <r>
    <n v="2111"/>
    <n v="294154"/>
    <s v="P"/>
    <s v="Capitalized"/>
    <s v="6YD FEL Containers"/>
    <m/>
    <m/>
    <n v="1"/>
    <m/>
    <n v="0"/>
    <s v="CAPITAL INDUSTRIES INC"/>
    <m/>
    <s v="CONTAINERS"/>
    <s v="TBA"/>
    <m/>
    <s v="6 YD"/>
    <s v="FEL/REL/SL Metal"/>
    <d v="2022-10-18T00:00:00"/>
    <d v="2022-10-18T00:00:00"/>
    <s v="2111-22-0045-2"/>
    <n v="1200"/>
    <n v="14050"/>
    <n v="715"/>
    <n v="14056"/>
    <n v="114.24"/>
    <n v="600.76"/>
    <n v="44.73"/>
    <n v="54260"/>
    <n v="4.97"/>
    <s v="P"/>
    <m/>
    <m/>
    <s v=" "/>
    <s v="STL"/>
    <s v="YES"/>
    <s v="TBD"/>
    <m/>
    <x v="5"/>
    <n v="10"/>
    <n v="2022"/>
    <n v="2034"/>
    <n v="2034.8333333333333"/>
    <n v="4.9652777777777777"/>
    <n v="59.583333333333329"/>
    <n v="59.583333333333329"/>
    <n v="89.375"/>
    <n v="148.95833333333331"/>
    <n v="566.04166666666674"/>
    <s v="No"/>
  </r>
  <r>
    <n v="2111"/>
    <n v="294153"/>
    <s v="P"/>
    <s v="Capitalized"/>
    <s v="6YD FEL Containers"/>
    <m/>
    <m/>
    <n v="3"/>
    <m/>
    <n v="0"/>
    <s v="CAPITAL INDUSTRIES INC"/>
    <m/>
    <s v="CONTAINERS"/>
    <s v="TBA"/>
    <m/>
    <s v="6 YD"/>
    <s v="FEL/REL/SL Metal"/>
    <d v="2022-10-18T00:00:00"/>
    <d v="2022-10-18T00:00:00"/>
    <s v="2111-22-0045-1"/>
    <n v="1200"/>
    <n v="14050"/>
    <n v="7315"/>
    <n v="14056"/>
    <n v="1168.3800000000001"/>
    <n v="6146.62"/>
    <n v="457.2"/>
    <n v="54260"/>
    <n v="50.8"/>
    <s v="P"/>
    <m/>
    <m/>
    <s v=" "/>
    <s v="STL"/>
    <s v="YES"/>
    <s v="TBD"/>
    <m/>
    <x v="5"/>
    <n v="10"/>
    <n v="2022"/>
    <n v="2034"/>
    <n v="2034.8333333333333"/>
    <n v="50.798611111111114"/>
    <n v="609.58333333333337"/>
    <n v="609.58333333333337"/>
    <n v="914.375"/>
    <n v="1523.9583333333335"/>
    <n v="5791.0416666666661"/>
    <s v="No"/>
  </r>
  <r>
    <n v="2111"/>
    <n v="294152"/>
    <s v="P"/>
    <s v="Capitalized"/>
    <s v="6YD FEL Containers"/>
    <m/>
    <m/>
    <n v="4"/>
    <m/>
    <n v="0"/>
    <s v="CAPITAL INDUSTRIES INC"/>
    <m/>
    <s v="CONTAINERS"/>
    <s v="TBA"/>
    <m/>
    <s v="6 YD"/>
    <s v="FEL/REL/SL Metal"/>
    <d v="2022-10-31T00:00:00"/>
    <d v="2022-10-31T00:00:00"/>
    <s v="2111-22-0045-1"/>
    <n v="1200"/>
    <n v="14050"/>
    <n v="8030"/>
    <n v="14056"/>
    <n v="1282.54"/>
    <n v="6747.46"/>
    <n v="501.84"/>
    <n v="54260"/>
    <n v="55.76"/>
    <s v="P"/>
    <m/>
    <m/>
    <s v=" "/>
    <s v="STL"/>
    <s v="YES"/>
    <s v="TBD"/>
    <m/>
    <x v="5"/>
    <n v="10"/>
    <n v="2022"/>
    <n v="2034"/>
    <n v="2034.8333333333333"/>
    <n v="55.763888888888886"/>
    <n v="669.16666666666663"/>
    <n v="669.16666666666663"/>
    <n v="1003.75"/>
    <n v="1672.9166666666665"/>
    <n v="6357.0833333333339"/>
    <s v="No"/>
  </r>
  <r>
    <n v="2111"/>
    <n v="294149"/>
    <s v="P"/>
    <s v="Capitalized"/>
    <s v="4yd FL Container"/>
    <m/>
    <m/>
    <n v="8"/>
    <m/>
    <n v="0"/>
    <s v="CAPITAL INDUSTRIES INC"/>
    <m/>
    <s v="CONTAINERS"/>
    <s v="TBA"/>
    <m/>
    <s v="4 YD"/>
    <s v="FEL/REL/SL Metal"/>
    <d v="2022-11-14T00:00:00"/>
    <d v="2022-11-14T00:00:00"/>
    <s v="2111-22-0045-2"/>
    <n v="1200"/>
    <n v="14050"/>
    <n v="11088"/>
    <n v="14056"/>
    <n v="1771"/>
    <n v="9317"/>
    <n v="693"/>
    <n v="54260"/>
    <n v="77"/>
    <s v="P"/>
    <m/>
    <m/>
    <s v=" "/>
    <s v="STL"/>
    <s v="YES"/>
    <s v="TBD"/>
    <m/>
    <x v="5"/>
    <n v="11"/>
    <n v="2022"/>
    <n v="2034"/>
    <n v="2034.9166666666667"/>
    <n v="77"/>
    <n v="924"/>
    <n v="924"/>
    <n v="1308.9999999998599"/>
    <n v="2232.9999999998599"/>
    <n v="8855.0000000001401"/>
    <s v="No"/>
  </r>
  <r>
    <n v="2111"/>
    <n v="294142"/>
    <s v="P"/>
    <s v="Capitalized"/>
    <s v="2YD REL Containers"/>
    <m/>
    <m/>
    <n v="12"/>
    <m/>
    <n v="0"/>
    <s v="CAPITAL INDUSTRIES INC"/>
    <m/>
    <s v="CONTAINERS"/>
    <s v="TBA"/>
    <m/>
    <s v="2 YD"/>
    <s v="FEL/REL/SL Metal"/>
    <d v="2022-10-31T00:00:00"/>
    <d v="2022-10-31T00:00:00"/>
    <s v="2111-22-0045-1"/>
    <n v="1200"/>
    <n v="14050"/>
    <n v="11616"/>
    <n v="14056"/>
    <n v="1855.36"/>
    <n v="9760.64"/>
    <n v="726.03"/>
    <n v="54260"/>
    <n v="80.67"/>
    <s v="P"/>
    <m/>
    <m/>
    <s v=" "/>
    <s v="STL"/>
    <s v="YES"/>
    <s v="TBD"/>
    <m/>
    <x v="5"/>
    <n v="10"/>
    <n v="2022"/>
    <n v="2034"/>
    <n v="2034.8333333333333"/>
    <n v="80.666666666666671"/>
    <n v="968"/>
    <n v="968"/>
    <n v="1452"/>
    <n v="2420"/>
    <n v="9196"/>
    <s v="No"/>
  </r>
  <r>
    <n v="2111"/>
    <n v="294141"/>
    <s v="P"/>
    <s v="Capitalized"/>
    <s v="2YD REL Containers"/>
    <m/>
    <m/>
    <n v="12"/>
    <m/>
    <n v="0"/>
    <s v="CAPITAL INDUSTRIES INC"/>
    <m/>
    <s v="CONTAINERS"/>
    <s v="TBA"/>
    <m/>
    <s v="2 YD"/>
    <s v="FEL/REL/SL Metal"/>
    <d v="2022-10-31T00:00:00"/>
    <d v="2022-10-31T00:00:00"/>
    <s v="2111-22-0045-1"/>
    <n v="1200"/>
    <n v="14050"/>
    <n v="11616"/>
    <n v="14056"/>
    <n v="1855.36"/>
    <n v="9760.64"/>
    <n v="726.03"/>
    <n v="54260"/>
    <n v="80.67"/>
    <s v="P"/>
    <m/>
    <m/>
    <s v=" "/>
    <s v="STL"/>
    <s v="YES"/>
    <s v="TBD"/>
    <m/>
    <x v="5"/>
    <n v="10"/>
    <n v="2022"/>
    <n v="2034"/>
    <n v="2034.8333333333333"/>
    <n v="80.666666666666671"/>
    <n v="968"/>
    <n v="968"/>
    <n v="1452"/>
    <n v="2420"/>
    <n v="9196"/>
    <s v="No"/>
  </r>
  <r>
    <n v="2111"/>
    <n v="294138"/>
    <s v="P"/>
    <s v="Capitalized"/>
    <s v="2YD FEL Containers"/>
    <m/>
    <m/>
    <n v="5"/>
    <m/>
    <n v="0"/>
    <s v="CAPITAL INDUSTRIES INC"/>
    <m/>
    <s v="CONTAINERS"/>
    <s v="TBA"/>
    <m/>
    <s v="2 YD"/>
    <s v="FEL/REL/SL Metal"/>
    <d v="2022-11-14T00:00:00"/>
    <d v="2022-11-14T00:00:00"/>
    <s v="2111-22-0045-2"/>
    <n v="1200"/>
    <n v="14050"/>
    <n v="5445"/>
    <n v="14056"/>
    <n v="869.66"/>
    <n v="4575.34"/>
    <n v="340.29"/>
    <n v="54260"/>
    <n v="37.81"/>
    <s v="P"/>
    <m/>
    <m/>
    <s v=" "/>
    <s v="STL"/>
    <s v="YES"/>
    <s v="TBD"/>
    <m/>
    <x v="5"/>
    <n v="11"/>
    <n v="2022"/>
    <n v="2034"/>
    <n v="2034.9166666666667"/>
    <n v="37.8125"/>
    <n v="453.75"/>
    <n v="453.75"/>
    <n v="642.81249999993088"/>
    <n v="1096.5624999999309"/>
    <n v="4348.4375000000691"/>
    <s v="No"/>
  </r>
  <r>
    <n v="2111"/>
    <n v="294137"/>
    <s v="P"/>
    <s v="Capitalized"/>
    <s v="1YD REL Containers"/>
    <m/>
    <m/>
    <n v="1"/>
    <m/>
    <n v="0"/>
    <s v="CAPITAL INDUSTRIES INC"/>
    <m/>
    <s v="CONTAINERS"/>
    <s v="TBA"/>
    <m/>
    <s v="1 YD"/>
    <s v="FEL/REL/SL Metal"/>
    <d v="2022-10-31T00:00:00"/>
    <d v="2022-10-31T00:00:00"/>
    <s v="2111-22-0045-1"/>
    <n v="1200"/>
    <n v="14050"/>
    <n v="935"/>
    <n v="14056"/>
    <n v="149.32"/>
    <n v="785.68000000000006"/>
    <n v="58.41"/>
    <n v="54260"/>
    <n v="6.49"/>
    <s v="P"/>
    <m/>
    <m/>
    <s v=" "/>
    <s v="STL"/>
    <s v="YES"/>
    <s v="TBD"/>
    <m/>
    <x v="5"/>
    <n v="10"/>
    <n v="2022"/>
    <n v="2034"/>
    <n v="2034.8333333333333"/>
    <n v="6.4930555555555562"/>
    <n v="77.916666666666671"/>
    <n v="77.916666666666671"/>
    <n v="116.87499999999989"/>
    <n v="194.79166666666657"/>
    <n v="740.20833333333348"/>
    <s v="No"/>
  </r>
  <r>
    <n v="2111"/>
    <n v="294136"/>
    <s v="P"/>
    <s v="Capitalized"/>
    <s v="1YD REL Containers"/>
    <m/>
    <m/>
    <n v="9"/>
    <m/>
    <n v="0"/>
    <s v="CAPITAL INDUSTRIES INC"/>
    <m/>
    <s v="CONTAINERS"/>
    <s v="TBA"/>
    <m/>
    <s v="1 YD"/>
    <s v="FEL/REL/SL Metal"/>
    <d v="2022-10-31T00:00:00"/>
    <d v="2022-10-31T00:00:00"/>
    <s v="2111-22-0045-1"/>
    <n v="1200"/>
    <n v="14050"/>
    <n v="8415"/>
    <n v="14056"/>
    <n v="1344.09"/>
    <n v="7070.91"/>
    <n v="525.96"/>
    <n v="54260"/>
    <n v="58.44"/>
    <s v="P"/>
    <m/>
    <m/>
    <s v=" "/>
    <s v="STL"/>
    <s v="YES"/>
    <s v="TBD"/>
    <m/>
    <x v="5"/>
    <n v="10"/>
    <n v="2022"/>
    <n v="2034"/>
    <n v="2034.8333333333333"/>
    <n v="58.4375"/>
    <n v="701.25"/>
    <n v="701.25"/>
    <n v="1051.875"/>
    <n v="1753.125"/>
    <n v="6661.875"/>
    <s v="No"/>
  </r>
  <r>
    <n v="2111"/>
    <n v="294135"/>
    <s v="P"/>
    <s v="Capitalized"/>
    <s v="1YD REL Containers"/>
    <m/>
    <m/>
    <n v="14"/>
    <m/>
    <n v="0"/>
    <s v="CAPITAL INDUSTRIES INC"/>
    <m/>
    <s v="CONTAINERS"/>
    <s v="TBA"/>
    <m/>
    <s v="1 YD"/>
    <s v="FEL/REL/SL Metal"/>
    <d v="2022-10-31T00:00:00"/>
    <d v="2022-10-31T00:00:00"/>
    <s v="2111-22-0045-1"/>
    <n v="1200"/>
    <n v="14050"/>
    <n v="13090"/>
    <n v="14056"/>
    <n v="2090.7399999999998"/>
    <n v="10999.26"/>
    <n v="818.1"/>
    <n v="54260"/>
    <n v="90.9"/>
    <s v="P"/>
    <m/>
    <m/>
    <s v=" "/>
    <s v="STL"/>
    <s v="YES"/>
    <s v="TBD"/>
    <m/>
    <x v="5"/>
    <n v="10"/>
    <n v="2022"/>
    <n v="2034"/>
    <n v="2034.8333333333333"/>
    <n v="90.902777777777771"/>
    <n v="1090.8333333333333"/>
    <n v="1090.8333333333333"/>
    <n v="1636.25"/>
    <n v="2727.083333333333"/>
    <n v="10362.916666666668"/>
    <s v="No"/>
  </r>
  <r>
    <n v="2111"/>
    <n v="294134"/>
    <s v="P"/>
    <s v="Capitalized"/>
    <s v="1.5YD REL Containers"/>
    <m/>
    <m/>
    <n v="4"/>
    <m/>
    <n v="0"/>
    <s v="CAPITAL INDUSTRIES INC"/>
    <m/>
    <s v="CONTAINERS"/>
    <s v="TBA"/>
    <m/>
    <s v="1.5 YD"/>
    <s v="FEL/REL/SL Metal"/>
    <d v="2022-10-31T00:00:00"/>
    <d v="2022-10-31T00:00:00"/>
    <s v="2111-22-0045-1"/>
    <n v="1200"/>
    <n v="14050"/>
    <n v="3806"/>
    <n v="14056"/>
    <n v="607.9"/>
    <n v="3198.1"/>
    <n v="237.87"/>
    <n v="54260"/>
    <n v="26.43"/>
    <s v="P"/>
    <m/>
    <m/>
    <s v=" "/>
    <s v="STL"/>
    <s v="YES"/>
    <s v="TBD"/>
    <m/>
    <x v="5"/>
    <n v="10"/>
    <n v="2022"/>
    <n v="2034"/>
    <n v="2034.8333333333333"/>
    <n v="26.430555555555557"/>
    <n v="317.16666666666669"/>
    <n v="317.16666666666669"/>
    <n v="475.75"/>
    <n v="792.91666666666674"/>
    <n v="3013.083333333333"/>
    <s v="No"/>
  </r>
  <r>
    <n v="2111"/>
    <n v="294133"/>
    <s v="P"/>
    <s v="Capitalized"/>
    <s v="1.5YD REL Containers"/>
    <m/>
    <m/>
    <n v="6"/>
    <m/>
    <n v="0"/>
    <s v="CAPITAL INDUSTRIES INC"/>
    <m/>
    <s v="CONTAINERS"/>
    <s v="TBA"/>
    <m/>
    <s v="1.5 YD"/>
    <s v="FEL/REL/SL Metal"/>
    <d v="2022-10-31T00:00:00"/>
    <d v="2022-10-31T00:00:00"/>
    <s v="2111-22-0045-1"/>
    <n v="1200"/>
    <n v="14050"/>
    <n v="5709"/>
    <n v="14056"/>
    <n v="911.89"/>
    <n v="4797.1099999999997"/>
    <n v="356.85"/>
    <n v="54260"/>
    <n v="39.65"/>
    <s v="P"/>
    <m/>
    <m/>
    <s v=" "/>
    <s v="STL"/>
    <s v="YES"/>
    <s v="TBD"/>
    <m/>
    <x v="5"/>
    <n v="10"/>
    <n v="2022"/>
    <n v="2034"/>
    <n v="2034.8333333333333"/>
    <n v="39.645833333333336"/>
    <n v="475.75"/>
    <n v="475.75"/>
    <n v="713.625"/>
    <n v="1189.375"/>
    <n v="4519.625"/>
    <s v="No"/>
  </r>
  <r>
    <n v="2111"/>
    <n v="293905"/>
    <n v="291161"/>
    <s v="Capitalized"/>
    <s v="Fuel Island - drainage permit application"/>
    <m/>
    <m/>
    <n v="1"/>
    <m/>
    <n v="0"/>
    <s v="CITY OF FIFE COMMUNITY DE"/>
    <m/>
    <s v="LAND IMPROVEMENTS"/>
    <s v="TBA"/>
    <m/>
    <m/>
    <m/>
    <d v="2022-08-30T00:00:00"/>
    <d v="2022-08-30T00:00:00"/>
    <s v="2111-22-0024-1"/>
    <n v="1000"/>
    <n v="14010"/>
    <n v="731.3"/>
    <n v="14016"/>
    <n v="152.32"/>
    <n v="578.98"/>
    <n v="54.81"/>
    <n v="57260"/>
    <n v="6.09"/>
    <s v="P"/>
    <m/>
    <m/>
    <s v=" "/>
    <s v="STL"/>
    <s v="YES"/>
    <s v="TBD"/>
    <m/>
    <x v="17"/>
    <n v="8"/>
    <n v="2022"/>
    <n v="2032"/>
    <n v="2032.6666666666667"/>
    <n v="6.0941666666666663"/>
    <n v="73.13"/>
    <n v="73.13"/>
    <n v="121.88333333332218"/>
    <n v="195.01333333332218"/>
    <n v="536.28666666667777"/>
    <s v="No"/>
  </r>
  <r>
    <n v="2111"/>
    <n v="293403"/>
    <n v="291161"/>
    <s v="Capitalized"/>
    <s v="Fuel Island - Construction support services"/>
    <m/>
    <m/>
    <n v="1"/>
    <m/>
    <n v="0"/>
    <m/>
    <m/>
    <s v="LAND IMPROVEMENTS"/>
    <s v="TBA"/>
    <m/>
    <m/>
    <m/>
    <d v="2022-08-30T00:00:00"/>
    <d v="2022-08-30T00:00:00"/>
    <s v="2111-22-0024-1"/>
    <n v="1000"/>
    <n v="14010"/>
    <n v="3895"/>
    <n v="14016"/>
    <n v="811.47"/>
    <n v="3083.5299999999997"/>
    <n v="292.14"/>
    <n v="57260"/>
    <n v="32.46"/>
    <s v="P"/>
    <m/>
    <m/>
    <s v=" "/>
    <s v="STL"/>
    <s v="YES"/>
    <s v="TBD"/>
    <m/>
    <x v="17"/>
    <n v="8"/>
    <n v="2022"/>
    <n v="2032"/>
    <n v="2032.6666666666667"/>
    <n v="32.458333333333336"/>
    <n v="389.5"/>
    <n v="389.5"/>
    <n v="649.1666666666074"/>
    <n v="1038.6666666666074"/>
    <n v="2856.3333333333926"/>
    <s v="No"/>
  </r>
  <r>
    <n v="2111"/>
    <n v="293355"/>
    <n v="289376"/>
    <s v="Capitalized"/>
    <s v="Software for Panasonic Toughbook"/>
    <m/>
    <m/>
    <n v="2"/>
    <m/>
    <n v="0"/>
    <s v="NOREGON SYSTEMS INC"/>
    <m/>
    <s v="HARDWARE AND SOFTWARE"/>
    <s v="TBA"/>
    <m/>
    <m/>
    <m/>
    <d v="2022-07-08T00:00:00"/>
    <d v="2022-07-08T00:00:00"/>
    <s v="2111-22-0040-1"/>
    <n v="300"/>
    <n v="14110"/>
    <n v="2200"/>
    <n v="14116"/>
    <n v="1649.99"/>
    <n v="550.01"/>
    <n v="549.99"/>
    <n v="70260"/>
    <n v="61.11"/>
    <s v="P"/>
    <m/>
    <m/>
    <s v=" "/>
    <s v="STL"/>
    <s v="YES"/>
    <s v="TBD"/>
    <s v="Shop"/>
    <x v="1"/>
    <n v="7"/>
    <n v="2022"/>
    <n v="2025"/>
    <n v="2025.5833333333333"/>
    <n v="61.111111111111114"/>
    <n v="733.33333333333337"/>
    <n v="733.33333333333337"/>
    <n v="1283.3333333333333"/>
    <n v="2016.6666666666665"/>
    <n v="183.33333333333348"/>
    <s v="No"/>
  </r>
  <r>
    <n v="2111"/>
    <n v="291392"/>
    <s v="P"/>
    <s v="Capitalized"/>
    <s v="Tire Maintenance Storage Building"/>
    <m/>
    <m/>
    <n v="1"/>
    <m/>
    <n v="0"/>
    <m/>
    <m/>
    <s v="BUILDINGS"/>
    <s v="TBA"/>
    <m/>
    <m/>
    <m/>
    <d v="2022-06-30T00:00:00"/>
    <d v="2022-06-30T00:00:00"/>
    <s v="2111-22-0021-1"/>
    <n v="1000"/>
    <n v="14080"/>
    <n v="38605"/>
    <n v="14086"/>
    <n v="8686.14"/>
    <n v="29918.86"/>
    <n v="2895.39"/>
    <n v="57260"/>
    <n v="321.70999999999998"/>
    <s v="P"/>
    <m/>
    <m/>
    <s v=" "/>
    <s v="STL"/>
    <s v="YES"/>
    <s v="TBD"/>
    <m/>
    <x v="6"/>
    <n v="6"/>
    <n v="2022"/>
    <n v="2032"/>
    <n v="2032.5"/>
    <n v="321.70833333333331"/>
    <n v="3860.5"/>
    <n v="3860.5"/>
    <n v="7077.5833333330411"/>
    <n v="10938.083333333041"/>
    <n v="27666.916666666959"/>
    <s v="No"/>
  </r>
  <r>
    <n v="2111"/>
    <n v="291325"/>
    <n v="291321"/>
    <s v="Capitalized"/>
    <s v="Licensing for Truck# 663"/>
    <m/>
    <m/>
    <n v="1"/>
    <s v="1HTWGADT14J025816"/>
    <n v="0"/>
    <m/>
    <m/>
    <s v="TRUCKS AND TRAILERS"/>
    <s v="TBA"/>
    <s v="Non-Rolling Stock"/>
    <m/>
    <m/>
    <d v="2004-05-25T00:00:00"/>
    <d v="2004-05-25T00:00:00"/>
    <n v="42009021"/>
    <n v="1000"/>
    <n v="14040"/>
    <n v="8947.36"/>
    <n v="14046"/>
    <n v="8947.36"/>
    <n v="0"/>
    <n v="0"/>
    <n v="51260"/>
    <n v="0"/>
    <s v="P"/>
    <n v="0"/>
    <n v="663"/>
    <s v=" "/>
    <s v="STL"/>
    <s v="YES"/>
    <s v="TBD"/>
    <m/>
    <x v="0"/>
    <n v="5"/>
    <n v="2004"/>
    <n v="2014"/>
    <n v="2014.4166666666667"/>
    <n v="74.561333333333337"/>
    <n v="894.7360000000001"/>
    <n v="0"/>
    <n v="8947.36"/>
    <n v="8947.36"/>
    <n v="0"/>
    <s v="No"/>
  </r>
  <r>
    <n v="2111"/>
    <n v="291324"/>
    <n v="291321"/>
    <s v="Capitalized"/>
    <s v="Upgrade to 2004 INTL 7400"/>
    <m/>
    <m/>
    <n v="1"/>
    <s v="1HTWGADT14J025816"/>
    <n v="0"/>
    <m/>
    <m/>
    <s v="TRUCKS AND TRAILERS"/>
    <s v="TBA"/>
    <s v="Non-Rolling Stock"/>
    <m/>
    <m/>
    <d v="2004-04-23T00:00:00"/>
    <d v="2004-04-23T00:00:00"/>
    <n v="42009021"/>
    <n v="1000"/>
    <n v="14040"/>
    <n v="41718.199999999997"/>
    <n v="14046"/>
    <n v="41718.199999999997"/>
    <n v="0"/>
    <n v="0"/>
    <n v="51260"/>
    <n v="0"/>
    <s v="P"/>
    <n v="0"/>
    <n v="663"/>
    <s v=" "/>
    <s v="STL"/>
    <s v="YES"/>
    <s v="TBD"/>
    <m/>
    <x v="0"/>
    <n v="4"/>
    <n v="2004"/>
    <n v="2014"/>
    <n v="2014.3333333333333"/>
    <n v="347.65166666666664"/>
    <n v="4171.82"/>
    <n v="0"/>
    <n v="41718.199999999997"/>
    <n v="41718.199999999997"/>
    <n v="0"/>
    <s v="No"/>
  </r>
  <r>
    <n v="2111"/>
    <n v="291323"/>
    <n v="291321"/>
    <s v="Capitalized"/>
    <s v="Lettering on Truck #663 - Extra Set of Door Logos"/>
    <m/>
    <m/>
    <n v="1"/>
    <m/>
    <n v="0"/>
    <m/>
    <m/>
    <s v="TRUCKS AND TRAILERS"/>
    <s v="TBA"/>
    <s v="Non-Rolling Stock"/>
    <m/>
    <m/>
    <d v="2004-05-21T00:00:00"/>
    <d v="2004-05-21T00:00:00"/>
    <n v="42009021"/>
    <n v="1000"/>
    <n v="14040"/>
    <n v="527.73"/>
    <n v="14046"/>
    <n v="527.73"/>
    <n v="0"/>
    <n v="0"/>
    <n v="51260"/>
    <n v="0"/>
    <s v="P"/>
    <n v="0"/>
    <n v="663"/>
    <s v=" "/>
    <s v="STL"/>
    <s v="YES"/>
    <s v="TBD"/>
    <m/>
    <x v="0"/>
    <n v="5"/>
    <n v="2004"/>
    <n v="2014"/>
    <n v="2014.4166666666667"/>
    <n v="4.3977500000000003"/>
    <n v="52.773000000000003"/>
    <n v="0"/>
    <n v="527.73"/>
    <n v="527.73"/>
    <n v="0"/>
    <s v="No"/>
  </r>
  <r>
    <n v="2111"/>
    <n v="291322"/>
    <n v="291321"/>
    <s v="Capitalized"/>
    <s v="Upgrades to 2004 INTL 7400"/>
    <m/>
    <m/>
    <n v="1"/>
    <s v="1HTWGADT14J025816"/>
    <n v="2004"/>
    <m/>
    <m/>
    <s v="TRUCKS AND TRAILERS"/>
    <s v="TBA"/>
    <s v="Non-Rolling Stock"/>
    <m/>
    <m/>
    <d v="2004-05-19T00:00:00"/>
    <d v="2004-05-19T00:00:00"/>
    <n v="42009021"/>
    <n v="1000"/>
    <n v="14040"/>
    <n v="919.29"/>
    <n v="14046"/>
    <n v="919.29"/>
    <n v="0"/>
    <n v="0"/>
    <n v="51260"/>
    <n v="0"/>
    <s v="P"/>
    <n v="0"/>
    <n v="663"/>
    <s v=" "/>
    <s v="STL"/>
    <s v="YES"/>
    <s v="TBD"/>
    <m/>
    <x v="0"/>
    <n v="5"/>
    <n v="2004"/>
    <n v="2014"/>
    <n v="2014.4166666666667"/>
    <n v="7.6607500000000002"/>
    <n v="91.929000000000002"/>
    <n v="0"/>
    <n v="919.29"/>
    <n v="919.29"/>
    <n v="0"/>
    <s v="No"/>
  </r>
  <r>
    <n v="2111"/>
    <n v="291321"/>
    <s v="P"/>
    <s v="Capitalized"/>
    <s v="2004 International 7400 REL"/>
    <m/>
    <m/>
    <n v="1"/>
    <s v="1HTWGADT14J025816"/>
    <n v="2004"/>
    <s v="International"/>
    <s v="LEACH"/>
    <s v="TRUCKS AND TRAILERS"/>
    <s v="TBA"/>
    <s v="Rear Loader"/>
    <m/>
    <m/>
    <d v="2004-02-12T00:00:00"/>
    <d v="2004-02-12T00:00:00"/>
    <n v="42009021"/>
    <n v="1000"/>
    <n v="14040"/>
    <n v="82716.06"/>
    <n v="14046"/>
    <n v="82716.06"/>
    <n v="0"/>
    <n v="0"/>
    <n v="51260"/>
    <n v="0"/>
    <s v="A"/>
    <n v="0"/>
    <s v="NA"/>
    <s v=" "/>
    <s v="STL"/>
    <s v="YES"/>
    <s v="TBD"/>
    <m/>
    <x v="0"/>
    <n v="2"/>
    <n v="2004"/>
    <n v="2014"/>
    <n v="2014.1666666666667"/>
    <n v="689.30049999999994"/>
    <n v="8271.6059999999998"/>
    <n v="0"/>
    <n v="82716.06"/>
    <n v="82716.06"/>
    <n v="0"/>
    <s v="No"/>
  </r>
  <r>
    <n v="2111"/>
    <n v="291184"/>
    <n v="291161"/>
    <s v="Capitalized"/>
    <s v="Custom Designed Tank"/>
    <m/>
    <m/>
    <n v="1"/>
    <m/>
    <n v="0"/>
    <s v="NORTHWEST PUMP &amp; EQUIPMEN"/>
    <m/>
    <s v="LAND IMPROVEMENTS"/>
    <s v="TBA"/>
    <m/>
    <m/>
    <m/>
    <d v="2022-01-02T00:00:00"/>
    <d v="2022-01-02T00:00:00"/>
    <s v="2111-22-0024-1"/>
    <n v="1000"/>
    <n v="14010"/>
    <n v="6160"/>
    <n v="14016"/>
    <n v="1693.97"/>
    <n v="4466.03"/>
    <n v="461.97"/>
    <n v="57260"/>
    <n v="51.33"/>
    <s v="P"/>
    <m/>
    <m/>
    <s v=" "/>
    <s v="STL"/>
    <s v="YES"/>
    <s v="TBD"/>
    <m/>
    <x v="17"/>
    <n v="1"/>
    <n v="2022"/>
    <n v="2032"/>
    <n v="2032.0833333333333"/>
    <n v="51.333333333333336"/>
    <n v="616"/>
    <n v="616"/>
    <n v="1386"/>
    <n v="2002"/>
    <n v="4158"/>
    <s v="No"/>
  </r>
  <r>
    <n v="2111"/>
    <n v="291161"/>
    <s v="P"/>
    <s v="Capitalized"/>
    <s v="Fuel Island"/>
    <m/>
    <m/>
    <n v="1"/>
    <m/>
    <n v="0"/>
    <m/>
    <m/>
    <s v="LAND IMPROVEMENTS"/>
    <s v="TBA"/>
    <m/>
    <m/>
    <m/>
    <d v="2022-08-30T00:00:00"/>
    <d v="2022-08-30T00:00:00"/>
    <s v="2111-22-0024-1"/>
    <n v="1000"/>
    <n v="14010"/>
    <n v="800316.61"/>
    <n v="14016"/>
    <n v="166732.67000000001"/>
    <n v="633583.93999999994"/>
    <n v="60023.79"/>
    <n v="57260"/>
    <n v="6669.31"/>
    <s v="P"/>
    <m/>
    <m/>
    <s v=" "/>
    <s v="STL"/>
    <s v="YES"/>
    <s v="TBD"/>
    <m/>
    <x v="17"/>
    <n v="8"/>
    <n v="2022"/>
    <n v="2032"/>
    <n v="2032.6666666666667"/>
    <n v="6669.3050833333327"/>
    <n v="80031.660999999993"/>
    <n v="80031.660999999993"/>
    <n v="133386.10166665458"/>
    <n v="213417.76266665457"/>
    <n v="586898.84733334545"/>
    <s v="No"/>
  </r>
  <r>
    <n v="2111"/>
    <n v="290881"/>
    <s v="P"/>
    <s v="Capitalized"/>
    <s v="5yd FEL Containers"/>
    <m/>
    <m/>
    <n v="24"/>
    <m/>
    <n v="0"/>
    <s v="ENVIRONMENTAL METAL WORKS"/>
    <m/>
    <s v="CONTAINERS"/>
    <s v="TBA"/>
    <m/>
    <s v="5 YD"/>
    <s v="FEL/REL/SL Metal"/>
    <d v="2022-05-12T00:00:00"/>
    <d v="2022-05-12T00:00:00"/>
    <s v="2111-22-0033-1"/>
    <n v="1200"/>
    <n v="14050"/>
    <n v="39055.300000000003"/>
    <n v="14056"/>
    <n v="7865.33"/>
    <n v="31189.97"/>
    <n v="2440.98"/>
    <n v="54260"/>
    <n v="271.22000000000003"/>
    <s v="P"/>
    <m/>
    <m/>
    <s v=" "/>
    <s v="STL"/>
    <s v="YES"/>
    <s v="TBD"/>
    <m/>
    <x v="5"/>
    <n v="5"/>
    <n v="2022"/>
    <n v="2034"/>
    <n v="2034.4166666666667"/>
    <n v="271.21736111111113"/>
    <n v="3254.6083333333336"/>
    <n v="3254.6083333333336"/>
    <n v="6237.9993055550658"/>
    <n v="9492.6076388883994"/>
    <n v="29562.692361111604"/>
    <s v="No"/>
  </r>
  <r>
    <n v="2111"/>
    <n v="290734"/>
    <s v="P"/>
    <s v="Capitalized"/>
    <s v="Fence Addition - East Corner Lot"/>
    <m/>
    <m/>
    <n v="1"/>
    <m/>
    <n v="0"/>
    <s v="SECOMA FENCE INC"/>
    <m/>
    <s v="LAND IMPROVEMENTS"/>
    <s v="TBA"/>
    <m/>
    <m/>
    <m/>
    <d v="2022-04-29T00:00:00"/>
    <d v="2022-04-29T00:00:00"/>
    <s v="2111-22-0047-1"/>
    <n v="1000"/>
    <n v="14010"/>
    <n v="17022.5"/>
    <n v="14016"/>
    <n v="4113.7299999999996"/>
    <n v="12908.77"/>
    <n v="1276.6500000000001"/>
    <n v="57260"/>
    <n v="141.85"/>
    <s v="P"/>
    <m/>
    <m/>
    <s v=" "/>
    <s v="STL"/>
    <s v="YES"/>
    <s v="TBD"/>
    <m/>
    <x v="6"/>
    <n v="4"/>
    <n v="2022"/>
    <n v="2032"/>
    <n v="2032.3333333333333"/>
    <n v="141.85416666666666"/>
    <n v="1702.25"/>
    <n v="1702.25"/>
    <n v="3404.5"/>
    <n v="5106.75"/>
    <n v="11915.75"/>
    <s v="No"/>
  </r>
  <r>
    <n v="2111"/>
    <n v="290430"/>
    <n v="290429"/>
    <s v="Capitalized"/>
    <s v="2022 Peterbilt ASL Truck - Body - Rollover 2111-21-0004"/>
    <m/>
    <m/>
    <n v="1"/>
    <s v="3BPDLK0X7NF111056"/>
    <n v="2022"/>
    <m/>
    <m/>
    <s v="TRUCKS AND TRAILERS"/>
    <s v="TBA"/>
    <s v="Non-Rolling Stock"/>
    <m/>
    <m/>
    <d v="2022-03-31T00:00:00"/>
    <d v="2022-03-31T00:00:00"/>
    <s v="2111-22-0028-1"/>
    <n v="1000"/>
    <n v="14040"/>
    <n v="186070.69"/>
    <n v="14046"/>
    <n v="46517.68"/>
    <n v="139553.01"/>
    <n v="13955.31"/>
    <n v="51260"/>
    <n v="1550.59"/>
    <s v="P"/>
    <m/>
    <m/>
    <s v=" "/>
    <s v="STL"/>
    <s v="YES"/>
    <s v="TBD"/>
    <s v="ASL Garbage Truck"/>
    <x v="0"/>
    <n v="3"/>
    <n v="2022"/>
    <n v="2032"/>
    <n v="2032.25"/>
    <n v="1550.5890833333333"/>
    <n v="18607.069"/>
    <n v="18607.069"/>
    <n v="38764.727083331934"/>
    <n v="57371.796083331938"/>
    <n v="128698.89391666806"/>
    <s v="No"/>
  </r>
  <r>
    <n v="2111"/>
    <n v="290429"/>
    <s v="P"/>
    <s v="Capitalized"/>
    <s v="2022 Peterbilt ASL Truck"/>
    <m/>
    <m/>
    <n v="1"/>
    <s v="3BPDLK0X7NF111056"/>
    <n v="2022"/>
    <m/>
    <m/>
    <s v="TRUCKS AND TRAILERS"/>
    <s v="TBA"/>
    <s v="Automated Side Loader"/>
    <m/>
    <m/>
    <d v="2022-03-31T00:00:00"/>
    <d v="2022-03-31T00:00:00"/>
    <s v="2111-21-0004-1"/>
    <n v="1000"/>
    <n v="14040"/>
    <n v="190394.16"/>
    <n v="14046"/>
    <n v="47598.559999999998"/>
    <n v="142795.6"/>
    <n v="14279.58"/>
    <n v="51260"/>
    <n v="1586.62"/>
    <s v="P"/>
    <m/>
    <m/>
    <s v=" "/>
    <s v="STL"/>
    <s v="YES"/>
    <s v="TBD"/>
    <s v="ASL Garbage Truck"/>
    <x v="0"/>
    <n v="3"/>
    <n v="2022"/>
    <n v="2032"/>
    <n v="2032.25"/>
    <n v="1586.6180000000002"/>
    <n v="19039.416000000001"/>
    <n v="19039.416000000001"/>
    <n v="39665.449999998556"/>
    <n v="58704.865999998554"/>
    <n v="131689.29400000145"/>
    <s v="No"/>
  </r>
  <r>
    <n v="2111"/>
    <n v="289651"/>
    <n v="283285"/>
    <s v="Capitalized"/>
    <s v="2022 Retriever License- TRUCK 918"/>
    <m/>
    <m/>
    <n v="1"/>
    <m/>
    <n v="0"/>
    <s v="WA DOL LIC &amp; REG 31150"/>
    <m/>
    <s v="TRUCKS AND TRAILERS"/>
    <s v="TBA"/>
    <s v="Non-Rolling Stock"/>
    <m/>
    <m/>
    <d v="2022-09-17T00:00:00"/>
    <d v="2022-09-17T00:00:00"/>
    <s v="2111-22-0011-1"/>
    <n v="1000"/>
    <n v="14040"/>
    <n v="1008.11"/>
    <n v="14046"/>
    <n v="201.61"/>
    <n v="806.5"/>
    <n v="75.599999999999994"/>
    <n v="51260"/>
    <n v="8.4"/>
    <s v="P"/>
    <m/>
    <m/>
    <s v=" "/>
    <s v="STL"/>
    <s v="YES"/>
    <s v="TBD"/>
    <s v="Garbage Trucks"/>
    <x v="0"/>
    <n v="9"/>
    <n v="2022"/>
    <n v="2032"/>
    <n v="2032.75"/>
    <n v="8.4009166666666673"/>
    <n v="100.81100000000001"/>
    <n v="100.81100000000001"/>
    <n v="159.61741666665898"/>
    <n v="260.42841666665902"/>
    <n v="747.681583333341"/>
    <s v="No"/>
  </r>
  <r>
    <n v="2111"/>
    <n v="289376"/>
    <s v="P"/>
    <s v="Capitalized"/>
    <s v="Panasonic Toughbook with software"/>
    <m/>
    <m/>
    <n v="2"/>
    <m/>
    <n v="0"/>
    <s v="NOREGON SYSTEMS INC"/>
    <m/>
    <s v="HARDWARE AND SOFTWARE"/>
    <s v="TBA"/>
    <m/>
    <m/>
    <m/>
    <d v="2022-07-08T00:00:00"/>
    <d v="2022-07-08T00:00:00"/>
    <s v="2111-22-0040-1"/>
    <n v="200"/>
    <n v="14110"/>
    <n v="6433.76"/>
    <n v="14116"/>
    <n v="6433.76"/>
    <n v="0"/>
    <n v="1608.44"/>
    <n v="70260"/>
    <n v="268.08999999999997"/>
    <s v="P"/>
    <m/>
    <m/>
    <s v=" "/>
    <s v="STL"/>
    <s v="YES"/>
    <s v="TBD"/>
    <s v="Shop"/>
    <x v="1"/>
    <n v="7"/>
    <n v="2022"/>
    <n v="2024"/>
    <n v="2024.5833333333333"/>
    <n v="268.07333333333332"/>
    <n v="3216.88"/>
    <n v="0"/>
    <n v="5629.54"/>
    <n v="6433.76"/>
    <n v="0"/>
    <s v="No"/>
  </r>
  <r>
    <n v="2111"/>
    <n v="289030"/>
    <s v="P"/>
    <s v="Capitalized"/>
    <s v="2021 FORD F-350 TRUCK"/>
    <m/>
    <m/>
    <n v="1"/>
    <s v="1FOUF5GT6ME059158"/>
    <n v="2021"/>
    <s v="LAKEWOOD FORD"/>
    <m/>
    <s v="TRUCKS AND TRAILERS"/>
    <s v="TBA"/>
    <s v="Non-Rolling Stock "/>
    <m/>
    <m/>
    <d v="2022-06-28T00:00:00"/>
    <d v="2022-06-28T00:00:00"/>
    <s v="2111-22-0002-1"/>
    <n v="800"/>
    <n v="14040"/>
    <n v="100168.51"/>
    <n v="14046"/>
    <n v="28172.36"/>
    <n v="71996.149999999994"/>
    <n v="9390.7800000000007"/>
    <n v="51260"/>
    <n v="1043.42"/>
    <s v="P"/>
    <m/>
    <m/>
    <s v=" "/>
    <s v="STL"/>
    <s v="YES"/>
    <s v="TBD"/>
    <s v="Shop Equipment "/>
    <x v="1"/>
    <n v="6"/>
    <n v="2022"/>
    <n v="2030"/>
    <n v="2030.5"/>
    <n v="1043.4219791666667"/>
    <n v="12521.063750000001"/>
    <n v="12521.063750000001"/>
    <n v="22955.283541665718"/>
    <n v="35476.347291665719"/>
    <n v="64692.162708334276"/>
    <s v="No"/>
  </r>
  <r>
    <n v="2111"/>
    <n v="289029"/>
    <s v="P"/>
    <s v="Capitalized"/>
    <s v="95 gal MSW CARTS"/>
    <m/>
    <m/>
    <n v="702"/>
    <m/>
    <n v="0"/>
    <s v="REHRIG PACIFIC COMPANY IN"/>
    <m/>
    <s v="CONTAINERS"/>
    <s v="TBA"/>
    <m/>
    <m/>
    <m/>
    <d v="2022-08-15T00:00:00"/>
    <d v="2022-08-15T00:00:00"/>
    <s v="2111-22-0044-1"/>
    <n v="700"/>
    <n v="14050"/>
    <n v="46841.65"/>
    <n v="14056"/>
    <n v="14498.62"/>
    <n v="32343.03"/>
    <n v="5018.76"/>
    <n v="54260"/>
    <n v="557.64"/>
    <s v="P"/>
    <m/>
    <m/>
    <s v=" "/>
    <s v="STL"/>
    <s v="YES"/>
    <s v="TBD"/>
    <s v="Garbage Carts"/>
    <x v="7"/>
    <n v="8"/>
    <n v="2022"/>
    <n v="2029"/>
    <n v="2029.6666666666667"/>
    <n v="557.6386904761905"/>
    <n v="6691.6642857142861"/>
    <n v="6691.6642857142861"/>
    <n v="11152.773809522798"/>
    <n v="17844.438095237085"/>
    <n v="28997.211904762917"/>
    <s v="No"/>
  </r>
  <r>
    <n v="2111"/>
    <n v="289028"/>
    <s v="P"/>
    <s v="Capitalized"/>
    <s v="65 gal MSW CARTS"/>
    <m/>
    <m/>
    <n v="936"/>
    <m/>
    <n v="0"/>
    <s v="REHRIG PACIFIC COMPANY IN"/>
    <m/>
    <s v="CONTAINERS"/>
    <s v="TBA"/>
    <m/>
    <m/>
    <m/>
    <d v="2022-08-15T00:00:00"/>
    <d v="2022-08-15T00:00:00"/>
    <s v="2111-22-0044-1"/>
    <n v="700"/>
    <n v="14050"/>
    <n v="54249.62"/>
    <n v="14056"/>
    <n v="16791.560000000001"/>
    <n v="37458.06"/>
    <n v="5812.47"/>
    <n v="54260"/>
    <n v="645.83000000000004"/>
    <s v="P"/>
    <m/>
    <m/>
    <s v=" "/>
    <s v="STL"/>
    <s v="YES"/>
    <s v="TBD"/>
    <s v="Garbage Carts"/>
    <x v="7"/>
    <n v="8"/>
    <n v="2022"/>
    <n v="2029"/>
    <n v="2029.6666666666667"/>
    <n v="645.82880952380958"/>
    <n v="7749.9457142857154"/>
    <n v="7749.9457142857154"/>
    <n v="12916.576190475018"/>
    <n v="20666.521904760732"/>
    <n v="33583.098095239271"/>
    <s v="No"/>
  </r>
  <r>
    <n v="2111"/>
    <n v="289027"/>
    <s v="P"/>
    <s v="Capitalized"/>
    <s v="95 GAL YARD WASTE CARTS"/>
    <m/>
    <m/>
    <n v="1404"/>
    <m/>
    <n v="0"/>
    <s v="REHRIG PACIFIC COMPANY IN"/>
    <m/>
    <s v="CONTAINERS"/>
    <s v="TBA"/>
    <m/>
    <m/>
    <m/>
    <d v="2022-08-15T00:00:00"/>
    <d v="2022-08-15T00:00:00"/>
    <s v="2111-22-0044-1"/>
    <n v="700"/>
    <n v="14050"/>
    <n v="93683.31"/>
    <n v="14056"/>
    <n v="28997.24"/>
    <n v="64686.069999999992"/>
    <n v="10037.52"/>
    <n v="54260"/>
    <n v="1115.28"/>
    <s v="P"/>
    <m/>
    <m/>
    <s v=" "/>
    <s v="STL"/>
    <s v="YES"/>
    <s v="TBD"/>
    <s v="YW Cart"/>
    <x v="4"/>
    <n v="8"/>
    <n v="2022"/>
    <n v="2029"/>
    <n v="2029.6666666666667"/>
    <n v="1115.2774999999999"/>
    <n v="13383.329999999998"/>
    <n v="13383.329999999998"/>
    <n v="22305.54999999798"/>
    <n v="35688.879999997982"/>
    <n v="57994.430000002016"/>
    <s v="No"/>
  </r>
  <r>
    <n v="2111"/>
    <n v="288539"/>
    <n v="282796"/>
    <s v="Capitalized"/>
    <s v="2022 International Hook Lift Truck - Body - Rollover 2111-22-0031"/>
    <m/>
    <m/>
    <n v="1"/>
    <m/>
    <n v="2022"/>
    <s v="xxx"/>
    <s v="xxx"/>
    <s v="TRUCKS AND TRAILERS"/>
    <s v="TBA"/>
    <s v="Non-Rolling Stock"/>
    <m/>
    <m/>
    <d v="2022-06-22T00:00:00"/>
    <d v="2022-06-22T00:00:00"/>
    <s v="2111-22-0031-1"/>
    <n v="1000"/>
    <n v="14040"/>
    <n v="39028"/>
    <n v="14046"/>
    <n v="8781.27"/>
    <n v="30246.73"/>
    <n v="2927.07"/>
    <n v="51260"/>
    <n v="325.23"/>
    <s v="P"/>
    <m/>
    <m/>
    <s v=" "/>
    <s v="STL"/>
    <s v="YES"/>
    <s v="TBD"/>
    <s v="Garbage Trucks"/>
    <x v="0"/>
    <n v="6"/>
    <n v="2022"/>
    <n v="2032"/>
    <n v="2032.5"/>
    <n v="325.23333333333335"/>
    <n v="3902.8"/>
    <n v="3902.8"/>
    <n v="7155.1333333330367"/>
    <n v="11057.933333333036"/>
    <n v="27970.066666666964"/>
    <s v="No"/>
  </r>
  <r>
    <n v="2111"/>
    <n v="285785"/>
    <s v="P"/>
    <s v="Capitalized"/>
    <s v="DRIVECAM UPGRADES"/>
    <m/>
    <m/>
    <n v="7"/>
    <m/>
    <n v="0"/>
    <s v="LYTX INC"/>
    <m/>
    <s v="SHOP EQUIPMENT"/>
    <s v="TBA"/>
    <m/>
    <m/>
    <m/>
    <d v="2022-06-29T00:00:00"/>
    <d v="2022-06-29T00:00:00"/>
    <s v="2111-22-0043-1"/>
    <n v="500"/>
    <n v="14070"/>
    <n v="2265.46"/>
    <n v="14076"/>
    <n v="1019.48"/>
    <n v="1245.98"/>
    <n v="339.84"/>
    <n v="51260"/>
    <n v="37.76"/>
    <s v="P"/>
    <m/>
    <m/>
    <s v=" "/>
    <s v="STL"/>
    <s v="YES"/>
    <s v="TBD"/>
    <s v="Bulk Drive Cam"/>
    <x v="9"/>
    <n v="6"/>
    <n v="2022"/>
    <n v="2027"/>
    <n v="2027.5"/>
    <n v="37.757666666666665"/>
    <n v="453.09199999999998"/>
    <n v="453.09199999999998"/>
    <n v="830.66866666663236"/>
    <n v="1283.7606666666325"/>
    <n v="981.69933333336758"/>
    <s v="No"/>
  </r>
  <r>
    <n v="2111"/>
    <n v="285393"/>
    <s v="P"/>
    <s v="Capitalized"/>
    <s v="95 GAL MSW CARTS"/>
    <m/>
    <m/>
    <n v="351"/>
    <m/>
    <n v="0"/>
    <s v="REHRIG PACIFIC COMPANY IN"/>
    <m/>
    <s v="CONTAINERS"/>
    <s v="TBA"/>
    <m/>
    <m/>
    <m/>
    <d v="2022-07-15T00:00:00"/>
    <d v="2022-07-15T00:00:00"/>
    <s v="2111-22-0042-1"/>
    <n v="700"/>
    <n v="14050"/>
    <n v="23718.13"/>
    <n v="14056"/>
    <n v="7623.7"/>
    <n v="16094.43"/>
    <n v="2541.2399999999998"/>
    <n v="54260"/>
    <n v="282.36"/>
    <s v="P"/>
    <m/>
    <m/>
    <s v=" "/>
    <s v="STL"/>
    <s v="YES"/>
    <s v="TBD"/>
    <s v="Garbage Carts"/>
    <x v="7"/>
    <n v="7"/>
    <n v="2022"/>
    <n v="2029"/>
    <n v="2029.5833333333333"/>
    <n v="282.35869047619047"/>
    <n v="3388.3042857142855"/>
    <n v="3388.3042857142855"/>
    <n v="5929.5325000000012"/>
    <n v="9317.8367857142875"/>
    <n v="14400.293214285713"/>
    <s v="No"/>
  </r>
  <r>
    <n v="2111"/>
    <n v="285392"/>
    <s v="P"/>
    <s v="Capitalized"/>
    <s v="95 GAL YARD WASTE CARTS"/>
    <m/>
    <m/>
    <n v="351"/>
    <m/>
    <n v="0"/>
    <s v="REHRIG PACIFIC COMPANY IN"/>
    <m/>
    <s v="CONTAINERS"/>
    <s v="TBA"/>
    <m/>
    <m/>
    <m/>
    <d v="2022-07-15T00:00:00"/>
    <d v="2022-07-15T00:00:00"/>
    <s v="2111-22-0042-1"/>
    <n v="700"/>
    <n v="14050"/>
    <n v="23718.13"/>
    <n v="14056"/>
    <n v="7623.7"/>
    <n v="16094.43"/>
    <n v="2541.2399999999998"/>
    <n v="54260"/>
    <n v="282.36"/>
    <s v="P"/>
    <m/>
    <m/>
    <s v=" "/>
    <s v="STL"/>
    <s v="YES"/>
    <s v="TBD"/>
    <s v="YW Cart"/>
    <x v="4"/>
    <n v="7"/>
    <n v="2022"/>
    <n v="2029"/>
    <n v="2029.5833333333333"/>
    <n v="282.35869047619047"/>
    <n v="3388.3042857142855"/>
    <n v="3388.3042857142855"/>
    <n v="5929.5325000000012"/>
    <n v="9317.8367857142875"/>
    <n v="14400.293214285713"/>
    <s v="No"/>
  </r>
  <r>
    <n v="2111"/>
    <n v="285391"/>
    <s v="P"/>
    <s v="Capitalized"/>
    <s v="95 GAL YARD WASTE CARTS"/>
    <m/>
    <m/>
    <n v="702"/>
    <m/>
    <n v="0"/>
    <s v="REHRIG PACIFIC COMPANY IN"/>
    <m/>
    <s v="CONTAINERS"/>
    <s v="TBA"/>
    <m/>
    <m/>
    <m/>
    <d v="2022-07-15T00:00:00"/>
    <d v="2022-07-15T00:00:00"/>
    <s v="2111-22-0042-1"/>
    <n v="700"/>
    <n v="14050"/>
    <n v="47436.25"/>
    <n v="14056"/>
    <n v="15247.39"/>
    <n v="32188.86"/>
    <n v="5082.4799999999996"/>
    <n v="54260"/>
    <n v="564.72"/>
    <s v="P"/>
    <m/>
    <m/>
    <s v=" "/>
    <s v="STL"/>
    <s v="YES"/>
    <s v="TBD"/>
    <s v="YW Cart"/>
    <x v="4"/>
    <n v="7"/>
    <n v="2022"/>
    <n v="2029"/>
    <n v="2029.5833333333333"/>
    <n v="564.71726190476193"/>
    <n v="6776.6071428571431"/>
    <n v="6776.6071428571431"/>
    <n v="11859.0625"/>
    <n v="18635.669642857145"/>
    <n v="28800.580357142855"/>
    <s v="No"/>
  </r>
  <r>
    <n v="2111"/>
    <n v="285276"/>
    <s v="P"/>
    <s v="Capitalized"/>
    <s v="65 GAL MSW"/>
    <m/>
    <m/>
    <n v="936"/>
    <m/>
    <n v="0"/>
    <s v="REHRIG PACIFIC COMPANY IN"/>
    <m/>
    <s v="CONTAINERS"/>
    <s v="TBA"/>
    <m/>
    <m/>
    <m/>
    <d v="2022-07-15T00:00:00"/>
    <d v="2022-07-15T00:00:00"/>
    <s v="2111-22-0042-1"/>
    <n v="700"/>
    <n v="14050"/>
    <n v="55423.360000000001"/>
    <n v="14056"/>
    <n v="17814.63"/>
    <n v="37608.729999999996"/>
    <n v="5938.2"/>
    <n v="54260"/>
    <n v="659.8"/>
    <s v="P"/>
    <m/>
    <m/>
    <s v=" "/>
    <s v="STL"/>
    <s v="YES"/>
    <s v="TBD"/>
    <s v="Garbage Carts"/>
    <x v="7"/>
    <n v="7"/>
    <n v="2022"/>
    <n v="2029"/>
    <n v="2029.5833333333333"/>
    <n v="659.80190476190478"/>
    <n v="7917.6228571428574"/>
    <n v="7917.6228571428574"/>
    <n v="13855.839999999997"/>
    <n v="21773.462857142855"/>
    <n v="33649.897142857146"/>
    <s v="No"/>
  </r>
  <r>
    <n v="2111"/>
    <n v="284945"/>
    <s v="P"/>
    <s v="Capitalized"/>
    <s v="Fuel Island Construction"/>
    <m/>
    <m/>
    <n v="1"/>
    <m/>
    <n v="0"/>
    <m/>
    <m/>
    <s v="LAND IMPROVEMENTS"/>
    <s v="TBA"/>
    <m/>
    <m/>
    <m/>
    <d v="2022-07-31T00:00:00"/>
    <d v="2022-07-31T00:00:00"/>
    <s v="2111-21-0047-1"/>
    <n v="1000"/>
    <n v="14010"/>
    <n v="115428.5"/>
    <n v="14016"/>
    <n v="25009.47"/>
    <n v="90419.03"/>
    <n v="8657.1"/>
    <n v="57260"/>
    <n v="961.9"/>
    <s v="P"/>
    <m/>
    <m/>
    <s v=" "/>
    <s v="STL"/>
    <s v="YES"/>
    <s v="TBD"/>
    <s v="Fuel Island"/>
    <x v="17"/>
    <n v="7"/>
    <n v="2022"/>
    <n v="2032"/>
    <n v="2032.5833333333333"/>
    <n v="961.9041666666667"/>
    <n v="11542.85"/>
    <n v="11542.85"/>
    <n v="20199.987500000003"/>
    <n v="31742.837500000001"/>
    <n v="83685.662500000006"/>
    <s v="No"/>
  </r>
  <r>
    <n v="2111"/>
    <n v="284455"/>
    <n v="283285"/>
    <s v="Capitalized"/>
    <s v="2022 Peterbilt FEL Truck"/>
    <m/>
    <m/>
    <n v="1"/>
    <s v="3BPDLK0X2NF113152"/>
    <n v="2022"/>
    <m/>
    <m/>
    <s v="TRUCKS AND TRAILERS"/>
    <s v="TBA"/>
    <s v="Front Loader"/>
    <m/>
    <m/>
    <d v="2022-06-23T00:00:00"/>
    <d v="2022-06-23T00:00:00"/>
    <s v="2111-22-0011-1"/>
    <n v="1000"/>
    <n v="14040"/>
    <n v="183091.43"/>
    <n v="14046"/>
    <n v="41195.550000000003"/>
    <n v="141895.88"/>
    <n v="13731.84"/>
    <n v="51260"/>
    <n v="1525.76"/>
    <s v="P"/>
    <m/>
    <m/>
    <s v=" "/>
    <s v="STL"/>
    <s v="YES"/>
    <s v="TBD"/>
    <s v="Garbage Trucks"/>
    <x v="0"/>
    <n v="6"/>
    <n v="2022"/>
    <n v="2032"/>
    <n v="2032.5"/>
    <n v="1525.7619166666666"/>
    <n v="18309.143"/>
    <n v="18309.143"/>
    <n v="33566.762166665285"/>
    <n v="51875.905166665281"/>
    <n v="131215.52483333473"/>
    <s v="No"/>
  </r>
  <r>
    <n v="2111"/>
    <n v="284394"/>
    <n v="284368"/>
    <s v="Capitalized"/>
    <s v="SET OF CASTERS 2 SWIVEL AND 2 FIXED"/>
    <m/>
    <m/>
    <n v="108"/>
    <m/>
    <n v="0"/>
    <s v="ENVIRONMENTAL METAL WORKS"/>
    <m/>
    <s v="CONTAINERS"/>
    <s v="TBA"/>
    <m/>
    <m/>
    <m/>
    <d v="2022-05-12T00:00:00"/>
    <d v="2022-05-12T00:00:00"/>
    <s v="2111-22-0033-1"/>
    <n v="1200"/>
    <n v="14050"/>
    <n v="11975.04"/>
    <n v="14056"/>
    <n v="2411.64"/>
    <n v="9563.4000000000015"/>
    <n v="748.44"/>
    <n v="54260"/>
    <n v="83.16"/>
    <s v="P"/>
    <m/>
    <m/>
    <s v=" "/>
    <s v="STL"/>
    <s v="YES"/>
    <s v="TBD"/>
    <s v="Containers"/>
    <x v="5"/>
    <n v="5"/>
    <n v="2022"/>
    <n v="2034"/>
    <n v="2034.4166666666667"/>
    <n v="83.160000000000011"/>
    <n v="997.92000000000007"/>
    <n v="997.92000000000007"/>
    <n v="1912.6799999998475"/>
    <n v="2910.5999999998476"/>
    <n v="9064.4400000001533"/>
    <s v="No"/>
  </r>
  <r>
    <n v="2111"/>
    <n v="284368"/>
    <s v="P"/>
    <s v="Capitalized"/>
    <s v="2 YD REL MSW CONTAINERS"/>
    <m/>
    <m/>
    <n v="36"/>
    <m/>
    <n v="0"/>
    <s v="ENVIRONMENTAL METAL WORKS"/>
    <m/>
    <s v="CONTAINERS"/>
    <s v="TBA"/>
    <m/>
    <s v="2 YD"/>
    <s v="FEL/REL/SL Metal"/>
    <d v="2022-05-12T00:00:00"/>
    <d v="2022-05-12T00:00:00"/>
    <s v="2111-22-0033-1"/>
    <n v="1200"/>
    <n v="14050"/>
    <n v="37669.730000000003"/>
    <n v="14056"/>
    <n v="7586.31"/>
    <n v="30083.420000000002"/>
    <n v="2354.4"/>
    <n v="54260"/>
    <n v="261.60000000000002"/>
    <s v="P"/>
    <m/>
    <m/>
    <s v=" "/>
    <s v="STL"/>
    <s v="YES"/>
    <s v="TBD"/>
    <s v="Containers"/>
    <x v="5"/>
    <n v="5"/>
    <n v="2022"/>
    <n v="2034"/>
    <n v="2034.4166666666667"/>
    <n v="261.59534722222224"/>
    <n v="3139.1441666666669"/>
    <n v="3139.1441666666669"/>
    <n v="6016.6929861106364"/>
    <n v="9155.8371527773033"/>
    <n v="28513.892847222698"/>
    <s v="No"/>
  </r>
  <r>
    <n v="2111"/>
    <n v="284367"/>
    <s v="P"/>
    <s v="Capitalized"/>
    <s v="2 YD REL MSW CONTAINERS"/>
    <m/>
    <m/>
    <n v="24"/>
    <m/>
    <n v="0"/>
    <s v="ENVIRONMENTAL METAL WORKS"/>
    <m/>
    <s v="CONTAINERS"/>
    <s v="TBA"/>
    <m/>
    <s v="2 YD"/>
    <s v="FEL/REL/SL Metal"/>
    <d v="2022-05-12T00:00:00"/>
    <d v="2022-05-12T00:00:00"/>
    <s v="2111-22-0033-1"/>
    <n v="1200"/>
    <n v="14050"/>
    <n v="24121.25"/>
    <n v="14056"/>
    <n v="4857.7700000000004"/>
    <n v="19263.48"/>
    <n v="1507.59"/>
    <n v="54260"/>
    <n v="167.51"/>
    <s v="P"/>
    <m/>
    <m/>
    <s v=" "/>
    <s v="STL"/>
    <s v="YES"/>
    <s v="TBD"/>
    <s v="Containers"/>
    <x v="5"/>
    <n v="5"/>
    <n v="2022"/>
    <n v="2034"/>
    <n v="2034.4166666666667"/>
    <n v="167.50868055555557"/>
    <n v="2010.104166666667"/>
    <n v="2010.104166666667"/>
    <n v="3852.6996527774718"/>
    <n v="5862.8038194441388"/>
    <n v="18258.44618055586"/>
    <s v="No"/>
  </r>
  <r>
    <n v="2111"/>
    <n v="284340"/>
    <s v="P"/>
    <s v="Capitalized"/>
    <s v="96 GAL YARD WASTE CARTS"/>
    <m/>
    <m/>
    <n v="351"/>
    <m/>
    <n v="0"/>
    <s v="REHRIG PACIFIC COMPANY IN"/>
    <m/>
    <s v="CONTAINERS"/>
    <s v="TBA"/>
    <m/>
    <m/>
    <m/>
    <d v="2022-05-26T00:00:00"/>
    <d v="2022-05-26T00:00:00"/>
    <s v="2111-22-0038-1"/>
    <n v="700"/>
    <n v="14050"/>
    <n v="23579.13"/>
    <n v="14056"/>
    <n v="7859.68"/>
    <n v="15719.45"/>
    <n v="2526.3000000000002"/>
    <n v="54260"/>
    <n v="280.7"/>
    <s v="P"/>
    <m/>
    <m/>
    <s v=" "/>
    <s v="STL"/>
    <s v="YES"/>
    <s v="TBD"/>
    <s v="YW Cart"/>
    <x v="4"/>
    <n v="5"/>
    <n v="2022"/>
    <n v="2029"/>
    <n v="2029.4166666666667"/>
    <n v="280.70392857142855"/>
    <n v="3368.4471428571424"/>
    <n v="3368.4471428571424"/>
    <n v="6456.19035714235"/>
    <n v="9824.6374999994914"/>
    <n v="13754.49250000051"/>
    <s v="No"/>
  </r>
  <r>
    <n v="2111"/>
    <n v="284339"/>
    <s v="P"/>
    <s v="Capitalized"/>
    <s v="90 GAL MSW CARTS"/>
    <m/>
    <m/>
    <n v="351"/>
    <m/>
    <n v="0"/>
    <s v="REHRIG PACIFIC COMPANY IN"/>
    <m/>
    <s v="CONTAINERS"/>
    <s v="TBA"/>
    <m/>
    <m/>
    <m/>
    <d v="2022-05-26T00:00:00"/>
    <d v="2022-05-26T00:00:00"/>
    <s v="2111-22-0038-1"/>
    <n v="700"/>
    <n v="14050"/>
    <n v="23579.119999999999"/>
    <n v="14056"/>
    <n v="7859.68"/>
    <n v="15719.439999999999"/>
    <n v="2526.3000000000002"/>
    <n v="54260"/>
    <n v="280.7"/>
    <s v="P"/>
    <m/>
    <m/>
    <s v=" "/>
    <s v="STL"/>
    <s v="YES"/>
    <s v="TBD"/>
    <s v="Garbage Carts"/>
    <x v="7"/>
    <n v="5"/>
    <n v="2022"/>
    <n v="2029"/>
    <n v="2029.4166666666667"/>
    <n v="280.70380952380953"/>
    <n v="3368.4457142857145"/>
    <n v="3368.4457142857145"/>
    <n v="6456.1876190471085"/>
    <n v="9824.6333333328221"/>
    <n v="13754.486666667177"/>
    <s v="No"/>
  </r>
  <r>
    <n v="2111"/>
    <n v="284177"/>
    <s v="P"/>
    <s v="Capitalized"/>
    <s v="New Computer for site SN: 5CD152BKF3"/>
    <m/>
    <m/>
    <n v="1"/>
    <m/>
    <n v="0"/>
    <s v="CDW DIR #PO  2111-22-0"/>
    <m/>
    <s v="HARDWARE AND SOFTWARE"/>
    <s v="TBA"/>
    <m/>
    <m/>
    <m/>
    <d v="2022-06-21T00:00:00"/>
    <d v="2022-06-21T00:00:00"/>
    <s v="2111-22-0041-1"/>
    <n v="300"/>
    <n v="14110"/>
    <n v="1245.58"/>
    <n v="14116"/>
    <n v="934.19"/>
    <n v="311.38999999999987"/>
    <n v="311.39999999999998"/>
    <n v="70260"/>
    <n v="34.6"/>
    <s v="P"/>
    <m/>
    <m/>
    <s v=" "/>
    <s v="STL"/>
    <s v="YES"/>
    <s v="TBD"/>
    <s v="Office"/>
    <x v="10"/>
    <n v="6"/>
    <n v="2022"/>
    <n v="2025"/>
    <n v="2025.5"/>
    <n v="34.599444444444444"/>
    <n v="415.19333333333333"/>
    <n v="415.19333333333333"/>
    <n v="761.18777777774631"/>
    <n v="1176.3811111110797"/>
    <n v="69.198888888920237"/>
    <s v="No"/>
  </r>
  <r>
    <n v="2111"/>
    <n v="284176"/>
    <s v="P"/>
    <s v="Capitalized"/>
    <s v="Docking Station for Computer - No SN on Amazon Purchases"/>
    <m/>
    <m/>
    <n v="1"/>
    <m/>
    <n v="0"/>
    <s v="AMZN MKTP US 060FU7MQ3 AM"/>
    <m/>
    <s v="HARDWARE AND SOFTWARE"/>
    <s v="TBA"/>
    <m/>
    <m/>
    <m/>
    <d v="2022-04-26T00:00:00"/>
    <d v="2022-04-26T00:00:00"/>
    <s v="2111-22-0036-2"/>
    <n v="300"/>
    <n v="14110"/>
    <n v="306.3"/>
    <n v="14116"/>
    <n v="246.76"/>
    <n v="59.54000000000002"/>
    <n v="76.59"/>
    <n v="70260"/>
    <n v="8.51"/>
    <s v="P"/>
    <m/>
    <m/>
    <s v=" "/>
    <s v="STL"/>
    <s v="YES"/>
    <s v="TBD"/>
    <s v="Office"/>
    <x v="10"/>
    <n v="4"/>
    <n v="2022"/>
    <n v="2025"/>
    <n v="2025.3333333333333"/>
    <n v="8.5083333333333346"/>
    <n v="102.10000000000002"/>
    <n v="102.10000000000002"/>
    <n v="204.2"/>
    <n v="306.3"/>
    <n v="0"/>
    <s v="No"/>
  </r>
  <r>
    <n v="2111"/>
    <n v="284175"/>
    <n v="284177"/>
    <s v="Capitalized"/>
    <s v="Docking Station for Laptop - No SN on Amazon Purchases"/>
    <m/>
    <m/>
    <n v="1"/>
    <m/>
    <n v="0"/>
    <s v="AMZN MKTP US ZY0M958L3"/>
    <m/>
    <s v="HARDWARE AND SOFTWARE"/>
    <s v="TBA"/>
    <m/>
    <m/>
    <m/>
    <d v="2022-06-21T00:00:00"/>
    <d v="2022-06-21T00:00:00"/>
    <s v="2111-22-0041-1"/>
    <n v="300"/>
    <n v="14110"/>
    <n v="306.3"/>
    <n v="14116"/>
    <n v="229.74"/>
    <n v="76.56"/>
    <n v="76.59"/>
    <n v="70260"/>
    <n v="8.51"/>
    <s v="P"/>
    <m/>
    <m/>
    <s v=" "/>
    <s v="STL"/>
    <s v="YES"/>
    <s v="TBD"/>
    <s v="Office"/>
    <x v="10"/>
    <n v="6"/>
    <n v="2022"/>
    <n v="2025"/>
    <n v="2025.5"/>
    <n v="8.5083333333333346"/>
    <n v="102.10000000000002"/>
    <n v="102.10000000000002"/>
    <n v="187.18333333332561"/>
    <n v="289.28333333332563"/>
    <n v="17.016666666674382"/>
    <s v="No"/>
  </r>
  <r>
    <n v="2111"/>
    <n v="283286"/>
    <n v="282634"/>
    <s v="Capitalized"/>
    <s v="2022 International CD Truck-Body"/>
    <m/>
    <m/>
    <n v="1"/>
    <s v="3HAEJTAL4NL467067"/>
    <n v="2022"/>
    <m/>
    <m/>
    <s v="TRUCKS AND TRAILERS"/>
    <s v="TBA"/>
    <s v="Container Delivery Truck"/>
    <m/>
    <m/>
    <d v="2022-02-28T00:00:00"/>
    <d v="2022-02-28T00:00:00"/>
    <s v="2111-22-0039-1"/>
    <n v="1000"/>
    <n v="14040"/>
    <n v="52371"/>
    <n v="14046"/>
    <n v="13529.22"/>
    <n v="38841.78"/>
    <n v="3927.87"/>
    <n v="51260"/>
    <n v="436.43"/>
    <s v="P"/>
    <m/>
    <m/>
    <s v=" "/>
    <s v="STL"/>
    <s v="YES"/>
    <s v="TBD"/>
    <s v="Garbage Trucks"/>
    <x v="0"/>
    <n v="2"/>
    <n v="2022"/>
    <n v="2032"/>
    <n v="2032.1666666666667"/>
    <n v="436.42500000000001"/>
    <n v="5237.1000000000004"/>
    <n v="5237.1000000000004"/>
    <n v="11347.049999999203"/>
    <n v="16584.149999999201"/>
    <n v="35786.850000000799"/>
    <s v="No"/>
  </r>
  <r>
    <n v="2111"/>
    <n v="283285"/>
    <s v="P"/>
    <s v="Capitalized"/>
    <s v="2022 Peterbilt FEL Truck"/>
    <m/>
    <m/>
    <n v="1"/>
    <s v="3BPDLK0X2NF113152"/>
    <n v="2022"/>
    <m/>
    <m/>
    <s v="TRUCKS AND TRAILERS"/>
    <s v="TBA"/>
    <s v="Front Loader"/>
    <m/>
    <m/>
    <d v="2022-06-02T00:00:00"/>
    <d v="2022-06-02T00:00:00"/>
    <s v="2111-22-0011-1"/>
    <n v="1000"/>
    <n v="14040"/>
    <n v="196566.87"/>
    <n v="14046"/>
    <n v="45865.63"/>
    <n v="150701.24"/>
    <n v="14742.54"/>
    <n v="51260"/>
    <n v="1638.06"/>
    <s v="P"/>
    <m/>
    <m/>
    <s v=" "/>
    <s v="STL"/>
    <s v="YES"/>
    <s v="TBD"/>
    <s v="Garbage Trucks"/>
    <x v="0"/>
    <n v="6"/>
    <n v="2022"/>
    <n v="2032"/>
    <n v="2032.5"/>
    <n v="1638.0572499999998"/>
    <n v="19656.686999999998"/>
    <n v="19656.686999999998"/>
    <n v="36037.25949999853"/>
    <n v="55693.946499998528"/>
    <n v="140872.92350000146"/>
    <s v="No"/>
  </r>
  <r>
    <n v="2111"/>
    <n v="282797"/>
    <s v="P"/>
    <s v="Capitalized"/>
    <s v="65 GAL MSW CARTS"/>
    <m/>
    <m/>
    <n v="648"/>
    <m/>
    <n v="0"/>
    <s v="REHRIG PACIFIC COMPANY IN"/>
    <m/>
    <s v="CONTAINERS"/>
    <s v="TBA"/>
    <m/>
    <m/>
    <m/>
    <d v="2022-05-26T00:00:00"/>
    <d v="2022-05-26T00:00:00"/>
    <s v="2111-22-0038-1"/>
    <n v="700"/>
    <n v="14050"/>
    <n v="42140.74"/>
    <n v="14056"/>
    <n v="14046.96"/>
    <n v="28093.78"/>
    <n v="4515.12"/>
    <n v="54260"/>
    <n v="501.68"/>
    <s v="P"/>
    <m/>
    <m/>
    <s v=" "/>
    <s v="STL"/>
    <s v="YES"/>
    <s v="TBD"/>
    <s v="Garbage Carts"/>
    <x v="7"/>
    <n v="5"/>
    <n v="2022"/>
    <n v="2029"/>
    <n v="2029.4166666666667"/>
    <n v="501.67547619047622"/>
    <n v="6020.1057142857144"/>
    <n v="6020.1057142857144"/>
    <n v="11538.535952380036"/>
    <n v="17558.64166666575"/>
    <n v="24582.098333334248"/>
    <s v="No"/>
  </r>
  <r>
    <n v="2111"/>
    <n v="282796"/>
    <s v="P"/>
    <s v="Capitalized"/>
    <s v="2022 Chassis for Isuzu Hooklift"/>
    <m/>
    <m/>
    <n v="1"/>
    <s v="1HTEJTAL9NH674771"/>
    <n v="2022"/>
    <m/>
    <s v="xxx"/>
    <s v="TRUCKS AND TRAILERS"/>
    <s v="TBA"/>
    <s v="Hooklift"/>
    <m/>
    <m/>
    <d v="2022-06-22T00:00:00"/>
    <d v="2022-06-22T00:00:00"/>
    <s v="2111-22-0031-1"/>
    <n v="1000"/>
    <n v="14040"/>
    <n v="85840.62"/>
    <n v="14046"/>
    <n v="19314.150000000001"/>
    <n v="66526.47"/>
    <n v="6438.06"/>
    <n v="51260"/>
    <n v="715.34"/>
    <s v="P"/>
    <m/>
    <m/>
    <s v=" "/>
    <s v="STL"/>
    <s v="YES"/>
    <s v="TBD"/>
    <s v="Garbage Trucks"/>
    <x v="0"/>
    <n v="6"/>
    <n v="2022"/>
    <n v="2032"/>
    <n v="2032.5"/>
    <n v="715.33849999999995"/>
    <n v="8584.0619999999999"/>
    <n v="8584.0619999999999"/>
    <n v="15737.446999999345"/>
    <n v="24321.508999999343"/>
    <n v="61519.111000000652"/>
    <s v="No"/>
  </r>
  <r>
    <n v="2111"/>
    <n v="282795"/>
    <s v="P"/>
    <s v="Capitalized"/>
    <s v="2018 Izusu Container Delivery Truck"/>
    <m/>
    <m/>
    <n v="1"/>
    <s v="JALE5W16J7303702"/>
    <n v="2018"/>
    <s v="RWC INTERNATIONAL LTD"/>
    <m/>
    <s v="TRUCKS AND TRAILERS"/>
    <s v="TBA"/>
    <s v="Container Delivery Truck"/>
    <m/>
    <m/>
    <d v="2022-04-14T00:00:00"/>
    <d v="2022-04-14T00:00:00"/>
    <s v="2111-22-0003-1"/>
    <n v="600"/>
    <n v="14040"/>
    <n v="95409.38"/>
    <n v="14046"/>
    <n v="39753.9"/>
    <n v="55655.48"/>
    <n v="11926.17"/>
    <n v="51260"/>
    <n v="1325.13"/>
    <s v="P"/>
    <m/>
    <m/>
    <s v=" "/>
    <s v="STL"/>
    <s v="YES"/>
    <s v="TBD"/>
    <s v="Delivery Trucks"/>
    <x v="2"/>
    <n v="4"/>
    <n v="2022"/>
    <n v="2028"/>
    <n v="2028.3333333333333"/>
    <n v="1325.1302777777778"/>
    <n v="15901.563333333334"/>
    <n v="15901.563333333334"/>
    <n v="31803.126666666671"/>
    <n v="47704.69"/>
    <n v="47704.69"/>
    <s v="No"/>
  </r>
  <r>
    <n v="2111"/>
    <n v="282687"/>
    <s v="P"/>
    <s v="Capitalized"/>
    <s v="5 YARD FLAT TOP C/W SINGLE PLY PLASTIC LID AND MANUAL LOCK BAR CA"/>
    <m/>
    <m/>
    <n v="24"/>
    <m/>
    <n v="0"/>
    <s v="ENVIRONMENTAL METAL WORKS"/>
    <m/>
    <s v="CONTAINERS"/>
    <s v="TBA"/>
    <m/>
    <s v="5 YD"/>
    <s v="FEL/REL/SL Metal"/>
    <d v="2022-05-12T00:00:00"/>
    <d v="2022-05-12T00:00:00"/>
    <s v="2111-22-0033-1"/>
    <n v="1200"/>
    <n v="14050"/>
    <n v="39634.42"/>
    <n v="14056"/>
    <n v="7981.94"/>
    <n v="31652.48"/>
    <n v="2477.16"/>
    <n v="54260"/>
    <n v="275.24"/>
    <s v="P"/>
    <m/>
    <m/>
    <s v=" "/>
    <s v="STL"/>
    <s v="YES"/>
    <s v="TBD"/>
    <s v="Containers"/>
    <x v="5"/>
    <n v="5"/>
    <n v="2022"/>
    <n v="2034"/>
    <n v="2034.4166666666667"/>
    <n v="275.23902777777778"/>
    <n v="3302.8683333333333"/>
    <n v="3302.8683333333333"/>
    <n v="6330.4976388883879"/>
    <n v="9633.3659722217217"/>
    <n v="30001.054027778278"/>
    <s v="No"/>
  </r>
  <r>
    <n v="2111"/>
    <n v="282634"/>
    <s v="P"/>
    <s v="Capitalized"/>
    <s v="2022 International HV607"/>
    <m/>
    <m/>
    <n v="1"/>
    <s v="3HAEJTAL4NL467067"/>
    <n v="2022"/>
    <s v="xxx"/>
    <s v="xxx"/>
    <s v="TRUCKS AND TRAILERS"/>
    <s v="TBA"/>
    <s v="Container Delivery Truck"/>
    <m/>
    <m/>
    <d v="2022-05-18T00:00:00"/>
    <d v="2022-05-18T00:00:00"/>
    <s v="2111-22-0039-1"/>
    <n v="1000"/>
    <n v="14040"/>
    <n v="85390.76"/>
    <n v="14046"/>
    <n v="19924.52"/>
    <n v="65466.239999999991"/>
    <n v="6404.31"/>
    <n v="51260"/>
    <n v="711.59"/>
    <s v="P"/>
    <m/>
    <m/>
    <s v=" "/>
    <s v="STL"/>
    <s v="YES"/>
    <s v="TBD"/>
    <s v="Garbage Trucks"/>
    <x v="0"/>
    <n v="5"/>
    <n v="2022"/>
    <n v="2032"/>
    <n v="2032.4166666666667"/>
    <n v="711.58966666666663"/>
    <n v="8539.0759999999991"/>
    <n v="8539.0759999999991"/>
    <n v="16366.56233333204"/>
    <n v="24905.638333332041"/>
    <n v="60485.121666667954"/>
    <s v="No"/>
  </r>
  <r>
    <n v="2111"/>
    <n v="282055"/>
    <n v="282053"/>
    <s v="Capitalized"/>
    <s v="Docking Station for Win Ten Upgrade - No SN on Amazon Purchases"/>
    <m/>
    <m/>
    <n v="1"/>
    <m/>
    <n v="0"/>
    <s v="AMZN MKTP US 1R9QU6AZ1"/>
    <m/>
    <s v="HARDWARE AND SOFTWARE"/>
    <s v="TBA"/>
    <m/>
    <m/>
    <m/>
    <d v="2022-04-26T00:00:00"/>
    <d v="2022-04-26T00:00:00"/>
    <s v="2111-22-0036-2"/>
    <n v="300"/>
    <n v="14110"/>
    <n v="306.89"/>
    <n v="14116"/>
    <n v="247.18"/>
    <n v="59.70999999999998"/>
    <n v="76.680000000000007"/>
    <n v="70260"/>
    <n v="8.52"/>
    <s v="P"/>
    <m/>
    <m/>
    <s v=" "/>
    <s v="STL"/>
    <s v="YES"/>
    <s v="TBD"/>
    <s v="Office"/>
    <x v="10"/>
    <n v="4"/>
    <n v="2022"/>
    <n v="2025"/>
    <n v="2025.3333333333333"/>
    <n v="8.5247222222222216"/>
    <n v="102.29666666666665"/>
    <n v="102.29666666666665"/>
    <n v="204.59333333333333"/>
    <n v="306.89"/>
    <n v="0"/>
    <s v="No"/>
  </r>
  <r>
    <n v="2111"/>
    <n v="282054"/>
    <n v="282053"/>
    <s v="Capitalized"/>
    <s v="Docking Station for Win Ten Upgrade - No SN on Amazon Purchases"/>
    <m/>
    <m/>
    <n v="1"/>
    <m/>
    <n v="0"/>
    <s v="AMZN MKTP US 1L7DL2JJ2"/>
    <m/>
    <s v="HARDWARE AND SOFTWARE"/>
    <s v="TBA"/>
    <m/>
    <m/>
    <m/>
    <d v="2022-04-26T00:00:00"/>
    <d v="2022-04-26T00:00:00"/>
    <s v="2111-22-0036-2"/>
    <n v="300"/>
    <n v="14110"/>
    <n v="305.22000000000003"/>
    <n v="14116"/>
    <n v="245.89"/>
    <n v="59.330000000000041"/>
    <n v="76.319999999999993"/>
    <n v="70260"/>
    <n v="8.48"/>
    <s v="P"/>
    <m/>
    <m/>
    <s v=" "/>
    <s v="STL"/>
    <s v="YES"/>
    <s v="TBD"/>
    <s v="Office"/>
    <x v="10"/>
    <n v="4"/>
    <n v="2022"/>
    <n v="2025"/>
    <n v="2025.3333333333333"/>
    <n v="8.4783333333333335"/>
    <n v="101.74000000000001"/>
    <n v="101.74000000000001"/>
    <n v="203.48000000000002"/>
    <n v="305.22000000000003"/>
    <n v="0"/>
    <s v="No"/>
  </r>
  <r>
    <n v="2111"/>
    <n v="282053"/>
    <s v="P"/>
    <s v="Capitalized"/>
    <s v="Dell Wyse 5070 Terminal SN 793FWM3"/>
    <m/>
    <m/>
    <n v="1"/>
    <m/>
    <n v="0"/>
    <s v="CDW DIR #2111 WIN 10 U"/>
    <m/>
    <s v="HARDWARE AND SOFTWARE"/>
    <s v="TBA"/>
    <m/>
    <m/>
    <m/>
    <d v="2022-04-26T00:00:00"/>
    <d v="2022-04-26T00:00:00"/>
    <s v="2111-22-0036-1"/>
    <n v="300"/>
    <n v="14110"/>
    <n v="547.62"/>
    <n v="14116"/>
    <n v="441.12"/>
    <n v="106.5"/>
    <n v="136.88999999999999"/>
    <n v="70260"/>
    <n v="15.21"/>
    <s v="P"/>
    <m/>
    <m/>
    <s v=" "/>
    <s v="STL"/>
    <s v="YES"/>
    <s v="TBD"/>
    <s v="Office"/>
    <x v="10"/>
    <n v="4"/>
    <n v="2022"/>
    <n v="2025"/>
    <n v="2025.3333333333333"/>
    <n v="15.211666666666666"/>
    <n v="182.54"/>
    <n v="182.54"/>
    <n v="365.08000000000004"/>
    <n v="547.62"/>
    <n v="0"/>
    <s v="No"/>
  </r>
  <r>
    <n v="2111"/>
    <n v="281814"/>
    <s v="P"/>
    <s v="Capitalized"/>
    <s v="2001 Ford F150 Truck"/>
    <m/>
    <m/>
    <n v="1"/>
    <s v="2FTRX17L81CA67691"/>
    <n v="2001"/>
    <s v="FORD F-150"/>
    <s v="Pickup"/>
    <s v="TRUCKS AND TRAILERS"/>
    <s v="TBA"/>
    <s v="Pickup Truck"/>
    <m/>
    <m/>
    <d v="2004-06-29T00:00:00"/>
    <d v="2004-06-29T00:00:00"/>
    <n v="42150002"/>
    <n v="300"/>
    <n v="14040"/>
    <n v="18999.91"/>
    <n v="14046"/>
    <n v="18999.91"/>
    <n v="0"/>
    <n v="0"/>
    <n v="51260"/>
    <n v="0"/>
    <s v="P"/>
    <n v="0"/>
    <n v="4"/>
    <s v=" "/>
    <s v="STL"/>
    <s v="YES"/>
    <s v="TBD"/>
    <s v="Shop Equipment "/>
    <x v="1"/>
    <n v="6"/>
    <n v="2004"/>
    <n v="2007"/>
    <n v="2007.5"/>
    <n v="527.77527777777777"/>
    <n v="6333.3033333333333"/>
    <n v="0"/>
    <n v="18999.91"/>
    <n v="18999.91"/>
    <n v="0"/>
    <s v="No"/>
  </r>
  <r>
    <n v="2111"/>
    <n v="281813"/>
    <s v="P"/>
    <s v="Capitalized"/>
    <s v="2001 Used Ford F150 Truck"/>
    <m/>
    <m/>
    <n v="1"/>
    <s v="1FTZX17221NB28132"/>
    <n v="2001"/>
    <s v="Ford F150"/>
    <s v="Other"/>
    <s v="TRUCKS AND TRAILERS"/>
    <s v="TBA"/>
    <s v="Pickup Truck"/>
    <m/>
    <m/>
    <d v="2004-04-23T00:00:00"/>
    <d v="2004-04-23T00:00:00"/>
    <n v="42132002"/>
    <n v="300"/>
    <n v="14040"/>
    <n v="18996.36"/>
    <n v="14046"/>
    <n v="18996.36"/>
    <n v="0"/>
    <n v="0"/>
    <n v="51260"/>
    <n v="0"/>
    <s v="P"/>
    <n v="0"/>
    <n v="105"/>
    <s v=" "/>
    <s v="STL"/>
    <s v="YES"/>
    <s v="TBD"/>
    <s v="Shop Equipment "/>
    <x v="1"/>
    <n v="4"/>
    <n v="2004"/>
    <n v="2007"/>
    <n v="2007.3333333333333"/>
    <n v="527.67666666666662"/>
    <n v="6332.119999999999"/>
    <n v="0"/>
    <n v="18996.36"/>
    <n v="18996.36"/>
    <n v="0"/>
    <s v="No"/>
  </r>
  <r>
    <n v="2111"/>
    <n v="281812"/>
    <s v="P"/>
    <s v="Capitalized"/>
    <s v="Isuzu 12' Box Truck"/>
    <m/>
    <m/>
    <n v="1"/>
    <s v="JALC4W167C7000384"/>
    <n v="2012"/>
    <s v="Penske"/>
    <s v="Isuzu"/>
    <s v="TRUCKS AND TRAILERS"/>
    <s v="TBA"/>
    <s v="Container Delivery Truck"/>
    <m/>
    <m/>
    <d v="2015-12-26T00:00:00"/>
    <d v="2015-12-26T00:00:00"/>
    <s v="2140-15-0022-1"/>
    <n v="600"/>
    <n v="14040"/>
    <n v="37503.75"/>
    <n v="14046"/>
    <n v="37503.75"/>
    <n v="0"/>
    <n v="0"/>
    <n v="51260"/>
    <n v="0"/>
    <s v="P"/>
    <n v="0"/>
    <s v="C-5"/>
    <s v=" "/>
    <s v="STL"/>
    <s v="YES"/>
    <s v="TBD"/>
    <s v="Delivery Trucks"/>
    <x v="2"/>
    <n v="12"/>
    <n v="2015"/>
    <n v="2021"/>
    <n v="2022"/>
    <n v="520.88541666666663"/>
    <n v="6250.625"/>
    <n v="0"/>
    <n v="37503.75"/>
    <n v="37503.75"/>
    <n v="0"/>
    <s v="No"/>
  </r>
  <r>
    <n v="2111"/>
    <n v="281811"/>
    <s v="P"/>
    <s v="Capitalized"/>
    <s v="Isuzu 12' Box Truck"/>
    <m/>
    <m/>
    <n v="1"/>
    <s v="JALC4W167C7000353"/>
    <n v="2012"/>
    <s v="Penske"/>
    <s v="Isuzu"/>
    <s v="TRUCKS AND TRAILERS"/>
    <s v="TBA"/>
    <s v="Container Delivery Truck"/>
    <m/>
    <m/>
    <d v="2015-12-25T00:00:00"/>
    <d v="2015-12-25T00:00:00"/>
    <s v="2140-15-0021-1"/>
    <n v="600"/>
    <n v="14040"/>
    <n v="37777.5"/>
    <n v="14046"/>
    <n v="37777.5"/>
    <n v="0"/>
    <n v="0"/>
    <n v="51260"/>
    <n v="0"/>
    <s v="P"/>
    <n v="0"/>
    <s v="C-4"/>
    <s v=" "/>
    <s v="STL"/>
    <s v="YES"/>
    <s v="TBD"/>
    <s v="Delivery Trucks"/>
    <x v="2"/>
    <n v="12"/>
    <n v="2015"/>
    <n v="2021"/>
    <n v="2022"/>
    <n v="524.6875"/>
    <n v="6296.25"/>
    <n v="0"/>
    <n v="37777.5"/>
    <n v="37777.5"/>
    <n v="0"/>
    <s v="No"/>
  </r>
  <r>
    <n v="2111"/>
    <n v="281809"/>
    <s v="P"/>
    <s v="Capitalized"/>
    <s v="New 2010 Ford F-150 Shop Truck# 7"/>
    <m/>
    <m/>
    <n v="1"/>
    <s v="1FTEX1E87AFA87626"/>
    <n v="2010"/>
    <s v="Ford F150"/>
    <s v="Pickup"/>
    <s v="TRUCKS AND TRAILERS"/>
    <s v="TBA"/>
    <s v="Pickup Truck"/>
    <m/>
    <m/>
    <d v="2010-03-01T00:00:00"/>
    <d v="2010-03-01T00:00:00"/>
    <s v="2140-10-0008-1"/>
    <n v="500"/>
    <n v="14040"/>
    <n v="29841.64"/>
    <n v="14046"/>
    <n v="29841.64"/>
    <n v="0"/>
    <n v="0"/>
    <n v="51260"/>
    <n v="0"/>
    <s v="P"/>
    <m/>
    <n v="7"/>
    <s v=" "/>
    <s v="STL"/>
    <s v="YES"/>
    <s v="TBD"/>
    <s v="Service Equipment "/>
    <x v="9"/>
    <n v="3"/>
    <n v="2010"/>
    <n v="2015"/>
    <n v="2015.25"/>
    <n v="497.36066666666665"/>
    <n v="5968.3279999999995"/>
    <n v="0"/>
    <n v="29841.64"/>
    <n v="29841.64"/>
    <n v="0"/>
    <s v="No"/>
  </r>
  <r>
    <n v="2111"/>
    <n v="281567"/>
    <s v="P"/>
    <s v="Capitalized"/>
    <s v="6 Yd Containers"/>
    <m/>
    <m/>
    <n v="5"/>
    <m/>
    <n v="0"/>
    <m/>
    <m/>
    <s v="CONTAINERS"/>
    <s v="TBA"/>
    <m/>
    <s v="6 YD"/>
    <s v="FEL/REL/SL Metal"/>
    <d v="2010-07-01T00:00:00"/>
    <d v="2010-07-01T00:00:00"/>
    <m/>
    <n v="700"/>
    <n v="14050"/>
    <n v="681.8"/>
    <n v="14056"/>
    <n v="681.8"/>
    <n v="0"/>
    <n v="0"/>
    <n v="54260"/>
    <n v="0"/>
    <s v="A"/>
    <s v="CWI"/>
    <s v="NA"/>
    <s v=" "/>
    <s v="STL"/>
    <s v="YES"/>
    <s v="TBD"/>
    <s v="Containers"/>
    <x v="5"/>
    <n v="7"/>
    <n v="2010"/>
    <n v="2017"/>
    <n v="2017.5833333333333"/>
    <n v="8.1166666666666654"/>
    <n v="97.399999999999977"/>
    <n v="0"/>
    <n v="681.8"/>
    <n v="681.8"/>
    <n v="0"/>
    <s v="No"/>
  </r>
  <r>
    <n v="2111"/>
    <n v="281477"/>
    <s v="P"/>
    <s v="Capitalized"/>
    <s v="25 YD Roll Off Containers"/>
    <m/>
    <m/>
    <n v="2"/>
    <m/>
    <n v="0"/>
    <m/>
    <m/>
    <s v="CONTAINERS"/>
    <s v="TBA"/>
    <m/>
    <s v="25 YD"/>
    <s v="RO Box"/>
    <d v="1999-09-01T00:00:00"/>
    <d v="1999-09-01T00:00:00"/>
    <m/>
    <n v="1000"/>
    <n v="14050"/>
    <n v="60"/>
    <n v="14056"/>
    <n v="60"/>
    <n v="0"/>
    <n v="0"/>
    <n v="54260"/>
    <n v="0"/>
    <s v="A"/>
    <s v="El Paso Disposal"/>
    <s v="NA"/>
    <s v=" "/>
    <s v="STL"/>
    <s v="YES"/>
    <s v="TBD"/>
    <m/>
    <x v="5"/>
    <n v="9"/>
    <n v="1999"/>
    <n v="2009"/>
    <n v="2009.75"/>
    <n v="0.5"/>
    <n v="6"/>
    <n v="0"/>
    <n v="60"/>
    <n v="60"/>
    <n v="0"/>
    <s v="No"/>
  </r>
  <r>
    <n v="2111"/>
    <n v="281398"/>
    <s v="P"/>
    <s v="Capitalized"/>
    <s v="1 yd Commercial Containers"/>
    <m/>
    <m/>
    <n v="14"/>
    <m/>
    <n v="0"/>
    <m/>
    <m/>
    <s v="CONTAINERS"/>
    <s v="TBA"/>
    <m/>
    <s v="1 YD"/>
    <s v="FEL/REL/SL Metal"/>
    <d v="2017-01-03T00:00:00"/>
    <d v="2017-01-03T00:00:00"/>
    <m/>
    <n v="700"/>
    <n v="14050"/>
    <n v="2100"/>
    <n v="14056"/>
    <n v="2100"/>
    <n v="0"/>
    <n v="0"/>
    <n v="54260"/>
    <n v="0"/>
    <s v="A"/>
    <s v="Groot"/>
    <s v="NA"/>
    <s v=" "/>
    <s v="STL"/>
    <s v="YES"/>
    <s v="TBD"/>
    <s v="Containers"/>
    <x v="5"/>
    <n v="1"/>
    <n v="2017"/>
    <n v="2024"/>
    <n v="2024.0833333333333"/>
    <n v="25"/>
    <n v="300"/>
    <n v="0"/>
    <n v="2100"/>
    <n v="2100"/>
    <n v="0"/>
    <s v="No"/>
  </r>
  <r>
    <n v="2111"/>
    <n v="281249"/>
    <s v="P"/>
    <s v="Capitalized"/>
    <s v="20 YD Rolloff"/>
    <m/>
    <m/>
    <n v="12"/>
    <m/>
    <n v="0"/>
    <m/>
    <m/>
    <s v="CONTAINERS"/>
    <s v="TBA"/>
    <m/>
    <s v="20 YD"/>
    <s v="RO Box"/>
    <d v="2019-04-01T00:00:00"/>
    <d v="2019-04-01T00:00:00"/>
    <m/>
    <n v="700"/>
    <n v="14050"/>
    <n v="36000"/>
    <n v="14056"/>
    <n v="28285.7"/>
    <n v="7714.2999999999993"/>
    <n v="3857.13"/>
    <n v="54260"/>
    <n v="428.57"/>
    <s v="A"/>
    <s v="Mountain Waste"/>
    <n v="14050"/>
    <s v=" "/>
    <s v="STL"/>
    <s v="YES"/>
    <s v="TBD"/>
    <s v="Drop Boxes"/>
    <x v="16"/>
    <n v="4"/>
    <n v="2019"/>
    <n v="2026"/>
    <n v="2026.3333333333333"/>
    <n v="428.57142857142861"/>
    <n v="5142.8571428571431"/>
    <n v="5142.8571428571431"/>
    <n v="25714.285714285714"/>
    <n v="30857.142857142855"/>
    <n v="5142.8571428571449"/>
    <s v="No"/>
  </r>
  <r>
    <n v="2111"/>
    <n v="281236"/>
    <s v="P"/>
    <s v="Capitalized"/>
    <s v="20 YD RO CONTAINER"/>
    <m/>
    <m/>
    <n v="13"/>
    <m/>
    <n v="0"/>
    <n v="0"/>
    <m/>
    <s v="CONTAINERS"/>
    <s v="TBA"/>
    <m/>
    <s v="20 YD"/>
    <s v="RO Box"/>
    <d v="2018-01-01T00:00:00"/>
    <d v="2018-01-01T00:00:00"/>
    <m/>
    <n v="700"/>
    <n v="14050"/>
    <n v="30500"/>
    <n v="14056"/>
    <n v="29410.75"/>
    <n v="1089.25"/>
    <n v="3267.9"/>
    <n v="54260"/>
    <n v="363.1"/>
    <s v="A"/>
    <s v="Bay Disposal"/>
    <s v="NA"/>
    <s v=" "/>
    <s v="STL"/>
    <s v="YES"/>
    <s v="TBD"/>
    <s v="Drop Boxes"/>
    <x v="16"/>
    <n v="1"/>
    <n v="2018"/>
    <n v="2025"/>
    <n v="2025.0833333333333"/>
    <n v="363.09523809523807"/>
    <n v="4357.1428571428569"/>
    <n v="0"/>
    <n v="27232.142857142859"/>
    <n v="30500"/>
    <n v="0"/>
    <s v="No"/>
  </r>
  <r>
    <n v="2111"/>
    <n v="281229"/>
    <s v="P"/>
    <s v="Capitalized"/>
    <s v="20Yd R/O Container"/>
    <m/>
    <m/>
    <n v="8"/>
    <m/>
    <n v="0"/>
    <m/>
    <m/>
    <s v="CONTAINERS"/>
    <s v="TBA"/>
    <m/>
    <s v="20 YD"/>
    <s v="RO Box"/>
    <d v="2016-06-01T00:00:00"/>
    <d v="2016-06-01T00:00:00"/>
    <m/>
    <n v="700"/>
    <n v="14050"/>
    <n v="12000"/>
    <n v="14056"/>
    <n v="12000"/>
    <n v="0"/>
    <n v="0"/>
    <n v="54260"/>
    <n v="0"/>
    <s v="P"/>
    <m/>
    <m/>
    <s v=" "/>
    <s v="STL"/>
    <s v="YES"/>
    <s v="TBD"/>
    <s v="Drop Boxes"/>
    <x v="16"/>
    <n v="6"/>
    <n v="2016"/>
    <n v="2023"/>
    <n v="2023.5"/>
    <n v="142.85714285714286"/>
    <n v="1714.2857142857142"/>
    <n v="0"/>
    <n v="12000"/>
    <n v="12000"/>
    <n v="0"/>
    <s v="No"/>
  </r>
  <r>
    <n v="2111"/>
    <n v="281223"/>
    <s v="P"/>
    <s v="Capitalized"/>
    <s v="20 yd R/O Containers"/>
    <m/>
    <m/>
    <n v="20"/>
    <m/>
    <n v="0"/>
    <m/>
    <m/>
    <s v="CONTAINERS"/>
    <s v="TBA"/>
    <m/>
    <s v="20 YD"/>
    <s v="RO Box"/>
    <d v="2017-01-03T00:00:00"/>
    <d v="2017-01-03T00:00:00"/>
    <m/>
    <n v="700"/>
    <n v="14050"/>
    <n v="50000"/>
    <n v="14056"/>
    <n v="50000"/>
    <n v="0"/>
    <n v="0"/>
    <n v="54260"/>
    <n v="0"/>
    <s v="A"/>
    <s v="Groot"/>
    <s v="NA"/>
    <s v=" "/>
    <s v="STL"/>
    <s v="YES"/>
    <s v="TBD"/>
    <s v="Drop Boxes"/>
    <x v="16"/>
    <n v="1"/>
    <n v="2017"/>
    <n v="2024"/>
    <n v="2024.0833333333333"/>
    <n v="595.2380952380953"/>
    <n v="7142.8571428571431"/>
    <n v="0"/>
    <n v="50000"/>
    <n v="50000"/>
    <n v="0"/>
    <s v="No"/>
  </r>
  <r>
    <n v="2111"/>
    <n v="281175"/>
    <s v="P"/>
    <s v="Capitalized"/>
    <s v="Roll Off Bins"/>
    <m/>
    <m/>
    <n v="8"/>
    <m/>
    <n v="0"/>
    <m/>
    <m/>
    <s v="CONTAINERS"/>
    <s v="TBA"/>
    <m/>
    <s v="20 YD"/>
    <s v="RO Box"/>
    <d v="2012-10-25T00:00:00"/>
    <d v="2012-10-25T00:00:00"/>
    <m/>
    <n v="1000"/>
    <n v="14050"/>
    <n v="138250"/>
    <n v="14056"/>
    <n v="138250"/>
    <n v="0"/>
    <n v="0"/>
    <n v="54260"/>
    <n v="0"/>
    <s v="A"/>
    <s v="R360"/>
    <s v="NA"/>
    <s v=" "/>
    <s v="STL"/>
    <s v="YES"/>
    <s v="TBD"/>
    <s v="Drop Boxes"/>
    <x v="16"/>
    <n v="10"/>
    <n v="2012"/>
    <n v="2022"/>
    <n v="2022.8333333333333"/>
    <n v="1152.0833333333333"/>
    <n v="13825"/>
    <n v="0"/>
    <n v="138250"/>
    <n v="138250"/>
    <n v="0"/>
    <s v="No"/>
  </r>
  <r>
    <n v="2111"/>
    <n v="281173"/>
    <s v="P"/>
    <s v="Capitalized"/>
    <s v="20 YD Roll Off Bins"/>
    <m/>
    <m/>
    <n v="1"/>
    <m/>
    <n v="0"/>
    <m/>
    <m/>
    <s v="CONTAINERS"/>
    <s v="TBA"/>
    <m/>
    <s v="20 YD"/>
    <s v="RO Box"/>
    <d v="2012-10-25T00:00:00"/>
    <d v="2012-10-25T00:00:00"/>
    <m/>
    <n v="1000"/>
    <n v="14050"/>
    <n v="12666.67"/>
    <n v="14056"/>
    <n v="12666.67"/>
    <n v="0"/>
    <n v="0"/>
    <n v="54260"/>
    <n v="0"/>
    <s v="A"/>
    <s v="R360"/>
    <s v="NA"/>
    <s v=" "/>
    <s v="STL"/>
    <s v="YES"/>
    <s v="TBD"/>
    <s v="Drop Boxes"/>
    <x v="16"/>
    <n v="10"/>
    <n v="2012"/>
    <n v="2022"/>
    <n v="2022.8333333333333"/>
    <n v="105.55558333333333"/>
    <n v="1266.6669999999999"/>
    <n v="0"/>
    <n v="12666.67"/>
    <n v="12666.67"/>
    <n v="0"/>
    <s v="No"/>
  </r>
  <r>
    <n v="2111"/>
    <n v="281056"/>
    <s v="P"/>
    <s v="Capitalized"/>
    <s v="30 YD Roll Off Containers"/>
    <m/>
    <m/>
    <n v="34"/>
    <m/>
    <n v="0"/>
    <m/>
    <m/>
    <s v="CONTAINERS"/>
    <s v="TBA"/>
    <m/>
    <s v="30 YD"/>
    <s v="RO Box"/>
    <d v="2000-05-01T00:00:00"/>
    <d v="2000-05-01T00:00:00"/>
    <m/>
    <n v="500"/>
    <n v="14050"/>
    <n v="12706.48"/>
    <n v="14056"/>
    <n v="12706.48"/>
    <n v="0"/>
    <n v="0"/>
    <n v="54260"/>
    <n v="0"/>
    <s v="A"/>
    <s v="BFI - Wichita"/>
    <s v="NA"/>
    <s v=" "/>
    <s v="STL"/>
    <s v="YES"/>
    <s v="TBD"/>
    <s v="Drop Boxes"/>
    <x v="16"/>
    <n v="5"/>
    <n v="2000"/>
    <n v="2005"/>
    <n v="2005.4166666666667"/>
    <n v="211.77466666666666"/>
    <n v="2541.2959999999998"/>
    <n v="0"/>
    <n v="12706.48"/>
    <n v="12706.48"/>
    <n v="0"/>
    <s v="No"/>
  </r>
  <r>
    <n v="2111"/>
    <n v="280497"/>
    <s v="P"/>
    <s v="Capitalized"/>
    <s v="4 YD FEL/REL/SL Metal"/>
    <m/>
    <m/>
    <n v="4"/>
    <m/>
    <n v="0"/>
    <m/>
    <s v="2022 Cont.Audit- Partial "/>
    <s v="CONTAINERS"/>
    <s v="TBA"/>
    <m/>
    <s v="4 YD"/>
    <s v="FEL/REL/SL Metal"/>
    <d v="2022-05-01T00:00:00"/>
    <d v="2022-05-01T00:00:00"/>
    <m/>
    <n v="0"/>
    <n v="14050"/>
    <n v="0"/>
    <n v="14056"/>
    <n v="0"/>
    <n v="0"/>
    <n v="0"/>
    <n v="54260"/>
    <n v="0"/>
    <s v="P"/>
    <m/>
    <m/>
    <s v=" "/>
    <s v="STL"/>
    <s v="NO"/>
    <s v="TBD"/>
    <s v="Containers"/>
    <x v="5"/>
    <n v="5"/>
    <n v="2022"/>
    <n v="2022"/>
    <n v="2022.4166666666667"/>
    <n v="0"/>
    <n v="0"/>
    <n v="0"/>
    <n v="0"/>
    <n v="0"/>
    <n v="0"/>
    <s v="No"/>
  </r>
  <r>
    <n v="2111"/>
    <n v="279876"/>
    <s v="P"/>
    <s v="Capitalized"/>
    <s v="1 Yard Commercial Containers"/>
    <m/>
    <m/>
    <n v="16"/>
    <m/>
    <n v="0"/>
    <m/>
    <m/>
    <s v="CONTAINERS"/>
    <s v="TBA"/>
    <m/>
    <s v="1 YD"/>
    <s v="FEL/REL/SL Metal"/>
    <d v="2008-11-03T00:00:00"/>
    <d v="2008-11-03T00:00:00"/>
    <m/>
    <n v="1200"/>
    <n v="14050"/>
    <n v="1519.98"/>
    <n v="14056"/>
    <n v="1519.98"/>
    <n v="0"/>
    <n v="0"/>
    <n v="54260"/>
    <n v="0"/>
    <s v="A"/>
    <s v="LeMay Enterprises"/>
    <s v="NA"/>
    <s v=" "/>
    <s v="STL"/>
    <s v="YES"/>
    <s v="TBD"/>
    <s v="Containers"/>
    <x v="5"/>
    <n v="11"/>
    <n v="2008"/>
    <n v="2020"/>
    <n v="2020.9166666666667"/>
    <n v="10.555416666666668"/>
    <n v="126.66500000000002"/>
    <n v="0"/>
    <n v="1519.98"/>
    <n v="1519.98"/>
    <n v="0"/>
    <s v="No"/>
  </r>
  <r>
    <n v="2111"/>
    <n v="279852"/>
    <s v="P"/>
    <s v="Capitalized"/>
    <s v="6YD Containers"/>
    <m/>
    <m/>
    <n v="12"/>
    <m/>
    <n v="0"/>
    <m/>
    <m/>
    <s v="CONTAINERS"/>
    <s v="TBA"/>
    <m/>
    <s v="6 YD"/>
    <s v="FEL/REL/SL Metal"/>
    <d v="2008-11-03T00:00:00"/>
    <d v="2008-11-03T00:00:00"/>
    <m/>
    <n v="700"/>
    <n v="14050"/>
    <n v="4776.6099999999997"/>
    <n v="14056"/>
    <n v="4776.6099999999997"/>
    <n v="0"/>
    <n v="0"/>
    <n v="54260"/>
    <n v="0"/>
    <s v="A"/>
    <s v="LeMay Enterprises"/>
    <s v="NA"/>
    <s v=" "/>
    <s v="STL"/>
    <s v="YES"/>
    <s v="TBD"/>
    <s v="Containers"/>
    <x v="5"/>
    <n v="11"/>
    <n v="2008"/>
    <n v="2015"/>
    <n v="2015.9166666666667"/>
    <n v="56.864404761904758"/>
    <n v="682.37285714285713"/>
    <n v="0"/>
    <n v="4776.6099999999997"/>
    <n v="4776.6099999999997"/>
    <n v="0"/>
    <s v="No"/>
  </r>
  <r>
    <n v="2111"/>
    <n v="278661"/>
    <s v="P"/>
    <s v="Capitalized"/>
    <s v="HP ProBook 630 G8 (SN=5CD147CKT3)"/>
    <m/>
    <m/>
    <n v="1"/>
    <m/>
    <n v="0"/>
    <s v="CDW DIR #2111 WIN 10 U"/>
    <m/>
    <s v="HARDWARE AND SOFTWARE"/>
    <s v="TBA"/>
    <m/>
    <m/>
    <m/>
    <d v="2022-04-26T00:00:00"/>
    <d v="2022-04-26T00:00:00"/>
    <s v="2111-22-0036-2"/>
    <n v="300"/>
    <n v="14110"/>
    <n v="1440.22"/>
    <n v="14116"/>
    <n v="1160.21"/>
    <n v="280.01"/>
    <n v="360.09"/>
    <n v="70260"/>
    <n v="40.01"/>
    <s v="P"/>
    <m/>
    <m/>
    <s v=" "/>
    <s v="STL"/>
    <s v="YES"/>
    <s v="TBD"/>
    <s v="Office"/>
    <x v="10"/>
    <n v="4"/>
    <n v="2022"/>
    <n v="2025"/>
    <n v="2025.3333333333333"/>
    <n v="40.00611111111111"/>
    <n v="480.07333333333332"/>
    <n v="480.07333333333332"/>
    <n v="960.14666666666676"/>
    <n v="1440.22"/>
    <n v="0"/>
    <s v="No"/>
  </r>
  <r>
    <n v="2111"/>
    <n v="278660"/>
    <s v="P"/>
    <s v="Capitalized"/>
    <s v="HP ProBook 630 G8 (SN=5CD147CKQ4)"/>
    <m/>
    <m/>
    <n v="1"/>
    <m/>
    <n v="0"/>
    <s v="CDW DIR #2111 WIN 10 U"/>
    <m/>
    <s v="HARDWARE AND SOFTWARE"/>
    <s v="TBA"/>
    <m/>
    <m/>
    <m/>
    <d v="2022-04-26T00:00:00"/>
    <d v="2022-04-26T00:00:00"/>
    <s v="2111-22-0036-2"/>
    <n v="300"/>
    <n v="14110"/>
    <n v="1440.22"/>
    <n v="14116"/>
    <n v="1160.21"/>
    <n v="280.01"/>
    <n v="360.09"/>
    <n v="70260"/>
    <n v="40.01"/>
    <s v="P"/>
    <m/>
    <m/>
    <s v=" "/>
    <s v="STL"/>
    <s v="YES"/>
    <s v="TBD"/>
    <s v="Office"/>
    <x v="10"/>
    <n v="4"/>
    <n v="2022"/>
    <n v="2025"/>
    <n v="2025.3333333333333"/>
    <n v="40.00611111111111"/>
    <n v="480.07333333333332"/>
    <n v="480.07333333333332"/>
    <n v="960.14666666666676"/>
    <n v="1440.22"/>
    <n v="0"/>
    <s v="No"/>
  </r>
  <r>
    <n v="2111"/>
    <n v="278659"/>
    <s v="P"/>
    <s v="Capitalized"/>
    <s v="HP ProBook 630 G8 (SN=5CD147CKQQ)"/>
    <m/>
    <m/>
    <n v="1"/>
    <m/>
    <n v="0"/>
    <s v="CDW DIR #2111 WIN 10 U"/>
    <m/>
    <s v="HARDWARE AND SOFTWARE"/>
    <s v="TBA"/>
    <m/>
    <m/>
    <m/>
    <d v="2022-04-26T00:00:00"/>
    <d v="2022-04-26T00:00:00"/>
    <s v="2111-22-0036-2"/>
    <n v="300"/>
    <n v="14110"/>
    <n v="1440.22"/>
    <n v="14116"/>
    <n v="1160.21"/>
    <n v="280.01"/>
    <n v="360.09"/>
    <n v="70260"/>
    <n v="40.01"/>
    <s v="P"/>
    <m/>
    <m/>
    <s v=" "/>
    <s v="STL"/>
    <s v="YES"/>
    <s v="TBD"/>
    <s v="Office"/>
    <x v="10"/>
    <n v="4"/>
    <n v="2022"/>
    <n v="2025"/>
    <n v="2025.3333333333333"/>
    <n v="40.00611111111111"/>
    <n v="480.07333333333332"/>
    <n v="480.07333333333332"/>
    <n v="960.14666666666676"/>
    <n v="1440.22"/>
    <n v="0"/>
    <s v="No"/>
  </r>
  <r>
    <n v="2111"/>
    <n v="278658"/>
    <s v="P"/>
    <s v="Capitalized"/>
    <s v="HP ProDesk 600 G6 (SN=MXL152171Y)"/>
    <m/>
    <m/>
    <n v="1"/>
    <m/>
    <n v="0"/>
    <s v="CDW DIR #2111 WIN 10 U"/>
    <m/>
    <s v="HARDWARE AND SOFTWARE"/>
    <s v="TBA"/>
    <m/>
    <m/>
    <m/>
    <d v="2022-04-26T00:00:00"/>
    <d v="2022-04-26T00:00:00"/>
    <s v="2111-22-0036-1"/>
    <n v="300"/>
    <n v="14110"/>
    <n v="871.38"/>
    <n v="14116"/>
    <n v="701.99"/>
    <n v="169.39"/>
    <n v="217.89"/>
    <n v="70260"/>
    <n v="24.21"/>
    <s v="P"/>
    <m/>
    <m/>
    <s v=" "/>
    <s v="STL"/>
    <s v="YES"/>
    <s v="TBD"/>
    <s v="Office"/>
    <x v="10"/>
    <n v="4"/>
    <n v="2022"/>
    <n v="2025"/>
    <n v="2025.3333333333333"/>
    <n v="24.204999999999998"/>
    <n v="290.45999999999998"/>
    <n v="290.45999999999998"/>
    <n v="580.92000000000007"/>
    <n v="871.38000000000011"/>
    <n v="0"/>
    <s v="No"/>
  </r>
  <r>
    <n v="2111"/>
    <n v="278098"/>
    <s v="P"/>
    <s v="Capitalized"/>
    <s v="2003 IHC 7400 Rear Loader"/>
    <m/>
    <m/>
    <n v="1"/>
    <s v="1HTWCAAN03J067538"/>
    <n v="2003"/>
    <s v="International 7400"/>
    <s v="McNeilus"/>
    <s v="TRUCKS AND TRAILERS"/>
    <s v="TBA"/>
    <s v="Rear Loader"/>
    <m/>
    <m/>
    <d v="2003-04-01T00:00:00"/>
    <d v="2003-01-31T00:00:00"/>
    <s v="03-2111-001"/>
    <n v="1000"/>
    <n v="14040"/>
    <n v="123452.02"/>
    <n v="14046"/>
    <n v="123452.02"/>
    <n v="0"/>
    <n v="0"/>
    <n v="51260"/>
    <n v="0"/>
    <s v="P"/>
    <m/>
    <n v="603"/>
    <s v=" "/>
    <s v="STL"/>
    <s v="YES"/>
    <s v="TBD"/>
    <s v="Garbage Trucks"/>
    <x v="0"/>
    <n v="4"/>
    <n v="2003"/>
    <n v="2013"/>
    <n v="2013.3333333333333"/>
    <n v="1028.7668333333334"/>
    <n v="12345.202000000001"/>
    <n v="0"/>
    <n v="123452.02"/>
    <n v="123452.02"/>
    <n v="0"/>
    <s v="No"/>
  </r>
  <r>
    <n v="2111"/>
    <n v="278097"/>
    <s v="P"/>
    <s v="Capitalized"/>
    <s v="2003 IHC 7400 Rear Loader"/>
    <m/>
    <m/>
    <n v="1"/>
    <s v="1HTWCAAN53J061301"/>
    <n v="2003"/>
    <s v="International 7400"/>
    <s v="McNeilus"/>
    <s v="TRUCKS AND TRAILERS"/>
    <s v="TBA"/>
    <s v="Rear Loader"/>
    <m/>
    <m/>
    <d v="2003-04-01T00:00:00"/>
    <d v="2003-01-31T00:00:00"/>
    <s v="03-2111-003"/>
    <n v="1000"/>
    <n v="14040"/>
    <n v="123452.02"/>
    <n v="14046"/>
    <n v="123452.02"/>
    <n v="0"/>
    <n v="0"/>
    <n v="51260"/>
    <n v="0"/>
    <s v="P"/>
    <m/>
    <n v="605"/>
    <s v=" "/>
    <s v="STL"/>
    <s v="YES"/>
    <s v="TBD"/>
    <s v="Garbage Trucks"/>
    <x v="0"/>
    <n v="4"/>
    <n v="2003"/>
    <n v="2013"/>
    <n v="2013.3333333333333"/>
    <n v="1028.7668333333334"/>
    <n v="12345.202000000001"/>
    <n v="0"/>
    <n v="123452.02"/>
    <n v="123452.02"/>
    <n v="0"/>
    <s v="No"/>
  </r>
  <r>
    <n v="2111"/>
    <n v="278096"/>
    <n v="278095"/>
    <s v="Capitalized"/>
    <s v="Engine Cap Repair"/>
    <m/>
    <m/>
    <n v="1"/>
    <m/>
    <n v="0"/>
    <s v="RWC GROUP"/>
    <m/>
    <s v="TRUCKS AND TRAILERS"/>
    <s v="TBA"/>
    <s v="Non-Rolling Stock"/>
    <m/>
    <m/>
    <d v="2016-03-31T00:00:00"/>
    <d v="2016-03-31T00:00:00"/>
    <s v="2111-16-0020-1"/>
    <n v="300"/>
    <n v="14040"/>
    <n v="20149.599999999999"/>
    <n v="14046"/>
    <n v="20149.599999999999"/>
    <n v="0"/>
    <n v="0"/>
    <n v="51260"/>
    <n v="0"/>
    <s v="P"/>
    <m/>
    <m/>
    <s v=" "/>
    <s v="STL"/>
    <s v="YES"/>
    <s v="TBD"/>
    <s v="Garbage Trucks"/>
    <x v="0"/>
    <n v="3"/>
    <n v="2016"/>
    <n v="2019"/>
    <n v="2019.25"/>
    <n v="559.71111111111111"/>
    <n v="6716.5333333333328"/>
    <n v="0"/>
    <n v="20149.599999999999"/>
    <n v="20149.599999999999"/>
    <n v="0"/>
    <s v="No"/>
  </r>
  <r>
    <n v="2111"/>
    <n v="278095"/>
    <s v="P"/>
    <s v="Capitalized"/>
    <s v="2003 IHC 7400 Rear Loader"/>
    <m/>
    <m/>
    <n v="1"/>
    <s v="1HTWCAAN33J061300"/>
    <n v="2003"/>
    <s v="International 7400"/>
    <s v="McNeilus"/>
    <s v="TRUCKS AND TRAILERS"/>
    <s v="TBA"/>
    <s v="Rear Loader"/>
    <m/>
    <m/>
    <d v="2003-04-01T00:00:00"/>
    <d v="2003-01-31T00:00:00"/>
    <s v="03-2111-005"/>
    <n v="1000"/>
    <n v="14040"/>
    <n v="123452.02"/>
    <n v="14046"/>
    <n v="123452.02"/>
    <n v="0"/>
    <n v="0"/>
    <n v="51260"/>
    <n v="0"/>
    <s v="P"/>
    <m/>
    <n v="607"/>
    <s v=" "/>
    <s v="STL"/>
    <s v="YES"/>
    <s v="TBD"/>
    <s v="Garbage Trucks"/>
    <x v="0"/>
    <n v="4"/>
    <n v="2003"/>
    <n v="2013"/>
    <n v="2013.3333333333333"/>
    <n v="1028.7668333333334"/>
    <n v="12345.202000000001"/>
    <n v="0"/>
    <n v="123452.02"/>
    <n v="123452.02"/>
    <n v="0"/>
    <s v="No"/>
  </r>
  <r>
    <n v="2111"/>
    <n v="278093"/>
    <s v="P"/>
    <s v="Capitalized"/>
    <s v="Peterbilt 320/Wayne Curbtender ASL"/>
    <m/>
    <m/>
    <n v="1"/>
    <s v="3BPZL70X6GF107179"/>
    <n v="2016"/>
    <m/>
    <s v="Wayne Curbtender"/>
    <s v="TRUCKS AND TRAILERS"/>
    <s v="TBA"/>
    <s v="Automated Side Loader"/>
    <m/>
    <m/>
    <d v="2015-12-31T00:00:00"/>
    <d v="2015-12-31T00:00:00"/>
    <s v="2140-15-0017-1"/>
    <n v="1000"/>
    <n v="14040"/>
    <n v="325201.34000000003"/>
    <n v="14046"/>
    <n v="284551.13"/>
    <n v="40650.210000000021"/>
    <n v="24390.09"/>
    <n v="51260"/>
    <n v="2710.01"/>
    <s v="P"/>
    <m/>
    <n v="835"/>
    <s v=" "/>
    <s v="STL"/>
    <s v="YES"/>
    <s v="TBD"/>
    <s v="Recycling and Yard Waste Trucks"/>
    <x v="14"/>
    <n v="12"/>
    <n v="2015"/>
    <n v="2025"/>
    <n v="2026"/>
    <n v="2710.0111666666667"/>
    <n v="32520.133999999998"/>
    <n v="32520.133999999998"/>
    <n v="271001.11666666425"/>
    <n v="303521.25066666427"/>
    <n v="21680.089333335753"/>
    <s v="No"/>
  </r>
  <r>
    <n v="2111"/>
    <n v="278092"/>
    <s v="P"/>
    <s v="Capitalized"/>
    <s v="Peterbilt 320/Wayne Curbtender ASL"/>
    <m/>
    <m/>
    <n v="1"/>
    <s v="3BPZL70X4GF107178"/>
    <n v="2016"/>
    <m/>
    <s v="Wayne Curbtender"/>
    <s v="TRUCKS AND TRAILERS"/>
    <s v="TBA"/>
    <s v="Automated Side Loader"/>
    <m/>
    <m/>
    <d v="2015-12-31T00:00:00"/>
    <d v="2015-12-31T00:00:00"/>
    <s v="2140-15-0018-1"/>
    <n v="900"/>
    <n v="14040"/>
    <n v="325233.34000000003"/>
    <n v="14046"/>
    <n v="316199.09999999998"/>
    <n v="9034.2400000000489"/>
    <n v="27102.78"/>
    <n v="51260"/>
    <n v="3011.42"/>
    <s v="P"/>
    <m/>
    <n v="834"/>
    <s v=" "/>
    <s v="STL"/>
    <s v="YES"/>
    <s v="TBD"/>
    <s v="Recycling and Yard Waste Trucks"/>
    <x v="14"/>
    <n v="12"/>
    <n v="2015"/>
    <n v="2024"/>
    <n v="2025"/>
    <n v="3011.4198148148153"/>
    <n v="36137.037777777783"/>
    <n v="0"/>
    <n v="301141.98148147878"/>
    <n v="325233.34000000003"/>
    <n v="0"/>
    <s v="No"/>
  </r>
  <r>
    <n v="2111"/>
    <n v="278091"/>
    <s v="P"/>
    <s v="Capitalized"/>
    <s v="Peterbilt 320/Wayne Curbtender ASL"/>
    <m/>
    <m/>
    <n v="1"/>
    <s v="3BPZL70X3GF106281"/>
    <n v="2016"/>
    <m/>
    <m/>
    <s v="TRUCKS AND TRAILERS"/>
    <s v="TBA"/>
    <s v="Automated Side Loader"/>
    <m/>
    <m/>
    <d v="2015-11-04T00:00:00"/>
    <d v="2015-11-04T00:00:00"/>
    <s v="2140-15-0001-1"/>
    <n v="1000"/>
    <n v="14040"/>
    <n v="326369.78000000003"/>
    <n v="14046"/>
    <n v="291013.09000000003"/>
    <n v="35356.69"/>
    <n v="24477.75"/>
    <n v="51260"/>
    <n v="2719.75"/>
    <s v="P"/>
    <m/>
    <n v="833"/>
    <s v=" "/>
    <s v="STL"/>
    <s v="YES"/>
    <s v="TBD"/>
    <s v="Recycling and Yard Waste Trucks"/>
    <x v="14"/>
    <n v="11"/>
    <n v="2015"/>
    <n v="2025"/>
    <n v="2025.9166666666667"/>
    <n v="2719.7481666666667"/>
    <n v="32636.978000000003"/>
    <n v="32636.978000000003"/>
    <n v="274694.56483332842"/>
    <n v="307331.54283332842"/>
    <n v="19038.237166671606"/>
    <s v="No"/>
  </r>
  <r>
    <n v="2111"/>
    <n v="278090"/>
    <s v="P"/>
    <s v="Capitalized"/>
    <s v="Peterbilt 320/Wayne Curbtender ASL"/>
    <m/>
    <m/>
    <n v="1"/>
    <s v="3BPZL70X5FF263258"/>
    <n v="2015"/>
    <m/>
    <s v="Wayne Curbtender"/>
    <s v="TRUCKS AND TRAILERS"/>
    <s v="TBA"/>
    <s v="Automated Side Loader"/>
    <m/>
    <m/>
    <d v="2015-05-01T00:00:00"/>
    <d v="2015-05-01T00:00:00"/>
    <s v="2140-15-0015-1"/>
    <n v="1000"/>
    <n v="14040"/>
    <n v="329760.08"/>
    <n v="14046"/>
    <n v="310524.09000000003"/>
    <n v="19235.989999999991"/>
    <n v="24732"/>
    <n v="51260"/>
    <n v="2748"/>
    <s v="P"/>
    <m/>
    <n v="830"/>
    <s v=" "/>
    <s v="STL"/>
    <s v="YES"/>
    <s v="TBD"/>
    <s v="Recycling and Yard Waste Trucks"/>
    <x v="14"/>
    <n v="5"/>
    <n v="2015"/>
    <n v="2025"/>
    <n v="2025.4166666666667"/>
    <n v="2748.0006666666668"/>
    <n v="32976.008000000002"/>
    <n v="32976.008000000002"/>
    <n v="294036.07133332838"/>
    <n v="327012.07933332841"/>
    <n v="2748.0006666716072"/>
    <s v="No"/>
  </r>
  <r>
    <n v="2111"/>
    <n v="278089"/>
    <s v="P"/>
    <s v="Capitalized"/>
    <s v="1994 Type HT C-C Trailer"/>
    <m/>
    <m/>
    <n v="1"/>
    <s v="1G9CH534XR1109015"/>
    <n v="1994"/>
    <s v="Wabash"/>
    <s v="Other"/>
    <s v="TRUCKS AND TRAILERS"/>
    <s v="TBA"/>
    <s v="Other Trailer"/>
    <m/>
    <m/>
    <d v="2008-11-03T00:00:00"/>
    <d v="2008-11-03T00:00:00"/>
    <m/>
    <n v="300"/>
    <n v="14040"/>
    <n v="2500"/>
    <n v="14046"/>
    <n v="2500"/>
    <n v="0"/>
    <n v="0"/>
    <n v="51260"/>
    <n v="0"/>
    <s v="A"/>
    <s v="LeMay Enterprises"/>
    <n v="8404"/>
    <s v=" "/>
    <s v="STL"/>
    <s v="YES"/>
    <s v="TBD"/>
    <s v="Recycling and Yard Waste Trucks"/>
    <x v="14"/>
    <n v="11"/>
    <n v="2008"/>
    <n v="2011"/>
    <n v="2011.9166666666667"/>
    <n v="69.444444444444443"/>
    <n v="833.33333333333326"/>
    <n v="0"/>
    <n v="2500"/>
    <n v="2500"/>
    <n v="0"/>
    <s v="No"/>
  </r>
  <r>
    <n v="2111"/>
    <n v="278088"/>
    <s v="P"/>
    <s v="Capitalized"/>
    <s v="Peterbilt 320/Waye Curbtender ASL"/>
    <m/>
    <m/>
    <n v="1"/>
    <s v="3BPZL70X4FF265843"/>
    <n v="2015"/>
    <m/>
    <s v="Peterbilt"/>
    <s v="TRUCKS AND TRAILERS"/>
    <s v="TBA"/>
    <s v="Automated Side Loader"/>
    <m/>
    <m/>
    <d v="2014-10-30T00:00:00"/>
    <d v="2014-10-30T00:00:00"/>
    <s v="2140-14-0001-1"/>
    <n v="1000"/>
    <n v="14040"/>
    <n v="325021.65999999997"/>
    <n v="14046"/>
    <n v="322313.15000000002"/>
    <n v="2708.5099999999511"/>
    <n v="24376.59"/>
    <n v="51260"/>
    <n v="2708.51"/>
    <s v="P"/>
    <m/>
    <n v="827"/>
    <s v=" "/>
    <s v="STL"/>
    <s v="YES"/>
    <s v="TBD"/>
    <s v="Recycling and Yard Waste Trucks"/>
    <x v="14"/>
    <n v="10"/>
    <n v="2014"/>
    <n v="2024"/>
    <n v="2024.8333333333333"/>
    <n v="2708.513833333333"/>
    <n v="32502.165999999997"/>
    <n v="0"/>
    <n v="308770.57699999999"/>
    <n v="325021.65999999997"/>
    <n v="0"/>
    <s v="No"/>
  </r>
  <r>
    <n v="2111"/>
    <n v="278087"/>
    <s v="P"/>
    <s v="Capitalized"/>
    <s v="Peterbilt 320/Waye Curbtender ASL"/>
    <m/>
    <m/>
    <n v="1"/>
    <s v="3BPZL70X6FF265844"/>
    <n v="2015"/>
    <m/>
    <s v="Peterbilt"/>
    <s v="TRUCKS AND TRAILERS"/>
    <s v="TBA"/>
    <s v="Automated Side Loader"/>
    <m/>
    <m/>
    <d v="2014-08-30T00:00:00"/>
    <d v="2014-08-30T00:00:00"/>
    <s v="2140-14-0002-1"/>
    <n v="1000"/>
    <n v="14040"/>
    <n v="325021.64"/>
    <n v="14046"/>
    <n v="325021.64"/>
    <n v="0"/>
    <n v="21668.14"/>
    <n v="51260"/>
    <n v="2708.57"/>
    <s v="P"/>
    <m/>
    <n v="828"/>
    <s v=" "/>
    <s v="STL"/>
    <s v="YES"/>
    <s v="TBD"/>
    <s v="Recycling and Yard Waste Trucks"/>
    <x v="14"/>
    <n v="8"/>
    <n v="2014"/>
    <n v="2024"/>
    <n v="2024.6666666666667"/>
    <n v="2708.5136666666667"/>
    <n v="32502.164000000001"/>
    <n v="0"/>
    <n v="314187.5853333284"/>
    <n v="325021.64"/>
    <n v="0"/>
    <s v="No"/>
  </r>
  <r>
    <n v="2111"/>
    <n v="278086"/>
    <s v="P"/>
    <s v="Capitalized"/>
    <s v="Peterbilt 320/Waye Curbtender ASL"/>
    <m/>
    <m/>
    <n v="1"/>
    <s v="3BPZL70X2EF236985"/>
    <n v="2014"/>
    <s v="Solid Waste Systems"/>
    <s v="Peterbilt"/>
    <s v="TRUCKS AND TRAILERS"/>
    <s v="TBA"/>
    <s v="Automated Side Loader"/>
    <m/>
    <m/>
    <d v="2014-02-03T00:00:00"/>
    <d v="2014-02-03T00:00:00"/>
    <s v="2140-13-0002-1"/>
    <n v="1000"/>
    <n v="14040"/>
    <n v="318992.86"/>
    <n v="14046"/>
    <n v="318992.86"/>
    <n v="0"/>
    <n v="2658.24"/>
    <n v="51260"/>
    <n v="2658.24"/>
    <s v="P"/>
    <m/>
    <n v="824"/>
    <s v=" "/>
    <s v="STL"/>
    <s v="YES"/>
    <s v="TBD"/>
    <s v="Recycling and Yard Waste Trucks"/>
    <x v="14"/>
    <n v="2"/>
    <n v="2014"/>
    <n v="2024"/>
    <n v="2024.1666666666667"/>
    <n v="2658.2738333333332"/>
    <n v="31899.286"/>
    <n v="0"/>
    <n v="318992.86"/>
    <n v="318992.86"/>
    <n v="0"/>
    <s v="No"/>
  </r>
  <r>
    <n v="2111"/>
    <n v="278085"/>
    <n v="278083"/>
    <s v="Capitalized"/>
    <s v="Remanufactured Transmission (Truck 811)"/>
    <m/>
    <m/>
    <n v="1"/>
    <m/>
    <n v="0"/>
    <s v="ATR Transmission"/>
    <m/>
    <s v="TRUCKS AND TRAILERS"/>
    <s v="TBA"/>
    <s v="Non-Rolling Stock"/>
    <m/>
    <m/>
    <d v="2013-10-04T00:00:00"/>
    <d v="2013-10-04T00:00:00"/>
    <s v="2140-13-0015-1"/>
    <n v="300"/>
    <n v="14040"/>
    <n v="5032.3999999999996"/>
    <n v="14046"/>
    <n v="5032.3999999999996"/>
    <n v="0"/>
    <n v="0"/>
    <n v="51260"/>
    <n v="0"/>
    <s v="P"/>
    <m/>
    <m/>
    <s v=" "/>
    <s v="STL"/>
    <s v="YES"/>
    <s v="TBD"/>
    <s v="Recycling and Yard Waste Trucks"/>
    <x v="14"/>
    <n v="10"/>
    <n v="2013"/>
    <n v="2016"/>
    <n v="2016.8333333333333"/>
    <n v="139.78888888888886"/>
    <n v="1677.4666666666662"/>
    <n v="0"/>
    <n v="5032.3999999999996"/>
    <n v="5032.3999999999996"/>
    <n v="0"/>
    <s v="No"/>
  </r>
  <r>
    <n v="2111"/>
    <n v="278084"/>
    <n v="278083"/>
    <s v="Capitalized"/>
    <s v="SALES TAX &amp; LICENSING FEES"/>
    <m/>
    <m/>
    <n v="1"/>
    <s v="5VCEC6UE63N194663"/>
    <n v="2003"/>
    <m/>
    <m/>
    <s v="TRUCKS AND TRAILERS"/>
    <s v="TBA"/>
    <s v="Non-Rolling Stock"/>
    <m/>
    <m/>
    <d v="2006-06-10T00:00:00"/>
    <d v="2006-06-10T00:00:00"/>
    <s v="06-2140-002"/>
    <n v="900"/>
    <n v="14040"/>
    <n v="11830"/>
    <n v="14046"/>
    <n v="11830"/>
    <n v="0"/>
    <n v="0"/>
    <n v="51260"/>
    <n v="0"/>
    <s v="P"/>
    <m/>
    <m/>
    <s v=" "/>
    <s v="STL"/>
    <s v="YES"/>
    <s v="TBD"/>
    <s v="Recycling and Yard Waste Trucks"/>
    <x v="14"/>
    <n v="6"/>
    <n v="2006"/>
    <n v="2015"/>
    <n v="2015.5"/>
    <n v="109.53703703703702"/>
    <n v="1314.4444444444443"/>
    <n v="0"/>
    <n v="11830"/>
    <n v="11830"/>
    <n v="0"/>
    <s v="No"/>
  </r>
  <r>
    <n v="2111"/>
    <n v="278083"/>
    <s v="P"/>
    <s v="Capitalized"/>
    <s v="2003 Autocar Sideloader, Model WX64"/>
    <m/>
    <m/>
    <n v="1"/>
    <s v="5VCEC6UE63N194663"/>
    <n v="2003"/>
    <s v="Autocar WX64"/>
    <s v="McNeilus"/>
    <s v="TRUCKS AND TRAILERS"/>
    <s v="TBA"/>
    <s v="Rear Loader"/>
    <m/>
    <m/>
    <d v="2006-04-01T00:00:00"/>
    <d v="2006-04-01T00:00:00"/>
    <s v="06-2140-002"/>
    <n v="900"/>
    <n v="14040"/>
    <n v="130000"/>
    <n v="14046"/>
    <n v="130000"/>
    <n v="0"/>
    <n v="0"/>
    <n v="51260"/>
    <n v="0"/>
    <s v="P"/>
    <m/>
    <n v="811"/>
    <s v=" "/>
    <s v="STL"/>
    <s v="YES"/>
    <s v="TBD"/>
    <s v="Recycling and Yard Waste Trucks"/>
    <x v="14"/>
    <n v="4"/>
    <n v="2006"/>
    <n v="2015"/>
    <n v="2015.3333333333333"/>
    <n v="1203.7037037037037"/>
    <n v="14444.444444444445"/>
    <n v="0"/>
    <n v="130000"/>
    <n v="130000"/>
    <n v="0"/>
    <s v="No"/>
  </r>
  <r>
    <n v="2111"/>
    <n v="278082"/>
    <n v="278081"/>
    <s v="Capitalized"/>
    <s v="Sales tax"/>
    <m/>
    <m/>
    <n v="1"/>
    <m/>
    <n v="0"/>
    <s v="Washington Department of"/>
    <m/>
    <s v="TRUCKS AND TRAILERS"/>
    <s v="TBA"/>
    <s v="Automated Side Loader"/>
    <m/>
    <m/>
    <d v="2012-09-30T00:00:00"/>
    <d v="2012-09-30T00:00:00"/>
    <s v="2140-12-0002-1"/>
    <n v="900"/>
    <n v="14040"/>
    <n v="4462"/>
    <n v="14046"/>
    <n v="4462"/>
    <n v="0"/>
    <n v="0"/>
    <n v="51260"/>
    <n v="0"/>
    <s v="P"/>
    <m/>
    <m/>
    <s v=" "/>
    <s v="STL"/>
    <s v="YES"/>
    <s v="TBD"/>
    <s v="Recycling and Yard Waste Trucks"/>
    <x v="14"/>
    <n v="9"/>
    <n v="2012"/>
    <n v="2021"/>
    <n v="2021.75"/>
    <n v="41.314814814814817"/>
    <n v="495.77777777777783"/>
    <n v="0"/>
    <n v="4462"/>
    <n v="4462"/>
    <n v="0"/>
    <s v="No"/>
  </r>
  <r>
    <n v="2111"/>
    <n v="278081"/>
    <s v="P"/>
    <s v="Capitalized"/>
    <s v="New 2012 Peterbilt 320 w/ Wayne Curbtender 27 Cubic  Body - ASL"/>
    <m/>
    <m/>
    <n v="1"/>
    <s v="3BPZL70X5CF157582"/>
    <n v="2012"/>
    <s v="Peterbilt 320"/>
    <s v="Wayne"/>
    <s v="TRUCKS AND TRAILERS"/>
    <s v="TBA"/>
    <s v="Automated Side Loader"/>
    <m/>
    <m/>
    <d v="2012-09-30T00:00:00"/>
    <d v="2012-09-30T00:00:00"/>
    <s v="2140-12-0002-1"/>
    <n v="900"/>
    <n v="14040"/>
    <n v="317737.38"/>
    <n v="14046"/>
    <n v="317737.38"/>
    <n v="0"/>
    <n v="0"/>
    <n v="51260"/>
    <n v="0"/>
    <s v="P"/>
    <m/>
    <n v="821"/>
    <s v=" "/>
    <s v="STL"/>
    <s v="YES"/>
    <s v="TBD"/>
    <s v="Recycling and Yard Waste Trucks"/>
    <x v="14"/>
    <n v="9"/>
    <n v="2012"/>
    <n v="2021"/>
    <n v="2021.75"/>
    <n v="2942.012777777778"/>
    <n v="35304.153333333335"/>
    <n v="0"/>
    <n v="317737.38"/>
    <n v="317737.38"/>
    <n v="0"/>
    <s v="No"/>
  </r>
  <r>
    <n v="2111"/>
    <n v="278080"/>
    <n v="278078"/>
    <s v="Capitalized"/>
    <s v="Wayne ASL Body for Truck#819"/>
    <m/>
    <m/>
    <n v="1"/>
    <s v="3BPZL00X0BF116900"/>
    <n v="2011"/>
    <m/>
    <m/>
    <s v="TRUCKS AND TRAILERS"/>
    <s v="TBA"/>
    <s v="Non-Rolling Stock"/>
    <m/>
    <m/>
    <d v="2010-09-03T00:00:00"/>
    <d v="2010-09-03T00:00:00"/>
    <s v="2140-10-0010-1"/>
    <n v="1000"/>
    <n v="14040"/>
    <n v="134123.07"/>
    <n v="14046"/>
    <n v="134123.07"/>
    <n v="0"/>
    <n v="0"/>
    <n v="51260"/>
    <n v="0"/>
    <s v="P"/>
    <m/>
    <m/>
    <s v=" "/>
    <s v="STL"/>
    <s v="YES"/>
    <s v="TBD"/>
    <s v="Recycling and Yard Waste Trucks"/>
    <x v="14"/>
    <n v="9"/>
    <n v="2010"/>
    <n v="2020"/>
    <n v="2020.75"/>
    <n v="1117.6922500000001"/>
    <n v="13412.307000000001"/>
    <n v="0"/>
    <n v="134123.07"/>
    <n v="134123.07"/>
    <n v="0"/>
    <s v="No"/>
  </r>
  <r>
    <n v="2111"/>
    <n v="278079"/>
    <n v="278078"/>
    <s v="Capitalized"/>
    <s v="Paint Job on ASL Trk#819"/>
    <m/>
    <m/>
    <n v="1"/>
    <s v="3BPZL00X0BF116900"/>
    <n v="2011"/>
    <m/>
    <m/>
    <s v="TRUCKS AND TRAILERS"/>
    <s v="TBA"/>
    <s v="Automated Side Loader"/>
    <m/>
    <m/>
    <d v="2010-09-03T00:00:00"/>
    <d v="2010-09-03T00:00:00"/>
    <s v="2140-10-0010-1"/>
    <n v="1000"/>
    <n v="14040"/>
    <n v="1916.25"/>
    <n v="14046"/>
    <n v="1916.25"/>
    <n v="0"/>
    <n v="0"/>
    <n v="51260"/>
    <n v="0"/>
    <s v="P"/>
    <m/>
    <m/>
    <s v=" "/>
    <s v="STL"/>
    <s v="YES"/>
    <s v="TBD"/>
    <s v="Recycling and Yard Waste Trucks"/>
    <x v="14"/>
    <n v="9"/>
    <n v="2010"/>
    <n v="2020"/>
    <n v="2020.75"/>
    <n v="15.96875"/>
    <n v="191.625"/>
    <n v="0"/>
    <n v="1916.25"/>
    <n v="1916.25"/>
    <n v="0"/>
    <s v="No"/>
  </r>
  <r>
    <n v="2111"/>
    <n v="278078"/>
    <s v="P"/>
    <s v="Capitalized"/>
    <s v="New 2011 Peterbilt 320 ASL"/>
    <m/>
    <m/>
    <n v="1"/>
    <s v="3BPZL00X0BF116900"/>
    <n v="2011"/>
    <s v="Peterbilt 320"/>
    <s v="Wayne"/>
    <s v="TRUCKS AND TRAILERS"/>
    <s v="TBA"/>
    <s v="Automated Side Loader"/>
    <m/>
    <m/>
    <d v="2010-09-03T00:00:00"/>
    <d v="2010-09-03T00:00:00"/>
    <s v="2140-10-0010-1"/>
    <n v="1000"/>
    <n v="14040"/>
    <n v="143529.4"/>
    <n v="14046"/>
    <n v="143529.4"/>
    <n v="0"/>
    <n v="0"/>
    <n v="51260"/>
    <n v="0"/>
    <s v="P"/>
    <m/>
    <n v="819"/>
    <s v=" "/>
    <s v="STL"/>
    <s v="YES"/>
    <s v="TBD"/>
    <s v="Recycling and Yard Waste Trucks"/>
    <x v="14"/>
    <n v="9"/>
    <n v="2010"/>
    <n v="2020"/>
    <n v="2020.75"/>
    <n v="1196.0783333333331"/>
    <n v="14352.939999999999"/>
    <n v="0"/>
    <n v="143529.4"/>
    <n v="143529.4"/>
    <n v="0"/>
    <s v="No"/>
  </r>
  <r>
    <n v="2111"/>
    <n v="276902"/>
    <s v="P"/>
    <s v="Capitalized"/>
    <s v="WPLS-190 Truck Lifts"/>
    <m/>
    <m/>
    <n v="4"/>
    <m/>
    <n v="0"/>
    <s v="GRAY MANUFACTURING CO INC"/>
    <m/>
    <s v="SHOP EQUIPMENT"/>
    <s v="TBA"/>
    <m/>
    <m/>
    <m/>
    <d v="2022-03-14T00:00:00"/>
    <d v="2022-03-14T00:00:00"/>
    <s v="2111-22-0017-1"/>
    <n v="500"/>
    <n v="14070"/>
    <n v="62131.08"/>
    <n v="14076"/>
    <n v="32101.08"/>
    <n v="30030"/>
    <n v="9319.68"/>
    <n v="51260"/>
    <n v="1035.52"/>
    <s v="P"/>
    <m/>
    <m/>
    <s v=" "/>
    <s v="STL"/>
    <s v="YES"/>
    <s v="TBD"/>
    <s v="Shop"/>
    <x v="1"/>
    <n v="3"/>
    <n v="2022"/>
    <n v="2027"/>
    <n v="2027.25"/>
    <n v="1035.518"/>
    <n v="12426.216"/>
    <n v="12426.216"/>
    <n v="25887.949999999058"/>
    <n v="38314.165999999059"/>
    <n v="23816.914000000943"/>
    <s v="No"/>
  </r>
  <r>
    <n v="2111"/>
    <n v="276810"/>
    <n v="276806"/>
    <s v="Capitalized"/>
    <s v="SKIDSTEER RIGHT REAR FINAL DRIVE"/>
    <m/>
    <m/>
    <n v="1"/>
    <s v="1T0328EMLEE257709"/>
    <n v="2014"/>
    <s v="Pape Machinery"/>
    <s v="John Deere"/>
    <s v="HEAVY EQUIPMENT"/>
    <s v="TBA"/>
    <s v="Bucket Loader"/>
    <m/>
    <m/>
    <d v="2022-01-17T00:00:00"/>
    <d v="2022-01-17T00:00:00"/>
    <s v="2111-22-0014-1"/>
    <n v="300"/>
    <n v="14030"/>
    <n v="1949.75"/>
    <n v="14036"/>
    <n v="1733.12"/>
    <n v="216.63000000000011"/>
    <n v="487.44"/>
    <n v="51260"/>
    <n v="54.16"/>
    <s v="P"/>
    <m/>
    <m/>
    <s v=" "/>
    <s v="STL"/>
    <s v="YES"/>
    <s v="TBD"/>
    <s v="TS Equip"/>
    <x v="18"/>
    <n v="1"/>
    <n v="2022"/>
    <n v="2025"/>
    <n v="2025.0833333333333"/>
    <n v="54.159722222222221"/>
    <n v="649.91666666666663"/>
    <n v="0"/>
    <n v="1462.3125"/>
    <n v="1949.75"/>
    <n v="0"/>
    <s v="No"/>
  </r>
  <r>
    <n v="2111"/>
    <n v="276809"/>
    <n v="276806"/>
    <s v="Capitalized"/>
    <s v="SKIDSTEER LEFT REAR FINAL DRIVE"/>
    <m/>
    <m/>
    <n v="1"/>
    <s v="1T0328EMLEE257709"/>
    <n v="2014"/>
    <s v="Pape Machinery"/>
    <s v="John Deere"/>
    <s v="HEAVY EQUIPMENT"/>
    <s v="TBA"/>
    <s v="Bucket Loader"/>
    <m/>
    <m/>
    <d v="2022-01-17T00:00:00"/>
    <d v="2022-01-17T00:00:00"/>
    <s v="2111-22-0014-1"/>
    <n v="300"/>
    <n v="14030"/>
    <n v="1949.75"/>
    <n v="14036"/>
    <n v="1733.12"/>
    <n v="216.63000000000011"/>
    <n v="487.44"/>
    <n v="51260"/>
    <n v="54.16"/>
    <s v="P"/>
    <m/>
    <m/>
    <s v=" "/>
    <s v="STL"/>
    <s v="YES"/>
    <s v="TBD"/>
    <s v="TS Equip"/>
    <x v="18"/>
    <n v="1"/>
    <n v="2022"/>
    <n v="2025"/>
    <n v="2025.0833333333333"/>
    <n v="54.159722222222221"/>
    <n v="649.91666666666663"/>
    <n v="0"/>
    <n v="1462.3125"/>
    <n v="1949.75"/>
    <n v="0"/>
    <s v="No"/>
  </r>
  <r>
    <n v="2111"/>
    <n v="276808"/>
    <n v="276806"/>
    <s v="Capitalized"/>
    <s v="TRANSMISSION"/>
    <m/>
    <m/>
    <n v="1"/>
    <s v="1T0328EMLEE257709"/>
    <n v="2014"/>
    <s v="Pape Machinery"/>
    <s v="John Deere"/>
    <s v="HEAVY EQUIPMENT"/>
    <s v="TBA"/>
    <s v="Bucket Loader"/>
    <m/>
    <m/>
    <d v="2022-01-17T00:00:00"/>
    <d v="2022-01-17T00:00:00"/>
    <s v="2111-22-0014-1"/>
    <n v="300"/>
    <n v="14030"/>
    <n v="3119.6"/>
    <n v="14036"/>
    <n v="2773.02"/>
    <n v="346.57999999999993"/>
    <n v="779.94"/>
    <n v="51260"/>
    <n v="86.66"/>
    <s v="P"/>
    <m/>
    <m/>
    <s v=" "/>
    <s v="STL"/>
    <s v="YES"/>
    <s v="TBD"/>
    <s v="TS Equip"/>
    <x v="18"/>
    <n v="1"/>
    <n v="2022"/>
    <n v="2025"/>
    <n v="2025.0833333333333"/>
    <n v="86.655555555555551"/>
    <n v="1039.8666666666666"/>
    <n v="0"/>
    <n v="2339.6999999999998"/>
    <n v="3119.6"/>
    <n v="0"/>
    <s v="No"/>
  </r>
  <r>
    <n v="2111"/>
    <n v="276807"/>
    <n v="276806"/>
    <s v="Capitalized"/>
    <s v="ENGINE"/>
    <m/>
    <m/>
    <n v="1"/>
    <s v="1T0328EMLEE257709"/>
    <n v="2014"/>
    <s v="Pape Machinery"/>
    <s v="John Deere"/>
    <s v="HEAVY EQUIPMENT"/>
    <s v="TBA"/>
    <s v="Bucket Loader"/>
    <m/>
    <m/>
    <d v="2022-01-17T00:00:00"/>
    <d v="2022-01-17T00:00:00"/>
    <s v="2111-22-0014-1"/>
    <n v="300"/>
    <n v="14030"/>
    <n v="4679.3999999999996"/>
    <n v="14036"/>
    <n v="4159.4399999999996"/>
    <n v="519.96"/>
    <n v="1169.82"/>
    <n v="51260"/>
    <n v="129.97999999999999"/>
    <s v="P"/>
    <m/>
    <m/>
    <s v=" "/>
    <s v="STL"/>
    <s v="YES"/>
    <s v="TBD"/>
    <s v="TS Equip"/>
    <x v="18"/>
    <n v="1"/>
    <n v="2022"/>
    <n v="2025"/>
    <n v="2025.0833333333333"/>
    <n v="129.98333333333332"/>
    <n v="1559.7999999999997"/>
    <n v="0"/>
    <n v="3509.5499999999997"/>
    <n v="4679.3999999999996"/>
    <n v="0"/>
    <s v="No"/>
  </r>
  <r>
    <n v="2111"/>
    <n v="276806"/>
    <s v="P"/>
    <s v="Capitalized"/>
    <s v="2014 John Deere SKIDSTEER CHASSIS"/>
    <m/>
    <m/>
    <n v="1"/>
    <s v="1T0328EMLEE257709"/>
    <n v="2014"/>
    <s v="Pape Machinery"/>
    <s v="John Deere"/>
    <s v="HEAVY EQUIPMENT"/>
    <s v="TBA"/>
    <s v="Bucket Loader"/>
    <m/>
    <m/>
    <d v="2022-01-17T00:00:00"/>
    <d v="2022-01-17T00:00:00"/>
    <s v="2111-22-0014-1"/>
    <n v="400"/>
    <n v="14030"/>
    <n v="27296.5"/>
    <n v="14036"/>
    <n v="18197.7"/>
    <n v="9098.7999999999993"/>
    <n v="5118.12"/>
    <n v="51260"/>
    <n v="568.67999999999995"/>
    <s v="P"/>
    <m/>
    <m/>
    <s v=" "/>
    <s v="STL"/>
    <s v="YES"/>
    <s v="TBD"/>
    <s v="TS Equip"/>
    <x v="18"/>
    <n v="1"/>
    <n v="2022"/>
    <n v="2026"/>
    <n v="2026.0833333333333"/>
    <n v="568.67708333333337"/>
    <n v="6824.125"/>
    <n v="6824.125"/>
    <n v="15354.28125"/>
    <n v="22178.40625"/>
    <n v="5118.09375"/>
    <s v="No"/>
  </r>
  <r>
    <n v="2111"/>
    <n v="275500"/>
    <n v="275496"/>
    <s v="Capitalized"/>
    <s v="CASTERS - 2 SWIVEL - 2 FIXED"/>
    <m/>
    <m/>
    <n v="36"/>
    <m/>
    <n v="0"/>
    <s v="ENVIRONMENTAL METAL WORKS"/>
    <m/>
    <s v="CONTAINERS"/>
    <s v="TBA"/>
    <m/>
    <m/>
    <m/>
    <d v="2022-01-31T00:00:00"/>
    <d v="2022-01-31T00:00:00"/>
    <s v="2111-22-0026-1"/>
    <n v="1200"/>
    <n v="14050"/>
    <n v="3991.68"/>
    <n v="14056"/>
    <n v="887.04"/>
    <n v="3104.64"/>
    <n v="249.48"/>
    <n v="54260"/>
    <n v="27.72"/>
    <s v="P"/>
    <m/>
    <m/>
    <s v=" "/>
    <s v="STL"/>
    <s v="YES"/>
    <s v="TBD"/>
    <s v="Containers"/>
    <x v="5"/>
    <n v="1"/>
    <n v="2022"/>
    <n v="2034"/>
    <n v="2034.0833333333333"/>
    <n v="27.72"/>
    <n v="332.64"/>
    <n v="332.64"/>
    <n v="748.44"/>
    <n v="1081.08"/>
    <n v="2910.6"/>
    <s v="No"/>
  </r>
  <r>
    <n v="2111"/>
    <n v="275499"/>
    <s v="P"/>
    <s v="Capitalized"/>
    <s v="6 YARD FRONT LOAD SLOPE C/W SINGLE PLY PLASTIC LID"/>
    <m/>
    <m/>
    <n v="24"/>
    <m/>
    <n v="0"/>
    <s v="ENVIRONMENTAL METAL WORKS"/>
    <m/>
    <s v="CONTAINERS"/>
    <s v="TBA"/>
    <m/>
    <s v="6 YD"/>
    <s v="FEL/REL/SL Metal"/>
    <d v="2022-01-31T00:00:00"/>
    <d v="2022-01-31T00:00:00"/>
    <s v="2111-22-0026-1"/>
    <n v="1200"/>
    <n v="14050"/>
    <n v="43527.92"/>
    <n v="14056"/>
    <n v="9672.9"/>
    <n v="33855.019999999997"/>
    <n v="2720.52"/>
    <n v="54260"/>
    <n v="302.27999999999997"/>
    <s v="P"/>
    <m/>
    <m/>
    <s v=" "/>
    <s v="STL"/>
    <s v="YES"/>
    <s v="TBD"/>
    <s v="Containers"/>
    <x v="5"/>
    <n v="1"/>
    <n v="2022"/>
    <n v="2034"/>
    <n v="2034.0833333333333"/>
    <n v="302.27722222222218"/>
    <n v="3627.3266666666659"/>
    <n v="3627.3266666666659"/>
    <n v="8161.4850000000006"/>
    <n v="11788.811666666666"/>
    <n v="31739.10833333333"/>
    <s v="No"/>
  </r>
  <r>
    <n v="2111"/>
    <n v="275498"/>
    <s v="P"/>
    <s v="Capitalized"/>
    <s v="2 YARD REAR LOAD C/W SINGLE PLY PLASTIC LIDS"/>
    <m/>
    <m/>
    <n v="24"/>
    <m/>
    <n v="0"/>
    <s v="ENVIRONMENTAL METAL WORKS"/>
    <m/>
    <s v="CONTAINERS"/>
    <s v="TBA"/>
    <m/>
    <s v="2 YD"/>
    <s v="FEL/REL/SL Metal"/>
    <d v="2022-01-31T00:00:00"/>
    <d v="2022-01-31T00:00:00"/>
    <s v="2111-22-0026-1"/>
    <n v="1200"/>
    <n v="14050"/>
    <n v="27320.45"/>
    <n v="14056"/>
    <n v="6071.26"/>
    <n v="21249.190000000002"/>
    <n v="1707.57"/>
    <n v="54260"/>
    <n v="189.73"/>
    <s v="P"/>
    <m/>
    <m/>
    <s v=" "/>
    <s v="STL"/>
    <s v="YES"/>
    <s v="TBD"/>
    <s v="Containers"/>
    <x v="5"/>
    <n v="1"/>
    <n v="2022"/>
    <n v="2034"/>
    <n v="2034.0833333333333"/>
    <n v="189.72534722222224"/>
    <n v="2276.7041666666669"/>
    <n v="2276.7041666666669"/>
    <n v="5122.5843749999985"/>
    <n v="7399.288541666665"/>
    <n v="19921.161458333336"/>
    <s v="No"/>
  </r>
  <r>
    <n v="2111"/>
    <n v="275497"/>
    <s v="P"/>
    <s v="Capitalized"/>
    <s v="4 YARD FRONT LOAD SLOPE C/W SINGLE PLY PLASTIC LID"/>
    <m/>
    <m/>
    <n v="36"/>
    <m/>
    <n v="0"/>
    <s v="ENVIRONMENTAL METAL WORKS"/>
    <m/>
    <s v="CONTAINERS"/>
    <s v="TBA"/>
    <m/>
    <s v="4 YD"/>
    <s v="FEL/REL/SL Metal"/>
    <d v="2022-01-31T00:00:00"/>
    <d v="2022-01-31T00:00:00"/>
    <s v="2111-22-0026-1"/>
    <n v="1200"/>
    <n v="14050"/>
    <n v="48818.21"/>
    <n v="14056"/>
    <n v="10848.54"/>
    <n v="37969.67"/>
    <n v="3051.18"/>
    <n v="54260"/>
    <n v="339.02"/>
    <s v="P"/>
    <m/>
    <m/>
    <s v=" "/>
    <s v="STL"/>
    <s v="YES"/>
    <s v="TBD"/>
    <s v="Containers"/>
    <x v="5"/>
    <n v="1"/>
    <n v="2022"/>
    <n v="2034"/>
    <n v="2034.0833333333333"/>
    <n v="339.0153472222222"/>
    <n v="4068.1841666666664"/>
    <n v="4068.1841666666664"/>
    <n v="9153.4143750000003"/>
    <n v="13221.598541666666"/>
    <n v="35596.611458333333"/>
    <s v="No"/>
  </r>
  <r>
    <n v="2111"/>
    <n v="275496"/>
    <s v="P"/>
    <s v="Capitalized"/>
    <s v="2 YARD REAR LOAD C/W SINGLE PLY PLASTIC LIDS"/>
    <m/>
    <m/>
    <n v="12"/>
    <m/>
    <n v="0"/>
    <s v="ENVIRONMENTAL METAL WORKS"/>
    <m/>
    <s v="CONTAINERS"/>
    <s v="TBA"/>
    <m/>
    <s v="2 YD"/>
    <s v="FEL/REL/SL Metal"/>
    <d v="2022-01-31T00:00:00"/>
    <d v="2022-01-31T00:00:00"/>
    <s v="2111-22-0026-1"/>
    <n v="1200"/>
    <n v="14050"/>
    <n v="13527.73"/>
    <n v="14056"/>
    <n v="3006.14"/>
    <n v="10521.59"/>
    <n v="845.46"/>
    <n v="54260"/>
    <n v="93.94"/>
    <s v="P"/>
    <m/>
    <m/>
    <s v=" "/>
    <s v="STL"/>
    <s v="YES"/>
    <s v="TBD"/>
    <s v="Containers"/>
    <x v="5"/>
    <n v="1"/>
    <n v="2022"/>
    <n v="2034"/>
    <n v="2034.0833333333333"/>
    <n v="93.94256944444443"/>
    <n v="1127.3108333333332"/>
    <n v="1127.3108333333332"/>
    <n v="2536.449375000002"/>
    <n v="3663.760208333335"/>
    <n v="9863.9697916666646"/>
    <s v="No"/>
  </r>
  <r>
    <n v="2111"/>
    <n v="275276"/>
    <s v="P"/>
    <s v="Capitalized"/>
    <s v="2006 Helm Container Chassis"/>
    <m/>
    <m/>
    <n v="1"/>
    <s v="1H9CC53467T347110"/>
    <n v="2006"/>
    <s v="Helm"/>
    <s v="Other"/>
    <s v="TRUCKS AND TRAILERS"/>
    <s v="TBA"/>
    <s v="Container Chassis"/>
    <m/>
    <m/>
    <d v="2006-12-08T00:00:00"/>
    <d v="2006-12-08T00:00:00"/>
    <s v="06-2113-028"/>
    <n v="700"/>
    <n v="14040"/>
    <n v="41353.599999999999"/>
    <n v="14046"/>
    <n v="41353.599999999999"/>
    <n v="0"/>
    <n v="0"/>
    <n v="51260"/>
    <n v="0"/>
    <s v="P"/>
    <n v="0"/>
    <s v="C-8"/>
    <s v=" "/>
    <s v="STL"/>
    <s v="YES"/>
    <s v="C8"/>
    <s v="Trailer"/>
    <x v="12"/>
    <n v="12"/>
    <n v="2006"/>
    <n v="2013"/>
    <n v="2014"/>
    <n v="492.30476190476185"/>
    <n v="5907.6571428571424"/>
    <n v="0"/>
    <n v="41353.599999999999"/>
    <n v="41353.599999999999"/>
    <n v="0"/>
    <s v="No"/>
  </r>
  <r>
    <n v="2111"/>
    <n v="275229"/>
    <s v="P"/>
    <s v="Capitalized"/>
    <s v="95 GAL MSW CARTS"/>
    <m/>
    <m/>
    <n v="351"/>
    <m/>
    <n v="0"/>
    <s v="REHRIG PACIFIC COMPANY IN"/>
    <m/>
    <s v="CONTAINERS"/>
    <s v="TBA"/>
    <m/>
    <m/>
    <m/>
    <d v="2022-03-09T00:00:00"/>
    <d v="2022-03-09T00:00:00"/>
    <s v="2111-22-0034-1"/>
    <n v="700"/>
    <n v="14050"/>
    <n v="23613.88"/>
    <n v="14056"/>
    <n v="8714.67"/>
    <n v="14899.210000000001"/>
    <n v="2530.08"/>
    <n v="54260"/>
    <n v="281.12"/>
    <s v="P"/>
    <m/>
    <m/>
    <s v=" "/>
    <s v="STL"/>
    <s v="YES"/>
    <s v="TBD"/>
    <s v="Garbage Carts"/>
    <x v="7"/>
    <n v="3"/>
    <n v="2022"/>
    <n v="2029"/>
    <n v="2029.25"/>
    <n v="281.11761904761903"/>
    <n v="3373.4114285714286"/>
    <n v="3373.4114285714286"/>
    <n v="7027.9404761902224"/>
    <n v="10401.35190476165"/>
    <n v="13212.528095238351"/>
    <s v="No"/>
  </r>
  <r>
    <n v="2111"/>
    <n v="275228"/>
    <s v="P"/>
    <s v="Capitalized"/>
    <s v="65 GAL MSW CARTS"/>
    <m/>
    <m/>
    <n v="468"/>
    <m/>
    <n v="0"/>
    <s v="REHRIG PACIFIC COMPANY IN"/>
    <m/>
    <s v="CONTAINERS"/>
    <s v="TBA"/>
    <m/>
    <m/>
    <m/>
    <d v="2022-03-09T00:00:00"/>
    <d v="2022-03-09T00:00:00"/>
    <s v="2111-22-0034-1"/>
    <n v="700"/>
    <n v="14050"/>
    <n v="28648.62"/>
    <n v="14056"/>
    <n v="10572.75"/>
    <n v="18075.87"/>
    <n v="3069.54"/>
    <n v="54260"/>
    <n v="341.06"/>
    <s v="P"/>
    <m/>
    <m/>
    <s v=" "/>
    <s v="STL"/>
    <s v="YES"/>
    <s v="TBD"/>
    <s v="Garbage Carts"/>
    <x v="7"/>
    <n v="3"/>
    <n v="2022"/>
    <n v="2029"/>
    <n v="2029.25"/>
    <n v="341.05500000000001"/>
    <n v="4092.66"/>
    <n v="4092.66"/>
    <n v="8526.3749999996871"/>
    <n v="12619.034999999687"/>
    <n v="16029.585000000312"/>
    <s v="No"/>
  </r>
  <r>
    <n v="2111"/>
    <n v="275227"/>
    <s v="P"/>
    <s v="Capitalized"/>
    <s v="95 GAL YARD WASTE CARTS"/>
    <m/>
    <m/>
    <n v="702"/>
    <m/>
    <n v="0"/>
    <s v="REHRIG PACIFIC COMPANY IN"/>
    <m/>
    <s v="CONTAINERS"/>
    <s v="TBA"/>
    <m/>
    <m/>
    <m/>
    <d v="2022-03-09T00:00:00"/>
    <d v="2022-03-09T00:00:00"/>
    <s v="2111-22-0034-1"/>
    <n v="700"/>
    <n v="14050"/>
    <n v="47227.75"/>
    <n v="14056"/>
    <n v="17429.330000000002"/>
    <n v="29798.42"/>
    <n v="5060.16"/>
    <n v="54260"/>
    <n v="562.24"/>
    <s v="P"/>
    <m/>
    <m/>
    <s v=" "/>
    <s v="STL"/>
    <s v="YES"/>
    <s v="TBD"/>
    <s v="YW Cart"/>
    <x v="4"/>
    <n v="3"/>
    <n v="2022"/>
    <n v="2029"/>
    <n v="2029.25"/>
    <n v="562.23511904761904"/>
    <n v="6746.8214285714284"/>
    <n v="6746.8214285714284"/>
    <n v="14055.877976189964"/>
    <n v="20802.699404761392"/>
    <n v="26425.050595238608"/>
    <s v="No"/>
  </r>
  <r>
    <n v="2111"/>
    <n v="275226"/>
    <s v="P"/>
    <s v="Capitalized"/>
    <s v="95 GAL RECYCLE CARTS"/>
    <m/>
    <m/>
    <n v="702"/>
    <m/>
    <n v="0"/>
    <s v="REHRIG PACIFIC COMPANY IN"/>
    <m/>
    <s v="CONTAINERS"/>
    <s v="TBA"/>
    <m/>
    <m/>
    <m/>
    <d v="2022-03-09T00:00:00"/>
    <d v="2022-03-09T00:00:00"/>
    <s v="2111-22-0034-1"/>
    <n v="700"/>
    <n v="14050"/>
    <n v="47227.75"/>
    <n v="14056"/>
    <n v="17429.330000000002"/>
    <n v="29798.42"/>
    <n v="5060.16"/>
    <n v="54260"/>
    <n v="562.24"/>
    <s v="P"/>
    <m/>
    <m/>
    <s v=" "/>
    <s v="STL"/>
    <s v="YES"/>
    <s v="TBD"/>
    <s v="Recycle Carts"/>
    <x v="3"/>
    <n v="3"/>
    <n v="2022"/>
    <n v="2029"/>
    <n v="2029.25"/>
    <n v="562.23511904761904"/>
    <n v="6746.8214285714284"/>
    <n v="6746.8214285714284"/>
    <n v="14055.877976189964"/>
    <n v="20802.699404761392"/>
    <n v="26425.050595238608"/>
    <s v="No"/>
  </r>
  <r>
    <n v="2111"/>
    <n v="275225"/>
    <s v="P"/>
    <s v="Capitalized"/>
    <s v="95 GAL YARD WASTE CARTS"/>
    <m/>
    <m/>
    <n v="702"/>
    <m/>
    <n v="0"/>
    <s v="REHRIG PACIFIC COMPANY IN"/>
    <m/>
    <s v="CONTAINERS"/>
    <s v="TBA"/>
    <m/>
    <m/>
    <m/>
    <d v="2022-03-09T00:00:00"/>
    <d v="2022-03-09T00:00:00"/>
    <s v="2111-22-0034-1"/>
    <n v="700"/>
    <n v="14050"/>
    <n v="47227.75"/>
    <n v="14056"/>
    <n v="17429.330000000002"/>
    <n v="29798.42"/>
    <n v="5060.16"/>
    <n v="54260"/>
    <n v="562.24"/>
    <s v="P"/>
    <m/>
    <m/>
    <s v=" "/>
    <s v="STL"/>
    <s v="YES"/>
    <s v="TBD"/>
    <s v="YW Cart"/>
    <x v="4"/>
    <n v="3"/>
    <n v="2022"/>
    <n v="2029"/>
    <n v="2029.25"/>
    <n v="562.23511904761904"/>
    <n v="6746.8214285714284"/>
    <n v="6746.8214285714284"/>
    <n v="14055.877976189964"/>
    <n v="20802.699404761392"/>
    <n v="26425.050595238608"/>
    <s v="No"/>
  </r>
  <r>
    <n v="2111"/>
    <n v="274392"/>
    <s v="P"/>
    <s v="Capitalized"/>
    <s v="95 GAL YARD WASTE CARTS"/>
    <m/>
    <m/>
    <n v="351"/>
    <m/>
    <n v="0"/>
    <s v="REHRIG PACIFIC COMPANY IN"/>
    <m/>
    <s v="CONTAINERS"/>
    <s v="TBA"/>
    <m/>
    <m/>
    <m/>
    <d v="2022-01-04T00:00:00"/>
    <d v="2022-01-04T00:00:00"/>
    <s v="2111-22-0025-1"/>
    <n v="700"/>
    <n v="14050"/>
    <n v="24146.69"/>
    <n v="14056"/>
    <n v="9486.08"/>
    <n v="14660.609999999999"/>
    <n v="2587.14"/>
    <n v="54260"/>
    <n v="287.45999999999998"/>
    <s v="P"/>
    <m/>
    <m/>
    <s v=" "/>
    <s v="STL"/>
    <s v="YES"/>
    <s v="TBD"/>
    <s v="YW Cart"/>
    <x v="4"/>
    <n v="1"/>
    <n v="2022"/>
    <n v="2029"/>
    <n v="2029.0833333333333"/>
    <n v="287.46059523809521"/>
    <n v="3449.5271428571423"/>
    <n v="3449.5271428571423"/>
    <n v="7761.4360714285722"/>
    <n v="11210.963214285715"/>
    <n v="12935.726785714283"/>
    <s v="No"/>
  </r>
  <r>
    <n v="2111"/>
    <n v="274388"/>
    <s v="P"/>
    <s v="Capitalized"/>
    <s v="65 GAL MSW CARTS"/>
    <m/>
    <m/>
    <n v="324"/>
    <m/>
    <n v="0"/>
    <s v="REHRIG PACIFIC COMPANY IN"/>
    <m/>
    <s v="CONTAINERS"/>
    <s v="TBA"/>
    <m/>
    <m/>
    <m/>
    <d v="2022-01-04T00:00:00"/>
    <d v="2022-01-04T00:00:00"/>
    <s v="2111-22-0025-1"/>
    <n v="700"/>
    <n v="14050"/>
    <n v="20161.55"/>
    <n v="14056"/>
    <n v="7920.62"/>
    <n v="12240.93"/>
    <n v="2160.1799999999998"/>
    <n v="54260"/>
    <n v="240.02"/>
    <s v="P"/>
    <m/>
    <m/>
    <s v=" "/>
    <s v="STL"/>
    <s v="YES"/>
    <s v="TBD"/>
    <s v="Garbage Carts"/>
    <x v="7"/>
    <n v="1"/>
    <n v="2022"/>
    <n v="2029"/>
    <n v="2029.0833333333333"/>
    <n v="240.01845238095237"/>
    <n v="2880.2214285714285"/>
    <n v="2880.2214285714285"/>
    <n v="6480.4982142857134"/>
    <n v="9360.7196428571424"/>
    <n v="10800.830357142857"/>
    <s v="No"/>
  </r>
  <r>
    <n v="2111"/>
    <n v="273023"/>
    <s v="P"/>
    <s v="Capitalized"/>
    <s v="20G MB ROC BLACK"/>
    <m/>
    <m/>
    <n v="200"/>
    <m/>
    <n v="0"/>
    <s v="REHRIG PACIFIC COMPANY IN"/>
    <m/>
    <s v="CONTAINERS"/>
    <s v="TBA"/>
    <m/>
    <m/>
    <m/>
    <d v="2022-01-04T00:00:00"/>
    <d v="2022-01-04T00:00:00"/>
    <s v="2111-22-0025-1"/>
    <n v="700"/>
    <n v="14050"/>
    <n v="4947.8"/>
    <n v="14056"/>
    <n v="1943.76"/>
    <n v="3004.04"/>
    <n v="530.1"/>
    <n v="54260"/>
    <n v="58.9"/>
    <s v="P"/>
    <m/>
    <m/>
    <s v=" "/>
    <s v="STL"/>
    <s v="YES"/>
    <s v="TBD"/>
    <s v="Garbage Carts"/>
    <x v="7"/>
    <n v="1"/>
    <n v="2022"/>
    <n v="2029"/>
    <n v="2029.0833333333333"/>
    <n v="58.902380952380952"/>
    <n v="706.82857142857142"/>
    <n v="706.82857142857142"/>
    <n v="1590.3642857142859"/>
    <n v="2297.1928571428571"/>
    <n v="2650.6071428571431"/>
    <s v="No"/>
  </r>
  <r>
    <n v="2111"/>
    <n v="273022"/>
    <s v="P"/>
    <s v="Capitalized"/>
    <s v="95G RECYCLE CARTS"/>
    <m/>
    <m/>
    <n v="702"/>
    <m/>
    <n v="0"/>
    <s v="REHRIG PACIFIC COMPANY IN"/>
    <m/>
    <s v="CONTAINERS"/>
    <s v="TBA"/>
    <m/>
    <m/>
    <m/>
    <d v="2022-01-04T00:00:00"/>
    <d v="2022-01-04T00:00:00"/>
    <s v="2111-22-0025-1"/>
    <n v="700"/>
    <n v="14050"/>
    <n v="48293.39"/>
    <n v="14056"/>
    <n v="18972.34"/>
    <n v="29321.05"/>
    <n v="5174.28"/>
    <n v="54260"/>
    <n v="574.91999999999996"/>
    <s v="P"/>
    <m/>
    <m/>
    <s v=" "/>
    <s v="STL"/>
    <s v="YES"/>
    <s v="TBD"/>
    <s v="Recycle Carts"/>
    <x v="3"/>
    <n v="1"/>
    <n v="2022"/>
    <n v="2029"/>
    <n v="2029.0833333333333"/>
    <n v="574.92130952380955"/>
    <n v="6899.0557142857142"/>
    <n v="6899.0557142857142"/>
    <n v="15522.875357142853"/>
    <n v="22421.931071428568"/>
    <n v="25871.458928571432"/>
    <s v="No"/>
  </r>
  <r>
    <n v="2111"/>
    <n v="273021"/>
    <s v="P"/>
    <s v="Capitalized"/>
    <s v="95G YARD WASTE CARTS"/>
    <m/>
    <m/>
    <n v="702"/>
    <m/>
    <n v="0"/>
    <s v="REHRIG PACIFIC COMPANY IN"/>
    <m/>
    <s v="CONTAINERS"/>
    <s v="TBA"/>
    <m/>
    <m/>
    <m/>
    <d v="2022-01-04T00:00:00"/>
    <d v="2022-01-04T00:00:00"/>
    <s v="2111-22-0025-1"/>
    <n v="700"/>
    <n v="14050"/>
    <n v="48293.39"/>
    <n v="14056"/>
    <n v="18972.34"/>
    <n v="29321.05"/>
    <n v="5174.28"/>
    <n v="54260"/>
    <n v="574.91999999999996"/>
    <s v="P"/>
    <m/>
    <m/>
    <s v=" "/>
    <s v="STL"/>
    <s v="YES"/>
    <s v="TBD"/>
    <s v="YW Cart"/>
    <x v="4"/>
    <n v="1"/>
    <n v="2022"/>
    <n v="2029"/>
    <n v="2029.0833333333333"/>
    <n v="574.92130952380955"/>
    <n v="6899.0557142857142"/>
    <n v="6899.0557142857142"/>
    <n v="15522.875357142853"/>
    <n v="22421.931071428568"/>
    <n v="25871.458928571432"/>
    <s v="No"/>
  </r>
  <r>
    <n v="2111"/>
    <n v="273020"/>
    <s v="P"/>
    <s v="Capitalized"/>
    <s v="20G MB ROC BLACK"/>
    <m/>
    <m/>
    <n v="220"/>
    <m/>
    <n v="0"/>
    <s v="REHRIG PACIFIC COMPANY IN"/>
    <m/>
    <s v="CONTAINERS"/>
    <s v="TBA"/>
    <m/>
    <m/>
    <m/>
    <d v="2022-01-02T00:00:00"/>
    <d v="2022-01-02T00:00:00"/>
    <s v="2111-21-0048-1"/>
    <n v="700"/>
    <n v="14050"/>
    <n v="5442.58"/>
    <n v="14056"/>
    <n v="2138.13"/>
    <n v="3304.45"/>
    <n v="583.11"/>
    <n v="54260"/>
    <n v="64.790000000000006"/>
    <s v="P"/>
    <m/>
    <m/>
    <s v=" "/>
    <s v="STL"/>
    <s v="YES"/>
    <s v="TBD"/>
    <s v="Garbage Carts"/>
    <x v="7"/>
    <n v="1"/>
    <n v="2022"/>
    <n v="2029"/>
    <n v="2029.0833333333333"/>
    <n v="64.792619047619056"/>
    <n v="777.51142857142872"/>
    <n v="777.51142857142872"/>
    <n v="1749.4007142857135"/>
    <n v="2526.9121428571425"/>
    <n v="2915.6678571428574"/>
    <s v="No"/>
  </r>
  <r>
    <n v="2111"/>
    <n v="272987"/>
    <s v="P"/>
    <s v="Capitalized"/>
    <s v="2021 Kalmar Yard Goat (USED)"/>
    <m/>
    <m/>
    <n v="1"/>
    <s v="11V1813A7MA001627"/>
    <n v="2021"/>
    <s v="RWC INTERNATIONAL LTD"/>
    <m/>
    <s v="TRUCKS AND TRAILERS"/>
    <s v="TBA"/>
    <s v="Yard Mule"/>
    <m/>
    <m/>
    <d v="2022-01-06T00:00:00"/>
    <d v="2022-01-06T00:00:00"/>
    <s v="2111-22-0004-1"/>
    <n v="900"/>
    <n v="14040"/>
    <n v="124165"/>
    <n v="14046"/>
    <n v="37939.339999999997"/>
    <n v="86225.66"/>
    <n v="10347.120000000001"/>
    <n v="51260"/>
    <n v="1149.68"/>
    <s v="P"/>
    <n v="0"/>
    <s v="YG-5"/>
    <s v=" "/>
    <s v="STL"/>
    <s v="YES"/>
    <s v="TBD"/>
    <s v="TS Equip"/>
    <x v="18"/>
    <n v="1"/>
    <n v="2022"/>
    <n v="2031"/>
    <n v="2031.0833333333333"/>
    <n v="1149.6759259259259"/>
    <n v="13796.111111111109"/>
    <n v="13796.111111111109"/>
    <n v="31041.25"/>
    <n v="44837.361111111109"/>
    <n v="79327.638888888891"/>
    <s v="No"/>
  </r>
  <r>
    <n v="2111"/>
    <n v="272986"/>
    <s v="P"/>
    <s v="Capitalized"/>
    <s v="2017 Ford F150"/>
    <m/>
    <m/>
    <n v="1"/>
    <s v="1FTEW1EF9HFC47579"/>
    <n v="0"/>
    <s v="LAKEWOOD FORD"/>
    <m/>
    <s v="TRUCKS AND TRAILERS"/>
    <s v="TBA"/>
    <s v="Pickup Truck"/>
    <m/>
    <m/>
    <d v="2022-01-02T00:00:00"/>
    <d v="2022-01-02T00:00:00"/>
    <s v="2111-22-0001-1"/>
    <n v="300"/>
    <n v="14040"/>
    <n v="37671.769999999997"/>
    <n v="14046"/>
    <n v="34532.480000000003"/>
    <n v="3139.2899999999936"/>
    <n v="9417.9599999999991"/>
    <n v="51260"/>
    <n v="1046.44"/>
    <s v="P"/>
    <m/>
    <n v="17"/>
    <s v=" "/>
    <s v="STL"/>
    <s v="YES"/>
    <s v="TBD"/>
    <s v="Various"/>
    <x v="9"/>
    <n v="1"/>
    <n v="2022"/>
    <n v="2025"/>
    <n v="2025.0833333333333"/>
    <n v="1046.4380555555556"/>
    <n v="12557.256666666668"/>
    <n v="0"/>
    <n v="28253.827499999996"/>
    <n v="37671.769999999997"/>
    <n v="0"/>
    <s v="No"/>
  </r>
  <r>
    <n v="2111"/>
    <n v="272354"/>
    <s v="P"/>
    <s v="Capitalized"/>
    <s v="2022 Isuzu Retriever Truck"/>
    <m/>
    <m/>
    <n v="1"/>
    <s v="JALE5W164N7304894"/>
    <n v="2022"/>
    <m/>
    <m/>
    <s v="TRUCKS AND TRAILERS"/>
    <s v="TBA"/>
    <s v="Retriever"/>
    <m/>
    <m/>
    <d v="2022-01-02T00:00:00"/>
    <d v="2022-01-02T00:00:00"/>
    <s v="2111-21-0011"/>
    <n v="1000"/>
    <n v="14040"/>
    <n v="153317"/>
    <n v="14046"/>
    <n v="42162.14"/>
    <n v="111154.86"/>
    <n v="11498.76"/>
    <n v="51260"/>
    <n v="1277.6400000000001"/>
    <s v="P"/>
    <m/>
    <n v="305"/>
    <s v=" "/>
    <s v="STL"/>
    <s v="YES"/>
    <s v="TBD"/>
    <s v="Delivery Trucks"/>
    <x v="2"/>
    <n v="1"/>
    <n v="2022"/>
    <n v="2032"/>
    <n v="2032.0833333333333"/>
    <n v="1277.6416666666667"/>
    <n v="15331.7"/>
    <n v="15331.7"/>
    <n v="34496.324999999997"/>
    <n v="49828.024999999994"/>
    <n v="103488.97500000001"/>
    <s v="No"/>
  </r>
  <r>
    <n v="2111"/>
    <n v="270739"/>
    <s v="P"/>
    <s v="Capitalized"/>
    <s v="3rd Eye Camera -Cables"/>
    <m/>
    <m/>
    <n v="1"/>
    <m/>
    <n v="0"/>
    <m/>
    <m/>
    <s v="SHOP EQUIPMENT"/>
    <s v="TBA"/>
    <m/>
    <m/>
    <m/>
    <d v="2021-12-31T00:00:00"/>
    <d v="2021-12-31T00:00:00"/>
    <s v="1010-21-0039"/>
    <n v="500"/>
    <n v="14070"/>
    <n v="95.88"/>
    <n v="14076"/>
    <n v="52.76"/>
    <n v="43.12"/>
    <n v="14.4"/>
    <n v="51260"/>
    <n v="1.6"/>
    <s v="P"/>
    <m/>
    <m/>
    <s v=" "/>
    <s v="STL"/>
    <s v="YES"/>
    <s v="TBD"/>
    <s v="Various"/>
    <x v="9"/>
    <n v="12"/>
    <n v="2021"/>
    <n v="2026"/>
    <n v="2027"/>
    <n v="1.5979999999999999"/>
    <n v="19.175999999999998"/>
    <n v="19.175999999999998"/>
    <n v="44.743999999998543"/>
    <n v="63.919999999998538"/>
    <n v="31.960000000001457"/>
    <s v="No"/>
  </r>
  <r>
    <n v="2111"/>
    <n v="270717"/>
    <s v="P"/>
    <s v="Capitalized"/>
    <s v="3rd Eye Camera"/>
    <m/>
    <m/>
    <n v="15"/>
    <m/>
    <n v="0"/>
    <m/>
    <m/>
    <s v="SHOP EQUIPMENT"/>
    <s v="TBA"/>
    <m/>
    <m/>
    <m/>
    <d v="2021-12-31T00:00:00"/>
    <d v="2021-12-31T00:00:00"/>
    <s v="1010-21-0039"/>
    <n v="500"/>
    <n v="14070"/>
    <n v="6943.97"/>
    <n v="14076"/>
    <n v="3819.15"/>
    <n v="3124.82"/>
    <n v="1041.57"/>
    <n v="51260"/>
    <n v="115.73"/>
    <s v="P"/>
    <m/>
    <m/>
    <s v=" "/>
    <s v="STL"/>
    <s v="YES"/>
    <s v="TBD"/>
    <s v="Various"/>
    <x v="9"/>
    <n v="12"/>
    <n v="2021"/>
    <n v="2026"/>
    <n v="2027"/>
    <n v="115.73283333333335"/>
    <n v="1388.7940000000001"/>
    <n v="1388.7940000000001"/>
    <n v="3240.5193333332281"/>
    <n v="4629.313333333228"/>
    <n v="2314.6566666667723"/>
    <s v="No"/>
  </r>
  <r>
    <n v="2111"/>
    <n v="270659"/>
    <s v="P"/>
    <s v="Capitalized"/>
    <s v="3rd Eye Camera - Credit"/>
    <m/>
    <m/>
    <n v="1"/>
    <m/>
    <n v="0"/>
    <m/>
    <m/>
    <s v="SHOP EQUIPMENT"/>
    <s v="TBA"/>
    <m/>
    <m/>
    <m/>
    <d v="2021-12-31T00:00:00"/>
    <d v="2021-12-31T00:00:00"/>
    <s v="1010-21-0039"/>
    <n v="500"/>
    <n v="14070"/>
    <n v="-577.51"/>
    <n v="14076"/>
    <n v="-317.64999999999998"/>
    <n v="-259.86"/>
    <n v="-86.67"/>
    <n v="51260"/>
    <n v="-9.6300000000000008"/>
    <s v="P"/>
    <m/>
    <m/>
    <s v=" "/>
    <s v="STL"/>
    <s v="YES"/>
    <s v="TBD"/>
    <s v="Various"/>
    <x v="9"/>
    <n v="12"/>
    <n v="2021"/>
    <n v="2026"/>
    <n v="2027"/>
    <n v="-9.6251666666666669"/>
    <n v="-115.50200000000001"/>
    <n v="-115.50200000000001"/>
    <n v="-269.5046666666579"/>
    <n v="-385.00666666665791"/>
    <n v="-192.50333333334208"/>
    <s v="No"/>
  </r>
  <r>
    <n v="2111"/>
    <n v="270658"/>
    <s v="P"/>
    <s v="Capitalized"/>
    <s v="3rd Eye Camera"/>
    <m/>
    <m/>
    <n v="20"/>
    <m/>
    <n v="0"/>
    <m/>
    <m/>
    <s v="SHOP EQUIPMENT"/>
    <s v="TBA"/>
    <m/>
    <m/>
    <m/>
    <d v="2021-12-31T00:00:00"/>
    <d v="2021-12-31T00:00:00"/>
    <s v="1010-21-0039"/>
    <n v="500"/>
    <n v="14070"/>
    <n v="5282.62"/>
    <n v="14076"/>
    <n v="2905.4"/>
    <n v="2377.2199999999998"/>
    <n v="792.36"/>
    <n v="51260"/>
    <n v="88.04"/>
    <s v="P"/>
    <m/>
    <m/>
    <s v=" "/>
    <s v="STL"/>
    <s v="YES"/>
    <s v="TBD"/>
    <s v="Various"/>
    <x v="9"/>
    <n v="12"/>
    <n v="2021"/>
    <n v="2026"/>
    <n v="2027"/>
    <n v="88.043666666666653"/>
    <n v="1056.5239999999999"/>
    <n v="1056.5239999999999"/>
    <n v="2465.222666666587"/>
    <n v="3521.7466666665869"/>
    <n v="1760.873333333413"/>
    <s v="No"/>
  </r>
  <r>
    <n v="2111"/>
    <n v="270324"/>
    <s v="P"/>
    <s v="Capitalized"/>
    <s v="52 RouteTab Mounts for 2111"/>
    <m/>
    <m/>
    <n v="1"/>
    <m/>
    <n v="0"/>
    <s v="PROCLIPUSA"/>
    <m/>
    <s v="HARDWARE AND SOFTWARE"/>
    <s v="TBA"/>
    <m/>
    <m/>
    <m/>
    <d v="2020-04-25T00:00:00"/>
    <d v="2020-04-25T00:00:00"/>
    <s v="1010-20-0033-2"/>
    <n v="300"/>
    <n v="14110"/>
    <n v="8236.7000000000007"/>
    <n v="14116"/>
    <n v="8236.7000000000007"/>
    <n v="0"/>
    <n v="0"/>
    <n v="70260"/>
    <n v="0"/>
    <s v="P"/>
    <m/>
    <m/>
    <s v=" "/>
    <s v="STL"/>
    <s v="YES"/>
    <s v="TBD"/>
    <s v="Various"/>
    <x v="9"/>
    <n v="4"/>
    <n v="2020"/>
    <n v="2023"/>
    <n v="2023.3333333333333"/>
    <n v="228.79722222222225"/>
    <n v="2745.5666666666671"/>
    <n v="0"/>
    <n v="8236.7000000000007"/>
    <n v="8236.7000000000007"/>
    <n v="0"/>
    <s v="No"/>
  </r>
  <r>
    <n v="2111"/>
    <n v="269874"/>
    <n v="252489"/>
    <s v="Capitalized"/>
    <s v="Fuel Island Professional Fees"/>
    <m/>
    <m/>
    <n v="1"/>
    <m/>
    <n v="0"/>
    <s v="SITTS &amp; HILL ENGINEERS IN"/>
    <m/>
    <s v="LAND IMPROVEMENTS"/>
    <s v="TBA"/>
    <m/>
    <m/>
    <m/>
    <d v="2021-05-31T00:00:00"/>
    <d v="2021-05-31T00:00:00"/>
    <s v="2111-21-0035-1"/>
    <n v="1000"/>
    <n v="14010"/>
    <n v="752.5"/>
    <n v="14016"/>
    <n v="250.83"/>
    <n v="501.66999999999996"/>
    <n v="56.43"/>
    <n v="57260"/>
    <n v="6.27"/>
    <s v="P"/>
    <m/>
    <m/>
    <s v=" "/>
    <s v="STL"/>
    <s v="YES"/>
    <s v="TBD"/>
    <s v="Fuel Station"/>
    <x v="17"/>
    <n v="5"/>
    <n v="2021"/>
    <n v="2031"/>
    <n v="2031.4166666666667"/>
    <n v="6.270833333333333"/>
    <n v="75.25"/>
    <n v="75.25"/>
    <n v="219.47916666665526"/>
    <n v="294.72916666665526"/>
    <n v="457.77083333334474"/>
    <s v="No"/>
  </r>
  <r>
    <n v="2111"/>
    <n v="267265"/>
    <s v="P"/>
    <s v="Capitalized"/>
    <s v="Truck shop LED lighting"/>
    <m/>
    <m/>
    <n v="1"/>
    <m/>
    <n v="0"/>
    <s v="MB ELECTRIC LLC"/>
    <m/>
    <s v="BUILDINGS"/>
    <s v="TBA"/>
    <m/>
    <m/>
    <m/>
    <d v="2021-11-11T00:00:00"/>
    <d v="2021-11-11T00:00:00"/>
    <s v="2111-21-0046-1"/>
    <n v="1000"/>
    <n v="14080"/>
    <n v="10635.6"/>
    <n v="14086"/>
    <n v="3102.05"/>
    <n v="7533.55"/>
    <n v="797.67"/>
    <n v="57260"/>
    <n v="88.63"/>
    <s v="P"/>
    <m/>
    <m/>
    <s v=" "/>
    <s v="STL"/>
    <s v="YES"/>
    <s v="TBD"/>
    <s v="Shop"/>
    <x v="1"/>
    <n v="11"/>
    <n v="2021"/>
    <n v="2031"/>
    <n v="2031.9166666666667"/>
    <n v="88.63"/>
    <n v="1063.56"/>
    <n v="1063.56"/>
    <n v="2570.2699999998395"/>
    <n v="3633.8299999998394"/>
    <n v="7001.7700000001605"/>
    <s v="No"/>
  </r>
  <r>
    <n v="2111"/>
    <n v="267248"/>
    <s v="P"/>
    <s v="Capitalized"/>
    <s v="95 GAL RECYCLE CARTS"/>
    <m/>
    <m/>
    <n v="702"/>
    <m/>
    <n v="0"/>
    <s v="REHRIG PACIFIC COMPANY IN"/>
    <m/>
    <s v="CONTAINERS"/>
    <s v="TBA"/>
    <m/>
    <m/>
    <m/>
    <d v="2021-10-19T00:00:00"/>
    <d v="2021-10-19T00:00:00"/>
    <s v="2111-21-0048-1"/>
    <n v="700"/>
    <n v="14050"/>
    <n v="47830.06"/>
    <n v="14056"/>
    <n v="19929.240000000002"/>
    <n v="27900.819999999996"/>
    <n v="5124.6899999999996"/>
    <n v="54260"/>
    <n v="569.41"/>
    <s v="P"/>
    <m/>
    <m/>
    <s v=" "/>
    <s v="STL"/>
    <s v="YES"/>
    <s v="TBD"/>
    <s v="Recycle Carts"/>
    <x v="3"/>
    <n v="10"/>
    <n v="2021"/>
    <n v="2028"/>
    <n v="2028.8333333333333"/>
    <n v="569.40547619047618"/>
    <n v="6832.8657142857137"/>
    <n v="6832.8657142857137"/>
    <n v="17082.164285714283"/>
    <n v="23915.03"/>
    <n v="23915.03"/>
    <s v="No"/>
  </r>
  <r>
    <n v="2111"/>
    <n v="267247"/>
    <s v="P"/>
    <s v="Capitalized"/>
    <s v="95 GAL MSW CARTS"/>
    <m/>
    <m/>
    <n v="702"/>
    <m/>
    <n v="0"/>
    <s v="REHRIG PACIFIC COMPANY IN"/>
    <m/>
    <s v="CONTAINERS"/>
    <s v="TBA"/>
    <m/>
    <m/>
    <m/>
    <d v="2021-10-19T00:00:00"/>
    <d v="2021-10-19T00:00:00"/>
    <s v="2111-21-0048-1"/>
    <n v="700"/>
    <n v="14050"/>
    <n v="47830.07"/>
    <n v="14056"/>
    <n v="19929.240000000002"/>
    <n v="27900.829999999998"/>
    <n v="5124.6899999999996"/>
    <n v="54260"/>
    <n v="569.41"/>
    <s v="P"/>
    <m/>
    <m/>
    <s v=" "/>
    <s v="STL"/>
    <s v="YES"/>
    <s v="TBD"/>
    <s v="Garbage Carts"/>
    <x v="7"/>
    <n v="10"/>
    <n v="2021"/>
    <n v="2028"/>
    <n v="2028.8333333333333"/>
    <n v="569.4055952380952"/>
    <n v="6832.8671428571424"/>
    <n v="6832.8671428571424"/>
    <n v="17082.16785714286"/>
    <n v="23915.035000000003"/>
    <n v="23915.034999999996"/>
    <s v="No"/>
  </r>
  <r>
    <n v="2111"/>
    <n v="266033"/>
    <s v="P"/>
    <s v="Capitalized"/>
    <s v="Docking station (NO SN)"/>
    <m/>
    <m/>
    <n v="1"/>
    <m/>
    <n v="0"/>
    <s v="AMZN MKTP US 1A6AV81J3"/>
    <m/>
    <s v="HARDWARE AND SOFTWARE"/>
    <s v="TBA"/>
    <m/>
    <m/>
    <m/>
    <d v="2021-11-23T00:00:00"/>
    <d v="2021-11-23T00:00:00"/>
    <s v="2111-21-0052-1"/>
    <n v="300"/>
    <n v="14110"/>
    <n v="273.49"/>
    <n v="14116"/>
    <n v="258.32"/>
    <n v="15.170000000000016"/>
    <n v="68.400000000000006"/>
    <n v="70260"/>
    <n v="7.6"/>
    <s v="P"/>
    <m/>
    <m/>
    <s v=" "/>
    <s v="STL"/>
    <s v="YES"/>
    <s v="TBD"/>
    <s v="Office"/>
    <x v="10"/>
    <n v="11"/>
    <n v="2021"/>
    <n v="2024"/>
    <n v="2024.9166666666667"/>
    <n v="7.5969444444444454"/>
    <n v="91.163333333333341"/>
    <n v="0"/>
    <n v="220.31138888887506"/>
    <n v="273.49"/>
    <n v="0"/>
    <s v="No"/>
  </r>
  <r>
    <n v="2111"/>
    <n v="266032"/>
    <s v="P"/>
    <s v="Capitalized"/>
    <s v="HP PROBOOK SN 5CD14172R2"/>
    <m/>
    <m/>
    <n v="1"/>
    <m/>
    <n v="0"/>
    <s v="CDW DIR #PO  2111-21-0"/>
    <m/>
    <s v="HARDWARE AND SOFTWARE"/>
    <s v="TBA"/>
    <m/>
    <m/>
    <m/>
    <d v="2021-11-23T00:00:00"/>
    <d v="2021-11-23T00:00:00"/>
    <s v="2111-21-0052-1"/>
    <n v="300"/>
    <n v="14110"/>
    <n v="1494.07"/>
    <n v="14116"/>
    <n v="1411.04"/>
    <n v="83.029999999999973"/>
    <n v="373.5"/>
    <n v="70260"/>
    <n v="41.5"/>
    <s v="P"/>
    <m/>
    <m/>
    <s v=" "/>
    <s v="STL"/>
    <s v="YES"/>
    <s v="TBD"/>
    <s v="Office"/>
    <x v="10"/>
    <n v="11"/>
    <n v="2021"/>
    <n v="2024"/>
    <n v="2024.9166666666667"/>
    <n v="41.50194444444444"/>
    <n v="498.02333333333331"/>
    <n v="0"/>
    <n v="1203.5563888888134"/>
    <n v="1494.07"/>
    <n v="0"/>
    <s v="No"/>
  </r>
  <r>
    <n v="2111"/>
    <n v="266031"/>
    <s v="P"/>
    <s v="Capitalized"/>
    <s v="DOCKING STATION (NO SN)"/>
    <m/>
    <m/>
    <n v="1"/>
    <m/>
    <n v="0"/>
    <s v="AMZN MKTP US RP92O4OS3"/>
    <m/>
    <s v="HARDWARE AND SOFTWARE"/>
    <s v="TBA"/>
    <m/>
    <m/>
    <m/>
    <d v="2021-11-23T00:00:00"/>
    <d v="2021-11-23T00:00:00"/>
    <s v="2111-21-0051-1"/>
    <n v="300"/>
    <n v="14110"/>
    <n v="274.99"/>
    <n v="14116"/>
    <n v="259.72000000000003"/>
    <n v="15.269999999999982"/>
    <n v="68.760000000000005"/>
    <n v="70260"/>
    <n v="7.64"/>
    <s v="P"/>
    <m/>
    <m/>
    <s v=" "/>
    <s v="STL"/>
    <s v="YES"/>
    <s v="TBD"/>
    <s v="Shop"/>
    <x v="1"/>
    <n v="11"/>
    <n v="2021"/>
    <n v="2024"/>
    <n v="2024.9166666666667"/>
    <n v="7.6386111111111115"/>
    <n v="91.663333333333341"/>
    <n v="0"/>
    <n v="221.51972222220834"/>
    <n v="274.99"/>
    <n v="0"/>
    <s v="No"/>
  </r>
  <r>
    <n v="2111"/>
    <n v="266030"/>
    <s v="P"/>
    <s v="Capitalized"/>
    <s v="HP PROBOOK SN 5CD142JVV4"/>
    <m/>
    <m/>
    <n v="1"/>
    <m/>
    <n v="0"/>
    <s v="CDW DIR #2111"/>
    <m/>
    <s v="HARDWARE AND SOFTWARE"/>
    <s v="TBA"/>
    <m/>
    <m/>
    <m/>
    <d v="2021-11-23T00:00:00"/>
    <d v="2021-11-23T00:00:00"/>
    <s v="2111-21-0051-1"/>
    <n v="300"/>
    <n v="14110"/>
    <n v="1093.1600000000001"/>
    <n v="14116"/>
    <n v="1032.48"/>
    <n v="60.680000000000064"/>
    <n v="273.33"/>
    <n v="70260"/>
    <n v="30.37"/>
    <s v="P"/>
    <m/>
    <m/>
    <s v=" "/>
    <s v="STL"/>
    <s v="YES"/>
    <s v="TBD"/>
    <s v="Shop"/>
    <x v="1"/>
    <n v="11"/>
    <n v="2021"/>
    <n v="2024"/>
    <n v="2024.9166666666667"/>
    <n v="30.365555555555559"/>
    <n v="364.38666666666671"/>
    <n v="0"/>
    <n v="880.60111111105596"/>
    <n v="1093.1600000000001"/>
    <n v="0"/>
    <s v="No"/>
  </r>
  <r>
    <n v="2111"/>
    <n v="265897"/>
    <n v="264430"/>
    <s v="Capitalized"/>
    <s v="TRUCK LICENSING #871"/>
    <m/>
    <m/>
    <n v="1"/>
    <m/>
    <n v="2021"/>
    <s v="Peterbilt"/>
    <s v="N/A"/>
    <s v="TRUCKS AND TRAILERS"/>
    <s v="TBA"/>
    <s v="Non-Rolling Stock"/>
    <m/>
    <m/>
    <d v="2021-11-17T00:00:00"/>
    <d v="2021-11-17T00:00:00"/>
    <s v="2111-21-0040-1"/>
    <n v="1000"/>
    <n v="14040"/>
    <n v="1107.24"/>
    <n v="14046"/>
    <n v="313.74"/>
    <n v="793.5"/>
    <n v="83.07"/>
    <n v="51260"/>
    <n v="9.23"/>
    <s v="P"/>
    <m/>
    <m/>
    <s v=" "/>
    <s v="STL"/>
    <s v="YES"/>
    <s v="TBD"/>
    <s v="ASL Garbage Truck"/>
    <x v="0"/>
    <n v="11"/>
    <n v="2021"/>
    <n v="2031"/>
    <n v="2031.9166666666667"/>
    <n v="9.2270000000000003"/>
    <n v="110.724"/>
    <n v="110.724"/>
    <n v="267.58299999998314"/>
    <n v="378.30699999998313"/>
    <n v="728.93300000001682"/>
    <s v="No"/>
  </r>
  <r>
    <n v="2111"/>
    <n v="265896"/>
    <n v="264429"/>
    <s v="Capitalized"/>
    <s v="TRUCK LICENSING #872"/>
    <m/>
    <m/>
    <n v="1"/>
    <m/>
    <n v="2021"/>
    <s v="n/a"/>
    <s v="Peterbilt"/>
    <s v="TRUCKS AND TRAILERS"/>
    <s v="TBA"/>
    <s v="Non-Rolling Stock"/>
    <m/>
    <m/>
    <d v="2021-10-05T00:00:00"/>
    <d v="2021-10-05T00:00:00"/>
    <s v="2111-21-0039-1"/>
    <n v="1000"/>
    <n v="14040"/>
    <n v="1112.23"/>
    <n v="14046"/>
    <n v="333.68"/>
    <n v="778.55"/>
    <n v="83.43"/>
    <n v="51260"/>
    <n v="9.27"/>
    <s v="P"/>
    <m/>
    <m/>
    <s v=" "/>
    <s v="STL"/>
    <s v="YES"/>
    <s v="TBD"/>
    <s v="ASL Garbage Truck"/>
    <x v="0"/>
    <n v="10"/>
    <n v="2021"/>
    <n v="2031"/>
    <n v="2031.8333333333333"/>
    <n v="9.2685833333333338"/>
    <n v="111.22300000000001"/>
    <n v="111.22300000000001"/>
    <n v="278.0575"/>
    <n v="389.28050000000002"/>
    <n v="722.94949999999994"/>
    <s v="No"/>
  </r>
  <r>
    <n v="2111"/>
    <n v="265454"/>
    <s v="P"/>
    <s v="Capitalized"/>
    <s v="Drive Cam Units"/>
    <m/>
    <m/>
    <n v="8"/>
    <m/>
    <n v="0"/>
    <m/>
    <m/>
    <s v="SHOP EQUIPMENT"/>
    <s v="TBA"/>
    <m/>
    <m/>
    <m/>
    <d v="2021-11-01T00:00:00"/>
    <d v="2021-11-01T00:00:00"/>
    <s v="1010-21-0038"/>
    <n v="500"/>
    <n v="14070"/>
    <n v="4312.3999999999996"/>
    <n v="14076"/>
    <n v="2515.54"/>
    <n v="1796.8599999999997"/>
    <n v="646.83000000000004"/>
    <n v="51260"/>
    <n v="71.87"/>
    <s v="P"/>
    <m/>
    <m/>
    <s v=" "/>
    <s v="STL"/>
    <s v="YES"/>
    <s v="TBD"/>
    <s v="Various"/>
    <x v="9"/>
    <n v="11"/>
    <n v="2021"/>
    <n v="2026"/>
    <n v="2026.9166666666667"/>
    <n v="71.873333333333321"/>
    <n v="862.47999999999979"/>
    <n v="862.47999999999979"/>
    <n v="2084.3266666665359"/>
    <n v="2946.8066666665354"/>
    <n v="1365.5933333334642"/>
    <s v="No"/>
  </r>
  <r>
    <n v="2111"/>
    <n v="264650"/>
    <n v="252489"/>
    <s v="Capitalized"/>
    <s v="Fuel Island Permitting"/>
    <m/>
    <m/>
    <n v="1"/>
    <m/>
    <n v="0"/>
    <s v="SITTS &amp; HILL ENGINEERS IN"/>
    <m/>
    <s v="LAND IMPROVEMENTS"/>
    <s v="TBA"/>
    <m/>
    <m/>
    <m/>
    <d v="2021-05-31T00:00:00"/>
    <d v="2021-05-31T00:00:00"/>
    <s v="2111-21-0035-1"/>
    <n v="1000"/>
    <n v="14010"/>
    <n v="2055.67"/>
    <n v="14016"/>
    <n v="685.22"/>
    <n v="1370.45"/>
    <n v="154.16999999999999"/>
    <n v="57260"/>
    <n v="17.13"/>
    <s v="P"/>
    <m/>
    <m/>
    <s v=" "/>
    <s v="STL"/>
    <s v="YES"/>
    <s v="TBD"/>
    <s v="Fuel Station"/>
    <x v="17"/>
    <n v="5"/>
    <n v="2021"/>
    <n v="2031"/>
    <n v="2031.4166666666667"/>
    <n v="17.130583333333334"/>
    <n v="205.56700000000001"/>
    <n v="205.56700000000001"/>
    <n v="599.57041666663554"/>
    <n v="805.13741666663554"/>
    <n v="1250.5325833333645"/>
    <s v="No"/>
  </r>
  <r>
    <n v="2111"/>
    <n v="264430"/>
    <s v="P"/>
    <s v="Capitalized"/>
    <s v="2022 Peterbilt ASL Truck"/>
    <m/>
    <m/>
    <n v="1"/>
    <s v="3BPDLK0X7NF111154"/>
    <n v="2022"/>
    <m/>
    <m/>
    <s v="TRUCKS AND TRAILERS"/>
    <s v="TBA"/>
    <s v="Automated Side Loader"/>
    <m/>
    <m/>
    <d v="2021-09-23T00:00:00"/>
    <d v="2021-09-23T00:00:00"/>
    <s v="2111-21-0040"/>
    <n v="1000"/>
    <n v="14040"/>
    <n v="379664.17"/>
    <n v="14046"/>
    <n v="113899.28"/>
    <n v="265764.89"/>
    <n v="28474.83"/>
    <n v="51260"/>
    <n v="3163.87"/>
    <s v="P"/>
    <m/>
    <n v="871"/>
    <s v=" "/>
    <s v="STL"/>
    <s v="YES"/>
    <s v="TBD"/>
    <s v="ASL Garbage Truck"/>
    <x v="0"/>
    <n v="9"/>
    <n v="2021"/>
    <n v="2031"/>
    <n v="2031.75"/>
    <n v="3163.8680833333333"/>
    <n v="37966.417000000001"/>
    <n v="37966.417000000001"/>
    <n v="98079.910583330435"/>
    <n v="136046.32758333045"/>
    <n v="243617.84241666953"/>
    <s v="No"/>
  </r>
  <r>
    <n v="2111"/>
    <n v="264429"/>
    <s v="P"/>
    <s v="Capitalized"/>
    <s v="2022 Peterbilt ASL Truck"/>
    <m/>
    <m/>
    <n v="1"/>
    <s v="3BPDLK0X9NF111057"/>
    <n v="2022"/>
    <m/>
    <m/>
    <s v="TRUCKS AND TRAILERS"/>
    <s v="TBA"/>
    <s v="Automated Side Loader"/>
    <m/>
    <m/>
    <d v="2021-10-05T00:00:00"/>
    <d v="2021-10-05T00:00:00"/>
    <s v="2111-21-0039"/>
    <n v="1000"/>
    <n v="14040"/>
    <n v="379393.6"/>
    <n v="14046"/>
    <n v="113818.03"/>
    <n v="265575.56999999995"/>
    <n v="28454.49"/>
    <n v="51260"/>
    <n v="3161.61"/>
    <s v="P"/>
    <m/>
    <n v="872"/>
    <s v=" "/>
    <s v="STL"/>
    <s v="YES"/>
    <s v="TBD"/>
    <s v="ASL Garbage Truck"/>
    <x v="0"/>
    <n v="10"/>
    <n v="2021"/>
    <n v="2031"/>
    <n v="2031.8333333333333"/>
    <n v="3161.6133333333332"/>
    <n v="37939.360000000001"/>
    <n v="37939.360000000001"/>
    <n v="94848.399999999965"/>
    <n v="132787.75999999995"/>
    <n v="246605.84000000003"/>
    <s v="No"/>
  </r>
  <r>
    <n v="2111"/>
    <n v="264428"/>
    <s v="P"/>
    <s v="Capitalized"/>
    <s v="2022 Peterbilt ASL Truck"/>
    <m/>
    <m/>
    <n v="1"/>
    <s v="3BPDLK0X1NF111053"/>
    <n v="2022"/>
    <m/>
    <m/>
    <s v="TRUCKS AND TRAILERS"/>
    <s v="TBA"/>
    <s v="Automated Side Loader"/>
    <m/>
    <m/>
    <d v="2021-08-25T00:00:00"/>
    <d v="2021-08-25T00:00:00"/>
    <s v="2111-21-0002"/>
    <n v="1000"/>
    <n v="14040"/>
    <n v="374782.76"/>
    <n v="14046"/>
    <n v="115558.03"/>
    <n v="259224.73"/>
    <n v="28108.71"/>
    <n v="51260"/>
    <n v="3123.19"/>
    <s v="P"/>
    <m/>
    <n v="870"/>
    <s v=" "/>
    <s v="STL"/>
    <s v="YES"/>
    <s v="TBD"/>
    <s v="ASL Garbage Truck"/>
    <x v="0"/>
    <n v="8"/>
    <n v="2021"/>
    <n v="2031"/>
    <n v="2031.6666666666667"/>
    <n v="3123.1896666666667"/>
    <n v="37478.275999999998"/>
    <n v="37478.275999999998"/>
    <n v="99942.069333327643"/>
    <n v="137420.34533332766"/>
    <n v="237362.41466667235"/>
    <s v="No"/>
  </r>
  <r>
    <n v="2111"/>
    <n v="264315"/>
    <s v="P"/>
    <s v="Capitalized"/>
    <s v="95 GAL YARD WASTE CARTS"/>
    <m/>
    <m/>
    <n v="1404"/>
    <m/>
    <n v="0"/>
    <s v="REHRIG PACIFIC COMPANY IN"/>
    <m/>
    <s v="CONTAINERS"/>
    <s v="TBA"/>
    <m/>
    <m/>
    <m/>
    <d v="2021-09-06T00:00:00"/>
    <d v="2021-09-06T00:00:00"/>
    <s v="2111-21-0045-1"/>
    <n v="700"/>
    <n v="14050"/>
    <n v="89945.85"/>
    <n v="14056"/>
    <n v="39618.980000000003"/>
    <n v="50326.87"/>
    <n v="9637.02"/>
    <n v="54260"/>
    <n v="1070.78"/>
    <s v="P"/>
    <m/>
    <m/>
    <s v=" "/>
    <s v="STL"/>
    <s v="YES"/>
    <s v="TBD"/>
    <s v="YW Cart"/>
    <x v="4"/>
    <n v="9"/>
    <n v="2021"/>
    <n v="2028"/>
    <n v="2028.75"/>
    <n v="1070.7839285714288"/>
    <n v="12849.407142857144"/>
    <n v="12849.407142857144"/>
    <n v="33194.301785713309"/>
    <n v="46043.708928570457"/>
    <n v="43902.141071429549"/>
    <s v="No"/>
  </r>
  <r>
    <n v="2111"/>
    <n v="264052"/>
    <n v="264051"/>
    <s v="Capitalized"/>
    <s v="docking station for new controller - No S/N Listed on Amazon Invoices"/>
    <m/>
    <m/>
    <n v="1"/>
    <m/>
    <n v="0"/>
    <s v="AMZN MKTP US 2C2QX0R90 AM"/>
    <m/>
    <s v="HARDWARE AND SOFTWARE"/>
    <s v="TBA"/>
    <m/>
    <m/>
    <m/>
    <d v="2021-10-01T00:00:00"/>
    <d v="2021-10-01T00:00:00"/>
    <s v="2111-21-0049-1"/>
    <n v="300"/>
    <n v="14110"/>
    <n v="260.33"/>
    <n v="14116"/>
    <n v="260.33"/>
    <n v="0"/>
    <n v="65.069999999999993"/>
    <n v="70260"/>
    <n v="7.23"/>
    <s v="P"/>
    <m/>
    <m/>
    <s v=" "/>
    <s v="STL"/>
    <s v="YES"/>
    <s v="TBD"/>
    <s v="Office"/>
    <x v="10"/>
    <n v="10"/>
    <n v="2021"/>
    <n v="2024"/>
    <n v="2024.8333333333333"/>
    <n v="7.2313888888888878"/>
    <n v="86.776666666666657"/>
    <n v="0"/>
    <n v="216.94166666666666"/>
    <n v="260.33"/>
    <n v="0"/>
    <s v="No"/>
  </r>
  <r>
    <n v="2111"/>
    <n v="264051"/>
    <s v="P"/>
    <s v="Capitalized"/>
    <s v="HP Probook 450-Controller Serial # : 5CD137MBVD"/>
    <m/>
    <m/>
    <n v="1"/>
    <m/>
    <n v="0"/>
    <s v="CDW DIR #2111"/>
    <m/>
    <s v="HARDWARE AND SOFTWARE"/>
    <s v="TBA"/>
    <m/>
    <m/>
    <m/>
    <d v="2021-10-01T00:00:00"/>
    <d v="2021-10-01T00:00:00"/>
    <s v="2111-21-0049-1"/>
    <n v="300"/>
    <n v="14110"/>
    <n v="1300.04"/>
    <n v="14116"/>
    <n v="1300.04"/>
    <n v="0"/>
    <n v="325"/>
    <n v="70260"/>
    <n v="36.119999999999997"/>
    <s v="P"/>
    <m/>
    <m/>
    <s v=" "/>
    <s v="STL"/>
    <s v="YES"/>
    <s v="TBD"/>
    <s v="Office"/>
    <x v="10"/>
    <n v="10"/>
    <n v="2021"/>
    <n v="2024"/>
    <n v="2024.8333333333333"/>
    <n v="36.112222222222222"/>
    <n v="433.34666666666669"/>
    <n v="0"/>
    <n v="1083.3666666666666"/>
    <n v="1300.04"/>
    <n v="0"/>
    <s v="No"/>
  </r>
  <r>
    <n v="2111"/>
    <n v="263289"/>
    <s v="P"/>
    <s v="Capitalized"/>
    <s v="65 GAL MSW CARTS"/>
    <m/>
    <m/>
    <n v="936"/>
    <m/>
    <n v="0"/>
    <s v="REHRIG PACIFIC COMPANY IN"/>
    <m/>
    <s v="CONTAINERS"/>
    <s v="TBA"/>
    <m/>
    <m/>
    <m/>
    <d v="2021-10-19T00:00:00"/>
    <d v="2021-10-19T00:00:00"/>
    <s v="2111-21-0048-1"/>
    <n v="700"/>
    <n v="14050"/>
    <n v="56947.17"/>
    <n v="14056"/>
    <n v="23727.97"/>
    <n v="33219.199999999997"/>
    <n v="6101.46"/>
    <n v="54260"/>
    <n v="677.94"/>
    <s v="P"/>
    <m/>
    <m/>
    <s v=" "/>
    <s v="STL"/>
    <s v="YES"/>
    <s v="TBD"/>
    <s v="Garbage Carts"/>
    <x v="7"/>
    <n v="10"/>
    <n v="2021"/>
    <n v="2028"/>
    <n v="2028.8333333333333"/>
    <n v="677.9425"/>
    <n v="8135.3099999999995"/>
    <n v="8135.3099999999995"/>
    <n v="20338.275000000001"/>
    <n v="28473.584999999999"/>
    <n v="28473.584999999999"/>
    <s v="No"/>
  </r>
  <r>
    <n v="2111"/>
    <n v="263288"/>
    <s v="P"/>
    <s v="Capitalized"/>
    <s v="20 GAL MSW CARTS"/>
    <m/>
    <m/>
    <n v="220"/>
    <m/>
    <n v="0"/>
    <s v="REHRIG PACIFIC COMPANY IN"/>
    <m/>
    <s v="CONTAINERS"/>
    <s v="TBA"/>
    <m/>
    <m/>
    <m/>
    <d v="2021-09-06T00:00:00"/>
    <d v="2021-09-06T00:00:00"/>
    <s v="2111-21-0045-1"/>
    <n v="700"/>
    <n v="14050"/>
    <n v="11412.72"/>
    <n v="14056"/>
    <n v="5027.07"/>
    <n v="6385.65"/>
    <n v="1222.83"/>
    <n v="54260"/>
    <n v="135.87"/>
    <s v="P"/>
    <m/>
    <m/>
    <s v=" "/>
    <s v="STL"/>
    <s v="YES"/>
    <s v="TBD"/>
    <s v="Garbage Carts"/>
    <x v="7"/>
    <n v="9"/>
    <n v="2021"/>
    <n v="2028"/>
    <n v="2028.75"/>
    <n v="135.86571428571429"/>
    <n v="1630.3885714285716"/>
    <n v="1630.3885714285716"/>
    <n v="4211.8371428570181"/>
    <n v="5842.2257142855897"/>
    <n v="5570.4942857144097"/>
    <s v="No"/>
  </r>
  <r>
    <n v="2111"/>
    <n v="263287"/>
    <s v="P"/>
    <s v="Capitalized"/>
    <s v="6YD FEL SLOPE C/W SINGLE PLY PLASTIC LID"/>
    <m/>
    <m/>
    <n v="34"/>
    <m/>
    <n v="0"/>
    <s v="ENVIRONMENTAL METAL WORKS"/>
    <m/>
    <s v="CONTAINERS"/>
    <s v="TBA"/>
    <m/>
    <s v="6 YD"/>
    <s v="FEL/REL/SL Metal"/>
    <d v="2021-09-09T00:00:00"/>
    <d v="2021-09-09T00:00:00"/>
    <s v="2111-21-0044-1"/>
    <n v="1200"/>
    <n v="14050"/>
    <n v="59372.81"/>
    <n v="14056"/>
    <n v="15255.52"/>
    <n v="44117.289999999994"/>
    <n v="3710.79"/>
    <n v="54260"/>
    <n v="412.31"/>
    <s v="P"/>
    <m/>
    <m/>
    <s v=" "/>
    <s v="STL"/>
    <s v="YES"/>
    <s v="TBD"/>
    <s v="Containers"/>
    <x v="5"/>
    <n v="9"/>
    <n v="2021"/>
    <n v="2033"/>
    <n v="2033.75"/>
    <n v="412.3111805555555"/>
    <n v="4947.7341666666662"/>
    <n v="4947.7341666666662"/>
    <n v="12781.64659722185"/>
    <n v="17729.380763888516"/>
    <n v="41643.429236111479"/>
    <s v="No"/>
  </r>
  <r>
    <n v="2111"/>
    <n v="263275"/>
    <n v="263272"/>
    <s v="Capitalized"/>
    <s v="INSTALL NEW GRIZZLY"/>
    <m/>
    <m/>
    <n v="1"/>
    <s v="S2158"/>
    <n v="2020"/>
    <s v="XXXX"/>
    <s v="XXXX"/>
    <s v="HEAVY EQUIPMENT"/>
    <s v="TBA"/>
    <s v="Non-Rolling Stock"/>
    <m/>
    <m/>
    <d v="2021-07-31T00:00:00"/>
    <d v="2021-07-31T00:00:00"/>
    <s v="2111-21-0013-1"/>
    <n v="300"/>
    <n v="14030"/>
    <n v="22513.29"/>
    <n v="14036"/>
    <n v="22513.29"/>
    <n v="0"/>
    <n v="4377.58"/>
    <n v="51260"/>
    <n v="625.36"/>
    <s v="P"/>
    <m/>
    <m/>
    <s v=" "/>
    <s v="STL"/>
    <s v="YES"/>
    <s v="TBD"/>
    <s v="TS Equip"/>
    <x v="18"/>
    <n v="7"/>
    <n v="2021"/>
    <n v="2024"/>
    <n v="2024.5833333333333"/>
    <n v="625.36916666666673"/>
    <n v="7504.43"/>
    <n v="0"/>
    <n v="20637.182500000003"/>
    <n v="22513.29"/>
    <n v="0"/>
    <s v="No"/>
  </r>
  <r>
    <n v="2111"/>
    <n v="263274"/>
    <n v="263272"/>
    <s v="Capitalized"/>
    <s v="HYDRAULIC PUMPS, DRIVE MOTORS, HYD DRIVE GEAR BOX"/>
    <m/>
    <m/>
    <n v="1"/>
    <s v="S2158"/>
    <n v="2020"/>
    <s v="XXXX"/>
    <s v="XXXX"/>
    <s v="HEAVY EQUIPMENT"/>
    <s v="TBA"/>
    <s v="Non-Rolling Stock"/>
    <m/>
    <m/>
    <d v="2021-07-31T00:00:00"/>
    <d v="2021-07-31T00:00:00"/>
    <s v="2111-21-0013-1"/>
    <n v="300"/>
    <n v="14030"/>
    <n v="8733.7900000000009"/>
    <n v="14036"/>
    <n v="8733.7900000000009"/>
    <n v="0"/>
    <n v="1698.24"/>
    <n v="51260"/>
    <n v="242.58"/>
    <s v="P"/>
    <m/>
    <m/>
    <s v=" "/>
    <s v="STL"/>
    <s v="YES"/>
    <s v="TBD"/>
    <s v="TS Equip"/>
    <x v="18"/>
    <n v="7"/>
    <n v="2021"/>
    <n v="2024"/>
    <n v="2024.5833333333333"/>
    <n v="242.60527777777781"/>
    <n v="2911.2633333333338"/>
    <n v="0"/>
    <n v="8005.9741666666678"/>
    <n v="8733.7900000000009"/>
    <n v="0"/>
    <s v="No"/>
  </r>
  <r>
    <n v="2111"/>
    <n v="263273"/>
    <n v="263272"/>
    <s v="Capitalized"/>
    <s v="ENGINE"/>
    <m/>
    <m/>
    <n v="1"/>
    <s v="S2158"/>
    <n v="2020"/>
    <s v="XXXX"/>
    <s v="XXXX"/>
    <s v="HEAVY EQUIPMENT"/>
    <s v="TBA"/>
    <s v="Non-Rolling Stock"/>
    <m/>
    <m/>
    <d v="2021-07-31T00:00:00"/>
    <d v="2021-07-31T00:00:00"/>
    <s v="2111-21-0013-1"/>
    <n v="300"/>
    <n v="14030"/>
    <n v="26201.360000000001"/>
    <n v="14036"/>
    <n v="26201.360000000001"/>
    <n v="0"/>
    <n v="5094.7"/>
    <n v="51260"/>
    <n v="727.78"/>
    <s v="P"/>
    <m/>
    <m/>
    <s v=" "/>
    <s v="STL"/>
    <s v="YES"/>
    <s v="TBD"/>
    <s v="TS Equip"/>
    <x v="18"/>
    <n v="7"/>
    <n v="2021"/>
    <n v="2024"/>
    <n v="2024.5833333333333"/>
    <n v="727.81555555555553"/>
    <n v="8733.7866666666669"/>
    <n v="0"/>
    <n v="24017.913333333334"/>
    <n v="26201.360000000001"/>
    <n v="0"/>
    <s v="No"/>
  </r>
  <r>
    <n v="2111"/>
    <n v="263272"/>
    <s v="P"/>
    <s v="Capitalized"/>
    <s v="2020 Tipper Chassis"/>
    <m/>
    <m/>
    <n v="1"/>
    <s v="S2158"/>
    <n v="2020"/>
    <s v="XXXX"/>
    <s v="XXXX"/>
    <s v="HEAVY EQUIPMENT"/>
    <s v="TBA"/>
    <s v="Excavator"/>
    <m/>
    <m/>
    <d v="2021-07-31T00:00:00"/>
    <d v="2021-07-31T00:00:00"/>
    <s v="2111-21-0013-1"/>
    <n v="1000"/>
    <n v="14030"/>
    <n v="183409.55"/>
    <n v="14036"/>
    <n v="58079.68"/>
    <n v="125329.87"/>
    <n v="13755.69"/>
    <n v="51260"/>
    <n v="1528.41"/>
    <s v="P"/>
    <n v="0"/>
    <s v="GL-2"/>
    <s v=" "/>
    <s v="STL"/>
    <s v="YES"/>
    <s v="TBD"/>
    <s v="TS Equip"/>
    <x v="18"/>
    <n v="7"/>
    <n v="2021"/>
    <n v="2031"/>
    <n v="2031.5833333333333"/>
    <n v="1528.4129166666664"/>
    <n v="18340.954999999998"/>
    <n v="18340.954999999998"/>
    <n v="50437.626250000001"/>
    <n v="68778.581250000003"/>
    <n v="114630.96874999999"/>
    <s v="No"/>
  </r>
  <r>
    <n v="2111"/>
    <n v="262700"/>
    <n v="262699"/>
    <s v="Capitalized"/>
    <s v="SET OF CASTERS 2 SWIVEL, 2 FIXED"/>
    <m/>
    <m/>
    <n v="84"/>
    <m/>
    <n v="0"/>
    <s v="ENVIRONMENTAL METAL WORKS"/>
    <m/>
    <s v="CONTAINERS"/>
    <s v="TBA"/>
    <m/>
    <m/>
    <m/>
    <d v="2021-09-09T00:00:00"/>
    <d v="2021-09-09T00:00:00"/>
    <s v="2111-21-0044-1"/>
    <n v="1200"/>
    <n v="14050"/>
    <n v="9223.3700000000008"/>
    <n v="14056"/>
    <n v="2369.9"/>
    <n v="6853.4700000000012"/>
    <n v="576.45000000000005"/>
    <n v="54260"/>
    <n v="64.05"/>
    <s v="P"/>
    <m/>
    <m/>
    <s v=" "/>
    <s v="STL"/>
    <s v="YES"/>
    <s v="TBD"/>
    <s v="Containers"/>
    <x v="5"/>
    <n v="9"/>
    <n v="2021"/>
    <n v="2033"/>
    <n v="2033.75"/>
    <n v="64.051180555555561"/>
    <n v="768.61416666666673"/>
    <n v="768.61416666666673"/>
    <n v="1985.5865972221645"/>
    <n v="2754.2007638888313"/>
    <n v="6469.1692361111691"/>
    <s v="No"/>
  </r>
  <r>
    <n v="2111"/>
    <n v="262699"/>
    <s v="P"/>
    <s v="Capitalized"/>
    <s v="6YD FEL SLOPE C/W PLASTIC LID"/>
    <m/>
    <m/>
    <n v="3"/>
    <m/>
    <n v="0"/>
    <s v="ENVIRONMENTAL METAL WORKS"/>
    <m/>
    <s v="CONTAINERS"/>
    <s v="TBA"/>
    <m/>
    <s v="6 YD"/>
    <s v="FEL/REL/SL Metal"/>
    <d v="2021-09-09T00:00:00"/>
    <d v="2021-09-09T00:00:00"/>
    <s v="2111-21-0044-1"/>
    <n v="1200"/>
    <n v="14050"/>
    <n v="5024.3"/>
    <n v="14056"/>
    <n v="1290.95"/>
    <n v="3733.3500000000004"/>
    <n v="314.01"/>
    <n v="54260"/>
    <n v="34.89"/>
    <s v="P"/>
    <m/>
    <m/>
    <s v=" "/>
    <s v="STL"/>
    <s v="YES"/>
    <s v="TBD"/>
    <s v="Containers"/>
    <x v="5"/>
    <n v="9"/>
    <n v="2021"/>
    <n v="2033"/>
    <n v="2033.75"/>
    <n v="34.890972222222224"/>
    <n v="418.69166666666672"/>
    <n v="418.69166666666672"/>
    <n v="1081.6201388888571"/>
    <n v="1500.3118055555237"/>
    <n v="3523.9881944444764"/>
    <s v="No"/>
  </r>
  <r>
    <n v="2111"/>
    <n v="262698"/>
    <s v="P"/>
    <s v="Capitalized"/>
    <s v="4YD FEL SLOPE C/W PLASTIC LID"/>
    <m/>
    <m/>
    <n v="8"/>
    <m/>
    <n v="0"/>
    <s v="ENVIRONMENTAL METAL WORKS"/>
    <m/>
    <s v="CONTAINERS"/>
    <s v="TBA"/>
    <m/>
    <s v="4 YD"/>
    <s v="FEL/REL/SL Metal"/>
    <d v="2021-09-09T00:00:00"/>
    <d v="2021-09-09T00:00:00"/>
    <s v="2111-21-0044-1"/>
    <n v="1200"/>
    <n v="14050"/>
    <n v="10357.9"/>
    <n v="14056"/>
    <n v="2661.41"/>
    <n v="7696.49"/>
    <n v="647.37"/>
    <n v="54260"/>
    <n v="71.930000000000007"/>
    <s v="P"/>
    <m/>
    <m/>
    <s v=" "/>
    <s v="STL"/>
    <s v="YES"/>
    <s v="TBD"/>
    <s v="Containers"/>
    <x v="5"/>
    <n v="9"/>
    <n v="2021"/>
    <n v="2033"/>
    <n v="2033.75"/>
    <n v="71.929861111111109"/>
    <n v="863.1583333333333"/>
    <n v="863.1583333333333"/>
    <n v="2229.8256944443792"/>
    <n v="3092.9840277777125"/>
    <n v="7264.9159722222867"/>
    <s v="No"/>
  </r>
  <r>
    <n v="2111"/>
    <n v="262697"/>
    <s v="P"/>
    <s v="Capitalized"/>
    <s v="2YD REAR LOAD C/W PLASTIC LIDS"/>
    <m/>
    <m/>
    <n v="48"/>
    <m/>
    <n v="0"/>
    <s v="ENVIRONMENTAL METAL WORKS"/>
    <m/>
    <s v="CONTAINERS"/>
    <s v="TBA"/>
    <m/>
    <s v="2 YD"/>
    <s v="FEL/REL/SL Metal"/>
    <d v="2021-09-09T00:00:00"/>
    <d v="2021-09-09T00:00:00"/>
    <s v="2111-21-0044-1"/>
    <n v="1200"/>
    <n v="14050"/>
    <n v="51949.1"/>
    <n v="14056"/>
    <n v="13348.05"/>
    <n v="38601.050000000003"/>
    <n v="3246.84"/>
    <n v="54260"/>
    <n v="360.76"/>
    <s v="P"/>
    <m/>
    <m/>
    <s v=" "/>
    <s v="STL"/>
    <s v="YES"/>
    <s v="TBD"/>
    <s v="Containers"/>
    <x v="5"/>
    <n v="9"/>
    <n v="2021"/>
    <n v="2033"/>
    <n v="2033.75"/>
    <n v="360.75763888888883"/>
    <n v="4329.0916666666662"/>
    <n v="4329.0916666666662"/>
    <n v="11183.486805555229"/>
    <n v="15512.578472221896"/>
    <n v="36436.521527778103"/>
    <s v="No"/>
  </r>
  <r>
    <n v="2111"/>
    <n v="262696"/>
    <s v="P"/>
    <s v="Capitalized"/>
    <s v="2YD FLAT TOP C/W PLASTIC LIDS"/>
    <m/>
    <m/>
    <n v="12"/>
    <m/>
    <n v="0"/>
    <s v="ENVIRONMENTAL METAL WORKS"/>
    <m/>
    <s v="CONTAINERS"/>
    <s v="TBA"/>
    <m/>
    <s v="2 YD"/>
    <s v="FEL/REL/SL Metal"/>
    <d v="2021-09-09T00:00:00"/>
    <d v="2021-09-09T00:00:00"/>
    <s v="2111-21-0044-1"/>
    <n v="1200"/>
    <n v="14050"/>
    <n v="12818.05"/>
    <n v="14056"/>
    <n v="3293.49"/>
    <n v="9524.56"/>
    <n v="801.09"/>
    <n v="54260"/>
    <n v="89.01"/>
    <s v="P"/>
    <m/>
    <m/>
    <s v=" "/>
    <s v="STL"/>
    <s v="YES"/>
    <s v="TBD"/>
    <s v="Containers"/>
    <x v="5"/>
    <n v="9"/>
    <n v="2021"/>
    <n v="2033"/>
    <n v="2033.75"/>
    <n v="89.014236111111117"/>
    <n v="1068.1708333333333"/>
    <n v="1068.1708333333333"/>
    <n v="2759.4413194443623"/>
    <n v="3827.6121527776959"/>
    <n v="8990.4378472223034"/>
    <s v="No"/>
  </r>
  <r>
    <n v="2111"/>
    <n v="262695"/>
    <s v="P"/>
    <s v="Capitalized"/>
    <s v="1YD REAR LOAD C/W PLASTIC LIDS"/>
    <m/>
    <m/>
    <n v="24"/>
    <m/>
    <n v="0"/>
    <s v="ENVIRONMENTAL METAL WORKS"/>
    <m/>
    <s v="CONTAINERS"/>
    <s v="TBA"/>
    <m/>
    <s v="1 YD"/>
    <s v="FEL/REL/SL Metal"/>
    <d v="2021-09-09T00:00:00"/>
    <d v="2021-09-09T00:00:00"/>
    <s v="2111-21-0044-1"/>
    <n v="1200"/>
    <n v="14050"/>
    <n v="23171.56"/>
    <n v="14056"/>
    <n v="5953.77"/>
    <n v="17217.79"/>
    <n v="1448.19"/>
    <n v="54260"/>
    <n v="160.91"/>
    <s v="P"/>
    <m/>
    <m/>
    <s v=" "/>
    <s v="STL"/>
    <s v="YES"/>
    <s v="TBD"/>
    <s v="Containers"/>
    <x v="5"/>
    <n v="9"/>
    <n v="2021"/>
    <n v="2033"/>
    <n v="2033.75"/>
    <n v="160.91361111111112"/>
    <n v="1930.9633333333336"/>
    <n v="1930.9633333333336"/>
    <n v="4988.3219444442984"/>
    <n v="6919.2852777776316"/>
    <n v="16252.27472222237"/>
    <s v="No"/>
  </r>
  <r>
    <n v="2111"/>
    <n v="262694"/>
    <s v="P"/>
    <s v="Capitalized"/>
    <s v="1.5YD REAR LOAD C/W PLASTIC LIDS"/>
    <m/>
    <m/>
    <n v="12"/>
    <m/>
    <n v="0"/>
    <s v="ENVIRONMENTAL METAL WORKS"/>
    <m/>
    <s v="CONTAINERS"/>
    <s v="TBA"/>
    <m/>
    <s v="1.5 YD"/>
    <s v="FEL/REL/SL Metal"/>
    <d v="2021-09-09T00:00:00"/>
    <d v="2021-09-09T00:00:00"/>
    <s v="2111-21-0044-1"/>
    <n v="1200"/>
    <n v="14050"/>
    <n v="12226.16"/>
    <n v="14056"/>
    <n v="3141.42"/>
    <n v="9084.74"/>
    <n v="764.1"/>
    <n v="54260"/>
    <n v="84.9"/>
    <s v="P"/>
    <m/>
    <m/>
    <s v=" "/>
    <s v="STL"/>
    <s v="YES"/>
    <s v="TBD"/>
    <s v="Containers"/>
    <x v="5"/>
    <n v="9"/>
    <n v="2021"/>
    <n v="2033"/>
    <n v="2033.75"/>
    <n v="84.903888888888886"/>
    <n v="1018.8466666666666"/>
    <n v="1018.8466666666666"/>
    <n v="2632.0205555554785"/>
    <n v="3650.8672222221448"/>
    <n v="8575.292777777855"/>
    <s v="No"/>
  </r>
  <r>
    <n v="2111"/>
    <n v="262693"/>
    <s v="P"/>
    <s v="Capitalized"/>
    <s v="6YD FRONT LOAD CONTAINERS"/>
    <m/>
    <m/>
    <n v="10"/>
    <m/>
    <n v="0"/>
    <s v="RULE STEEL TANKS INC"/>
    <m/>
    <s v="CONTAINERS"/>
    <s v="TBA"/>
    <m/>
    <s v="6 YD"/>
    <s v="FEL/REL/SL Metal"/>
    <d v="2021-07-20T00:00:00"/>
    <d v="2021-07-20T00:00:00"/>
    <s v="2111-21-0041-1"/>
    <n v="1200"/>
    <n v="14050"/>
    <n v="14764.71"/>
    <n v="14056"/>
    <n v="3896.21"/>
    <n v="10868.5"/>
    <n v="922.77"/>
    <n v="54260"/>
    <n v="102.53"/>
    <s v="P"/>
    <m/>
    <m/>
    <s v=" "/>
    <s v="STL"/>
    <s v="YES"/>
    <s v="TBD"/>
    <s v="Containers"/>
    <x v="5"/>
    <n v="7"/>
    <n v="2021"/>
    <n v="2033"/>
    <n v="2033.5833333333333"/>
    <n v="102.53270833333333"/>
    <n v="1230.3924999999999"/>
    <n v="1230.3924999999999"/>
    <n v="3383.5793749999993"/>
    <n v="4613.9718749999993"/>
    <n v="10150.738125"/>
    <s v="No"/>
  </r>
  <r>
    <n v="2111"/>
    <n v="262692"/>
    <s v="P"/>
    <s v="Capitalized"/>
    <s v="6YD FRONT LOAD CARDBOARD CONTAINERS"/>
    <m/>
    <m/>
    <n v="10"/>
    <m/>
    <n v="0"/>
    <s v="RULE STEEL TANKS INC"/>
    <m/>
    <s v="CONTAINERS"/>
    <s v="TBA"/>
    <m/>
    <s v="6 YD"/>
    <s v="FEL/REL/SL Metal"/>
    <d v="2021-07-20T00:00:00"/>
    <d v="2021-07-20T00:00:00"/>
    <s v="2111-21-0041-1"/>
    <n v="1200"/>
    <n v="14050"/>
    <n v="14126.71"/>
    <n v="14056"/>
    <n v="3727.87"/>
    <n v="10398.84"/>
    <n v="882.9"/>
    <n v="54260"/>
    <n v="98.1"/>
    <s v="P"/>
    <m/>
    <m/>
    <s v=" "/>
    <s v="STL"/>
    <s v="YES"/>
    <s v="TBD"/>
    <s v="Containers"/>
    <x v="5"/>
    <n v="7"/>
    <n v="2021"/>
    <n v="2033"/>
    <n v="2033.5833333333333"/>
    <n v="98.102152777777761"/>
    <n v="1177.2258333333332"/>
    <n v="1177.2258333333332"/>
    <n v="3237.3710416666672"/>
    <n v="4414.5968750000002"/>
    <n v="9712.1131249999999"/>
    <s v="No"/>
  </r>
  <r>
    <n v="2111"/>
    <n v="262691"/>
    <s v="P"/>
    <s v="Capitalized"/>
    <s v="2YD REAR LOAD CONTAINERS"/>
    <m/>
    <m/>
    <n v="20"/>
    <m/>
    <n v="0"/>
    <s v="RULE STEEL TANKS INC"/>
    <m/>
    <s v="CONTAINERS"/>
    <s v="TBA"/>
    <m/>
    <s v="2 YD"/>
    <s v="FEL/REL/SL Metal"/>
    <d v="2021-07-20T00:00:00"/>
    <d v="2021-07-20T00:00:00"/>
    <s v="2111-21-0041-1"/>
    <n v="1200"/>
    <n v="14050"/>
    <n v="15560.2"/>
    <n v="14056"/>
    <n v="4106.1899999999996"/>
    <n v="11454.010000000002"/>
    <n v="972.54"/>
    <n v="54260"/>
    <n v="108.06"/>
    <s v="P"/>
    <m/>
    <m/>
    <s v=" "/>
    <s v="STL"/>
    <s v="YES"/>
    <s v="TBD"/>
    <s v="Containers"/>
    <x v="5"/>
    <n v="7"/>
    <n v="2021"/>
    <n v="2033"/>
    <n v="2033.5833333333333"/>
    <n v="108.05694444444445"/>
    <n v="1296.6833333333334"/>
    <n v="1296.6833333333334"/>
    <n v="3565.8791666666657"/>
    <n v="4862.5624999999991"/>
    <n v="10697.637500000001"/>
    <s v="No"/>
  </r>
  <r>
    <n v="2111"/>
    <n v="262690"/>
    <s v="P"/>
    <s v="Capitalized"/>
    <s v="1YD REAR LOAD CONTAINERS"/>
    <m/>
    <m/>
    <n v="20"/>
    <m/>
    <n v="0"/>
    <s v="RULE STEEL TANKS INC"/>
    <m/>
    <s v="CONTAINERS"/>
    <s v="TBA"/>
    <m/>
    <s v="1 YD"/>
    <s v="FEL/REL/SL Metal"/>
    <d v="2021-07-20T00:00:00"/>
    <d v="2021-07-20T00:00:00"/>
    <s v="2111-21-0041-1"/>
    <n v="1200"/>
    <n v="14050"/>
    <n v="13557.19"/>
    <n v="14056"/>
    <n v="3577.63"/>
    <n v="9979.5600000000013"/>
    <n v="847.35"/>
    <n v="54260"/>
    <n v="94.15"/>
    <s v="P"/>
    <m/>
    <m/>
    <s v=" "/>
    <s v="STL"/>
    <s v="YES"/>
    <s v="TBD"/>
    <s v="Containers"/>
    <x v="5"/>
    <n v="7"/>
    <n v="2021"/>
    <n v="2033"/>
    <n v="2033.5833333333333"/>
    <n v="94.147152777777777"/>
    <n v="1129.7658333333334"/>
    <n v="1129.7658333333334"/>
    <n v="3106.8560416666678"/>
    <n v="4236.6218750000007"/>
    <n v="9320.5681249999998"/>
    <s v="No"/>
  </r>
  <r>
    <n v="2111"/>
    <n v="262689"/>
    <s v="P"/>
    <s v="Capitalized"/>
    <s v="1.5YD REAR LOAD CONTAINERS"/>
    <m/>
    <m/>
    <n v="20"/>
    <m/>
    <n v="0"/>
    <s v="RULE STEEL TANKS INC"/>
    <m/>
    <s v="CONTAINERS"/>
    <s v="TBA"/>
    <m/>
    <s v="1.5 YD"/>
    <s v="FEL/REL/SL Metal"/>
    <d v="2021-07-20T00:00:00"/>
    <d v="2021-07-20T00:00:00"/>
    <s v="2111-21-0041-1"/>
    <n v="1200"/>
    <n v="14050"/>
    <n v="14921.19"/>
    <n v="14056"/>
    <n v="3937.54"/>
    <n v="10983.650000000001"/>
    <n v="932.58"/>
    <n v="54260"/>
    <n v="103.62"/>
    <s v="P"/>
    <m/>
    <m/>
    <s v=" "/>
    <s v="STL"/>
    <s v="YES"/>
    <s v="TBD"/>
    <s v="Containers"/>
    <x v="5"/>
    <n v="7"/>
    <n v="2021"/>
    <n v="2033"/>
    <n v="2033.5833333333333"/>
    <n v="103.61937500000001"/>
    <n v="1243.4325000000001"/>
    <n v="1243.4325000000001"/>
    <n v="3419.4393749999999"/>
    <n v="4662.8718749999998"/>
    <n v="10258.318125000002"/>
    <s v="No"/>
  </r>
  <r>
    <n v="2111"/>
    <n v="260751"/>
    <s v="P"/>
    <s v="Capitalized"/>
    <s v="65GAL MSW CARTS"/>
    <m/>
    <m/>
    <n v="648"/>
    <m/>
    <n v="0"/>
    <s v="REHRIG PACIFIC COMPANY IN"/>
    <m/>
    <s v="CONTAINERS"/>
    <s v="TBA"/>
    <m/>
    <m/>
    <m/>
    <d v="2021-09-06T00:00:00"/>
    <d v="2021-09-06T00:00:00"/>
    <s v="2111-21-0045-1"/>
    <n v="700"/>
    <n v="14050"/>
    <n v="37015.699999999997"/>
    <n v="14056"/>
    <n v="16304.51"/>
    <n v="20711.189999999995"/>
    <n v="3965.94"/>
    <n v="54260"/>
    <n v="440.66"/>
    <s v="P"/>
    <m/>
    <m/>
    <s v=" "/>
    <s v="STL"/>
    <s v="YES"/>
    <s v="TBD"/>
    <s v="Garbage Carts"/>
    <x v="7"/>
    <n v="9"/>
    <n v="2021"/>
    <n v="2028"/>
    <n v="2028.75"/>
    <n v="440.6630952380952"/>
    <n v="5287.9571428571426"/>
    <n v="5287.9571428571426"/>
    <n v="13660.55595238055"/>
    <n v="18948.513095237693"/>
    <n v="18067.186904762304"/>
    <s v="No"/>
  </r>
  <r>
    <n v="2111"/>
    <n v="260750"/>
    <s v="P"/>
    <s v="Capitalized"/>
    <s v="95GAL RECYCLE CARTS"/>
    <m/>
    <m/>
    <n v="351"/>
    <m/>
    <n v="0"/>
    <s v="REHRIG PACIFIC COMPANY IN"/>
    <m/>
    <s v="CONTAINERS"/>
    <s v="TBA"/>
    <m/>
    <m/>
    <m/>
    <d v="2021-08-23T00:00:00"/>
    <d v="2021-08-23T00:00:00"/>
    <s v="2111-21-0045-1"/>
    <n v="700"/>
    <n v="14050"/>
    <n v="22486.46"/>
    <n v="14056"/>
    <n v="9904.7800000000007"/>
    <n v="12581.679999999998"/>
    <n v="2409.3000000000002"/>
    <n v="54260"/>
    <n v="267.7"/>
    <s v="P"/>
    <m/>
    <m/>
    <s v=" "/>
    <s v="STL"/>
    <s v="YES"/>
    <s v="TBD"/>
    <s v="Recycle Carts"/>
    <x v="3"/>
    <n v="8"/>
    <n v="2021"/>
    <n v="2028"/>
    <n v="2028.6666666666667"/>
    <n v="267.69595238095241"/>
    <n v="3212.3514285714291"/>
    <n v="3212.3514285714291"/>
    <n v="8566.2704761899877"/>
    <n v="11778.621904761418"/>
    <n v="10707.838095238581"/>
    <s v="No"/>
  </r>
  <r>
    <n v="2111"/>
    <n v="260749"/>
    <s v="P"/>
    <s v="Capitalized"/>
    <s v="95GAL MSW CARTS"/>
    <m/>
    <m/>
    <n v="351"/>
    <m/>
    <n v="0"/>
    <s v="REHRIG PACIFIC COMPANY IN"/>
    <m/>
    <s v="CONTAINERS"/>
    <s v="TBA"/>
    <m/>
    <m/>
    <m/>
    <d v="2021-08-23T00:00:00"/>
    <d v="2021-08-23T00:00:00"/>
    <s v="2111-21-0045-1"/>
    <n v="700"/>
    <n v="14050"/>
    <n v="22486.47"/>
    <n v="14056"/>
    <n v="9904.7900000000009"/>
    <n v="12581.68"/>
    <n v="2409.3000000000002"/>
    <n v="54260"/>
    <n v="267.7"/>
    <s v="P"/>
    <m/>
    <m/>
    <s v=" "/>
    <s v="STL"/>
    <s v="YES"/>
    <s v="TBD"/>
    <s v="Garbage Carts"/>
    <x v="7"/>
    <n v="8"/>
    <n v="2021"/>
    <n v="2028"/>
    <n v="2028.6666666666667"/>
    <n v="267.69607142857143"/>
    <n v="3212.3528571428569"/>
    <n v="3212.3528571428569"/>
    <n v="8566.2742857138001"/>
    <n v="11778.627142856658"/>
    <n v="10707.842857143343"/>
    <s v="No"/>
  </r>
  <r>
    <n v="2111"/>
    <n v="260748"/>
    <s v="P"/>
    <s v="Capitalized"/>
    <s v="95GAL RECYCLE CARTS"/>
    <m/>
    <m/>
    <n v="702"/>
    <m/>
    <n v="0"/>
    <s v="REHRIG PACIFIC COMPANY IN"/>
    <m/>
    <s v="CONTAINERS"/>
    <s v="TBA"/>
    <m/>
    <m/>
    <m/>
    <d v="2021-08-23T00:00:00"/>
    <d v="2021-08-23T00:00:00"/>
    <s v="2111-21-0045-1"/>
    <n v="700"/>
    <n v="14050"/>
    <n v="44972.94"/>
    <n v="14056"/>
    <n v="19809.5"/>
    <n v="25163.440000000002"/>
    <n v="4818.51"/>
    <n v="54260"/>
    <n v="535.39"/>
    <s v="P"/>
    <m/>
    <m/>
    <s v=" "/>
    <s v="STL"/>
    <s v="YES"/>
    <s v="TBD"/>
    <s v="Recycle Carts"/>
    <x v="3"/>
    <n v="8"/>
    <n v="2021"/>
    <n v="2028"/>
    <n v="2028.6666666666667"/>
    <n v="535.39214285714286"/>
    <n v="6424.7057142857138"/>
    <n v="6424.7057142857138"/>
    <n v="17132.5485714276"/>
    <n v="23557.254285713316"/>
    <n v="21415.685714286687"/>
    <s v="No"/>
  </r>
  <r>
    <n v="2111"/>
    <n v="259798"/>
    <n v="252489"/>
    <s v="Capitalized"/>
    <s v="Fuel Island Structural Plans and Civil Design"/>
    <m/>
    <m/>
    <n v="1"/>
    <m/>
    <n v="0"/>
    <s v="SITTS &amp; HILL ENGINEERS IN"/>
    <m/>
    <s v="LAND IMPROVEMENTS"/>
    <s v="TBA"/>
    <m/>
    <m/>
    <m/>
    <d v="2021-05-31T00:00:00"/>
    <d v="2021-05-31T00:00:00"/>
    <s v="2111-21-0035-1"/>
    <n v="1000"/>
    <n v="14010"/>
    <n v="1887.5"/>
    <n v="14016"/>
    <n v="629.17999999999995"/>
    <n v="1258.3200000000002"/>
    <n v="141.57"/>
    <n v="57260"/>
    <n v="15.73"/>
    <s v="P"/>
    <m/>
    <m/>
    <s v=" "/>
    <s v="STL"/>
    <s v="YES"/>
    <s v="TBD"/>
    <s v="Fuel Island"/>
    <x v="17"/>
    <n v="5"/>
    <n v="2021"/>
    <n v="2031"/>
    <n v="2031.4166666666667"/>
    <n v="15.729166666666666"/>
    <n v="188.75"/>
    <n v="188.75"/>
    <n v="550.52083333330484"/>
    <n v="739.27083333330484"/>
    <n v="1148.2291666666952"/>
    <s v="No"/>
  </r>
  <r>
    <n v="2111"/>
    <n v="259732"/>
    <s v="P"/>
    <s v="Capitalized"/>
    <s v="2022 Peterbilt ASL Truck"/>
    <m/>
    <m/>
    <n v="1"/>
    <s v="3BPDLK0X5NF111055"/>
    <n v="2022"/>
    <m/>
    <m/>
    <s v="TRUCKS AND TRAILERS"/>
    <s v="TBA"/>
    <s v="Automated Side Loader"/>
    <m/>
    <m/>
    <d v="2021-09-15T00:00:00"/>
    <d v="2021-09-15T00:00:00"/>
    <s v="2111-21-0006"/>
    <n v="1000"/>
    <n v="14040"/>
    <n v="374630.77"/>
    <n v="14046"/>
    <n v="115511.13"/>
    <n v="259119.64"/>
    <n v="28097.279999999999"/>
    <n v="51260"/>
    <n v="3121.92"/>
    <s v="P"/>
    <m/>
    <n v="869"/>
    <s v=" "/>
    <s v="STL"/>
    <s v="YES"/>
    <s v="TBD"/>
    <s v="ASL Garbage Truck"/>
    <x v="0"/>
    <n v="9"/>
    <n v="2021"/>
    <n v="2031"/>
    <n v="2031.75"/>
    <n v="3121.9230833333336"/>
    <n v="37463.077000000005"/>
    <n v="37463.077000000005"/>
    <n v="96779.615583330509"/>
    <n v="134242.6925833305"/>
    <n v="240388.07741666952"/>
    <s v="No"/>
  </r>
  <r>
    <n v="2111"/>
    <n v="259507"/>
    <n v="258058"/>
    <s v="Capitalized"/>
    <s v="Licenses"/>
    <m/>
    <m/>
    <n v="1"/>
    <m/>
    <n v="0"/>
    <s v="WA DOL LIC &amp; REG 31150"/>
    <m/>
    <s v="TRUCKS AND TRAILERS"/>
    <s v="TBA"/>
    <s v="Non-Rolling Stock"/>
    <m/>
    <m/>
    <d v="2021-06-24T00:00:00"/>
    <d v="2021-06-24T00:00:00"/>
    <s v="2111-21-0008-1"/>
    <n v="700"/>
    <n v="14040"/>
    <n v="195.19"/>
    <n v="14046"/>
    <n v="90.6"/>
    <n v="104.59"/>
    <n v="20.88"/>
    <n v="51260"/>
    <n v="2.3199999999999998"/>
    <s v="P"/>
    <m/>
    <m/>
    <s v=" "/>
    <s v="STL"/>
    <s v="YES"/>
    <s v="TBD"/>
    <s v="Delivery Van"/>
    <x v="2"/>
    <n v="6"/>
    <n v="2021"/>
    <n v="2028"/>
    <n v="2028.5"/>
    <n v="2.323690476190476"/>
    <n v="27.88428571428571"/>
    <n v="27.88428571428571"/>
    <n v="79.005476190474084"/>
    <n v="106.88976190475979"/>
    <n v="88.300238095240204"/>
    <s v="No"/>
  </r>
  <r>
    <n v="2111"/>
    <n v="259170"/>
    <n v="252489"/>
    <s v="Capitalized"/>
    <s v="Fuel Island Design &amp; Permitting"/>
    <m/>
    <m/>
    <n v="1"/>
    <m/>
    <n v="0"/>
    <s v="SITTS &amp; HILL ENGINEERS IN"/>
    <m/>
    <s v="LAND IMPROVEMENTS"/>
    <s v="TBA"/>
    <m/>
    <m/>
    <m/>
    <d v="2021-05-31T00:00:00"/>
    <d v="2021-05-31T00:00:00"/>
    <s v="2111-21-0035-1"/>
    <n v="1000"/>
    <n v="14010"/>
    <n v="12175"/>
    <n v="14016"/>
    <n v="4058.35"/>
    <n v="8116.65"/>
    <n v="913.14"/>
    <n v="57260"/>
    <n v="101.46"/>
    <s v="P"/>
    <m/>
    <m/>
    <s v=" "/>
    <s v="STL"/>
    <s v="YES"/>
    <s v="TBD"/>
    <d v="2024-10-09T00:00:00"/>
    <x v="19"/>
    <m/>
    <m/>
    <m/>
    <m/>
    <m/>
    <m/>
    <m/>
    <m/>
    <m/>
    <m/>
    <m/>
  </r>
  <r>
    <n v="2111"/>
    <n v="258075"/>
    <s v="P"/>
    <s v="Capitalized"/>
    <s v="65GAL MSW CARTS"/>
    <m/>
    <m/>
    <n v="936"/>
    <m/>
    <n v="0"/>
    <s v="REHRIG PACIFIC COMPANY IN"/>
    <m/>
    <s v="CONTAINERS"/>
    <s v="TBA"/>
    <m/>
    <m/>
    <m/>
    <d v="2021-07-07T00:00:00"/>
    <d v="2021-07-07T00:00:00"/>
    <s v="2111-21-0043-1"/>
    <n v="700"/>
    <n v="14050"/>
    <n v="50625.43"/>
    <n v="14056"/>
    <n v="23504.61"/>
    <n v="27120.82"/>
    <n v="5424.12"/>
    <n v="54260"/>
    <n v="602.67999999999995"/>
    <s v="P"/>
    <m/>
    <m/>
    <s v=" "/>
    <s v="STL"/>
    <s v="YES"/>
    <s v="TBD"/>
    <d v="2024-10-09T00:00:00"/>
    <x v="19"/>
    <m/>
    <m/>
    <m/>
    <m/>
    <m/>
    <m/>
    <m/>
    <m/>
    <m/>
    <m/>
    <m/>
  </r>
  <r>
    <n v="2111"/>
    <n v="258059"/>
    <n v="173284"/>
    <s v="Capitalized"/>
    <s v="BODY REPAIR TRUCK 139"/>
    <m/>
    <m/>
    <n v="1"/>
    <m/>
    <n v="0"/>
    <s v="SOLID WASTE SYSTEMS"/>
    <m/>
    <s v="TRUCKS AND TRAILERS"/>
    <s v="TBA"/>
    <s v="Non-Rolling Stock"/>
    <m/>
    <m/>
    <d v="2021-01-20T00:00:00"/>
    <d v="2021-01-20T00:00:00"/>
    <s v="2111-21-0034-1"/>
    <n v="300"/>
    <n v="14040"/>
    <n v="37534.57"/>
    <n v="14046"/>
    <n v="37534.57"/>
    <n v="0"/>
    <n v="1042.6300000000001"/>
    <n v="51260"/>
    <n v="1042.6300000000001"/>
    <s v="P"/>
    <m/>
    <m/>
    <s v=" "/>
    <s v="STL"/>
    <s v="YES"/>
    <s v="TBD"/>
    <d v="2024-10-09T00:00:00"/>
    <x v="19"/>
    <m/>
    <m/>
    <m/>
    <m/>
    <m/>
    <m/>
    <m/>
    <m/>
    <m/>
    <m/>
    <m/>
  </r>
  <r>
    <n v="2111"/>
    <n v="258058"/>
    <s v="P"/>
    <s v="Capitalized"/>
    <s v="2019 Isuzu Van with lift gate"/>
    <m/>
    <m/>
    <n v="1"/>
    <s v="JALC4W168K7K00575"/>
    <n v="2019"/>
    <s v="RWC IDEALEASE LLC"/>
    <m/>
    <s v="TRUCKS AND TRAILERS"/>
    <s v="TBA"/>
    <s v="Box Van"/>
    <m/>
    <m/>
    <d v="2021-06-24T00:00:00"/>
    <d v="2021-06-24T00:00:00"/>
    <s v="2111-21-0008-1"/>
    <n v="700"/>
    <n v="14040"/>
    <n v="61050.15"/>
    <n v="14046"/>
    <n v="28344.74"/>
    <n v="32705.41"/>
    <n v="6541.11"/>
    <n v="51260"/>
    <n v="726.79"/>
    <s v="P"/>
    <n v="0"/>
    <s v="C-10"/>
    <s v=" "/>
    <s v="STL"/>
    <s v="YES"/>
    <s v="TBD"/>
    <d v="2024-10-09T00:00:00"/>
    <x v="19"/>
    <m/>
    <m/>
    <m/>
    <m/>
    <m/>
    <m/>
    <m/>
    <m/>
    <m/>
    <m/>
    <m/>
  </r>
  <r>
    <n v="2111"/>
    <n v="255876"/>
    <s v="P"/>
    <s v="Capitalized"/>
    <s v="95GAL YARD WASTE CARTS"/>
    <m/>
    <m/>
    <n v="702"/>
    <m/>
    <n v="0"/>
    <s v="REHRIG PACIFIC COMPANY IN"/>
    <m/>
    <s v="CONTAINERS"/>
    <s v="TBA"/>
    <m/>
    <m/>
    <m/>
    <d v="2021-07-07T00:00:00"/>
    <d v="2021-07-07T00:00:00"/>
    <s v="2111-21-0043-1"/>
    <n v="700"/>
    <n v="14050"/>
    <n v="42347.45"/>
    <n v="14056"/>
    <n v="19661.36"/>
    <n v="22686.089999999997"/>
    <n v="4537.26"/>
    <n v="54260"/>
    <n v="504.14"/>
    <s v="P"/>
    <m/>
    <m/>
    <s v=" "/>
    <s v="STL"/>
    <s v="YES"/>
    <s v="TBD"/>
    <d v="2024-10-09T00:00:00"/>
    <x v="19"/>
    <m/>
    <m/>
    <m/>
    <m/>
    <m/>
    <m/>
    <m/>
    <m/>
    <m/>
    <m/>
    <m/>
  </r>
  <r>
    <n v="2111"/>
    <n v="255875"/>
    <s v="P"/>
    <s v="Capitalized"/>
    <s v="95GAL RECYCLE CARTS"/>
    <m/>
    <m/>
    <n v="702"/>
    <m/>
    <n v="0"/>
    <s v="REHRIG PACIFIC COMPANY IN"/>
    <m/>
    <s v="CONTAINERS"/>
    <s v="TBA"/>
    <m/>
    <m/>
    <m/>
    <d v="2021-07-07T00:00:00"/>
    <d v="2021-07-07T00:00:00"/>
    <s v="2111-21-0043-1"/>
    <n v="700"/>
    <n v="14050"/>
    <n v="42347.45"/>
    <n v="14056"/>
    <n v="19661.36"/>
    <n v="22686.089999999997"/>
    <n v="4537.26"/>
    <n v="54260"/>
    <n v="504.14"/>
    <s v="P"/>
    <m/>
    <m/>
    <s v=" "/>
    <s v="STL"/>
    <s v="YES"/>
    <s v="TBD"/>
    <d v="2024-10-09T00:00:00"/>
    <x v="19"/>
    <m/>
    <m/>
    <m/>
    <m/>
    <m/>
    <m/>
    <m/>
    <m/>
    <m/>
    <m/>
    <m/>
  </r>
  <r>
    <n v="2111"/>
    <n v="255874"/>
    <s v="P"/>
    <s v="Capitalized"/>
    <s v="95GAL MSW CARTS"/>
    <m/>
    <m/>
    <n v="702"/>
    <m/>
    <n v="0"/>
    <s v="REHRIG PACIFIC COMPANY IN"/>
    <m/>
    <s v="CONTAINERS"/>
    <s v="TBA"/>
    <m/>
    <m/>
    <m/>
    <d v="2021-07-07T00:00:00"/>
    <d v="2021-07-07T00:00:00"/>
    <s v="2111-21-0043-1"/>
    <n v="700"/>
    <n v="14050"/>
    <n v="42347.45"/>
    <n v="14056"/>
    <n v="19661.36"/>
    <n v="22686.089999999997"/>
    <n v="4537.26"/>
    <n v="54260"/>
    <n v="504.14"/>
    <s v="P"/>
    <m/>
    <m/>
    <s v=" "/>
    <s v="STL"/>
    <s v="YES"/>
    <s v="TBD"/>
    <d v="2024-10-09T00:00:00"/>
    <x v="19"/>
    <m/>
    <m/>
    <m/>
    <m/>
    <m/>
    <m/>
    <m/>
    <m/>
    <m/>
    <m/>
    <m/>
  </r>
  <r>
    <n v="2111"/>
    <n v="255684"/>
    <s v="P"/>
    <s v="Capitalized"/>
    <s v="Drive Cams"/>
    <m/>
    <m/>
    <n v="3"/>
    <m/>
    <n v="0"/>
    <m/>
    <m/>
    <s v="SHOP EQUIPMENT"/>
    <s v="TBA"/>
    <m/>
    <m/>
    <m/>
    <d v="2021-07-01T00:00:00"/>
    <d v="2021-07-01T00:00:00"/>
    <s v="1010-21-0038"/>
    <n v="500"/>
    <n v="14070"/>
    <n v="1617.15"/>
    <n v="14076"/>
    <n v="1051.1300000000001"/>
    <n v="566.02"/>
    <n v="242.55"/>
    <n v="51260"/>
    <n v="26.95"/>
    <s v="P"/>
    <m/>
    <m/>
    <s v=" "/>
    <s v="STL"/>
    <s v="YES"/>
    <s v="TBD"/>
    <d v="2024-10-09T00:00:00"/>
    <x v="19"/>
    <m/>
    <m/>
    <m/>
    <m/>
    <m/>
    <m/>
    <m/>
    <m/>
    <m/>
    <m/>
    <m/>
  </r>
  <r>
    <n v="2111"/>
    <n v="255496"/>
    <n v="255494"/>
    <s v="Capitalized"/>
    <s v="5th Wheel Scale System-Installed"/>
    <m/>
    <m/>
    <n v="1"/>
    <m/>
    <n v="0"/>
    <s v="LOADMAN NW LLC"/>
    <m/>
    <s v="TRUCKS AND TRAILERS"/>
    <s v="TBA"/>
    <s v="Non-Rolling Stock"/>
    <m/>
    <m/>
    <d v="2020-01-01T00:00:00"/>
    <d v="2020-01-01T00:00:00"/>
    <s v="2140-19-0005-1"/>
    <n v="900"/>
    <n v="14040"/>
    <n v="6907.22"/>
    <n v="14046"/>
    <n v="3645.52"/>
    <n v="3261.7000000000003"/>
    <n v="575.64"/>
    <n v="51260"/>
    <n v="63.96"/>
    <s v="P"/>
    <m/>
    <m/>
    <s v=" "/>
    <s v="STL"/>
    <s v="YES"/>
    <s v="TBD"/>
    <d v="2024-10-09T00:00:00"/>
    <x v="19"/>
    <m/>
    <m/>
    <m/>
    <m/>
    <m/>
    <m/>
    <m/>
    <m/>
    <m/>
    <m/>
    <m/>
  </r>
  <r>
    <n v="2111"/>
    <n v="255495"/>
    <n v="255494"/>
    <s v="Capitalized"/>
    <s v="50G hydraulic tank- Installed"/>
    <m/>
    <m/>
    <n v="1"/>
    <m/>
    <n v="2019"/>
    <s v="J&amp;D's Hydraulic &amp; Repair"/>
    <m/>
    <s v="TRUCKS AND TRAILERS"/>
    <s v="TBA"/>
    <s v="Transfer Trailer"/>
    <m/>
    <m/>
    <d v="2019-12-31T00:00:00"/>
    <d v="2019-12-31T00:00:00"/>
    <s v="2140-19-0005-1"/>
    <n v="900"/>
    <n v="14040"/>
    <n v="7320.53"/>
    <n v="14046"/>
    <n v="3863.58"/>
    <n v="3456.95"/>
    <n v="610.02"/>
    <n v="51260"/>
    <n v="67.78"/>
    <s v="P"/>
    <m/>
    <m/>
    <s v=" "/>
    <s v="STL"/>
    <s v="YES"/>
    <s v="TBD"/>
    <d v="2024-10-09T00:00:00"/>
    <x v="19"/>
    <m/>
    <m/>
    <m/>
    <m/>
    <m/>
    <m/>
    <m/>
    <m/>
    <m/>
    <m/>
    <m/>
  </r>
  <r>
    <n v="2111"/>
    <n v="255494"/>
    <s v="P"/>
    <s v="Capitalized"/>
    <s v="2019 Peterbilt Transfer Tractor"/>
    <m/>
    <m/>
    <n v="1"/>
    <s v="1XPCPP9X7KD606553"/>
    <n v="2019"/>
    <m/>
    <m/>
    <s v="TRUCKS AND TRAILERS"/>
    <s v="TBA"/>
    <s v="Transfer Tractor"/>
    <m/>
    <m/>
    <d v="2019-12-31T00:00:00"/>
    <d v="2019-12-31T00:00:00"/>
    <s v="2140-19-0005"/>
    <n v="900"/>
    <n v="14040"/>
    <n v="162499.54"/>
    <n v="14046"/>
    <n v="85763.71"/>
    <n v="76735.83"/>
    <n v="13541.67"/>
    <n v="51260"/>
    <n v="1504.63"/>
    <s v="P"/>
    <m/>
    <n v="192"/>
    <s v=" "/>
    <s v="STL"/>
    <s v="YES"/>
    <s v="TBD"/>
    <d v="2024-10-09T00:00:00"/>
    <x v="19"/>
    <m/>
    <m/>
    <m/>
    <m/>
    <m/>
    <m/>
    <m/>
    <m/>
    <m/>
    <m/>
    <m/>
  </r>
  <r>
    <n v="2111"/>
    <n v="255493"/>
    <n v="255491"/>
    <s v="Capitalized"/>
    <s v="Used Peterbilt 3 Axle Tractor - Wet Kit"/>
    <m/>
    <m/>
    <n v="1"/>
    <m/>
    <n v="0"/>
    <s v="J&amp;D's Hydraulic &amp; Repair"/>
    <m/>
    <s v="TRUCKS AND TRAILERS"/>
    <s v="TBA"/>
    <s v="Non-Rolling Stock"/>
    <m/>
    <m/>
    <d v="2019-12-31T00:00:00"/>
    <d v="2019-12-31T00:00:00"/>
    <s v="2111-19-0031-1"/>
    <n v="900"/>
    <n v="14040"/>
    <n v="7327.19"/>
    <n v="14046"/>
    <n v="3867.08"/>
    <n v="3460.1099999999997"/>
    <n v="610.55999999999995"/>
    <n v="51260"/>
    <n v="67.84"/>
    <s v="P"/>
    <m/>
    <m/>
    <s v=" "/>
    <s v="STL"/>
    <s v="YES"/>
    <s v="TBD"/>
    <d v="2024-10-09T00:00:00"/>
    <x v="19"/>
    <m/>
    <m/>
    <m/>
    <m/>
    <m/>
    <m/>
    <m/>
    <m/>
    <m/>
    <m/>
    <m/>
  </r>
  <r>
    <n v="2111"/>
    <n v="255492"/>
    <n v="255491"/>
    <s v="Capitalized"/>
    <s v="Used Peterbilt 3 Axle Tractor - Scale"/>
    <m/>
    <m/>
    <n v="1"/>
    <m/>
    <n v="0"/>
    <s v="Loadman NW LLC"/>
    <m/>
    <s v="TRUCKS AND TRAILERS"/>
    <s v="TBA"/>
    <s v="Non-Rolling Stock"/>
    <m/>
    <m/>
    <d v="2019-12-31T00:00:00"/>
    <d v="2019-12-31T00:00:00"/>
    <s v="2111-19-0031-1"/>
    <n v="900"/>
    <n v="14040"/>
    <n v="6907.22"/>
    <n v="14046"/>
    <n v="3645.52"/>
    <n v="3261.7000000000003"/>
    <n v="575.64"/>
    <n v="51260"/>
    <n v="63.96"/>
    <s v="P"/>
    <m/>
    <m/>
    <s v=" "/>
    <s v="STL"/>
    <s v="YES"/>
    <s v="TBD"/>
    <d v="2024-10-09T00:00:00"/>
    <x v="19"/>
    <m/>
    <m/>
    <m/>
    <m/>
    <m/>
    <m/>
    <m/>
    <m/>
    <m/>
    <m/>
    <m/>
  </r>
  <r>
    <n v="2111"/>
    <n v="255491"/>
    <s v="P"/>
    <s v="Capitalized"/>
    <s v="2019 Peterbilt Tractor"/>
    <m/>
    <m/>
    <n v="1"/>
    <s v="1XPCPP9X0KD606555"/>
    <n v="2019"/>
    <s v="Peterbilt"/>
    <m/>
    <s v="TRUCKS AND TRAILERS"/>
    <s v="TBA"/>
    <s v="Other Trailer"/>
    <m/>
    <m/>
    <d v="2019-09-24T00:00:00"/>
    <d v="2019-09-24T00:00:00"/>
    <s v="2111-19-0031"/>
    <n v="900"/>
    <n v="14040"/>
    <n v="161994"/>
    <n v="14046"/>
    <n v="89996.57"/>
    <n v="71997.429999999993"/>
    <n v="13499.46"/>
    <n v="51260"/>
    <n v="1499.94"/>
    <s v="P"/>
    <m/>
    <n v="190"/>
    <s v=" "/>
    <s v="STL"/>
    <s v="YES"/>
    <s v="TBD"/>
    <d v="2024-10-09T00:00:00"/>
    <x v="19"/>
    <m/>
    <m/>
    <m/>
    <m/>
    <m/>
    <m/>
    <m/>
    <m/>
    <m/>
    <m/>
    <m/>
  </r>
  <r>
    <n v="2111"/>
    <n v="255487"/>
    <n v="255486"/>
    <s v="Capitalized"/>
    <s v="2010 PRATT 4-AXLE DEMO CHASSIS WITH SCALE"/>
    <m/>
    <m/>
    <n v="1"/>
    <m/>
    <n v="2010"/>
    <s v="x"/>
    <s v="x"/>
    <s v="TRUCKS AND TRAILERS"/>
    <s v="TBA"/>
    <s v="Other Trailer"/>
    <m/>
    <m/>
    <d v="2019-01-23T00:00:00"/>
    <d v="2019-01-23T00:00:00"/>
    <s v="2140-19-0007-1"/>
    <n v="300"/>
    <n v="14040"/>
    <n v="15188.18"/>
    <n v="14046"/>
    <n v="15188.18"/>
    <n v="0"/>
    <n v="0"/>
    <n v="51260"/>
    <n v="0"/>
    <s v="P"/>
    <m/>
    <m/>
    <s v=" "/>
    <s v="STL"/>
    <s v="YES"/>
    <s v="TBD"/>
    <d v="2024-10-09T00:00:00"/>
    <x v="19"/>
    <m/>
    <m/>
    <m/>
    <m/>
    <m/>
    <m/>
    <m/>
    <m/>
    <m/>
    <m/>
    <m/>
  </r>
  <r>
    <n v="2111"/>
    <n v="255486"/>
    <s v="P"/>
    <s v="Capitalized"/>
    <s v="CH-4901 2010 PRATT 4-AXLE CHASSIS"/>
    <m/>
    <m/>
    <n v="1"/>
    <s v="1P9CP5643AB343249"/>
    <n v="2010"/>
    <m/>
    <m/>
    <s v="TRUCKS AND TRAILERS"/>
    <s v="TBA"/>
    <s v="Other Trailer"/>
    <m/>
    <m/>
    <d v="2019-01-23T00:00:00"/>
    <d v="2019-01-23T00:00:00"/>
    <s v="2140-19-0007-1"/>
    <n v="300"/>
    <n v="14040"/>
    <n v="33354.65"/>
    <n v="14046"/>
    <n v="33354.65"/>
    <n v="0"/>
    <n v="0"/>
    <n v="51260"/>
    <n v="0"/>
    <s v="P"/>
    <n v="0"/>
    <s v="LEX-30"/>
    <s v=" "/>
    <s v="STL"/>
    <s v="YES"/>
    <s v="TBD"/>
    <d v="2024-10-09T00:00:00"/>
    <x v="19"/>
    <m/>
    <m/>
    <m/>
    <m/>
    <m/>
    <m/>
    <m/>
    <m/>
    <m/>
    <m/>
    <m/>
  </r>
  <r>
    <n v="2111"/>
    <n v="255483"/>
    <n v="255482"/>
    <s v="Capitalized"/>
    <s v="2010 PRATT 4-AXLE DEMO CHASSIS WITH SCALE"/>
    <m/>
    <m/>
    <n v="1"/>
    <m/>
    <n v="2010"/>
    <s v="x"/>
    <s v="x"/>
    <s v="TRUCKS AND TRAILERS"/>
    <s v="TBA"/>
    <s v="Other Trailer"/>
    <m/>
    <m/>
    <d v="2019-01-23T00:00:00"/>
    <d v="2019-01-23T00:00:00"/>
    <s v="2140-19-0007-4"/>
    <n v="300"/>
    <n v="14040"/>
    <n v="15188.18"/>
    <n v="14046"/>
    <n v="15188.18"/>
    <n v="0"/>
    <n v="0"/>
    <n v="51260"/>
    <n v="0"/>
    <s v="P"/>
    <m/>
    <m/>
    <s v=" "/>
    <s v="STL"/>
    <s v="YES"/>
    <s v="TBD"/>
    <d v="2024-10-09T00:00:00"/>
    <x v="19"/>
    <m/>
    <m/>
    <m/>
    <m/>
    <m/>
    <m/>
    <m/>
    <m/>
    <m/>
    <m/>
    <m/>
  </r>
  <r>
    <n v="2111"/>
    <n v="255482"/>
    <s v="P"/>
    <s v="Capitalized"/>
    <s v="CH-4907 2010 PRATT 4-AXLE CHASSIS"/>
    <m/>
    <m/>
    <n v="1"/>
    <s v="1P9CP564AB343258"/>
    <n v="2010"/>
    <m/>
    <m/>
    <s v="TRUCKS AND TRAILERS"/>
    <s v="TBA"/>
    <s v="Other Trailer"/>
    <m/>
    <m/>
    <d v="2019-01-23T00:00:00"/>
    <d v="2019-01-23T00:00:00"/>
    <s v="2140-19-0007-4"/>
    <n v="300"/>
    <n v="14040"/>
    <n v="33354.65"/>
    <n v="14046"/>
    <n v="33354.65"/>
    <n v="0"/>
    <n v="0"/>
    <n v="51260"/>
    <n v="0"/>
    <s v="P"/>
    <n v="0"/>
    <s v="LEX-32"/>
    <s v=" "/>
    <s v="STL"/>
    <s v="YES"/>
    <s v="TBD"/>
    <d v="2024-10-09T00:00:00"/>
    <x v="19"/>
    <m/>
    <m/>
    <m/>
    <m/>
    <m/>
    <m/>
    <m/>
    <m/>
    <m/>
    <m/>
    <m/>
  </r>
  <r>
    <n v="2111"/>
    <n v="255481"/>
    <n v="255480"/>
    <s v="Capitalized"/>
    <s v="2010 PRATT 4-AXLE DEMO CHASSIS WITH SCALE"/>
    <m/>
    <m/>
    <n v="1"/>
    <m/>
    <n v="2010"/>
    <s v="x"/>
    <s v="x"/>
    <s v="TRUCKS AND TRAILERS"/>
    <s v="TBA"/>
    <s v="Other Trailer"/>
    <m/>
    <m/>
    <d v="2019-01-23T00:00:00"/>
    <d v="2019-01-23T00:00:00"/>
    <s v="2140-19-0007-2"/>
    <n v="300"/>
    <n v="14040"/>
    <n v="15188.18"/>
    <n v="14046"/>
    <n v="15188.18"/>
    <n v="0"/>
    <n v="0"/>
    <n v="51260"/>
    <n v="0"/>
    <s v="P"/>
    <m/>
    <m/>
    <s v=" "/>
    <s v="STL"/>
    <s v="YES"/>
    <s v="TBD"/>
    <d v="2024-10-09T00:00:00"/>
    <x v="19"/>
    <m/>
    <m/>
    <m/>
    <m/>
    <m/>
    <m/>
    <m/>
    <m/>
    <m/>
    <m/>
    <m/>
  </r>
  <r>
    <n v="2111"/>
    <n v="255480"/>
    <s v="P"/>
    <s v="Capitalized"/>
    <s v="CH-4902 2010 PRATT 4-AXLE CHASSIS"/>
    <m/>
    <m/>
    <n v="1"/>
    <s v="1P9CP564XAB343250"/>
    <n v="2010"/>
    <m/>
    <m/>
    <s v="TRUCKS AND TRAILERS"/>
    <s v="TBA"/>
    <s v="Other Trailer"/>
    <m/>
    <m/>
    <d v="2019-01-23T00:00:00"/>
    <d v="2019-01-23T00:00:00"/>
    <s v="2140-19-0007-2"/>
    <n v="300"/>
    <n v="14040"/>
    <n v="33354.65"/>
    <n v="14046"/>
    <n v="33354.65"/>
    <n v="0"/>
    <n v="0"/>
    <n v="51260"/>
    <n v="0"/>
    <s v="P"/>
    <n v="0"/>
    <s v="LEX-33"/>
    <s v=" "/>
    <s v="STL"/>
    <s v="YES"/>
    <s v="TBD"/>
    <d v="2024-10-09T00:00:00"/>
    <x v="19"/>
    <m/>
    <m/>
    <m/>
    <m/>
    <m/>
    <m/>
    <m/>
    <m/>
    <m/>
    <m/>
    <m/>
  </r>
  <r>
    <n v="2111"/>
    <n v="255479"/>
    <n v="255478"/>
    <s v="Capitalized"/>
    <s v="2010 PRATT 4-AXLE DEMO CHASSIS WITH SCALE"/>
    <m/>
    <m/>
    <n v="1"/>
    <m/>
    <n v="2010"/>
    <s v="x"/>
    <s v="x"/>
    <s v="TRUCKS AND TRAILERS"/>
    <s v="TBA"/>
    <s v="Other Trailer"/>
    <m/>
    <m/>
    <d v="2019-01-23T00:00:00"/>
    <d v="2019-01-23T00:00:00"/>
    <s v="2140-19-0007-5"/>
    <n v="300"/>
    <n v="14040"/>
    <n v="15188.18"/>
    <n v="14046"/>
    <n v="15188.18"/>
    <n v="0"/>
    <n v="0"/>
    <n v="51260"/>
    <n v="0"/>
    <s v="P"/>
    <m/>
    <m/>
    <s v=" "/>
    <s v="STL"/>
    <s v="YES"/>
    <s v="TBD"/>
    <d v="2024-10-09T00:00:00"/>
    <x v="19"/>
    <m/>
    <m/>
    <m/>
    <m/>
    <m/>
    <m/>
    <m/>
    <m/>
    <m/>
    <m/>
    <m/>
  </r>
  <r>
    <n v="2111"/>
    <n v="255478"/>
    <s v="P"/>
    <s v="Capitalized"/>
    <s v="CH-4914 2010 PRATT 4-AXLE CHASSIS"/>
    <m/>
    <m/>
    <n v="1"/>
    <s v="1P9CP5649AB343272"/>
    <n v="2010"/>
    <m/>
    <m/>
    <s v="TRUCKS AND TRAILERS"/>
    <s v="TBA"/>
    <s v="Other Trailer"/>
    <m/>
    <m/>
    <d v="2019-01-23T00:00:00"/>
    <d v="2019-01-23T00:00:00"/>
    <s v="2140-19-0007-5"/>
    <n v="300"/>
    <n v="14040"/>
    <n v="33354.65"/>
    <n v="14046"/>
    <n v="33354.65"/>
    <n v="0"/>
    <n v="0"/>
    <n v="51260"/>
    <n v="0"/>
    <s v="P"/>
    <n v="0"/>
    <s v="LEX-34"/>
    <s v=" "/>
    <s v="STL"/>
    <s v="YES"/>
    <s v="TBD"/>
    <d v="2024-10-09T00:00:00"/>
    <x v="19"/>
    <m/>
    <m/>
    <m/>
    <m/>
    <m/>
    <m/>
    <m/>
    <m/>
    <m/>
    <m/>
    <m/>
  </r>
  <r>
    <n v="2111"/>
    <n v="255477"/>
    <s v="P"/>
    <s v="Capitalized"/>
    <s v="2010 Pratt 5-Axle Chassis Trailer"/>
    <m/>
    <m/>
    <n v="1"/>
    <s v="1P9CP5649AB343255"/>
    <n v="2010"/>
    <s v="Cate"/>
    <s v="Cate"/>
    <s v="TRUCKS AND TRAILERS"/>
    <s v="TBA"/>
    <s v="Transfer Trailer"/>
    <m/>
    <m/>
    <d v="2020-01-01T00:00:00"/>
    <d v="2020-01-01T00:00:00"/>
    <s v="2140-19-0009-1"/>
    <n v="210"/>
    <n v="14040"/>
    <n v="33513"/>
    <n v="14046"/>
    <n v="33513"/>
    <n v="0"/>
    <n v="0"/>
    <n v="51260"/>
    <n v="0"/>
    <s v="P"/>
    <n v="0"/>
    <s v="LEX-35"/>
    <s v=" "/>
    <s v="STL"/>
    <s v="YES"/>
    <s v="TBD"/>
    <d v="2024-10-09T00:00:00"/>
    <x v="19"/>
    <m/>
    <m/>
    <m/>
    <m/>
    <m/>
    <m/>
    <m/>
    <m/>
    <m/>
    <m/>
    <m/>
  </r>
  <r>
    <n v="2111"/>
    <n v="255476"/>
    <n v="255477"/>
    <s v="Capitalized"/>
    <s v="2010 PRATT 5-AXLE DEMO CHASSIS WITH SCALE"/>
    <m/>
    <m/>
    <n v="1"/>
    <s v="1P9CP5649AB343255"/>
    <n v="2010"/>
    <s v="x"/>
    <s v="x"/>
    <s v="TRUCKS AND TRAILERS"/>
    <s v="TBA"/>
    <s v="Other Trailer"/>
    <m/>
    <m/>
    <d v="2019-01-23T00:00:00"/>
    <d v="2019-01-23T00:00:00"/>
    <s v="2140-19-0009-1"/>
    <n v="300"/>
    <n v="14040"/>
    <n v="15188.18"/>
    <n v="14046"/>
    <n v="15188.18"/>
    <n v="0"/>
    <n v="0"/>
    <n v="51260"/>
    <n v="0"/>
    <s v="P"/>
    <m/>
    <m/>
    <s v=" "/>
    <s v="STL"/>
    <s v="YES"/>
    <s v="TBD"/>
    <d v="2024-10-09T00:00:00"/>
    <x v="19"/>
    <m/>
    <m/>
    <m/>
    <m/>
    <m/>
    <m/>
    <m/>
    <m/>
    <m/>
    <m/>
    <m/>
  </r>
  <r>
    <n v="2111"/>
    <n v="255475"/>
    <n v="255477"/>
    <s v="Capitalized"/>
    <s v="Licensing new trailer LEX-35"/>
    <m/>
    <m/>
    <n v="1"/>
    <s v="1P9CP5649AB343255"/>
    <n v="2010"/>
    <s v="x"/>
    <s v="x"/>
    <s v="TRUCKS AND TRAILERS"/>
    <s v="TBA"/>
    <s v="Other Trailer"/>
    <m/>
    <m/>
    <d v="2019-01-23T00:00:00"/>
    <d v="2019-01-23T00:00:00"/>
    <s v="2140-19-0009-1"/>
    <n v="300"/>
    <n v="14040"/>
    <n v="3517.75"/>
    <n v="14046"/>
    <n v="3517.75"/>
    <n v="0"/>
    <n v="0"/>
    <n v="51260"/>
    <n v="0"/>
    <s v="P"/>
    <m/>
    <m/>
    <s v=" "/>
    <s v="STL"/>
    <s v="YES"/>
    <s v="TBD"/>
    <d v="2024-10-09T00:00:00"/>
    <x v="19"/>
    <m/>
    <m/>
    <m/>
    <m/>
    <m/>
    <m/>
    <m/>
    <m/>
    <m/>
    <m/>
    <m/>
  </r>
  <r>
    <n v="2111"/>
    <n v="255474"/>
    <s v="P"/>
    <s v="Capitalized"/>
    <s v="2010 Pratt 5-Axle Chassis Trailer"/>
    <m/>
    <m/>
    <n v="1"/>
    <s v="1P9CP5642AB343260"/>
    <n v="2010"/>
    <s v="Cate"/>
    <m/>
    <s v="TRUCKS AND TRAILERS"/>
    <s v="TBA"/>
    <s v="Transfer Trailer"/>
    <m/>
    <m/>
    <d v="2020-01-01T00:00:00"/>
    <d v="2020-01-01T00:00:00"/>
    <s v="2140-19-0009-2"/>
    <n v="211"/>
    <n v="14040"/>
    <n v="37015"/>
    <n v="14046"/>
    <n v="37015"/>
    <n v="0"/>
    <n v="0"/>
    <n v="51260"/>
    <n v="0"/>
    <s v="P"/>
    <n v="0"/>
    <s v="LEX-36"/>
    <s v=" "/>
    <s v="STL"/>
    <s v="YES"/>
    <s v="TBD"/>
    <d v="2024-10-09T00:00:00"/>
    <x v="19"/>
    <m/>
    <m/>
    <m/>
    <m/>
    <m/>
    <m/>
    <m/>
    <m/>
    <m/>
    <m/>
    <m/>
  </r>
  <r>
    <n v="2111"/>
    <n v="255473"/>
    <n v="255474"/>
    <s v="Capitalized"/>
    <s v="2010 PRATT 5-AXLE DEMO CHASSIS WITH SCALE"/>
    <m/>
    <m/>
    <n v="1"/>
    <s v="1P9CP5642AB343260"/>
    <n v="2010"/>
    <s v="x"/>
    <s v="x"/>
    <s v="TRUCKS AND TRAILERS"/>
    <s v="TBA"/>
    <s v="Other Trailer"/>
    <m/>
    <m/>
    <d v="2019-01-23T00:00:00"/>
    <d v="2019-01-23T00:00:00"/>
    <s v="2140-19-0009-2"/>
    <n v="300"/>
    <n v="14040"/>
    <n v="15188.18"/>
    <n v="14046"/>
    <n v="15188.18"/>
    <n v="0"/>
    <n v="0"/>
    <n v="51260"/>
    <n v="0"/>
    <s v="P"/>
    <m/>
    <m/>
    <s v=" "/>
    <s v="STL"/>
    <s v="YES"/>
    <s v="TBD"/>
    <d v="2024-10-09T00:00:00"/>
    <x v="19"/>
    <m/>
    <m/>
    <m/>
    <m/>
    <m/>
    <m/>
    <m/>
    <m/>
    <m/>
    <m/>
    <m/>
  </r>
  <r>
    <n v="2111"/>
    <n v="255472"/>
    <n v="255474"/>
    <s v="Capitalized"/>
    <s v="Licensing new trailer LEX-36"/>
    <m/>
    <m/>
    <n v="1"/>
    <s v="1P9CP5642AB343260"/>
    <n v="2010"/>
    <s v="x"/>
    <s v="x"/>
    <s v="TRUCKS AND TRAILERS"/>
    <s v="TBA"/>
    <s v="Other Trailer"/>
    <m/>
    <m/>
    <d v="2019-01-23T00:00:00"/>
    <d v="2019-01-23T00:00:00"/>
    <s v="2140-19-0009-2"/>
    <n v="300"/>
    <n v="14040"/>
    <n v="3517.75"/>
    <n v="14046"/>
    <n v="3517.75"/>
    <n v="0"/>
    <n v="0"/>
    <n v="51260"/>
    <n v="0"/>
    <s v="P"/>
    <m/>
    <m/>
    <s v=" "/>
    <s v="STL"/>
    <s v="YES"/>
    <s v="TBD"/>
    <d v="2024-10-09T00:00:00"/>
    <x v="19"/>
    <m/>
    <m/>
    <m/>
    <m/>
    <m/>
    <m/>
    <m/>
    <m/>
    <m/>
    <m/>
    <m/>
  </r>
  <r>
    <n v="2111"/>
    <n v="255471"/>
    <s v="P"/>
    <s v="Capitalized"/>
    <s v="2010 Pratt 5-Axle Chassis Trailer"/>
    <m/>
    <m/>
    <n v="1"/>
    <s v="1P9CP5640AB343273"/>
    <n v="2010"/>
    <s v="Cate"/>
    <m/>
    <s v="TRUCKS AND TRAILERS"/>
    <s v="TBA"/>
    <s v="Transfer Trailer"/>
    <m/>
    <m/>
    <d v="2020-01-01T00:00:00"/>
    <d v="2020-01-01T00:00:00"/>
    <s v="2140-19-0009-3"/>
    <n v="211"/>
    <n v="14040"/>
    <n v="37015"/>
    <n v="14046"/>
    <n v="37015"/>
    <n v="0"/>
    <n v="0"/>
    <n v="51260"/>
    <n v="0"/>
    <s v="P"/>
    <n v="0"/>
    <s v="LEX-37"/>
    <s v=" "/>
    <s v="STL"/>
    <s v="YES"/>
    <s v="TBD"/>
    <d v="2024-10-09T00:00:00"/>
    <x v="19"/>
    <m/>
    <m/>
    <m/>
    <m/>
    <m/>
    <m/>
    <m/>
    <m/>
    <m/>
    <m/>
    <m/>
  </r>
  <r>
    <n v="2111"/>
    <n v="255470"/>
    <n v="255471"/>
    <s v="Capitalized"/>
    <s v="2010 PRATT 5-AXLE DEMO CHASSIS WITH SCALE"/>
    <m/>
    <m/>
    <n v="1"/>
    <s v="1P9CP5640AB343273"/>
    <n v="2010"/>
    <s v="x"/>
    <s v="x"/>
    <s v="TRUCKS AND TRAILERS"/>
    <s v="TBA"/>
    <s v="Other Trailer"/>
    <m/>
    <m/>
    <d v="2019-01-23T00:00:00"/>
    <d v="2019-01-23T00:00:00"/>
    <s v="2140-19-0009-3"/>
    <n v="300"/>
    <n v="14040"/>
    <n v="15188.18"/>
    <n v="14046"/>
    <n v="15188.18"/>
    <n v="0"/>
    <n v="0"/>
    <n v="51260"/>
    <n v="0"/>
    <s v="P"/>
    <m/>
    <m/>
    <s v=" "/>
    <s v="STL"/>
    <s v="YES"/>
    <s v="TBD"/>
    <d v="2024-10-09T00:00:00"/>
    <x v="19"/>
    <m/>
    <m/>
    <m/>
    <m/>
    <m/>
    <m/>
    <m/>
    <m/>
    <m/>
    <m/>
    <m/>
  </r>
  <r>
    <n v="2111"/>
    <n v="255469"/>
    <n v="255471"/>
    <s v="Capitalized"/>
    <s v="Licensing new trailer LEX-37"/>
    <m/>
    <m/>
    <n v="1"/>
    <s v="1P9CP5640AB343273"/>
    <n v="2010"/>
    <s v="x"/>
    <s v="x"/>
    <s v="TRUCKS AND TRAILERS"/>
    <s v="TBA"/>
    <s v="Other Trailer"/>
    <m/>
    <m/>
    <d v="2019-01-23T00:00:00"/>
    <d v="2019-01-23T00:00:00"/>
    <s v="2140-19-0009-3"/>
    <n v="300"/>
    <n v="14040"/>
    <n v="3517.75"/>
    <n v="14046"/>
    <n v="3517.75"/>
    <n v="0"/>
    <n v="0"/>
    <n v="51260"/>
    <n v="0"/>
    <s v="P"/>
    <m/>
    <m/>
    <s v=" "/>
    <s v="STL"/>
    <s v="YES"/>
    <s v="TBD"/>
    <d v="2024-10-09T00:00:00"/>
    <x v="19"/>
    <m/>
    <m/>
    <m/>
    <m/>
    <m/>
    <m/>
    <m/>
    <m/>
    <m/>
    <m/>
    <m/>
  </r>
  <r>
    <n v="2111"/>
    <n v="255468"/>
    <s v="P"/>
    <s v="Capitalized"/>
    <s v="2010 Pratt 5-Axle Chassis Trailer"/>
    <m/>
    <m/>
    <n v="1"/>
    <s v="1P9CP5646AB343276"/>
    <n v="2010"/>
    <s v="Cate"/>
    <m/>
    <s v="TRUCKS AND TRAILERS"/>
    <s v="TBA"/>
    <s v="Transfer Trailer"/>
    <m/>
    <m/>
    <d v="2020-01-01T00:00:00"/>
    <d v="2020-01-01T00:00:00"/>
    <s v="2140-19-0009-4"/>
    <n v="211"/>
    <n v="14040"/>
    <n v="37015"/>
    <n v="14046"/>
    <n v="37015"/>
    <n v="0"/>
    <n v="0"/>
    <n v="51260"/>
    <n v="0"/>
    <s v="P"/>
    <n v="0"/>
    <s v="LEX-38"/>
    <s v=" "/>
    <s v="STL"/>
    <s v="YES"/>
    <s v="TBD"/>
    <d v="2024-10-09T00:00:00"/>
    <x v="19"/>
    <m/>
    <m/>
    <m/>
    <m/>
    <m/>
    <m/>
    <m/>
    <m/>
    <m/>
    <m/>
    <m/>
  </r>
  <r>
    <n v="2111"/>
    <n v="255467"/>
    <n v="255468"/>
    <s v="Capitalized"/>
    <s v="2010 PRATT 5-AXLE DEMO CHASSIS WITH SCALE"/>
    <m/>
    <m/>
    <n v="1"/>
    <s v="1P9CP5646AB343276"/>
    <n v="2010"/>
    <s v="x"/>
    <s v="x"/>
    <s v="TRUCKS AND TRAILERS"/>
    <s v="TBA"/>
    <s v="Other Trailer"/>
    <m/>
    <m/>
    <d v="2019-01-23T00:00:00"/>
    <d v="2019-01-23T00:00:00"/>
    <s v="2140-19-0009-4"/>
    <n v="300"/>
    <n v="14040"/>
    <n v="15188.18"/>
    <n v="14046"/>
    <n v="15188.18"/>
    <n v="0"/>
    <n v="0"/>
    <n v="51260"/>
    <n v="0"/>
    <s v="P"/>
    <m/>
    <m/>
    <s v=" "/>
    <s v="STL"/>
    <s v="YES"/>
    <s v="TBD"/>
    <d v="2024-10-09T00:00:00"/>
    <x v="19"/>
    <m/>
    <m/>
    <m/>
    <m/>
    <m/>
    <m/>
    <m/>
    <m/>
    <m/>
    <m/>
    <m/>
  </r>
  <r>
    <n v="2111"/>
    <n v="255466"/>
    <n v="255468"/>
    <s v="Capitalized"/>
    <s v="Licensing new trailer LEX-38"/>
    <m/>
    <m/>
    <n v="1"/>
    <s v="1P9CP5646AB343276"/>
    <n v="2010"/>
    <s v="x"/>
    <s v="x"/>
    <s v="TRUCKS AND TRAILERS"/>
    <s v="TBA"/>
    <s v="Other Trailer"/>
    <m/>
    <m/>
    <d v="2019-01-23T00:00:00"/>
    <d v="2019-01-23T00:00:00"/>
    <s v="2140-19-0009-4"/>
    <n v="300"/>
    <n v="14040"/>
    <n v="3517.75"/>
    <n v="14046"/>
    <n v="3517.75"/>
    <n v="0"/>
    <n v="0"/>
    <n v="51260"/>
    <n v="0"/>
    <s v="P"/>
    <m/>
    <m/>
    <s v=" "/>
    <s v="STL"/>
    <s v="YES"/>
    <s v="TBD"/>
    <d v="2024-10-09T00:00:00"/>
    <x v="19"/>
    <m/>
    <m/>
    <m/>
    <m/>
    <m/>
    <m/>
    <m/>
    <m/>
    <m/>
    <m/>
    <m/>
  </r>
  <r>
    <n v="2111"/>
    <n v="255465"/>
    <s v="P"/>
    <s v="Capitalized"/>
    <s v="2014 Pratt 5-Axle Chassis Trailer"/>
    <m/>
    <m/>
    <n v="1"/>
    <s v="1P9CP5440EB343413"/>
    <n v="2014"/>
    <s v="Cate"/>
    <m/>
    <s v="TRUCKS AND TRAILERS"/>
    <s v="TBA"/>
    <s v="Transfer Trailer"/>
    <m/>
    <m/>
    <d v="2020-01-01T00:00:00"/>
    <d v="2020-01-01T00:00:00"/>
    <s v="2140-19-0009-5"/>
    <n v="211"/>
    <n v="14040"/>
    <n v="39524.5"/>
    <n v="14046"/>
    <n v="39524.5"/>
    <n v="0"/>
    <n v="0"/>
    <n v="51260"/>
    <n v="0"/>
    <s v="P"/>
    <n v="0"/>
    <s v="LEX-39"/>
    <s v=" "/>
    <s v="STL"/>
    <s v="YES"/>
    <s v="TBD"/>
    <d v="2024-10-09T00:00:00"/>
    <x v="19"/>
    <m/>
    <m/>
    <m/>
    <m/>
    <m/>
    <m/>
    <m/>
    <m/>
    <m/>
    <m/>
    <m/>
  </r>
  <r>
    <n v="2111"/>
    <n v="255464"/>
    <n v="255465"/>
    <s v="Capitalized"/>
    <s v="2014 PRATT 5-AXLE DEMO CHASSIS WITH SCALE"/>
    <m/>
    <m/>
    <n v="1"/>
    <s v="1P9CP5440EB343413"/>
    <n v="2014"/>
    <s v="x"/>
    <s v="x"/>
    <s v="TRUCKS AND TRAILERS"/>
    <s v="TBA"/>
    <s v="Other Trailer"/>
    <m/>
    <m/>
    <d v="2019-01-23T00:00:00"/>
    <d v="2019-01-23T00:00:00"/>
    <s v="2140-19-0009-5"/>
    <n v="300"/>
    <n v="14040"/>
    <n v="15188.18"/>
    <n v="14046"/>
    <n v="15188.18"/>
    <n v="0"/>
    <n v="0"/>
    <n v="51260"/>
    <n v="0"/>
    <s v="P"/>
    <m/>
    <m/>
    <s v=" "/>
    <s v="STL"/>
    <s v="YES"/>
    <s v="TBD"/>
    <d v="2024-10-09T00:00:00"/>
    <x v="19"/>
    <m/>
    <m/>
    <m/>
    <m/>
    <m/>
    <m/>
    <m/>
    <m/>
    <m/>
    <m/>
    <m/>
  </r>
  <r>
    <n v="2111"/>
    <n v="255463"/>
    <n v="255465"/>
    <s v="Capitalized"/>
    <s v="Licensing new trailer LEX-39"/>
    <m/>
    <m/>
    <n v="1"/>
    <s v="1P9CP5440EB343413"/>
    <n v="2014"/>
    <s v="x"/>
    <s v="x"/>
    <s v="TRUCKS AND TRAILERS"/>
    <s v="TBA"/>
    <s v="Other Trailer"/>
    <m/>
    <m/>
    <d v="2019-01-23T00:00:00"/>
    <d v="2019-01-23T00:00:00"/>
    <s v="2140-19-0009-1"/>
    <n v="300"/>
    <n v="14040"/>
    <n v="3501.25"/>
    <n v="14046"/>
    <n v="3501.25"/>
    <n v="0"/>
    <n v="0"/>
    <n v="51260"/>
    <n v="0"/>
    <s v="P"/>
    <m/>
    <m/>
    <s v=" "/>
    <s v="STL"/>
    <s v="YES"/>
    <s v="TBD"/>
    <d v="2024-10-09T00:00:00"/>
    <x v="19"/>
    <m/>
    <m/>
    <m/>
    <m/>
    <m/>
    <m/>
    <m/>
    <m/>
    <m/>
    <m/>
    <m/>
  </r>
  <r>
    <n v="2111"/>
    <n v="255407"/>
    <s v="P"/>
    <s v="Capitalized"/>
    <s v="2022 Peterbilt ASL Truck"/>
    <m/>
    <m/>
    <n v="1"/>
    <s v="3BPDLK0XXNF111052"/>
    <n v="2022"/>
    <m/>
    <m/>
    <s v="TRUCKS AND TRAILERS"/>
    <s v="TBA"/>
    <s v="Automated Side Loader"/>
    <m/>
    <m/>
    <d v="2021-07-07T00:00:00"/>
    <d v="2021-07-07T00:00:00"/>
    <s v="2111-21-0003"/>
    <n v="1000"/>
    <n v="14040"/>
    <n v="374630.77"/>
    <n v="14046"/>
    <n v="121754.98"/>
    <n v="252875.79000000004"/>
    <n v="28097.279999999999"/>
    <n v="51260"/>
    <n v="3121.92"/>
    <s v="P"/>
    <m/>
    <n v="868"/>
    <s v=" "/>
    <s v="STL"/>
    <s v="YES"/>
    <s v="TBD"/>
    <d v="2024-10-09T00:00:00"/>
    <x v="19"/>
    <m/>
    <m/>
    <m/>
    <m/>
    <m/>
    <m/>
    <m/>
    <m/>
    <m/>
    <m/>
    <m/>
  </r>
  <r>
    <n v="2111"/>
    <n v="255232"/>
    <n v="255229"/>
    <s v="Capitalized"/>
    <s v="LICENSING FOR TRUCK 193"/>
    <m/>
    <m/>
    <n v="1"/>
    <m/>
    <n v="2019"/>
    <s v="Peterbilt"/>
    <s v="N/A"/>
    <s v="TRUCKS AND TRAILERS"/>
    <s v="TBA"/>
    <s v="Non-Rolling Stock"/>
    <m/>
    <m/>
    <d v="2021-04-22T00:00:00"/>
    <d v="2021-04-22T00:00:00"/>
    <s v="2140-21-0001-1"/>
    <n v="800"/>
    <n v="14040"/>
    <n v="2222.3000000000002"/>
    <n v="14046"/>
    <n v="949.12"/>
    <n v="1273.1800000000003"/>
    <n v="208.35"/>
    <n v="51260"/>
    <n v="23.15"/>
    <s v="P"/>
    <m/>
    <m/>
    <s v=" "/>
    <s v="STL"/>
    <s v="YES"/>
    <s v="TBD"/>
    <d v="2024-10-09T00:00:00"/>
    <x v="19"/>
    <m/>
    <m/>
    <m/>
    <m/>
    <m/>
    <m/>
    <m/>
    <m/>
    <m/>
    <m/>
    <m/>
  </r>
  <r>
    <n v="2111"/>
    <n v="255231"/>
    <n v="255229"/>
    <s v="Capitalized"/>
    <s v="Vulcan holland 5th wheel scale system Truck 193"/>
    <m/>
    <m/>
    <n v="1"/>
    <m/>
    <n v="2019"/>
    <s v="Peterbilt"/>
    <s v="N/A"/>
    <s v="TRUCKS AND TRAILERS"/>
    <s v="TBA"/>
    <s v="Non-Rolling Stock"/>
    <m/>
    <m/>
    <d v="2021-04-22T00:00:00"/>
    <d v="2021-04-22T00:00:00"/>
    <s v="2140-21-0001-1"/>
    <n v="800"/>
    <n v="14040"/>
    <n v="7363.3"/>
    <n v="14046"/>
    <n v="3144.73"/>
    <n v="4218.57"/>
    <n v="690.3"/>
    <n v="51260"/>
    <n v="76.7"/>
    <s v="P"/>
    <m/>
    <m/>
    <s v=" "/>
    <s v="STL"/>
    <s v="YES"/>
    <s v="TBD"/>
    <d v="2024-10-09T00:00:00"/>
    <x v="19"/>
    <m/>
    <m/>
    <m/>
    <m/>
    <m/>
    <m/>
    <m/>
    <m/>
    <m/>
    <m/>
    <m/>
  </r>
  <r>
    <n v="2111"/>
    <n v="255230"/>
    <n v="255229"/>
    <s v="Capitalized"/>
    <s v="WET KIT FOR LIVE FLOOR AND SIDE DUMP TRUCK 193"/>
    <m/>
    <m/>
    <n v="1"/>
    <m/>
    <n v="2019"/>
    <s v="Peterbilt"/>
    <s v="N/A"/>
    <s v="TRUCKS AND TRAILERS"/>
    <s v="TBA"/>
    <s v="Non-Rolling Stock"/>
    <m/>
    <m/>
    <d v="2021-04-22T00:00:00"/>
    <d v="2021-04-22T00:00:00"/>
    <s v="2140-21-0001-1"/>
    <n v="800"/>
    <n v="14040"/>
    <n v="7320.53"/>
    <n v="14046"/>
    <n v="3126.53"/>
    <n v="4194"/>
    <n v="686.34"/>
    <n v="51260"/>
    <n v="76.260000000000005"/>
    <s v="P"/>
    <m/>
    <m/>
    <s v=" "/>
    <s v="STL"/>
    <s v="YES"/>
    <s v="TBD"/>
    <d v="2024-10-09T00:00:00"/>
    <x v="19"/>
    <m/>
    <m/>
    <m/>
    <m/>
    <m/>
    <m/>
    <m/>
    <m/>
    <m/>
    <m/>
    <m/>
  </r>
  <r>
    <n v="2111"/>
    <n v="255229"/>
    <s v="P"/>
    <s v="Capitalized"/>
    <s v="2019 Peterbilt Transfer Tractor"/>
    <m/>
    <m/>
    <n v="1"/>
    <s v="1XPXP49X2KD606542"/>
    <n v="2019"/>
    <m/>
    <m/>
    <s v="TRUCKS AND TRAILERS"/>
    <s v="TBA"/>
    <s v="Transfer Tractor"/>
    <m/>
    <m/>
    <d v="2021-04-15T00:00:00"/>
    <d v="2021-04-15T00:00:00"/>
    <s v="2140-21-0001"/>
    <n v="800"/>
    <n v="14040"/>
    <n v="128934"/>
    <n v="14046"/>
    <n v="56408.6"/>
    <n v="72525.399999999994"/>
    <n v="12087.54"/>
    <n v="51260"/>
    <n v="1343.06"/>
    <s v="P"/>
    <m/>
    <n v="193"/>
    <s v=" "/>
    <s v="STL"/>
    <s v="YES"/>
    <s v="TBD"/>
    <d v="2024-10-09T00:00:00"/>
    <x v="19"/>
    <m/>
    <m/>
    <m/>
    <m/>
    <m/>
    <m/>
    <m/>
    <m/>
    <m/>
    <m/>
    <m/>
  </r>
  <r>
    <n v="2111"/>
    <n v="255228"/>
    <s v="P"/>
    <s v="Capitalized"/>
    <s v="2013 PRATT 4 AXLE DEMO CHASSIS"/>
    <m/>
    <m/>
    <n v="1"/>
    <s v="1P9CP5343DB343812"/>
    <n v="2013"/>
    <m/>
    <m/>
    <s v="TRUCKS AND TRAILERS"/>
    <s v="TBA"/>
    <s v="Other Trailer"/>
    <m/>
    <m/>
    <d v="2019-07-31T00:00:00"/>
    <d v="2019-07-31T00:00:00"/>
    <s v="2140-19-0014-1"/>
    <n v="300"/>
    <n v="14040"/>
    <n v="27475"/>
    <n v="14046"/>
    <n v="27475"/>
    <n v="0"/>
    <n v="0"/>
    <n v="51260"/>
    <n v="0"/>
    <s v="P"/>
    <n v="0"/>
    <s v="LEX-40"/>
    <s v=" "/>
    <s v="STL"/>
    <s v="YES"/>
    <s v="TBD"/>
    <d v="2024-10-09T00:00:00"/>
    <x v="19"/>
    <m/>
    <m/>
    <m/>
    <m/>
    <m/>
    <m/>
    <m/>
    <m/>
    <m/>
    <m/>
    <m/>
  </r>
  <r>
    <n v="2111"/>
    <n v="254779"/>
    <s v="P"/>
    <s v="Capitalized"/>
    <s v="2008 Homemade Container Chassis"/>
    <m/>
    <m/>
    <n v="1"/>
    <s v="1S9CC53428T505312"/>
    <n v="2008"/>
    <s v="Homemade"/>
    <s v="x"/>
    <s v="TRUCKS AND TRAILERS"/>
    <s v="TBA"/>
    <s v="Container Chassis"/>
    <m/>
    <m/>
    <d v="2021-06-11T00:00:00"/>
    <d v="2021-06-11T00:00:00"/>
    <s v="2112-21-0021-4"/>
    <n v="300"/>
    <n v="14040"/>
    <n v="19782"/>
    <n v="14046"/>
    <n v="19782"/>
    <n v="0"/>
    <n v="2747.5"/>
    <n v="51260"/>
    <n v="549.5"/>
    <s v="P"/>
    <m/>
    <s v="OD4"/>
    <s v=" "/>
    <s v="STL"/>
    <s v="YES"/>
    <s v="TBD"/>
    <d v="2024-10-09T00:00:00"/>
    <x v="19"/>
    <m/>
    <m/>
    <m/>
    <m/>
    <m/>
    <m/>
    <m/>
    <m/>
    <m/>
    <m/>
    <m/>
  </r>
  <r>
    <n v="2111"/>
    <n v="254566"/>
    <s v="P"/>
    <s v="Capitalized"/>
    <s v="65GAL MSW CARTS"/>
    <m/>
    <m/>
    <n v="468"/>
    <m/>
    <n v="0"/>
    <s v="REHRIG PACIFIC COMPANY IN"/>
    <m/>
    <s v="CONTAINERS"/>
    <s v="TBA"/>
    <m/>
    <m/>
    <m/>
    <d v="2021-06-05T00:00:00"/>
    <d v="2021-06-05T00:00:00"/>
    <s v="2111-21-0042-1"/>
    <n v="700"/>
    <n v="14050"/>
    <n v="24312.47"/>
    <n v="14056"/>
    <n v="11577.33"/>
    <n v="12735.140000000001"/>
    <n v="2604.87"/>
    <n v="54260"/>
    <n v="289.43"/>
    <s v="P"/>
    <m/>
    <m/>
    <s v=" "/>
    <s v="STL"/>
    <s v="YES"/>
    <s v="TBD"/>
    <d v="2024-10-09T00:00:00"/>
    <x v="19"/>
    <m/>
    <m/>
    <m/>
    <m/>
    <m/>
    <m/>
    <m/>
    <m/>
    <m/>
    <m/>
    <m/>
  </r>
  <r>
    <n v="2111"/>
    <n v="254565"/>
    <s v="P"/>
    <s v="Capitalized"/>
    <s v="95GAL YARD  WASTE CARTS"/>
    <m/>
    <m/>
    <n v="1053"/>
    <m/>
    <n v="0"/>
    <s v="REHRIG PACIFIC COMPANY IN"/>
    <m/>
    <s v="CONTAINERS"/>
    <s v="TBA"/>
    <m/>
    <m/>
    <m/>
    <d v="2021-06-05T00:00:00"/>
    <d v="2021-06-05T00:00:00"/>
    <s v="2111-21-0042-1"/>
    <n v="700"/>
    <n v="14050"/>
    <n v="60709.18"/>
    <n v="14056"/>
    <n v="28909.15"/>
    <n v="31800.03"/>
    <n v="6504.57"/>
    <n v="54260"/>
    <n v="722.73"/>
    <s v="P"/>
    <m/>
    <m/>
    <s v=" "/>
    <s v="STL"/>
    <s v="YES"/>
    <s v="TBD"/>
    <d v="2024-10-09T00:00:00"/>
    <x v="19"/>
    <m/>
    <m/>
    <m/>
    <m/>
    <m/>
    <m/>
    <m/>
    <m/>
    <m/>
    <m/>
    <m/>
  </r>
  <r>
    <n v="2111"/>
    <n v="254564"/>
    <s v="P"/>
    <s v="Capitalized"/>
    <s v="95GAL RECYCLE CARTS"/>
    <m/>
    <m/>
    <n v="351"/>
    <m/>
    <n v="0"/>
    <s v="REHRIG PACIFIC COMPANY IN"/>
    <m/>
    <s v="CONTAINERS"/>
    <s v="TBA"/>
    <m/>
    <m/>
    <m/>
    <d v="2021-06-05T00:00:00"/>
    <d v="2021-06-05T00:00:00"/>
    <s v="2111-21-0042-1"/>
    <n v="700"/>
    <n v="14050"/>
    <n v="20236.39"/>
    <n v="14056"/>
    <n v="9636.3799999999992"/>
    <n v="10600.01"/>
    <n v="2168.19"/>
    <n v="54260"/>
    <n v="240.91"/>
    <s v="P"/>
    <m/>
    <m/>
    <s v=" "/>
    <s v="STL"/>
    <s v="YES"/>
    <s v="TBD"/>
    <d v="2024-10-09T00:00:00"/>
    <x v="19"/>
    <m/>
    <m/>
    <m/>
    <m/>
    <m/>
    <m/>
    <m/>
    <m/>
    <m/>
    <m/>
    <m/>
  </r>
  <r>
    <n v="2111"/>
    <n v="254563"/>
    <s v="P"/>
    <s v="Capitalized"/>
    <s v="95GAL MSW CARTS"/>
    <m/>
    <m/>
    <n v="351"/>
    <m/>
    <n v="0"/>
    <s v="REHRIG PACIFIC COMPANY IN"/>
    <m/>
    <s v="CONTAINERS"/>
    <s v="TBA"/>
    <m/>
    <m/>
    <m/>
    <d v="2021-06-05T00:00:00"/>
    <d v="2021-06-05T00:00:00"/>
    <s v="2111-21-0042-1"/>
    <n v="700"/>
    <n v="14050"/>
    <n v="20236.400000000001"/>
    <n v="14056"/>
    <n v="9636.4"/>
    <n v="10600.000000000002"/>
    <n v="2168.19"/>
    <n v="54260"/>
    <n v="240.91"/>
    <s v="P"/>
    <m/>
    <m/>
    <s v=" "/>
    <s v="STL"/>
    <s v="YES"/>
    <s v="TBD"/>
    <d v="2024-10-09T00:00:00"/>
    <x v="19"/>
    <m/>
    <m/>
    <m/>
    <m/>
    <m/>
    <m/>
    <m/>
    <m/>
    <m/>
    <m/>
    <m/>
  </r>
  <r>
    <n v="2111"/>
    <n v="254515"/>
    <n v="252489"/>
    <s v="Capitalized"/>
    <s v="FUEL ISLAND DESIGN REVISED PLANS"/>
    <m/>
    <m/>
    <n v="1"/>
    <m/>
    <n v="0"/>
    <s v="SITTS &amp; HILL ENGINEERS IN"/>
    <m/>
    <s v="LAND IMPROVEMENTS"/>
    <s v="TBA"/>
    <m/>
    <m/>
    <m/>
    <d v="2021-05-31T00:00:00"/>
    <d v="2021-05-31T00:00:00"/>
    <s v="2111-21-0035-1"/>
    <n v="1000"/>
    <n v="14010"/>
    <n v="559"/>
    <n v="14016"/>
    <n v="186.35"/>
    <n v="372.65"/>
    <n v="41.94"/>
    <n v="57260"/>
    <n v="4.66"/>
    <s v="P"/>
    <m/>
    <m/>
    <s v=" "/>
    <s v="STL"/>
    <s v="YES"/>
    <s v="TBD"/>
    <d v="2024-10-09T00:00:00"/>
    <x v="19"/>
    <m/>
    <m/>
    <m/>
    <m/>
    <m/>
    <m/>
    <m/>
    <m/>
    <m/>
    <m/>
    <m/>
  </r>
  <r>
    <n v="2111"/>
    <n v="253160"/>
    <s v="P"/>
    <s v="Capitalized"/>
    <s v="95 GAL YARD WASTE CARTS"/>
    <m/>
    <m/>
    <n v="351"/>
    <m/>
    <n v="0"/>
    <s v="REHRIG PACIFIC COMPANY IN"/>
    <m/>
    <s v="CONTAINERS"/>
    <s v="TBA"/>
    <m/>
    <m/>
    <m/>
    <d v="2021-02-15T00:00:00"/>
    <d v="2021-02-15T00:00:00"/>
    <s v="2111-21-0032-1"/>
    <n v="700"/>
    <n v="14050"/>
    <n v="16799.37"/>
    <n v="14056"/>
    <n v="8799.65"/>
    <n v="7999.7199999999993"/>
    <n v="1799.91"/>
    <n v="54260"/>
    <n v="199.99"/>
    <s v="P"/>
    <m/>
    <m/>
    <s v=" "/>
    <s v="STL"/>
    <s v="YES"/>
    <s v="TBD"/>
    <d v="2024-10-09T00:00:00"/>
    <x v="19"/>
    <m/>
    <m/>
    <m/>
    <m/>
    <m/>
    <m/>
    <m/>
    <m/>
    <m/>
    <m/>
    <m/>
  </r>
  <r>
    <n v="2111"/>
    <n v="253159"/>
    <s v="P"/>
    <s v="Capitalized"/>
    <s v="95 GAL RECYCLE CARTS"/>
    <m/>
    <m/>
    <n v="351"/>
    <m/>
    <n v="0"/>
    <s v="REHRIG PACIFIC COMPANY IN"/>
    <m/>
    <s v="CONTAINERS"/>
    <s v="TBA"/>
    <m/>
    <m/>
    <m/>
    <d v="2021-02-15T00:00:00"/>
    <d v="2021-02-15T00:00:00"/>
    <s v="2111-21-0032-1"/>
    <n v="700"/>
    <n v="14050"/>
    <n v="16799.37"/>
    <n v="14056"/>
    <n v="8799.65"/>
    <n v="7999.7199999999993"/>
    <n v="1799.91"/>
    <n v="54260"/>
    <n v="199.99"/>
    <s v="P"/>
    <m/>
    <m/>
    <s v=" "/>
    <s v="STL"/>
    <s v="YES"/>
    <s v="TBD"/>
    <d v="2024-10-09T00:00:00"/>
    <x v="19"/>
    <m/>
    <m/>
    <m/>
    <m/>
    <m/>
    <m/>
    <m/>
    <m/>
    <m/>
    <m/>
    <m/>
  </r>
  <r>
    <n v="2111"/>
    <n v="253158"/>
    <s v="P"/>
    <s v="Capitalized"/>
    <s v="20 GAL Plastic Carts"/>
    <m/>
    <m/>
    <n v="220"/>
    <m/>
    <n v="0"/>
    <s v="REHRIG PACIFIC COMPANY IN"/>
    <m/>
    <s v="CONTAINERS"/>
    <s v="TBA"/>
    <m/>
    <m/>
    <m/>
    <d v="2021-03-22T00:00:00"/>
    <d v="2021-03-22T00:00:00"/>
    <s v="2111-21-0036-1"/>
    <n v="700"/>
    <n v="14050"/>
    <n v="9518.8700000000008"/>
    <n v="14056"/>
    <n v="4759.4399999999996"/>
    <n v="4759.4300000000012"/>
    <n v="1019.88"/>
    <n v="54260"/>
    <n v="113.32"/>
    <s v="P"/>
    <m/>
    <m/>
    <s v=" "/>
    <s v="STL"/>
    <s v="YES"/>
    <s v="TBD"/>
    <d v="2024-10-09T00:00:00"/>
    <x v="19"/>
    <m/>
    <m/>
    <m/>
    <m/>
    <m/>
    <m/>
    <m/>
    <m/>
    <m/>
    <m/>
    <m/>
  </r>
  <r>
    <n v="2111"/>
    <n v="253157"/>
    <s v="P"/>
    <s v="Capitalized"/>
    <s v="65 GAL Plastic Carts"/>
    <m/>
    <m/>
    <n v="689"/>
    <m/>
    <n v="0"/>
    <s v="REHRIG PACIFIC COMPANY IN"/>
    <m/>
    <s v="CONTAINERS"/>
    <s v="TBA"/>
    <m/>
    <m/>
    <m/>
    <d v="2021-03-22T00:00:00"/>
    <d v="2021-03-22T00:00:00"/>
    <s v="2111-21-0036-1"/>
    <n v="700"/>
    <n v="14050"/>
    <n v="29871.98"/>
    <n v="14056"/>
    <n v="14936.01"/>
    <n v="14935.97"/>
    <n v="3200.58"/>
    <n v="54260"/>
    <n v="355.62"/>
    <s v="P"/>
    <m/>
    <m/>
    <s v=" "/>
    <s v="STL"/>
    <s v="YES"/>
    <s v="TBD"/>
    <d v="2024-10-09T00:00:00"/>
    <x v="19"/>
    <m/>
    <m/>
    <m/>
    <m/>
    <m/>
    <m/>
    <m/>
    <m/>
    <m/>
    <m/>
    <m/>
  </r>
  <r>
    <n v="2111"/>
    <n v="252489"/>
    <s v="P"/>
    <s v="Capitalized"/>
    <s v="Fuel Island Design &amp; Permitting"/>
    <m/>
    <m/>
    <n v="1"/>
    <m/>
    <n v="0"/>
    <m/>
    <m/>
    <s v="LAND IMPROVEMENTS"/>
    <s v="TBA"/>
    <m/>
    <m/>
    <m/>
    <d v="2021-05-31T00:00:00"/>
    <d v="2021-05-31T00:00:00"/>
    <s v="2111-21-0035"/>
    <n v="1000"/>
    <n v="14010"/>
    <n v="3092.5"/>
    <n v="14016"/>
    <n v="1030.83"/>
    <n v="2061.67"/>
    <n v="231.93"/>
    <n v="57260"/>
    <n v="25.77"/>
    <s v="P"/>
    <m/>
    <m/>
    <s v=" "/>
    <s v="STL"/>
    <s v="YES"/>
    <s v="TBD"/>
    <d v="2024-10-09T00:00:00"/>
    <x v="19"/>
    <m/>
    <m/>
    <m/>
    <m/>
    <m/>
    <m/>
    <m/>
    <m/>
    <m/>
    <m/>
    <m/>
  </r>
  <r>
    <n v="2111"/>
    <n v="252178"/>
    <n v="252176"/>
    <s v="Capitalized"/>
    <s v="2020 Peterbilt FEL Truck - Body"/>
    <m/>
    <m/>
    <n v="1"/>
    <s v="3BPDLK0X4LF108676"/>
    <n v="2020"/>
    <m/>
    <m/>
    <s v="TRUCKS AND TRAILERS"/>
    <s v="TBA"/>
    <s v="Non-Rolling Stock"/>
    <m/>
    <m/>
    <d v="2021-05-13T00:00:00"/>
    <d v="2021-05-13T00:00:00"/>
    <s v="2111-21-0028"/>
    <n v="1000"/>
    <n v="14040"/>
    <n v="159549.45000000001"/>
    <n v="14046"/>
    <n v="54512.75"/>
    <n v="105036.70000000001"/>
    <n v="11966.22"/>
    <n v="51260"/>
    <n v="1329.58"/>
    <s v="P"/>
    <m/>
    <m/>
    <s v=" "/>
    <s v="STL"/>
    <s v="YES"/>
    <s v="TBD"/>
    <d v="2024-10-09T00:00:00"/>
    <x v="19"/>
    <m/>
    <m/>
    <m/>
    <m/>
    <m/>
    <m/>
    <m/>
    <m/>
    <m/>
    <m/>
    <m/>
  </r>
  <r>
    <n v="2111"/>
    <n v="252177"/>
    <n v="252175"/>
    <s v="Capitalized"/>
    <s v="2020 Peterbilt FEL Truck- Body"/>
    <m/>
    <m/>
    <n v="1"/>
    <s v="3BPDLK0X2LF108675"/>
    <n v="2020"/>
    <m/>
    <m/>
    <s v="TRUCKS AND TRAILERS"/>
    <s v="TBA"/>
    <s v="Non-Rolling Stock"/>
    <m/>
    <m/>
    <d v="2021-05-13T00:00:00"/>
    <d v="2021-05-13T00:00:00"/>
    <s v="2111-21-0027"/>
    <n v="1000"/>
    <n v="14040"/>
    <n v="159549.45000000001"/>
    <n v="14046"/>
    <n v="54512.75"/>
    <n v="105036.70000000001"/>
    <n v="11966.22"/>
    <n v="51260"/>
    <n v="1329.58"/>
    <s v="P"/>
    <m/>
    <m/>
    <s v=" "/>
    <s v="STL"/>
    <s v="YES"/>
    <s v="TBD"/>
    <d v="2024-10-09T00:00:00"/>
    <x v="19"/>
    <m/>
    <m/>
    <m/>
    <m/>
    <m/>
    <m/>
    <m/>
    <m/>
    <m/>
    <m/>
    <m/>
  </r>
  <r>
    <n v="2111"/>
    <n v="252176"/>
    <s v="P"/>
    <s v="Capitalized"/>
    <s v="2020 Peterbilt FEL Truck- Chassis"/>
    <m/>
    <m/>
    <n v="1"/>
    <s v="3BPDLK0X4LF108676"/>
    <n v="2020"/>
    <m/>
    <m/>
    <s v="TRUCKS AND TRAILERS"/>
    <s v="TBA"/>
    <s v="Front Loader"/>
    <m/>
    <m/>
    <d v="2021-05-13T00:00:00"/>
    <d v="2021-05-13T00:00:00"/>
    <s v="2111-20-0026"/>
    <n v="1000"/>
    <n v="14040"/>
    <n v="183322.84"/>
    <n v="14046"/>
    <n v="62635.29"/>
    <n v="120687.54999999999"/>
    <n v="13749.21"/>
    <n v="51260"/>
    <n v="1527.69"/>
    <s v="P"/>
    <m/>
    <n v="916"/>
    <s v=" "/>
    <s v="STL"/>
    <s v="YES"/>
    <s v="TBD"/>
    <d v="2024-10-09T00:00:00"/>
    <x v="19"/>
    <m/>
    <m/>
    <m/>
    <m/>
    <m/>
    <m/>
    <m/>
    <m/>
    <m/>
    <m/>
    <m/>
  </r>
  <r>
    <n v="2111"/>
    <n v="252175"/>
    <s v="P"/>
    <s v="Capitalized"/>
    <s v="2020 Peterbilt FEL Truck- Chassis"/>
    <m/>
    <m/>
    <n v="1"/>
    <s v="3BPDLK0X2LF108675"/>
    <n v="2020"/>
    <m/>
    <m/>
    <s v="TRUCKS AND TRAILERS"/>
    <s v="TBA"/>
    <s v="Front Loader"/>
    <m/>
    <m/>
    <d v="2021-05-13T00:00:00"/>
    <d v="2021-05-13T00:00:00"/>
    <s v="2111-20-0025"/>
    <n v="1000"/>
    <n v="14040"/>
    <n v="183322.84"/>
    <n v="14046"/>
    <n v="62635.29"/>
    <n v="120687.54999999999"/>
    <n v="13749.21"/>
    <n v="51260"/>
    <n v="1527.69"/>
    <s v="P"/>
    <m/>
    <n v="917"/>
    <s v=" "/>
    <s v="STL"/>
    <s v="YES"/>
    <s v="TBD"/>
    <d v="2024-10-09T00:00:00"/>
    <x v="19"/>
    <m/>
    <m/>
    <m/>
    <m/>
    <m/>
    <m/>
    <m/>
    <m/>
    <m/>
    <m/>
    <m/>
  </r>
  <r>
    <n v="2111"/>
    <n v="251861"/>
    <n v="241232"/>
    <s v="Capitalized"/>
    <s v="2020 Peterbilt ASL Truck - Body - COVID 2111-20-0022"/>
    <m/>
    <m/>
    <n v="1"/>
    <s v="3BPDLK0X9LF108415"/>
    <n v="2020"/>
    <s v="SOLID WASTE SYSTEMS"/>
    <m/>
    <s v="TRUCKS AND TRAILERS"/>
    <s v="TBA"/>
    <s v="Non-Rolling Stock"/>
    <m/>
    <m/>
    <d v="2021-01-01T00:00:00"/>
    <d v="2021-01-01T00:00:00"/>
    <s v="2111-21-0026-1"/>
    <n v="1000"/>
    <n v="14040"/>
    <n v="58619.82"/>
    <n v="14046"/>
    <n v="58619.82"/>
    <n v="0"/>
    <n v="4509.21"/>
    <n v="51260"/>
    <n v="0"/>
    <s v="P"/>
    <m/>
    <m/>
    <s v=" "/>
    <s v="STL"/>
    <s v="YES"/>
    <s v="TBD"/>
    <d v="2024-10-09T00:00:00"/>
    <x v="19"/>
    <m/>
    <m/>
    <m/>
    <m/>
    <m/>
    <m/>
    <m/>
    <m/>
    <m/>
    <m/>
    <m/>
  </r>
  <r>
    <n v="2111"/>
    <n v="250258"/>
    <s v="P"/>
    <s v="Capitalized"/>
    <s v="95 GAL YARD WASTE CARTS"/>
    <m/>
    <m/>
    <n v="702"/>
    <m/>
    <n v="0"/>
    <s v="REHRIG PACIFIC COMPANY IN"/>
    <m/>
    <s v="CONTAINERS"/>
    <s v="TBA"/>
    <m/>
    <m/>
    <m/>
    <d v="2021-03-22T00:00:00"/>
    <d v="2021-03-22T00:00:00"/>
    <s v="2111-21-0036-1"/>
    <n v="700"/>
    <n v="14050"/>
    <n v="34293.08"/>
    <n v="14056"/>
    <n v="17146.53"/>
    <n v="17146.550000000003"/>
    <n v="3674.25"/>
    <n v="54260"/>
    <n v="408.25"/>
    <s v="P"/>
    <m/>
    <m/>
    <s v=" "/>
    <s v="STL"/>
    <s v="YES"/>
    <s v="TBD"/>
    <d v="2024-10-09T00:00:00"/>
    <x v="19"/>
    <m/>
    <m/>
    <m/>
    <m/>
    <m/>
    <m/>
    <m/>
    <m/>
    <m/>
    <m/>
    <m/>
  </r>
  <r>
    <n v="2111"/>
    <n v="250257"/>
    <s v="P"/>
    <s v="Capitalized"/>
    <s v="95 GAL RECYCLE CARTS"/>
    <m/>
    <m/>
    <n v="702"/>
    <m/>
    <n v="0"/>
    <s v="REHRIG PACIFIC COMPANY IN"/>
    <m/>
    <s v="CONTAINERS"/>
    <s v="TBA"/>
    <m/>
    <m/>
    <m/>
    <d v="2021-03-22T00:00:00"/>
    <d v="2021-03-22T00:00:00"/>
    <s v="2111-21-0036-1"/>
    <n v="700"/>
    <n v="14050"/>
    <n v="34293.089999999997"/>
    <n v="14056"/>
    <n v="17146.53"/>
    <n v="17146.559999999998"/>
    <n v="3674.25"/>
    <n v="54260"/>
    <n v="408.25"/>
    <s v="P"/>
    <m/>
    <m/>
    <s v=" "/>
    <s v="STL"/>
    <s v="YES"/>
    <s v="TBD"/>
    <d v="2024-10-09T00:00:00"/>
    <x v="19"/>
    <m/>
    <m/>
    <m/>
    <m/>
    <m/>
    <m/>
    <m/>
    <m/>
    <m/>
    <m/>
    <m/>
  </r>
  <r>
    <n v="2111"/>
    <n v="250256"/>
    <s v="P"/>
    <s v="Capitalized"/>
    <s v="95 GAL MSW CARTS"/>
    <m/>
    <m/>
    <n v="702"/>
    <m/>
    <n v="0"/>
    <s v="REHRIG PACIFIC COMPANY IN"/>
    <m/>
    <s v="CONTAINERS"/>
    <s v="TBA"/>
    <m/>
    <m/>
    <m/>
    <d v="2021-03-22T00:00:00"/>
    <d v="2021-03-22T00:00:00"/>
    <s v="2111-21-0036-1"/>
    <n v="700"/>
    <n v="14050"/>
    <n v="34293.089999999997"/>
    <n v="14056"/>
    <n v="17146.53"/>
    <n v="17146.559999999998"/>
    <n v="3674.25"/>
    <n v="54260"/>
    <n v="408.25"/>
    <s v="P"/>
    <m/>
    <m/>
    <s v=" "/>
    <s v="STL"/>
    <s v="YES"/>
    <s v="TBD"/>
    <d v="2024-10-09T00:00:00"/>
    <x v="19"/>
    <m/>
    <m/>
    <m/>
    <m/>
    <m/>
    <m/>
    <m/>
    <m/>
    <m/>
    <m/>
    <m/>
  </r>
  <r>
    <n v="2111"/>
    <n v="249798"/>
    <s v="P"/>
    <s v="Capitalized"/>
    <s v="SERIAL FXPZM83 WINTERM FOR CSR - DELL WYSE 3040"/>
    <m/>
    <m/>
    <n v="1"/>
    <m/>
    <n v="0"/>
    <s v="CDW"/>
    <m/>
    <s v="HARDWARE AND SOFTWARE"/>
    <s v="TBA"/>
    <m/>
    <m/>
    <m/>
    <d v="2021-03-15T00:00:00"/>
    <d v="2021-03-15T00:00:00"/>
    <s v="2111-21-0037-1"/>
    <n v="300"/>
    <n v="14110"/>
    <n v="337.07"/>
    <n v="14116"/>
    <n v="337.07"/>
    <n v="0"/>
    <n v="18.72"/>
    <n v="70260"/>
    <n v="9.36"/>
    <s v="P"/>
    <m/>
    <m/>
    <s v=" "/>
    <s v="STL"/>
    <s v="YES"/>
    <s v="TBD"/>
    <d v="2024-10-09T00:00:00"/>
    <x v="19"/>
    <m/>
    <m/>
    <m/>
    <m/>
    <m/>
    <m/>
    <m/>
    <m/>
    <m/>
    <m/>
    <m/>
  </r>
  <r>
    <n v="2111"/>
    <n v="249797"/>
    <s v="P"/>
    <s v="Capitalized"/>
    <s v="SERIAL FWXXM83 WINTERM FOR CSR - DELL WYSE 3040"/>
    <m/>
    <m/>
    <n v="1"/>
    <m/>
    <n v="0"/>
    <s v="CDW"/>
    <m/>
    <s v="HARDWARE AND SOFTWARE"/>
    <s v="TBA"/>
    <m/>
    <m/>
    <m/>
    <d v="2021-03-15T00:00:00"/>
    <d v="2021-03-15T00:00:00"/>
    <s v="2111-21-0037-1"/>
    <n v="300"/>
    <n v="14110"/>
    <n v="337.07"/>
    <n v="14116"/>
    <n v="337.07"/>
    <n v="0"/>
    <n v="18.72"/>
    <n v="70260"/>
    <n v="9.36"/>
    <s v="P"/>
    <m/>
    <m/>
    <s v=" "/>
    <s v="STL"/>
    <s v="YES"/>
    <s v="TBD"/>
    <d v="2024-10-09T00:00:00"/>
    <x v="19"/>
    <m/>
    <m/>
    <m/>
    <m/>
    <m/>
    <m/>
    <m/>
    <m/>
    <m/>
    <m/>
    <m/>
  </r>
  <r>
    <n v="2111"/>
    <n v="249796"/>
    <s v="P"/>
    <s v="Capitalized"/>
    <s v="SERIAL FTQYM83 WINTERM FOR CSR - DELL WYSE 3040"/>
    <m/>
    <m/>
    <n v="1"/>
    <m/>
    <n v="0"/>
    <s v="CDW"/>
    <m/>
    <s v="HARDWARE AND SOFTWARE"/>
    <s v="TBA"/>
    <m/>
    <m/>
    <m/>
    <d v="2021-03-15T00:00:00"/>
    <d v="2021-03-15T00:00:00"/>
    <s v="2111-21-0037-1"/>
    <n v="300"/>
    <n v="14110"/>
    <n v="337.07"/>
    <n v="14116"/>
    <n v="337.07"/>
    <n v="0"/>
    <n v="18.72"/>
    <n v="70260"/>
    <n v="9.36"/>
    <s v="P"/>
    <m/>
    <m/>
    <s v=" "/>
    <s v="STL"/>
    <s v="YES"/>
    <s v="TBD"/>
    <d v="2024-10-09T00:00:00"/>
    <x v="19"/>
    <m/>
    <m/>
    <m/>
    <m/>
    <m/>
    <m/>
    <m/>
    <m/>
    <m/>
    <m/>
    <m/>
  </r>
  <r>
    <n v="2111"/>
    <n v="249795"/>
    <s v="P"/>
    <s v="Capitalized"/>
    <s v="SERIAL FTPZM83 WINTERM FOR CSR - DELL WYSE 3040"/>
    <m/>
    <m/>
    <n v="1"/>
    <m/>
    <n v="0"/>
    <s v="CDW"/>
    <m/>
    <s v="HARDWARE AND SOFTWARE"/>
    <s v="TBA"/>
    <m/>
    <m/>
    <m/>
    <d v="2021-03-15T00:00:00"/>
    <d v="2021-03-15T00:00:00"/>
    <s v="2111-21-0037-1"/>
    <n v="300"/>
    <n v="14110"/>
    <n v="337.07"/>
    <n v="14116"/>
    <n v="337.07"/>
    <n v="0"/>
    <n v="18.72"/>
    <n v="70260"/>
    <n v="9.36"/>
    <s v="P"/>
    <m/>
    <m/>
    <s v=" "/>
    <s v="STL"/>
    <s v="YES"/>
    <s v="TBD"/>
    <d v="2024-10-09T00:00:00"/>
    <x v="19"/>
    <m/>
    <m/>
    <m/>
    <m/>
    <m/>
    <m/>
    <m/>
    <m/>
    <m/>
    <m/>
    <m/>
  </r>
  <r>
    <n v="2111"/>
    <n v="249794"/>
    <s v="P"/>
    <s v="Capitalized"/>
    <s v="SERIAL FTMXM83 WINTERM FOR CSR - DELL WYSE 3040"/>
    <m/>
    <m/>
    <n v="1"/>
    <m/>
    <n v="0"/>
    <s v="CDW"/>
    <m/>
    <s v="HARDWARE AND SOFTWARE"/>
    <s v="TBA"/>
    <m/>
    <m/>
    <m/>
    <d v="2021-03-15T00:00:00"/>
    <d v="2021-03-15T00:00:00"/>
    <s v="2111-21-0037-1"/>
    <n v="300"/>
    <n v="14110"/>
    <n v="337.07"/>
    <n v="14116"/>
    <n v="337.07"/>
    <n v="0"/>
    <n v="18.72"/>
    <n v="70260"/>
    <n v="9.36"/>
    <s v="P"/>
    <m/>
    <m/>
    <s v=" "/>
    <s v="STL"/>
    <s v="YES"/>
    <s v="TBD"/>
    <d v="2024-10-09T00:00:00"/>
    <x v="19"/>
    <m/>
    <m/>
    <m/>
    <m/>
    <m/>
    <m/>
    <m/>
    <m/>
    <m/>
    <m/>
    <m/>
  </r>
  <r>
    <n v="2111"/>
    <n v="249793"/>
    <s v="P"/>
    <s v="Capitalized"/>
    <s v="SERIAL FRSYM83 WINTERM FOR CSR - DELL WYSE 3040"/>
    <m/>
    <m/>
    <n v="1"/>
    <m/>
    <n v="0"/>
    <s v="CDW"/>
    <m/>
    <s v="HARDWARE AND SOFTWARE"/>
    <s v="TBA"/>
    <m/>
    <m/>
    <m/>
    <d v="2021-03-15T00:00:00"/>
    <d v="2021-03-15T00:00:00"/>
    <s v="2111-21-0037-1"/>
    <n v="300"/>
    <n v="14110"/>
    <n v="337.07"/>
    <n v="14116"/>
    <n v="337.07"/>
    <n v="0"/>
    <n v="18.72"/>
    <n v="70260"/>
    <n v="9.36"/>
    <s v="P"/>
    <m/>
    <m/>
    <s v=" "/>
    <s v="STL"/>
    <s v="YES"/>
    <s v="TBD"/>
    <d v="2024-10-09T00:00:00"/>
    <x v="19"/>
    <m/>
    <m/>
    <m/>
    <m/>
    <m/>
    <m/>
    <m/>
    <m/>
    <m/>
    <m/>
    <m/>
  </r>
  <r>
    <n v="2111"/>
    <n v="249792"/>
    <s v="P"/>
    <s v="Capitalized"/>
    <s v="SERIAL FY00N83 WINTERM FOR CSR - DELL WYSE 3040"/>
    <m/>
    <m/>
    <n v="1"/>
    <m/>
    <n v="0"/>
    <s v="CDW"/>
    <m/>
    <s v="HARDWARE AND SOFTWARE"/>
    <s v="TBA"/>
    <m/>
    <m/>
    <m/>
    <d v="2021-03-15T00:00:00"/>
    <d v="2021-03-15T00:00:00"/>
    <s v="2111-21-0037-1"/>
    <n v="300"/>
    <n v="14110"/>
    <n v="337.05"/>
    <n v="14116"/>
    <n v="337.05"/>
    <n v="0"/>
    <n v="18.72"/>
    <n v="70260"/>
    <n v="9.36"/>
    <s v="P"/>
    <m/>
    <m/>
    <s v=" "/>
    <s v="STL"/>
    <s v="YES"/>
    <s v="TBD"/>
    <d v="2024-10-09T00:00:00"/>
    <x v="19"/>
    <m/>
    <m/>
    <m/>
    <m/>
    <m/>
    <m/>
    <m/>
    <m/>
    <m/>
    <m/>
    <m/>
  </r>
  <r>
    <n v="2111"/>
    <n v="249791"/>
    <s v="P"/>
    <s v="Capitalized"/>
    <s v="SERIAL FX3WM83 WINTERM FOR CSR - DELL WYSE 3040"/>
    <m/>
    <m/>
    <n v="1"/>
    <m/>
    <n v="0"/>
    <s v="CDW"/>
    <m/>
    <s v="HARDWARE AND SOFTWARE"/>
    <s v="TBA"/>
    <m/>
    <m/>
    <m/>
    <d v="2021-03-15T00:00:00"/>
    <d v="2021-03-15T00:00:00"/>
    <s v="2111-21-0037-1"/>
    <n v="300"/>
    <n v="14110"/>
    <n v="337.05"/>
    <n v="14116"/>
    <n v="337.05"/>
    <n v="0"/>
    <n v="18.72"/>
    <n v="70260"/>
    <n v="9.36"/>
    <s v="P"/>
    <m/>
    <m/>
    <s v=" "/>
    <s v="STL"/>
    <s v="YES"/>
    <s v="TBD"/>
    <d v="2024-10-09T00:00:00"/>
    <x v="19"/>
    <m/>
    <m/>
    <m/>
    <m/>
    <m/>
    <m/>
    <m/>
    <m/>
    <m/>
    <m/>
    <m/>
  </r>
  <r>
    <n v="2111"/>
    <n v="249790"/>
    <s v="P"/>
    <s v="Capitalized"/>
    <s v="SERIAL FXYWM83 WINTERM FOR CSR - DELL WYSE 3040"/>
    <m/>
    <m/>
    <n v="1"/>
    <m/>
    <n v="0"/>
    <s v="CDW"/>
    <m/>
    <s v="HARDWARE AND SOFTWARE"/>
    <s v="TBA"/>
    <m/>
    <m/>
    <m/>
    <d v="2021-03-15T00:00:00"/>
    <d v="2021-03-15T00:00:00"/>
    <s v="2111-21-0037-1"/>
    <n v="300"/>
    <n v="14110"/>
    <n v="337.06"/>
    <n v="14116"/>
    <n v="337.06"/>
    <n v="0"/>
    <n v="18.73"/>
    <n v="70260"/>
    <n v="9.3699999999999992"/>
    <s v="P"/>
    <m/>
    <m/>
    <s v=" "/>
    <s v="STL"/>
    <s v="YES"/>
    <s v="TBD"/>
    <d v="2024-10-09T00:00:00"/>
    <x v="19"/>
    <m/>
    <m/>
    <m/>
    <m/>
    <m/>
    <m/>
    <m/>
    <m/>
    <m/>
    <m/>
    <m/>
  </r>
  <r>
    <n v="2111"/>
    <n v="249789"/>
    <s v="P"/>
    <s v="Capitalized"/>
    <s v="SERIAL FXQZM83 WINTERM FOR CSR - DELL WYSE 3040"/>
    <m/>
    <m/>
    <n v="1"/>
    <m/>
    <n v="0"/>
    <s v="CDW"/>
    <m/>
    <s v="HARDWARE AND SOFTWARE"/>
    <s v="TBA"/>
    <m/>
    <m/>
    <m/>
    <d v="2021-03-15T00:00:00"/>
    <d v="2021-03-15T00:00:00"/>
    <s v="2111-21-0037-1"/>
    <n v="300"/>
    <n v="14110"/>
    <n v="337.06"/>
    <n v="14116"/>
    <n v="337.06"/>
    <n v="0"/>
    <n v="18.73"/>
    <n v="70260"/>
    <n v="9.3699999999999992"/>
    <s v="P"/>
    <m/>
    <m/>
    <s v=" "/>
    <s v="STL"/>
    <s v="YES"/>
    <s v="TBD"/>
    <d v="2024-10-09T00:00:00"/>
    <x v="19"/>
    <m/>
    <m/>
    <m/>
    <m/>
    <m/>
    <m/>
    <m/>
    <m/>
    <m/>
    <m/>
    <m/>
  </r>
  <r>
    <n v="2111"/>
    <n v="248094"/>
    <s v="P"/>
    <s v="Capitalized"/>
    <s v="2 Yard REL Containers"/>
    <m/>
    <m/>
    <n v="2"/>
    <m/>
    <n v="0"/>
    <m/>
    <m/>
    <s v="CONTAINERS"/>
    <s v="TBA"/>
    <m/>
    <s v="2 YD"/>
    <s v="FEL/REL/SL Metal"/>
    <d v="2021-03-01T00:00:00"/>
    <d v="2021-03-01T00:00:00"/>
    <m/>
    <n v="0"/>
    <n v="14050"/>
    <n v="0"/>
    <n v="14056"/>
    <n v="0"/>
    <n v="0"/>
    <n v="0"/>
    <n v="54260"/>
    <n v="0"/>
    <s v="P"/>
    <m/>
    <m/>
    <s v=" "/>
    <s v="STL"/>
    <s v="NO"/>
    <s v="TBD"/>
    <d v="2024-10-09T00:00:00"/>
    <x v="19"/>
    <m/>
    <m/>
    <m/>
    <m/>
    <m/>
    <m/>
    <m/>
    <m/>
    <m/>
    <m/>
    <m/>
  </r>
  <r>
    <n v="2111"/>
    <n v="248093"/>
    <s v="P"/>
    <s v="Capitalized"/>
    <s v="6 yd REL Containers w/Lids (N)"/>
    <m/>
    <m/>
    <n v="2"/>
    <m/>
    <n v="0"/>
    <m/>
    <m/>
    <s v="CONTAINERS"/>
    <s v="TBA"/>
    <m/>
    <s v="6 YD"/>
    <s v="FEL/REL/SL Metal"/>
    <d v="2021-03-01T00:00:00"/>
    <d v="2021-03-01T00:00:00"/>
    <m/>
    <n v="0"/>
    <n v="14050"/>
    <n v="0"/>
    <n v="14056"/>
    <n v="0"/>
    <n v="0"/>
    <n v="0"/>
    <n v="54260"/>
    <n v="0"/>
    <s v="P"/>
    <m/>
    <m/>
    <s v=" "/>
    <s v="STL"/>
    <s v="NO"/>
    <s v="TBD"/>
    <d v="2024-10-09T00:00:00"/>
    <x v="19"/>
    <m/>
    <m/>
    <m/>
    <m/>
    <m/>
    <m/>
    <m/>
    <m/>
    <m/>
    <m/>
    <m/>
  </r>
  <r>
    <n v="2111"/>
    <n v="248091"/>
    <s v="P"/>
    <s v="Capitalized"/>
    <s v="4 YD RO Box"/>
    <m/>
    <m/>
    <n v="2"/>
    <m/>
    <n v="0"/>
    <m/>
    <m/>
    <s v="CONTAINERS"/>
    <s v="TBA"/>
    <m/>
    <s v="4 YD"/>
    <s v="FEL/REL/SL Metal"/>
    <d v="2021-03-01T00:00:00"/>
    <d v="2021-03-01T00:00:00"/>
    <m/>
    <n v="0"/>
    <n v="14050"/>
    <n v="0"/>
    <n v="14056"/>
    <n v="0"/>
    <n v="0"/>
    <n v="0"/>
    <n v="54260"/>
    <n v="0"/>
    <s v="P"/>
    <m/>
    <m/>
    <s v=" "/>
    <s v="STL"/>
    <s v="NO"/>
    <s v="TBD"/>
    <d v="2024-10-09T00:00:00"/>
    <x v="19"/>
    <m/>
    <m/>
    <m/>
    <m/>
    <m/>
    <m/>
    <m/>
    <m/>
    <m/>
    <m/>
    <m/>
  </r>
  <r>
    <n v="2111"/>
    <n v="248090"/>
    <s v="P"/>
    <s v="Capitalized"/>
    <s v="1.5 Yard Containers"/>
    <m/>
    <m/>
    <n v="6"/>
    <m/>
    <n v="0"/>
    <m/>
    <m/>
    <s v="CONTAINERS"/>
    <s v="TBA"/>
    <m/>
    <s v="1.5 YD"/>
    <s v="FEL/REL/SL Metal"/>
    <d v="2021-03-01T00:00:00"/>
    <d v="2021-03-01T00:00:00"/>
    <m/>
    <n v="0"/>
    <n v="14050"/>
    <n v="0"/>
    <n v="14056"/>
    <n v="0"/>
    <n v="0"/>
    <n v="0"/>
    <n v="54260"/>
    <n v="0"/>
    <s v="P"/>
    <m/>
    <m/>
    <s v=" "/>
    <s v="STL"/>
    <s v="NO"/>
    <s v="TBD"/>
    <d v="2024-10-09T00:00:00"/>
    <x v="19"/>
    <m/>
    <m/>
    <m/>
    <m/>
    <m/>
    <m/>
    <m/>
    <m/>
    <m/>
    <m/>
    <m/>
  </r>
  <r>
    <n v="2111"/>
    <n v="248089"/>
    <s v="P"/>
    <s v="Capitalized"/>
    <s v="30yd Drop Box w/Lids"/>
    <m/>
    <m/>
    <n v="1"/>
    <m/>
    <n v="0"/>
    <m/>
    <m/>
    <s v="CONTAINERS"/>
    <s v="TBA"/>
    <m/>
    <s v="30 YD"/>
    <s v="RO Box"/>
    <d v="2021-03-01T00:00:00"/>
    <d v="2021-03-01T00:00:00"/>
    <m/>
    <n v="0"/>
    <n v="14050"/>
    <n v="0"/>
    <n v="14056"/>
    <n v="0"/>
    <n v="0"/>
    <n v="0"/>
    <n v="54260"/>
    <n v="0"/>
    <s v="P"/>
    <m/>
    <m/>
    <s v=" "/>
    <s v="STL"/>
    <s v="NO"/>
    <s v="TBD"/>
    <d v="2024-10-09T00:00:00"/>
    <x v="19"/>
    <m/>
    <m/>
    <m/>
    <m/>
    <m/>
    <m/>
    <m/>
    <m/>
    <m/>
    <m/>
    <m/>
  </r>
  <r>
    <n v="2111"/>
    <n v="248011"/>
    <s v="P"/>
    <s v="Capitalized"/>
    <s v="2 Yard REL Containers"/>
    <m/>
    <m/>
    <n v="2"/>
    <m/>
    <n v="0"/>
    <m/>
    <m/>
    <s v="CONTAINERS"/>
    <s v="TBA"/>
    <m/>
    <s v="2 YD"/>
    <s v="FEL/REL/SL Metal"/>
    <d v="2021-03-01T00:00:00"/>
    <d v="2021-03-01T00:00:00"/>
    <s v="03-2131-006"/>
    <n v="0"/>
    <n v="14050"/>
    <n v="0"/>
    <n v="14056"/>
    <n v="0"/>
    <n v="0"/>
    <n v="0"/>
    <n v="54260"/>
    <n v="0"/>
    <s v="P"/>
    <m/>
    <m/>
    <s v=" "/>
    <s v="STL"/>
    <s v="NO"/>
    <s v="TBD"/>
    <d v="2024-10-09T00:00:00"/>
    <x v="19"/>
    <m/>
    <m/>
    <m/>
    <m/>
    <m/>
    <m/>
    <m/>
    <m/>
    <m/>
    <m/>
    <m/>
  </r>
  <r>
    <n v="2111"/>
    <n v="248010"/>
    <s v="P"/>
    <s v="Capitalized"/>
    <s v="6 yd REL Containers w/Lids (N)"/>
    <m/>
    <m/>
    <n v="2"/>
    <m/>
    <n v="0"/>
    <m/>
    <m/>
    <s v="CONTAINERS"/>
    <s v="TBA"/>
    <m/>
    <s v="6 YD"/>
    <s v="FEL/REL/SL Metal"/>
    <d v="2021-03-01T00:00:00"/>
    <d v="2021-03-01T00:00:00"/>
    <m/>
    <n v="0"/>
    <n v="14050"/>
    <n v="0"/>
    <n v="14056"/>
    <n v="0"/>
    <n v="0"/>
    <n v="0"/>
    <n v="54260"/>
    <n v="0"/>
    <s v="P"/>
    <m/>
    <m/>
    <s v=" "/>
    <s v="STL"/>
    <s v="NO"/>
    <s v="TBD"/>
    <d v="2024-10-09T00:00:00"/>
    <x v="19"/>
    <m/>
    <m/>
    <m/>
    <m/>
    <m/>
    <m/>
    <m/>
    <m/>
    <m/>
    <m/>
    <m/>
  </r>
  <r>
    <n v="2111"/>
    <n v="248009"/>
    <s v="P"/>
    <s v="Capitalized"/>
    <s v="12 - 20yd &amp; 3 - 25yd Drop Boxes (U)"/>
    <m/>
    <m/>
    <n v="4"/>
    <m/>
    <n v="0"/>
    <m/>
    <m/>
    <s v="CONTAINERS"/>
    <s v="TBA"/>
    <m/>
    <s v="20 YD"/>
    <s v="RO Box"/>
    <d v="2021-03-01T00:00:00"/>
    <d v="2021-03-01T00:00:00"/>
    <m/>
    <n v="0"/>
    <n v="14050"/>
    <n v="0"/>
    <n v="14056"/>
    <n v="0"/>
    <n v="0"/>
    <n v="0"/>
    <n v="54260"/>
    <n v="0"/>
    <s v="P"/>
    <m/>
    <m/>
    <s v=" "/>
    <s v="STL"/>
    <s v="NO"/>
    <s v="TBD"/>
    <d v="2024-10-09T00:00:00"/>
    <x v="19"/>
    <m/>
    <m/>
    <m/>
    <m/>
    <m/>
    <m/>
    <m/>
    <m/>
    <m/>
    <m/>
    <m/>
  </r>
  <r>
    <n v="2111"/>
    <n v="248008"/>
    <s v="P"/>
    <s v="Capitalized"/>
    <s v="4 YD RO Box"/>
    <m/>
    <m/>
    <n v="2"/>
    <m/>
    <n v="0"/>
    <m/>
    <m/>
    <s v="CONTAINERS"/>
    <s v="TBA"/>
    <m/>
    <s v="4 YD"/>
    <s v="FEL/REL/SL Metal"/>
    <d v="2021-03-01T00:00:00"/>
    <d v="2021-03-01T00:00:00"/>
    <m/>
    <n v="0"/>
    <n v="14050"/>
    <n v="0"/>
    <n v="14056"/>
    <n v="0"/>
    <n v="0"/>
    <n v="0"/>
    <n v="54260"/>
    <n v="0"/>
    <s v="P"/>
    <m/>
    <m/>
    <s v=" "/>
    <s v="STL"/>
    <s v="NO"/>
    <s v="TBD"/>
    <d v="2024-10-09T00:00:00"/>
    <x v="19"/>
    <m/>
    <m/>
    <m/>
    <m/>
    <m/>
    <m/>
    <m/>
    <m/>
    <m/>
    <m/>
    <m/>
  </r>
  <r>
    <n v="2111"/>
    <n v="248007"/>
    <s v="P"/>
    <s v="Capitalized"/>
    <s v="1.5 Yard Containers"/>
    <m/>
    <m/>
    <n v="6"/>
    <m/>
    <n v="0"/>
    <m/>
    <m/>
    <s v="CONTAINERS"/>
    <s v="TBA"/>
    <m/>
    <s v="1.5 YD"/>
    <s v="FEL/REL/SL Metal"/>
    <d v="2021-03-01T00:00:00"/>
    <d v="2021-03-01T00:00:00"/>
    <s v="2111-8-0029-2"/>
    <n v="0"/>
    <n v="14050"/>
    <n v="0"/>
    <n v="14056"/>
    <n v="0"/>
    <n v="0"/>
    <n v="0"/>
    <n v="54260"/>
    <n v="0"/>
    <s v="P"/>
    <m/>
    <m/>
    <s v=" "/>
    <s v="STL"/>
    <s v="NO"/>
    <s v="TBD"/>
    <d v="2024-10-09T00:00:00"/>
    <x v="19"/>
    <m/>
    <m/>
    <m/>
    <m/>
    <m/>
    <m/>
    <m/>
    <m/>
    <m/>
    <m/>
    <m/>
  </r>
  <r>
    <n v="2111"/>
    <n v="248006"/>
    <s v="P"/>
    <s v="Capitalized"/>
    <s v="30yd Drop Box w/Lids"/>
    <m/>
    <m/>
    <n v="1"/>
    <m/>
    <n v="0"/>
    <m/>
    <m/>
    <s v="CONTAINERS"/>
    <s v="TBA"/>
    <m/>
    <s v="30 YD"/>
    <s v="RO Box"/>
    <d v="2021-03-01T00:00:00"/>
    <d v="2021-03-01T00:00:00"/>
    <m/>
    <n v="0"/>
    <n v="14050"/>
    <n v="0"/>
    <n v="14056"/>
    <n v="0"/>
    <n v="0"/>
    <n v="0"/>
    <n v="54260"/>
    <n v="0"/>
    <s v="P"/>
    <m/>
    <m/>
    <s v=" "/>
    <s v="STL"/>
    <s v="NO"/>
    <s v="TBD"/>
    <d v="2024-10-09T00:00:00"/>
    <x v="19"/>
    <m/>
    <m/>
    <m/>
    <m/>
    <m/>
    <m/>
    <m/>
    <m/>
    <m/>
    <m/>
    <m/>
  </r>
  <r>
    <n v="2111"/>
    <n v="247906"/>
    <s v="P"/>
    <s v="Capitalized"/>
    <s v="95 GAL MSW CARTS"/>
    <m/>
    <m/>
    <n v="702"/>
    <m/>
    <n v="0"/>
    <s v="REHRIG PACIFIC COMPANY IN"/>
    <m/>
    <s v="CONTAINERS"/>
    <s v="TBA"/>
    <m/>
    <m/>
    <m/>
    <d v="2021-02-15T00:00:00"/>
    <d v="2021-02-15T00:00:00"/>
    <s v="2111-21-0032-1"/>
    <n v="700"/>
    <n v="14050"/>
    <n v="33598.730000000003"/>
    <n v="14056"/>
    <n v="17599.29"/>
    <n v="15999.440000000002"/>
    <n v="3599.82"/>
    <n v="54260"/>
    <n v="399.98"/>
    <s v="P"/>
    <m/>
    <m/>
    <s v=" "/>
    <s v="STL"/>
    <s v="YES"/>
    <s v="TBD"/>
    <d v="2024-10-09T00:00:00"/>
    <x v="19"/>
    <m/>
    <m/>
    <m/>
    <m/>
    <m/>
    <m/>
    <m/>
    <m/>
    <m/>
    <m/>
    <m/>
  </r>
  <r>
    <n v="2111"/>
    <n v="247905"/>
    <s v="P"/>
    <s v="Capitalized"/>
    <s v="65 GAL MSW CARTS"/>
    <m/>
    <m/>
    <n v="936"/>
    <m/>
    <n v="0"/>
    <s v="REHRIG PACIFIC COMPANY IN"/>
    <m/>
    <s v="CONTAINERS"/>
    <s v="TBA"/>
    <m/>
    <m/>
    <m/>
    <d v="2021-02-12T00:00:00"/>
    <d v="2021-02-12T00:00:00"/>
    <s v="2111-21-0032-1"/>
    <n v="700"/>
    <n v="14050"/>
    <n v="39655"/>
    <n v="14056"/>
    <n v="20771.64"/>
    <n v="18883.36"/>
    <n v="4248.72"/>
    <n v="54260"/>
    <n v="472.08"/>
    <s v="P"/>
    <m/>
    <m/>
    <s v=" "/>
    <s v="STL"/>
    <s v="YES"/>
    <s v="TBD"/>
    <d v="2024-10-09T00:00:00"/>
    <x v="19"/>
    <m/>
    <m/>
    <m/>
    <m/>
    <m/>
    <m/>
    <m/>
    <m/>
    <m/>
    <m/>
    <m/>
  </r>
  <r>
    <n v="2111"/>
    <n v="247904"/>
    <s v="P"/>
    <s v="Capitalized"/>
    <s v="95 GAL YARD WASTE CARTS"/>
    <m/>
    <m/>
    <n v="702"/>
    <m/>
    <n v="0"/>
    <s v="REHRIG PACIFIC COMPANY IN"/>
    <m/>
    <s v="CONTAINERS"/>
    <s v="TBA"/>
    <m/>
    <m/>
    <m/>
    <d v="2021-02-12T00:00:00"/>
    <d v="2021-02-12T00:00:00"/>
    <s v="2111-21-0032-1"/>
    <n v="700"/>
    <n v="14050"/>
    <n v="33598.74"/>
    <n v="14056"/>
    <n v="17599.39"/>
    <n v="15999.349999999999"/>
    <n v="3599.91"/>
    <n v="54260"/>
    <n v="399.99"/>
    <s v="P"/>
    <m/>
    <m/>
    <s v=" "/>
    <s v="STL"/>
    <s v="YES"/>
    <s v="TBD"/>
    <d v="2024-10-09T00:00:00"/>
    <x v="19"/>
    <m/>
    <m/>
    <m/>
    <m/>
    <m/>
    <m/>
    <m/>
    <m/>
    <m/>
    <m/>
    <m/>
  </r>
  <r>
    <n v="2111"/>
    <n v="247903"/>
    <s v="P"/>
    <s v="Capitalized"/>
    <s v="6 YARD FRONT LOAD CONTAINERS"/>
    <m/>
    <m/>
    <n v="10"/>
    <m/>
    <n v="0"/>
    <s v="RULE STEEL TANKS INC"/>
    <m/>
    <s v="CONTAINERS"/>
    <s v="TBA"/>
    <m/>
    <s v="6 YD"/>
    <s v="FEL/REL/SL Metal"/>
    <d v="2021-02-18T00:00:00"/>
    <d v="2021-02-18T00:00:00"/>
    <s v="2111-21-0030-1"/>
    <n v="1200"/>
    <n v="14050"/>
    <n v="12351.66"/>
    <n v="14056"/>
    <n v="3688.4"/>
    <n v="8663.26"/>
    <n v="772.02"/>
    <n v="54260"/>
    <n v="85.78"/>
    <s v="P"/>
    <m/>
    <m/>
    <s v=" "/>
    <s v="STL"/>
    <s v="YES"/>
    <s v="TBD"/>
    <d v="2024-10-09T00:00:00"/>
    <x v="19"/>
    <m/>
    <m/>
    <m/>
    <m/>
    <m/>
    <m/>
    <m/>
    <m/>
    <m/>
    <m/>
    <m/>
  </r>
  <r>
    <n v="2111"/>
    <n v="247902"/>
    <s v="P"/>
    <s v="Capitalized"/>
    <s v="4 YARD FRONT LOAD CONTAINERS"/>
    <m/>
    <m/>
    <n v="5"/>
    <m/>
    <n v="0"/>
    <s v="RULE STEEL TANKS INC"/>
    <m/>
    <s v="CONTAINERS"/>
    <s v="TBA"/>
    <m/>
    <s v="4 YD"/>
    <s v="FEL/REL/SL Metal"/>
    <d v="2021-02-18T00:00:00"/>
    <d v="2021-02-18T00:00:00"/>
    <s v="2111-21-0030-1"/>
    <n v="1200"/>
    <n v="14050"/>
    <n v="4477.87"/>
    <n v="14056"/>
    <n v="1337.18"/>
    <n v="3140.6899999999996"/>
    <n v="279.89999999999998"/>
    <n v="54260"/>
    <n v="31.1"/>
    <s v="P"/>
    <m/>
    <m/>
    <s v=" "/>
    <s v="STL"/>
    <s v="YES"/>
    <s v="TBD"/>
    <d v="2024-10-09T00:00:00"/>
    <x v="19"/>
    <m/>
    <m/>
    <m/>
    <m/>
    <m/>
    <m/>
    <m/>
    <m/>
    <m/>
    <m/>
    <m/>
  </r>
  <r>
    <n v="2111"/>
    <n v="247901"/>
    <s v="P"/>
    <s v="Capitalized"/>
    <s v="2 YARD FRONT LOAD CONTAINERS"/>
    <m/>
    <m/>
    <n v="20"/>
    <m/>
    <n v="0"/>
    <s v="RULE STEEL TANKS INC"/>
    <m/>
    <s v="CONTAINERS"/>
    <s v="TBA"/>
    <m/>
    <s v="2 YD"/>
    <s v="FEL/REL/SL Metal"/>
    <d v="2021-02-18T00:00:00"/>
    <d v="2021-02-18T00:00:00"/>
    <s v="2111-21-0030-1"/>
    <n v="1200"/>
    <n v="14050"/>
    <n v="14636.48"/>
    <n v="14056"/>
    <n v="4370.6000000000004"/>
    <n v="10265.879999999999"/>
    <n v="914.76"/>
    <n v="54260"/>
    <n v="101.64"/>
    <s v="P"/>
    <m/>
    <m/>
    <s v=" "/>
    <s v="STL"/>
    <s v="YES"/>
    <s v="TBD"/>
    <d v="2024-10-09T00:00:00"/>
    <x v="19"/>
    <m/>
    <m/>
    <m/>
    <m/>
    <m/>
    <m/>
    <m/>
    <m/>
    <m/>
    <m/>
    <m/>
  </r>
  <r>
    <n v="2111"/>
    <n v="247900"/>
    <s v="P"/>
    <s v="Capitalized"/>
    <s v="2 YARD REAR LOAD RECYCLE CONTAINERS"/>
    <m/>
    <m/>
    <n v="45"/>
    <m/>
    <n v="0"/>
    <s v="RULE STEEL TANKS INC"/>
    <m/>
    <s v="CONTAINERS"/>
    <s v="TBA"/>
    <m/>
    <s v="2 YD"/>
    <s v="FEL/REL/SL Metal"/>
    <d v="2021-02-18T00:00:00"/>
    <d v="2021-02-18T00:00:00"/>
    <s v="2111-21-0030-1"/>
    <n v="1200"/>
    <n v="14050"/>
    <n v="32734.26"/>
    <n v="14056"/>
    <n v="9774.81"/>
    <n v="22959.449999999997"/>
    <n v="2045.88"/>
    <n v="54260"/>
    <n v="227.32"/>
    <s v="P"/>
    <m/>
    <m/>
    <s v=" "/>
    <s v="STL"/>
    <s v="YES"/>
    <s v="TBD"/>
    <d v="2024-10-09T00:00:00"/>
    <x v="19"/>
    <m/>
    <m/>
    <m/>
    <m/>
    <m/>
    <m/>
    <m/>
    <m/>
    <m/>
    <m/>
    <m/>
  </r>
  <r>
    <n v="2111"/>
    <n v="247899"/>
    <s v="P"/>
    <s v="Capitalized"/>
    <s v="2 YARD REAR LOAD CONTAINERS"/>
    <m/>
    <m/>
    <n v="30"/>
    <m/>
    <n v="0"/>
    <s v="RULE STEEL TANKS INC"/>
    <m/>
    <s v="CONTAINERS"/>
    <s v="TBA"/>
    <m/>
    <s v="2 YD"/>
    <s v="FEL/REL/SL Metal"/>
    <d v="2021-02-18T00:00:00"/>
    <d v="2021-02-18T00:00:00"/>
    <s v="2111-21-0030-1"/>
    <n v="1200"/>
    <n v="14050"/>
    <n v="20538.12"/>
    <n v="14056"/>
    <n v="6132.95"/>
    <n v="14405.169999999998"/>
    <n v="1283.67"/>
    <n v="54260"/>
    <n v="142.63"/>
    <s v="P"/>
    <m/>
    <m/>
    <s v=" "/>
    <s v="STL"/>
    <s v="YES"/>
    <s v="TBD"/>
    <d v="2024-10-09T00:00:00"/>
    <x v="19"/>
    <m/>
    <m/>
    <m/>
    <m/>
    <m/>
    <m/>
    <m/>
    <m/>
    <m/>
    <m/>
    <m/>
  </r>
  <r>
    <n v="2111"/>
    <n v="247838"/>
    <n v="241232"/>
    <s v="Capitalized"/>
    <s v="2020 Peterbilt ASL Truck - Warranties - COVID 2111-20-0022"/>
    <m/>
    <m/>
    <n v="1"/>
    <m/>
    <n v="2020"/>
    <s v="WESTERN PETERBILT LLC"/>
    <m/>
    <s v="TRUCKS AND TRAILERS"/>
    <s v="TBA"/>
    <s v="Non-Rolling Stock"/>
    <m/>
    <m/>
    <d v="2021-01-01T00:00:00"/>
    <d v="2021-01-01T00:00:00"/>
    <s v="2111-21-0026-1"/>
    <n v="1000"/>
    <n v="14040"/>
    <n v="1360.98"/>
    <n v="14046"/>
    <n v="1360.98"/>
    <n v="0"/>
    <n v="104.7"/>
    <n v="51260"/>
    <n v="0"/>
    <s v="P"/>
    <m/>
    <m/>
    <s v=" "/>
    <s v="STL"/>
    <s v="YES"/>
    <s v="TBD"/>
    <d v="2024-10-09T00:00:00"/>
    <x v="19"/>
    <m/>
    <m/>
    <m/>
    <m/>
    <m/>
    <m/>
    <m/>
    <m/>
    <m/>
    <m/>
    <m/>
  </r>
  <r>
    <n v="2111"/>
    <n v="247629"/>
    <n v="88717"/>
    <s v="Capitalized"/>
    <s v="Transmission Truck #151"/>
    <m/>
    <m/>
    <n v="1"/>
    <m/>
    <n v="0"/>
    <s v="PAPE KENWORTH NORTHWEST"/>
    <m/>
    <s v="TRUCKS AND TRAILERS"/>
    <s v="TBA"/>
    <s v="Non-Rolling Stock"/>
    <m/>
    <m/>
    <d v="2021-02-03T00:00:00"/>
    <d v="2021-02-03T00:00:00"/>
    <s v="2111-21-0033-1"/>
    <n v="300"/>
    <n v="14040"/>
    <n v="11199.12"/>
    <n v="14046"/>
    <n v="11199.12"/>
    <n v="0"/>
    <n v="311.08999999999997"/>
    <n v="51260"/>
    <n v="311.08999999999997"/>
    <s v="P"/>
    <m/>
    <m/>
    <s v=" "/>
    <s v="STL"/>
    <s v="YES"/>
    <s v="TBD"/>
    <d v="2024-10-09T00:00:00"/>
    <x v="19"/>
    <m/>
    <m/>
    <m/>
    <m/>
    <m/>
    <m/>
    <m/>
    <m/>
    <m/>
    <m/>
    <m/>
  </r>
  <r>
    <n v="2111"/>
    <n v="247510"/>
    <s v="P"/>
    <s v="Capitalized"/>
    <s v="SOFTWARE FOR LAPTOP #3 IN NEW SHOP"/>
    <m/>
    <m/>
    <n v="1"/>
    <m/>
    <n v="0"/>
    <s v="ROBERT MUSTAIN AUTH SN"/>
    <m/>
    <s v="HARDWARE AND SOFTWARE"/>
    <s v="TBA"/>
    <m/>
    <m/>
    <m/>
    <d v="2021-01-01T00:00:00"/>
    <d v="2021-01-01T00:00:00"/>
    <s v="2111-20-0050-2"/>
    <n v="300"/>
    <n v="14110"/>
    <n v="3071.71"/>
    <n v="14116"/>
    <n v="3071.71"/>
    <n v="0"/>
    <n v="0"/>
    <n v="70260"/>
    <n v="0"/>
    <s v="P"/>
    <m/>
    <m/>
    <s v=" "/>
    <s v="STL"/>
    <s v="YES"/>
    <s v="TBD"/>
    <d v="2024-10-09T00:00:00"/>
    <x v="19"/>
    <m/>
    <m/>
    <m/>
    <m/>
    <m/>
    <m/>
    <m/>
    <m/>
    <m/>
    <m/>
    <m/>
  </r>
  <r>
    <n v="2111"/>
    <n v="246557"/>
    <n v="246366"/>
    <s v="Capitalized"/>
    <s v="NEXIQ adapter for laptop #3 for new shop"/>
    <m/>
    <m/>
    <n v="1"/>
    <m/>
    <n v="0"/>
    <s v="ROBERT MUSTAIN AUTH SN"/>
    <m/>
    <s v="HARDWARE AND SOFTWARE"/>
    <s v="TBA"/>
    <m/>
    <m/>
    <m/>
    <d v="2021-01-01T00:00:00"/>
    <d v="2021-01-01T00:00:00"/>
    <s v="2111-20-0050-2"/>
    <n v="200"/>
    <n v="14110"/>
    <n v="956.13"/>
    <n v="14116"/>
    <n v="956.13"/>
    <n v="0"/>
    <n v="0"/>
    <n v="70260"/>
    <n v="0"/>
    <s v="P"/>
    <m/>
    <m/>
    <s v=" "/>
    <s v="STL"/>
    <s v="YES"/>
    <s v="TBD"/>
    <d v="2024-10-09T00:00:00"/>
    <x v="19"/>
    <m/>
    <m/>
    <m/>
    <m/>
    <m/>
    <m/>
    <m/>
    <m/>
    <m/>
    <m/>
    <m/>
  </r>
  <r>
    <n v="2111"/>
    <n v="246432"/>
    <s v="P"/>
    <s v="Capitalized"/>
    <s v="Offset Asset#245508 (duplicate to #244569)"/>
    <m/>
    <m/>
    <n v="1"/>
    <m/>
    <n v="0"/>
    <s v="PACCAR"/>
    <m/>
    <s v="TRUCKS AND TRAILERS"/>
    <s v="TBA"/>
    <s v="Non-Rolling Stock"/>
    <m/>
    <m/>
    <d v="2021-01-01T00:00:00"/>
    <d v="2021-01-01T00:00:00"/>
    <s v="2111-20-0053-1"/>
    <n v="300"/>
    <n v="14040"/>
    <n v="-37361.550000000003"/>
    <n v="14046"/>
    <n v="-37361.550000000003"/>
    <n v="0"/>
    <n v="0"/>
    <n v="51260"/>
    <n v="0"/>
    <s v="P"/>
    <m/>
    <m/>
    <s v=" "/>
    <s v="STL"/>
    <s v="YES"/>
    <s v="TBD"/>
    <d v="2024-10-09T00:00:00"/>
    <x v="19"/>
    <m/>
    <m/>
    <m/>
    <m/>
    <m/>
    <m/>
    <m/>
    <m/>
    <m/>
    <m/>
    <m/>
  </r>
  <r>
    <n v="2111"/>
    <n v="246431"/>
    <n v="236403"/>
    <s v="Capitalized"/>
    <s v="NEW DRIVE CAM FOR TRUCK 449"/>
    <m/>
    <m/>
    <n v="1"/>
    <m/>
    <n v="0"/>
    <s v="LYTX INC"/>
    <m/>
    <s v="TRUCKS AND TRAILERS"/>
    <s v="TBA"/>
    <s v="Non-Rolling Stock"/>
    <m/>
    <m/>
    <d v="2021-01-28T00:00:00"/>
    <d v="2021-01-28T00:00:00"/>
    <s v="2111-20-0021-1"/>
    <n v="500"/>
    <n v="14040"/>
    <n v="580.84"/>
    <n v="14046"/>
    <n v="425.93"/>
    <n v="154.91000000000003"/>
    <n v="87.12"/>
    <n v="51260"/>
    <n v="9.68"/>
    <s v="P"/>
    <m/>
    <m/>
    <s v=" "/>
    <s v="STL"/>
    <s v="YES"/>
    <s v="TBD"/>
    <d v="2024-10-09T00:00:00"/>
    <x v="19"/>
    <m/>
    <m/>
    <m/>
    <m/>
    <m/>
    <m/>
    <m/>
    <m/>
    <m/>
    <m/>
    <m/>
  </r>
  <r>
    <n v="2111"/>
    <n v="246366"/>
    <s v="P"/>
    <s v="Capitalized"/>
    <s v="NOREGON Shop Toughbook"/>
    <m/>
    <m/>
    <n v="1"/>
    <m/>
    <n v="0"/>
    <s v="NOREGON SYSTEMS INC"/>
    <m/>
    <s v="HARDWARE AND SOFTWARE"/>
    <s v="TBA"/>
    <m/>
    <m/>
    <m/>
    <d v="2021-01-01T00:00:00"/>
    <d v="2021-01-01T00:00:00"/>
    <s v="2111-20-0050-2"/>
    <n v="200"/>
    <n v="14110"/>
    <n v="989.1"/>
    <n v="14116"/>
    <n v="989.1"/>
    <n v="0"/>
    <n v="0"/>
    <n v="70260"/>
    <n v="0"/>
    <s v="P"/>
    <m/>
    <m/>
    <s v=" "/>
    <s v="STL"/>
    <s v="YES"/>
    <s v="TBD"/>
    <d v="2024-10-09T00:00:00"/>
    <x v="19"/>
    <m/>
    <m/>
    <m/>
    <m/>
    <m/>
    <m/>
    <m/>
    <m/>
    <m/>
    <m/>
    <m/>
  </r>
  <r>
    <n v="2111"/>
    <n v="246306"/>
    <s v="P"/>
    <s v="Capitalized"/>
    <s v="95 GAL MSW CARTS"/>
    <m/>
    <m/>
    <n v="351"/>
    <m/>
    <n v="0"/>
    <s v="REHRIG PACIFIC COMPANY IN"/>
    <m/>
    <s v="CONTAINERS"/>
    <s v="TBA"/>
    <m/>
    <m/>
    <m/>
    <d v="2021-01-11T00:00:00"/>
    <d v="2021-01-11T00:00:00"/>
    <s v="2111-21-0029-4"/>
    <n v="700"/>
    <n v="14050"/>
    <n v="16024"/>
    <n v="14056"/>
    <n v="8584.26"/>
    <n v="7439.74"/>
    <n v="1716.84"/>
    <n v="54260"/>
    <n v="190.76"/>
    <s v="P"/>
    <m/>
    <m/>
    <s v=" "/>
    <s v="STL"/>
    <s v="YES"/>
    <s v="TBD"/>
    <d v="2024-10-09T00:00:00"/>
    <x v="19"/>
    <m/>
    <m/>
    <m/>
    <m/>
    <m/>
    <m/>
    <m/>
    <m/>
    <m/>
    <m/>
    <m/>
  </r>
  <r>
    <n v="2111"/>
    <n v="246305"/>
    <s v="P"/>
    <s v="Capitalized"/>
    <s v="95 GAL RECYCLE CARTS"/>
    <m/>
    <m/>
    <n v="884"/>
    <m/>
    <n v="0"/>
    <s v="REHRIG PACIFIC COMPANY IN"/>
    <m/>
    <s v="CONTAINERS"/>
    <s v="TBA"/>
    <m/>
    <m/>
    <m/>
    <d v="2021-01-11T00:00:00"/>
    <d v="2021-01-11T00:00:00"/>
    <s v="2111-21-0029-3"/>
    <n v="700"/>
    <n v="14050"/>
    <n v="40356.800000000003"/>
    <n v="14056"/>
    <n v="21619.74"/>
    <n v="18737.060000000001"/>
    <n v="4323.96"/>
    <n v="54260"/>
    <n v="480.44"/>
    <s v="P"/>
    <m/>
    <m/>
    <s v=" "/>
    <s v="STL"/>
    <s v="YES"/>
    <s v="TBD"/>
    <d v="2024-10-09T00:00:00"/>
    <x v="19"/>
    <m/>
    <m/>
    <m/>
    <m/>
    <m/>
    <m/>
    <m/>
    <m/>
    <m/>
    <m/>
    <m/>
  </r>
  <r>
    <n v="2111"/>
    <n v="246304"/>
    <s v="P"/>
    <s v="Capitalized"/>
    <s v="65 GAL MSW CARTS"/>
    <m/>
    <m/>
    <n v="169"/>
    <m/>
    <n v="0"/>
    <s v="REHRIG PACIFIC COMPANY IN"/>
    <m/>
    <s v="CONTAINERS"/>
    <s v="TBA"/>
    <m/>
    <m/>
    <m/>
    <d v="2021-01-11T00:00:00"/>
    <d v="2021-01-11T00:00:00"/>
    <s v="2111-21-0029-2"/>
    <n v="700"/>
    <n v="14050"/>
    <n v="6786.61"/>
    <n v="14056"/>
    <n v="3635.67"/>
    <n v="3150.9399999999996"/>
    <n v="727.11"/>
    <n v="54260"/>
    <n v="80.790000000000006"/>
    <s v="P"/>
    <m/>
    <m/>
    <s v=" "/>
    <s v="STL"/>
    <s v="YES"/>
    <s v="TBD"/>
    <d v="2024-10-09T00:00:00"/>
    <x v="19"/>
    <m/>
    <m/>
    <m/>
    <m/>
    <m/>
    <m/>
    <m/>
    <m/>
    <m/>
    <m/>
    <m/>
  </r>
  <r>
    <n v="2111"/>
    <n v="246303"/>
    <s v="P"/>
    <s v="Capitalized"/>
    <s v="20 GAL MB CARTS"/>
    <m/>
    <m/>
    <n v="90"/>
    <m/>
    <n v="0"/>
    <s v="REHRIG PACIFIC COMPANY IN"/>
    <m/>
    <s v="CONTAINERS"/>
    <s v="TBA"/>
    <m/>
    <m/>
    <m/>
    <d v="2021-01-11T00:00:00"/>
    <d v="2021-01-11T00:00:00"/>
    <s v="2111-21-0029-1"/>
    <n v="700"/>
    <n v="14050"/>
    <n v="1473.75"/>
    <n v="14056"/>
    <n v="789.48"/>
    <n v="684.27"/>
    <n v="157.86000000000001"/>
    <n v="54260"/>
    <n v="17.54"/>
    <s v="P"/>
    <m/>
    <m/>
    <s v=" "/>
    <s v="STL"/>
    <s v="YES"/>
    <s v="TBD"/>
    <d v="2024-10-09T00:00:00"/>
    <x v="19"/>
    <m/>
    <m/>
    <m/>
    <m/>
    <m/>
    <m/>
    <m/>
    <m/>
    <m/>
    <m/>
    <m/>
  </r>
  <r>
    <n v="2111"/>
    <n v="246034"/>
    <n v="232980"/>
    <s v="Capitalized"/>
    <s v="Construction support services for public recycling services"/>
    <m/>
    <m/>
    <n v="1"/>
    <m/>
    <n v="0"/>
    <m/>
    <m/>
    <s v="LAND IMPROVEMENTS"/>
    <s v="TBA"/>
    <m/>
    <m/>
    <m/>
    <d v="2021-01-01T00:00:00"/>
    <d v="2021-01-01T00:00:00"/>
    <s v="2111-20-0017"/>
    <n v="1000"/>
    <n v="14010"/>
    <n v="256"/>
    <n v="14016"/>
    <n v="95.97"/>
    <n v="160.03"/>
    <n v="19.170000000000002"/>
    <n v="57260"/>
    <n v="2.13"/>
    <s v="P"/>
    <m/>
    <m/>
    <s v=" "/>
    <s v="STL"/>
    <s v="YES"/>
    <s v="TBD"/>
    <d v="2024-10-09T00:00:00"/>
    <x v="19"/>
    <m/>
    <m/>
    <m/>
    <m/>
    <m/>
    <m/>
    <m/>
    <m/>
    <m/>
    <m/>
    <m/>
  </r>
  <r>
    <n v="2111"/>
    <n v="245508"/>
    <n v="102177"/>
    <s v="Capitalized"/>
    <s v="Capital Repair - Engine Truck #181"/>
    <m/>
    <m/>
    <n v="1"/>
    <m/>
    <n v="0"/>
    <s v="PACCAR"/>
    <m/>
    <s v="TRUCKS AND TRAILERS"/>
    <s v="TBA"/>
    <s v="Non-Rolling Stock"/>
    <m/>
    <m/>
    <d v="2020-12-18T00:00:00"/>
    <d v="2020-12-18T00:00:00"/>
    <s v="2111-20-0053-1"/>
    <n v="300"/>
    <n v="14040"/>
    <n v="37361.550000000003"/>
    <n v="14046"/>
    <n v="37361.550000000003"/>
    <n v="0"/>
    <n v="0"/>
    <n v="51260"/>
    <n v="0"/>
    <s v="P"/>
    <m/>
    <m/>
    <s v=" "/>
    <s v="STL"/>
    <s v="YES"/>
    <s v="TBD"/>
    <d v="2024-10-09T00:00:00"/>
    <x v="19"/>
    <m/>
    <m/>
    <m/>
    <m/>
    <m/>
    <m/>
    <m/>
    <m/>
    <m/>
    <m/>
    <m/>
  </r>
  <r>
    <n v="2111"/>
    <n v="245507"/>
    <n v="235097"/>
    <s v="Capitalized"/>
    <s v="Drivecam"/>
    <m/>
    <m/>
    <n v="1"/>
    <m/>
    <n v="0"/>
    <s v="Lytx Inc."/>
    <m/>
    <s v="TRUCKS AND TRAILERS"/>
    <s v="TBA"/>
    <s v="Non-Rolling Stock"/>
    <m/>
    <m/>
    <d v="2020-10-07T00:00:00"/>
    <d v="2020-10-07T00:00:00"/>
    <s v="2111-20-0020-1"/>
    <n v="500"/>
    <n v="14040"/>
    <n v="894.06"/>
    <n v="14046"/>
    <n v="715.23"/>
    <n v="178.82999999999993"/>
    <n v="134.1"/>
    <n v="51260"/>
    <n v="14.9"/>
    <s v="P"/>
    <m/>
    <m/>
    <s v=" "/>
    <s v="STL"/>
    <s v="YES"/>
    <s v="TBD"/>
    <d v="2024-10-09T00:00:00"/>
    <x v="19"/>
    <m/>
    <m/>
    <m/>
    <m/>
    <m/>
    <m/>
    <m/>
    <m/>
    <m/>
    <m/>
    <m/>
  </r>
  <r>
    <n v="2111"/>
    <n v="244752"/>
    <s v="P"/>
    <s v="Capitalized"/>
    <s v="Panasonic Toughbook - SN 0KTTA91183"/>
    <m/>
    <m/>
    <n v="1"/>
    <m/>
    <n v="0"/>
    <s v="CDW"/>
    <m/>
    <s v="HARDWARE AND SOFTWARE"/>
    <s v="TBA"/>
    <m/>
    <m/>
    <m/>
    <d v="2020-12-10T00:00:00"/>
    <d v="2020-12-10T00:00:00"/>
    <s v="2111-20-0050-2"/>
    <n v="200"/>
    <n v="14110"/>
    <n v="6.34"/>
    <n v="14116"/>
    <n v="6.34"/>
    <n v="0"/>
    <n v="0"/>
    <n v="70260"/>
    <n v="0"/>
    <s v="P"/>
    <m/>
    <m/>
    <s v=" "/>
    <s v="STL"/>
    <s v="YES"/>
    <s v="TBD"/>
    <d v="2024-10-09T00:00:00"/>
    <x v="19"/>
    <m/>
    <m/>
    <m/>
    <m/>
    <m/>
    <m/>
    <m/>
    <m/>
    <m/>
    <m/>
    <m/>
  </r>
  <r>
    <n v="2111"/>
    <n v="244751"/>
    <s v="P"/>
    <s v="Capitalized"/>
    <s v="Panasonic Toughbook - SN 0KTTA91183"/>
    <m/>
    <m/>
    <n v="1"/>
    <m/>
    <n v="0"/>
    <s v="CDW"/>
    <m/>
    <s v="HARDWARE AND SOFTWARE"/>
    <s v="TBA"/>
    <m/>
    <m/>
    <m/>
    <d v="2020-12-10T00:00:00"/>
    <d v="2020-12-10T00:00:00"/>
    <s v="2111-20-0050-1"/>
    <n v="200"/>
    <n v="14110"/>
    <n v="2186"/>
    <n v="14116"/>
    <n v="2186"/>
    <n v="0"/>
    <n v="0"/>
    <n v="70260"/>
    <n v="0"/>
    <s v="P"/>
    <m/>
    <m/>
    <s v=" "/>
    <s v="STL"/>
    <s v="YES"/>
    <s v="TBD"/>
    <d v="2024-10-09T00:00:00"/>
    <x v="19"/>
    <m/>
    <m/>
    <m/>
    <m/>
    <m/>
    <m/>
    <m/>
    <m/>
    <m/>
    <m/>
    <m/>
  </r>
  <r>
    <n v="2111"/>
    <n v="244569"/>
    <n v="102177"/>
    <s v="Capitalized"/>
    <s v="Capital Repair - Engine Truck #181"/>
    <m/>
    <m/>
    <n v="1"/>
    <m/>
    <n v="0"/>
    <s v="PAPE MACHINERY"/>
    <m/>
    <s v="TRUCKS AND TRAILERS"/>
    <s v="TBA"/>
    <s v="Non-Rolling Stock"/>
    <m/>
    <m/>
    <d v="2020-12-18T00:00:00"/>
    <d v="2020-12-18T00:00:00"/>
    <s v="2111-20-0053-1"/>
    <n v="300"/>
    <n v="14040"/>
    <n v="37361.550000000003"/>
    <n v="14046"/>
    <n v="37361.550000000003"/>
    <n v="0"/>
    <n v="0"/>
    <n v="51260"/>
    <n v="0"/>
    <s v="P"/>
    <m/>
    <m/>
    <s v=" "/>
    <s v="STL"/>
    <s v="YES"/>
    <s v="TBD"/>
    <d v="2024-10-09T00:00:00"/>
    <x v="19"/>
    <m/>
    <m/>
    <m/>
    <m/>
    <m/>
    <m/>
    <m/>
    <m/>
    <m/>
    <m/>
    <m/>
  </r>
  <r>
    <n v="2111"/>
    <n v="243221"/>
    <n v="232978"/>
    <s v="Capitalized"/>
    <s v="Structural plans and prepare permit application"/>
    <m/>
    <m/>
    <n v="1"/>
    <m/>
    <n v="0"/>
    <s v="SITTS &amp; HILL ENGINEERS IN"/>
    <m/>
    <s v="LAND IMPROVEMENTS"/>
    <s v="TBA"/>
    <m/>
    <m/>
    <m/>
    <d v="2020-05-31T00:00:00"/>
    <d v="2020-05-31T00:00:00"/>
    <s v="2111-20-0015-1"/>
    <n v="1000"/>
    <n v="14010"/>
    <n v="1458.5"/>
    <n v="14016"/>
    <n v="631.95000000000005"/>
    <n v="826.55"/>
    <n v="109.35"/>
    <n v="57260"/>
    <n v="12.15"/>
    <s v="P"/>
    <m/>
    <m/>
    <s v=" "/>
    <s v="STL"/>
    <s v="YES"/>
    <s v="TBD"/>
    <d v="2024-10-09T00:00:00"/>
    <x v="19"/>
    <m/>
    <m/>
    <m/>
    <m/>
    <m/>
    <m/>
    <m/>
    <m/>
    <m/>
    <m/>
    <m/>
  </r>
  <r>
    <n v="2111"/>
    <n v="243220"/>
    <n v="232978"/>
    <s v="Capitalized"/>
    <s v="Engineering Services"/>
    <m/>
    <m/>
    <n v="1"/>
    <m/>
    <n v="0"/>
    <s v="SITTS &amp; HILL ENGINEERS IN"/>
    <m/>
    <s v="LAND IMPROVEMENTS"/>
    <s v="TBA"/>
    <m/>
    <m/>
    <m/>
    <d v="2020-05-31T00:00:00"/>
    <d v="2020-05-31T00:00:00"/>
    <s v="2111-20-0015-1"/>
    <n v="1000"/>
    <n v="14010"/>
    <n v="921.38"/>
    <n v="14016"/>
    <n v="399.29"/>
    <n v="522.08999999999992"/>
    <n v="69.12"/>
    <n v="57260"/>
    <n v="7.68"/>
    <s v="P"/>
    <m/>
    <m/>
    <s v=" "/>
    <s v="STL"/>
    <s v="YES"/>
    <s v="TBD"/>
    <d v="2024-10-09T00:00:00"/>
    <x v="19"/>
    <m/>
    <m/>
    <m/>
    <m/>
    <m/>
    <m/>
    <m/>
    <m/>
    <m/>
    <m/>
    <m/>
  </r>
  <r>
    <n v="2111"/>
    <n v="242811"/>
    <s v="P"/>
    <s v="Capitalized"/>
    <s v="2021 Peterbilt ASL Truck"/>
    <m/>
    <m/>
    <n v="1"/>
    <s v="3BPDLK0X8MF110108"/>
    <n v="2021"/>
    <m/>
    <m/>
    <s v="TRUCKS AND TRAILERS"/>
    <s v="TBA"/>
    <s v="Automated Side Loader"/>
    <m/>
    <m/>
    <d v="2020-12-31T00:00:00"/>
    <d v="2020-12-31T00:00:00"/>
    <s v="2111-20-0024"/>
    <n v="1000"/>
    <n v="14040"/>
    <n v="368546.11"/>
    <n v="14046"/>
    <n v="138204.81"/>
    <n v="230341.3"/>
    <n v="27640.98"/>
    <n v="51260"/>
    <n v="3071.22"/>
    <s v="P"/>
    <m/>
    <n v="866"/>
    <s v=" "/>
    <s v="STL"/>
    <s v="YES"/>
    <s v="TBD"/>
    <d v="2024-10-09T00:00:00"/>
    <x v="19"/>
    <m/>
    <m/>
    <m/>
    <m/>
    <m/>
    <m/>
    <m/>
    <m/>
    <m/>
    <m/>
    <m/>
  </r>
  <r>
    <n v="2111"/>
    <n v="242372"/>
    <s v="P"/>
    <s v="Capitalized"/>
    <s v="170 New Drivecams"/>
    <m/>
    <m/>
    <n v="170"/>
    <m/>
    <n v="0"/>
    <s v="LYTX INC"/>
    <m/>
    <s v="SHOP EQUIPMENT"/>
    <s v="TBA"/>
    <m/>
    <m/>
    <m/>
    <d v="2020-10-05T00:00:00"/>
    <d v="2020-10-05T00:00:00"/>
    <s v="2111-20-0052-1"/>
    <n v="500"/>
    <n v="14070"/>
    <n v="141491.31"/>
    <n v="14076"/>
    <n v="113193.06"/>
    <n v="28298.25"/>
    <n v="21223.71"/>
    <n v="51260"/>
    <n v="2358.19"/>
    <s v="P"/>
    <m/>
    <m/>
    <s v=" "/>
    <s v="STL"/>
    <s v="YES"/>
    <s v="TBD"/>
    <d v="2024-10-09T00:00:00"/>
    <x v="19"/>
    <m/>
    <m/>
    <m/>
    <m/>
    <m/>
    <m/>
    <m/>
    <m/>
    <m/>
    <m/>
    <m/>
  </r>
  <r>
    <n v="2111"/>
    <n v="241359"/>
    <s v="P"/>
    <s v="Capitalized"/>
    <s v="95GL YARDWASTE CARTS"/>
    <m/>
    <m/>
    <n v="702"/>
    <m/>
    <n v="0"/>
    <s v="REHRIG PACIFIC COMPANY IN"/>
    <m/>
    <s v="CONTAINERS"/>
    <s v="TBA"/>
    <m/>
    <m/>
    <m/>
    <d v="2020-10-10T00:00:00"/>
    <d v="2020-10-10T00:00:00"/>
    <s v="2111-20-0047-1"/>
    <n v="700"/>
    <n v="14050"/>
    <n v="31276.53"/>
    <n v="14056"/>
    <n v="17872.32"/>
    <n v="13404.21"/>
    <n v="3351.06"/>
    <n v="54260"/>
    <n v="372.34"/>
    <s v="P"/>
    <m/>
    <m/>
    <s v=" "/>
    <s v="STL"/>
    <s v="YES"/>
    <s v="TBD"/>
    <d v="2024-10-09T00:00:00"/>
    <x v="19"/>
    <m/>
    <m/>
    <m/>
    <m/>
    <m/>
    <m/>
    <m/>
    <m/>
    <m/>
    <m/>
    <m/>
  </r>
  <r>
    <n v="2111"/>
    <n v="241358"/>
    <s v="P"/>
    <s v="Capitalized"/>
    <s v="95GL RECYCLE CARTS"/>
    <m/>
    <m/>
    <n v="702"/>
    <m/>
    <n v="0"/>
    <s v="REHRIG PACIFIC COMPANY IN"/>
    <m/>
    <s v="CONTAINERS"/>
    <s v="TBA"/>
    <m/>
    <m/>
    <m/>
    <d v="2020-10-10T00:00:00"/>
    <d v="2020-10-10T00:00:00"/>
    <s v="2111-20-0047-1"/>
    <n v="700"/>
    <n v="14050"/>
    <n v="31276.53"/>
    <n v="14056"/>
    <n v="17872.32"/>
    <n v="13404.21"/>
    <n v="3351.06"/>
    <n v="54260"/>
    <n v="372.34"/>
    <s v="P"/>
    <m/>
    <m/>
    <s v=" "/>
    <s v="STL"/>
    <s v="YES"/>
    <s v="TBD"/>
    <d v="2024-10-09T00:00:00"/>
    <x v="19"/>
    <m/>
    <m/>
    <m/>
    <m/>
    <m/>
    <m/>
    <m/>
    <m/>
    <m/>
    <m/>
    <m/>
  </r>
  <r>
    <n v="2111"/>
    <n v="241357"/>
    <s v="P"/>
    <s v="Capitalized"/>
    <s v="95GL YARDWASTE CARTS"/>
    <m/>
    <m/>
    <n v="702"/>
    <m/>
    <n v="0"/>
    <s v="REHRIG PACIFIC COMPANY IN"/>
    <m/>
    <s v="CONTAINERS"/>
    <s v="TBA"/>
    <m/>
    <m/>
    <m/>
    <d v="2020-10-10T00:00:00"/>
    <d v="2020-10-10T00:00:00"/>
    <s v="2111-20-0047-1"/>
    <n v="700"/>
    <n v="14050"/>
    <n v="31276.53"/>
    <n v="14056"/>
    <n v="17872.32"/>
    <n v="13404.21"/>
    <n v="3351.06"/>
    <n v="54260"/>
    <n v="372.34"/>
    <s v="P"/>
    <m/>
    <m/>
    <s v=" "/>
    <s v="STL"/>
    <s v="YES"/>
    <s v="TBD"/>
    <d v="2024-10-09T00:00:00"/>
    <x v="19"/>
    <m/>
    <m/>
    <m/>
    <m/>
    <m/>
    <m/>
    <m/>
    <m/>
    <m/>
    <m/>
    <m/>
  </r>
  <r>
    <n v="2111"/>
    <n v="241356"/>
    <s v="P"/>
    <s v="Capitalized"/>
    <s v="95GL RECYCLE CARTS"/>
    <m/>
    <m/>
    <n v="702"/>
    <m/>
    <n v="0"/>
    <s v="REHRIG PACIFIC COMPANY IN"/>
    <m/>
    <s v="CONTAINERS"/>
    <s v="TBA"/>
    <m/>
    <m/>
    <m/>
    <d v="2020-09-16T00:00:00"/>
    <d v="2020-09-16T00:00:00"/>
    <s v="2111-20-0045-1"/>
    <n v="700"/>
    <n v="14050"/>
    <n v="30505.03"/>
    <n v="14056"/>
    <n v="17431.490000000002"/>
    <n v="13073.539999999997"/>
    <n v="3268.44"/>
    <n v="54260"/>
    <n v="363.16"/>
    <s v="P"/>
    <m/>
    <m/>
    <s v=" "/>
    <s v="STL"/>
    <s v="YES"/>
    <s v="TBD"/>
    <d v="2024-10-09T00:00:00"/>
    <x v="19"/>
    <m/>
    <m/>
    <m/>
    <m/>
    <m/>
    <m/>
    <m/>
    <m/>
    <m/>
    <m/>
    <m/>
  </r>
  <r>
    <n v="2111"/>
    <n v="241355"/>
    <s v="P"/>
    <s v="Capitalized"/>
    <s v="95GL YARDWASTE CARTS"/>
    <m/>
    <m/>
    <n v="702"/>
    <m/>
    <n v="0"/>
    <s v="REHRIG PACIFIC COMPANY IN"/>
    <m/>
    <s v="CONTAINERS"/>
    <s v="TBA"/>
    <m/>
    <m/>
    <m/>
    <d v="2020-09-16T00:00:00"/>
    <d v="2020-09-16T00:00:00"/>
    <s v="2111-20-0045-1"/>
    <n v="700"/>
    <n v="14050"/>
    <n v="30505.03"/>
    <n v="14056"/>
    <n v="17431.490000000002"/>
    <n v="13073.539999999997"/>
    <n v="3268.44"/>
    <n v="54260"/>
    <n v="363.16"/>
    <s v="P"/>
    <m/>
    <m/>
    <s v=" "/>
    <s v="STL"/>
    <s v="YES"/>
    <s v="TBD"/>
    <d v="2024-10-09T00:00:00"/>
    <x v="19"/>
    <m/>
    <m/>
    <m/>
    <m/>
    <m/>
    <m/>
    <m/>
    <m/>
    <m/>
    <m/>
    <m/>
  </r>
  <r>
    <n v="2111"/>
    <n v="241354"/>
    <s v="P"/>
    <s v="Capitalized"/>
    <s v="65GL MSW CARTS"/>
    <m/>
    <m/>
    <n v="936"/>
    <m/>
    <n v="0"/>
    <s v="REHRIG PACIFIC COMPANY IN"/>
    <m/>
    <s v="CONTAINERS"/>
    <s v="TBA"/>
    <m/>
    <m/>
    <m/>
    <d v="2020-09-16T00:00:00"/>
    <d v="2020-09-16T00:00:00"/>
    <s v="2111-20-0045-1"/>
    <n v="700"/>
    <n v="14050"/>
    <n v="34912.86"/>
    <n v="14056"/>
    <n v="19950.21"/>
    <n v="14962.650000000001"/>
    <n v="3740.67"/>
    <n v="54260"/>
    <n v="415.63"/>
    <s v="P"/>
    <m/>
    <m/>
    <s v=" "/>
    <s v="STL"/>
    <s v="YES"/>
    <s v="TBD"/>
    <d v="2024-10-09T00:00:00"/>
    <x v="19"/>
    <m/>
    <m/>
    <m/>
    <m/>
    <m/>
    <m/>
    <m/>
    <m/>
    <m/>
    <m/>
    <m/>
  </r>
  <r>
    <n v="2111"/>
    <n v="241232"/>
    <s v="P"/>
    <s v="Capitalized"/>
    <s v="2020 Peterbilt ASL Truck-Chassis"/>
    <m/>
    <m/>
    <n v="1"/>
    <s v="3BPDLK0X9LF108415"/>
    <n v="2020"/>
    <m/>
    <m/>
    <s v="TRUCKS AND TRAILERS"/>
    <s v="TBA"/>
    <s v="Automated Side Loader"/>
    <m/>
    <m/>
    <d v="2020-11-15T00:00:00"/>
    <d v="2020-11-15T00:00:00"/>
    <s v="2111-20-0022"/>
    <n v="1000"/>
    <n v="14040"/>
    <n v="62863.22"/>
    <n v="14046"/>
    <n v="62863.22"/>
    <n v="0"/>
    <n v="4599.75"/>
    <n v="51260"/>
    <n v="0"/>
    <s v="P"/>
    <m/>
    <n v="867"/>
    <s v=" "/>
    <s v="STL"/>
    <s v="YES"/>
    <s v="TBD"/>
    <d v="2024-10-09T00:00:00"/>
    <x v="19"/>
    <m/>
    <m/>
    <m/>
    <m/>
    <m/>
    <m/>
    <m/>
    <m/>
    <m/>
    <m/>
    <m/>
  </r>
  <r>
    <n v="2111"/>
    <n v="240769"/>
    <n v="25363"/>
    <s v="Capitalized"/>
    <s v="rebuild the transmission- 05 RO Truck"/>
    <m/>
    <m/>
    <n v="1"/>
    <m/>
    <n v="0"/>
    <s v="PACIFIC POWER GROUP LLC"/>
    <m/>
    <s v="TRUCKS AND TRAILERS"/>
    <s v="TBA"/>
    <s v="Non-Rolling Stock"/>
    <m/>
    <m/>
    <d v="2020-10-02T00:00:00"/>
    <d v="2020-10-02T00:00:00"/>
    <s v="2111-20-0044-1"/>
    <n v="300"/>
    <n v="14040"/>
    <n v="15474.16"/>
    <n v="14046"/>
    <n v="15474.16"/>
    <n v="0"/>
    <n v="0"/>
    <n v="51260"/>
    <n v="0"/>
    <s v="P"/>
    <m/>
    <m/>
    <s v=" "/>
    <s v="STL"/>
    <s v="YES"/>
    <s v="TBD"/>
    <d v="2024-10-09T00:00:00"/>
    <x v="19"/>
    <m/>
    <m/>
    <m/>
    <m/>
    <m/>
    <m/>
    <m/>
    <m/>
    <m/>
    <m/>
    <m/>
  </r>
  <r>
    <n v="2111"/>
    <n v="240722"/>
    <n v="240721"/>
    <s v="Capitalized"/>
    <s v="Docking Station: Serial #2TK017Z31M"/>
    <m/>
    <m/>
    <n v="1"/>
    <m/>
    <n v="0"/>
    <s v="CDW"/>
    <m/>
    <s v="HARDWARE AND SOFTWARE"/>
    <s v="TBA"/>
    <m/>
    <m/>
    <m/>
    <d v="2020-10-20T00:00:00"/>
    <d v="2020-10-20T00:00:00"/>
    <s v="2111-20-0049-1"/>
    <n v="300"/>
    <n v="14110"/>
    <n v="268.06"/>
    <n v="14116"/>
    <n v="268.06"/>
    <n v="0"/>
    <n v="0"/>
    <n v="70260"/>
    <n v="0"/>
    <s v="P"/>
    <m/>
    <m/>
    <s v=" "/>
    <s v="STL"/>
    <s v="YES"/>
    <s v="TBD"/>
    <d v="2024-10-09T00:00:00"/>
    <x v="19"/>
    <m/>
    <m/>
    <m/>
    <m/>
    <m/>
    <m/>
    <m/>
    <m/>
    <m/>
    <m/>
    <m/>
  </r>
  <r>
    <n v="2111"/>
    <n v="240721"/>
    <s v="P"/>
    <s v="Capitalized"/>
    <s v="Office Mgr Laptop: Serial #5CG039D8NQ"/>
    <m/>
    <m/>
    <n v="1"/>
    <m/>
    <n v="0"/>
    <s v="CDW"/>
    <m/>
    <s v="HARDWARE AND SOFTWARE"/>
    <s v="TBA"/>
    <m/>
    <m/>
    <m/>
    <d v="2020-10-20T00:00:00"/>
    <d v="2020-10-20T00:00:00"/>
    <s v="2111-20-0049-1"/>
    <n v="300"/>
    <n v="14110"/>
    <n v="1282.6600000000001"/>
    <n v="14116"/>
    <n v="1282.6600000000001"/>
    <n v="0"/>
    <n v="0"/>
    <n v="70260"/>
    <n v="0"/>
    <s v="P"/>
    <m/>
    <m/>
    <s v=" "/>
    <s v="STL"/>
    <s v="YES"/>
    <s v="TBD"/>
    <d v="2024-10-09T00:00:00"/>
    <x v="19"/>
    <m/>
    <m/>
    <m/>
    <m/>
    <m/>
    <m/>
    <m/>
    <m/>
    <m/>
    <m/>
    <m/>
  </r>
  <r>
    <n v="2111"/>
    <n v="240720"/>
    <s v="P"/>
    <s v="Capitalized"/>
    <s v="New laptop for Operations Mgr - Serial 5CG0397F5S"/>
    <m/>
    <m/>
    <n v="1"/>
    <m/>
    <n v="0"/>
    <s v="CDW"/>
    <m/>
    <s v="HARDWARE AND SOFTWARE"/>
    <s v="TBA"/>
    <m/>
    <m/>
    <m/>
    <d v="2020-10-19T00:00:00"/>
    <d v="2020-10-19T00:00:00"/>
    <s v="2111-20-0048-1"/>
    <n v="300"/>
    <n v="14110"/>
    <n v="1187.67"/>
    <n v="14116"/>
    <n v="1187.67"/>
    <n v="0"/>
    <n v="0"/>
    <n v="70260"/>
    <n v="0"/>
    <s v="P"/>
    <m/>
    <m/>
    <s v=" "/>
    <s v="STL"/>
    <s v="YES"/>
    <s v="TBD"/>
    <d v="2024-10-09T00:00:00"/>
    <x v="19"/>
    <m/>
    <m/>
    <m/>
    <m/>
    <m/>
    <m/>
    <m/>
    <m/>
    <m/>
    <m/>
    <m/>
  </r>
  <r>
    <n v="2111"/>
    <n v="240719"/>
    <n v="240720"/>
    <s v="Capitalized"/>
    <s v="Docking Station: Serial #2TK015Z7YG"/>
    <m/>
    <m/>
    <n v="1"/>
    <m/>
    <n v="0"/>
    <s v="CDW"/>
    <m/>
    <s v="HARDWARE AND SOFTWARE"/>
    <s v="TBA"/>
    <m/>
    <m/>
    <m/>
    <d v="2020-10-19T00:00:00"/>
    <d v="2020-10-19T00:00:00"/>
    <s v="2111-20-0048-1"/>
    <n v="300"/>
    <n v="14110"/>
    <n v="375.84"/>
    <n v="14116"/>
    <n v="375.84"/>
    <n v="0"/>
    <n v="0"/>
    <n v="70260"/>
    <n v="0"/>
    <s v="P"/>
    <m/>
    <m/>
    <s v=" "/>
    <s v="STL"/>
    <s v="YES"/>
    <s v="TBD"/>
    <d v="2024-10-09T00:00:00"/>
    <x v="19"/>
    <m/>
    <m/>
    <m/>
    <m/>
    <m/>
    <m/>
    <m/>
    <m/>
    <m/>
    <m/>
    <m/>
  </r>
  <r>
    <n v="2111"/>
    <n v="240650"/>
    <n v="235097"/>
    <s v="Capitalized"/>
    <s v="LICENSE FOR NEW ASL PETERBILT/LABRIE 31 YD"/>
    <m/>
    <m/>
    <n v="1"/>
    <m/>
    <n v="0"/>
    <s v="WA DOL LIC &amp; REG 31150"/>
    <m/>
    <s v="TRUCKS AND TRAILERS"/>
    <s v="TBA"/>
    <s v="Non-Rolling Stock"/>
    <m/>
    <m/>
    <d v="2020-10-07T00:00:00"/>
    <d v="2020-10-07T00:00:00"/>
    <s v="2111-20-0020-1"/>
    <n v="1000"/>
    <n v="14040"/>
    <n v="1071.72"/>
    <n v="14046"/>
    <n v="428.67"/>
    <n v="643.04999999999995"/>
    <n v="80.37"/>
    <n v="51260"/>
    <n v="8.93"/>
    <s v="P"/>
    <m/>
    <m/>
    <s v=" "/>
    <s v="STL"/>
    <s v="YES"/>
    <s v="TBD"/>
    <d v="2024-10-09T00:00:00"/>
    <x v="19"/>
    <m/>
    <m/>
    <m/>
    <m/>
    <m/>
    <m/>
    <m/>
    <m/>
    <m/>
    <m/>
    <m/>
  </r>
  <r>
    <n v="2111"/>
    <n v="240360"/>
    <s v="P"/>
    <s v="Capitalized"/>
    <s v="GeoTab Roll Out - (185 units)"/>
    <m/>
    <m/>
    <n v="185"/>
    <m/>
    <n v="0"/>
    <s v="ASSURED TELEMATICS INC"/>
    <m/>
    <s v="HARDWARE AND SOFTWARE"/>
    <s v="TBA"/>
    <m/>
    <m/>
    <m/>
    <d v="2020-08-17T00:00:00"/>
    <d v="2020-08-17T00:00:00"/>
    <s v="2111-20-0043-1"/>
    <n v="100"/>
    <n v="14110"/>
    <n v="17843.14"/>
    <n v="14116"/>
    <n v="17843.14"/>
    <n v="0"/>
    <n v="0"/>
    <n v="70260"/>
    <n v="0"/>
    <s v="P"/>
    <m/>
    <m/>
    <s v=" "/>
    <s v="STL"/>
    <s v="YES"/>
    <s v="TBD"/>
    <d v="2024-10-09T00:00:00"/>
    <x v="19"/>
    <m/>
    <m/>
    <m/>
    <m/>
    <m/>
    <m/>
    <m/>
    <m/>
    <m/>
    <m/>
    <m/>
  </r>
  <r>
    <n v="2111"/>
    <n v="240340"/>
    <s v="P"/>
    <s v="Capitalized"/>
    <s v="65 Gal YW Carts"/>
    <m/>
    <m/>
    <n v="398"/>
    <m/>
    <n v="0"/>
    <s v="CITY OF RUSTON"/>
    <m/>
    <s v="CONTAINERS"/>
    <s v="TBA"/>
    <m/>
    <m/>
    <m/>
    <d v="2020-10-01T00:00:00"/>
    <d v="2020-10-01T00:00:00"/>
    <s v="2111-20-0051-1"/>
    <n v="700"/>
    <n v="14050"/>
    <n v="2652.93"/>
    <n v="14056"/>
    <n v="1515.94"/>
    <n v="1136.9899999999998"/>
    <n v="284.22000000000003"/>
    <n v="54260"/>
    <n v="31.58"/>
    <s v="P"/>
    <m/>
    <m/>
    <s v=" "/>
    <s v="STL"/>
    <s v="YES"/>
    <s v="TBD"/>
    <d v="2024-10-09T00:00:00"/>
    <x v="19"/>
    <m/>
    <m/>
    <m/>
    <m/>
    <m/>
    <m/>
    <m/>
    <m/>
    <m/>
    <m/>
    <m/>
  </r>
  <r>
    <n v="2111"/>
    <n v="240339"/>
    <s v="P"/>
    <s v="Capitalized"/>
    <s v="65 Gal Recy Carts"/>
    <m/>
    <m/>
    <n v="25"/>
    <m/>
    <n v="0"/>
    <s v="CITY OF RUSTON"/>
    <m/>
    <s v="CONTAINERS"/>
    <s v="TBA"/>
    <m/>
    <m/>
    <m/>
    <d v="2020-10-01T00:00:00"/>
    <d v="2020-10-01T00:00:00"/>
    <s v="2111-20-0051-1"/>
    <n v="700"/>
    <n v="14050"/>
    <n v="166.64"/>
    <n v="14056"/>
    <n v="95.2"/>
    <n v="71.439999999999984"/>
    <n v="17.82"/>
    <n v="54260"/>
    <n v="1.98"/>
    <s v="P"/>
    <m/>
    <m/>
    <s v=" "/>
    <s v="STL"/>
    <s v="YES"/>
    <s v="TBD"/>
    <d v="2024-10-09T00:00:00"/>
    <x v="19"/>
    <m/>
    <m/>
    <m/>
    <m/>
    <m/>
    <m/>
    <m/>
    <m/>
    <m/>
    <m/>
    <m/>
  </r>
  <r>
    <n v="2111"/>
    <n v="240338"/>
    <s v="P"/>
    <s v="Capitalized"/>
    <s v="35 Gal MSW Carts"/>
    <m/>
    <m/>
    <n v="340"/>
    <m/>
    <n v="0"/>
    <s v="CITY OF RUSTON"/>
    <m/>
    <s v="CONTAINERS"/>
    <s v="TBA"/>
    <m/>
    <m/>
    <m/>
    <d v="2020-10-01T00:00:00"/>
    <d v="2020-10-01T00:00:00"/>
    <s v="2111-20-0051-1"/>
    <n v="700"/>
    <n v="14050"/>
    <n v="2266.3200000000002"/>
    <n v="14056"/>
    <n v="1295.04"/>
    <n v="971.2800000000002"/>
    <n v="242.82"/>
    <n v="54260"/>
    <n v="26.98"/>
    <s v="P"/>
    <m/>
    <m/>
    <s v=" "/>
    <s v="STL"/>
    <s v="YES"/>
    <s v="TBD"/>
    <d v="2024-10-09T00:00:00"/>
    <x v="19"/>
    <m/>
    <m/>
    <m/>
    <m/>
    <m/>
    <m/>
    <m/>
    <m/>
    <m/>
    <m/>
    <m/>
  </r>
  <r>
    <n v="2111"/>
    <n v="240337"/>
    <s v="P"/>
    <s v="Capitalized"/>
    <s v="20 Gal MSW Carts"/>
    <m/>
    <m/>
    <n v="8"/>
    <m/>
    <n v="0"/>
    <s v="CITY OF RUSTON"/>
    <m/>
    <s v="CONTAINERS"/>
    <s v="TBA"/>
    <m/>
    <m/>
    <m/>
    <d v="2020-10-01T00:00:00"/>
    <d v="2020-10-01T00:00:00"/>
    <s v="2111-20-0051-1"/>
    <n v="700"/>
    <n v="14050"/>
    <n v="53.33"/>
    <n v="14056"/>
    <n v="30.44"/>
    <n v="22.889999999999997"/>
    <n v="5.67"/>
    <n v="54260"/>
    <n v="0.63"/>
    <s v="P"/>
    <m/>
    <m/>
    <s v=" "/>
    <s v="STL"/>
    <s v="YES"/>
    <s v="TBD"/>
    <d v="2024-10-09T00:00:00"/>
    <x v="19"/>
    <m/>
    <m/>
    <m/>
    <m/>
    <m/>
    <m/>
    <m/>
    <m/>
    <m/>
    <m/>
    <m/>
  </r>
  <r>
    <n v="2111"/>
    <n v="240336"/>
    <s v="P"/>
    <s v="Capitalized"/>
    <s v="96 Gal MSW Carts"/>
    <m/>
    <m/>
    <n v="27"/>
    <m/>
    <n v="0"/>
    <s v="CITY OF RUSTON"/>
    <m/>
    <s v="CONTAINERS"/>
    <s v="TBA"/>
    <m/>
    <m/>
    <m/>
    <d v="2020-10-01T00:00:00"/>
    <d v="2020-10-01T00:00:00"/>
    <s v="2111-20-0051-1"/>
    <n v="700"/>
    <n v="14050"/>
    <n v="179.97"/>
    <n v="14056"/>
    <n v="102.82"/>
    <n v="77.150000000000006"/>
    <n v="19.260000000000002"/>
    <n v="54260"/>
    <n v="2.14"/>
    <s v="P"/>
    <m/>
    <m/>
    <s v=" "/>
    <s v="STL"/>
    <s v="YES"/>
    <s v="TBD"/>
    <d v="2024-10-09T00:00:00"/>
    <x v="19"/>
    <m/>
    <m/>
    <m/>
    <m/>
    <m/>
    <m/>
    <m/>
    <m/>
    <m/>
    <m/>
    <m/>
  </r>
  <r>
    <n v="2111"/>
    <n v="240335"/>
    <s v="P"/>
    <s v="Capitalized"/>
    <s v="65 Gal Recy Carts"/>
    <m/>
    <m/>
    <n v="405"/>
    <m/>
    <n v="0"/>
    <s v="CITY OF RUSTON"/>
    <m/>
    <s v="CONTAINERS"/>
    <s v="TBA"/>
    <m/>
    <m/>
    <m/>
    <d v="2020-10-01T00:00:00"/>
    <d v="2020-10-01T00:00:00"/>
    <s v="2111-20-0051-1"/>
    <n v="700"/>
    <n v="14050"/>
    <n v="2699.59"/>
    <n v="14056"/>
    <n v="1542.65"/>
    <n v="1156.94"/>
    <n v="289.26"/>
    <n v="54260"/>
    <n v="32.14"/>
    <s v="P"/>
    <m/>
    <m/>
    <s v=" "/>
    <s v="STL"/>
    <s v="YES"/>
    <s v="TBD"/>
    <d v="2024-10-09T00:00:00"/>
    <x v="19"/>
    <m/>
    <m/>
    <m/>
    <m/>
    <m/>
    <m/>
    <m/>
    <m/>
    <m/>
    <m/>
    <m/>
  </r>
  <r>
    <n v="2111"/>
    <n v="240334"/>
    <s v="P"/>
    <s v="Capitalized"/>
    <s v="65 Gal MSW Carts"/>
    <m/>
    <m/>
    <n v="116"/>
    <m/>
    <n v="0"/>
    <s v="CITY OF RUSTON"/>
    <m/>
    <s v="CONTAINERS"/>
    <s v="TBA"/>
    <m/>
    <m/>
    <m/>
    <d v="2020-10-01T00:00:00"/>
    <d v="2020-10-01T00:00:00"/>
    <s v="2111-20-0051-1"/>
    <n v="700"/>
    <n v="14050"/>
    <n v="773.22"/>
    <n v="14056"/>
    <n v="441.86"/>
    <n v="331.36"/>
    <n v="82.89"/>
    <n v="54260"/>
    <n v="9.2100000000000009"/>
    <s v="P"/>
    <m/>
    <m/>
    <s v=" "/>
    <s v="STL"/>
    <s v="YES"/>
    <s v="TBD"/>
    <d v="2024-10-09T00:00:00"/>
    <x v="19"/>
    <m/>
    <m/>
    <m/>
    <m/>
    <m/>
    <m/>
    <m/>
    <m/>
    <m/>
    <m/>
    <m/>
  </r>
  <r>
    <n v="2111"/>
    <n v="240062"/>
    <s v="P"/>
    <s v="Capitalized"/>
    <s v="2YD REARLOAD CONTAINER WITH CAGE"/>
    <m/>
    <m/>
    <n v="10"/>
    <m/>
    <n v="0"/>
    <s v="CAPITAL INDUSTRIES INC"/>
    <m/>
    <s v="CONTAINERS"/>
    <s v="TBA"/>
    <m/>
    <s v="2 YD"/>
    <s v="FEL/REL/SL Metal"/>
    <d v="2020-08-26T00:00:00"/>
    <d v="2020-08-26T00:00:00"/>
    <s v="2111-20-0035-6"/>
    <n v="1200"/>
    <n v="14050"/>
    <n v="6484.1"/>
    <n v="14056"/>
    <n v="2206.4"/>
    <n v="4277.7000000000007"/>
    <n v="405.27"/>
    <n v="54260"/>
    <n v="45.03"/>
    <s v="P"/>
    <m/>
    <m/>
    <s v=" "/>
    <s v="STL"/>
    <s v="YES"/>
    <s v="TBD"/>
    <d v="2024-10-09T00:00:00"/>
    <x v="19"/>
    <m/>
    <m/>
    <m/>
    <m/>
    <m/>
    <m/>
    <m/>
    <m/>
    <m/>
    <m/>
    <m/>
  </r>
  <r>
    <n v="2111"/>
    <n v="240061"/>
    <s v="P"/>
    <s v="Capitalized"/>
    <s v="6YD FRONTLOAD RECYCLE ON SKIDS"/>
    <m/>
    <m/>
    <n v="1"/>
    <m/>
    <n v="0"/>
    <s v="CAPITAL INDUSTRIES INC"/>
    <m/>
    <s v="CONTAINERS"/>
    <s v="TBA"/>
    <m/>
    <s v="6 YD"/>
    <s v="FEL/REL/SL Metal"/>
    <d v="2020-08-25T00:00:00"/>
    <d v="2020-08-25T00:00:00"/>
    <s v="2111-20-0035-4"/>
    <n v="1200"/>
    <n v="14050"/>
    <n v="983.61"/>
    <n v="14056"/>
    <n v="334.64"/>
    <n v="648.97"/>
    <n v="61.47"/>
    <n v="54260"/>
    <n v="6.83"/>
    <s v="P"/>
    <m/>
    <m/>
    <s v=" "/>
    <s v="STL"/>
    <s v="YES"/>
    <s v="TBD"/>
    <d v="2024-10-09T00:00:00"/>
    <x v="19"/>
    <m/>
    <m/>
    <m/>
    <m/>
    <m/>
    <m/>
    <m/>
    <m/>
    <m/>
    <m/>
    <m/>
  </r>
  <r>
    <n v="2111"/>
    <n v="240060"/>
    <s v="P"/>
    <s v="Capitalized"/>
    <s v="6YD FEL CATHEDRAL CONTAINER"/>
    <m/>
    <m/>
    <n v="7"/>
    <m/>
    <n v="0"/>
    <s v="CAPITAL INDUSTRIES INC"/>
    <m/>
    <s v="CONTAINERS"/>
    <s v="TBA"/>
    <m/>
    <s v="6 YD"/>
    <s v="FEL/REL/SL Metal"/>
    <d v="2020-08-12T00:00:00"/>
    <d v="2020-08-12T00:00:00"/>
    <s v="2111-20-0035-3"/>
    <n v="1200"/>
    <n v="14050"/>
    <n v="6462.12"/>
    <n v="14056"/>
    <n v="2243.83"/>
    <n v="4218.29"/>
    <n v="403.92"/>
    <n v="54260"/>
    <n v="44.88"/>
    <s v="P"/>
    <m/>
    <m/>
    <s v=" "/>
    <s v="STL"/>
    <s v="YES"/>
    <s v="TBD"/>
    <d v="2024-10-09T00:00:00"/>
    <x v="19"/>
    <m/>
    <m/>
    <m/>
    <m/>
    <m/>
    <m/>
    <m/>
    <m/>
    <m/>
    <m/>
    <m/>
  </r>
  <r>
    <n v="2111"/>
    <n v="239905"/>
    <s v="P"/>
    <s v="Capitalized"/>
    <s v="2YD FEL  FRONTLOAD RECYCLE CONTAINER"/>
    <m/>
    <m/>
    <n v="15"/>
    <m/>
    <n v="0"/>
    <s v="CAPITAL INDUSTRIES INC"/>
    <m/>
    <s v="CONTAINERS"/>
    <s v="TBA"/>
    <m/>
    <s v="2 YD"/>
    <s v="FEL/REL/SL Metal"/>
    <d v="2020-08-20T00:00:00"/>
    <d v="2020-08-20T00:00:00"/>
    <s v="2111-20-0035-5"/>
    <n v="1200"/>
    <n v="14050"/>
    <n v="9149.18"/>
    <n v="14056"/>
    <n v="3113.28"/>
    <n v="6035.9"/>
    <n v="571.86"/>
    <n v="54260"/>
    <n v="63.54"/>
    <s v="P"/>
    <m/>
    <m/>
    <s v=" "/>
    <s v="STL"/>
    <s v="YES"/>
    <s v="TBD"/>
    <d v="2024-10-09T00:00:00"/>
    <x v="19"/>
    <m/>
    <m/>
    <m/>
    <m/>
    <m/>
    <m/>
    <m/>
    <m/>
    <m/>
    <m/>
    <m/>
  </r>
  <r>
    <n v="2111"/>
    <n v="239904"/>
    <s v="P"/>
    <s v="Capitalized"/>
    <s v="6YD FEL FRONTLOAD RECYCLE ON SKIDS"/>
    <m/>
    <m/>
    <n v="9"/>
    <m/>
    <n v="0"/>
    <s v="CAPITAL INDUSTRIES INC"/>
    <m/>
    <s v="CONTAINERS"/>
    <s v="TBA"/>
    <m/>
    <s v="6 YD"/>
    <s v="FEL/REL/SL Metal"/>
    <d v="2020-08-25T00:00:00"/>
    <d v="2020-08-25T00:00:00"/>
    <s v="2111-20-0035-4"/>
    <n v="1200"/>
    <n v="14050"/>
    <n v="8852.4500000000007"/>
    <n v="14056"/>
    <n v="3012.35"/>
    <n v="5840.1"/>
    <n v="553.32000000000005"/>
    <n v="54260"/>
    <n v="61.48"/>
    <s v="P"/>
    <m/>
    <m/>
    <s v=" "/>
    <s v="STL"/>
    <s v="YES"/>
    <s v="TBD"/>
    <d v="2024-10-09T00:00:00"/>
    <x v="19"/>
    <m/>
    <m/>
    <m/>
    <m/>
    <m/>
    <m/>
    <m/>
    <m/>
    <m/>
    <m/>
    <m/>
  </r>
  <r>
    <n v="2111"/>
    <n v="239903"/>
    <s v="P"/>
    <s v="Capitalized"/>
    <s v="6YD FEL CATHEDRAL CONTAINER"/>
    <m/>
    <m/>
    <n v="8"/>
    <m/>
    <n v="0"/>
    <s v="CAPITAL INDUSTRIES INC"/>
    <m/>
    <s v="CONTAINERS"/>
    <s v="TBA"/>
    <m/>
    <s v="6 YD"/>
    <s v="FEL/REL/SL Metal"/>
    <d v="2020-08-12T00:00:00"/>
    <d v="2020-08-12T00:00:00"/>
    <s v="2111-20-0035-3"/>
    <n v="1200"/>
    <n v="14050"/>
    <n v="7385.28"/>
    <n v="14056"/>
    <n v="2564.36"/>
    <n v="4820.92"/>
    <n v="461.61"/>
    <n v="54260"/>
    <n v="51.29"/>
    <s v="P"/>
    <m/>
    <m/>
    <s v=" "/>
    <s v="STL"/>
    <s v="YES"/>
    <s v="TBD"/>
    <d v="2024-10-09T00:00:00"/>
    <x v="19"/>
    <m/>
    <m/>
    <m/>
    <m/>
    <m/>
    <m/>
    <m/>
    <m/>
    <m/>
    <m/>
    <m/>
  </r>
  <r>
    <n v="2111"/>
    <n v="239770"/>
    <n v="232978"/>
    <s v="Capitalized"/>
    <s v="FIFE FUELING ISLAND"/>
    <m/>
    <m/>
    <n v="1"/>
    <m/>
    <n v="0"/>
    <s v="SITTS &amp; HILL ENGINEERS IN"/>
    <m/>
    <s v="LAND IMPROVEMENTS"/>
    <s v="TBA"/>
    <m/>
    <m/>
    <m/>
    <d v="2020-05-31T00:00:00"/>
    <d v="2020-05-31T00:00:00"/>
    <s v="2111-20-0015-1"/>
    <n v="1000"/>
    <n v="14010"/>
    <n v="18885.75"/>
    <n v="14016"/>
    <n v="8183.83"/>
    <n v="10701.92"/>
    <n v="1416.42"/>
    <n v="57260"/>
    <n v="157.38"/>
    <s v="P"/>
    <m/>
    <m/>
    <s v=" "/>
    <s v="STL"/>
    <s v="YES"/>
    <s v="TBD"/>
    <d v="2024-10-09T00:00:00"/>
    <x v="19"/>
    <m/>
    <m/>
    <m/>
    <m/>
    <m/>
    <m/>
    <m/>
    <m/>
    <m/>
    <m/>
    <m/>
  </r>
  <r>
    <n v="2111"/>
    <n v="239769"/>
    <n v="232978"/>
    <s v="Capitalized"/>
    <s v="FUEL ISLAND"/>
    <m/>
    <m/>
    <n v="1"/>
    <m/>
    <n v="0"/>
    <s v="SITTS &amp; HILL ENGINEERS IN"/>
    <m/>
    <s v="LAND IMPROVEMENTS"/>
    <s v="TBA"/>
    <m/>
    <m/>
    <m/>
    <d v="2020-05-31T00:00:00"/>
    <d v="2020-05-31T00:00:00"/>
    <s v="2111-20-0015-1"/>
    <n v="1000"/>
    <n v="14010"/>
    <n v="4396.5"/>
    <n v="14016"/>
    <n v="1905.17"/>
    <n v="2491.33"/>
    <n v="329.76"/>
    <n v="57260"/>
    <n v="36.64"/>
    <s v="P"/>
    <m/>
    <m/>
    <s v=" "/>
    <s v="STL"/>
    <s v="YES"/>
    <s v="TBD"/>
    <d v="2024-10-09T00:00:00"/>
    <x v="19"/>
    <m/>
    <m/>
    <m/>
    <m/>
    <m/>
    <m/>
    <m/>
    <m/>
    <m/>
    <m/>
    <m/>
  </r>
  <r>
    <n v="2111"/>
    <n v="239583"/>
    <s v="P"/>
    <s v="Capitalized"/>
    <s v="Fife TS Desktop: HP ProDesk 600-MXL017125F"/>
    <m/>
    <m/>
    <n v="1"/>
    <m/>
    <n v="0"/>
    <s v="CDW"/>
    <m/>
    <s v="HARDWARE AND SOFTWARE"/>
    <s v="TBA"/>
    <m/>
    <m/>
    <m/>
    <d v="2020-09-11T00:00:00"/>
    <d v="2020-09-11T00:00:00"/>
    <s v="2111-20-0046-1"/>
    <n v="300"/>
    <n v="14110"/>
    <n v="849.57"/>
    <n v="14116"/>
    <n v="849.57"/>
    <n v="0"/>
    <n v="0"/>
    <n v="70260"/>
    <n v="0"/>
    <s v="P"/>
    <m/>
    <m/>
    <s v=" "/>
    <s v="STL"/>
    <s v="YES"/>
    <s v="TBD"/>
    <d v="2024-10-09T00:00:00"/>
    <x v="19"/>
    <m/>
    <m/>
    <m/>
    <m/>
    <m/>
    <m/>
    <m/>
    <m/>
    <m/>
    <m/>
    <m/>
  </r>
  <r>
    <n v="2111"/>
    <n v="238419"/>
    <s v="P"/>
    <s v="Capitalized"/>
    <s v="4 YARD FRONTLOAD CONTAINER"/>
    <m/>
    <m/>
    <n v="10"/>
    <m/>
    <n v="0"/>
    <s v="CAPITAL INDUSTRIES INC"/>
    <m/>
    <s v="CONTAINERS"/>
    <s v="TBA"/>
    <m/>
    <s v="4 YD"/>
    <s v="FEL/REL/SL Metal"/>
    <d v="2020-08-19T00:00:00"/>
    <d v="2020-08-19T00:00:00"/>
    <s v="2111-20-0035-2"/>
    <n v="1200"/>
    <n v="14050"/>
    <n v="7308.35"/>
    <n v="14056"/>
    <n v="2486.85"/>
    <n v="4821.5"/>
    <n v="456.75"/>
    <n v="54260"/>
    <n v="50.75"/>
    <s v="P"/>
    <m/>
    <m/>
    <s v=" "/>
    <s v="STL"/>
    <s v="YES"/>
    <s v="TBD"/>
    <d v="2024-10-09T00:00:00"/>
    <x v="19"/>
    <m/>
    <m/>
    <m/>
    <m/>
    <m/>
    <m/>
    <m/>
    <m/>
    <m/>
    <m/>
    <m/>
  </r>
  <r>
    <n v="2111"/>
    <n v="238418"/>
    <s v="P"/>
    <s v="Capitalized"/>
    <s v="2YD FEL METAL CONTAINER - ORANGE"/>
    <m/>
    <m/>
    <n v="10"/>
    <m/>
    <n v="0"/>
    <s v="CAPITAL INDUSTRIES INC"/>
    <m/>
    <s v="CONTAINERS"/>
    <s v="TBA"/>
    <m/>
    <s v="2 YD"/>
    <s v="FEL/REL/SL Metal"/>
    <d v="2020-08-19T00:00:00"/>
    <d v="2020-08-19T00:00:00"/>
    <s v="2111-20-0035-1"/>
    <n v="1200"/>
    <n v="14050"/>
    <n v="5769.75"/>
    <n v="14056"/>
    <n v="1963.33"/>
    <n v="3806.42"/>
    <n v="360.63"/>
    <n v="54260"/>
    <n v="40.07"/>
    <s v="P"/>
    <m/>
    <m/>
    <s v=" "/>
    <s v="STL"/>
    <s v="YES"/>
    <s v="TBD"/>
    <d v="2024-10-09T00:00:00"/>
    <x v="19"/>
    <m/>
    <m/>
    <m/>
    <m/>
    <m/>
    <m/>
    <m/>
    <m/>
    <m/>
    <m/>
    <m/>
  </r>
  <r>
    <n v="2111"/>
    <n v="236976"/>
    <n v="235803"/>
    <s v="Capitalized"/>
    <s v="HP PROBOOK 8GB RAM - SN: 5CG015D9H2"/>
    <m/>
    <m/>
    <n v="1"/>
    <m/>
    <n v="0"/>
    <s v="CDW"/>
    <m/>
    <s v="HARDWARE AND SOFTWARE"/>
    <s v="TBA"/>
    <m/>
    <m/>
    <m/>
    <d v="2020-07-31T00:00:00"/>
    <d v="2020-07-31T00:00:00"/>
    <s v="2111-20-0037-1"/>
    <n v="300"/>
    <n v="14110"/>
    <n v="42.15"/>
    <n v="14116"/>
    <n v="42.15"/>
    <n v="0"/>
    <n v="0"/>
    <n v="70260"/>
    <n v="0"/>
    <s v="P"/>
    <m/>
    <m/>
    <s v=" "/>
    <s v="STL"/>
    <s v="YES"/>
    <s v="TBD"/>
    <d v="2024-10-09T00:00:00"/>
    <x v="19"/>
    <m/>
    <m/>
    <m/>
    <m/>
    <m/>
    <m/>
    <m/>
    <m/>
    <m/>
    <m/>
    <m/>
  </r>
  <r>
    <n v="2111"/>
    <n v="236931"/>
    <s v="P"/>
    <s v="Capitalized"/>
    <s v="95 GAL YARD WASTE CARTS"/>
    <m/>
    <m/>
    <n v="636"/>
    <m/>
    <n v="0"/>
    <s v="WASTEQUIP TOTER"/>
    <m/>
    <s v="CONTAINERS"/>
    <s v="TBA"/>
    <m/>
    <m/>
    <m/>
    <d v="2020-07-17T00:00:00"/>
    <d v="2020-07-17T00:00:00"/>
    <s v="2111-20-0034-1"/>
    <n v="700"/>
    <n v="14050"/>
    <n v="24135.23"/>
    <n v="14056"/>
    <n v="14366.17"/>
    <n v="9769.06"/>
    <n v="2585.88"/>
    <n v="54260"/>
    <n v="287.32"/>
    <s v="P"/>
    <m/>
    <m/>
    <s v=" "/>
    <s v="STL"/>
    <s v="YES"/>
    <s v="TBD"/>
    <d v="2024-10-09T00:00:00"/>
    <x v="19"/>
    <m/>
    <m/>
    <m/>
    <m/>
    <m/>
    <m/>
    <m/>
    <m/>
    <m/>
    <m/>
    <m/>
  </r>
  <r>
    <n v="2111"/>
    <n v="236709"/>
    <s v="P"/>
    <s v="Capitalized"/>
    <s v="95 GAL YARD WASTE CARTS"/>
    <m/>
    <m/>
    <n v="351"/>
    <m/>
    <n v="0"/>
    <s v="REHRIG PACIFIC COMPANY IN"/>
    <m/>
    <s v="CONTAINERS"/>
    <s v="TBA"/>
    <m/>
    <m/>
    <m/>
    <d v="2020-08-10T00:00:00"/>
    <d v="2020-08-10T00:00:00"/>
    <s v="2111-20-0038-1"/>
    <n v="700"/>
    <n v="14050"/>
    <n v="15098.22"/>
    <n v="14056"/>
    <n v="8987.0300000000007"/>
    <n v="6111.1899999999987"/>
    <n v="1617.66"/>
    <n v="54260"/>
    <n v="179.74"/>
    <s v="P"/>
    <m/>
    <m/>
    <s v=" "/>
    <s v="STL"/>
    <s v="YES"/>
    <s v="TBD"/>
    <d v="2024-10-09T00:00:00"/>
    <x v="19"/>
    <m/>
    <m/>
    <m/>
    <m/>
    <m/>
    <m/>
    <m/>
    <m/>
    <m/>
    <m/>
    <m/>
  </r>
  <r>
    <n v="2111"/>
    <n v="236708"/>
    <s v="P"/>
    <s v="Capitalized"/>
    <s v="95 GAL MSW CARTS"/>
    <m/>
    <m/>
    <n v="351"/>
    <m/>
    <n v="0"/>
    <s v="REHRIG PACIFIC COMPANY IN"/>
    <m/>
    <s v="CONTAINERS"/>
    <s v="TBA"/>
    <m/>
    <m/>
    <m/>
    <d v="2020-08-10T00:00:00"/>
    <d v="2020-08-10T00:00:00"/>
    <s v="2111-20-0038-1"/>
    <n v="700"/>
    <n v="14050"/>
    <n v="15098.22"/>
    <n v="14056"/>
    <n v="8987.0300000000007"/>
    <n v="6111.1899999999987"/>
    <n v="1617.66"/>
    <n v="54260"/>
    <n v="179.74"/>
    <s v="P"/>
    <m/>
    <m/>
    <s v=" "/>
    <s v="STL"/>
    <s v="YES"/>
    <s v="TBD"/>
    <d v="2024-10-09T00:00:00"/>
    <x v="19"/>
    <m/>
    <m/>
    <m/>
    <m/>
    <m/>
    <m/>
    <m/>
    <m/>
    <m/>
    <m/>
    <m/>
  </r>
  <r>
    <n v="2111"/>
    <n v="236435"/>
    <s v="P"/>
    <s v="Capitalized"/>
    <s v="65 GAL MSW CARTS"/>
    <m/>
    <m/>
    <n v="936"/>
    <m/>
    <n v="0"/>
    <s v="REHRIG PACIFIC COMPANY IN"/>
    <m/>
    <s v="CONTAINERS"/>
    <s v="TBA"/>
    <m/>
    <m/>
    <m/>
    <d v="2020-08-06T00:00:00"/>
    <d v="2020-08-06T00:00:00"/>
    <s v="2111-20-0038-1"/>
    <n v="700"/>
    <n v="14050"/>
    <n v="36147.24"/>
    <n v="14056"/>
    <n v="21516.17"/>
    <n v="14631.07"/>
    <n v="3872.88"/>
    <n v="54260"/>
    <n v="430.32"/>
    <s v="P"/>
    <m/>
    <m/>
    <s v=" "/>
    <s v="STL"/>
    <s v="YES"/>
    <s v="TBD"/>
    <d v="2024-10-09T00:00:00"/>
    <x v="19"/>
    <m/>
    <m/>
    <m/>
    <m/>
    <m/>
    <m/>
    <m/>
    <m/>
    <m/>
    <m/>
    <m/>
  </r>
  <r>
    <n v="2111"/>
    <n v="236434"/>
    <s v="P"/>
    <s v="Capitalized"/>
    <s v="96 GAL RECYCLE CARTS"/>
    <m/>
    <m/>
    <n v="702"/>
    <m/>
    <n v="0"/>
    <s v="REHRIG PACIFIC COMPANY IN"/>
    <m/>
    <s v="CONTAINERS"/>
    <s v="TBA"/>
    <m/>
    <m/>
    <m/>
    <d v="2020-08-10T00:00:00"/>
    <d v="2020-08-10T00:00:00"/>
    <s v="2111-20-0038-1"/>
    <n v="700"/>
    <n v="14050"/>
    <n v="30196.43"/>
    <n v="14056"/>
    <n v="17974.07"/>
    <n v="12222.36"/>
    <n v="3235.32"/>
    <n v="54260"/>
    <n v="359.48"/>
    <s v="P"/>
    <m/>
    <m/>
    <s v=" "/>
    <s v="STL"/>
    <s v="YES"/>
    <s v="TBD"/>
    <d v="2024-10-09T00:00:00"/>
    <x v="19"/>
    <m/>
    <m/>
    <m/>
    <m/>
    <m/>
    <m/>
    <m/>
    <m/>
    <m/>
    <m/>
    <m/>
  </r>
  <r>
    <n v="2111"/>
    <n v="236403"/>
    <s v="P"/>
    <s v="Capitalized"/>
    <s v="2020 Peterbilt ASL Truck"/>
    <m/>
    <m/>
    <n v="1"/>
    <s v="3BPDLK0X0LF108416"/>
    <n v="2020"/>
    <s v="Peterbilt"/>
    <s v="Labrie"/>
    <s v="TRUCKS AND TRAILERS"/>
    <s v="TBA"/>
    <s v="Automated Side Loader"/>
    <m/>
    <m/>
    <d v="2020-08-30T00:00:00"/>
    <d v="2020-08-30T00:00:00"/>
    <s v="2111-20-0021"/>
    <n v="1000"/>
    <n v="14040"/>
    <n v="368546.11"/>
    <n v="14046"/>
    <n v="150489.68"/>
    <n v="218056.43"/>
    <n v="27640.98"/>
    <n v="51260"/>
    <n v="3071.22"/>
    <s v="P"/>
    <m/>
    <n v="864"/>
    <s v=" "/>
    <s v="STL"/>
    <s v="YES"/>
    <s v="TBD"/>
    <d v="2024-10-09T00:00:00"/>
    <x v="19"/>
    <m/>
    <m/>
    <m/>
    <m/>
    <m/>
    <m/>
    <m/>
    <m/>
    <m/>
    <m/>
    <m/>
  </r>
  <r>
    <n v="2111"/>
    <n v="236120"/>
    <n v="232980"/>
    <s v="Capitalized"/>
    <s v="PRELIMINARY BUILDING AND SITE LAYOUT"/>
    <m/>
    <m/>
    <n v="1"/>
    <m/>
    <n v="0"/>
    <s v="SITTS &amp; HILL ENGINEERS IN"/>
    <m/>
    <s v="LAND IMPROVEMENTS"/>
    <s v="TBA"/>
    <m/>
    <m/>
    <m/>
    <d v="2020-05-31T00:00:00"/>
    <d v="2020-05-31T00:00:00"/>
    <s v="2111-20-0017-1"/>
    <n v="1000"/>
    <n v="14010"/>
    <n v="2000.59"/>
    <n v="14016"/>
    <n v="866.83"/>
    <n v="1133.7599999999998"/>
    <n v="150.03"/>
    <n v="57260"/>
    <n v="16.670000000000002"/>
    <s v="P"/>
    <m/>
    <m/>
    <s v=" "/>
    <s v="STL"/>
    <s v="YES"/>
    <s v="TBD"/>
    <d v="2024-10-09T00:00:00"/>
    <x v="19"/>
    <m/>
    <m/>
    <m/>
    <m/>
    <m/>
    <m/>
    <m/>
    <m/>
    <m/>
    <m/>
    <m/>
  </r>
  <r>
    <n v="2111"/>
    <n v="235960"/>
    <n v="232980"/>
    <s v="Capitalized"/>
    <s v="PRELIMINARY SITE PLAN AND CANOPY CONFIGURATION"/>
    <m/>
    <m/>
    <n v="1"/>
    <m/>
    <n v="0"/>
    <s v="SITTS &amp; HILL ENGINEERS IN"/>
    <m/>
    <s v="LAND IMPROVEMENTS"/>
    <s v="TBA"/>
    <m/>
    <m/>
    <m/>
    <d v="2020-05-31T00:00:00"/>
    <d v="2020-05-31T00:00:00"/>
    <s v="2111-20-0017-1"/>
    <n v="1000"/>
    <n v="14010"/>
    <n v="2473.3200000000002"/>
    <n v="14016"/>
    <n v="1071.76"/>
    <n v="1401.5600000000002"/>
    <n v="185.49"/>
    <n v="57260"/>
    <n v="20.61"/>
    <s v="P"/>
    <m/>
    <m/>
    <s v=" "/>
    <s v="STL"/>
    <s v="YES"/>
    <s v="TBD"/>
    <d v="2024-10-09T00:00:00"/>
    <x v="19"/>
    <m/>
    <m/>
    <m/>
    <m/>
    <m/>
    <m/>
    <m/>
    <m/>
    <m/>
    <m/>
    <m/>
  </r>
  <r>
    <n v="2111"/>
    <n v="235803"/>
    <s v="P"/>
    <s v="Capitalized"/>
    <s v="HP PROBOOK SN: 5CG015D9H2"/>
    <m/>
    <m/>
    <n v="1"/>
    <m/>
    <n v="0"/>
    <s v="CDW"/>
    <m/>
    <s v="HARDWARE AND SOFTWARE"/>
    <s v="TBA"/>
    <m/>
    <m/>
    <m/>
    <d v="2020-07-31T00:00:00"/>
    <d v="2020-07-31T00:00:00"/>
    <s v="2111-20-0037-1"/>
    <n v="300"/>
    <n v="14110"/>
    <n v="1512.14"/>
    <n v="14116"/>
    <n v="1512.14"/>
    <n v="0"/>
    <n v="0"/>
    <n v="70260"/>
    <n v="0"/>
    <s v="P"/>
    <m/>
    <m/>
    <s v=" "/>
    <s v="STL"/>
    <s v="YES"/>
    <s v="TBD"/>
    <d v="2024-10-09T00:00:00"/>
    <x v="19"/>
    <m/>
    <m/>
    <m/>
    <m/>
    <m/>
    <m/>
    <m/>
    <m/>
    <m/>
    <m/>
    <m/>
  </r>
  <r>
    <n v="2111"/>
    <n v="235802"/>
    <s v="P"/>
    <s v="Capitalized"/>
    <s v="Panasonic Toughbook SN:0FTTA41204"/>
    <m/>
    <m/>
    <n v="1"/>
    <m/>
    <n v="0"/>
    <s v="CDW"/>
    <m/>
    <s v="HARDWARE AND SOFTWARE"/>
    <s v="TBA"/>
    <m/>
    <m/>
    <m/>
    <d v="2020-07-31T00:00:00"/>
    <d v="2020-07-31T00:00:00"/>
    <s v="2111-20-0036-1"/>
    <n v="200"/>
    <n v="14110"/>
    <n v="2202.67"/>
    <n v="14116"/>
    <n v="2202.67"/>
    <n v="0"/>
    <n v="0"/>
    <n v="70260"/>
    <n v="0"/>
    <s v="P"/>
    <m/>
    <m/>
    <s v=" "/>
    <s v="STL"/>
    <s v="YES"/>
    <s v="TBD"/>
    <d v="2024-10-09T00:00:00"/>
    <x v="19"/>
    <m/>
    <m/>
    <m/>
    <m/>
    <m/>
    <m/>
    <m/>
    <m/>
    <m/>
    <m/>
    <m/>
  </r>
  <r>
    <n v="2111"/>
    <n v="235097"/>
    <s v="P"/>
    <s v="Capitalized"/>
    <s v="2020 Peterbilt ASL Truck"/>
    <m/>
    <m/>
    <n v="1"/>
    <s v="3BPDLK0X8LF107952"/>
    <n v="2020"/>
    <s v="Peterbilt"/>
    <s v="Labrie"/>
    <s v="TRUCKS AND TRAILERS"/>
    <s v="TBA"/>
    <s v="Automated Side Loader"/>
    <m/>
    <m/>
    <d v="2020-07-15T00:00:00"/>
    <d v="2020-07-15T00:00:00"/>
    <s v="2111-20-0020"/>
    <n v="1000"/>
    <n v="14040"/>
    <n v="364970.65"/>
    <n v="14046"/>
    <n v="155112.51999999999"/>
    <n v="209858.13000000003"/>
    <n v="27372.78"/>
    <n v="51260"/>
    <n v="3041.42"/>
    <s v="P"/>
    <m/>
    <n v="863"/>
    <s v=" "/>
    <s v="STL"/>
    <s v="YES"/>
    <s v="TBD"/>
    <d v="2024-10-09T00:00:00"/>
    <x v="19"/>
    <m/>
    <m/>
    <m/>
    <m/>
    <m/>
    <m/>
    <m/>
    <m/>
    <m/>
    <m/>
    <m/>
  </r>
  <r>
    <n v="2111"/>
    <n v="234891"/>
    <n v="232980"/>
    <s v="Capitalized"/>
    <s v="RECYCLE CENTER"/>
    <m/>
    <m/>
    <n v="1"/>
    <m/>
    <n v="0"/>
    <s v="RICKABAUGH PENTECOST DEVE"/>
    <m/>
    <s v="LAND IMPROVEMENTS"/>
    <s v="TBA"/>
    <m/>
    <m/>
    <m/>
    <d v="2020-05-31T00:00:00"/>
    <d v="2020-05-31T00:00:00"/>
    <s v="2111-20-0017-1"/>
    <n v="1000"/>
    <n v="14010"/>
    <n v="69420.509999999995"/>
    <n v="14016"/>
    <n v="30082.18"/>
    <n v="39338.329999999994"/>
    <n v="5206.5"/>
    <n v="57260"/>
    <n v="578.5"/>
    <s v="P"/>
    <m/>
    <m/>
    <s v=" "/>
    <s v="STL"/>
    <s v="YES"/>
    <s v="TBD"/>
    <d v="2024-10-09T00:00:00"/>
    <x v="19"/>
    <m/>
    <m/>
    <m/>
    <m/>
    <m/>
    <m/>
    <m/>
    <m/>
    <m/>
    <m/>
    <m/>
  </r>
  <r>
    <n v="2111"/>
    <n v="234890"/>
    <n v="232978"/>
    <s v="Capitalized"/>
    <s v="STRUCTURAL PLANS FOR FUELING ISLAND"/>
    <m/>
    <m/>
    <n v="1"/>
    <m/>
    <n v="0"/>
    <s v="SITTS &amp; HILL ENGINEERS IN"/>
    <m/>
    <s v="LAND IMPROVEMENTS"/>
    <s v="TBA"/>
    <m/>
    <m/>
    <m/>
    <d v="2020-05-31T00:00:00"/>
    <d v="2020-05-31T00:00:00"/>
    <s v="2111-20-0015-1"/>
    <n v="1000"/>
    <n v="14010"/>
    <n v="322.5"/>
    <n v="14016"/>
    <n v="139.77000000000001"/>
    <n v="182.73"/>
    <n v="24.21"/>
    <n v="57260"/>
    <n v="2.69"/>
    <s v="P"/>
    <m/>
    <m/>
    <s v=" "/>
    <s v="STL"/>
    <s v="YES"/>
    <s v="TBD"/>
    <d v="2024-10-09T00:00:00"/>
    <x v="19"/>
    <m/>
    <m/>
    <m/>
    <m/>
    <m/>
    <m/>
    <m/>
    <m/>
    <m/>
    <m/>
    <m/>
  </r>
  <r>
    <n v="2111"/>
    <n v="234041"/>
    <n v="232980"/>
    <s v="Capitalized"/>
    <s v="GEOTECHNICAL CONSTRUCTION MONITORING SERVICES"/>
    <m/>
    <m/>
    <n v="1"/>
    <m/>
    <n v="0"/>
    <s v="MIGIZI GROUP INC"/>
    <m/>
    <s v="LAND IMPROVEMENTS"/>
    <s v="TBA"/>
    <m/>
    <m/>
    <m/>
    <d v="2020-05-31T00:00:00"/>
    <d v="2020-05-31T00:00:00"/>
    <s v="2111-20-0017-1"/>
    <n v="1000"/>
    <n v="14010"/>
    <n v="7211"/>
    <n v="14016"/>
    <n v="3124.75"/>
    <n v="4086.25"/>
    <n v="540.80999999999995"/>
    <n v="57260"/>
    <n v="60.09"/>
    <s v="P"/>
    <m/>
    <m/>
    <s v=" "/>
    <s v="STL"/>
    <s v="YES"/>
    <s v="TBD"/>
    <d v="2024-10-09T00:00:00"/>
    <x v="19"/>
    <m/>
    <m/>
    <m/>
    <m/>
    <m/>
    <m/>
    <m/>
    <m/>
    <m/>
    <m/>
    <m/>
  </r>
  <r>
    <n v="2111"/>
    <n v="234040"/>
    <n v="232980"/>
    <s v="Capitalized"/>
    <s v="NEW COMMUNITY RECYCLING CENTER"/>
    <m/>
    <m/>
    <n v="1"/>
    <m/>
    <n v="0"/>
    <s v="SITTS &amp; HILL ENGINEERS IN"/>
    <m/>
    <s v="LAND IMPROVEMENTS"/>
    <s v="TBA"/>
    <m/>
    <m/>
    <m/>
    <d v="2020-05-31T00:00:00"/>
    <d v="2020-05-31T00:00:00"/>
    <s v="2111-20-0017-1"/>
    <n v="1000"/>
    <n v="14010"/>
    <n v="1700.62"/>
    <n v="14016"/>
    <n v="736.91"/>
    <n v="963.70999999999992"/>
    <n v="127.53"/>
    <n v="57260"/>
    <n v="14.17"/>
    <s v="P"/>
    <m/>
    <m/>
    <s v=" "/>
    <s v="STL"/>
    <s v="YES"/>
    <s v="TBD"/>
    <d v="2024-10-09T00:00:00"/>
    <x v="19"/>
    <m/>
    <m/>
    <m/>
    <m/>
    <m/>
    <m/>
    <m/>
    <m/>
    <m/>
    <m/>
    <m/>
  </r>
  <r>
    <n v="2111"/>
    <n v="234039"/>
    <n v="232980"/>
    <s v="Capitalized"/>
    <s v="HAND OFF INSPECTION WITH OWNER AND CONTRACTOR"/>
    <m/>
    <m/>
    <n v="1"/>
    <m/>
    <n v="0"/>
    <s v="SITTS &amp; HILL ENGINEERS IN"/>
    <m/>
    <s v="LAND IMPROVEMENTS"/>
    <s v="TBA"/>
    <m/>
    <m/>
    <m/>
    <d v="2020-05-31T00:00:00"/>
    <d v="2020-05-31T00:00:00"/>
    <s v="2111-20-0017-1"/>
    <n v="1000"/>
    <n v="14010"/>
    <n v="702"/>
    <n v="14016"/>
    <n v="304.2"/>
    <n v="397.8"/>
    <n v="52.65"/>
    <n v="57260"/>
    <n v="5.85"/>
    <s v="P"/>
    <m/>
    <m/>
    <s v=" "/>
    <s v="STL"/>
    <s v="YES"/>
    <s v="TBD"/>
    <d v="2024-10-09T00:00:00"/>
    <x v="19"/>
    <m/>
    <m/>
    <m/>
    <m/>
    <m/>
    <m/>
    <m/>
    <m/>
    <m/>
    <m/>
    <m/>
  </r>
  <r>
    <n v="2111"/>
    <n v="234038"/>
    <n v="232979"/>
    <s v="Capitalized"/>
    <s v="RETAINAGE FOR POND AND TRUCK PARKING LOT"/>
    <m/>
    <m/>
    <n v="1"/>
    <m/>
    <n v="0"/>
    <s v="RICKABAUGH PENTECOST DEVE"/>
    <m/>
    <s v="LAND IMPROVEMENTS"/>
    <s v="TBA"/>
    <m/>
    <m/>
    <m/>
    <d v="2020-05-31T00:00:00"/>
    <d v="2020-05-31T00:00:00"/>
    <s v="2111-20-0016-1"/>
    <n v="1000"/>
    <n v="14010"/>
    <n v="226012.36"/>
    <n v="14016"/>
    <n v="97938.74"/>
    <n v="128073.61999999998"/>
    <n v="16950.96"/>
    <n v="57260"/>
    <n v="1883.44"/>
    <s v="P"/>
    <m/>
    <m/>
    <s v=" "/>
    <s v="STL"/>
    <s v="YES"/>
    <s v="TBD"/>
    <d v="2024-10-09T00:00:00"/>
    <x v="19"/>
    <m/>
    <m/>
    <m/>
    <m/>
    <m/>
    <m/>
    <m/>
    <m/>
    <m/>
    <m/>
    <m/>
  </r>
  <r>
    <n v="2111"/>
    <n v="234037"/>
    <n v="232979"/>
    <s v="Capitalized"/>
    <s v="NEW POND &amp; PAVED YARD"/>
    <m/>
    <m/>
    <n v="1"/>
    <m/>
    <n v="0"/>
    <s v="SITTS &amp; HILL ENGINEERS IN"/>
    <m/>
    <s v="LAND IMPROVEMENTS"/>
    <s v="TBA"/>
    <m/>
    <m/>
    <m/>
    <d v="2020-05-31T00:00:00"/>
    <d v="2020-05-31T00:00:00"/>
    <s v="2111-20-0016-1"/>
    <n v="1000"/>
    <n v="14010"/>
    <n v="1148.5"/>
    <n v="14016"/>
    <n v="497.65"/>
    <n v="650.85"/>
    <n v="86.13"/>
    <n v="57260"/>
    <n v="9.57"/>
    <s v="P"/>
    <m/>
    <m/>
    <s v=" "/>
    <s v="STL"/>
    <s v="YES"/>
    <s v="TBD"/>
    <d v="2024-10-09T00:00:00"/>
    <x v="19"/>
    <m/>
    <m/>
    <m/>
    <m/>
    <m/>
    <m/>
    <m/>
    <m/>
    <m/>
    <m/>
    <m/>
  </r>
  <r>
    <n v="2111"/>
    <n v="234036"/>
    <n v="232979"/>
    <s v="Capitalized"/>
    <s v="NEW POWER DROP"/>
    <m/>
    <m/>
    <n v="1"/>
    <m/>
    <n v="0"/>
    <s v="TACOMA CITY TREASURER"/>
    <m/>
    <s v="LAND IMPROVEMENTS"/>
    <s v="TBA"/>
    <m/>
    <m/>
    <m/>
    <d v="2020-05-31T00:00:00"/>
    <d v="2020-05-31T00:00:00"/>
    <s v="2111-20-0016-1"/>
    <n v="1000"/>
    <n v="14010"/>
    <n v="1417.62"/>
    <n v="14016"/>
    <n v="614.23"/>
    <n v="803.38999999999987"/>
    <n v="106.29"/>
    <n v="57260"/>
    <n v="11.81"/>
    <s v="P"/>
    <m/>
    <m/>
    <s v=" "/>
    <s v="STL"/>
    <s v="YES"/>
    <s v="TBD"/>
    <d v="2024-10-09T00:00:00"/>
    <x v="19"/>
    <m/>
    <m/>
    <m/>
    <m/>
    <m/>
    <m/>
    <m/>
    <m/>
    <m/>
    <m/>
    <m/>
  </r>
  <r>
    <n v="2111"/>
    <n v="233513"/>
    <n v="232980"/>
    <s v="Capitalized"/>
    <s v="PUBLIC RECYCLING CENTER PROJECT"/>
    <m/>
    <m/>
    <n v="1"/>
    <m/>
    <n v="0"/>
    <s v="RICKABAUGH PENTECOST DEVE"/>
    <m/>
    <s v="LAND IMPROVEMENTS"/>
    <s v="TBA"/>
    <m/>
    <m/>
    <m/>
    <d v="2020-05-31T00:00:00"/>
    <d v="2020-05-31T00:00:00"/>
    <s v="2111-20-0017-1"/>
    <n v="1000"/>
    <n v="14010"/>
    <n v="6243.75"/>
    <n v="14016"/>
    <n v="2705.63"/>
    <n v="3538.12"/>
    <n v="468.27"/>
    <n v="57260"/>
    <n v="52.03"/>
    <s v="P"/>
    <m/>
    <m/>
    <s v=" "/>
    <s v="STL"/>
    <s v="YES"/>
    <s v="TBD"/>
    <d v="2024-10-09T00:00:00"/>
    <x v="19"/>
    <m/>
    <m/>
    <m/>
    <m/>
    <m/>
    <m/>
    <m/>
    <m/>
    <m/>
    <m/>
    <m/>
  </r>
  <r>
    <n v="2111"/>
    <n v="233512"/>
    <n v="232979"/>
    <s v="Capitalized"/>
    <s v="POND AND TRUCK PARKING LOT"/>
    <m/>
    <m/>
    <n v="1"/>
    <m/>
    <n v="0"/>
    <s v="RICKABAUGH PENTECOST DEVE"/>
    <m/>
    <s v="LAND IMPROVEMENTS"/>
    <s v="TBA"/>
    <m/>
    <m/>
    <m/>
    <d v="2020-05-31T00:00:00"/>
    <d v="2020-05-31T00:00:00"/>
    <s v="2111-20-0016-1"/>
    <n v="1000"/>
    <n v="14010"/>
    <n v="240504.3"/>
    <n v="14016"/>
    <n v="104218.47"/>
    <n v="136285.82999999999"/>
    <n v="18037.8"/>
    <n v="57260"/>
    <n v="2004.2"/>
    <s v="P"/>
    <m/>
    <m/>
    <s v=" "/>
    <s v="STL"/>
    <s v="YES"/>
    <s v="TBD"/>
    <d v="2024-10-09T00:00:00"/>
    <x v="19"/>
    <m/>
    <m/>
    <m/>
    <m/>
    <m/>
    <m/>
    <m/>
    <m/>
    <m/>
    <m/>
    <m/>
  </r>
  <r>
    <n v="2111"/>
    <n v="233511"/>
    <n v="232979"/>
    <s v="Capitalized"/>
    <s v="PROJECT CLOSEOUT FOR POND AND PAVED YARD"/>
    <m/>
    <m/>
    <n v="1"/>
    <m/>
    <n v="0"/>
    <s v="SITTS &amp; HILL ENGINEERS IN"/>
    <m/>
    <s v="LAND IMPROVEMENTS"/>
    <s v="TBA"/>
    <m/>
    <m/>
    <m/>
    <d v="2020-05-31T00:00:00"/>
    <d v="2020-05-31T00:00:00"/>
    <s v="2111-20-0016-1"/>
    <n v="1000"/>
    <n v="14010"/>
    <n v="381"/>
    <n v="14016"/>
    <n v="165.15"/>
    <n v="215.85"/>
    <n v="28.62"/>
    <n v="57260"/>
    <n v="3.18"/>
    <s v="P"/>
    <m/>
    <m/>
    <s v=" "/>
    <s v="STL"/>
    <s v="YES"/>
    <s v="TBD"/>
    <d v="2024-10-09T00:00:00"/>
    <x v="19"/>
    <m/>
    <m/>
    <m/>
    <m/>
    <m/>
    <m/>
    <m/>
    <m/>
    <m/>
    <m/>
    <m/>
  </r>
  <r>
    <n v="2111"/>
    <n v="233286"/>
    <s v="P"/>
    <s v="Capitalized"/>
    <s v="95 GAL MSW CARTS"/>
    <m/>
    <m/>
    <n v="702"/>
    <m/>
    <n v="0"/>
    <s v="REHRIG PACIFIC COMPANY IN"/>
    <m/>
    <s v="CONTAINERS"/>
    <s v="TBA"/>
    <m/>
    <m/>
    <m/>
    <d v="2020-05-12T00:00:00"/>
    <d v="2020-05-12T00:00:00"/>
    <s v="2111-20-0033-1"/>
    <n v="700"/>
    <n v="14050"/>
    <n v="27943.66"/>
    <n v="14056"/>
    <n v="17631.09"/>
    <n v="10312.57"/>
    <n v="2993.94"/>
    <n v="54260"/>
    <n v="332.66"/>
    <s v="P"/>
    <m/>
    <m/>
    <s v=" "/>
    <s v="STL"/>
    <s v="YES"/>
    <s v="TBD"/>
    <d v="2024-10-09T00:00:00"/>
    <x v="19"/>
    <m/>
    <m/>
    <m/>
    <m/>
    <m/>
    <m/>
    <m/>
    <m/>
    <m/>
    <m/>
    <m/>
  </r>
  <r>
    <n v="2111"/>
    <n v="233285"/>
    <s v="P"/>
    <s v="Capitalized"/>
    <s v="95 GAL RECYCLE CARTS"/>
    <m/>
    <m/>
    <n v="702"/>
    <m/>
    <n v="0"/>
    <s v="REHRIG PACIFIC COMPANY IN"/>
    <m/>
    <s v="CONTAINERS"/>
    <s v="TBA"/>
    <m/>
    <m/>
    <m/>
    <d v="2020-05-12T00:00:00"/>
    <d v="2020-05-12T00:00:00"/>
    <s v="2111-20-0033-1"/>
    <n v="700"/>
    <n v="14050"/>
    <n v="27943.66"/>
    <n v="14056"/>
    <n v="17631.09"/>
    <n v="10312.57"/>
    <n v="2993.94"/>
    <n v="54260"/>
    <n v="332.66"/>
    <s v="P"/>
    <m/>
    <m/>
    <s v=" "/>
    <s v="STL"/>
    <s v="YES"/>
    <s v="TBD"/>
    <d v="2024-10-09T00:00:00"/>
    <x v="19"/>
    <m/>
    <m/>
    <m/>
    <m/>
    <m/>
    <m/>
    <m/>
    <m/>
    <m/>
    <m/>
    <m/>
  </r>
  <r>
    <n v="2111"/>
    <n v="233284"/>
    <s v="P"/>
    <s v="Capitalized"/>
    <s v="95GL YW CARTS"/>
    <m/>
    <m/>
    <n v="702"/>
    <m/>
    <n v="0"/>
    <s v="REHRIG PACIFIC COMPANY IN"/>
    <m/>
    <s v="CONTAINERS"/>
    <s v="TBA"/>
    <m/>
    <m/>
    <m/>
    <d v="2020-05-12T00:00:00"/>
    <d v="2020-05-12T00:00:00"/>
    <s v="2111-20-0033-1"/>
    <n v="700"/>
    <n v="14050"/>
    <n v="27943.66"/>
    <n v="14056"/>
    <n v="17631.09"/>
    <n v="10312.57"/>
    <n v="2993.94"/>
    <n v="54260"/>
    <n v="332.66"/>
    <s v="P"/>
    <m/>
    <m/>
    <s v=" "/>
    <s v="STL"/>
    <s v="YES"/>
    <s v="TBD"/>
    <d v="2024-10-09T00:00:00"/>
    <x v="19"/>
    <m/>
    <m/>
    <m/>
    <m/>
    <m/>
    <m/>
    <m/>
    <m/>
    <m/>
    <m/>
    <m/>
  </r>
  <r>
    <n v="2111"/>
    <n v="233283"/>
    <s v="P"/>
    <s v="Capitalized"/>
    <s v="95GL YW CARTS"/>
    <m/>
    <m/>
    <n v="702"/>
    <m/>
    <n v="0"/>
    <s v="REHRIG PACIFIC COMPANY IN"/>
    <m/>
    <s v="CONTAINERS"/>
    <s v="TBA"/>
    <m/>
    <m/>
    <m/>
    <d v="2020-05-12T00:00:00"/>
    <d v="2020-05-12T00:00:00"/>
    <s v="2111-20-0033-1"/>
    <n v="700"/>
    <n v="14050"/>
    <n v="27943.66"/>
    <n v="14056"/>
    <n v="17631.09"/>
    <n v="10312.57"/>
    <n v="2993.94"/>
    <n v="54260"/>
    <n v="332.66"/>
    <s v="P"/>
    <m/>
    <m/>
    <s v=" "/>
    <s v="STL"/>
    <s v="YES"/>
    <s v="TBD"/>
    <d v="2024-10-09T00:00:00"/>
    <x v="19"/>
    <m/>
    <m/>
    <m/>
    <m/>
    <m/>
    <m/>
    <m/>
    <m/>
    <m/>
    <m/>
    <m/>
  </r>
  <r>
    <n v="2111"/>
    <n v="233201"/>
    <s v="P"/>
    <s v="Capitalized"/>
    <s v="96 GAL RECYCLE CARTS"/>
    <m/>
    <m/>
    <n v="312"/>
    <m/>
    <n v="0"/>
    <s v="WASTEQUIP TOTER"/>
    <m/>
    <s v="CONTAINERS"/>
    <s v="TBA"/>
    <m/>
    <m/>
    <m/>
    <d v="2020-04-25T00:00:00"/>
    <d v="2020-04-25T00:00:00"/>
    <s v="2111-20-0031-1"/>
    <n v="700"/>
    <n v="14050"/>
    <n v="12686.86"/>
    <n v="14056"/>
    <n v="8004.77"/>
    <n v="4682.09"/>
    <n v="1359.27"/>
    <n v="54260"/>
    <n v="151.03"/>
    <s v="P"/>
    <m/>
    <m/>
    <s v=" "/>
    <s v="STL"/>
    <s v="YES"/>
    <s v="TBD"/>
    <d v="2024-10-09T00:00:00"/>
    <x v="19"/>
    <m/>
    <m/>
    <m/>
    <m/>
    <m/>
    <m/>
    <m/>
    <m/>
    <m/>
    <m/>
    <m/>
  </r>
  <r>
    <n v="2111"/>
    <n v="233200"/>
    <s v="P"/>
    <s v="Capitalized"/>
    <s v="96 GAL YW CARTS"/>
    <m/>
    <m/>
    <n v="312"/>
    <m/>
    <n v="0"/>
    <s v="WASTEQUIP TOTER"/>
    <m/>
    <s v="CONTAINERS"/>
    <s v="TBA"/>
    <m/>
    <m/>
    <m/>
    <d v="2020-04-25T00:00:00"/>
    <d v="2020-04-25T00:00:00"/>
    <s v="2111-20-0031-1"/>
    <n v="700"/>
    <n v="14050"/>
    <n v="12686.86"/>
    <n v="14056"/>
    <n v="8004.77"/>
    <n v="4682.09"/>
    <n v="1359.27"/>
    <n v="54260"/>
    <n v="151.03"/>
    <s v="P"/>
    <m/>
    <m/>
    <s v=" "/>
    <s v="STL"/>
    <s v="YES"/>
    <s v="TBD"/>
    <d v="2024-10-09T00:00:00"/>
    <x v="19"/>
    <m/>
    <m/>
    <m/>
    <m/>
    <m/>
    <m/>
    <m/>
    <m/>
    <m/>
    <m/>
    <m/>
  </r>
  <r>
    <n v="2111"/>
    <n v="233199"/>
    <s v="P"/>
    <s v="Capitalized"/>
    <s v="96 GAL MSW CARTS"/>
    <m/>
    <m/>
    <n v="624"/>
    <m/>
    <n v="0"/>
    <s v="WASTEQUIP TOTER"/>
    <m/>
    <s v="CONTAINERS"/>
    <s v="TBA"/>
    <m/>
    <m/>
    <m/>
    <d v="2020-04-25T00:00:00"/>
    <d v="2020-04-25T00:00:00"/>
    <s v="2111-20-0031-1"/>
    <n v="700"/>
    <n v="14050"/>
    <n v="25373.71"/>
    <n v="14056"/>
    <n v="16009.63"/>
    <n v="9364.08"/>
    <n v="2718.63"/>
    <n v="54260"/>
    <n v="302.07"/>
    <s v="P"/>
    <m/>
    <m/>
    <s v=" "/>
    <s v="STL"/>
    <s v="YES"/>
    <s v="TBD"/>
    <d v="2024-10-09T00:00:00"/>
    <x v="19"/>
    <m/>
    <m/>
    <m/>
    <m/>
    <m/>
    <m/>
    <m/>
    <m/>
    <m/>
    <m/>
    <m/>
  </r>
  <r>
    <n v="2111"/>
    <n v="232980"/>
    <s v="P"/>
    <s v="Capitalized"/>
    <s v="Public Recycling Center"/>
    <m/>
    <m/>
    <n v="1"/>
    <m/>
    <n v="0"/>
    <m/>
    <m/>
    <s v="LAND IMPROVEMENTS"/>
    <s v="TBA"/>
    <m/>
    <m/>
    <m/>
    <d v="2020-05-31T00:00:00"/>
    <d v="2020-05-31T00:00:00"/>
    <s v="2111-20-0017"/>
    <n v="1000"/>
    <n v="14010"/>
    <n v="289762.48"/>
    <n v="14016"/>
    <n v="125563.77"/>
    <n v="164198.70999999996"/>
    <n v="21732.21"/>
    <n v="57260"/>
    <n v="2414.69"/>
    <s v="P"/>
    <m/>
    <m/>
    <s v=" "/>
    <s v="STL"/>
    <s v="YES"/>
    <s v="TBD"/>
    <d v="2024-10-09T00:00:00"/>
    <x v="19"/>
    <m/>
    <m/>
    <m/>
    <m/>
    <m/>
    <m/>
    <m/>
    <m/>
    <m/>
    <m/>
    <m/>
  </r>
  <r>
    <n v="2111"/>
    <n v="232979"/>
    <s v="P"/>
    <s v="Capitalized"/>
    <s v="Infiltration Pond &amp; Truck Parking Lot"/>
    <m/>
    <m/>
    <n v="1"/>
    <m/>
    <n v="0"/>
    <m/>
    <m/>
    <s v="LAND IMPROVEMENTS"/>
    <s v="TBA"/>
    <m/>
    <m/>
    <m/>
    <d v="2020-05-31T00:00:00"/>
    <d v="2020-05-31T00:00:00"/>
    <s v="2111-20-0016"/>
    <n v="1000"/>
    <n v="14010"/>
    <n v="1213512.47"/>
    <n v="14016"/>
    <n v="525855.38"/>
    <n v="687657.09"/>
    <n v="91013.4"/>
    <n v="57260"/>
    <n v="10112.6"/>
    <s v="P"/>
    <m/>
    <m/>
    <s v=" "/>
    <s v="STL"/>
    <s v="YES"/>
    <s v="TBD"/>
    <d v="2024-10-09T00:00:00"/>
    <x v="19"/>
    <m/>
    <m/>
    <m/>
    <m/>
    <m/>
    <m/>
    <m/>
    <m/>
    <m/>
    <m/>
    <m/>
  </r>
  <r>
    <n v="2111"/>
    <n v="232978"/>
    <s v="P"/>
    <s v="Capitalized"/>
    <s v="Fuel Island"/>
    <m/>
    <m/>
    <n v="1"/>
    <m/>
    <n v="0"/>
    <m/>
    <m/>
    <s v="LAND IMPROVEMENTS"/>
    <s v="TBA"/>
    <m/>
    <m/>
    <m/>
    <d v="2020-05-31T00:00:00"/>
    <d v="2020-05-31T00:00:00"/>
    <s v="2111-20-0015"/>
    <n v="1000"/>
    <n v="14010"/>
    <n v="2027.5"/>
    <n v="14016"/>
    <n v="878.62"/>
    <n v="1148.8800000000001"/>
    <n v="152.1"/>
    <n v="57260"/>
    <n v="16.899999999999999"/>
    <s v="P"/>
    <m/>
    <m/>
    <s v=" "/>
    <s v="STL"/>
    <s v="YES"/>
    <s v="TBD"/>
    <d v="2024-10-09T00:00:00"/>
    <x v="19"/>
    <m/>
    <m/>
    <m/>
    <m/>
    <m/>
    <m/>
    <m/>
    <m/>
    <m/>
    <m/>
    <m/>
  </r>
  <r>
    <n v="2111"/>
    <n v="232809"/>
    <s v="P"/>
    <s v="Capitalized"/>
    <s v="(184) TRUCK RADIO SYSTEMS"/>
    <m/>
    <m/>
    <n v="1"/>
    <m/>
    <n v="0"/>
    <s v="WHISLER COMMUNICATIONS"/>
    <m/>
    <s v="SHOP EQUIPMENT"/>
    <s v="TBA"/>
    <m/>
    <m/>
    <m/>
    <d v="2020-03-31T00:00:00"/>
    <d v="2020-03-31T00:00:00"/>
    <s v="2111-20-0028-1"/>
    <n v="500"/>
    <n v="14070"/>
    <n v="233040"/>
    <n v="14076"/>
    <n v="209736"/>
    <n v="23304"/>
    <n v="34956"/>
    <n v="51260"/>
    <n v="3884"/>
    <s v="P"/>
    <m/>
    <m/>
    <s v=" "/>
    <s v="STL"/>
    <s v="YES"/>
    <s v="TBD"/>
    <d v="2024-10-09T00:00:00"/>
    <x v="19"/>
    <m/>
    <m/>
    <m/>
    <m/>
    <m/>
    <m/>
    <m/>
    <m/>
    <m/>
    <m/>
    <m/>
  </r>
  <r>
    <n v="2111"/>
    <n v="231042"/>
    <s v="P"/>
    <s v="Capitalized"/>
    <s v="6yd Front Load Recycle Container"/>
    <m/>
    <m/>
    <n v="9"/>
    <m/>
    <n v="0"/>
    <s v="CAPITAL INDUSTRIES INC"/>
    <m/>
    <s v="CONTAINERS"/>
    <s v="TBA"/>
    <m/>
    <s v="6 YD"/>
    <s v="FEL/REL/SL Metal"/>
    <d v="2020-01-01T00:00:00"/>
    <d v="2020-01-01T00:00:00"/>
    <s v="2111-19-0046-1"/>
    <n v="1200"/>
    <n v="14050"/>
    <n v="9149.18"/>
    <n v="14056"/>
    <n v="3621.58"/>
    <n v="5527.6"/>
    <n v="571.86"/>
    <n v="54260"/>
    <n v="63.54"/>
    <s v="P"/>
    <m/>
    <m/>
    <s v=" "/>
    <s v="STL"/>
    <s v="YES"/>
    <s v="TBD"/>
    <d v="2024-10-09T00:00:00"/>
    <x v="19"/>
    <m/>
    <m/>
    <m/>
    <m/>
    <m/>
    <m/>
    <m/>
    <m/>
    <m/>
    <m/>
    <m/>
  </r>
  <r>
    <n v="2111"/>
    <n v="231041"/>
    <s v="P"/>
    <s v="Capitalized"/>
    <s v="2yd Real Load Containers"/>
    <m/>
    <m/>
    <n v="15"/>
    <m/>
    <n v="0"/>
    <s v="CAPITAL INDUSTRIES INC"/>
    <m/>
    <s v="CONTAINERS"/>
    <s v="TBA"/>
    <m/>
    <s v="2 YD"/>
    <s v="FEL/REL/SL Metal"/>
    <d v="2020-01-01T00:00:00"/>
    <d v="2020-01-01T00:00:00"/>
    <s v="2111-19-0046-1"/>
    <n v="1200"/>
    <n v="14050"/>
    <n v="9561.2999999999993"/>
    <n v="14056"/>
    <n v="3784.72"/>
    <n v="5776.58"/>
    <n v="597.6"/>
    <n v="54260"/>
    <n v="66.400000000000006"/>
    <s v="P"/>
    <m/>
    <m/>
    <s v=" "/>
    <s v="STL"/>
    <s v="YES"/>
    <s v="TBD"/>
    <d v="2024-10-09T00:00:00"/>
    <x v="19"/>
    <m/>
    <m/>
    <m/>
    <m/>
    <m/>
    <m/>
    <m/>
    <m/>
    <m/>
    <m/>
    <m/>
  </r>
  <r>
    <n v="2111"/>
    <n v="231040"/>
    <s v="P"/>
    <s v="Capitalized"/>
    <s v="4yd Front Load Container"/>
    <m/>
    <m/>
    <n v="10"/>
    <m/>
    <n v="0"/>
    <s v="CAPITAL INDUSTRIES INC"/>
    <m/>
    <s v="CONTAINERS"/>
    <s v="TBA"/>
    <m/>
    <s v="4 YD"/>
    <s v="FEL/REL/SL Metal"/>
    <d v="2020-01-01T00:00:00"/>
    <d v="2020-01-01T00:00:00"/>
    <s v="2111-19-0046-1"/>
    <n v="1200"/>
    <n v="14050"/>
    <n v="8572.2000000000007"/>
    <n v="14056"/>
    <n v="3393.17"/>
    <n v="5179.0300000000007"/>
    <n v="535.77"/>
    <n v="54260"/>
    <n v="59.53"/>
    <s v="P"/>
    <m/>
    <m/>
    <s v=" "/>
    <s v="STL"/>
    <s v="YES"/>
    <s v="TBD"/>
    <d v="2024-10-09T00:00:00"/>
    <x v="19"/>
    <m/>
    <m/>
    <m/>
    <m/>
    <m/>
    <m/>
    <m/>
    <m/>
    <m/>
    <m/>
    <m/>
  </r>
  <r>
    <n v="2111"/>
    <n v="231039"/>
    <s v="P"/>
    <s v="Capitalized"/>
    <s v="2yd FL Container -Green"/>
    <m/>
    <m/>
    <n v="10"/>
    <m/>
    <n v="0"/>
    <s v="CAPITAL INDUSTRIES INC"/>
    <m/>
    <s v="CONTAINERS"/>
    <s v="TBA"/>
    <m/>
    <s v="2 YD"/>
    <s v="FEL/REL/SL Metal"/>
    <d v="2020-01-01T00:00:00"/>
    <d v="2020-01-01T00:00:00"/>
    <s v="2111-19-0046-1"/>
    <n v="1200"/>
    <n v="14050"/>
    <n v="6758.85"/>
    <n v="14056"/>
    <n v="2675.42"/>
    <n v="4083.4300000000003"/>
    <n v="422.46"/>
    <n v="54260"/>
    <n v="46.94"/>
    <s v="P"/>
    <m/>
    <m/>
    <s v=" "/>
    <s v="STL"/>
    <s v="YES"/>
    <s v="TBD"/>
    <d v="2024-10-09T00:00:00"/>
    <x v="19"/>
    <m/>
    <m/>
    <m/>
    <m/>
    <m/>
    <m/>
    <m/>
    <m/>
    <m/>
    <m/>
    <m/>
  </r>
  <r>
    <n v="2111"/>
    <n v="230983"/>
    <n v="225662"/>
    <s v="Capitalized"/>
    <s v="CONSTRUCTION SUPPORT SERVICES"/>
    <m/>
    <m/>
    <n v="1"/>
    <m/>
    <n v="0"/>
    <s v="SITTS &amp; HILL ENGINEERS IN"/>
    <m/>
    <s v="LAND IMPROVEMENTS"/>
    <s v="TBA"/>
    <m/>
    <m/>
    <m/>
    <d v="2020-01-01T00:00:00"/>
    <d v="2020-01-01T00:00:00"/>
    <s v="2111-19-0027-1"/>
    <n v="700"/>
    <n v="14010"/>
    <n v="3126.88"/>
    <n v="14016"/>
    <n v="2065.94"/>
    <n v="1060.94"/>
    <n v="334.98"/>
    <n v="57260"/>
    <n v="37.22"/>
    <s v="P"/>
    <m/>
    <m/>
    <s v=" "/>
    <s v="STL"/>
    <s v="YES"/>
    <s v="TBD"/>
    <d v="2024-10-09T00:00:00"/>
    <x v="19"/>
    <m/>
    <m/>
    <m/>
    <m/>
    <m/>
    <m/>
    <m/>
    <m/>
    <m/>
    <m/>
    <m/>
  </r>
  <r>
    <n v="2111"/>
    <n v="230971"/>
    <s v="P"/>
    <s v="Capitalized"/>
    <s v="6yd Front Load Recycle Container"/>
    <m/>
    <m/>
    <n v="16"/>
    <m/>
    <n v="0"/>
    <s v="CAPITAL INDUSTRIES INC"/>
    <m/>
    <s v="CONTAINERS"/>
    <s v="TBA"/>
    <m/>
    <s v="6 YD"/>
    <s v="FEL/REL/SL Metal"/>
    <d v="2020-01-01T00:00:00"/>
    <d v="2020-01-01T00:00:00"/>
    <s v="2111-19-0046-1"/>
    <n v="1200"/>
    <n v="14050"/>
    <n v="16265.21"/>
    <n v="14056"/>
    <n v="6438.31"/>
    <n v="9826.8999999999978"/>
    <n v="1016.55"/>
    <n v="54260"/>
    <n v="112.95"/>
    <s v="P"/>
    <m/>
    <m/>
    <s v=" "/>
    <s v="STL"/>
    <s v="YES"/>
    <s v="TBD"/>
    <d v="2024-10-09T00:00:00"/>
    <x v="19"/>
    <m/>
    <m/>
    <m/>
    <m/>
    <m/>
    <m/>
    <m/>
    <m/>
    <m/>
    <m/>
    <m/>
  </r>
  <r>
    <n v="2111"/>
    <n v="229685"/>
    <s v="P"/>
    <s v="Capitalized"/>
    <s v="2006 Type H TSide ASL"/>
    <m/>
    <m/>
    <n v="1"/>
    <s v="1NPZLD9X76D716720"/>
    <n v="2006"/>
    <s v="Peterbilt"/>
    <s v="Curbtender"/>
    <s v="TRUCKS AND TRAILERS"/>
    <s v="TBA"/>
    <s v="Automated Side Loader"/>
    <m/>
    <m/>
    <d v="2008-11-03T00:00:00"/>
    <d v="2008-11-03T00:00:00"/>
    <m/>
    <n v="700"/>
    <n v="14040"/>
    <n v="123500"/>
    <n v="14046"/>
    <n v="123500"/>
    <n v="0"/>
    <n v="0"/>
    <n v="51260"/>
    <n v="0"/>
    <s v="A"/>
    <s v="LeMay Enterprises"/>
    <n v="861"/>
    <s v=" "/>
    <s v="STL"/>
    <s v="YES"/>
    <s v="TBD"/>
    <d v="2024-10-09T00:00:00"/>
    <x v="19"/>
    <m/>
    <m/>
    <m/>
    <m/>
    <m/>
    <m/>
    <m/>
    <m/>
    <m/>
    <m/>
    <m/>
  </r>
  <r>
    <n v="2111"/>
    <n v="229297"/>
    <n v="225662"/>
    <s v="Capitalized"/>
    <s v="PARKING LOT CONSTRUCTION"/>
    <m/>
    <m/>
    <n v="1"/>
    <m/>
    <n v="0"/>
    <s v="RICKABAUGH PENTECOST DEVE"/>
    <m/>
    <s v="LAND IMPROVEMENTS"/>
    <s v="TBA"/>
    <m/>
    <m/>
    <m/>
    <d v="2020-02-28T00:00:00"/>
    <d v="2020-02-28T00:00:00"/>
    <s v="2111-19-0027-1"/>
    <n v="700"/>
    <n v="14010"/>
    <n v="384635.57"/>
    <n v="14016"/>
    <n v="247723.58"/>
    <n v="136911.99000000002"/>
    <n v="41210.910000000003"/>
    <n v="57260"/>
    <n v="4578.99"/>
    <s v="P"/>
    <m/>
    <m/>
    <s v=" "/>
    <s v="STL"/>
    <s v="YES"/>
    <s v="TBD"/>
    <d v="2024-10-09T00:00:00"/>
    <x v="19"/>
    <m/>
    <m/>
    <m/>
    <m/>
    <m/>
    <m/>
    <m/>
    <m/>
    <m/>
    <m/>
    <m/>
  </r>
  <r>
    <n v="2111"/>
    <n v="229018"/>
    <n v="225229"/>
    <s v="Capitalized"/>
    <s v="LETTERING FOR NEW ROLLOFF PETERBILT 445"/>
    <m/>
    <m/>
    <n v="1"/>
    <m/>
    <n v="0"/>
    <s v="ALICIA B JENNINGS"/>
    <m/>
    <s v="TRUCKS AND TRAILERS"/>
    <s v="TBA"/>
    <s v="Non-Rolling Stock"/>
    <m/>
    <m/>
    <d v="2020-02-28T00:00:00"/>
    <d v="2020-02-28T00:00:00"/>
    <s v="2111-19-0015-1"/>
    <n v="1000"/>
    <n v="14040"/>
    <n v="192.33"/>
    <n v="14046"/>
    <n v="88.12"/>
    <n v="104.21000000000001"/>
    <n v="14.4"/>
    <n v="51260"/>
    <n v="1.6"/>
    <s v="P"/>
    <m/>
    <m/>
    <s v=" "/>
    <s v="STL"/>
    <s v="YES"/>
    <s v="TBD"/>
    <d v="2024-10-09T00:00:00"/>
    <x v="19"/>
    <m/>
    <m/>
    <m/>
    <m/>
    <m/>
    <m/>
    <m/>
    <m/>
    <m/>
    <m/>
    <m/>
  </r>
  <r>
    <n v="2111"/>
    <n v="229017"/>
    <n v="223824"/>
    <s v="Capitalized"/>
    <s v="LETTERING FOR FL PETERBILT 915"/>
    <m/>
    <m/>
    <n v="1"/>
    <m/>
    <n v="0"/>
    <s v="ALICIA B JENNINGS"/>
    <m/>
    <s v="TRUCKS AND TRAILERS"/>
    <s v="TBA"/>
    <s v="Non-Rolling Stock"/>
    <m/>
    <m/>
    <d v="2020-02-28T00:00:00"/>
    <d v="2020-02-28T00:00:00"/>
    <s v="2111-19-0014-1"/>
    <n v="1000"/>
    <n v="14040"/>
    <n v="439.6"/>
    <n v="14046"/>
    <n v="201.45"/>
    <n v="238.15000000000003"/>
    <n v="32.94"/>
    <n v="51260"/>
    <n v="3.66"/>
    <s v="P"/>
    <m/>
    <m/>
    <s v=" "/>
    <s v="STL"/>
    <s v="YES"/>
    <s v="TBD"/>
    <d v="2024-10-09T00:00:00"/>
    <x v="19"/>
    <m/>
    <m/>
    <m/>
    <m/>
    <m/>
    <m/>
    <m/>
    <m/>
    <m/>
    <m/>
    <m/>
  </r>
  <r>
    <n v="2111"/>
    <n v="228985"/>
    <s v="P"/>
    <s v="Capitalized"/>
    <s v="65 GAL MSW CARTS"/>
    <m/>
    <m/>
    <n v="1872"/>
    <m/>
    <n v="0"/>
    <s v="REHRIG PACIFIC COMPANY IN"/>
    <m/>
    <s v="CONTAINERS"/>
    <s v="TBA"/>
    <m/>
    <m/>
    <m/>
    <d v="2020-02-10T00:00:00"/>
    <d v="2020-02-10T00:00:00"/>
    <s v="2111-20-0029-1"/>
    <n v="700"/>
    <n v="14050"/>
    <n v="73734.64"/>
    <n v="14056"/>
    <n v="49156.4"/>
    <n v="24578.239999999998"/>
    <n v="7900.11"/>
    <n v="54260"/>
    <n v="877.79"/>
    <s v="P"/>
    <m/>
    <m/>
    <s v=" "/>
    <s v="STL"/>
    <s v="YES"/>
    <s v="TBD"/>
    <d v="2024-10-09T00:00:00"/>
    <x v="19"/>
    <m/>
    <m/>
    <m/>
    <m/>
    <m/>
    <m/>
    <m/>
    <m/>
    <m/>
    <m/>
    <m/>
  </r>
  <r>
    <n v="2111"/>
    <n v="228949"/>
    <s v="P"/>
    <s v="Capitalized"/>
    <s v="95 GAL YARD WASTE CARTS"/>
    <m/>
    <m/>
    <n v="702"/>
    <m/>
    <n v="0"/>
    <s v="REHRIG PACIFIC COMPANY IN"/>
    <m/>
    <s v="CONTAINERS"/>
    <s v="TBA"/>
    <m/>
    <m/>
    <m/>
    <d v="2020-02-10T00:00:00"/>
    <d v="2020-02-10T00:00:00"/>
    <s v="2111-20-0029-1"/>
    <n v="700"/>
    <n v="14050"/>
    <n v="31747.14"/>
    <n v="14056"/>
    <n v="21164.75"/>
    <n v="10582.39"/>
    <n v="3401.46"/>
    <n v="54260"/>
    <n v="377.94"/>
    <s v="P"/>
    <m/>
    <m/>
    <s v=" "/>
    <s v="STL"/>
    <s v="YES"/>
    <s v="TBD"/>
    <d v="2024-10-09T00:00:00"/>
    <x v="19"/>
    <m/>
    <m/>
    <m/>
    <m/>
    <m/>
    <m/>
    <m/>
    <m/>
    <m/>
    <m/>
    <m/>
  </r>
  <r>
    <n v="2111"/>
    <n v="228948"/>
    <s v="P"/>
    <s v="Capitalized"/>
    <s v="95 GAL RECYCLE CARTS"/>
    <m/>
    <m/>
    <n v="702"/>
    <m/>
    <n v="0"/>
    <s v="REHRIG PACIFIC COMPANY IN"/>
    <m/>
    <s v="CONTAINERS"/>
    <s v="TBA"/>
    <m/>
    <m/>
    <m/>
    <d v="2020-02-10T00:00:00"/>
    <d v="2020-02-10T00:00:00"/>
    <s v="2111-20-0029-1"/>
    <n v="700"/>
    <n v="14050"/>
    <n v="31747.14"/>
    <n v="14056"/>
    <n v="21164.75"/>
    <n v="10582.39"/>
    <n v="3401.46"/>
    <n v="54260"/>
    <n v="377.94"/>
    <s v="P"/>
    <m/>
    <m/>
    <s v=" "/>
    <s v="STL"/>
    <s v="YES"/>
    <s v="TBD"/>
    <d v="2024-10-09T00:00:00"/>
    <x v="19"/>
    <m/>
    <m/>
    <m/>
    <m/>
    <m/>
    <m/>
    <m/>
    <m/>
    <m/>
    <m/>
    <m/>
  </r>
  <r>
    <n v="2111"/>
    <n v="228947"/>
    <s v="P"/>
    <s v="Capitalized"/>
    <s v="95 GAL RECYCLE CARTS"/>
    <m/>
    <m/>
    <n v="702"/>
    <m/>
    <n v="0"/>
    <s v="REHRIG PACIFIC COMPANY IN"/>
    <m/>
    <s v="CONTAINERS"/>
    <s v="TBA"/>
    <m/>
    <m/>
    <m/>
    <d v="2020-02-10T00:00:00"/>
    <d v="2020-02-10T00:00:00"/>
    <s v="2111-20-0029-1"/>
    <n v="700"/>
    <n v="14050"/>
    <n v="31747.14"/>
    <n v="14056"/>
    <n v="21164.75"/>
    <n v="10582.39"/>
    <n v="3401.46"/>
    <n v="54260"/>
    <n v="377.94"/>
    <s v="P"/>
    <m/>
    <m/>
    <s v=" "/>
    <s v="STL"/>
    <s v="YES"/>
    <s v="TBD"/>
    <d v="2024-10-09T00:00:00"/>
    <x v="19"/>
    <m/>
    <m/>
    <m/>
    <m/>
    <m/>
    <m/>
    <m/>
    <m/>
    <m/>
    <m/>
    <m/>
  </r>
  <r>
    <n v="2111"/>
    <n v="228781"/>
    <s v="P"/>
    <s v="Capitalized"/>
    <s v="2006 Type H TSide ASL"/>
    <m/>
    <m/>
    <n v="1"/>
    <s v="1NPZLD9X66D716708"/>
    <n v="2006"/>
    <s v="Peterbilt"/>
    <s v="Curbtender"/>
    <s v="TRUCKS AND TRAILERS"/>
    <s v="TBA"/>
    <s v="Automated Side Loader"/>
    <m/>
    <m/>
    <d v="2008-11-03T00:00:00"/>
    <d v="2008-11-03T00:00:00"/>
    <m/>
    <n v="700"/>
    <n v="14040"/>
    <n v="123500"/>
    <n v="14046"/>
    <n v="123500"/>
    <n v="0"/>
    <n v="0"/>
    <n v="51260"/>
    <n v="0"/>
    <s v="A"/>
    <s v="LeMay Enterprises"/>
    <n v="862"/>
    <s v=" "/>
    <s v="STL"/>
    <s v="YES"/>
    <s v="TBD"/>
    <d v="2024-10-09T00:00:00"/>
    <x v="19"/>
    <m/>
    <m/>
    <m/>
    <m/>
    <m/>
    <m/>
    <m/>
    <m/>
    <m/>
    <m/>
    <m/>
  </r>
  <r>
    <n v="2111"/>
    <n v="228513"/>
    <n v="225662"/>
    <s v="Capitalized"/>
    <s v="TRUCK PARKING"/>
    <m/>
    <m/>
    <n v="1"/>
    <m/>
    <n v="0"/>
    <s v="RICKABAUGH PENTECOST DEVE"/>
    <m/>
    <s v="LAND IMPROVEMENTS"/>
    <s v="TBA"/>
    <m/>
    <m/>
    <m/>
    <d v="2020-01-30T00:00:00"/>
    <d v="2020-01-30T00:00:00"/>
    <s v="2111-19-0027-1"/>
    <n v="700"/>
    <n v="14010"/>
    <n v="35264.699999999997"/>
    <n v="14016"/>
    <n v="23006.06"/>
    <n v="12258.639999999996"/>
    <n v="3778.38"/>
    <n v="57260"/>
    <n v="419.82"/>
    <s v="P"/>
    <m/>
    <m/>
    <s v=" "/>
    <s v="STL"/>
    <s v="YES"/>
    <s v="TBD"/>
    <d v="2024-10-09T00:00:00"/>
    <x v="19"/>
    <m/>
    <m/>
    <m/>
    <m/>
    <m/>
    <m/>
    <m/>
    <m/>
    <m/>
    <m/>
    <m/>
  </r>
  <r>
    <n v="2111"/>
    <n v="228512"/>
    <n v="225662"/>
    <s v="Capitalized"/>
    <s v="RECYCLE DROP AREA"/>
    <m/>
    <m/>
    <n v="1"/>
    <m/>
    <n v="0"/>
    <s v="RICKABAUGH PENTECOST DEVE"/>
    <m/>
    <s v="LAND IMPROVEMENTS"/>
    <s v="TBA"/>
    <m/>
    <m/>
    <m/>
    <d v="2020-01-30T00:00:00"/>
    <d v="2020-01-30T00:00:00"/>
    <s v="2111-19-0027-1"/>
    <n v="700"/>
    <n v="14010"/>
    <n v="14885.1"/>
    <n v="14016"/>
    <n v="9710.7199999999993"/>
    <n v="5174.380000000001"/>
    <n v="1594.8"/>
    <n v="57260"/>
    <n v="177.2"/>
    <s v="P"/>
    <m/>
    <m/>
    <s v=" "/>
    <s v="STL"/>
    <s v="YES"/>
    <s v="TBD"/>
    <d v="2024-10-09T00:00:00"/>
    <x v="19"/>
    <m/>
    <m/>
    <m/>
    <m/>
    <m/>
    <m/>
    <m/>
    <m/>
    <m/>
    <m/>
    <m/>
  </r>
  <r>
    <n v="2111"/>
    <n v="228452"/>
    <n v="228449"/>
    <s v="Capitalized"/>
    <s v="FLUP - Tires, Brakes"/>
    <m/>
    <m/>
    <n v="1"/>
    <m/>
    <n v="0"/>
    <m/>
    <m/>
    <s v="TRUCKS AND TRAILERS"/>
    <s v="TBA"/>
    <s v="Non-Rolling Stock"/>
    <m/>
    <m/>
    <d v="2015-05-17T00:00:00"/>
    <d v="2015-05-17T00:00:00"/>
    <s v="2125-14-0008-5"/>
    <n v="300"/>
    <n v="14040"/>
    <n v="312.32"/>
    <n v="14046"/>
    <n v="312.32"/>
    <n v="0"/>
    <n v="0"/>
    <n v="51260"/>
    <n v="0"/>
    <s v="P"/>
    <m/>
    <m/>
    <s v=" "/>
    <s v="STL"/>
    <s v="YES"/>
    <s v="TBD"/>
    <d v="2024-10-09T00:00:00"/>
    <x v="19"/>
    <m/>
    <m/>
    <m/>
    <m/>
    <m/>
    <m/>
    <m/>
    <m/>
    <m/>
    <m/>
    <m/>
  </r>
  <r>
    <n v="2111"/>
    <n v="228451"/>
    <n v="228449"/>
    <s v="Capitalized"/>
    <s v="FLUP- Trailer 7948 Walking Floor Replacement"/>
    <m/>
    <m/>
    <n v="1"/>
    <m/>
    <n v="0"/>
    <s v="Western Trailers"/>
    <m/>
    <s v="HEAVY EQUIPMENT"/>
    <s v="TBA"/>
    <s v="Non-Rolling Stock "/>
    <m/>
    <m/>
    <d v="2015-05-15T00:00:00"/>
    <d v="2015-05-15T00:00:00"/>
    <s v="2125-15-0002-23"/>
    <n v="300"/>
    <n v="14030"/>
    <n v="23073.41"/>
    <n v="14036"/>
    <n v="23073.41"/>
    <n v="0"/>
    <n v="0"/>
    <n v="51260"/>
    <n v="0"/>
    <s v="P"/>
    <m/>
    <m/>
    <s v=" "/>
    <s v="STL"/>
    <s v="YES"/>
    <s v="TBD"/>
    <d v="2024-10-09T00:00:00"/>
    <x v="19"/>
    <m/>
    <m/>
    <m/>
    <m/>
    <m/>
    <m/>
    <m/>
    <m/>
    <m/>
    <m/>
    <m/>
  </r>
  <r>
    <n v="2111"/>
    <n v="228450"/>
    <n v="228449"/>
    <s v="Capitalized"/>
    <s v="FLUP- Frame and Chassis Welding Repairs/Hydraulic Cylinders"/>
    <m/>
    <m/>
    <n v="1"/>
    <m/>
    <n v="0"/>
    <m/>
    <m/>
    <s v="TRUCKS AND TRAILERS"/>
    <s v="TBA"/>
    <s v="Non-Rolling Stock "/>
    <m/>
    <m/>
    <d v="2015-05-15T00:00:00"/>
    <d v="2015-05-15T00:00:00"/>
    <s v="2125-15-0002-8"/>
    <n v="300"/>
    <n v="14040"/>
    <n v="3694.18"/>
    <n v="14046"/>
    <n v="3694.18"/>
    <n v="0"/>
    <n v="0"/>
    <n v="51260"/>
    <n v="0"/>
    <s v="P"/>
    <m/>
    <m/>
    <s v=" "/>
    <s v="STL"/>
    <s v="YES"/>
    <s v="TBD"/>
    <d v="2024-10-09T00:00:00"/>
    <x v="19"/>
    <m/>
    <m/>
    <m/>
    <m/>
    <m/>
    <m/>
    <m/>
    <m/>
    <m/>
    <m/>
    <m/>
  </r>
  <r>
    <n v="2111"/>
    <n v="228449"/>
    <s v="P"/>
    <s v="Capitalized"/>
    <s v="WF Transfer Trailer"/>
    <m/>
    <m/>
    <n v="1"/>
    <s v="1W9154839XM077685"/>
    <n v="1998"/>
    <s v="Wilkens Load Runner"/>
    <m/>
    <s v="TRUCKS AND TRAILERS"/>
    <s v="TBA"/>
    <s v="Transfer Trailer"/>
    <m/>
    <m/>
    <d v="2015-04-01T00:00:00"/>
    <d v="2015-04-01T00:00:00"/>
    <m/>
    <n v="300"/>
    <n v="14040"/>
    <n v="2500"/>
    <n v="14046"/>
    <n v="2500"/>
    <n v="0"/>
    <n v="0"/>
    <n v="51260"/>
    <n v="0"/>
    <s v="A"/>
    <s v="Spokane"/>
    <s v="WF-31"/>
    <s v=" "/>
    <s v="STL"/>
    <s v="YES"/>
    <s v="TBD"/>
    <d v="2024-10-09T00:00:00"/>
    <x v="19"/>
    <m/>
    <m/>
    <m/>
    <m/>
    <m/>
    <m/>
    <m/>
    <m/>
    <m/>
    <m/>
    <m/>
  </r>
  <r>
    <n v="2111"/>
    <n v="228448"/>
    <n v="228446"/>
    <s v="Capitalized"/>
    <s v="FLUP -  Tires, Hub Caps"/>
    <m/>
    <m/>
    <n v="1"/>
    <m/>
    <n v="0"/>
    <m/>
    <m/>
    <s v="TRUCKS AND TRAILERS"/>
    <s v="TBA"/>
    <s v="Non-Rolling Stock"/>
    <m/>
    <m/>
    <d v="2015-05-17T00:00:00"/>
    <d v="2015-05-17T00:00:00"/>
    <s v="2125-14-0008-4"/>
    <n v="300"/>
    <n v="14040"/>
    <n v="1139.99"/>
    <n v="14046"/>
    <n v="1139.99"/>
    <n v="0"/>
    <n v="0"/>
    <n v="51260"/>
    <n v="0"/>
    <s v="P"/>
    <m/>
    <m/>
    <s v=" "/>
    <s v="STL"/>
    <s v="YES"/>
    <s v="TBD"/>
    <d v="2024-10-09T00:00:00"/>
    <x v="19"/>
    <m/>
    <m/>
    <m/>
    <m/>
    <m/>
    <m/>
    <m/>
    <m/>
    <m/>
    <m/>
    <m/>
  </r>
  <r>
    <n v="2111"/>
    <n v="228447"/>
    <n v="228446"/>
    <s v="Capitalized"/>
    <s v="FLUP- Frame and Chassis Welding Repairs/Walking Floor Trailer"/>
    <m/>
    <m/>
    <n v="1"/>
    <m/>
    <n v="0"/>
    <m/>
    <m/>
    <s v="TRUCKS AND TRAILERS"/>
    <s v="TBA"/>
    <s v="Non-Rolling Stock "/>
    <m/>
    <m/>
    <d v="2015-05-15T00:00:00"/>
    <d v="2015-05-15T00:00:00"/>
    <s v="2125-15-0002-7"/>
    <n v="300"/>
    <n v="14040"/>
    <n v="5335.55"/>
    <n v="14046"/>
    <n v="5335.55"/>
    <n v="0"/>
    <n v="0"/>
    <n v="51260"/>
    <n v="0"/>
    <s v="P"/>
    <m/>
    <m/>
    <s v=" "/>
    <s v="STL"/>
    <s v="YES"/>
    <s v="TBD"/>
    <d v="2024-10-09T00:00:00"/>
    <x v="19"/>
    <m/>
    <m/>
    <m/>
    <m/>
    <m/>
    <m/>
    <m/>
    <m/>
    <m/>
    <m/>
    <m/>
  </r>
  <r>
    <n v="2111"/>
    <n v="228446"/>
    <s v="P"/>
    <s v="Capitalized"/>
    <s v="WF Transfer Trailer"/>
    <m/>
    <m/>
    <n v="1"/>
    <s v="1W9154831XM077678"/>
    <n v="1998"/>
    <s v="Wilkens Load Runner"/>
    <m/>
    <s v="TRUCKS AND TRAILERS"/>
    <s v="TBA"/>
    <s v="Transfer Trailer"/>
    <m/>
    <m/>
    <d v="2015-04-01T00:00:00"/>
    <d v="2015-04-01T00:00:00"/>
    <m/>
    <n v="300"/>
    <n v="14040"/>
    <n v="2500"/>
    <n v="14046"/>
    <n v="2500"/>
    <n v="0"/>
    <n v="0"/>
    <n v="51260"/>
    <n v="0"/>
    <s v="A"/>
    <s v="Spokane"/>
    <s v="WF-30"/>
    <s v=" "/>
    <s v="STL"/>
    <s v="YES"/>
    <s v="TBD"/>
    <d v="2024-10-09T00:00:00"/>
    <x v="19"/>
    <m/>
    <m/>
    <m/>
    <m/>
    <m/>
    <m/>
    <m/>
    <m/>
    <m/>
    <m/>
    <m/>
  </r>
  <r>
    <n v="2111"/>
    <n v="228445"/>
    <n v="228442"/>
    <s v="Capitalized"/>
    <s v="FLUP - Brakes, Tires, License"/>
    <m/>
    <m/>
    <n v="1"/>
    <m/>
    <n v="0"/>
    <m/>
    <m/>
    <s v="TRUCKS AND TRAILERS"/>
    <s v="TBA"/>
    <s v="Non-Rolling Stock"/>
    <m/>
    <m/>
    <d v="2015-05-17T00:00:00"/>
    <d v="2015-05-17T00:00:00"/>
    <s v="2125-14-0008-3"/>
    <n v="300"/>
    <n v="14040"/>
    <n v="1897.24"/>
    <n v="14046"/>
    <n v="1897.24"/>
    <n v="0"/>
    <n v="0"/>
    <n v="51260"/>
    <n v="0"/>
    <s v="P"/>
    <m/>
    <m/>
    <s v=" "/>
    <s v="STL"/>
    <s v="YES"/>
    <s v="TBD"/>
    <d v="2024-10-09T00:00:00"/>
    <x v="19"/>
    <m/>
    <m/>
    <m/>
    <m/>
    <m/>
    <m/>
    <m/>
    <m/>
    <m/>
    <m/>
    <m/>
  </r>
  <r>
    <n v="2111"/>
    <n v="228444"/>
    <n v="228442"/>
    <s v="Capitalized"/>
    <s v="FLUP- Frame and Chassis Welding Repairs/Walking Floor Trailer"/>
    <m/>
    <m/>
    <n v="1"/>
    <m/>
    <n v="0"/>
    <m/>
    <m/>
    <s v="TRUCKS AND TRAILERS"/>
    <s v="TBA"/>
    <s v="Non-Rolling Stock "/>
    <m/>
    <m/>
    <d v="2015-05-15T00:00:00"/>
    <d v="2015-05-15T00:00:00"/>
    <s v="2125-15-0002-6"/>
    <n v="300"/>
    <n v="14040"/>
    <n v="5335.55"/>
    <n v="14046"/>
    <n v="5335.55"/>
    <n v="0"/>
    <n v="0"/>
    <n v="51260"/>
    <n v="0"/>
    <s v="P"/>
    <m/>
    <m/>
    <s v=" "/>
    <s v="STL"/>
    <s v="YES"/>
    <s v="TBD"/>
    <d v="2024-10-09T00:00:00"/>
    <x v="19"/>
    <m/>
    <m/>
    <m/>
    <m/>
    <m/>
    <m/>
    <m/>
    <m/>
    <m/>
    <m/>
    <m/>
  </r>
  <r>
    <n v="2111"/>
    <n v="228443"/>
    <n v="228442"/>
    <s v="Capitalized"/>
    <s v="FLUP- Replace Walking Floor Trailer Boards and Bearings"/>
    <m/>
    <m/>
    <n v="1"/>
    <m/>
    <n v="0"/>
    <s v="Western Trailers"/>
    <m/>
    <s v="TRUCKS AND TRAILERS"/>
    <s v="TBA"/>
    <s v="Non-Rolling Stock "/>
    <m/>
    <m/>
    <d v="2015-05-15T00:00:00"/>
    <d v="2015-05-15T00:00:00"/>
    <s v="2125-15-0002-6"/>
    <n v="300"/>
    <n v="14040"/>
    <n v="25000"/>
    <n v="14046"/>
    <n v="25000"/>
    <n v="0"/>
    <n v="0"/>
    <n v="51260"/>
    <n v="0"/>
    <s v="P"/>
    <m/>
    <m/>
    <s v=" "/>
    <s v="STL"/>
    <s v="YES"/>
    <s v="TBD"/>
    <d v="2024-10-09T00:00:00"/>
    <x v="19"/>
    <m/>
    <m/>
    <m/>
    <m/>
    <m/>
    <m/>
    <m/>
    <m/>
    <m/>
    <m/>
    <m/>
  </r>
  <r>
    <n v="2111"/>
    <n v="228442"/>
    <s v="P"/>
    <s v="Capitalized"/>
    <s v="WF Transfer Trailer"/>
    <m/>
    <m/>
    <n v="1"/>
    <s v="1W915483XXM077677"/>
    <n v="1998"/>
    <s v="Wilkens Load Runner"/>
    <m/>
    <s v="TRUCKS AND TRAILERS"/>
    <s v="TBA"/>
    <s v="Transfer Trailer"/>
    <m/>
    <m/>
    <d v="2015-04-01T00:00:00"/>
    <d v="2015-04-01T00:00:00"/>
    <m/>
    <n v="300"/>
    <n v="14040"/>
    <n v="2500"/>
    <n v="14046"/>
    <n v="2500"/>
    <n v="0"/>
    <n v="0"/>
    <n v="51260"/>
    <n v="0"/>
    <s v="A"/>
    <s v="Spokane"/>
    <s v="WF-29"/>
    <s v=" "/>
    <s v="STL"/>
    <s v="YES"/>
    <s v="TBD"/>
    <d v="2024-10-09T00:00:00"/>
    <x v="19"/>
    <m/>
    <m/>
    <m/>
    <m/>
    <m/>
    <m/>
    <m/>
    <m/>
    <m/>
    <m/>
    <m/>
  </r>
  <r>
    <n v="2111"/>
    <n v="228441"/>
    <n v="228439"/>
    <s v="Capitalized"/>
    <s v="FLUP - Tires"/>
    <m/>
    <m/>
    <n v="1"/>
    <m/>
    <n v="0"/>
    <m/>
    <m/>
    <s v="TRUCKS AND TRAILERS"/>
    <s v="TBA"/>
    <s v="Non-Rolling Stock"/>
    <m/>
    <m/>
    <d v="2015-05-17T00:00:00"/>
    <d v="2015-05-17T00:00:00"/>
    <s v="2125-14-0009-1"/>
    <n v="300"/>
    <n v="14040"/>
    <n v="2034.96"/>
    <n v="14046"/>
    <n v="2034.96"/>
    <n v="0"/>
    <n v="0"/>
    <n v="51260"/>
    <n v="0"/>
    <s v="P"/>
    <m/>
    <m/>
    <s v=" "/>
    <s v="STL"/>
    <s v="YES"/>
    <s v="TBD"/>
    <d v="2024-10-09T00:00:00"/>
    <x v="19"/>
    <m/>
    <m/>
    <m/>
    <m/>
    <m/>
    <m/>
    <m/>
    <m/>
    <m/>
    <m/>
    <m/>
  </r>
  <r>
    <n v="2111"/>
    <n v="228440"/>
    <n v="228439"/>
    <s v="Capitalized"/>
    <s v="FLUP- Frame and Chassis Welding Repairs/Hydraulic Cylinders"/>
    <m/>
    <m/>
    <n v="1"/>
    <m/>
    <n v="0"/>
    <m/>
    <m/>
    <s v="TRUCKS AND TRAILERS"/>
    <s v="TBA"/>
    <s v="Non-Rolling Stock "/>
    <m/>
    <m/>
    <d v="2015-05-15T00:00:00"/>
    <d v="2015-05-15T00:00:00"/>
    <s v="2125-15-0002-5"/>
    <n v="300"/>
    <n v="14040"/>
    <n v="3694.18"/>
    <n v="14046"/>
    <n v="3694.18"/>
    <n v="0"/>
    <n v="0"/>
    <n v="51260"/>
    <n v="0"/>
    <s v="P"/>
    <m/>
    <m/>
    <s v=" "/>
    <s v="STL"/>
    <s v="YES"/>
    <s v="TBD"/>
    <d v="2024-10-09T00:00:00"/>
    <x v="19"/>
    <m/>
    <m/>
    <m/>
    <m/>
    <m/>
    <m/>
    <m/>
    <m/>
    <m/>
    <m/>
    <m/>
  </r>
  <r>
    <n v="2111"/>
    <n v="228439"/>
    <s v="P"/>
    <s v="Capitalized"/>
    <s v="WF Transfer Trailer"/>
    <m/>
    <m/>
    <n v="1"/>
    <s v="2M533146536030058"/>
    <n v="2003"/>
    <s v="Manac 36348020"/>
    <m/>
    <s v="TRUCKS AND TRAILERS"/>
    <s v="TBA"/>
    <s v="Transfer Trailer"/>
    <m/>
    <m/>
    <d v="2015-04-01T00:00:00"/>
    <d v="2015-04-01T00:00:00"/>
    <m/>
    <n v="300"/>
    <n v="14040"/>
    <n v="23500"/>
    <n v="14046"/>
    <n v="23500"/>
    <n v="0"/>
    <n v="0"/>
    <n v="51260"/>
    <n v="0"/>
    <s v="A"/>
    <s v="Spokane"/>
    <s v="WF-28"/>
    <s v=" "/>
    <s v="STL"/>
    <s v="YES"/>
    <s v="TBD"/>
    <d v="2024-10-09T00:00:00"/>
    <x v="19"/>
    <m/>
    <m/>
    <m/>
    <m/>
    <m/>
    <m/>
    <m/>
    <m/>
    <m/>
    <m/>
    <m/>
  </r>
  <r>
    <n v="2111"/>
    <n v="228222"/>
    <s v="P"/>
    <s v="Capitalized"/>
    <s v="Surface Tablet"/>
    <m/>
    <m/>
    <n v="1"/>
    <m/>
    <n v="0"/>
    <s v="CDW"/>
    <m/>
    <s v="HARDWARE AND SOFTWARE"/>
    <s v="TBA"/>
    <m/>
    <m/>
    <m/>
    <d v="2020-01-31T00:00:00"/>
    <d v="2020-01-31T00:00:00"/>
    <s v="2111-20-0027-3"/>
    <n v="100"/>
    <n v="14110"/>
    <n v="1377.46"/>
    <n v="14116"/>
    <n v="1377.46"/>
    <n v="0"/>
    <n v="0"/>
    <n v="70260"/>
    <n v="0"/>
    <s v="P"/>
    <m/>
    <m/>
    <s v=" "/>
    <s v="STL"/>
    <s v="YES"/>
    <s v="TBD"/>
    <d v="2024-10-09T00:00:00"/>
    <x v="19"/>
    <m/>
    <m/>
    <m/>
    <m/>
    <m/>
    <m/>
    <m/>
    <m/>
    <m/>
    <m/>
    <m/>
  </r>
  <r>
    <n v="2111"/>
    <n v="228221"/>
    <s v="P"/>
    <s v="Capitalized"/>
    <s v="Surface Tablet"/>
    <m/>
    <m/>
    <n v="1"/>
    <m/>
    <n v="0"/>
    <s v="CDW"/>
    <m/>
    <s v="HARDWARE AND SOFTWARE"/>
    <s v="TBA"/>
    <m/>
    <m/>
    <m/>
    <d v="2020-01-31T00:00:00"/>
    <d v="2020-01-31T00:00:00"/>
    <s v="2111-20-0027-2"/>
    <n v="100"/>
    <n v="14110"/>
    <n v="1377.46"/>
    <n v="14116"/>
    <n v="1377.46"/>
    <n v="0"/>
    <n v="0"/>
    <n v="70260"/>
    <n v="0"/>
    <s v="P"/>
    <m/>
    <m/>
    <s v=" "/>
    <s v="STL"/>
    <s v="YES"/>
    <s v="TBD"/>
    <d v="2024-10-09T00:00:00"/>
    <x v="19"/>
    <m/>
    <m/>
    <m/>
    <m/>
    <m/>
    <m/>
    <m/>
    <m/>
    <m/>
    <m/>
    <m/>
  </r>
  <r>
    <n v="2111"/>
    <n v="228220"/>
    <s v="P"/>
    <s v="Capitalized"/>
    <s v="Surface Tablet"/>
    <m/>
    <m/>
    <n v="1"/>
    <m/>
    <n v="0"/>
    <s v="CDW"/>
    <m/>
    <s v="HARDWARE AND SOFTWARE"/>
    <s v="TBA"/>
    <m/>
    <m/>
    <m/>
    <d v="2020-01-31T00:00:00"/>
    <d v="2020-01-31T00:00:00"/>
    <s v="2111-20-0027-1"/>
    <n v="100"/>
    <n v="14110"/>
    <n v="1377.46"/>
    <n v="14116"/>
    <n v="1377.46"/>
    <n v="0"/>
    <n v="0"/>
    <n v="70260"/>
    <n v="0"/>
    <s v="P"/>
    <m/>
    <m/>
    <s v=" "/>
    <s v="STL"/>
    <s v="YES"/>
    <s v="TBD"/>
    <d v="2024-10-09T00:00:00"/>
    <x v="19"/>
    <m/>
    <m/>
    <m/>
    <m/>
    <m/>
    <m/>
    <m/>
    <m/>
    <m/>
    <m/>
    <m/>
  </r>
  <r>
    <n v="2111"/>
    <n v="228219"/>
    <s v="P"/>
    <s v="Capitalized"/>
    <s v="CORSAIR hard drive bracket-2111-19-0045"/>
    <m/>
    <m/>
    <n v="1"/>
    <m/>
    <n v="0"/>
    <s v="CDW"/>
    <m/>
    <s v="HARDWARE AND SOFTWARE"/>
    <s v="TBA"/>
    <m/>
    <m/>
    <m/>
    <d v="2020-01-01T00:00:00"/>
    <d v="2020-01-01T00:00:00"/>
    <s v="2111-19-0045-1"/>
    <n v="300"/>
    <n v="14110"/>
    <n v="16.66"/>
    <n v="14116"/>
    <n v="16.66"/>
    <n v="0"/>
    <n v="0"/>
    <n v="70260"/>
    <n v="0"/>
    <s v="P"/>
    <m/>
    <m/>
    <s v=" "/>
    <s v="STL"/>
    <s v="YES"/>
    <s v="TBD"/>
    <d v="2024-10-09T00:00:00"/>
    <x v="19"/>
    <m/>
    <m/>
    <m/>
    <m/>
    <m/>
    <m/>
    <m/>
    <m/>
    <m/>
    <m/>
    <m/>
  </r>
  <r>
    <n v="2111"/>
    <n v="228218"/>
    <s v="P"/>
    <s v="Capitalized"/>
    <s v="HP Prodesk 600G5"/>
    <m/>
    <m/>
    <n v="1"/>
    <m/>
    <n v="0"/>
    <s v="CDW"/>
    <m/>
    <s v="HARDWARE AND SOFTWARE"/>
    <s v="TBA"/>
    <m/>
    <m/>
    <m/>
    <d v="2020-01-01T00:00:00"/>
    <d v="2020-01-01T00:00:00"/>
    <s v="2111-19-0045-1"/>
    <n v="300"/>
    <n v="14110"/>
    <n v="1014.79"/>
    <n v="14116"/>
    <n v="1014.79"/>
    <n v="0"/>
    <n v="0"/>
    <n v="70260"/>
    <n v="0"/>
    <s v="P"/>
    <m/>
    <m/>
    <s v=" "/>
    <s v="STL"/>
    <s v="YES"/>
    <s v="TBD"/>
    <d v="2024-10-09T00:00:00"/>
    <x v="19"/>
    <m/>
    <m/>
    <m/>
    <m/>
    <m/>
    <m/>
    <m/>
    <m/>
    <m/>
    <m/>
    <m/>
  </r>
  <r>
    <n v="2111"/>
    <n v="228193"/>
    <s v="P"/>
    <s v="Capitalized"/>
    <s v="65 GAL GARBAGE CARTS"/>
    <m/>
    <m/>
    <n v="864"/>
    <m/>
    <n v="0"/>
    <s v="WASTEQUIP TOTER"/>
    <m/>
    <s v="CONTAINERS"/>
    <s v="TBA"/>
    <m/>
    <m/>
    <m/>
    <d v="2020-01-01T00:00:00"/>
    <d v="2020-01-01T00:00:00"/>
    <s v="2111-19-0043-1"/>
    <n v="611"/>
    <n v="14050"/>
    <n v="35360.720000000001"/>
    <n v="14056"/>
    <n v="24283.83"/>
    <n v="11076.89"/>
    <n v="3834.27"/>
    <n v="54260"/>
    <n v="426.03"/>
    <s v="P"/>
    <m/>
    <m/>
    <s v=" "/>
    <s v="STL"/>
    <s v="YES"/>
    <s v="TBD"/>
    <d v="2024-10-09T00:00:00"/>
    <x v="19"/>
    <m/>
    <m/>
    <m/>
    <m/>
    <m/>
    <m/>
    <m/>
    <m/>
    <m/>
    <m/>
    <m/>
  </r>
  <r>
    <n v="2111"/>
    <n v="228192"/>
    <s v="P"/>
    <s v="Capitalized"/>
    <s v="96 GAL RECYCLE CARTS"/>
    <m/>
    <m/>
    <n v="312"/>
    <m/>
    <n v="0"/>
    <s v="WASTEQUIP TOTER"/>
    <m/>
    <s v="CONTAINERS"/>
    <s v="TBA"/>
    <m/>
    <m/>
    <m/>
    <d v="2020-01-01T00:00:00"/>
    <d v="2020-01-01T00:00:00"/>
    <s v="2111-19-0043-1"/>
    <n v="611"/>
    <n v="14050"/>
    <n v="14226.43"/>
    <n v="14056"/>
    <n v="9769.92"/>
    <n v="4456.51"/>
    <n v="1542.6"/>
    <n v="54260"/>
    <n v="171.4"/>
    <s v="P"/>
    <m/>
    <m/>
    <s v=" "/>
    <s v="STL"/>
    <s v="YES"/>
    <s v="TBD"/>
    <d v="2024-10-09T00:00:00"/>
    <x v="19"/>
    <m/>
    <m/>
    <m/>
    <m/>
    <m/>
    <m/>
    <m/>
    <m/>
    <m/>
    <m/>
    <m/>
  </r>
  <r>
    <n v="2111"/>
    <n v="228191"/>
    <s v="P"/>
    <s v="Capitalized"/>
    <s v="95 GAL GARBAGE CARTS"/>
    <m/>
    <m/>
    <n v="312"/>
    <m/>
    <n v="0"/>
    <s v="WASTEQUIP TOTER"/>
    <m/>
    <s v="CONTAINERS"/>
    <s v="TBA"/>
    <m/>
    <m/>
    <m/>
    <d v="2020-01-01T00:00:00"/>
    <d v="2020-01-01T00:00:00"/>
    <s v="2111-19-0043-1"/>
    <n v="611"/>
    <n v="14050"/>
    <n v="14226.43"/>
    <n v="14056"/>
    <n v="9769.92"/>
    <n v="4456.51"/>
    <n v="1542.6"/>
    <n v="54260"/>
    <n v="171.4"/>
    <s v="P"/>
    <m/>
    <m/>
    <s v=" "/>
    <s v="STL"/>
    <s v="YES"/>
    <s v="TBD"/>
    <d v="2024-10-09T00:00:00"/>
    <x v="19"/>
    <m/>
    <m/>
    <m/>
    <m/>
    <m/>
    <m/>
    <m/>
    <m/>
    <m/>
    <m/>
    <m/>
  </r>
  <r>
    <n v="2111"/>
    <n v="228163"/>
    <n v="223824"/>
    <s v="Capitalized"/>
    <s v="LICENSING FOR TRUCK 915"/>
    <m/>
    <m/>
    <n v="1"/>
    <m/>
    <n v="0"/>
    <s v="WA DOL LIC &amp; REG 31150"/>
    <m/>
    <s v="TRUCKS AND TRAILERS"/>
    <s v="TBA"/>
    <s v="Non-Rolling Stock"/>
    <m/>
    <m/>
    <d v="2020-01-01T00:00:00"/>
    <d v="2020-01-01T00:00:00"/>
    <s v="2111-19-0014-1"/>
    <n v="908"/>
    <n v="14040"/>
    <n v="857.48"/>
    <n v="14046"/>
    <n v="421.35"/>
    <n v="436.13"/>
    <n v="66.510000000000005"/>
    <n v="51260"/>
    <n v="7.39"/>
    <s v="P"/>
    <m/>
    <m/>
    <s v=" "/>
    <s v="STL"/>
    <s v="YES"/>
    <s v="TBD"/>
    <d v="2024-10-09T00:00:00"/>
    <x v="19"/>
    <m/>
    <m/>
    <m/>
    <m/>
    <m/>
    <m/>
    <m/>
    <m/>
    <m/>
    <m/>
    <m/>
  </r>
  <r>
    <n v="2111"/>
    <n v="227886"/>
    <n v="225662"/>
    <s v="Capitalized"/>
    <s v="DEMOLITION FOR GRANGE BUILDING OFFICE AND SHED"/>
    <m/>
    <m/>
    <n v="1"/>
    <m/>
    <n v="0"/>
    <s v="W M DICKSON CO"/>
    <m/>
    <s v="LAND IMPROVEMENTS"/>
    <s v="TBA"/>
    <m/>
    <m/>
    <m/>
    <d v="2020-01-30T00:00:00"/>
    <d v="2020-01-30T00:00:00"/>
    <s v="2111-19-0027-1"/>
    <n v="700"/>
    <n v="14010"/>
    <n v="6868.75"/>
    <n v="14016"/>
    <n v="4481.04"/>
    <n v="2387.71"/>
    <n v="735.93"/>
    <n v="57260"/>
    <n v="81.77"/>
    <s v="P"/>
    <m/>
    <m/>
    <s v=" "/>
    <s v="STL"/>
    <s v="YES"/>
    <s v="TBD"/>
    <d v="2024-10-09T00:00:00"/>
    <x v="19"/>
    <m/>
    <m/>
    <m/>
    <m/>
    <m/>
    <m/>
    <m/>
    <m/>
    <m/>
    <m/>
    <m/>
  </r>
  <r>
    <n v="2111"/>
    <n v="227885"/>
    <n v="225662"/>
    <s v="Capitalized"/>
    <s v="NEW POND &amp; PAVED YARD"/>
    <m/>
    <m/>
    <n v="1"/>
    <m/>
    <n v="0"/>
    <s v="SITTS &amp; HILL ENGINEERS IN"/>
    <m/>
    <s v="LAND IMPROVEMENTS"/>
    <s v="TBA"/>
    <m/>
    <m/>
    <m/>
    <d v="2020-01-01T00:00:00"/>
    <d v="2020-01-01T00:00:00"/>
    <s v="2111-19-0027-1"/>
    <n v="700"/>
    <n v="14010"/>
    <n v="2659"/>
    <n v="14016"/>
    <n v="1756.8"/>
    <n v="902.2"/>
    <n v="284.85000000000002"/>
    <n v="57260"/>
    <n v="31.65"/>
    <s v="P"/>
    <m/>
    <m/>
    <s v=" "/>
    <s v="STL"/>
    <s v="YES"/>
    <s v="TBD"/>
    <d v="2024-10-09T00:00:00"/>
    <x v="19"/>
    <m/>
    <m/>
    <m/>
    <m/>
    <m/>
    <m/>
    <m/>
    <m/>
    <m/>
    <m/>
    <m/>
  </r>
  <r>
    <n v="2111"/>
    <n v="227884"/>
    <n v="225662"/>
    <s v="Capitalized"/>
    <s v="NEW COMMUNITY RECYCLING CENTER"/>
    <m/>
    <m/>
    <n v="1"/>
    <m/>
    <n v="0"/>
    <s v="SITTS &amp; HILL ENGINEERS IN"/>
    <m/>
    <s v="LAND IMPROVEMENTS"/>
    <s v="TBA"/>
    <m/>
    <m/>
    <m/>
    <d v="2020-01-01T00:00:00"/>
    <d v="2020-01-01T00:00:00"/>
    <s v="2111-19-0027-1"/>
    <n v="700"/>
    <n v="14010"/>
    <n v="121"/>
    <n v="14016"/>
    <n v="79.959999999999994"/>
    <n v="41.040000000000006"/>
    <n v="12.96"/>
    <n v="57260"/>
    <n v="1.44"/>
    <s v="P"/>
    <m/>
    <m/>
    <s v=" "/>
    <s v="STL"/>
    <s v="YES"/>
    <s v="TBD"/>
    <d v="2024-10-09T00:00:00"/>
    <x v="19"/>
    <m/>
    <m/>
    <m/>
    <m/>
    <m/>
    <m/>
    <m/>
    <m/>
    <m/>
    <m/>
    <m/>
  </r>
  <r>
    <n v="2111"/>
    <n v="227574"/>
    <n v="225662"/>
    <s v="Capitalized"/>
    <s v="Services from 11/19/19-12/31/19"/>
    <m/>
    <m/>
    <n v="1"/>
    <m/>
    <n v="0"/>
    <s v="MIGIZI GROUP INC"/>
    <m/>
    <s v="LAND IMPROVEMENTS"/>
    <s v="TBA"/>
    <m/>
    <m/>
    <m/>
    <d v="2020-01-01T00:00:00"/>
    <d v="2020-01-01T00:00:00"/>
    <s v="2111-19-0027-1"/>
    <n v="700"/>
    <n v="14010"/>
    <n v="2462.4"/>
    <n v="14016"/>
    <n v="1626.9"/>
    <n v="835.5"/>
    <n v="263.79000000000002"/>
    <n v="57260"/>
    <n v="29.31"/>
    <s v="P"/>
    <m/>
    <m/>
    <s v=" "/>
    <s v="STL"/>
    <s v="YES"/>
    <s v="TBD"/>
    <d v="2024-10-09T00:00:00"/>
    <x v="19"/>
    <m/>
    <m/>
    <m/>
    <m/>
    <m/>
    <m/>
    <m/>
    <m/>
    <m/>
    <m/>
    <m/>
  </r>
  <r>
    <n v="2111"/>
    <n v="226488"/>
    <n v="223823"/>
    <s v="Capitalized"/>
    <s v="Used Peterbilt 3 Axle Tractor"/>
    <m/>
    <m/>
    <n v="1"/>
    <m/>
    <n v="0"/>
    <s v="J&amp;D's Hydraulic &amp; Repair "/>
    <m/>
    <s v="TRUCKS AND TRAILERS"/>
    <s v="TBA"/>
    <s v="Non-Rolling Stock"/>
    <m/>
    <m/>
    <d v="2019-08-19T00:00:00"/>
    <d v="2019-08-19T00:00:00"/>
    <s v="2111-19-0032-1"/>
    <n v="900"/>
    <n v="14040"/>
    <n v="7293.88"/>
    <n v="14046"/>
    <n v="4119.72"/>
    <n v="3174.16"/>
    <n v="607.86"/>
    <n v="51260"/>
    <n v="67.540000000000006"/>
    <s v="P"/>
    <m/>
    <m/>
    <s v=" "/>
    <s v="STL"/>
    <s v="YES"/>
    <s v="TBD"/>
    <d v="2024-10-09T00:00:00"/>
    <x v="19"/>
    <m/>
    <m/>
    <m/>
    <m/>
    <m/>
    <m/>
    <m/>
    <m/>
    <m/>
    <m/>
    <m/>
  </r>
  <r>
    <n v="2111"/>
    <n v="226487"/>
    <n v="223823"/>
    <s v="Capitalized"/>
    <s v="Used Peterbilt 3 Axle Tractor - Scale"/>
    <m/>
    <m/>
    <n v="1"/>
    <m/>
    <n v="0"/>
    <s v="Loadman NW LLC"/>
    <m/>
    <s v="TRUCKS AND TRAILERS"/>
    <s v="TBA"/>
    <s v="Non-Rolling Stock"/>
    <m/>
    <m/>
    <d v="2019-08-19T00:00:00"/>
    <d v="2019-08-19T00:00:00"/>
    <s v="2111-19-0032-1"/>
    <n v="900"/>
    <n v="14040"/>
    <n v="6907.22"/>
    <n v="14046"/>
    <n v="3901.34"/>
    <n v="3005.88"/>
    <n v="575.64"/>
    <n v="51260"/>
    <n v="63.96"/>
    <s v="P"/>
    <m/>
    <m/>
    <s v=" "/>
    <s v="STL"/>
    <s v="YES"/>
    <s v="TBD"/>
    <d v="2024-10-09T00:00:00"/>
    <x v="19"/>
    <m/>
    <m/>
    <m/>
    <m/>
    <m/>
    <m/>
    <m/>
    <m/>
    <m/>
    <m/>
    <m/>
  </r>
  <r>
    <n v="2111"/>
    <n v="226401"/>
    <n v="219747"/>
    <s v="Capitalized"/>
    <s v="Licensing &amp; Registration"/>
    <m/>
    <m/>
    <n v="1"/>
    <m/>
    <n v="0"/>
    <s v="DOL"/>
    <m/>
    <s v="TRUCKS AND TRAILERS"/>
    <s v="TBA"/>
    <s v="Non-Rolling Stock"/>
    <m/>
    <m/>
    <d v="2019-08-19T00:00:00"/>
    <d v="2019-08-19T00:00:00"/>
    <s v="2111-19-0012-1"/>
    <n v="1000"/>
    <n v="14040"/>
    <n v="832.5"/>
    <n v="14046"/>
    <n v="423.21"/>
    <n v="409.29"/>
    <n v="62.46"/>
    <n v="51260"/>
    <n v="6.94"/>
    <s v="P"/>
    <m/>
    <m/>
    <s v=" "/>
    <s v="STL"/>
    <s v="YES"/>
    <s v="TBD"/>
    <d v="2024-10-09T00:00:00"/>
    <x v="19"/>
    <m/>
    <m/>
    <m/>
    <m/>
    <m/>
    <m/>
    <m/>
    <m/>
    <m/>
    <m/>
    <m/>
  </r>
  <r>
    <n v="2111"/>
    <n v="225795"/>
    <n v="225662"/>
    <s v="Capitalized"/>
    <s v="NEW COMMUNITY RECYCLING CENTER"/>
    <m/>
    <m/>
    <n v="1"/>
    <m/>
    <n v="0"/>
    <s v="SITTS &amp; HILL ENGINEERS IN"/>
    <m/>
    <s v="BUILDINGS"/>
    <s v="TBA"/>
    <m/>
    <m/>
    <m/>
    <d v="2019-03-15T00:00:00"/>
    <d v="2019-03-15T00:00:00"/>
    <s v="2111-19-0027-1"/>
    <n v="2000"/>
    <n v="14080"/>
    <n v="8935.75"/>
    <n v="14086"/>
    <n v="2494.4699999999998"/>
    <n v="6441.2800000000007"/>
    <n v="335.07"/>
    <n v="57260"/>
    <n v="37.229999999999997"/>
    <s v="P"/>
    <m/>
    <m/>
    <s v=" "/>
    <s v="STL"/>
    <s v="YES"/>
    <s v="TBD"/>
    <d v="2024-10-09T00:00:00"/>
    <x v="19"/>
    <m/>
    <m/>
    <m/>
    <m/>
    <m/>
    <m/>
    <m/>
    <m/>
    <m/>
    <m/>
    <m/>
  </r>
  <r>
    <n v="2111"/>
    <n v="225662"/>
    <s v="P"/>
    <s v="Capitalized"/>
    <s v="Murrey's Construction Fife Office &amp; Shop"/>
    <m/>
    <m/>
    <n v="1"/>
    <m/>
    <n v="0"/>
    <m/>
    <m/>
    <s v="LAND IMPROVEMENTS"/>
    <s v="TBA"/>
    <m/>
    <m/>
    <m/>
    <d v="2019-12-31T00:00:00"/>
    <d v="2019-12-31T00:00:00"/>
    <s v="2111-19-0027"/>
    <n v="1000"/>
    <n v="14010"/>
    <n v="174948.48000000001"/>
    <n v="14016"/>
    <n v="83100.5"/>
    <n v="91847.98000000001"/>
    <n v="13121.1"/>
    <n v="57260"/>
    <n v="1457.9"/>
    <s v="P"/>
    <m/>
    <m/>
    <s v=" "/>
    <s v="STL"/>
    <s v="YES"/>
    <s v="TBD"/>
    <d v="2024-10-09T00:00:00"/>
    <x v="19"/>
    <m/>
    <m/>
    <m/>
    <m/>
    <m/>
    <m/>
    <m/>
    <m/>
    <m/>
    <m/>
    <m/>
  </r>
  <r>
    <n v="2111"/>
    <n v="225267"/>
    <s v="P"/>
    <s v="Capitalized"/>
    <s v="2020 ASL Peterbilt 320/Labrie Automizer 29yd"/>
    <m/>
    <m/>
    <n v="1"/>
    <s v="3BPDLK0X0LF107427"/>
    <n v="2020"/>
    <s v="Peterbilt"/>
    <s v="Labrie"/>
    <s v="TRUCKS AND TRAILERS"/>
    <s v="TBA"/>
    <s v="Automated Side Loader"/>
    <m/>
    <m/>
    <d v="2019-12-24T00:00:00"/>
    <d v="2019-12-24T00:00:00"/>
    <s v="2111-19-0008"/>
    <n v="1000"/>
    <n v="14040"/>
    <n v="360568.03"/>
    <n v="14046"/>
    <n v="171269.77"/>
    <n v="189298.26000000004"/>
    <n v="27042.57"/>
    <n v="51260"/>
    <n v="3004.73"/>
    <s v="P"/>
    <m/>
    <n v="859"/>
    <s v=" "/>
    <s v="STL"/>
    <s v="YES"/>
    <s v="TBD"/>
    <d v="2024-10-09T00:00:00"/>
    <x v="19"/>
    <m/>
    <m/>
    <m/>
    <m/>
    <m/>
    <m/>
    <m/>
    <m/>
    <m/>
    <m/>
    <m/>
  </r>
  <r>
    <n v="2111"/>
    <n v="225229"/>
    <s v="P"/>
    <s v="Capitalized"/>
    <s v="2020 Peterbilt ROL Truck"/>
    <m/>
    <m/>
    <n v="1"/>
    <s v="2NP3LJ0X0LM667979"/>
    <n v="2020"/>
    <s v="Peterbilt"/>
    <m/>
    <s v="TRUCKS AND TRAILERS"/>
    <s v="TBA"/>
    <s v="Roll Off"/>
    <m/>
    <m/>
    <d v="2019-12-20T00:00:00"/>
    <d v="2019-12-20T00:00:00"/>
    <s v="2111-19-0015"/>
    <n v="1000"/>
    <n v="14040"/>
    <n v="222504.59"/>
    <n v="14046"/>
    <n v="105689.60000000001"/>
    <n v="116814.98999999999"/>
    <n v="16687.8"/>
    <n v="51260"/>
    <n v="1854.2"/>
    <s v="P"/>
    <m/>
    <n v="445"/>
    <s v=" "/>
    <s v="STL"/>
    <s v="YES"/>
    <s v="TBD"/>
    <d v="2024-10-09T00:00:00"/>
    <x v="19"/>
    <m/>
    <m/>
    <m/>
    <m/>
    <m/>
    <m/>
    <m/>
    <m/>
    <m/>
    <m/>
    <m/>
  </r>
  <r>
    <n v="2111"/>
    <n v="224757"/>
    <s v="P"/>
    <s v="Capitalized"/>
    <s v="2020 Peterbilt ASL Truck"/>
    <m/>
    <m/>
    <n v="1"/>
    <s v="3BPDLK0X5LF107424"/>
    <n v="2020"/>
    <s v="Peterbilt"/>
    <s v="Labrie"/>
    <s v="TRUCKS AND TRAILERS"/>
    <s v="TBA"/>
    <s v="Automated Side Loader"/>
    <m/>
    <m/>
    <d v="2019-12-04T00:00:00"/>
    <d v="2019-12-04T00:00:00"/>
    <s v="2111-19-0010"/>
    <n v="1000"/>
    <n v="14040"/>
    <n v="360568.03"/>
    <n v="14046"/>
    <n v="174274.5"/>
    <n v="186293.53000000003"/>
    <n v="27042.57"/>
    <n v="51260"/>
    <n v="3004.73"/>
    <s v="P"/>
    <m/>
    <n v="858"/>
    <s v=" "/>
    <s v="STL"/>
    <s v="YES"/>
    <s v="TBD"/>
    <d v="2024-10-09T00:00:00"/>
    <x v="19"/>
    <m/>
    <m/>
    <m/>
    <m/>
    <m/>
    <m/>
    <m/>
    <m/>
    <m/>
    <m/>
    <m/>
  </r>
  <r>
    <n v="2111"/>
    <n v="223824"/>
    <s v="P"/>
    <s v="Capitalized"/>
    <s v="2020 Peterbilt FEL Truck"/>
    <m/>
    <m/>
    <n v="1"/>
    <s v="3BPDLK0X9LF107961"/>
    <n v="2020"/>
    <s v="Peterbilt"/>
    <s v="Labrie"/>
    <s v="TRUCKS AND TRAILERS"/>
    <s v="TBA"/>
    <s v="Front Loader"/>
    <m/>
    <m/>
    <d v="2019-11-01T00:00:00"/>
    <d v="2019-11-01T00:00:00"/>
    <s v="2111-19-0014"/>
    <n v="1000"/>
    <n v="14040"/>
    <n v="338875.87"/>
    <n v="14046"/>
    <n v="166614.01999999999"/>
    <n v="172261.85"/>
    <n v="25415.73"/>
    <n v="51260"/>
    <n v="2823.97"/>
    <s v="P"/>
    <m/>
    <n v="915"/>
    <s v=" "/>
    <s v="STL"/>
    <s v="YES"/>
    <s v="TBD"/>
    <d v="2024-10-09T00:00:00"/>
    <x v="19"/>
    <m/>
    <m/>
    <m/>
    <m/>
    <m/>
    <m/>
    <m/>
    <m/>
    <m/>
    <m/>
    <m/>
  </r>
  <r>
    <n v="2111"/>
    <n v="223823"/>
    <s v="P"/>
    <s v="Capitalized"/>
    <s v="2019 Peterbilt Transfer Tractor"/>
    <m/>
    <m/>
    <n v="1"/>
    <s v="1XPCPP9X2KD606556"/>
    <n v="2019"/>
    <s v="Peterbilt"/>
    <m/>
    <s v="TRUCKS AND TRAILERS"/>
    <s v="TBA"/>
    <s v="Transfer Tractor"/>
    <m/>
    <m/>
    <d v="2019-11-01T00:00:00"/>
    <d v="2019-11-01T00:00:00"/>
    <s v="2111-19-0032"/>
    <n v="900"/>
    <n v="14040"/>
    <n v="162499.54"/>
    <n v="14046"/>
    <n v="88772.96"/>
    <n v="73726.58"/>
    <n v="13541.67"/>
    <n v="51260"/>
    <n v="1504.63"/>
    <s v="P"/>
    <m/>
    <n v="191"/>
    <s v=" "/>
    <s v="STL"/>
    <s v="YES"/>
    <s v="TBD"/>
    <d v="2024-10-09T00:00:00"/>
    <x v="19"/>
    <m/>
    <m/>
    <m/>
    <m/>
    <m/>
    <m/>
    <m/>
    <m/>
    <m/>
    <m/>
    <m/>
  </r>
  <r>
    <n v="2111"/>
    <n v="223804"/>
    <s v="P"/>
    <s v="Capitalized"/>
    <s v="6YD FEL MSW Metal Container"/>
    <m/>
    <m/>
    <n v="13"/>
    <m/>
    <n v="0"/>
    <s v="RULE STEEL TANKS INC"/>
    <m/>
    <s v="CONTAINERS"/>
    <s v="TBA"/>
    <m/>
    <s v="6 YD"/>
    <s v="FEL/REL/SL Metal"/>
    <d v="2019-10-07T00:00:00"/>
    <d v="2019-10-07T00:00:00"/>
    <s v="2111-19-0044-1"/>
    <n v="1200"/>
    <n v="14050"/>
    <n v="12740.06"/>
    <n v="14056"/>
    <n v="5308.33"/>
    <n v="7431.73"/>
    <n v="796.23"/>
    <n v="54260"/>
    <n v="88.47"/>
    <s v="P"/>
    <m/>
    <m/>
    <s v=" "/>
    <s v="STL"/>
    <s v="YES"/>
    <s v="TBD"/>
    <d v="2024-10-09T00:00:00"/>
    <x v="19"/>
    <m/>
    <m/>
    <m/>
    <m/>
    <m/>
    <m/>
    <m/>
    <m/>
    <m/>
    <m/>
    <m/>
  </r>
  <r>
    <n v="2111"/>
    <n v="223803"/>
    <s v="P"/>
    <s v="Capitalized"/>
    <s v="6YD FEL MSW Metal Container"/>
    <m/>
    <m/>
    <n v="7"/>
    <m/>
    <n v="0"/>
    <s v="RULE STEEL TANKS INC"/>
    <m/>
    <s v="CONTAINERS"/>
    <s v="TBA"/>
    <m/>
    <s v="6 YD"/>
    <s v="FEL/REL/SL Metal"/>
    <d v="2019-10-07T00:00:00"/>
    <d v="2019-10-07T00:00:00"/>
    <s v="2111-19-0038-1"/>
    <n v="1200"/>
    <n v="14050"/>
    <n v="6860.03"/>
    <n v="14056"/>
    <n v="2858.36"/>
    <n v="4001.6699999999996"/>
    <n v="428.76"/>
    <n v="54260"/>
    <n v="47.64"/>
    <s v="P"/>
    <m/>
    <m/>
    <s v=" "/>
    <s v="STL"/>
    <s v="YES"/>
    <s v="TBD"/>
    <d v="2024-10-09T00:00:00"/>
    <x v="19"/>
    <m/>
    <m/>
    <m/>
    <m/>
    <m/>
    <m/>
    <m/>
    <m/>
    <m/>
    <m/>
    <m/>
  </r>
  <r>
    <n v="2111"/>
    <n v="223802"/>
    <s v="P"/>
    <s v="Capitalized"/>
    <s v="4YD FEL MSW Metal Container"/>
    <m/>
    <m/>
    <n v="15"/>
    <m/>
    <n v="0"/>
    <s v="RULE STEEL TANKS INC"/>
    <m/>
    <s v="CONTAINERS"/>
    <s v="TBA"/>
    <m/>
    <s v="4 YD"/>
    <s v="FEL/REL/SL Metal"/>
    <d v="2019-10-07T00:00:00"/>
    <d v="2019-10-07T00:00:00"/>
    <s v="2111-19-0038-1"/>
    <n v="1200"/>
    <n v="14050"/>
    <n v="11040.4"/>
    <n v="14056"/>
    <n v="4600.16"/>
    <n v="6440.24"/>
    <n v="690.03"/>
    <n v="54260"/>
    <n v="76.67"/>
    <s v="P"/>
    <m/>
    <m/>
    <s v=" "/>
    <s v="STL"/>
    <s v="YES"/>
    <s v="TBD"/>
    <d v="2024-10-09T00:00:00"/>
    <x v="19"/>
    <m/>
    <m/>
    <m/>
    <m/>
    <m/>
    <m/>
    <m/>
    <m/>
    <m/>
    <m/>
    <m/>
  </r>
  <r>
    <n v="2111"/>
    <n v="223801"/>
    <s v="P"/>
    <s v="Capitalized"/>
    <s v="2YD FEL MSW Metal Container"/>
    <m/>
    <m/>
    <n v="20"/>
    <m/>
    <n v="0"/>
    <s v="RULE STEEL TANKS INC"/>
    <m/>
    <s v="CONTAINERS"/>
    <s v="TBA"/>
    <m/>
    <s v="2 YD"/>
    <s v="FEL/REL/SL Metal"/>
    <d v="2019-10-07T00:00:00"/>
    <d v="2019-10-07T00:00:00"/>
    <s v="2111-19-0038-1"/>
    <n v="1200"/>
    <n v="14050"/>
    <n v="12566.49"/>
    <n v="14056"/>
    <n v="5236.07"/>
    <n v="7330.42"/>
    <n v="785.43"/>
    <n v="54260"/>
    <n v="87.27"/>
    <s v="P"/>
    <m/>
    <m/>
    <s v=" "/>
    <s v="STL"/>
    <s v="YES"/>
    <s v="TBD"/>
    <d v="2024-10-09T00:00:00"/>
    <x v="19"/>
    <m/>
    <m/>
    <m/>
    <m/>
    <m/>
    <m/>
    <m/>
    <m/>
    <m/>
    <m/>
    <m/>
  </r>
  <r>
    <n v="2111"/>
    <n v="223800"/>
    <s v="P"/>
    <s v="Capitalized"/>
    <s v="1.5YD FEL MSW Metal Container"/>
    <m/>
    <m/>
    <n v="15"/>
    <m/>
    <n v="0"/>
    <s v="RULE STEEL TANKS INC"/>
    <m/>
    <s v="CONTAINERS"/>
    <s v="TBA"/>
    <m/>
    <s v="1.5 YD"/>
    <s v="FEL/REL/SL Metal"/>
    <d v="2019-10-07T00:00:00"/>
    <d v="2019-10-07T00:00:00"/>
    <s v="2111-19-0038-1"/>
    <n v="1200"/>
    <n v="14050"/>
    <n v="8765.4699999999993"/>
    <n v="14056"/>
    <n v="3652.28"/>
    <n v="5113.1899999999987"/>
    <n v="547.83000000000004"/>
    <n v="54260"/>
    <n v="60.87"/>
    <s v="P"/>
    <m/>
    <m/>
    <s v=" "/>
    <s v="STL"/>
    <s v="YES"/>
    <s v="TBD"/>
    <d v="2024-10-09T00:00:00"/>
    <x v="19"/>
    <m/>
    <m/>
    <m/>
    <m/>
    <m/>
    <m/>
    <m/>
    <m/>
    <m/>
    <m/>
    <m/>
  </r>
  <r>
    <n v="2111"/>
    <n v="223799"/>
    <s v="P"/>
    <s v="Capitalized"/>
    <s v="1YD FEL MSW Metal Container"/>
    <m/>
    <m/>
    <n v="20"/>
    <m/>
    <n v="0"/>
    <s v="RULE STEEL TANKS INC"/>
    <m/>
    <s v="CONTAINERS"/>
    <s v="TBA"/>
    <m/>
    <s v="1 YD"/>
    <s v="FEL/REL/SL Metal"/>
    <d v="2019-10-07T00:00:00"/>
    <d v="2019-10-07T00:00:00"/>
    <s v="2111-19-0038-1"/>
    <n v="1200"/>
    <n v="14050"/>
    <n v="10874.03"/>
    <n v="14056"/>
    <n v="4530.8100000000004"/>
    <n v="6343.22"/>
    <n v="679.59"/>
    <n v="54260"/>
    <n v="75.510000000000005"/>
    <s v="P"/>
    <m/>
    <m/>
    <s v=" "/>
    <s v="STL"/>
    <s v="YES"/>
    <s v="TBD"/>
    <d v="2024-10-09T00:00:00"/>
    <x v="19"/>
    <m/>
    <m/>
    <m/>
    <m/>
    <m/>
    <m/>
    <m/>
    <m/>
    <m/>
    <m/>
    <m/>
  </r>
  <r>
    <n v="2111"/>
    <n v="223798"/>
    <s v="P"/>
    <s v="Capitalized"/>
    <s v="2YD REL MSW Metal Container"/>
    <m/>
    <m/>
    <n v="8"/>
    <m/>
    <n v="0"/>
    <s v="RULE STEEL TANKS INC"/>
    <m/>
    <s v="CONTAINERS"/>
    <s v="TBA"/>
    <m/>
    <s v="2 YD"/>
    <s v="FEL/REL/SL Metal"/>
    <d v="2019-10-07T00:00:00"/>
    <d v="2019-10-07T00:00:00"/>
    <s v="2111-19-0038-1"/>
    <n v="1200"/>
    <n v="14050"/>
    <n v="4965.05"/>
    <n v="14056"/>
    <n v="2068.8000000000002"/>
    <n v="2896.25"/>
    <n v="310.32"/>
    <n v="54260"/>
    <n v="34.479999999999997"/>
    <s v="P"/>
    <m/>
    <m/>
    <s v=" "/>
    <s v="STL"/>
    <s v="YES"/>
    <s v="TBD"/>
    <d v="2024-10-09T00:00:00"/>
    <x v="19"/>
    <m/>
    <m/>
    <m/>
    <m/>
    <m/>
    <m/>
    <m/>
    <m/>
    <m/>
    <m/>
    <m/>
  </r>
  <r>
    <n v="2111"/>
    <n v="223797"/>
    <s v="P"/>
    <s v="Capitalized"/>
    <s v="1.5YD REL MSW Metal Container"/>
    <m/>
    <m/>
    <n v="15"/>
    <m/>
    <n v="0"/>
    <s v="RULE STEEL TANKS INC"/>
    <m/>
    <s v="CONTAINERS"/>
    <s v="TBA"/>
    <m/>
    <s v="1.5 YD"/>
    <s v="FEL/REL/SL Metal"/>
    <d v="2019-10-07T00:00:00"/>
    <d v="2019-10-07T00:00:00"/>
    <s v="2111-19-0038-1"/>
    <n v="1200"/>
    <n v="14050"/>
    <n v="8270.92"/>
    <n v="14056"/>
    <n v="3446.23"/>
    <n v="4824.6900000000005"/>
    <n v="516.96"/>
    <n v="54260"/>
    <n v="57.44"/>
    <s v="P"/>
    <m/>
    <m/>
    <s v=" "/>
    <s v="STL"/>
    <s v="YES"/>
    <s v="TBD"/>
    <d v="2024-10-09T00:00:00"/>
    <x v="19"/>
    <m/>
    <m/>
    <m/>
    <m/>
    <m/>
    <m/>
    <m/>
    <m/>
    <m/>
    <m/>
    <m/>
  </r>
  <r>
    <n v="2111"/>
    <n v="223796"/>
    <s v="P"/>
    <s v="Capitalized"/>
    <s v="1YD REL MSW Metal Container"/>
    <m/>
    <m/>
    <n v="20"/>
    <m/>
    <n v="0"/>
    <s v="RULE STEEL TANKS INC"/>
    <m/>
    <s v="CONTAINERS"/>
    <s v="TBA"/>
    <m/>
    <s v="1 YD"/>
    <s v="FEL/REL/SL Metal"/>
    <d v="2019-10-07T00:00:00"/>
    <d v="2019-10-07T00:00:00"/>
    <s v="2111-19-0038-1"/>
    <n v="1200"/>
    <n v="14050"/>
    <n v="10632.25"/>
    <n v="14056"/>
    <n v="4430.1499999999996"/>
    <n v="6202.1"/>
    <n v="664.56"/>
    <n v="54260"/>
    <n v="73.84"/>
    <s v="P"/>
    <m/>
    <m/>
    <s v=" "/>
    <s v="STL"/>
    <s v="YES"/>
    <s v="TBD"/>
    <d v="2024-10-09T00:00:00"/>
    <x v="19"/>
    <m/>
    <m/>
    <m/>
    <m/>
    <m/>
    <m/>
    <m/>
    <m/>
    <m/>
    <m/>
    <m/>
  </r>
  <r>
    <n v="2111"/>
    <n v="223371"/>
    <s v="P"/>
    <s v="Capitalized"/>
    <s v="50 YARD RO"/>
    <m/>
    <m/>
    <n v="18"/>
    <m/>
    <n v="0"/>
    <m/>
    <m/>
    <s v="CONTAINERS"/>
    <s v="TBA"/>
    <m/>
    <s v="50 YD"/>
    <s v="RO Box"/>
    <d v="2019-11-01T00:00:00"/>
    <d v="2019-11-01T00:00:00"/>
    <m/>
    <n v="0"/>
    <n v="14050"/>
    <n v="0"/>
    <n v="14056"/>
    <n v="0"/>
    <n v="0"/>
    <n v="0"/>
    <n v="54260"/>
    <n v="0"/>
    <s v="P"/>
    <m/>
    <m/>
    <s v=" "/>
    <s v="STL"/>
    <s v="NO"/>
    <s v="TBD"/>
    <d v="2024-10-09T00:00:00"/>
    <x v="19"/>
    <m/>
    <m/>
    <m/>
    <m/>
    <m/>
    <m/>
    <m/>
    <m/>
    <m/>
    <m/>
    <m/>
  </r>
  <r>
    <n v="2111"/>
    <n v="223148"/>
    <s v="P"/>
    <s v="Capitalized"/>
    <s v="20 YARD RO"/>
    <m/>
    <m/>
    <n v="152"/>
    <m/>
    <n v="0"/>
    <m/>
    <m/>
    <s v="CONTAINERS"/>
    <s v="TBA"/>
    <m/>
    <s v="20 YD"/>
    <s v="RO Box"/>
    <d v="2019-11-01T00:00:00"/>
    <d v="2019-11-01T00:00:00"/>
    <m/>
    <n v="0"/>
    <n v="14050"/>
    <n v="0"/>
    <n v="14056"/>
    <n v="0"/>
    <n v="0"/>
    <n v="0"/>
    <n v="54260"/>
    <n v="0"/>
    <s v="P"/>
    <m/>
    <m/>
    <s v=" "/>
    <s v="STL"/>
    <s v="NO"/>
    <s v="TBD"/>
    <d v="2024-10-09T00:00:00"/>
    <x v="19"/>
    <m/>
    <m/>
    <m/>
    <m/>
    <m/>
    <m/>
    <m/>
    <m/>
    <m/>
    <m/>
    <m/>
  </r>
  <r>
    <n v="2111"/>
    <n v="222278"/>
    <s v="P"/>
    <s v="Capitalized"/>
    <s v="LAPTOP/DOCKING STATION FOR MM"/>
    <m/>
    <m/>
    <n v="1"/>
    <m/>
    <n v="0"/>
    <s v="CDW"/>
    <m/>
    <s v="HARDWARE AND SOFTWARE"/>
    <s v="TBA"/>
    <m/>
    <m/>
    <m/>
    <d v="2019-10-04T00:00:00"/>
    <d v="2019-10-04T00:00:00"/>
    <s v="2111-19-0042-1"/>
    <n v="300"/>
    <n v="14110"/>
    <n v="1413.67"/>
    <n v="14116"/>
    <n v="1413.67"/>
    <n v="0"/>
    <n v="0"/>
    <n v="70260"/>
    <n v="0"/>
    <s v="P"/>
    <m/>
    <m/>
    <s v=" "/>
    <s v="STL"/>
    <s v="YES"/>
    <s v="TBD"/>
    <d v="2024-10-09T00:00:00"/>
    <x v="19"/>
    <m/>
    <m/>
    <m/>
    <m/>
    <m/>
    <m/>
    <m/>
    <m/>
    <m/>
    <m/>
    <m/>
  </r>
  <r>
    <n v="2111"/>
    <n v="222013"/>
    <n v="219747"/>
    <s v="Capitalized"/>
    <s v="LETTERING MURREYS FRONT LOADER 914"/>
    <m/>
    <m/>
    <n v="1"/>
    <m/>
    <n v="0"/>
    <s v="ALICIA B JENNINGS"/>
    <m/>
    <s v="TRUCKS AND TRAILERS"/>
    <s v="TBA"/>
    <s v="Non-Rolling Stock"/>
    <m/>
    <m/>
    <d v="2019-08-19T00:00:00"/>
    <d v="2019-08-19T00:00:00"/>
    <s v="2111-19-0012-1"/>
    <n v="1000"/>
    <n v="14040"/>
    <n v="467.75"/>
    <n v="14046"/>
    <n v="237.81"/>
    <n v="229.94"/>
    <n v="35.1"/>
    <n v="51260"/>
    <n v="3.9"/>
    <s v="P"/>
    <m/>
    <m/>
    <s v=" "/>
    <s v="STL"/>
    <s v="YES"/>
    <s v="TBD"/>
    <d v="2024-10-09T00:00:00"/>
    <x v="19"/>
    <m/>
    <m/>
    <m/>
    <m/>
    <m/>
    <m/>
    <m/>
    <m/>
    <m/>
    <m/>
    <m/>
  </r>
  <r>
    <n v="2111"/>
    <n v="221745"/>
    <s v="P"/>
    <s v="Capitalized"/>
    <s v="2020 Peterbilt ASL Truck"/>
    <m/>
    <m/>
    <n v="1"/>
    <s v="3BPDLK0X4LF107317"/>
    <n v="2020"/>
    <s v="Peterbilt"/>
    <s v="Labrie"/>
    <s v="TRUCKS AND TRAILERS"/>
    <s v="TBA"/>
    <s v="Automated Side Loader"/>
    <m/>
    <m/>
    <d v="2019-10-17T00:00:00"/>
    <d v="2019-10-17T00:00:00"/>
    <s v="2111-19-0009"/>
    <n v="1000"/>
    <n v="14040"/>
    <n v="360568.03"/>
    <n v="14046"/>
    <n v="177279.24"/>
    <n v="183288.79000000004"/>
    <n v="27042.57"/>
    <n v="51260"/>
    <n v="3004.73"/>
    <s v="P"/>
    <m/>
    <n v="857"/>
    <s v=" "/>
    <s v="STL"/>
    <s v="YES"/>
    <s v="TBD"/>
    <d v="2024-10-09T00:00:00"/>
    <x v="19"/>
    <m/>
    <m/>
    <m/>
    <m/>
    <m/>
    <m/>
    <m/>
    <m/>
    <m/>
    <m/>
    <m/>
  </r>
  <r>
    <n v="2111"/>
    <n v="220853"/>
    <n v="219747"/>
    <s v="Capitalized"/>
    <s v="EVENT RECORDER"/>
    <m/>
    <m/>
    <n v="1"/>
    <m/>
    <n v="0"/>
    <s v="LYTX"/>
    <m/>
    <s v="TRUCKS AND TRAILERS"/>
    <s v="TBA"/>
    <s v="Non-Rolling Stock"/>
    <m/>
    <m/>
    <d v="2019-08-19T00:00:00"/>
    <d v="2019-08-19T00:00:00"/>
    <s v="2111-19-0012-1"/>
    <n v="500"/>
    <n v="14040"/>
    <n v="505.54"/>
    <n v="14046"/>
    <n v="505.54"/>
    <n v="0"/>
    <n v="67.400000000000006"/>
    <n v="51260"/>
    <n v="8.39"/>
    <s v="P"/>
    <m/>
    <m/>
    <s v=" "/>
    <s v="STL"/>
    <s v="YES"/>
    <s v="TBD"/>
    <d v="2024-10-09T00:00:00"/>
    <x v="19"/>
    <m/>
    <m/>
    <m/>
    <m/>
    <m/>
    <m/>
    <m/>
    <m/>
    <m/>
    <m/>
    <m/>
  </r>
  <r>
    <n v="2111"/>
    <n v="220852"/>
    <n v="221745"/>
    <s v="Capitalized"/>
    <s v="EVENT RECORDER"/>
    <m/>
    <m/>
    <n v="1"/>
    <m/>
    <n v="0"/>
    <s v="LYTX"/>
    <m/>
    <s v="TRUCKS AND TRAILERS"/>
    <s v="TBA"/>
    <s v="Non-Rolling Stock"/>
    <m/>
    <m/>
    <d v="2019-08-19T00:00:00"/>
    <d v="2019-08-19T00:00:00"/>
    <s v="2111-19-0009-1"/>
    <n v="500"/>
    <n v="14040"/>
    <n v="505.54"/>
    <n v="14046"/>
    <n v="505.54"/>
    <n v="0"/>
    <n v="67.400000000000006"/>
    <n v="51260"/>
    <n v="8.39"/>
    <s v="P"/>
    <m/>
    <m/>
    <s v=" "/>
    <s v="STL"/>
    <s v="YES"/>
    <s v="TBD"/>
    <d v="2024-10-09T00:00:00"/>
    <x v="19"/>
    <m/>
    <m/>
    <m/>
    <m/>
    <m/>
    <m/>
    <m/>
    <m/>
    <m/>
    <m/>
    <m/>
  </r>
  <r>
    <n v="2111"/>
    <n v="220851"/>
    <n v="225267"/>
    <s v="Capitalized"/>
    <s v="EVENT RECORDER"/>
    <m/>
    <m/>
    <n v="1"/>
    <m/>
    <n v="0"/>
    <s v="LYTX"/>
    <m/>
    <s v="TRUCKS AND TRAILERS"/>
    <s v="TBA"/>
    <s v="Non-Rolling Stock"/>
    <m/>
    <m/>
    <d v="2019-08-19T00:00:00"/>
    <d v="2019-08-19T00:00:00"/>
    <s v="2111-19-0008-1"/>
    <n v="500"/>
    <n v="14040"/>
    <n v="505.54"/>
    <n v="14046"/>
    <n v="505.54"/>
    <n v="0"/>
    <n v="67.400000000000006"/>
    <n v="51260"/>
    <n v="8.39"/>
    <s v="P"/>
    <m/>
    <m/>
    <s v=" "/>
    <s v="STL"/>
    <s v="YES"/>
    <s v="TBD"/>
    <d v="2024-10-09T00:00:00"/>
    <x v="19"/>
    <m/>
    <m/>
    <m/>
    <m/>
    <m/>
    <m/>
    <m/>
    <m/>
    <m/>
    <m/>
    <m/>
  </r>
  <r>
    <n v="2111"/>
    <n v="220557"/>
    <s v="P"/>
    <s v="Capitalized"/>
    <s v="96 GAL YARD WASTE TOTES"/>
    <m/>
    <m/>
    <n v="624"/>
    <m/>
    <n v="0"/>
    <s v="WASTEQUIP TOTER"/>
    <m/>
    <s v="CONTAINERS"/>
    <s v="TBA"/>
    <m/>
    <m/>
    <m/>
    <d v="2019-07-11T00:00:00"/>
    <d v="2019-07-11T00:00:00"/>
    <s v="2111-19-0041-1"/>
    <n v="700"/>
    <n v="14050"/>
    <n v="31961"/>
    <n v="14056"/>
    <n v="23970.78"/>
    <n v="7990.2200000000012"/>
    <n v="3424.41"/>
    <n v="54260"/>
    <n v="380.49"/>
    <s v="P"/>
    <m/>
    <m/>
    <s v=" "/>
    <s v="STL"/>
    <s v="YES"/>
    <s v="TBD"/>
    <d v="2024-10-09T00:00:00"/>
    <x v="19"/>
    <m/>
    <m/>
    <m/>
    <m/>
    <m/>
    <m/>
    <m/>
    <m/>
    <m/>
    <m/>
    <m/>
  </r>
  <r>
    <n v="2111"/>
    <n v="220556"/>
    <s v="P"/>
    <s v="Capitalized"/>
    <s v="96 GAL MSW TOTES"/>
    <m/>
    <m/>
    <n v="624"/>
    <m/>
    <n v="0"/>
    <s v="WASTEQUIP TOTER"/>
    <m/>
    <s v="CONTAINERS"/>
    <s v="TBA"/>
    <m/>
    <m/>
    <m/>
    <d v="2019-07-11T00:00:00"/>
    <d v="2019-07-11T00:00:00"/>
    <s v="2111-19-0041-1"/>
    <n v="700"/>
    <n v="14050"/>
    <n v="31961"/>
    <n v="14056"/>
    <n v="23970.78"/>
    <n v="7990.2200000000012"/>
    <n v="3424.41"/>
    <n v="54260"/>
    <n v="380.49"/>
    <s v="P"/>
    <m/>
    <m/>
    <s v=" "/>
    <s v="STL"/>
    <s v="YES"/>
    <s v="TBD"/>
    <d v="2024-10-09T00:00:00"/>
    <x v="19"/>
    <m/>
    <m/>
    <m/>
    <m/>
    <m/>
    <m/>
    <m/>
    <m/>
    <m/>
    <m/>
    <m/>
  </r>
  <r>
    <n v="2111"/>
    <n v="220555"/>
    <s v="P"/>
    <s v="Capitalized"/>
    <s v="96 GAL YARD WASTE TOTES"/>
    <m/>
    <m/>
    <n v="624"/>
    <m/>
    <n v="0"/>
    <s v="WASTEQUIP TOTER"/>
    <m/>
    <s v="CONTAINERS"/>
    <s v="TBA"/>
    <m/>
    <m/>
    <m/>
    <d v="2019-07-11T00:00:00"/>
    <d v="2019-07-11T00:00:00"/>
    <s v="2111-19-0041-1"/>
    <n v="700"/>
    <n v="14050"/>
    <n v="31961"/>
    <n v="14056"/>
    <n v="23970.78"/>
    <n v="7990.2200000000012"/>
    <n v="3424.41"/>
    <n v="54260"/>
    <n v="380.49"/>
    <s v="P"/>
    <m/>
    <m/>
    <s v=" "/>
    <s v="STL"/>
    <s v="YES"/>
    <s v="TBD"/>
    <d v="2024-10-09T00:00:00"/>
    <x v="19"/>
    <m/>
    <m/>
    <m/>
    <m/>
    <m/>
    <m/>
    <m/>
    <m/>
    <m/>
    <m/>
    <m/>
  </r>
  <r>
    <n v="2111"/>
    <n v="220554"/>
    <s v="P"/>
    <s v="Capitalized"/>
    <s v="MSW 64 GAL TOTES"/>
    <m/>
    <m/>
    <n v="864"/>
    <m/>
    <n v="0"/>
    <s v="WASTEQUIP TOTER"/>
    <m/>
    <s v="CONTAINERS"/>
    <s v="TBA"/>
    <m/>
    <m/>
    <m/>
    <d v="2019-07-11T00:00:00"/>
    <d v="2019-07-11T00:00:00"/>
    <s v="2111-19-0041-1"/>
    <n v="700"/>
    <n v="14050"/>
    <n v="39372.660000000003"/>
    <n v="14056"/>
    <n v="29529.49"/>
    <n v="9843.1700000000019"/>
    <n v="4218.4799999999996"/>
    <n v="54260"/>
    <n v="468.72"/>
    <s v="P"/>
    <m/>
    <m/>
    <s v=" "/>
    <s v="STL"/>
    <s v="YES"/>
    <s v="TBD"/>
    <d v="2024-10-09T00:00:00"/>
    <x v="19"/>
    <m/>
    <m/>
    <m/>
    <m/>
    <m/>
    <m/>
    <m/>
    <m/>
    <m/>
    <m/>
    <m/>
  </r>
  <r>
    <n v="2111"/>
    <n v="219747"/>
    <s v="P"/>
    <s v="Capitalized"/>
    <s v="2019 FL Peterbilt FEL Truck"/>
    <m/>
    <m/>
    <n v="1"/>
    <s v="3BPDL70X3KF104792"/>
    <n v="2019"/>
    <s v="Peterbilt"/>
    <s v="Labrie"/>
    <s v="TRUCKS AND TRAILERS"/>
    <s v="TBA"/>
    <s v="Front Loader"/>
    <m/>
    <m/>
    <d v="2019-09-30T00:00:00"/>
    <d v="2019-09-30T00:00:00"/>
    <s v="2111-19-0012"/>
    <n v="1000"/>
    <n v="14040"/>
    <n v="338200.33"/>
    <n v="14046"/>
    <n v="169100.19"/>
    <n v="169100.14"/>
    <n v="25365.06"/>
    <n v="51260"/>
    <n v="2818.34"/>
    <s v="P"/>
    <m/>
    <n v="914"/>
    <s v=" "/>
    <s v="STL"/>
    <s v="YES"/>
    <s v="TBD"/>
    <d v="2024-10-09T00:00:00"/>
    <x v="19"/>
    <m/>
    <m/>
    <m/>
    <m/>
    <m/>
    <m/>
    <m/>
    <m/>
    <m/>
    <m/>
    <m/>
  </r>
  <r>
    <n v="2111"/>
    <n v="219032"/>
    <s v="P"/>
    <s v="Capitalized"/>
    <s v="96 GAL YARD WASTE TOTES"/>
    <m/>
    <m/>
    <n v="1248"/>
    <m/>
    <n v="0"/>
    <s v="WASTEQUIP TOTER"/>
    <m/>
    <s v="CONTAINERS"/>
    <s v="TBA"/>
    <m/>
    <m/>
    <m/>
    <d v="2019-07-11T00:00:00"/>
    <d v="2019-07-11T00:00:00"/>
    <s v="2111-19-0041-1"/>
    <n v="700"/>
    <n v="14050"/>
    <n v="53635.38"/>
    <n v="14056"/>
    <n v="40226.58"/>
    <n v="13408.799999999996"/>
    <n v="5746.68"/>
    <n v="54260"/>
    <n v="638.52"/>
    <s v="P"/>
    <m/>
    <m/>
    <s v=" "/>
    <s v="STL"/>
    <s v="YES"/>
    <s v="TBD"/>
    <d v="2024-10-09T00:00:00"/>
    <x v="19"/>
    <m/>
    <m/>
    <m/>
    <m/>
    <m/>
    <m/>
    <m/>
    <m/>
    <m/>
    <m/>
    <m/>
  </r>
  <r>
    <n v="2111"/>
    <n v="217872"/>
    <s v="P"/>
    <s v="Capitalized"/>
    <s v="64 GAL MSW TOTES"/>
    <m/>
    <m/>
    <n v="250"/>
    <m/>
    <n v="0"/>
    <s v="WASTEQUIP TOTER"/>
    <m/>
    <s v="CONTAINERS"/>
    <s v="TBA"/>
    <m/>
    <m/>
    <m/>
    <d v="2019-06-26T00:00:00"/>
    <d v="2019-06-26T00:00:00"/>
    <s v="2111-19-0039-1"/>
    <n v="700"/>
    <n v="14050"/>
    <n v="11598.41"/>
    <n v="14056"/>
    <n v="8698.86"/>
    <n v="2899.5499999999993"/>
    <n v="1242.72"/>
    <n v="54260"/>
    <n v="138.08000000000001"/>
    <s v="P"/>
    <m/>
    <m/>
    <s v=" "/>
    <s v="STL"/>
    <s v="YES"/>
    <s v="TBD"/>
    <d v="2024-10-09T00:00:00"/>
    <x v="19"/>
    <m/>
    <m/>
    <m/>
    <m/>
    <m/>
    <m/>
    <m/>
    <m/>
    <m/>
    <m/>
    <m/>
  </r>
  <r>
    <n v="2111"/>
    <n v="217871"/>
    <s v="P"/>
    <s v="Capitalized"/>
    <s v="96 GAL RECYCLE TOTES"/>
    <m/>
    <m/>
    <n v="624"/>
    <m/>
    <n v="0"/>
    <s v="WASTEQUIP TOTER"/>
    <m/>
    <s v="CONTAINERS"/>
    <s v="TBA"/>
    <m/>
    <m/>
    <m/>
    <d v="2019-06-26T00:00:00"/>
    <d v="2019-06-26T00:00:00"/>
    <s v="2111-19-0039-1"/>
    <n v="700"/>
    <n v="14050"/>
    <n v="31929.82"/>
    <n v="14056"/>
    <n v="23947.38"/>
    <n v="7982.4399999999987"/>
    <n v="3421.08"/>
    <n v="54260"/>
    <n v="380.12"/>
    <s v="P"/>
    <m/>
    <m/>
    <s v=" "/>
    <s v="STL"/>
    <s v="YES"/>
    <s v="TBD"/>
    <d v="2024-10-09T00:00:00"/>
    <x v="19"/>
    <m/>
    <m/>
    <m/>
    <m/>
    <m/>
    <m/>
    <m/>
    <m/>
    <m/>
    <m/>
    <m/>
  </r>
  <r>
    <n v="2111"/>
    <n v="217870"/>
    <s v="P"/>
    <s v="Capitalized"/>
    <s v="96 GAL RECYCLE TOTES"/>
    <m/>
    <m/>
    <n v="624"/>
    <m/>
    <n v="0"/>
    <s v="WASTEQUIP TOTER"/>
    <m/>
    <s v="CONTAINERS"/>
    <s v="TBA"/>
    <m/>
    <m/>
    <m/>
    <d v="2019-06-26T00:00:00"/>
    <d v="2019-06-26T00:00:00"/>
    <s v="2111-19-0039-1"/>
    <n v="700"/>
    <n v="14050"/>
    <n v="31929.82"/>
    <n v="14056"/>
    <n v="23947.38"/>
    <n v="7982.4399999999987"/>
    <n v="3421.08"/>
    <n v="54260"/>
    <n v="380.12"/>
    <s v="P"/>
    <m/>
    <m/>
    <s v=" "/>
    <s v="STL"/>
    <s v="YES"/>
    <s v="TBD"/>
    <d v="2024-10-09T00:00:00"/>
    <x v="19"/>
    <m/>
    <m/>
    <m/>
    <m/>
    <m/>
    <m/>
    <m/>
    <m/>
    <m/>
    <m/>
    <m/>
  </r>
  <r>
    <n v="2111"/>
    <n v="217869"/>
    <s v="P"/>
    <s v="Capitalized"/>
    <s v="96 GAL MSW TOTES"/>
    <m/>
    <m/>
    <n v="250"/>
    <m/>
    <n v="0"/>
    <s v="WASTEQUIP TOTER"/>
    <m/>
    <s v="CONTAINERS"/>
    <s v="TBA"/>
    <m/>
    <m/>
    <m/>
    <d v="2019-06-26T00:00:00"/>
    <d v="2019-06-26T00:00:00"/>
    <s v="2111-19-0039-1"/>
    <n v="700"/>
    <n v="14050"/>
    <n v="12697.41"/>
    <n v="14056"/>
    <n v="9523.08"/>
    <n v="3174.33"/>
    <n v="1360.44"/>
    <n v="54260"/>
    <n v="151.16"/>
    <s v="P"/>
    <m/>
    <m/>
    <s v=" "/>
    <s v="STL"/>
    <s v="YES"/>
    <s v="TBD"/>
    <d v="2024-10-09T00:00:00"/>
    <x v="19"/>
    <m/>
    <m/>
    <m/>
    <m/>
    <m/>
    <m/>
    <m/>
    <m/>
    <m/>
    <m/>
    <m/>
  </r>
  <r>
    <n v="2111"/>
    <n v="217868"/>
    <s v="P"/>
    <s v="Capitalized"/>
    <s v="96 GAL YARD WASTE TOTES"/>
    <m/>
    <m/>
    <n v="182"/>
    <m/>
    <n v="0"/>
    <s v="WASTEQUIP TOTER"/>
    <m/>
    <s v="CONTAINERS"/>
    <s v="TBA"/>
    <m/>
    <m/>
    <m/>
    <d v="2019-06-26T00:00:00"/>
    <d v="2019-06-26T00:00:00"/>
    <s v="2111-19-0039-1"/>
    <n v="700"/>
    <n v="14050"/>
    <n v="9244.0499999999993"/>
    <n v="14056"/>
    <n v="6933.06"/>
    <n v="2310.9899999999989"/>
    <n v="990.45"/>
    <n v="54260"/>
    <n v="110.05"/>
    <s v="P"/>
    <m/>
    <m/>
    <s v=" "/>
    <s v="STL"/>
    <s v="YES"/>
    <s v="TBD"/>
    <d v="2024-10-09T00:00:00"/>
    <x v="19"/>
    <m/>
    <m/>
    <m/>
    <m/>
    <m/>
    <m/>
    <m/>
    <m/>
    <m/>
    <m/>
    <m/>
  </r>
  <r>
    <n v="2111"/>
    <n v="217184"/>
    <n v="60338"/>
    <s v="Capitalized"/>
    <s v="WET KIT FOR TRUCK #158"/>
    <m/>
    <m/>
    <n v="1"/>
    <m/>
    <n v="0"/>
    <s v="J&amp;DS HYDRAULIC &amp; REPAIR C"/>
    <m/>
    <s v="TRUCKS AND TRAILERS"/>
    <s v="TBA"/>
    <s v="Non-Rolling Stock"/>
    <m/>
    <m/>
    <d v="2019-02-22T00:00:00"/>
    <d v="2019-02-22T00:00:00"/>
    <s v="2111-19-0040-2"/>
    <n v="300"/>
    <n v="14040"/>
    <n v="6435.44"/>
    <n v="14046"/>
    <n v="6435.44"/>
    <n v="0"/>
    <n v="0"/>
    <n v="51260"/>
    <n v="0"/>
    <s v="P"/>
    <m/>
    <m/>
    <s v=" "/>
    <s v="STL"/>
    <s v="YES"/>
    <s v="TBD"/>
    <d v="2024-10-09T00:00:00"/>
    <x v="19"/>
    <m/>
    <m/>
    <m/>
    <m/>
    <m/>
    <m/>
    <m/>
    <m/>
    <m/>
    <m/>
    <m/>
  </r>
  <r>
    <n v="2111"/>
    <n v="217183"/>
    <n v="102347"/>
    <s v="Capitalized"/>
    <s v="WET KIT FOR TRUCK #60"/>
    <m/>
    <m/>
    <n v="1"/>
    <m/>
    <n v="0"/>
    <s v="J&amp;DS HYDRAULIC &amp; REPAIR C"/>
    <m/>
    <s v="TRUCKS AND TRAILERS"/>
    <s v="TBA"/>
    <s v="Non-Rolling Stock"/>
    <m/>
    <m/>
    <d v="2019-02-22T00:00:00"/>
    <d v="2019-02-22T00:00:00"/>
    <s v="2111-19-0040-1"/>
    <n v="300"/>
    <n v="14040"/>
    <n v="6435.44"/>
    <n v="14046"/>
    <n v="6435.44"/>
    <n v="0"/>
    <n v="0"/>
    <n v="51260"/>
    <n v="0"/>
    <s v="P"/>
    <m/>
    <m/>
    <s v=" "/>
    <s v="STL"/>
    <s v="YES"/>
    <s v="TBD"/>
    <d v="2024-10-09T00:00:00"/>
    <x v="19"/>
    <m/>
    <m/>
    <m/>
    <m/>
    <m/>
    <m/>
    <m/>
    <m/>
    <m/>
    <m/>
    <m/>
  </r>
  <r>
    <n v="2111"/>
    <n v="216712"/>
    <s v="P"/>
    <s v="Capitalized"/>
    <s v="21 GAL MSW TOTES"/>
    <m/>
    <m/>
    <n v="200"/>
    <m/>
    <n v="0"/>
    <s v="WASTEQUIP TOTER"/>
    <m/>
    <s v="CONTAINERS"/>
    <s v="TBA"/>
    <m/>
    <m/>
    <m/>
    <d v="2019-04-27T00:00:00"/>
    <d v="2019-04-27T00:00:00"/>
    <s v="2111-19-0037-1"/>
    <n v="700"/>
    <n v="14050"/>
    <n v="7478.78"/>
    <n v="14056"/>
    <n v="5787.14"/>
    <n v="1691.6399999999994"/>
    <n v="801.27"/>
    <n v="54260"/>
    <n v="89.03"/>
    <s v="P"/>
    <m/>
    <m/>
    <s v=" "/>
    <s v="STL"/>
    <s v="YES"/>
    <s v="TBD"/>
    <d v="2024-10-09T00:00:00"/>
    <x v="19"/>
    <m/>
    <m/>
    <m/>
    <m/>
    <m/>
    <m/>
    <m/>
    <m/>
    <m/>
    <m/>
    <m/>
  </r>
  <r>
    <n v="2111"/>
    <n v="216711"/>
    <s v="P"/>
    <s v="Capitalized"/>
    <s v="96 GAL MSW TOTES"/>
    <m/>
    <m/>
    <n v="150"/>
    <m/>
    <n v="0"/>
    <s v="WASTEQUIP TOTER"/>
    <m/>
    <s v="CONTAINERS"/>
    <s v="TBA"/>
    <m/>
    <m/>
    <m/>
    <d v="2019-04-27T00:00:00"/>
    <d v="2019-04-27T00:00:00"/>
    <s v="2111-19-0037-1"/>
    <n v="700"/>
    <n v="14050"/>
    <n v="7587.03"/>
    <n v="14056"/>
    <n v="5870.9"/>
    <n v="1716.13"/>
    <n v="812.88"/>
    <n v="54260"/>
    <n v="90.32"/>
    <s v="P"/>
    <m/>
    <m/>
    <s v=" "/>
    <s v="STL"/>
    <s v="YES"/>
    <s v="TBD"/>
    <d v="2024-10-09T00:00:00"/>
    <x v="19"/>
    <m/>
    <m/>
    <m/>
    <m/>
    <m/>
    <m/>
    <m/>
    <m/>
    <m/>
    <m/>
    <m/>
  </r>
  <r>
    <n v="2111"/>
    <n v="216710"/>
    <s v="P"/>
    <s v="Capitalized"/>
    <s v="96 GAL YW TOTES"/>
    <m/>
    <m/>
    <n v="312"/>
    <m/>
    <n v="0"/>
    <s v="WASTEQUIP TOTER"/>
    <m/>
    <s v="CONTAINERS"/>
    <s v="TBA"/>
    <m/>
    <m/>
    <m/>
    <d v="2019-04-27T00:00:00"/>
    <d v="2019-04-27T00:00:00"/>
    <s v="2111-19-0037-1"/>
    <n v="700"/>
    <n v="14050"/>
    <n v="15782.15"/>
    <n v="14056"/>
    <n v="12212.34"/>
    <n v="3569.8099999999995"/>
    <n v="1690.92"/>
    <n v="54260"/>
    <n v="187.88"/>
    <s v="P"/>
    <m/>
    <m/>
    <s v=" "/>
    <s v="STL"/>
    <s v="YES"/>
    <s v="TBD"/>
    <d v="2024-10-09T00:00:00"/>
    <x v="19"/>
    <m/>
    <m/>
    <m/>
    <m/>
    <m/>
    <m/>
    <m/>
    <m/>
    <m/>
    <m/>
    <m/>
  </r>
  <r>
    <n v="2111"/>
    <n v="216709"/>
    <s v="P"/>
    <s v="Capitalized"/>
    <s v="96 GAL RECYCLE TOTES"/>
    <m/>
    <m/>
    <n v="624"/>
    <m/>
    <n v="0"/>
    <s v="WASTEQUIP TOTER"/>
    <m/>
    <s v="CONTAINERS"/>
    <s v="TBA"/>
    <m/>
    <m/>
    <m/>
    <d v="2019-04-27T00:00:00"/>
    <d v="2019-04-27T00:00:00"/>
    <s v="2111-19-0037-1"/>
    <n v="700"/>
    <n v="14050"/>
    <n v="31710.67"/>
    <n v="14056"/>
    <n v="24538.05"/>
    <n v="7172.619999999999"/>
    <n v="3397.59"/>
    <n v="54260"/>
    <n v="377.51"/>
    <s v="P"/>
    <m/>
    <m/>
    <s v=" "/>
    <s v="STL"/>
    <s v="YES"/>
    <s v="TBD"/>
    <d v="2024-10-09T00:00:00"/>
    <x v="19"/>
    <m/>
    <m/>
    <m/>
    <m/>
    <m/>
    <m/>
    <m/>
    <m/>
    <m/>
    <m/>
    <m/>
  </r>
  <r>
    <n v="2111"/>
    <n v="213241"/>
    <s v="P"/>
    <s v="Capitalized"/>
    <s v="1993 Type HT Dolly Trailer"/>
    <m/>
    <m/>
    <n v="1"/>
    <s v="1H2E00717NE045703"/>
    <n v="1993"/>
    <s v="Fruehauf"/>
    <s v="Fruehauf"/>
    <s v="TRUCKS AND TRAILERS"/>
    <s v="TBA"/>
    <s v="Roll Off Trailer"/>
    <m/>
    <m/>
    <d v="2008-11-03T00:00:00"/>
    <d v="2008-11-03T00:00:00"/>
    <m/>
    <n v="300"/>
    <n v="14040"/>
    <n v="2500"/>
    <n v="14046"/>
    <n v="2500"/>
    <n v="0"/>
    <n v="0"/>
    <n v="51260"/>
    <n v="0"/>
    <s v="A"/>
    <s v="LeMay Enterprises"/>
    <s v="&quot;PT-14 A&quot;"/>
    <s v=" "/>
    <s v="STL"/>
    <s v="YES"/>
    <s v="TBD"/>
    <d v="2024-10-09T00:00:00"/>
    <x v="19"/>
    <m/>
    <m/>
    <m/>
    <m/>
    <m/>
    <m/>
    <m/>
    <m/>
    <m/>
    <m/>
    <m/>
  </r>
  <r>
    <n v="2111"/>
    <n v="213240"/>
    <s v="P"/>
    <s v="Capitalized"/>
    <s v="1991 Type HT Drop Trailer"/>
    <m/>
    <m/>
    <n v="1"/>
    <s v="1PLC02824MTG06830"/>
    <n v="1991"/>
    <s v="Peerless"/>
    <s v="Peerless"/>
    <s v="TRUCKS AND TRAILERS"/>
    <s v="TBA"/>
    <s v="Other Trailer"/>
    <m/>
    <m/>
    <d v="2008-11-03T00:00:00"/>
    <d v="2008-11-03T00:00:00"/>
    <m/>
    <n v="300"/>
    <n v="14040"/>
    <n v="2500"/>
    <n v="14046"/>
    <n v="2500"/>
    <n v="0"/>
    <n v="0"/>
    <n v="51260"/>
    <n v="0"/>
    <s v="A"/>
    <s v="LeMay Enterprises"/>
    <s v="PT-14"/>
    <s v=" "/>
    <s v="STL"/>
    <s v="YES"/>
    <s v="TBD"/>
    <d v="2024-10-09T00:00:00"/>
    <x v="19"/>
    <m/>
    <m/>
    <m/>
    <m/>
    <m/>
    <m/>
    <m/>
    <m/>
    <m/>
    <m/>
    <m/>
  </r>
  <r>
    <n v="2111"/>
    <n v="212879"/>
    <s v="P"/>
    <s v="Capitalized"/>
    <s v="64 GAL MSW TOTES"/>
    <m/>
    <m/>
    <n v="864"/>
    <m/>
    <n v="0"/>
    <s v="WASTEQUIP TOTER"/>
    <m/>
    <s v="CONTAINERS"/>
    <s v="TBA"/>
    <m/>
    <m/>
    <m/>
    <d v="2019-03-20T00:00:00"/>
    <d v="2019-03-20T00:00:00"/>
    <s v="2111-19-0033-1"/>
    <n v="700"/>
    <n v="14050"/>
    <n v="39533.47"/>
    <n v="14056"/>
    <n v="31062.05"/>
    <n v="8471.4200000000019"/>
    <n v="4235.76"/>
    <n v="54260"/>
    <n v="470.64"/>
    <s v="P"/>
    <m/>
    <m/>
    <s v=" "/>
    <s v="STL"/>
    <s v="YES"/>
    <s v="TBD"/>
    <d v="2024-10-09T00:00:00"/>
    <x v="19"/>
    <m/>
    <m/>
    <m/>
    <m/>
    <m/>
    <m/>
    <m/>
    <m/>
    <m/>
    <m/>
    <m/>
  </r>
  <r>
    <n v="2111"/>
    <n v="212878"/>
    <s v="P"/>
    <s v="Capitalized"/>
    <s v="96 GALLON RECYCLE TOTES"/>
    <m/>
    <m/>
    <n v="624"/>
    <m/>
    <n v="0"/>
    <s v="WASTEQUIP TOTER"/>
    <m/>
    <s v="CONTAINERS"/>
    <s v="TBA"/>
    <m/>
    <m/>
    <m/>
    <d v="2019-03-20T00:00:00"/>
    <d v="2019-03-20T00:00:00"/>
    <s v="2111-19-0033-1"/>
    <n v="700"/>
    <n v="14050"/>
    <n v="32121.81"/>
    <n v="14056"/>
    <n v="25238.54"/>
    <n v="6883.27"/>
    <n v="3441.6"/>
    <n v="54260"/>
    <n v="382.4"/>
    <s v="P"/>
    <m/>
    <m/>
    <s v=" "/>
    <s v="STL"/>
    <s v="YES"/>
    <s v="TBD"/>
    <d v="2024-10-09T00:00:00"/>
    <x v="19"/>
    <m/>
    <m/>
    <m/>
    <m/>
    <m/>
    <m/>
    <m/>
    <m/>
    <m/>
    <m/>
    <m/>
  </r>
  <r>
    <n v="2111"/>
    <n v="212877"/>
    <s v="P"/>
    <s v="Capitalized"/>
    <s v="96 GAL YARD WASTE TOTES"/>
    <m/>
    <m/>
    <n v="624"/>
    <m/>
    <n v="0"/>
    <s v="WASTEQUIP TOTER"/>
    <m/>
    <s v="CONTAINERS"/>
    <s v="TBA"/>
    <m/>
    <m/>
    <m/>
    <d v="2019-03-20T00:00:00"/>
    <d v="2019-03-20T00:00:00"/>
    <s v="2111-19-0033-1"/>
    <n v="700"/>
    <n v="14050"/>
    <n v="32121.81"/>
    <n v="14056"/>
    <n v="25238.54"/>
    <n v="6883.27"/>
    <n v="3441.6"/>
    <n v="54260"/>
    <n v="382.4"/>
    <s v="P"/>
    <m/>
    <m/>
    <s v=" "/>
    <s v="STL"/>
    <s v="YES"/>
    <s v="TBD"/>
    <d v="2024-10-09T00:00:00"/>
    <x v="19"/>
    <m/>
    <m/>
    <m/>
    <m/>
    <m/>
    <m/>
    <m/>
    <m/>
    <m/>
    <m/>
    <m/>
  </r>
  <r>
    <n v="2111"/>
    <n v="212170"/>
    <n v="212164"/>
    <s v="Capitalized"/>
    <s v="Final drives - Rear, right"/>
    <m/>
    <m/>
    <n v="1"/>
    <m/>
    <n v="2015"/>
    <s v="Caterpillar"/>
    <s v="Caterpillar"/>
    <s v="HEAVY EQUIPMENT"/>
    <s v="TBA"/>
    <s v="Non-Rolling Stock"/>
    <m/>
    <m/>
    <d v="2019-04-01T00:00:00"/>
    <d v="2019-04-01T00:00:00"/>
    <s v="2111-19-0035-1"/>
    <n v="300"/>
    <n v="14030"/>
    <n v="9447.0400000000009"/>
    <n v="14036"/>
    <n v="9447.0400000000009"/>
    <n v="0"/>
    <n v="0"/>
    <n v="51260"/>
    <n v="0"/>
    <s v="P"/>
    <m/>
    <m/>
    <s v=" "/>
    <s v="STL"/>
    <s v="YES"/>
    <s v="TBD"/>
    <d v="2024-10-09T00:00:00"/>
    <x v="19"/>
    <m/>
    <m/>
    <m/>
    <m/>
    <m/>
    <m/>
    <m/>
    <m/>
    <m/>
    <m/>
    <m/>
  </r>
  <r>
    <n v="2111"/>
    <n v="212169"/>
    <n v="212164"/>
    <s v="Capitalized"/>
    <s v="Final drives - Rear, left"/>
    <m/>
    <m/>
    <n v="1"/>
    <m/>
    <n v="2015"/>
    <s v="Caterpillar"/>
    <s v="Caterpillar"/>
    <s v="HEAVY EQUIPMENT"/>
    <s v="TBA"/>
    <s v="Non-Rolling Stock"/>
    <m/>
    <m/>
    <d v="2019-04-01T00:00:00"/>
    <d v="2019-04-01T00:00:00"/>
    <s v="2111-19-0035-1"/>
    <n v="300"/>
    <n v="14030"/>
    <n v="9447.0400000000009"/>
    <n v="14036"/>
    <n v="9447.0400000000009"/>
    <n v="0"/>
    <n v="0"/>
    <n v="51260"/>
    <n v="0"/>
    <s v="P"/>
    <m/>
    <m/>
    <s v=" "/>
    <s v="STL"/>
    <s v="YES"/>
    <s v="TBD"/>
    <d v="2024-10-09T00:00:00"/>
    <x v="19"/>
    <m/>
    <m/>
    <m/>
    <m/>
    <m/>
    <m/>
    <m/>
    <m/>
    <m/>
    <m/>
    <m/>
  </r>
  <r>
    <n v="2111"/>
    <n v="212168"/>
    <n v="212164"/>
    <s v="Capitalized"/>
    <s v="Undercarriage (Non E&amp;P Region)"/>
    <m/>
    <m/>
    <n v="1"/>
    <m/>
    <n v="2015"/>
    <s v="Caterpillar"/>
    <s v="Caterpillar"/>
    <s v="HEAVY EQUIPMENT"/>
    <s v="TBA"/>
    <s v="Non-Rolling Stock"/>
    <m/>
    <m/>
    <d v="2019-04-01T00:00:00"/>
    <d v="2019-04-01T00:00:00"/>
    <s v="2111-19-0035-1"/>
    <n v="300"/>
    <n v="14030"/>
    <n v="18894.080000000002"/>
    <n v="14036"/>
    <n v="18894.080000000002"/>
    <n v="0"/>
    <n v="0"/>
    <n v="51260"/>
    <n v="0"/>
    <s v="P"/>
    <m/>
    <m/>
    <s v=" "/>
    <s v="STL"/>
    <s v="YES"/>
    <s v="TBD"/>
    <d v="2024-10-09T00:00:00"/>
    <x v="19"/>
    <m/>
    <m/>
    <m/>
    <m/>
    <m/>
    <m/>
    <m/>
    <m/>
    <m/>
    <m/>
    <m/>
  </r>
  <r>
    <n v="2111"/>
    <n v="212167"/>
    <n v="212164"/>
    <s v="Capitalized"/>
    <s v="Hydraulic pumps,drive motors, hydraulic drive gear boxes"/>
    <m/>
    <m/>
    <n v="1"/>
    <m/>
    <n v="2015"/>
    <s v="Caterpillar"/>
    <s v="Caterpillar"/>
    <s v="HEAVY EQUIPMENT"/>
    <s v="TBA"/>
    <s v="Non-Rolling Stock"/>
    <m/>
    <m/>
    <d v="2019-04-01T00:00:00"/>
    <d v="2019-04-01T00:00:00"/>
    <s v="2111-19-0035-1"/>
    <n v="300"/>
    <n v="14030"/>
    <n v="9447.0400000000009"/>
    <n v="14036"/>
    <n v="9447.0400000000009"/>
    <n v="0"/>
    <n v="0"/>
    <n v="51260"/>
    <n v="0"/>
    <s v="P"/>
    <m/>
    <m/>
    <s v=" "/>
    <s v="STL"/>
    <s v="YES"/>
    <s v="TBD"/>
    <d v="2024-10-09T00:00:00"/>
    <x v="19"/>
    <m/>
    <m/>
    <m/>
    <m/>
    <m/>
    <m/>
    <m/>
    <m/>
    <m/>
    <m/>
    <m/>
  </r>
  <r>
    <n v="2111"/>
    <n v="212166"/>
    <n v="212164"/>
    <s v="Capitalized"/>
    <s v="Standard transmission or hydrostatic transmission"/>
    <m/>
    <m/>
    <n v="1"/>
    <m/>
    <n v="2015"/>
    <s v="Caterpillar"/>
    <s v="Caterpillar"/>
    <s v="HEAVY EQUIPMENT"/>
    <s v="TBA"/>
    <s v="Non-Rolling Stock"/>
    <m/>
    <m/>
    <d v="2019-04-01T00:00:00"/>
    <d v="2019-04-01T00:00:00"/>
    <s v="2111-19-0035-1"/>
    <n v="300"/>
    <n v="14030"/>
    <n v="18894.080000000002"/>
    <n v="14036"/>
    <n v="18894.080000000002"/>
    <n v="0"/>
    <n v="0"/>
    <n v="51260"/>
    <n v="0"/>
    <s v="P"/>
    <m/>
    <m/>
    <s v=" "/>
    <s v="STL"/>
    <s v="YES"/>
    <s v="TBD"/>
    <d v="2024-10-09T00:00:00"/>
    <x v="19"/>
    <m/>
    <m/>
    <m/>
    <m/>
    <m/>
    <m/>
    <m/>
    <m/>
    <m/>
    <m/>
    <m/>
  </r>
  <r>
    <n v="2111"/>
    <n v="212165"/>
    <n v="212164"/>
    <s v="Capitalized"/>
    <s v="Engine"/>
    <m/>
    <m/>
    <n v="1"/>
    <m/>
    <n v="2015"/>
    <s v="Caterpillar"/>
    <s v="Caterpillar"/>
    <s v="HEAVY EQUIPMENT"/>
    <s v="TBA"/>
    <s v="Non-Rolling Stock"/>
    <m/>
    <m/>
    <d v="2019-04-01T00:00:00"/>
    <d v="2019-04-01T00:00:00"/>
    <s v="2111-19-0035-1"/>
    <n v="300"/>
    <n v="14030"/>
    <n v="21255.84"/>
    <n v="14036"/>
    <n v="21255.84"/>
    <n v="0"/>
    <n v="0"/>
    <n v="51260"/>
    <n v="0"/>
    <s v="P"/>
    <m/>
    <m/>
    <s v=" "/>
    <s v="STL"/>
    <s v="YES"/>
    <s v="TBD"/>
    <d v="2024-10-09T00:00:00"/>
    <x v="19"/>
    <m/>
    <m/>
    <m/>
    <m/>
    <m/>
    <m/>
    <m/>
    <m/>
    <m/>
    <m/>
    <m/>
  </r>
  <r>
    <n v="2111"/>
    <n v="212164"/>
    <s v="P"/>
    <s v="Capitalized"/>
    <s v="Excavator chassis"/>
    <m/>
    <m/>
    <n v="1"/>
    <s v="FM200281"/>
    <n v="2015"/>
    <s v="Caterpillar"/>
    <s v="Caterpillar"/>
    <s v="HEAVY EQUIPMENT"/>
    <s v="TBA"/>
    <s v="Excavator"/>
    <m/>
    <m/>
    <d v="2019-04-01T00:00:00"/>
    <d v="2019-04-01T00:00:00"/>
    <s v="2111-19-0035-1"/>
    <n v="800"/>
    <n v="14030"/>
    <n v="148790.88"/>
    <n v="14036"/>
    <n v="102293.78"/>
    <n v="46497.100000000006"/>
    <n v="13949.19"/>
    <n v="51260"/>
    <n v="1549.91"/>
    <s v="P"/>
    <n v="0"/>
    <s v="MH-1"/>
    <s v=" "/>
    <s v="STL"/>
    <s v="YES"/>
    <s v="TBD"/>
    <d v="2024-10-09T00:00:00"/>
    <x v="19"/>
    <m/>
    <m/>
    <m/>
    <m/>
    <m/>
    <m/>
    <m/>
    <m/>
    <m/>
    <m/>
    <m/>
  </r>
  <r>
    <n v="2111"/>
    <n v="211523"/>
    <s v="P"/>
    <s v="Capitalized"/>
    <s v="DEPOSIT FOR 2015 CATERPILLAR MH3022 MATERIAL HANDLER"/>
    <m/>
    <m/>
    <n v="1"/>
    <s v="FM200281"/>
    <n v="2015"/>
    <s v="Caterpillar"/>
    <s v="Caterpillar"/>
    <s v="HEAVY EQUIPMENT"/>
    <s v="TBA"/>
    <s v="Excavator"/>
    <m/>
    <m/>
    <d v="2019-03-31T00:00:00"/>
    <d v="2019-03-31T00:00:00"/>
    <s v="2111-19-0035-1"/>
    <n v="800"/>
    <n v="14030"/>
    <n v="10000"/>
    <n v="14036"/>
    <n v="6875.03"/>
    <n v="3124.9700000000003"/>
    <n v="937.53"/>
    <n v="51260"/>
    <n v="104.17"/>
    <s v="P"/>
    <m/>
    <m/>
    <s v=" "/>
    <s v="STL"/>
    <s v="YES"/>
    <s v="TBD"/>
    <d v="2024-10-09T00:00:00"/>
    <x v="19"/>
    <m/>
    <m/>
    <m/>
    <m/>
    <m/>
    <m/>
    <m/>
    <m/>
    <m/>
    <m/>
    <m/>
  </r>
  <r>
    <n v="2111"/>
    <n v="211496"/>
    <s v="P"/>
    <s v="Capitalized"/>
    <s v="Closing costs associated with Murreys land swap with Grange"/>
    <m/>
    <m/>
    <n v="1"/>
    <m/>
    <n v="0"/>
    <s v="FIRST AMERICAN TITLE INSU"/>
    <m/>
    <s v="LAND"/>
    <s v="LAND"/>
    <m/>
    <m/>
    <m/>
    <d v="2019-03-31T00:00:00"/>
    <d v="2019-03-31T00:00:00"/>
    <s v="2111-19-0036-2"/>
    <n v="0"/>
    <n v="14000"/>
    <n v="15428.17"/>
    <n v="14016"/>
    <n v="0"/>
    <n v="15428.17"/>
    <n v="0"/>
    <n v="57260"/>
    <n v="0"/>
    <s v="P"/>
    <m/>
    <m/>
    <s v=" "/>
    <s v="STL"/>
    <s v="NO"/>
    <s v="TBD"/>
    <d v="2024-10-09T00:00:00"/>
    <x v="19"/>
    <m/>
    <m/>
    <m/>
    <m/>
    <m/>
    <m/>
    <m/>
    <m/>
    <m/>
    <m/>
    <m/>
  </r>
  <r>
    <n v="2111"/>
    <n v="211495"/>
    <s v="P"/>
    <s v="Capitalized"/>
    <s v="Closing costs associated with Murreys land swap with Grange"/>
    <m/>
    <m/>
    <n v="1"/>
    <m/>
    <n v="0"/>
    <s v="FIRST AMERICAN TITLE INSU"/>
    <m/>
    <s v="LAND"/>
    <s v="LAND"/>
    <m/>
    <m/>
    <m/>
    <d v="2019-03-31T00:00:00"/>
    <d v="2019-03-31T00:00:00"/>
    <s v="2111-19-0036-1"/>
    <n v="0"/>
    <n v="14000"/>
    <n v="1695.6"/>
    <n v="14016"/>
    <n v="0"/>
    <n v="1695.6"/>
    <n v="0"/>
    <n v="57260"/>
    <n v="0"/>
    <s v="P"/>
    <m/>
    <m/>
    <s v=" "/>
    <s v="STL"/>
    <s v="NO"/>
    <s v="TBD"/>
    <d v="2024-10-09T00:00:00"/>
    <x v="19"/>
    <m/>
    <m/>
    <m/>
    <m/>
    <m/>
    <m/>
    <m/>
    <m/>
    <m/>
    <m/>
    <m/>
  </r>
  <r>
    <n v="2111"/>
    <n v="211105"/>
    <s v="P"/>
    <s v="Capitalized"/>
    <s v="Murrey's Construction"/>
    <m/>
    <m/>
    <n v="1"/>
    <m/>
    <n v="0"/>
    <m/>
    <m/>
    <s v="BUILDINGS"/>
    <s v="TBA"/>
    <m/>
    <m/>
    <m/>
    <d v="2019-01-01T00:00:00"/>
    <d v="2019-01-01T00:00:00"/>
    <s v="2111-18-0023-1"/>
    <n v="2000"/>
    <n v="14080"/>
    <n v="9590.25"/>
    <n v="14086"/>
    <n v="2757.19"/>
    <n v="6833.0599999999995"/>
    <n v="359.64"/>
    <n v="57260"/>
    <n v="39.96"/>
    <s v="P"/>
    <m/>
    <m/>
    <s v=" "/>
    <s v="STL"/>
    <s v="YES"/>
    <s v="TBD"/>
    <d v="2024-10-09T00:00:00"/>
    <x v="19"/>
    <m/>
    <m/>
    <m/>
    <m/>
    <m/>
    <m/>
    <m/>
    <m/>
    <m/>
    <m/>
    <m/>
  </r>
  <r>
    <n v="2111"/>
    <n v="210046"/>
    <n v="210037"/>
    <s v="Capitalized"/>
    <s v="LOADER PLANETARIES - REAR, LEFT"/>
    <m/>
    <m/>
    <n v="1"/>
    <s v="0H2400841"/>
    <n v="2019"/>
    <s v="NC Machinery"/>
    <m/>
    <s v="HEAVY EQUIPMENT"/>
    <s v="TBA"/>
    <s v="Non-Rolling Stock"/>
    <m/>
    <m/>
    <d v="2019-01-01T00:00:00"/>
    <d v="2019-01-01T00:00:00"/>
    <s v="2111-18-0050-1"/>
    <n v="300"/>
    <n v="14030"/>
    <n v="5336.04"/>
    <n v="14036"/>
    <n v="5336.04"/>
    <n v="0"/>
    <n v="0"/>
    <n v="51260"/>
    <n v="0"/>
    <s v="P"/>
    <m/>
    <m/>
    <s v=" "/>
    <s v="STL"/>
    <s v="YES"/>
    <s v="TBD"/>
    <d v="2024-10-09T00:00:00"/>
    <x v="19"/>
    <m/>
    <m/>
    <m/>
    <m/>
    <m/>
    <m/>
    <m/>
    <m/>
    <m/>
    <m/>
    <m/>
  </r>
  <r>
    <n v="2111"/>
    <n v="210045"/>
    <n v="210037"/>
    <s v="Capitalized"/>
    <s v="LOADER PLANETARIES - REAR, RIGHT"/>
    <m/>
    <m/>
    <n v="1"/>
    <s v="0H2400841"/>
    <n v="2019"/>
    <s v="NC Machinery"/>
    <m/>
    <s v="HEAVY EQUIPMENT"/>
    <s v="TBA"/>
    <s v="Non-Rolling Stock"/>
    <m/>
    <m/>
    <d v="2019-01-01T00:00:00"/>
    <d v="2019-01-01T00:00:00"/>
    <s v="2111-18-0050-1"/>
    <n v="300"/>
    <n v="14030"/>
    <n v="5336.04"/>
    <n v="14036"/>
    <n v="5336.04"/>
    <n v="0"/>
    <n v="0"/>
    <n v="51260"/>
    <n v="0"/>
    <s v="P"/>
    <m/>
    <m/>
    <s v=" "/>
    <s v="STL"/>
    <s v="YES"/>
    <s v="TBD"/>
    <d v="2024-10-09T00:00:00"/>
    <x v="19"/>
    <m/>
    <m/>
    <m/>
    <m/>
    <m/>
    <m/>
    <m/>
    <m/>
    <m/>
    <m/>
    <m/>
  </r>
  <r>
    <n v="2111"/>
    <n v="210044"/>
    <n v="210037"/>
    <s v="Capitalized"/>
    <s v="LOADER PLANETARIES - FRONT, LEFT"/>
    <m/>
    <m/>
    <n v="1"/>
    <s v="0H2400841"/>
    <n v="2019"/>
    <s v="NC Machinery"/>
    <m/>
    <s v="HEAVY EQUIPMENT"/>
    <s v="TBA"/>
    <s v="Non-Rolling Stock"/>
    <m/>
    <m/>
    <d v="2019-01-01T00:00:00"/>
    <d v="2019-01-01T00:00:00"/>
    <s v="2111-18-0050-1"/>
    <n v="300"/>
    <n v="14030"/>
    <n v="5336.04"/>
    <n v="14036"/>
    <n v="5336.04"/>
    <n v="0"/>
    <n v="0"/>
    <n v="51260"/>
    <n v="0"/>
    <s v="P"/>
    <m/>
    <m/>
    <s v=" "/>
    <s v="STL"/>
    <s v="YES"/>
    <s v="TBD"/>
    <d v="2024-10-09T00:00:00"/>
    <x v="19"/>
    <m/>
    <m/>
    <m/>
    <m/>
    <m/>
    <m/>
    <m/>
    <m/>
    <m/>
    <m/>
    <m/>
  </r>
  <r>
    <n v="2111"/>
    <n v="210043"/>
    <n v="210037"/>
    <s v="Capitalized"/>
    <s v="LOADER PLANETARIES - FRONT, RIGHT"/>
    <m/>
    <m/>
    <n v="1"/>
    <s v="0H2400841"/>
    <n v="2019"/>
    <s v="NC Machinery"/>
    <m/>
    <s v="HEAVY EQUIPMENT"/>
    <s v="TBA"/>
    <s v="Non-Rolling Stock"/>
    <m/>
    <m/>
    <d v="2019-01-01T00:00:00"/>
    <d v="2019-01-01T00:00:00"/>
    <s v="2111-18-0050-1"/>
    <n v="300"/>
    <n v="14030"/>
    <n v="5336.04"/>
    <n v="14036"/>
    <n v="5336.04"/>
    <n v="0"/>
    <n v="0"/>
    <n v="51260"/>
    <n v="0"/>
    <s v="P"/>
    <m/>
    <m/>
    <s v=" "/>
    <s v="STL"/>
    <s v="YES"/>
    <s v="TBD"/>
    <d v="2024-10-09T00:00:00"/>
    <x v="19"/>
    <m/>
    <m/>
    <m/>
    <m/>
    <m/>
    <m/>
    <m/>
    <m/>
    <m/>
    <m/>
    <m/>
  </r>
  <r>
    <n v="2111"/>
    <n v="210042"/>
    <n v="210037"/>
    <s v="Capitalized"/>
    <s v="LOADER DIFFERENTIALS - REAR"/>
    <m/>
    <m/>
    <n v="1"/>
    <s v="0H2400841"/>
    <n v="2019"/>
    <s v="NC Machinery"/>
    <m/>
    <s v="HEAVY EQUIPMENT"/>
    <s v="TBA"/>
    <s v="Non-Rolling Stock"/>
    <m/>
    <m/>
    <d v="2019-01-01T00:00:00"/>
    <d v="2019-01-01T00:00:00"/>
    <s v="2111-18-0050-1"/>
    <n v="300"/>
    <n v="14030"/>
    <n v="8893.4"/>
    <n v="14036"/>
    <n v="8893.4"/>
    <n v="0"/>
    <n v="0"/>
    <n v="51260"/>
    <n v="0"/>
    <s v="P"/>
    <m/>
    <m/>
    <s v=" "/>
    <s v="STL"/>
    <s v="YES"/>
    <s v="TBD"/>
    <d v="2024-10-09T00:00:00"/>
    <x v="19"/>
    <m/>
    <m/>
    <m/>
    <m/>
    <m/>
    <m/>
    <m/>
    <m/>
    <m/>
    <m/>
    <m/>
  </r>
  <r>
    <n v="2111"/>
    <n v="210041"/>
    <n v="210037"/>
    <s v="Capitalized"/>
    <s v="LOADER DIFFERENTIALS - FRONT"/>
    <m/>
    <m/>
    <n v="1"/>
    <s v="0H2400841"/>
    <n v="2019"/>
    <s v="NC Machinery"/>
    <m/>
    <s v="HEAVY EQUIPMENT"/>
    <s v="TBA"/>
    <s v="Non-Rolling Stock"/>
    <m/>
    <m/>
    <d v="2019-01-01T00:00:00"/>
    <d v="2019-01-01T00:00:00"/>
    <s v="2111-18-0050-1"/>
    <n v="300"/>
    <n v="14030"/>
    <n v="8893.4"/>
    <n v="14036"/>
    <n v="8893.4"/>
    <n v="0"/>
    <n v="0"/>
    <n v="51260"/>
    <n v="0"/>
    <s v="P"/>
    <m/>
    <m/>
    <s v=" "/>
    <s v="STL"/>
    <s v="YES"/>
    <s v="TBD"/>
    <d v="2024-10-09T00:00:00"/>
    <x v="19"/>
    <m/>
    <m/>
    <m/>
    <m/>
    <m/>
    <m/>
    <m/>
    <m/>
    <m/>
    <m/>
    <m/>
  </r>
  <r>
    <n v="2111"/>
    <n v="210040"/>
    <n v="210037"/>
    <s v="Capitalized"/>
    <s v="LOADER HYDRAULIC PUMPS,DRIVE MOTORS,GEAR BOXES"/>
    <m/>
    <m/>
    <n v="1"/>
    <s v="0H2400841"/>
    <n v="2019"/>
    <s v="NC Machinery"/>
    <m/>
    <s v="HEAVY EQUIPMENT"/>
    <s v="TBA"/>
    <s v="Non-Rolling Stock"/>
    <m/>
    <m/>
    <d v="2019-01-01T00:00:00"/>
    <d v="2019-01-01T00:00:00"/>
    <s v="2111-18-0050-1"/>
    <n v="300"/>
    <n v="14030"/>
    <n v="7114.72"/>
    <n v="14036"/>
    <n v="7114.72"/>
    <n v="0"/>
    <n v="0"/>
    <n v="51260"/>
    <n v="0"/>
    <s v="P"/>
    <m/>
    <m/>
    <s v=" "/>
    <s v="STL"/>
    <s v="YES"/>
    <s v="TBD"/>
    <d v="2024-10-09T00:00:00"/>
    <x v="19"/>
    <m/>
    <m/>
    <m/>
    <m/>
    <m/>
    <m/>
    <m/>
    <m/>
    <m/>
    <m/>
    <m/>
  </r>
  <r>
    <n v="2111"/>
    <n v="210039"/>
    <n v="210037"/>
    <s v="Capitalized"/>
    <s v="LOADER TRANSMISSION"/>
    <m/>
    <m/>
    <n v="1"/>
    <s v="0H2400841"/>
    <n v="2019"/>
    <s v="NC Machinery"/>
    <m/>
    <s v="HEAVY EQUIPMENT"/>
    <s v="TBA"/>
    <s v="Non-Rolling Stock"/>
    <m/>
    <m/>
    <d v="2019-01-01T00:00:00"/>
    <d v="2019-01-01T00:00:00"/>
    <s v="2111-18-0050-1"/>
    <n v="300"/>
    <n v="14030"/>
    <n v="14229.44"/>
    <n v="14036"/>
    <n v="14229.44"/>
    <n v="0"/>
    <n v="0"/>
    <n v="51260"/>
    <n v="0"/>
    <s v="P"/>
    <m/>
    <m/>
    <s v=" "/>
    <s v="STL"/>
    <s v="YES"/>
    <s v="TBD"/>
    <d v="2024-10-09T00:00:00"/>
    <x v="19"/>
    <m/>
    <m/>
    <m/>
    <m/>
    <m/>
    <m/>
    <m/>
    <m/>
    <m/>
    <m/>
    <m/>
  </r>
  <r>
    <n v="2111"/>
    <n v="210038"/>
    <n v="210037"/>
    <s v="Capitalized"/>
    <s v="LOADER ENGINE"/>
    <m/>
    <m/>
    <n v="1"/>
    <s v="0H2400841"/>
    <n v="2019"/>
    <s v="NC Machinery"/>
    <m/>
    <s v="HEAVY EQUIPMENT"/>
    <s v="TBA"/>
    <s v="Non-Rolling Stock"/>
    <m/>
    <m/>
    <d v="2019-01-01T00:00:00"/>
    <d v="2019-01-01T00:00:00"/>
    <s v="2111-18-0050-1"/>
    <n v="300"/>
    <n v="14030"/>
    <n v="21344.17"/>
    <n v="14036"/>
    <n v="21344.17"/>
    <n v="0"/>
    <n v="0"/>
    <n v="51260"/>
    <n v="0"/>
    <s v="P"/>
    <m/>
    <m/>
    <s v=" "/>
    <s v="STL"/>
    <s v="YES"/>
    <s v="TBD"/>
    <d v="2024-10-09T00:00:00"/>
    <x v="19"/>
    <m/>
    <m/>
    <m/>
    <m/>
    <m/>
    <m/>
    <m/>
    <m/>
    <m/>
    <m/>
    <m/>
  </r>
  <r>
    <n v="2111"/>
    <n v="210037"/>
    <s v="P"/>
    <s v="Capitalized"/>
    <s v="BUCKET LOADER CHASSIS"/>
    <m/>
    <m/>
    <n v="1"/>
    <s v="0H2400841"/>
    <n v="2019"/>
    <s v="NC Machinery"/>
    <m/>
    <s v="HEAVY EQUIPMENT"/>
    <s v="TBA"/>
    <s v="Bucket Loader"/>
    <m/>
    <m/>
    <d v="2019-01-01T00:00:00"/>
    <d v="2019-01-01T00:00:00"/>
    <s v="2111-18-0050-1"/>
    <n v="1200"/>
    <n v="14030"/>
    <n v="96048.76"/>
    <n v="14036"/>
    <n v="46023.39"/>
    <n v="50025.369999999995"/>
    <n v="6003.09"/>
    <n v="51260"/>
    <n v="667.01"/>
    <s v="P"/>
    <n v="0"/>
    <s v="LD-2"/>
    <s v=" "/>
    <s v="STL"/>
    <s v="YES"/>
    <s v="TBD"/>
    <d v="2024-10-09T00:00:00"/>
    <x v="19"/>
    <m/>
    <m/>
    <m/>
    <m/>
    <m/>
    <m/>
    <m/>
    <m/>
    <m/>
    <m/>
    <m/>
  </r>
  <r>
    <n v="2111"/>
    <n v="209120"/>
    <n v="25019"/>
    <s v="Capitalized"/>
    <s v="Ro Truck Transmission Replacement"/>
    <m/>
    <m/>
    <n v="1"/>
    <m/>
    <n v="0"/>
    <s v="PACIFIC POWER PRODUCTS"/>
    <m/>
    <s v="TRUCKS AND TRAILERS"/>
    <s v="TBA"/>
    <s v="Non-Rolling Stock"/>
    <m/>
    <m/>
    <d v="2019-01-01T00:00:00"/>
    <d v="2019-01-01T00:00:00"/>
    <s v="2111-18-0044-1"/>
    <n v="210"/>
    <n v="14040"/>
    <n v="12383.93"/>
    <n v="14046"/>
    <n v="12383.93"/>
    <n v="0"/>
    <n v="0"/>
    <n v="51260"/>
    <n v="0"/>
    <s v="P"/>
    <m/>
    <m/>
    <s v=" "/>
    <s v="STL"/>
    <s v="YES"/>
    <s v="TBD"/>
    <d v="2024-10-09T00:00:00"/>
    <x v="19"/>
    <m/>
    <m/>
    <m/>
    <m/>
    <m/>
    <m/>
    <m/>
    <m/>
    <m/>
    <m/>
    <m/>
  </r>
  <r>
    <n v="2111"/>
    <n v="208020"/>
    <n v="202939"/>
    <s v="Capitalized"/>
    <s v="Drive Cam for Box Van"/>
    <m/>
    <m/>
    <n v="1"/>
    <m/>
    <n v="0"/>
    <s v="Lytx"/>
    <m/>
    <s v="TRUCKS AND TRAILERS"/>
    <s v="TBA"/>
    <s v="Non-Rolling Stock"/>
    <m/>
    <m/>
    <d v="2018-08-16T00:00:00"/>
    <d v="2018-08-16T00:00:00"/>
    <s v="2111-18-0015-1"/>
    <n v="500"/>
    <n v="14040"/>
    <n v="471.37"/>
    <n v="14046"/>
    <n v="471.37"/>
    <n v="0"/>
    <n v="0"/>
    <n v="51260"/>
    <n v="0"/>
    <s v="P"/>
    <m/>
    <m/>
    <s v=" "/>
    <s v="STL"/>
    <s v="YES"/>
    <s v="TBD"/>
    <d v="2024-10-09T00:00:00"/>
    <x v="19"/>
    <m/>
    <m/>
    <m/>
    <m/>
    <m/>
    <m/>
    <m/>
    <m/>
    <m/>
    <m/>
    <m/>
  </r>
  <r>
    <n v="2111"/>
    <n v="208019"/>
    <n v="102347"/>
    <s v="Capitalized"/>
    <s v="TRUCK 60 INFRAME OVERHAUL"/>
    <m/>
    <m/>
    <n v="1"/>
    <m/>
    <n v="0"/>
    <s v="DIRKS TRUCK REPAIR INC"/>
    <m/>
    <s v="TRUCKS AND TRAILERS"/>
    <s v="TBA"/>
    <s v="Non-Rolling Stock"/>
    <m/>
    <m/>
    <d v="2018-11-26T00:00:00"/>
    <d v="2018-11-26T00:00:00"/>
    <s v="2111-18-0048-1"/>
    <n v="300"/>
    <n v="14040"/>
    <n v="26806.880000000001"/>
    <n v="14046"/>
    <n v="26806.880000000001"/>
    <n v="0"/>
    <n v="0"/>
    <n v="51260"/>
    <n v="0"/>
    <s v="P"/>
    <m/>
    <m/>
    <s v=" "/>
    <s v="STL"/>
    <s v="YES"/>
    <s v="TBD"/>
    <d v="2024-10-09T00:00:00"/>
    <x v="19"/>
    <m/>
    <m/>
    <m/>
    <m/>
    <m/>
    <m/>
    <m/>
    <m/>
    <m/>
    <m/>
    <m/>
  </r>
  <r>
    <n v="2111"/>
    <n v="207730"/>
    <s v="P"/>
    <s v="Capitalized"/>
    <s v="96 GAL RECYCLE TOTES"/>
    <m/>
    <m/>
    <n v="624"/>
    <m/>
    <n v="0"/>
    <s v="WASTEQUIP TOTER"/>
    <m/>
    <s v="CONTAINERS"/>
    <s v="TBA"/>
    <m/>
    <m/>
    <m/>
    <d v="2018-11-07T00:00:00"/>
    <d v="2018-11-07T00:00:00"/>
    <s v="2111-18-0045-1"/>
    <n v="700"/>
    <n v="14050"/>
    <n v="34653.24"/>
    <n v="14056"/>
    <n v="29290.240000000002"/>
    <n v="5362.9999999999964"/>
    <n v="3712.86"/>
    <n v="54260"/>
    <n v="412.54"/>
    <s v="P"/>
    <m/>
    <m/>
    <s v=" "/>
    <s v="STL"/>
    <s v="YES"/>
    <s v="TBD"/>
    <d v="2024-10-09T00:00:00"/>
    <x v="19"/>
    <m/>
    <m/>
    <m/>
    <m/>
    <m/>
    <m/>
    <m/>
    <m/>
    <m/>
    <m/>
    <m/>
  </r>
  <r>
    <n v="2111"/>
    <n v="207729"/>
    <s v="P"/>
    <s v="Capitalized"/>
    <s v="96 GAL MSW TOTES"/>
    <m/>
    <m/>
    <n v="312"/>
    <m/>
    <n v="0"/>
    <s v="WASTEQUIP TOTER"/>
    <m/>
    <s v="CONTAINERS"/>
    <s v="TBA"/>
    <m/>
    <m/>
    <m/>
    <d v="2018-11-07T00:00:00"/>
    <d v="2018-11-07T00:00:00"/>
    <s v="2111-18-0045-1"/>
    <n v="700"/>
    <n v="14050"/>
    <n v="16563.830000000002"/>
    <n v="14056"/>
    <n v="14000.39"/>
    <n v="2563.4400000000023"/>
    <n v="1774.71"/>
    <n v="54260"/>
    <n v="197.19"/>
    <s v="P"/>
    <m/>
    <m/>
    <s v=" "/>
    <s v="STL"/>
    <s v="YES"/>
    <s v="TBD"/>
    <d v="2024-10-09T00:00:00"/>
    <x v="19"/>
    <m/>
    <m/>
    <m/>
    <m/>
    <m/>
    <m/>
    <m/>
    <m/>
    <m/>
    <m/>
    <m/>
  </r>
  <r>
    <n v="2111"/>
    <n v="207728"/>
    <s v="P"/>
    <s v="Capitalized"/>
    <s v="64 GAL MSW TOTES"/>
    <m/>
    <m/>
    <n v="432"/>
    <m/>
    <n v="0"/>
    <s v="WASTEQUIP TOTER"/>
    <m/>
    <s v="CONTAINERS"/>
    <s v="TBA"/>
    <m/>
    <m/>
    <m/>
    <d v="2018-11-07T00:00:00"/>
    <d v="2018-11-07T00:00:00"/>
    <s v="2111-18-0045-1"/>
    <n v="700"/>
    <n v="14050"/>
    <n v="20205.03"/>
    <n v="14056"/>
    <n v="17078.080000000002"/>
    <n v="3126.9499999999971"/>
    <n v="2164.86"/>
    <n v="54260"/>
    <n v="240.54"/>
    <s v="P"/>
    <m/>
    <m/>
    <s v=" "/>
    <s v="STL"/>
    <s v="YES"/>
    <s v="TBD"/>
    <d v="2024-10-09T00:00:00"/>
    <x v="19"/>
    <m/>
    <m/>
    <m/>
    <m/>
    <m/>
    <m/>
    <m/>
    <m/>
    <m/>
    <m/>
    <m/>
  </r>
  <r>
    <n v="2111"/>
    <n v="207727"/>
    <s v="P"/>
    <s v="Capitalized"/>
    <s v="96 GAL YW TOTES"/>
    <m/>
    <m/>
    <n v="624"/>
    <m/>
    <n v="0"/>
    <s v="WASTEQUIP TOTER"/>
    <m/>
    <s v="CONTAINERS"/>
    <s v="TBA"/>
    <m/>
    <m/>
    <m/>
    <d v="2018-11-07T00:00:00"/>
    <d v="2018-11-07T00:00:00"/>
    <s v="2111-18-0045-1"/>
    <n v="700"/>
    <n v="14050"/>
    <n v="33597.15"/>
    <n v="14056"/>
    <n v="28397.61"/>
    <n v="5199.5400000000009"/>
    <n v="3599.73"/>
    <n v="54260"/>
    <n v="399.97"/>
    <s v="P"/>
    <m/>
    <m/>
    <s v=" "/>
    <s v="STL"/>
    <s v="YES"/>
    <s v="TBD"/>
    <d v="2024-10-09T00:00:00"/>
    <x v="19"/>
    <m/>
    <m/>
    <m/>
    <m/>
    <m/>
    <m/>
    <m/>
    <m/>
    <m/>
    <m/>
    <m/>
  </r>
  <r>
    <n v="2111"/>
    <n v="207291"/>
    <s v="P"/>
    <s v="Capitalized"/>
    <s v="Fife Facility Design &amp; Construction - Building"/>
    <m/>
    <m/>
    <n v="1"/>
    <m/>
    <n v="0"/>
    <m/>
    <m/>
    <s v="BUILDINGS"/>
    <s v="TBA"/>
    <m/>
    <m/>
    <m/>
    <d v="2018-12-31T00:00:00"/>
    <d v="2018-12-31T00:00:00"/>
    <s v="2111-18-0023-1"/>
    <n v="2000"/>
    <n v="14080"/>
    <n v="768057.19"/>
    <n v="14086"/>
    <n v="220816.46"/>
    <n v="547240.73"/>
    <n v="28802.16"/>
    <n v="57260"/>
    <n v="3200.24"/>
    <s v="P"/>
    <m/>
    <m/>
    <s v=" "/>
    <s v="STL"/>
    <s v="YES"/>
    <s v="TBD"/>
    <d v="2024-10-09T00:00:00"/>
    <x v="19"/>
    <m/>
    <m/>
    <m/>
    <m/>
    <m/>
    <m/>
    <m/>
    <m/>
    <m/>
    <m/>
    <m/>
  </r>
  <r>
    <n v="2111"/>
    <n v="207290"/>
    <s v="P"/>
    <s v="Capitalized"/>
    <s v="Fife Facility Design &amp; Construction - Building"/>
    <m/>
    <m/>
    <n v="1"/>
    <m/>
    <n v="0"/>
    <m/>
    <m/>
    <s v="BUILDINGS"/>
    <s v="TBA"/>
    <m/>
    <m/>
    <m/>
    <d v="2018-12-31T00:00:00"/>
    <d v="2018-12-31T00:00:00"/>
    <s v="2111-17-0002-1"/>
    <n v="2000"/>
    <n v="14080"/>
    <n v="909559.57"/>
    <n v="14086"/>
    <n v="261498.37"/>
    <n v="648061.19999999995"/>
    <n v="34108.47"/>
    <n v="57260"/>
    <n v="3789.83"/>
    <s v="P"/>
    <m/>
    <m/>
    <s v=" "/>
    <s v="STL"/>
    <s v="YES"/>
    <s v="TBD"/>
    <d v="2024-10-09T00:00:00"/>
    <x v="19"/>
    <m/>
    <m/>
    <m/>
    <m/>
    <m/>
    <m/>
    <m/>
    <m/>
    <m/>
    <m/>
    <m/>
  </r>
  <r>
    <n v="2111"/>
    <n v="207289"/>
    <s v="P"/>
    <s v="Capitalized"/>
    <s v="Fife Facility Design &amp; Construction - Building"/>
    <m/>
    <m/>
    <n v="1"/>
    <m/>
    <n v="0"/>
    <m/>
    <m/>
    <s v="BUILDINGS"/>
    <s v="TBA"/>
    <m/>
    <m/>
    <m/>
    <d v="2018-12-31T00:00:00"/>
    <d v="2018-12-31T00:00:00"/>
    <s v="2111-16-0017-1"/>
    <n v="2000"/>
    <n v="14080"/>
    <n v="160834.74"/>
    <n v="14086"/>
    <n v="46239.96"/>
    <n v="114594.78"/>
    <n v="6031.26"/>
    <n v="57260"/>
    <n v="670.14"/>
    <s v="P"/>
    <m/>
    <m/>
    <s v=" "/>
    <s v="STL"/>
    <s v="YES"/>
    <s v="TBD"/>
    <d v="2024-10-09T00:00:00"/>
    <x v="19"/>
    <m/>
    <m/>
    <m/>
    <m/>
    <m/>
    <m/>
    <m/>
    <m/>
    <m/>
    <m/>
    <m/>
  </r>
  <r>
    <n v="2111"/>
    <n v="207288"/>
    <s v="P"/>
    <s v="Capitalized"/>
    <s v="Fife Facility Design &amp; Construction - Building"/>
    <m/>
    <m/>
    <n v="1"/>
    <m/>
    <n v="0"/>
    <m/>
    <m/>
    <s v="BUILDINGS"/>
    <s v="TBA"/>
    <m/>
    <m/>
    <m/>
    <d v="2018-12-31T00:00:00"/>
    <d v="2018-12-31T00:00:00"/>
    <s v="2111-15-0003-1"/>
    <n v="2000"/>
    <n v="14080"/>
    <n v="242372.07"/>
    <n v="14086"/>
    <n v="69681.919999999998"/>
    <n v="172690.15000000002"/>
    <n v="9088.92"/>
    <n v="57260"/>
    <n v="1009.88"/>
    <s v="P"/>
    <m/>
    <m/>
    <s v=" "/>
    <s v="STL"/>
    <s v="YES"/>
    <s v="TBD"/>
    <d v="2024-10-09T00:00:00"/>
    <x v="19"/>
    <m/>
    <m/>
    <m/>
    <m/>
    <m/>
    <m/>
    <m/>
    <m/>
    <m/>
    <m/>
    <m/>
  </r>
  <r>
    <n v="2111"/>
    <n v="207287"/>
    <s v="P"/>
    <s v="Capitalized"/>
    <s v="Fife Facility Design &amp; Construction - Building"/>
    <m/>
    <m/>
    <n v="1"/>
    <m/>
    <n v="0"/>
    <m/>
    <m/>
    <s v="BUILDINGS"/>
    <s v="TBA"/>
    <m/>
    <m/>
    <m/>
    <d v="2018-12-31T00:00:00"/>
    <d v="2018-12-31T00:00:00"/>
    <s v="2111-14-0002-1"/>
    <n v="2000"/>
    <n v="14080"/>
    <n v="1555350.36"/>
    <n v="14086"/>
    <n v="447163.27"/>
    <n v="1108187.0900000001"/>
    <n v="58325.67"/>
    <n v="57260"/>
    <n v="6480.63"/>
    <s v="P"/>
    <m/>
    <m/>
    <s v=" "/>
    <s v="STL"/>
    <s v="YES"/>
    <s v="TBD"/>
    <d v="2024-10-09T00:00:00"/>
    <x v="19"/>
    <m/>
    <m/>
    <m/>
    <m/>
    <m/>
    <m/>
    <m/>
    <m/>
    <m/>
    <m/>
    <m/>
  </r>
  <r>
    <n v="2111"/>
    <n v="207202"/>
    <s v="P"/>
    <s v="Capitalized"/>
    <s v="5 YARD RECYCLE FEL CONTAINERS"/>
    <m/>
    <m/>
    <n v="24"/>
    <m/>
    <n v="0"/>
    <s v="ENVIRONMENTAL METAL WORKS"/>
    <m/>
    <s v="CONTAINERS"/>
    <s v="TBA"/>
    <m/>
    <s v="5 YD"/>
    <s v="FEL/REL/SL Metal"/>
    <d v="2018-10-22T00:00:00"/>
    <d v="2018-10-22T00:00:00"/>
    <s v="2111-18-0043-1"/>
    <n v="1200"/>
    <n v="14050"/>
    <n v="31591.94"/>
    <n v="14056"/>
    <n v="15576.59"/>
    <n v="16015.349999999999"/>
    <n v="1974.51"/>
    <n v="54260"/>
    <n v="219.39"/>
    <s v="P"/>
    <m/>
    <m/>
    <s v=" "/>
    <s v="STL"/>
    <s v="YES"/>
    <s v="TBD"/>
    <d v="2024-10-09T00:00:00"/>
    <x v="19"/>
    <m/>
    <m/>
    <m/>
    <m/>
    <m/>
    <m/>
    <m/>
    <m/>
    <m/>
    <m/>
    <m/>
  </r>
  <r>
    <n v="2111"/>
    <n v="207201"/>
    <s v="P"/>
    <s v="Capitalized"/>
    <s v="4 YARD GARBAGE FEL CONTAINERS"/>
    <m/>
    <m/>
    <n v="6"/>
    <m/>
    <n v="0"/>
    <s v="ENVIRONMENTAL METAL WORKS"/>
    <m/>
    <s v="CONTAINERS"/>
    <s v="TBA"/>
    <m/>
    <s v="4 YD"/>
    <s v="FEL/REL/SL Metal"/>
    <d v="2018-10-22T00:00:00"/>
    <d v="2018-10-22T00:00:00"/>
    <s v="2111-18-0043-1"/>
    <n v="1200"/>
    <n v="14050"/>
    <n v="6008.18"/>
    <n v="14056"/>
    <n v="2962.33"/>
    <n v="3045.8500000000004"/>
    <n v="375.48"/>
    <n v="54260"/>
    <n v="41.72"/>
    <s v="P"/>
    <m/>
    <m/>
    <s v=" "/>
    <s v="STL"/>
    <s v="YES"/>
    <s v="TBD"/>
    <d v="2024-10-09T00:00:00"/>
    <x v="19"/>
    <m/>
    <m/>
    <m/>
    <m/>
    <m/>
    <m/>
    <m/>
    <m/>
    <m/>
    <m/>
    <m/>
  </r>
  <r>
    <n v="2111"/>
    <n v="207200"/>
    <s v="P"/>
    <s v="Capitalized"/>
    <s v="6 YARD GARBAGE FEL CONTAINER"/>
    <m/>
    <m/>
    <n v="30"/>
    <m/>
    <n v="0"/>
    <s v="ENVIRONMENTAL METAL WORKS"/>
    <m/>
    <s v="CONTAINERS"/>
    <s v="TBA"/>
    <m/>
    <s v="6 YD"/>
    <s v="FEL/REL/SL Metal"/>
    <d v="2018-10-22T00:00:00"/>
    <d v="2018-10-22T00:00:00"/>
    <s v="2111-18-0043-1"/>
    <n v="1200"/>
    <n v="14050"/>
    <n v="36935.919999999998"/>
    <n v="14056"/>
    <n v="18211.45"/>
    <n v="18724.469999999998"/>
    <n v="2308.5"/>
    <n v="54260"/>
    <n v="256.5"/>
    <s v="P"/>
    <m/>
    <m/>
    <s v=" "/>
    <s v="STL"/>
    <s v="YES"/>
    <s v="TBD"/>
    <d v="2024-10-09T00:00:00"/>
    <x v="19"/>
    <m/>
    <m/>
    <m/>
    <m/>
    <m/>
    <m/>
    <m/>
    <m/>
    <m/>
    <m/>
    <m/>
  </r>
  <r>
    <n v="2111"/>
    <n v="206330"/>
    <s v="P"/>
    <s v="Capitalized"/>
    <s v="TS LED Lighting upgrade"/>
    <m/>
    <m/>
    <n v="1"/>
    <m/>
    <n v="0"/>
    <s v="MB Electric"/>
    <m/>
    <s v="BUILDINGS"/>
    <s v="TBA"/>
    <m/>
    <m/>
    <m/>
    <d v="2018-10-02T00:00:00"/>
    <d v="2018-10-02T00:00:00"/>
    <s v="2111-18-0047-1"/>
    <n v="1000"/>
    <n v="14080"/>
    <n v="14028.1"/>
    <n v="14086"/>
    <n v="8416.85"/>
    <n v="5611.25"/>
    <n v="1052.0999999999999"/>
    <n v="57260"/>
    <n v="116.9"/>
    <s v="P"/>
    <m/>
    <m/>
    <s v=" "/>
    <s v="STL"/>
    <s v="YES"/>
    <s v="TBD"/>
    <d v="2024-10-09T00:00:00"/>
    <x v="19"/>
    <m/>
    <m/>
    <m/>
    <m/>
    <m/>
    <m/>
    <m/>
    <m/>
    <m/>
    <m/>
    <m/>
  </r>
  <r>
    <n v="2111"/>
    <n v="205635"/>
    <s v="P"/>
    <s v="Capitalized"/>
    <s v="2016 4wd Reg Cab Supervisor pick up"/>
    <m/>
    <m/>
    <n v="1"/>
    <s v="3C6JR7ET0GG282580"/>
    <n v="2016"/>
    <s v="x"/>
    <m/>
    <s v="TRUCKS AND TRAILERS"/>
    <s v="TBA"/>
    <s v="Pickup Truck"/>
    <m/>
    <m/>
    <d v="2018-11-21T00:00:00"/>
    <d v="2018-11-21T00:00:00"/>
    <s v="2111-18-0046-1"/>
    <n v="300"/>
    <n v="14040"/>
    <n v="23708"/>
    <n v="14046"/>
    <n v="23708"/>
    <n v="0"/>
    <n v="0"/>
    <n v="51260"/>
    <n v="0"/>
    <s v="P"/>
    <m/>
    <n v="15"/>
    <s v=" "/>
    <s v="STL"/>
    <s v="YES"/>
    <s v="TBD"/>
    <d v="2024-10-09T00:00:00"/>
    <x v="19"/>
    <m/>
    <m/>
    <m/>
    <m/>
    <m/>
    <m/>
    <m/>
    <m/>
    <m/>
    <m/>
    <m/>
  </r>
  <r>
    <n v="2111"/>
    <n v="204986"/>
    <n v="202833"/>
    <s v="Capitalized"/>
    <s v="License New Truck 913"/>
    <m/>
    <m/>
    <n v="1"/>
    <m/>
    <n v="0"/>
    <s v="WA DOL LIC &amp; REG 31150"/>
    <m/>
    <s v="TRUCKS AND TRAILERS"/>
    <s v="TBA"/>
    <s v="Non-Rolling Stock"/>
    <m/>
    <m/>
    <d v="2018-09-30T00:00:00"/>
    <d v="2018-09-30T00:00:00"/>
    <s v="2111-18-0025-1"/>
    <n v="1000"/>
    <n v="14040"/>
    <n v="1094.5"/>
    <n v="14046"/>
    <n v="656.49"/>
    <n v="438.01"/>
    <n v="82.08"/>
    <n v="51260"/>
    <n v="9.1199999999999992"/>
    <s v="P"/>
    <m/>
    <m/>
    <s v=" "/>
    <s v="STL"/>
    <s v="YES"/>
    <s v="TBD"/>
    <d v="2024-10-09T00:00:00"/>
    <x v="19"/>
    <m/>
    <m/>
    <m/>
    <m/>
    <m/>
    <m/>
    <m/>
    <m/>
    <m/>
    <m/>
    <m/>
  </r>
  <r>
    <n v="2111"/>
    <n v="204870"/>
    <s v="P"/>
    <s v="Capitalized"/>
    <s v="96 GAL YW TOTES"/>
    <m/>
    <m/>
    <n v="624"/>
    <m/>
    <n v="0"/>
    <s v="WASTEQUIP TOTER"/>
    <m/>
    <s v="CONTAINERS"/>
    <s v="TBA"/>
    <m/>
    <m/>
    <m/>
    <d v="2018-09-28T00:00:00"/>
    <d v="2018-09-28T00:00:00"/>
    <s v="2111-18-0042-1"/>
    <n v="700"/>
    <n v="14050"/>
    <n v="33406.58"/>
    <n v="14056"/>
    <n v="28634.240000000002"/>
    <n v="4772.34"/>
    <n v="3579.3"/>
    <n v="54260"/>
    <n v="397.7"/>
    <s v="P"/>
    <m/>
    <m/>
    <s v=" "/>
    <s v="STL"/>
    <s v="YES"/>
    <s v="TBD"/>
    <d v="2024-10-09T00:00:00"/>
    <x v="19"/>
    <m/>
    <m/>
    <m/>
    <m/>
    <m/>
    <m/>
    <m/>
    <m/>
    <m/>
    <m/>
    <m/>
  </r>
  <r>
    <n v="2111"/>
    <n v="204869"/>
    <s v="P"/>
    <s v="Capitalized"/>
    <s v="96 GAL RECYCLE TOTES"/>
    <m/>
    <m/>
    <n v="624"/>
    <m/>
    <n v="0"/>
    <s v="WASTEQUIP TOTER"/>
    <m/>
    <s v="CONTAINERS"/>
    <s v="TBA"/>
    <m/>
    <m/>
    <m/>
    <d v="2018-09-28T00:00:00"/>
    <d v="2018-09-28T00:00:00"/>
    <s v="2111-18-0042-1"/>
    <n v="700"/>
    <n v="14050"/>
    <n v="34462.67"/>
    <n v="14056"/>
    <n v="29539.439999999999"/>
    <n v="4923.2299999999996"/>
    <n v="3692.43"/>
    <n v="54260"/>
    <n v="410.27"/>
    <s v="P"/>
    <m/>
    <m/>
    <s v=" "/>
    <s v="STL"/>
    <s v="YES"/>
    <s v="TBD"/>
    <d v="2024-10-09T00:00:00"/>
    <x v="19"/>
    <m/>
    <m/>
    <m/>
    <m/>
    <m/>
    <m/>
    <m/>
    <m/>
    <m/>
    <m/>
    <m/>
  </r>
  <r>
    <n v="2111"/>
    <n v="204868"/>
    <s v="P"/>
    <s v="Capitalized"/>
    <s v="96 GAL MSW TOTES"/>
    <m/>
    <m/>
    <n v="312"/>
    <m/>
    <n v="0"/>
    <s v="WASTEQUIP TOTER"/>
    <m/>
    <s v="CONTAINERS"/>
    <s v="TBA"/>
    <m/>
    <m/>
    <m/>
    <d v="2018-09-28T00:00:00"/>
    <d v="2018-09-28T00:00:00"/>
    <s v="2111-18-0042-1"/>
    <n v="700"/>
    <n v="14050"/>
    <n v="16484.36"/>
    <n v="14056"/>
    <n v="14129.44"/>
    <n v="2354.92"/>
    <n v="1766.16"/>
    <n v="54260"/>
    <n v="196.24"/>
    <s v="P"/>
    <m/>
    <m/>
    <s v=" "/>
    <s v="STL"/>
    <s v="YES"/>
    <s v="TBD"/>
    <d v="2024-10-09T00:00:00"/>
    <x v="19"/>
    <m/>
    <m/>
    <m/>
    <m/>
    <m/>
    <m/>
    <m/>
    <m/>
    <m/>
    <m/>
    <m/>
  </r>
  <r>
    <n v="2111"/>
    <n v="204867"/>
    <s v="P"/>
    <s v="Capitalized"/>
    <s v="64 GAL MSW TOTES"/>
    <m/>
    <m/>
    <n v="432"/>
    <m/>
    <n v="0"/>
    <s v="WASTEQUIP TOTER"/>
    <m/>
    <s v="CONTAINERS"/>
    <s v="TBA"/>
    <m/>
    <m/>
    <m/>
    <d v="2018-09-28T00:00:00"/>
    <d v="2018-09-28T00:00:00"/>
    <s v="2111-18-0042-1"/>
    <n v="700"/>
    <n v="14050"/>
    <n v="20093.93"/>
    <n v="14056"/>
    <n v="17223.330000000002"/>
    <n v="2870.5999999999985"/>
    <n v="2152.89"/>
    <n v="54260"/>
    <n v="239.21"/>
    <s v="P"/>
    <m/>
    <m/>
    <s v=" "/>
    <s v="STL"/>
    <s v="YES"/>
    <s v="TBD"/>
    <d v="2024-10-09T00:00:00"/>
    <x v="19"/>
    <m/>
    <m/>
    <m/>
    <m/>
    <m/>
    <m/>
    <m/>
    <m/>
    <m/>
    <m/>
    <m/>
  </r>
  <r>
    <n v="2111"/>
    <n v="204027"/>
    <s v="P"/>
    <s v="Capitalized"/>
    <s v="2012 Ford F150"/>
    <m/>
    <m/>
    <n v="1"/>
    <s v="1FTFW1EF3CFC25672"/>
    <n v="2012"/>
    <s v="Lakewood Ford"/>
    <m/>
    <s v="TRUCKS AND TRAILERS"/>
    <s v="TBA"/>
    <s v="Pickup Truck"/>
    <m/>
    <m/>
    <d v="2015-06-18T00:00:00"/>
    <d v="2015-06-18T00:00:00"/>
    <s v="2180-15-0011-1"/>
    <n v="300"/>
    <n v="14040"/>
    <n v="29540.76"/>
    <n v="14046"/>
    <n v="29540.76"/>
    <n v="0"/>
    <n v="0"/>
    <n v="51260"/>
    <n v="0"/>
    <s v="P"/>
    <m/>
    <n v="16"/>
    <s v=" "/>
    <s v="STL"/>
    <s v="YES"/>
    <s v="TBD"/>
    <d v="2024-10-09T00:00:00"/>
    <x v="19"/>
    <m/>
    <m/>
    <m/>
    <m/>
    <m/>
    <m/>
    <m/>
    <m/>
    <m/>
    <m/>
    <m/>
  </r>
  <r>
    <n v="2111"/>
    <n v="203952"/>
    <s v="P"/>
    <s v="Capitalized"/>
    <s v="5 YARD FL OCC"/>
    <m/>
    <m/>
    <n v="10"/>
    <m/>
    <n v="0"/>
    <s v="ENVIRONMENTAL METAL WORKS"/>
    <m/>
    <s v="CONTAINERS"/>
    <s v="TBA"/>
    <m/>
    <s v="5 YD"/>
    <s v="FEL/REL/SL Metal"/>
    <d v="2018-08-16T00:00:00"/>
    <d v="2018-08-16T00:00:00"/>
    <s v="2111-18-0036-1"/>
    <n v="1200"/>
    <n v="14050"/>
    <n v="11725.27"/>
    <n v="14056"/>
    <n v="5944.04"/>
    <n v="5781.2300000000005"/>
    <n v="1245.78"/>
    <n v="54260"/>
    <n v="138.41999999999999"/>
    <s v="P"/>
    <m/>
    <m/>
    <s v=" "/>
    <s v="STL"/>
    <s v="YES"/>
    <s v="TBD"/>
    <d v="2024-10-09T00:00:00"/>
    <x v="19"/>
    <m/>
    <m/>
    <m/>
    <m/>
    <m/>
    <m/>
    <m/>
    <m/>
    <m/>
    <m/>
    <m/>
  </r>
  <r>
    <n v="2111"/>
    <n v="203951"/>
    <s v="P"/>
    <s v="Capitalized"/>
    <s v="2 YARD FL GRBG"/>
    <m/>
    <m/>
    <n v="45"/>
    <m/>
    <n v="0"/>
    <s v="ENVIRONMENTAL METAL WORKS"/>
    <m/>
    <s v="CONTAINERS"/>
    <s v="TBA"/>
    <m/>
    <s v="2 YD"/>
    <s v="FEL/REL/SL Metal"/>
    <d v="2018-08-16T00:00:00"/>
    <d v="2018-08-16T00:00:00"/>
    <s v="2111-18-0036-1"/>
    <n v="1200"/>
    <n v="14050"/>
    <n v="30114.18"/>
    <n v="14056"/>
    <n v="15266.28"/>
    <n v="14847.9"/>
    <n v="1882.17"/>
    <n v="54260"/>
    <n v="209.13"/>
    <s v="P"/>
    <m/>
    <m/>
    <s v=" "/>
    <s v="STL"/>
    <s v="YES"/>
    <s v="TBD"/>
    <d v="2024-10-09T00:00:00"/>
    <x v="19"/>
    <m/>
    <m/>
    <m/>
    <m/>
    <m/>
    <m/>
    <m/>
    <m/>
    <m/>
    <m/>
    <m/>
  </r>
  <r>
    <n v="2111"/>
    <n v="203939"/>
    <n v="9537"/>
    <s v="Capitalized"/>
    <s v="Vulcan Scale System"/>
    <m/>
    <m/>
    <n v="1"/>
    <m/>
    <n v="0"/>
    <s v="LOADMAN NW LLC"/>
    <m/>
    <s v="TRUCKS AND TRAILERS"/>
    <s v="TBA"/>
    <s v="Non-Rolling Stock"/>
    <m/>
    <m/>
    <d v="2018-09-13T00:00:00"/>
    <d v="2018-09-13T00:00:00"/>
    <s v="2111-18-0040-1"/>
    <n v="300"/>
    <n v="14040"/>
    <n v="11069.35"/>
    <n v="14046"/>
    <n v="11069.35"/>
    <n v="0"/>
    <n v="0"/>
    <n v="51260"/>
    <n v="0"/>
    <s v="P"/>
    <m/>
    <m/>
    <s v=" "/>
    <s v="STL"/>
    <s v="YES"/>
    <s v="TBD"/>
    <d v="2024-10-09T00:00:00"/>
    <x v="19"/>
    <m/>
    <m/>
    <m/>
    <m/>
    <m/>
    <m/>
    <m/>
    <m/>
    <m/>
    <m/>
    <m/>
  </r>
  <r>
    <n v="2111"/>
    <n v="203867"/>
    <s v="P"/>
    <s v="Capitalized"/>
    <s v="2019 ASL Truck"/>
    <m/>
    <m/>
    <n v="1"/>
    <s v="3BPDL70X7KF104469"/>
    <n v="2019"/>
    <m/>
    <m/>
    <s v="TRUCKS AND TRAILERS"/>
    <s v="TBA"/>
    <s v="Front Loader"/>
    <m/>
    <m/>
    <d v="2018-10-12T00:00:00"/>
    <d v="2018-10-12T00:00:00"/>
    <s v="2111-18-0002-1"/>
    <n v="1000"/>
    <n v="14040"/>
    <n v="350406.5"/>
    <n v="14046"/>
    <n v="210243.86"/>
    <n v="140162.64000000001"/>
    <n v="26280.45"/>
    <n v="51260"/>
    <n v="2920.05"/>
    <s v="P"/>
    <m/>
    <n v="856"/>
    <s v=" "/>
    <s v="STL"/>
    <s v="YES"/>
    <s v="TBD"/>
    <d v="2024-10-09T00:00:00"/>
    <x v="19"/>
    <m/>
    <m/>
    <m/>
    <m/>
    <m/>
    <m/>
    <m/>
    <m/>
    <m/>
    <m/>
    <m/>
  </r>
  <r>
    <n v="2111"/>
    <n v="203779"/>
    <n v="201533"/>
    <s v="Capitalized"/>
    <s v="Deposit for Trailer"/>
    <m/>
    <m/>
    <n v="1"/>
    <m/>
    <n v="0"/>
    <s v="McNeilus"/>
    <m/>
    <s v="TRUCKS AND TRAILERS"/>
    <s v="TBA"/>
    <s v="Non-Rolling Stock"/>
    <m/>
    <m/>
    <d v="2018-07-06T00:00:00"/>
    <d v="2018-07-06T00:00:00"/>
    <s v="2111-18-0038-1"/>
    <n v="700"/>
    <n v="14040"/>
    <n v="9206.56"/>
    <n v="14046"/>
    <n v="9206.56"/>
    <n v="0"/>
    <n v="400.29"/>
    <n v="51260"/>
    <n v="0"/>
    <s v="P"/>
    <m/>
    <m/>
    <s v=" "/>
    <s v="STL"/>
    <s v="YES"/>
    <s v="TBD"/>
    <d v="2024-10-09T00:00:00"/>
    <x v="19"/>
    <m/>
    <m/>
    <m/>
    <m/>
    <m/>
    <m/>
    <m/>
    <m/>
    <m/>
    <m/>
    <m/>
  </r>
  <r>
    <n v="2111"/>
    <n v="203608"/>
    <s v="P"/>
    <s v="Capitalized"/>
    <s v="96 GAL YW TOTES"/>
    <m/>
    <m/>
    <n v="624"/>
    <m/>
    <n v="0"/>
    <s v="WASTEQUIP TOTER"/>
    <m/>
    <s v="CONTAINERS"/>
    <s v="TBA"/>
    <m/>
    <m/>
    <m/>
    <d v="2018-07-28T00:00:00"/>
    <d v="2018-07-28T00:00:00"/>
    <s v="2111-18-0039-1"/>
    <n v="700"/>
    <n v="14050"/>
    <n v="33831.370000000003"/>
    <n v="14056"/>
    <n v="29803.77"/>
    <n v="4027.6000000000022"/>
    <n v="3624.75"/>
    <n v="54260"/>
    <n v="402.75"/>
    <s v="P"/>
    <m/>
    <m/>
    <s v=" "/>
    <s v="STL"/>
    <s v="YES"/>
    <s v="TBD"/>
    <d v="2024-10-09T00:00:00"/>
    <x v="19"/>
    <m/>
    <m/>
    <m/>
    <m/>
    <m/>
    <m/>
    <m/>
    <m/>
    <m/>
    <m/>
    <m/>
  </r>
  <r>
    <n v="2111"/>
    <n v="203607"/>
    <s v="P"/>
    <s v="Capitalized"/>
    <s v="96 GAL RECYCLE TOTES"/>
    <m/>
    <m/>
    <n v="312"/>
    <m/>
    <n v="0"/>
    <s v="WASTEQUIP TOTER"/>
    <m/>
    <s v="CONTAINERS"/>
    <s v="TBA"/>
    <m/>
    <m/>
    <m/>
    <d v="2018-07-28T00:00:00"/>
    <d v="2018-07-28T00:00:00"/>
    <s v="2111-18-0039-1"/>
    <n v="700"/>
    <n v="14050"/>
    <n v="16915.689999999999"/>
    <n v="14056"/>
    <n v="14901.96"/>
    <n v="2013.7299999999996"/>
    <n v="1812.42"/>
    <n v="54260"/>
    <n v="201.38"/>
    <s v="P"/>
    <m/>
    <m/>
    <s v=" "/>
    <s v="STL"/>
    <s v="YES"/>
    <s v="TBD"/>
    <d v="2024-10-09T00:00:00"/>
    <x v="19"/>
    <m/>
    <m/>
    <m/>
    <m/>
    <m/>
    <m/>
    <m/>
    <m/>
    <m/>
    <m/>
    <m/>
  </r>
  <r>
    <n v="2111"/>
    <n v="203606"/>
    <s v="P"/>
    <s v="Capitalized"/>
    <s v="21 GAL MSW TOTES"/>
    <m/>
    <m/>
    <n v="475"/>
    <m/>
    <n v="0"/>
    <s v="WASTEQUIP TOTER"/>
    <m/>
    <s v="CONTAINERS"/>
    <s v="TBA"/>
    <m/>
    <m/>
    <m/>
    <d v="2018-07-28T00:00:00"/>
    <d v="2018-07-28T00:00:00"/>
    <s v="2111-18-0039-1"/>
    <n v="700"/>
    <n v="14050"/>
    <n v="18365.82"/>
    <n v="14056"/>
    <n v="16179.41"/>
    <n v="2186.41"/>
    <n v="1967.76"/>
    <n v="54260"/>
    <n v="218.64"/>
    <s v="P"/>
    <m/>
    <m/>
    <s v=" "/>
    <s v="STL"/>
    <s v="YES"/>
    <s v="TBD"/>
    <d v="2024-10-09T00:00:00"/>
    <x v="19"/>
    <m/>
    <m/>
    <m/>
    <m/>
    <m/>
    <m/>
    <m/>
    <m/>
    <m/>
    <m/>
    <m/>
  </r>
  <r>
    <n v="2111"/>
    <n v="202939"/>
    <s v="P"/>
    <s v="Capitalized"/>
    <s v="2016 DEL BOX TRUCK"/>
    <m/>
    <m/>
    <n v="1"/>
    <s v="JALC4W169G7001185"/>
    <n v="2016"/>
    <s v="RWC INTERNATIONAL LTD"/>
    <m/>
    <s v="TRUCKS AND TRAILERS"/>
    <s v="TBA"/>
    <s v="Box Truck"/>
    <m/>
    <m/>
    <d v="2018-08-16T00:00:00"/>
    <d v="2018-08-16T00:00:00"/>
    <s v="2111-18-0015-1"/>
    <n v="700"/>
    <n v="14040"/>
    <n v="42500"/>
    <n v="14046"/>
    <n v="36934.51"/>
    <n v="5565.489999999998"/>
    <n v="4553.55"/>
    <n v="51260"/>
    <n v="505.95"/>
    <s v="P"/>
    <n v="0"/>
    <s v="C-9"/>
    <s v=" "/>
    <s v="STL"/>
    <s v="YES"/>
    <s v="TBD"/>
    <d v="2024-10-09T00:00:00"/>
    <x v="19"/>
    <m/>
    <m/>
    <m/>
    <m/>
    <m/>
    <m/>
    <m/>
    <m/>
    <m/>
    <m/>
    <m/>
  </r>
  <r>
    <n v="2111"/>
    <n v="202833"/>
    <s v="P"/>
    <s v="Capitalized"/>
    <s v="2019 FEL Truck"/>
    <m/>
    <m/>
    <n v="1"/>
    <s v="3BPDL70X3KF103979"/>
    <n v="2019"/>
    <s v="N/A"/>
    <s v="N/A"/>
    <s v="TRUCKS AND TRAILERS"/>
    <s v="TBA"/>
    <s v="Front Loader"/>
    <m/>
    <m/>
    <d v="2018-09-30T00:00:00"/>
    <d v="2018-09-30T00:00:00"/>
    <s v="2111-18-0025-1"/>
    <n v="1000"/>
    <n v="14040"/>
    <n v="330697.77"/>
    <n v="14046"/>
    <n v="198418.64"/>
    <n v="132279.13"/>
    <n v="24802.29"/>
    <n v="51260"/>
    <n v="2755.81"/>
    <s v="P"/>
    <m/>
    <n v="913"/>
    <s v=" "/>
    <s v="STL"/>
    <s v="YES"/>
    <s v="TBD"/>
    <d v="2024-10-09T00:00:00"/>
    <x v="19"/>
    <m/>
    <m/>
    <m/>
    <m/>
    <m/>
    <m/>
    <m/>
    <m/>
    <m/>
    <m/>
    <m/>
  </r>
  <r>
    <n v="2111"/>
    <n v="202832"/>
    <s v="P"/>
    <s v="Capitalized"/>
    <s v="2019 FEL Truck"/>
    <m/>
    <m/>
    <n v="1"/>
    <s v="3BPDL70X0KF103311"/>
    <n v="2019"/>
    <s v="N/A"/>
    <s v="N/A"/>
    <s v="TRUCKS AND TRAILERS"/>
    <s v="TBA"/>
    <s v="Front Loader"/>
    <m/>
    <m/>
    <d v="2018-09-30T00:00:00"/>
    <d v="2018-09-30T00:00:00"/>
    <s v="2111-18-0024-1"/>
    <n v="1000"/>
    <n v="14040"/>
    <n v="331358.90999999997"/>
    <n v="14046"/>
    <n v="198815.3"/>
    <n v="132543.60999999999"/>
    <n v="24851.88"/>
    <n v="51260"/>
    <n v="2761.32"/>
    <s v="P"/>
    <m/>
    <n v="912"/>
    <s v=" "/>
    <s v="STL"/>
    <s v="YES"/>
    <s v="TBD"/>
    <d v="2024-10-09T00:00:00"/>
    <x v="19"/>
    <m/>
    <m/>
    <m/>
    <m/>
    <m/>
    <m/>
    <m/>
    <m/>
    <m/>
    <m/>
    <m/>
  </r>
  <r>
    <n v="2111"/>
    <n v="202609"/>
    <s v="P"/>
    <s v="Capitalized"/>
    <s v="64 GAL MSW TOTES"/>
    <m/>
    <m/>
    <n v="864"/>
    <m/>
    <n v="0"/>
    <s v="WASTEQUIP TOTER"/>
    <m/>
    <s v="CONTAINERS"/>
    <s v="TBA"/>
    <m/>
    <m/>
    <m/>
    <d v="2018-07-28T00:00:00"/>
    <d v="2018-07-28T00:00:00"/>
    <s v="2111-18-0039-1"/>
    <n v="700"/>
    <n v="14050"/>
    <n v="40306.68"/>
    <n v="14056"/>
    <n v="35508.269999999997"/>
    <n v="4798.4100000000035"/>
    <n v="4318.5600000000004"/>
    <n v="54260"/>
    <n v="479.84"/>
    <s v="P"/>
    <m/>
    <m/>
    <s v=" "/>
    <s v="STL"/>
    <s v="YES"/>
    <s v="TBD"/>
    <d v="2024-10-09T00:00:00"/>
    <x v="19"/>
    <m/>
    <m/>
    <m/>
    <m/>
    <m/>
    <m/>
    <m/>
    <m/>
    <m/>
    <m/>
    <m/>
  </r>
  <r>
    <n v="2111"/>
    <n v="202478"/>
    <s v="P"/>
    <s v="Capitalized"/>
    <s v="96 GAL MSW TOTES"/>
    <m/>
    <m/>
    <n v="864"/>
    <m/>
    <n v="0"/>
    <s v="WASTEQUIP TOTER"/>
    <m/>
    <s v="CONTAINERS"/>
    <s v="TBA"/>
    <m/>
    <m/>
    <m/>
    <d v="2018-06-25T00:00:00"/>
    <d v="2018-06-25T00:00:00"/>
    <s v="2111-18-0035-1"/>
    <n v="700"/>
    <n v="14050"/>
    <n v="40104.33"/>
    <n v="14056"/>
    <n v="35807.42"/>
    <n v="4296.9100000000035"/>
    <n v="4296.87"/>
    <n v="54260"/>
    <n v="477.43"/>
    <s v="P"/>
    <m/>
    <m/>
    <s v=" "/>
    <s v="STL"/>
    <s v="YES"/>
    <s v="TBD"/>
    <d v="2024-10-09T00:00:00"/>
    <x v="19"/>
    <m/>
    <m/>
    <m/>
    <m/>
    <m/>
    <m/>
    <m/>
    <m/>
    <m/>
    <m/>
    <m/>
  </r>
  <r>
    <n v="2111"/>
    <n v="201533"/>
    <s v="P"/>
    <s v="Capitalized"/>
    <s v="53 TRI AXLE WALKING FLOOR"/>
    <m/>
    <m/>
    <n v="1"/>
    <s v="2TVWF5337KD000123"/>
    <n v="2019"/>
    <s v="x"/>
    <s v="x"/>
    <s v="TRUCKS AND TRAILERS"/>
    <s v="TBA"/>
    <s v="Other Trailer"/>
    <m/>
    <m/>
    <d v="2018-07-06T00:00:00"/>
    <d v="2018-07-06T00:00:00"/>
    <s v="2111-18-0038-1"/>
    <n v="700"/>
    <n v="14040"/>
    <n v="82859.97"/>
    <n v="14046"/>
    <n v="82859.97"/>
    <n v="0"/>
    <n v="3602.61"/>
    <n v="51260"/>
    <n v="0"/>
    <s v="P"/>
    <n v="0"/>
    <s v="WF-27"/>
    <s v=" "/>
    <s v="STL"/>
    <s v="YES"/>
    <s v="TBD"/>
    <d v="2024-10-09T00:00:00"/>
    <x v="19"/>
    <m/>
    <m/>
    <m/>
    <m/>
    <m/>
    <m/>
    <m/>
    <m/>
    <m/>
    <m/>
    <m/>
  </r>
  <r>
    <n v="2111"/>
    <n v="201178"/>
    <s v="P"/>
    <s v="Capitalized"/>
    <s v="New laptop for AC"/>
    <m/>
    <m/>
    <n v="1"/>
    <m/>
    <n v="0"/>
    <s v="CDW"/>
    <m/>
    <s v="HARDWARE AND SOFTWARE"/>
    <s v="TBA"/>
    <m/>
    <m/>
    <m/>
    <d v="2018-08-06T00:00:00"/>
    <d v="2018-08-06T00:00:00"/>
    <s v="2111-18-0041-1"/>
    <n v="300"/>
    <n v="14110"/>
    <n v="1365.39"/>
    <n v="14116"/>
    <n v="1365.39"/>
    <n v="0"/>
    <n v="0"/>
    <n v="70260"/>
    <n v="0"/>
    <s v="P"/>
    <m/>
    <m/>
    <s v=" "/>
    <s v="STL"/>
    <s v="YES"/>
    <s v="TBD"/>
    <d v="2024-10-09T00:00:00"/>
    <x v="19"/>
    <m/>
    <m/>
    <m/>
    <m/>
    <m/>
    <m/>
    <m/>
    <m/>
    <m/>
    <m/>
    <m/>
  </r>
  <r>
    <n v="2111"/>
    <n v="201172"/>
    <s v="P"/>
    <s v="Capitalized"/>
    <s v="96 GAL MSW TOTES"/>
    <m/>
    <m/>
    <n v="624"/>
    <m/>
    <n v="0"/>
    <s v="WASTEQUIP TOTER"/>
    <m/>
    <s v="CONTAINERS"/>
    <s v="TBA"/>
    <m/>
    <m/>
    <m/>
    <d v="2018-06-25T00:00:00"/>
    <d v="2018-06-25T00:00:00"/>
    <s v="2111-18-0035-1"/>
    <n v="700"/>
    <n v="14050"/>
    <n v="33629.019999999997"/>
    <n v="14056"/>
    <n v="30025.97"/>
    <n v="3603.0499999999956"/>
    <n v="3603.15"/>
    <n v="54260"/>
    <n v="400.35"/>
    <s v="P"/>
    <m/>
    <m/>
    <s v=" "/>
    <s v="STL"/>
    <s v="YES"/>
    <s v="TBD"/>
    <d v="2024-10-09T00:00:00"/>
    <x v="19"/>
    <m/>
    <m/>
    <m/>
    <m/>
    <m/>
    <m/>
    <m/>
    <m/>
    <m/>
    <m/>
    <m/>
  </r>
  <r>
    <n v="2111"/>
    <n v="201171"/>
    <s v="P"/>
    <s v="Capitalized"/>
    <s v="96 GAL YW TOTES"/>
    <m/>
    <m/>
    <n v="624"/>
    <m/>
    <n v="0"/>
    <s v="WASTEQUIP TOTER"/>
    <m/>
    <s v="CONTAINERS"/>
    <s v="TBA"/>
    <m/>
    <m/>
    <m/>
    <d v="2018-06-25T00:00:00"/>
    <d v="2018-06-25T00:00:00"/>
    <s v="2111-18-0035-1"/>
    <n v="700"/>
    <n v="14050"/>
    <n v="33629.03"/>
    <n v="14056"/>
    <n v="30025.97"/>
    <n v="3603.0599999999977"/>
    <n v="3603.15"/>
    <n v="54260"/>
    <n v="400.35"/>
    <s v="P"/>
    <m/>
    <m/>
    <s v=" "/>
    <s v="STL"/>
    <s v="YES"/>
    <s v="TBD"/>
    <d v="2024-10-09T00:00:00"/>
    <x v="19"/>
    <m/>
    <m/>
    <m/>
    <m/>
    <m/>
    <m/>
    <m/>
    <m/>
    <m/>
    <m/>
    <m/>
  </r>
  <r>
    <n v="2111"/>
    <n v="201170"/>
    <s v="P"/>
    <s v="Capitalized"/>
    <s v="96 GAL RECY TOTES"/>
    <m/>
    <m/>
    <n v="624"/>
    <m/>
    <n v="0"/>
    <s v="WASTEQUIP TOTER"/>
    <m/>
    <s v="CONTAINERS"/>
    <s v="TBA"/>
    <m/>
    <m/>
    <m/>
    <d v="2018-06-25T00:00:00"/>
    <d v="2018-06-25T00:00:00"/>
    <s v="2111-18-0035-1"/>
    <n v="700"/>
    <n v="14050"/>
    <n v="34685.120000000003"/>
    <n v="14056"/>
    <n v="30968.89"/>
    <n v="3716.2300000000032"/>
    <n v="3716.28"/>
    <n v="54260"/>
    <n v="412.92"/>
    <s v="P"/>
    <m/>
    <m/>
    <s v=" "/>
    <s v="STL"/>
    <s v="YES"/>
    <s v="TBD"/>
    <d v="2024-10-09T00:00:00"/>
    <x v="19"/>
    <m/>
    <m/>
    <m/>
    <m/>
    <m/>
    <m/>
    <m/>
    <m/>
    <m/>
    <m/>
    <m/>
  </r>
  <r>
    <n v="2111"/>
    <n v="200835"/>
    <s v="P"/>
    <s v="Capitalized"/>
    <s v="30YD Containers"/>
    <m/>
    <m/>
    <n v="6"/>
    <m/>
    <n v="0"/>
    <m/>
    <m/>
    <s v="CONTAINERS"/>
    <s v="TBA"/>
    <m/>
    <s v="30 YD"/>
    <s v="RO Box"/>
    <d v="2008-11-03T00:00:00"/>
    <d v="2008-11-03T00:00:00"/>
    <m/>
    <n v="700"/>
    <n v="14050"/>
    <n v="3754.29"/>
    <n v="14056"/>
    <n v="3754.29"/>
    <n v="0"/>
    <n v="0"/>
    <n v="54260"/>
    <n v="0"/>
    <s v="A"/>
    <s v="LeMay Enterprises"/>
    <s v="NA"/>
    <s v=" "/>
    <s v="STL"/>
    <s v="YES"/>
    <s v="TBD"/>
    <d v="2024-10-09T00:00:00"/>
    <x v="19"/>
    <m/>
    <m/>
    <m/>
    <m/>
    <m/>
    <m/>
    <m/>
    <m/>
    <m/>
    <m/>
    <m/>
  </r>
  <r>
    <n v="2111"/>
    <n v="200783"/>
    <s v="P"/>
    <s v="Capitalized"/>
    <s v="6 Yd Retriever Truck"/>
    <m/>
    <m/>
    <n v="1"/>
    <s v="JALE5W166K7301670"/>
    <n v="2019"/>
    <m/>
    <m/>
    <s v="TRUCKS AND TRAILERS"/>
    <s v="TBA"/>
    <s v="Retriever"/>
    <m/>
    <m/>
    <d v="2018-07-13T00:00:00"/>
    <d v="2018-07-13T00:00:00"/>
    <s v="2111-18-0009-1"/>
    <n v="1000"/>
    <n v="14040"/>
    <n v="131900.57999999999"/>
    <n v="14046"/>
    <n v="82437.8"/>
    <n v="49462.779999999984"/>
    <n v="9892.5300000000007"/>
    <n v="51260"/>
    <n v="1099.17"/>
    <s v="P"/>
    <m/>
    <n v="150"/>
    <s v=" "/>
    <s v="STL"/>
    <s v="YES"/>
    <s v="TBD"/>
    <d v="2024-10-09T00:00:00"/>
    <x v="19"/>
    <m/>
    <m/>
    <m/>
    <m/>
    <m/>
    <m/>
    <m/>
    <m/>
    <m/>
    <m/>
    <m/>
  </r>
  <r>
    <n v="2111"/>
    <n v="200782"/>
    <s v="P"/>
    <s v="Capitalized"/>
    <s v="New Website for Murrey's Disposal"/>
    <m/>
    <m/>
    <n v="1"/>
    <m/>
    <n v="0"/>
    <m/>
    <m/>
    <s v="HARDWARE AND SOFTWARE"/>
    <s v="TBA"/>
    <m/>
    <m/>
    <m/>
    <d v="2018-07-15T00:00:00"/>
    <d v="2018-07-15T00:00:00"/>
    <s v="2111-17-0033-1"/>
    <n v="300"/>
    <n v="14110"/>
    <n v="2910"/>
    <n v="14116"/>
    <n v="2910"/>
    <n v="0"/>
    <n v="0"/>
    <n v="70260"/>
    <n v="0"/>
    <s v="P"/>
    <m/>
    <m/>
    <s v=" "/>
    <s v="STL"/>
    <s v="YES"/>
    <s v="TBD"/>
    <d v="2024-10-09T00:00:00"/>
    <x v="19"/>
    <m/>
    <m/>
    <m/>
    <m/>
    <m/>
    <m/>
    <m/>
    <m/>
    <m/>
    <m/>
    <m/>
  </r>
  <r>
    <n v="2111"/>
    <n v="200714"/>
    <n v="173078"/>
    <s v="Capitalized"/>
    <s v="Cart Tipper"/>
    <m/>
    <m/>
    <n v="1"/>
    <m/>
    <n v="0"/>
    <s v="SOLID WASTE SYSTEMS"/>
    <m/>
    <s v="TRUCKS AND TRAILERS"/>
    <s v="TBA"/>
    <s v="Non-Rolling Stock"/>
    <m/>
    <m/>
    <d v="2018-07-25T00:00:00"/>
    <d v="2018-07-25T00:00:00"/>
    <s v="2111-18-0034-1"/>
    <n v="300"/>
    <n v="14040"/>
    <n v="9099.7199999999993"/>
    <n v="14046"/>
    <n v="9099.7199999999993"/>
    <n v="0"/>
    <n v="0"/>
    <n v="51260"/>
    <n v="0"/>
    <s v="P"/>
    <m/>
    <m/>
    <s v=" "/>
    <s v="STL"/>
    <s v="YES"/>
    <s v="TBD"/>
    <d v="2024-10-09T00:00:00"/>
    <x v="19"/>
    <m/>
    <m/>
    <m/>
    <m/>
    <m/>
    <m/>
    <m/>
    <m/>
    <m/>
    <m/>
    <m/>
  </r>
  <r>
    <n v="2111"/>
    <n v="199577"/>
    <s v="P"/>
    <s v="Capitalized"/>
    <s v="WEBSITE DEVELOPMENT"/>
    <m/>
    <m/>
    <n v="1"/>
    <m/>
    <n v="0"/>
    <s v="ROBERT SHARP &amp; ASSOCIATES"/>
    <m/>
    <s v="HARDWARE AND SOFTWARE"/>
    <s v="TBA"/>
    <m/>
    <m/>
    <m/>
    <d v="2018-05-31T00:00:00"/>
    <d v="2018-05-31T00:00:00"/>
    <s v="2111-18-0037-1"/>
    <n v="300"/>
    <n v="14110"/>
    <n v="2910"/>
    <n v="14116"/>
    <n v="2910"/>
    <n v="0"/>
    <n v="0"/>
    <n v="70260"/>
    <n v="0"/>
    <s v="P"/>
    <m/>
    <m/>
    <s v=" "/>
    <s v="STL"/>
    <s v="YES"/>
    <s v="TBD"/>
    <d v="2024-10-09T00:00:00"/>
    <x v="19"/>
    <m/>
    <m/>
    <m/>
    <m/>
    <m/>
    <m/>
    <m/>
    <m/>
    <m/>
    <m/>
    <m/>
  </r>
  <r>
    <n v="2111"/>
    <n v="199570"/>
    <n v="199165"/>
    <s v="Capitalized"/>
    <s v="Licensing for New ASL"/>
    <m/>
    <m/>
    <n v="1"/>
    <m/>
    <n v="0"/>
    <s v="Washington Department of "/>
    <m/>
    <s v="TRUCKS AND TRAILERS"/>
    <s v="TBA"/>
    <s v="Non-Rolling Stock"/>
    <m/>
    <m/>
    <d v="2018-06-01T00:00:00"/>
    <d v="2018-06-01T00:00:00"/>
    <s v="2111-18-0003-1"/>
    <n v="900"/>
    <n v="14040"/>
    <n v="1745"/>
    <n v="14046"/>
    <n v="1227.99"/>
    <n v="517.01"/>
    <n v="145.44"/>
    <n v="51260"/>
    <n v="16.16"/>
    <s v="P"/>
    <m/>
    <m/>
    <s v=" "/>
    <s v="STL"/>
    <s v="YES"/>
    <s v="TBD"/>
    <d v="2024-10-09T00:00:00"/>
    <x v="19"/>
    <m/>
    <m/>
    <m/>
    <m/>
    <m/>
    <m/>
    <m/>
    <m/>
    <m/>
    <m/>
    <m/>
  </r>
  <r>
    <n v="2111"/>
    <n v="199443"/>
    <s v="P"/>
    <s v="Capitalized"/>
    <s v="96 GAL RECYCLE TOTES"/>
    <m/>
    <m/>
    <n v="624"/>
    <m/>
    <n v="0"/>
    <s v="WASTEQUIP TOTER"/>
    <m/>
    <s v="CONTAINERS"/>
    <s v="TBA"/>
    <m/>
    <m/>
    <m/>
    <d v="2018-04-10T00:00:00"/>
    <d v="2018-04-10T00:00:00"/>
    <s v="2111-18-0029-1"/>
    <n v="700"/>
    <n v="14050"/>
    <n v="33245.019999999997"/>
    <n v="14056"/>
    <n v="30870.35"/>
    <n v="2374.6699999999983"/>
    <n v="3561.93"/>
    <n v="54260"/>
    <n v="395.77"/>
    <s v="P"/>
    <m/>
    <m/>
    <s v=" "/>
    <s v="STL"/>
    <s v="YES"/>
    <s v="TBD"/>
    <d v="2024-10-09T00:00:00"/>
    <x v="19"/>
    <m/>
    <m/>
    <m/>
    <m/>
    <m/>
    <m/>
    <m/>
    <m/>
    <m/>
    <m/>
    <m/>
  </r>
  <r>
    <n v="2111"/>
    <n v="199192"/>
    <n v="9537"/>
    <s v="Capitalized"/>
    <s v="Engine Repair"/>
    <m/>
    <m/>
    <n v="1"/>
    <m/>
    <n v="0"/>
    <s v="NC MACHINERY CO"/>
    <m/>
    <s v="TRUCKS AND TRAILERS"/>
    <s v="TBA"/>
    <s v="Non-Rolling Stock"/>
    <m/>
    <m/>
    <d v="2018-05-08T00:00:00"/>
    <d v="2018-05-08T00:00:00"/>
    <s v="2111-18-0033-1"/>
    <n v="300"/>
    <n v="14040"/>
    <n v="28485.64"/>
    <n v="14046"/>
    <n v="28485.64"/>
    <n v="0"/>
    <n v="0"/>
    <n v="51260"/>
    <n v="0"/>
    <s v="P"/>
    <m/>
    <m/>
    <s v=" "/>
    <s v="STL"/>
    <s v="YES"/>
    <s v="TBD"/>
    <d v="2024-10-09T00:00:00"/>
    <x v="19"/>
    <m/>
    <m/>
    <m/>
    <m/>
    <m/>
    <m/>
    <m/>
    <m/>
    <m/>
    <m/>
    <m/>
  </r>
  <r>
    <n v="2111"/>
    <n v="199165"/>
    <s v="P"/>
    <s v="Capitalized"/>
    <s v="2017 ASL Truck"/>
    <m/>
    <m/>
    <n v="1"/>
    <s v="3BPZL70X2HF174542"/>
    <n v="2017"/>
    <m/>
    <m/>
    <s v="TRUCKS AND TRAILERS"/>
    <s v="TBA"/>
    <s v="Automated Side Loader"/>
    <m/>
    <m/>
    <d v="2018-06-01T00:00:00"/>
    <d v="2018-06-01T00:00:00"/>
    <s v="2111-18-0003-1"/>
    <n v="900"/>
    <n v="14040"/>
    <n v="345746.04"/>
    <n v="14046"/>
    <n v="243302.77"/>
    <n v="102443.26999999999"/>
    <n v="28812.15"/>
    <n v="51260"/>
    <n v="3201.35"/>
    <s v="P"/>
    <m/>
    <n v="855"/>
    <s v=" "/>
    <s v="STL"/>
    <s v="YES"/>
    <s v="TBD"/>
    <d v="2024-10-09T00:00:00"/>
    <x v="19"/>
    <m/>
    <m/>
    <m/>
    <m/>
    <m/>
    <m/>
    <m/>
    <m/>
    <m/>
    <m/>
    <m/>
  </r>
  <r>
    <n v="2111"/>
    <n v="199164"/>
    <s v="P"/>
    <s v="Capitalized"/>
    <s v="2017 ASL Truck"/>
    <m/>
    <m/>
    <n v="1"/>
    <s v="3BPZL70X4HF174543"/>
    <n v="2017"/>
    <m/>
    <m/>
    <s v="TRUCKS AND TRAILERS"/>
    <s v="TBA"/>
    <s v="Automated Side Loader"/>
    <m/>
    <m/>
    <d v="2018-06-01T00:00:00"/>
    <d v="2018-06-01T00:00:00"/>
    <s v="2111-18-0001-1"/>
    <n v="900"/>
    <n v="14040"/>
    <n v="347491.04"/>
    <n v="14046"/>
    <n v="244530.76"/>
    <n v="102960.27999999997"/>
    <n v="28957.59"/>
    <n v="51260"/>
    <n v="3217.51"/>
    <s v="P"/>
    <m/>
    <n v="854"/>
    <s v=" "/>
    <s v="STL"/>
    <s v="YES"/>
    <s v="TBD"/>
    <d v="2024-10-09T00:00:00"/>
    <x v="19"/>
    <m/>
    <m/>
    <m/>
    <m/>
    <m/>
    <m/>
    <m/>
    <m/>
    <m/>
    <m/>
    <m/>
  </r>
  <r>
    <n v="2111"/>
    <n v="199096"/>
    <s v="P"/>
    <s v="Capitalized"/>
    <s v="6YD FRONT LOAD"/>
    <m/>
    <m/>
    <n v="15"/>
    <m/>
    <n v="0"/>
    <s v="ENVIRONMENTAL METAL WORKS"/>
    <m/>
    <s v="CONTAINERS"/>
    <s v="TBA"/>
    <m/>
    <s v="6 YD"/>
    <s v="FEL/REL/SL Metal"/>
    <d v="2018-05-04T00:00:00"/>
    <d v="2018-05-04T00:00:00"/>
    <s v="2111-18-0030-1"/>
    <n v="1200"/>
    <n v="14050"/>
    <n v="13539.32"/>
    <n v="14056"/>
    <n v="7239.77"/>
    <n v="6299.5499999999993"/>
    <n v="846.18"/>
    <n v="54260"/>
    <n v="94.02"/>
    <s v="P"/>
    <m/>
    <m/>
    <s v=" "/>
    <s v="STL"/>
    <s v="YES"/>
    <s v="TBD"/>
    <d v="2024-10-09T00:00:00"/>
    <x v="19"/>
    <m/>
    <m/>
    <m/>
    <m/>
    <m/>
    <m/>
    <m/>
    <m/>
    <m/>
    <m/>
    <m/>
  </r>
  <r>
    <n v="2111"/>
    <n v="199095"/>
    <s v="P"/>
    <s v="Capitalized"/>
    <s v="4YD FRONT LOAD"/>
    <m/>
    <m/>
    <n v="15"/>
    <m/>
    <n v="0"/>
    <s v="ENVIRONMENTAL METAL WORKS"/>
    <m/>
    <s v="CONTAINERS"/>
    <s v="TBA"/>
    <m/>
    <s v="4 YD"/>
    <s v="FEL/REL/SL Metal"/>
    <d v="2018-05-04T00:00:00"/>
    <d v="2018-05-04T00:00:00"/>
    <s v="2111-18-0030-1"/>
    <n v="1200"/>
    <n v="14050"/>
    <n v="11547.28"/>
    <n v="14056"/>
    <n v="6174.58"/>
    <n v="5372.7000000000007"/>
    <n v="721.71"/>
    <n v="54260"/>
    <n v="80.19"/>
    <s v="P"/>
    <m/>
    <m/>
    <s v=" "/>
    <s v="STL"/>
    <s v="YES"/>
    <s v="TBD"/>
    <d v="2024-10-09T00:00:00"/>
    <x v="19"/>
    <m/>
    <m/>
    <m/>
    <m/>
    <m/>
    <m/>
    <m/>
    <m/>
    <m/>
    <m/>
    <m/>
  </r>
  <r>
    <n v="2111"/>
    <n v="198690"/>
    <s v="P"/>
    <s v="Capitalized"/>
    <s v="2YD REAR LOAD"/>
    <m/>
    <m/>
    <n v="50"/>
    <m/>
    <n v="0"/>
    <s v="ENVIRONMENTAL METAL WORKS"/>
    <m/>
    <s v="CONTAINERS"/>
    <s v="TBA"/>
    <m/>
    <s v="2 YD"/>
    <s v="FEL/REL/SL Metal"/>
    <d v="2018-05-04T00:00:00"/>
    <d v="2018-05-04T00:00:00"/>
    <s v="2111-18-0030-1"/>
    <n v="1200"/>
    <n v="14050"/>
    <n v="31389.09"/>
    <n v="14056"/>
    <n v="16784.46"/>
    <n v="14604.630000000001"/>
    <n v="1961.82"/>
    <n v="54260"/>
    <n v="217.98"/>
    <s v="P"/>
    <m/>
    <m/>
    <s v=" "/>
    <s v="STL"/>
    <s v="YES"/>
    <s v="TBD"/>
    <d v="2024-10-09T00:00:00"/>
    <x v="19"/>
    <m/>
    <m/>
    <m/>
    <m/>
    <m/>
    <m/>
    <m/>
    <m/>
    <m/>
    <m/>
    <m/>
  </r>
  <r>
    <n v="2111"/>
    <n v="198526"/>
    <s v="P"/>
    <s v="Capitalized"/>
    <s v="Peterbilt 320/Wayne Curbtender ASL"/>
    <m/>
    <m/>
    <n v="1"/>
    <s v="3BPZL70XXGF107184"/>
    <n v="2016"/>
    <m/>
    <m/>
    <s v="TRUCKS AND TRAILERS"/>
    <s v="TBA"/>
    <s v="Automated Side Loader"/>
    <m/>
    <m/>
    <d v="2016-07-15T00:00:00"/>
    <d v="2016-07-15T00:00:00"/>
    <s v="2140-16-0001-1"/>
    <n v="900"/>
    <n v="14040"/>
    <n v="327729.78000000003"/>
    <n v="14046"/>
    <n v="300419.01"/>
    <n v="27310.770000000019"/>
    <n v="27310.86"/>
    <n v="51260"/>
    <n v="3034.54"/>
    <s v="P"/>
    <m/>
    <n v="838"/>
    <s v=" "/>
    <s v="STL"/>
    <s v="YES"/>
    <s v="TBD"/>
    <d v="2024-10-09T00:00:00"/>
    <x v="19"/>
    <m/>
    <m/>
    <m/>
    <m/>
    <m/>
    <m/>
    <m/>
    <m/>
    <m/>
    <m/>
    <m/>
  </r>
  <r>
    <n v="2111"/>
    <n v="197999"/>
    <s v="P"/>
    <s v="Capitalized"/>
    <s v="50 YD Container"/>
    <m/>
    <m/>
    <n v="1"/>
    <m/>
    <n v="0"/>
    <m/>
    <m/>
    <s v="CONTAINERS"/>
    <s v="TBA"/>
    <m/>
    <s v="50 YD"/>
    <s v="RO Box"/>
    <d v="2018-06-01T00:00:00"/>
    <d v="2018-06-01T00:00:00"/>
    <m/>
    <n v="0"/>
    <n v="14050"/>
    <n v="0"/>
    <n v="14056"/>
    <n v="0"/>
    <n v="0"/>
    <n v="0"/>
    <n v="54260"/>
    <n v="0"/>
    <s v="P"/>
    <m/>
    <m/>
    <s v=" "/>
    <s v="STL"/>
    <s v="NO"/>
    <s v="TBD"/>
    <d v="2024-10-09T00:00:00"/>
    <x v="19"/>
    <m/>
    <m/>
    <m/>
    <m/>
    <m/>
    <m/>
    <m/>
    <m/>
    <m/>
    <m/>
    <m/>
  </r>
  <r>
    <n v="2111"/>
    <n v="197020"/>
    <s v="P"/>
    <s v="Capitalized"/>
    <s v="6 YARD FL OCC CONTAINER"/>
    <m/>
    <m/>
    <n v="20"/>
    <m/>
    <n v="0"/>
    <s v="ENVIRONMENTAL METAL WORKS"/>
    <m/>
    <s v="CONTAINERS"/>
    <s v="TBA"/>
    <m/>
    <s v="6 YD"/>
    <s v="FEL/REL/SL Metal"/>
    <d v="2018-03-26T00:00:00"/>
    <d v="2018-03-26T00:00:00"/>
    <s v="2111-18-0027-1"/>
    <n v="1200"/>
    <n v="14050"/>
    <n v="18996.43"/>
    <n v="14056"/>
    <n v="10289.76"/>
    <n v="8706.67"/>
    <n v="1187.28"/>
    <n v="54260"/>
    <n v="131.91999999999999"/>
    <s v="P"/>
    <m/>
    <m/>
    <s v=" "/>
    <s v="STL"/>
    <s v="YES"/>
    <s v="TBD"/>
    <d v="2024-10-09T00:00:00"/>
    <x v="19"/>
    <m/>
    <m/>
    <m/>
    <m/>
    <m/>
    <m/>
    <m/>
    <m/>
    <m/>
    <m/>
    <m/>
  </r>
  <r>
    <n v="2111"/>
    <n v="197019"/>
    <s v="P"/>
    <s v="Capitalized"/>
    <s v="6 YARD FL GARB CONTAINERS"/>
    <m/>
    <m/>
    <n v="18"/>
    <m/>
    <n v="0"/>
    <s v="ENVIRONMENTAL METAL WORKS"/>
    <m/>
    <s v="CONTAINERS"/>
    <s v="TBA"/>
    <m/>
    <s v="6 YD"/>
    <s v="FEL/REL/SL Metal"/>
    <d v="2018-03-26T00:00:00"/>
    <d v="2018-03-26T00:00:00"/>
    <s v="2111-18-0027-1"/>
    <n v="1200"/>
    <n v="14050"/>
    <n v="14958.12"/>
    <n v="14056"/>
    <n v="8102.35"/>
    <n v="6855.77"/>
    <n v="934.92"/>
    <n v="54260"/>
    <n v="103.88"/>
    <s v="P"/>
    <m/>
    <m/>
    <s v=" "/>
    <s v="STL"/>
    <s v="YES"/>
    <s v="TBD"/>
    <d v="2024-10-09T00:00:00"/>
    <x v="19"/>
    <m/>
    <m/>
    <m/>
    <m/>
    <m/>
    <m/>
    <m/>
    <m/>
    <m/>
    <m/>
    <m/>
  </r>
  <r>
    <n v="2111"/>
    <n v="197018"/>
    <s v="P"/>
    <s v="Capitalized"/>
    <s v="2 YARD REL GARB CONTAINERS"/>
    <m/>
    <m/>
    <n v="15"/>
    <m/>
    <n v="0"/>
    <s v="ENVIRONMENTAL METAL WORKS"/>
    <m/>
    <s v="CONTAINERS"/>
    <s v="TBA"/>
    <m/>
    <s v="2 YD"/>
    <s v="FEL/REL/SL Metal"/>
    <d v="2018-03-26T00:00:00"/>
    <d v="2018-03-26T00:00:00"/>
    <s v="2111-18-0027-1"/>
    <n v="1200"/>
    <n v="14050"/>
    <n v="9539.17"/>
    <n v="14056"/>
    <n v="5167.01"/>
    <n v="4372.16"/>
    <n v="596.16"/>
    <n v="54260"/>
    <n v="66.239999999999995"/>
    <s v="P"/>
    <m/>
    <m/>
    <s v=" "/>
    <s v="STL"/>
    <s v="YES"/>
    <s v="TBD"/>
    <d v="2024-10-09T00:00:00"/>
    <x v="19"/>
    <m/>
    <m/>
    <m/>
    <m/>
    <m/>
    <m/>
    <m/>
    <m/>
    <m/>
    <m/>
    <m/>
  </r>
  <r>
    <n v="2111"/>
    <n v="196666"/>
    <s v="P"/>
    <s v="Capitalized"/>
    <s v="96 GAL BLUE YW CARTS"/>
    <m/>
    <m/>
    <n v="624"/>
    <m/>
    <n v="0"/>
    <s v="WASTEQUIP TOTER"/>
    <m/>
    <s v="CONTAINERS"/>
    <s v="TBA"/>
    <m/>
    <m/>
    <m/>
    <d v="2018-03-26T00:00:00"/>
    <d v="2018-03-26T00:00:00"/>
    <s v="2111-18-0028-1"/>
    <n v="700"/>
    <n v="14050"/>
    <n v="32931.01"/>
    <n v="14056"/>
    <n v="30578.83"/>
    <n v="2352.1800000000003"/>
    <n v="3528.36"/>
    <n v="54260"/>
    <n v="392.04"/>
    <s v="P"/>
    <m/>
    <m/>
    <s v=" "/>
    <s v="STL"/>
    <s v="YES"/>
    <s v="TBD"/>
    <d v="2024-10-09T00:00:00"/>
    <x v="19"/>
    <m/>
    <m/>
    <m/>
    <m/>
    <m/>
    <m/>
    <m/>
    <m/>
    <m/>
    <m/>
    <m/>
  </r>
  <r>
    <n v="2111"/>
    <n v="196665"/>
    <s v="P"/>
    <s v="Capitalized"/>
    <s v="96 GAL BLUE YW CARTS"/>
    <m/>
    <m/>
    <n v="624"/>
    <m/>
    <n v="0"/>
    <s v="WASTEQUIP TOTER"/>
    <m/>
    <s v="CONTAINERS"/>
    <s v="TBA"/>
    <m/>
    <m/>
    <m/>
    <d v="2018-04-10T00:00:00"/>
    <d v="2018-04-10T00:00:00"/>
    <s v="2111-18-0029-1"/>
    <n v="700"/>
    <n v="14050"/>
    <n v="32912.57"/>
    <n v="14056"/>
    <n v="30561.73"/>
    <n v="2350.84"/>
    <n v="3526.38"/>
    <n v="54260"/>
    <n v="391.82"/>
    <s v="P"/>
    <m/>
    <m/>
    <s v=" "/>
    <s v="STL"/>
    <s v="YES"/>
    <s v="TBD"/>
    <d v="2024-10-09T00:00:00"/>
    <x v="19"/>
    <m/>
    <m/>
    <m/>
    <m/>
    <m/>
    <m/>
    <m/>
    <m/>
    <m/>
    <m/>
    <m/>
  </r>
  <r>
    <n v="2111"/>
    <n v="196664"/>
    <s v="P"/>
    <s v="Capitalized"/>
    <s v="96 GAL BLUE YW CARTS"/>
    <m/>
    <m/>
    <n v="624"/>
    <m/>
    <n v="0"/>
    <s v="WASTEQUIP TOTER"/>
    <m/>
    <s v="CONTAINERS"/>
    <s v="TBA"/>
    <m/>
    <m/>
    <m/>
    <d v="2018-04-10T00:00:00"/>
    <d v="2018-04-10T00:00:00"/>
    <s v="2111-18-0029-1"/>
    <n v="700"/>
    <n v="14050"/>
    <n v="32912.57"/>
    <n v="14056"/>
    <n v="30561.73"/>
    <n v="2350.84"/>
    <n v="3526.38"/>
    <n v="54260"/>
    <n v="391.82"/>
    <s v="P"/>
    <m/>
    <m/>
    <s v=" "/>
    <s v="STL"/>
    <s v="YES"/>
    <s v="TBD"/>
    <d v="2024-10-09T00:00:00"/>
    <x v="19"/>
    <m/>
    <m/>
    <m/>
    <m/>
    <m/>
    <m/>
    <m/>
    <m/>
    <m/>
    <m/>
    <m/>
  </r>
  <r>
    <n v="2111"/>
    <n v="196548"/>
    <s v="P"/>
    <s v="Capitalized"/>
    <s v="RECY 96 GAL GRAY TOTES"/>
    <m/>
    <m/>
    <n v="624"/>
    <m/>
    <n v="0"/>
    <s v="TOTER INC"/>
    <m/>
    <s v="CONTAINERS"/>
    <s v="TBA"/>
    <m/>
    <m/>
    <m/>
    <d v="2018-03-26T00:00:00"/>
    <d v="2018-03-26T00:00:00"/>
    <s v="2111-18-0028-1"/>
    <n v="700"/>
    <n v="14050"/>
    <n v="33263.65"/>
    <n v="14056"/>
    <n v="30887.71"/>
    <n v="2375.9400000000023"/>
    <n v="3564"/>
    <n v="54260"/>
    <n v="396"/>
    <s v="P"/>
    <m/>
    <m/>
    <s v=" "/>
    <s v="STL"/>
    <s v="YES"/>
    <s v="TBD"/>
    <d v="2024-10-09T00:00:00"/>
    <x v="19"/>
    <m/>
    <m/>
    <m/>
    <m/>
    <m/>
    <m/>
    <m/>
    <m/>
    <m/>
    <m/>
    <m/>
  </r>
  <r>
    <n v="2111"/>
    <n v="196547"/>
    <s v="P"/>
    <s v="Capitalized"/>
    <s v="MSW 96 GAL GREEN TOTES"/>
    <m/>
    <m/>
    <n v="312"/>
    <m/>
    <n v="0"/>
    <s v="TOTER INC"/>
    <m/>
    <s v="CONTAINERS"/>
    <s v="TBA"/>
    <m/>
    <m/>
    <m/>
    <d v="2018-03-26T00:00:00"/>
    <d v="2018-03-26T00:00:00"/>
    <s v="2111-18-0028-1"/>
    <n v="700"/>
    <n v="14050"/>
    <n v="16631.830000000002"/>
    <n v="14056"/>
    <n v="15443.88"/>
    <n v="1187.9500000000025"/>
    <n v="1782"/>
    <n v="54260"/>
    <n v="198"/>
    <s v="P"/>
    <m/>
    <m/>
    <s v=" "/>
    <s v="STL"/>
    <s v="YES"/>
    <s v="TBD"/>
    <d v="2024-10-09T00:00:00"/>
    <x v="19"/>
    <m/>
    <m/>
    <m/>
    <m/>
    <m/>
    <m/>
    <m/>
    <m/>
    <m/>
    <m/>
    <m/>
  </r>
  <r>
    <n v="2111"/>
    <n v="196546"/>
    <s v="P"/>
    <s v="Capitalized"/>
    <s v="YW 96 GAL BLUE TOTES"/>
    <m/>
    <m/>
    <n v="312"/>
    <m/>
    <n v="0"/>
    <s v="TOTER INC"/>
    <m/>
    <s v="CONTAINERS"/>
    <s v="TBA"/>
    <m/>
    <m/>
    <m/>
    <d v="2018-03-26T00:00:00"/>
    <d v="2018-03-26T00:00:00"/>
    <s v="2111-18-0028-1"/>
    <n v="700"/>
    <n v="14050"/>
    <n v="16631.830000000002"/>
    <n v="14056"/>
    <n v="15443.88"/>
    <n v="1187.9500000000025"/>
    <n v="1782"/>
    <n v="54260"/>
    <n v="198"/>
    <s v="P"/>
    <m/>
    <m/>
    <s v=" "/>
    <s v="STL"/>
    <s v="YES"/>
    <s v="TBD"/>
    <d v="2024-10-09T00:00:00"/>
    <x v="19"/>
    <m/>
    <m/>
    <m/>
    <m/>
    <m/>
    <m/>
    <m/>
    <m/>
    <m/>
    <m/>
    <m/>
  </r>
  <r>
    <n v="2111"/>
    <n v="195820"/>
    <n v="102169"/>
    <s v="Capitalized"/>
    <s v="New Load Scales - Holland FW35"/>
    <m/>
    <m/>
    <n v="1"/>
    <m/>
    <n v="0"/>
    <s v="LOADMAN NW LLC"/>
    <m/>
    <s v="TRUCKS AND TRAILERS"/>
    <s v="TBA"/>
    <s v="Non-Rolling Stock"/>
    <m/>
    <m/>
    <d v="2018-04-24T00:00:00"/>
    <d v="2018-04-24T00:00:00"/>
    <s v="2111-18-0032-1"/>
    <n v="300"/>
    <n v="14040"/>
    <n v="8770.02"/>
    <n v="14046"/>
    <n v="8770.02"/>
    <n v="0"/>
    <n v="0"/>
    <n v="51260"/>
    <n v="0"/>
    <s v="P"/>
    <m/>
    <m/>
    <s v=" "/>
    <s v="STL"/>
    <s v="YES"/>
    <s v="TBD"/>
    <d v="2024-10-09T00:00:00"/>
    <x v="19"/>
    <m/>
    <m/>
    <m/>
    <m/>
    <m/>
    <m/>
    <m/>
    <m/>
    <m/>
    <m/>
    <m/>
  </r>
  <r>
    <n v="2111"/>
    <n v="194937"/>
    <s v="P"/>
    <s v="Capitalized"/>
    <s v="96 Gallon Recycle Carts"/>
    <m/>
    <m/>
    <n v="624"/>
    <m/>
    <n v="0"/>
    <s v="Toter"/>
    <m/>
    <s v="CONTAINERS"/>
    <s v="TBA"/>
    <m/>
    <m/>
    <m/>
    <d v="2018-02-02T00:00:00"/>
    <d v="2018-02-02T00:00:00"/>
    <s v="2111-18-0026-1"/>
    <n v="700"/>
    <n v="14050"/>
    <n v="33120.080000000002"/>
    <n v="14056"/>
    <n v="31542.959999999999"/>
    <n v="1577.1200000000026"/>
    <n v="3548.61"/>
    <n v="54260"/>
    <n v="394.29"/>
    <s v="P"/>
    <m/>
    <m/>
    <s v=" "/>
    <s v="STL"/>
    <s v="YES"/>
    <s v="TBD"/>
    <d v="2024-10-09T00:00:00"/>
    <x v="19"/>
    <m/>
    <m/>
    <m/>
    <m/>
    <m/>
    <m/>
    <m/>
    <m/>
    <m/>
    <m/>
    <m/>
  </r>
  <r>
    <n v="2111"/>
    <n v="194936"/>
    <s v="P"/>
    <s v="Capitalized"/>
    <s v="64 Gallon Garbage Carts"/>
    <m/>
    <m/>
    <n v="864"/>
    <m/>
    <n v="0"/>
    <s v="Toter"/>
    <m/>
    <s v="CONTAINERS"/>
    <s v="TBA"/>
    <m/>
    <m/>
    <m/>
    <d v="2018-01-25T00:00:00"/>
    <d v="2018-01-25T00:00:00"/>
    <s v="2111-18-0026-1"/>
    <n v="700"/>
    <n v="14050"/>
    <n v="39634.949999999997"/>
    <n v="14056"/>
    <n v="37747.550000000003"/>
    <n v="1887.3999999999942"/>
    <n v="4246.5600000000004"/>
    <n v="54260"/>
    <n v="471.84"/>
    <s v="P"/>
    <m/>
    <m/>
    <s v=" "/>
    <s v="STL"/>
    <s v="YES"/>
    <s v="TBD"/>
    <d v="2024-10-09T00:00:00"/>
    <x v="19"/>
    <m/>
    <m/>
    <m/>
    <m/>
    <m/>
    <m/>
    <m/>
    <m/>
    <m/>
    <m/>
    <m/>
  </r>
  <r>
    <n v="2111"/>
    <n v="194935"/>
    <s v="P"/>
    <s v="Capitalized"/>
    <s v="95 Gallon Recycle Carts"/>
    <m/>
    <m/>
    <n v="624"/>
    <m/>
    <n v="0"/>
    <s v="Toter"/>
    <m/>
    <s v="CONTAINERS"/>
    <s v="TBA"/>
    <m/>
    <m/>
    <m/>
    <d v="2018-01-01T00:00:00"/>
    <d v="2018-01-01T00:00:00"/>
    <s v="2111-18-0031-1"/>
    <n v="610"/>
    <n v="14050"/>
    <n v="32987.93"/>
    <n v="14056"/>
    <n v="32585.61"/>
    <n v="402.31999999999971"/>
    <n v="3620.61"/>
    <n v="54260"/>
    <n v="402.29"/>
    <s v="P"/>
    <m/>
    <m/>
    <s v=" "/>
    <s v="STL"/>
    <s v="YES"/>
    <s v="TBD"/>
    <d v="2024-10-09T00:00:00"/>
    <x v="19"/>
    <m/>
    <m/>
    <m/>
    <m/>
    <m/>
    <m/>
    <m/>
    <m/>
    <m/>
    <m/>
    <m/>
  </r>
  <r>
    <n v="2111"/>
    <n v="194073"/>
    <s v="P"/>
    <s v="Capitalized"/>
    <s v="Maintenance Shop Heating System Installation"/>
    <m/>
    <m/>
    <n v="1"/>
    <m/>
    <n v="0"/>
    <s v="SCS ENGINEERS"/>
    <m/>
    <s v="BUILDINGS"/>
    <s v="TBA"/>
    <m/>
    <m/>
    <m/>
    <d v="2018-03-27T00:00:00"/>
    <d v="2018-03-27T00:00:00"/>
    <s v="2111-17-0049-1"/>
    <n v="1000"/>
    <n v="14080"/>
    <n v="69188.7"/>
    <n v="14086"/>
    <n v="44972.63"/>
    <n v="24216.07"/>
    <n v="5189.13"/>
    <n v="57260"/>
    <n v="576.57000000000005"/>
    <s v="P"/>
    <m/>
    <m/>
    <s v=" "/>
    <s v="STL"/>
    <s v="YES"/>
    <s v="TBD"/>
    <d v="2024-10-09T00:00:00"/>
    <x v="19"/>
    <m/>
    <m/>
    <m/>
    <m/>
    <m/>
    <m/>
    <m/>
    <m/>
    <m/>
    <m/>
    <m/>
  </r>
  <r>
    <n v="2111"/>
    <n v="190633"/>
    <s v="P"/>
    <s v="Capitalized"/>
    <s v="96 Gal Garbage Carts"/>
    <m/>
    <m/>
    <n v="312"/>
    <m/>
    <n v="0"/>
    <s v="Toter"/>
    <m/>
    <s v="CONTAINERS"/>
    <s v="TBA"/>
    <m/>
    <m/>
    <m/>
    <d v="2017-11-25T00:00:00"/>
    <d v="2017-11-25T00:00:00"/>
    <s v="2111-17-0048-1"/>
    <n v="700"/>
    <n v="14050"/>
    <n v="16322.37"/>
    <n v="14056"/>
    <n v="15933.72"/>
    <n v="388.65000000000146"/>
    <n v="1748.79"/>
    <n v="54260"/>
    <n v="194.31"/>
    <s v="P"/>
    <m/>
    <m/>
    <s v=" "/>
    <s v="STL"/>
    <s v="YES"/>
    <s v="TBD"/>
    <d v="2024-10-09T00:00:00"/>
    <x v="19"/>
    <m/>
    <m/>
    <m/>
    <m/>
    <m/>
    <m/>
    <m/>
    <m/>
    <m/>
    <m/>
    <m/>
  </r>
  <r>
    <n v="2111"/>
    <n v="190632"/>
    <s v="P"/>
    <s v="Capitalized"/>
    <s v="64 Gal Garbage Carts"/>
    <m/>
    <m/>
    <n v="432"/>
    <m/>
    <n v="0"/>
    <s v="Toter"/>
    <m/>
    <s v="CONTAINERS"/>
    <s v="TBA"/>
    <m/>
    <m/>
    <m/>
    <d v="2017-11-25T00:00:00"/>
    <d v="2017-11-25T00:00:00"/>
    <s v="2111-17-0048-1"/>
    <n v="700"/>
    <n v="14050"/>
    <n v="19988.98"/>
    <n v="14056"/>
    <n v="19513.02"/>
    <n v="475.95999999999913"/>
    <n v="2141.64"/>
    <n v="54260"/>
    <n v="237.96"/>
    <s v="P"/>
    <m/>
    <m/>
    <s v=" "/>
    <s v="STL"/>
    <s v="YES"/>
    <s v="TBD"/>
    <d v="2024-10-09T00:00:00"/>
    <x v="19"/>
    <m/>
    <m/>
    <m/>
    <m/>
    <m/>
    <m/>
    <m/>
    <m/>
    <m/>
    <m/>
    <m/>
  </r>
  <r>
    <n v="2111"/>
    <n v="190183"/>
    <s v="P"/>
    <s v="Capitalized"/>
    <s v="6 yd FEL Containers"/>
    <m/>
    <m/>
    <n v="15"/>
    <m/>
    <n v="0"/>
    <s v="ENVIRONMENTAL METAL WORKS"/>
    <m/>
    <s v="CONTAINERS"/>
    <s v="TBA"/>
    <m/>
    <s v="6 YD"/>
    <s v="FEL/REL/SL Metal"/>
    <d v="2017-12-08T00:00:00"/>
    <d v="2017-12-08T00:00:00"/>
    <s v="2111-17-0045-2"/>
    <n v="1200"/>
    <n v="14050"/>
    <n v="12736.29"/>
    <n v="14056"/>
    <n v="7252.66"/>
    <n v="5483.630000000001"/>
    <n v="796.05"/>
    <n v="54260"/>
    <n v="88.45"/>
    <s v="P"/>
    <m/>
    <m/>
    <s v=" "/>
    <s v="STL"/>
    <s v="YES"/>
    <s v="TBD"/>
    <d v="2024-10-09T00:00:00"/>
    <x v="19"/>
    <m/>
    <m/>
    <m/>
    <m/>
    <m/>
    <m/>
    <m/>
    <m/>
    <m/>
    <m/>
    <m/>
  </r>
  <r>
    <n v="2111"/>
    <n v="190182"/>
    <s v="P"/>
    <s v="Capitalized"/>
    <s v="4 yd FEL Containers"/>
    <m/>
    <m/>
    <n v="19"/>
    <m/>
    <n v="0"/>
    <s v="ENVIRONMENTAL METAL WORKS"/>
    <m/>
    <s v="CONTAINERS"/>
    <s v="TBA"/>
    <m/>
    <s v="4 YD"/>
    <s v="FEL/REL/SL Metal"/>
    <d v="2017-12-08T00:00:00"/>
    <d v="2017-12-08T00:00:00"/>
    <s v="2111-17-0045-2"/>
    <n v="1200"/>
    <n v="14050"/>
    <n v="14023.45"/>
    <n v="14056"/>
    <n v="7985.62"/>
    <n v="6037.8300000000008"/>
    <n v="876.51"/>
    <n v="54260"/>
    <n v="97.39"/>
    <s v="P"/>
    <m/>
    <m/>
    <s v=" "/>
    <s v="STL"/>
    <s v="YES"/>
    <s v="TBD"/>
    <d v="2024-10-09T00:00:00"/>
    <x v="19"/>
    <m/>
    <m/>
    <m/>
    <m/>
    <m/>
    <m/>
    <m/>
    <m/>
    <m/>
    <m/>
    <m/>
  </r>
  <r>
    <n v="2111"/>
    <n v="190181"/>
    <s v="P"/>
    <s v="Capitalized"/>
    <s v="4 yd FEL Containers"/>
    <m/>
    <m/>
    <n v="1"/>
    <m/>
    <n v="0"/>
    <s v="ENVIRONMENTAL METAL WORKS"/>
    <m/>
    <s v="CONTAINERS"/>
    <s v="TBA"/>
    <m/>
    <s v="4 YD"/>
    <s v="FEL/REL/SL Metal"/>
    <d v="2017-12-08T00:00:00"/>
    <d v="2017-12-08T00:00:00"/>
    <s v="2111-17-0045-1"/>
    <n v="1200"/>
    <n v="14050"/>
    <n v="738.08"/>
    <n v="14056"/>
    <n v="420.36"/>
    <n v="317.72000000000003"/>
    <n v="46.17"/>
    <n v="54260"/>
    <n v="5.13"/>
    <s v="P"/>
    <m/>
    <m/>
    <s v=" "/>
    <s v="STL"/>
    <s v="YES"/>
    <s v="TBD"/>
    <d v="2024-10-09T00:00:00"/>
    <x v="19"/>
    <m/>
    <m/>
    <m/>
    <m/>
    <m/>
    <m/>
    <m/>
    <m/>
    <m/>
    <m/>
    <m/>
  </r>
  <r>
    <n v="2111"/>
    <n v="190180"/>
    <s v="P"/>
    <s v="Capitalized"/>
    <s v="1 yd REL Containers"/>
    <m/>
    <m/>
    <n v="1"/>
    <m/>
    <n v="0"/>
    <s v="ENVIRONMENTAL METAL WORKS"/>
    <m/>
    <s v="CONTAINERS"/>
    <s v="TBA"/>
    <m/>
    <s v="1 YD"/>
    <s v="FEL/REL/SL Metal"/>
    <d v="2017-12-08T00:00:00"/>
    <d v="2017-12-08T00:00:00"/>
    <s v="2111-17-0045-1"/>
    <n v="1200"/>
    <n v="14050"/>
    <n v="677.85"/>
    <n v="14056"/>
    <n v="386.04"/>
    <n v="291.81"/>
    <n v="42.39"/>
    <n v="54260"/>
    <n v="4.71"/>
    <s v="P"/>
    <m/>
    <m/>
    <s v=" "/>
    <s v="STL"/>
    <s v="YES"/>
    <s v="TBD"/>
    <d v="2024-10-09T00:00:00"/>
    <x v="19"/>
    <m/>
    <m/>
    <m/>
    <m/>
    <m/>
    <m/>
    <m/>
    <m/>
    <m/>
    <m/>
    <m/>
  </r>
  <r>
    <n v="2111"/>
    <n v="190070"/>
    <s v="P"/>
    <s v="Capitalized"/>
    <s v="2 yd REL Containers (Green)"/>
    <m/>
    <m/>
    <n v="25"/>
    <m/>
    <n v="0"/>
    <s v="ENVIRONMENTAL METAL WORKS"/>
    <m/>
    <s v="CONTAINERS"/>
    <s v="TBA"/>
    <m/>
    <s v="2 YD"/>
    <s v="FEL/REL/SL Metal"/>
    <d v="2017-12-08T00:00:00"/>
    <d v="2017-12-08T00:00:00"/>
    <s v="2111-17-0045-1"/>
    <n v="1200"/>
    <n v="14050"/>
    <n v="16723.55"/>
    <n v="14056"/>
    <n v="9523.18"/>
    <n v="7200.369999999999"/>
    <n v="1045.26"/>
    <n v="54260"/>
    <n v="116.14"/>
    <s v="P"/>
    <m/>
    <m/>
    <s v=" "/>
    <s v="STL"/>
    <s v="YES"/>
    <s v="TBD"/>
    <d v="2024-10-09T00:00:00"/>
    <x v="19"/>
    <m/>
    <m/>
    <m/>
    <m/>
    <m/>
    <m/>
    <m/>
    <m/>
    <m/>
    <m/>
    <m/>
  </r>
  <r>
    <n v="2111"/>
    <n v="190069"/>
    <s v="P"/>
    <s v="Capitalized"/>
    <s v="2 yd REL Containers (Blue)"/>
    <m/>
    <m/>
    <n v="25"/>
    <m/>
    <n v="0"/>
    <s v="ENVIRONMENTAL METAL WORKS"/>
    <m/>
    <s v="CONTAINERS"/>
    <s v="TBA"/>
    <m/>
    <s v="2 YD"/>
    <s v="FEL/REL/SL Metal"/>
    <d v="2017-12-08T00:00:00"/>
    <d v="2017-12-08T00:00:00"/>
    <s v="2111-17-0045-1"/>
    <n v="1200"/>
    <n v="14050"/>
    <n v="15212.43"/>
    <n v="14056"/>
    <n v="8662.6"/>
    <n v="6549.83"/>
    <n v="950.76"/>
    <n v="54260"/>
    <n v="105.64"/>
    <s v="P"/>
    <m/>
    <m/>
    <s v=" "/>
    <s v="STL"/>
    <s v="YES"/>
    <s v="TBD"/>
    <d v="2024-10-09T00:00:00"/>
    <x v="19"/>
    <m/>
    <m/>
    <m/>
    <m/>
    <m/>
    <m/>
    <m/>
    <m/>
    <m/>
    <m/>
    <m/>
  </r>
  <r>
    <n v="2111"/>
    <n v="190068"/>
    <s v="P"/>
    <s v="Capitalized"/>
    <s v="1 yd REL Containers"/>
    <m/>
    <m/>
    <n v="19"/>
    <m/>
    <n v="0"/>
    <s v="ENVIRONMENTAL METAL WORKS"/>
    <m/>
    <s v="CONTAINERS"/>
    <s v="TBA"/>
    <m/>
    <s v="1 YD"/>
    <s v="FEL/REL/SL Metal"/>
    <d v="2017-12-08T00:00:00"/>
    <d v="2017-12-08T00:00:00"/>
    <s v="2111-17-0045-1"/>
    <n v="1200"/>
    <n v="14050"/>
    <n v="12188.71"/>
    <n v="14056"/>
    <n v="6940.78"/>
    <n v="5247.9299999999994"/>
    <n v="761.76"/>
    <n v="54260"/>
    <n v="84.64"/>
    <s v="P"/>
    <m/>
    <m/>
    <s v=" "/>
    <s v="STL"/>
    <s v="YES"/>
    <s v="TBD"/>
    <d v="2024-10-09T00:00:00"/>
    <x v="19"/>
    <m/>
    <m/>
    <m/>
    <m/>
    <m/>
    <m/>
    <m/>
    <m/>
    <m/>
    <m/>
    <m/>
  </r>
  <r>
    <n v="2111"/>
    <n v="190067"/>
    <s v="P"/>
    <s v="Capitalized"/>
    <s v="6 yd FEL Containers"/>
    <m/>
    <m/>
    <n v="25"/>
    <m/>
    <n v="0"/>
    <s v="ENVIRONMENTAL METAL WORKS"/>
    <m/>
    <s v="CONTAINERS"/>
    <s v="TBA"/>
    <m/>
    <s v="6 YD"/>
    <s v="FEL/REL/SL Metal"/>
    <d v="2017-10-12T00:00:00"/>
    <d v="2017-10-12T00:00:00"/>
    <s v="2111-17-0045-2"/>
    <n v="1200"/>
    <n v="14050"/>
    <n v="22541.040000000001"/>
    <n v="14056"/>
    <n v="13148.99"/>
    <n v="9392.0500000000011"/>
    <n v="1408.86"/>
    <n v="54260"/>
    <n v="156.54"/>
    <s v="P"/>
    <m/>
    <m/>
    <s v=" "/>
    <s v="STL"/>
    <s v="YES"/>
    <s v="TBD"/>
    <d v="2024-10-09T00:00:00"/>
    <x v="19"/>
    <m/>
    <m/>
    <m/>
    <m/>
    <m/>
    <m/>
    <m/>
    <m/>
    <m/>
    <m/>
    <m/>
  </r>
  <r>
    <n v="2111"/>
    <n v="189538"/>
    <n v="183279"/>
    <s v="Capitalized"/>
    <s v="Lettering on ASL"/>
    <m/>
    <m/>
    <n v="1"/>
    <m/>
    <n v="0"/>
    <s v="ALICIA B JENNINGS"/>
    <m/>
    <s v="TRUCKS AND TRAILERS"/>
    <s v="TBA"/>
    <s v="Non-Rolling Stock"/>
    <m/>
    <m/>
    <d v="2017-06-01T00:00:00"/>
    <d v="2017-06-01T00:00:00"/>
    <s v="2111-17-0024-1"/>
    <n v="1000"/>
    <n v="14040"/>
    <n v="494.55"/>
    <n v="14046"/>
    <n v="362.63"/>
    <n v="131.92000000000002"/>
    <n v="37.08"/>
    <n v="51260"/>
    <n v="4.12"/>
    <s v="P"/>
    <m/>
    <m/>
    <s v=" "/>
    <s v="STL"/>
    <s v="YES"/>
    <s v="TBD"/>
    <d v="2024-10-09T00:00:00"/>
    <x v="19"/>
    <m/>
    <m/>
    <m/>
    <m/>
    <m/>
    <m/>
    <m/>
    <m/>
    <m/>
    <m/>
    <m/>
  </r>
  <r>
    <n v="2111"/>
    <n v="189537"/>
    <n v="183277"/>
    <s v="Capitalized"/>
    <s v="Lettering on ASL"/>
    <m/>
    <m/>
    <n v="1"/>
    <m/>
    <n v="0"/>
    <s v="ALICIA B JENNINGS"/>
    <m/>
    <s v="TRUCKS AND TRAILERS"/>
    <s v="TBA"/>
    <s v="Non-Rolling Stock"/>
    <m/>
    <m/>
    <d v="2017-06-01T00:00:00"/>
    <d v="2017-06-01T00:00:00"/>
    <s v="2111-17-0023-1"/>
    <n v="1000"/>
    <n v="14040"/>
    <n v="494.55"/>
    <n v="14046"/>
    <n v="362.63"/>
    <n v="131.92000000000002"/>
    <n v="37.08"/>
    <n v="51260"/>
    <n v="4.12"/>
    <s v="P"/>
    <m/>
    <m/>
    <s v=" "/>
    <s v="STL"/>
    <s v="YES"/>
    <s v="TBD"/>
    <d v="2024-10-09T00:00:00"/>
    <x v="19"/>
    <m/>
    <m/>
    <m/>
    <m/>
    <m/>
    <m/>
    <m/>
    <m/>
    <m/>
    <m/>
    <m/>
  </r>
  <r>
    <n v="2111"/>
    <n v="189536"/>
    <n v="180338"/>
    <s v="Capitalized"/>
    <s v="Lettering on ASL"/>
    <m/>
    <m/>
    <n v="1"/>
    <m/>
    <n v="0"/>
    <s v="ALICIA B JENNINGS"/>
    <m/>
    <s v="TRUCKS AND TRAILERS"/>
    <s v="TBA"/>
    <s v="Non-Rolling Stock"/>
    <m/>
    <m/>
    <d v="2017-04-01T00:00:00"/>
    <d v="2017-04-01T00:00:00"/>
    <s v="2111-17-0015-1"/>
    <n v="1000"/>
    <n v="14040"/>
    <n v="494.55"/>
    <n v="14046"/>
    <n v="370.87"/>
    <n v="123.68"/>
    <n v="37.08"/>
    <n v="51260"/>
    <n v="4.12"/>
    <s v="P"/>
    <m/>
    <m/>
    <s v=" "/>
    <s v="STL"/>
    <s v="YES"/>
    <s v="TBD"/>
    <d v="2024-10-09T00:00:00"/>
    <x v="19"/>
    <m/>
    <m/>
    <m/>
    <m/>
    <m/>
    <m/>
    <m/>
    <m/>
    <m/>
    <m/>
    <m/>
  </r>
  <r>
    <n v="2111"/>
    <n v="189535"/>
    <n v="183278"/>
    <s v="Capitalized"/>
    <s v="Lettering on ASL"/>
    <m/>
    <m/>
    <n v="1"/>
    <m/>
    <n v="0"/>
    <s v="ALICIA B JENNINGS"/>
    <m/>
    <s v="TRUCKS AND TRAILERS"/>
    <s v="TBA"/>
    <s v="Non-Rolling Stock"/>
    <m/>
    <m/>
    <d v="2017-06-01T00:00:00"/>
    <d v="2017-06-01T00:00:00"/>
    <s v="2111-17-0026-1"/>
    <n v="1000"/>
    <n v="14040"/>
    <n v="494.55"/>
    <n v="14046"/>
    <n v="362.63"/>
    <n v="131.92000000000002"/>
    <n v="37.08"/>
    <n v="51260"/>
    <n v="4.12"/>
    <s v="P"/>
    <m/>
    <m/>
    <s v=" "/>
    <s v="STL"/>
    <s v="YES"/>
    <s v="TBD"/>
    <d v="2024-10-09T00:00:00"/>
    <x v="19"/>
    <m/>
    <m/>
    <m/>
    <m/>
    <m/>
    <m/>
    <m/>
    <m/>
    <m/>
    <m/>
    <m/>
  </r>
  <r>
    <n v="2111"/>
    <n v="189448"/>
    <s v="P"/>
    <s v="Capitalized"/>
    <s v="96 GAL GREEN GARB TOTES"/>
    <m/>
    <m/>
    <n v="312"/>
    <m/>
    <n v="0"/>
    <s v="TOTER"/>
    <m/>
    <s v="CONTAINERS"/>
    <s v="TBA"/>
    <m/>
    <m/>
    <m/>
    <d v="2017-09-28T00:00:00"/>
    <d v="2017-09-28T00:00:00"/>
    <s v="2111-17-0046-1"/>
    <n v="700"/>
    <n v="14050"/>
    <n v="16446.669999999998"/>
    <n v="14056"/>
    <n v="16446.669999999998"/>
    <n v="0"/>
    <n v="1762.11"/>
    <n v="54260"/>
    <n v="195.79"/>
    <s v="P"/>
    <m/>
    <m/>
    <s v=" "/>
    <s v="STL"/>
    <s v="YES"/>
    <s v="TBD"/>
    <d v="2024-10-09T00:00:00"/>
    <x v="19"/>
    <m/>
    <m/>
    <m/>
    <m/>
    <m/>
    <m/>
    <m/>
    <m/>
    <m/>
    <m/>
    <m/>
  </r>
  <r>
    <n v="2111"/>
    <n v="189447"/>
    <s v="P"/>
    <s v="Capitalized"/>
    <s v="96 GAL BLUE RECY TOTES"/>
    <m/>
    <m/>
    <n v="312"/>
    <m/>
    <n v="0"/>
    <s v="TOTER"/>
    <m/>
    <s v="CONTAINERS"/>
    <s v="TBA"/>
    <m/>
    <m/>
    <m/>
    <d v="2017-09-28T00:00:00"/>
    <d v="2017-09-28T00:00:00"/>
    <s v="2111-17-0046-1"/>
    <n v="700"/>
    <n v="14050"/>
    <n v="16446.68"/>
    <n v="14056"/>
    <n v="16446.68"/>
    <n v="0"/>
    <n v="1762.12"/>
    <n v="54260"/>
    <n v="195.8"/>
    <s v="P"/>
    <m/>
    <m/>
    <s v=" "/>
    <s v="STL"/>
    <s v="YES"/>
    <s v="TBD"/>
    <d v="2024-10-09T00:00:00"/>
    <x v="19"/>
    <m/>
    <m/>
    <m/>
    <m/>
    <m/>
    <m/>
    <m/>
    <m/>
    <m/>
    <m/>
    <m/>
  </r>
  <r>
    <n v="2111"/>
    <n v="189446"/>
    <s v="P"/>
    <s v="Capitalized"/>
    <s v="64 GAL GREEN GARB TOTES"/>
    <m/>
    <m/>
    <n v="864"/>
    <m/>
    <n v="0"/>
    <s v="TOTER"/>
    <m/>
    <s v="CONTAINERS"/>
    <s v="TBA"/>
    <m/>
    <m/>
    <m/>
    <d v="2017-08-16T00:00:00"/>
    <d v="2017-08-16T00:00:00"/>
    <s v="2111-17-0044-1"/>
    <n v="700"/>
    <n v="14050"/>
    <n v="39027.35"/>
    <n v="14056"/>
    <n v="39027.35"/>
    <n v="0"/>
    <n v="3716.92"/>
    <n v="54260"/>
    <n v="464.65"/>
    <s v="P"/>
    <m/>
    <m/>
    <s v=" "/>
    <s v="STL"/>
    <s v="YES"/>
    <s v="TBD"/>
    <d v="2024-10-09T00:00:00"/>
    <x v="19"/>
    <m/>
    <m/>
    <m/>
    <m/>
    <m/>
    <m/>
    <m/>
    <m/>
    <m/>
    <m/>
    <m/>
  </r>
  <r>
    <n v="2111"/>
    <n v="189445"/>
    <s v="P"/>
    <s v="Capitalized"/>
    <s v="96 GAL GRAY RECY TOTES"/>
    <m/>
    <m/>
    <n v="624"/>
    <m/>
    <n v="0"/>
    <s v="TOTER"/>
    <m/>
    <s v="CONTAINERS"/>
    <s v="TBA"/>
    <m/>
    <m/>
    <m/>
    <d v="2017-07-17T00:00:00"/>
    <d v="2017-07-17T00:00:00"/>
    <s v="2111-17-0047-1"/>
    <n v="700"/>
    <n v="14050"/>
    <n v="32408.89"/>
    <n v="14056"/>
    <n v="32408.89"/>
    <n v="0"/>
    <n v="2700.75"/>
    <n v="54260"/>
    <n v="385.83"/>
    <s v="P"/>
    <m/>
    <m/>
    <s v=" "/>
    <s v="STL"/>
    <s v="YES"/>
    <s v="TBD"/>
    <d v="2024-10-09T00:00:00"/>
    <x v="19"/>
    <m/>
    <m/>
    <m/>
    <m/>
    <m/>
    <m/>
    <m/>
    <m/>
    <m/>
    <m/>
    <m/>
  </r>
  <r>
    <n v="2111"/>
    <n v="188830"/>
    <n v="185179"/>
    <s v="Capitalized"/>
    <s v="95 gallon cart A&amp;D"/>
    <m/>
    <m/>
    <n v="1"/>
    <m/>
    <n v="0"/>
    <s v="REHRIG PACIFIC COMPANY IN"/>
    <m/>
    <s v="CONTAINERS"/>
    <s v="TBA"/>
    <m/>
    <m/>
    <m/>
    <d v="2017-05-15T00:00:00"/>
    <d v="2017-05-15T00:00:00"/>
    <s v="2111-17-0032-1"/>
    <n v="700"/>
    <n v="14050"/>
    <n v="623.76"/>
    <n v="14056"/>
    <n v="623.76"/>
    <n v="0"/>
    <n v="29.69"/>
    <n v="54260"/>
    <n v="7.4"/>
    <s v="P"/>
    <m/>
    <m/>
    <s v=" "/>
    <s v="STL"/>
    <s v="YES"/>
    <s v="TBD"/>
    <d v="2024-10-09T00:00:00"/>
    <x v="19"/>
    <m/>
    <m/>
    <m/>
    <m/>
    <m/>
    <m/>
    <m/>
    <m/>
    <m/>
    <m/>
    <m/>
  </r>
  <r>
    <n v="2111"/>
    <n v="188829"/>
    <n v="185178"/>
    <s v="Capitalized"/>
    <s v="65 gallon cart A&amp;D"/>
    <m/>
    <m/>
    <n v="1"/>
    <m/>
    <n v="0"/>
    <s v="REHRIG PACIFIC COMPANY IN"/>
    <m/>
    <s v="CONTAINERS"/>
    <s v="TBA"/>
    <m/>
    <m/>
    <m/>
    <d v="2017-05-15T00:00:00"/>
    <d v="2017-05-15T00:00:00"/>
    <s v="2111-17-0032-1"/>
    <n v="700"/>
    <n v="14050"/>
    <n v="5821.73"/>
    <n v="14056"/>
    <n v="5821.73"/>
    <n v="0"/>
    <n v="277.2"/>
    <n v="54260"/>
    <n v="69.27"/>
    <s v="P"/>
    <m/>
    <m/>
    <s v=" "/>
    <s v="STL"/>
    <s v="YES"/>
    <s v="TBD"/>
    <d v="2024-10-09T00:00:00"/>
    <x v="19"/>
    <m/>
    <m/>
    <m/>
    <m/>
    <m/>
    <m/>
    <m/>
    <m/>
    <m/>
    <m/>
    <m/>
  </r>
  <r>
    <n v="2111"/>
    <n v="188828"/>
    <n v="185177"/>
    <s v="Capitalized"/>
    <s v="35 gallon cart A&amp;D"/>
    <m/>
    <m/>
    <n v="1"/>
    <m/>
    <n v="0"/>
    <s v="REHRIG PACIFIC COMPANY IN"/>
    <m/>
    <s v="CONTAINERS"/>
    <s v="TBA"/>
    <m/>
    <m/>
    <m/>
    <d v="2017-05-15T00:00:00"/>
    <d v="2017-05-15T00:00:00"/>
    <s v="2111-17-0032-1"/>
    <n v="700"/>
    <n v="14050"/>
    <n v="16009.75"/>
    <n v="14056"/>
    <n v="16009.75"/>
    <n v="0"/>
    <n v="762.35"/>
    <n v="54260"/>
    <n v="190.58"/>
    <s v="P"/>
    <m/>
    <m/>
    <s v=" "/>
    <s v="STL"/>
    <s v="YES"/>
    <s v="TBD"/>
    <d v="2024-10-09T00:00:00"/>
    <x v="19"/>
    <m/>
    <m/>
    <m/>
    <m/>
    <m/>
    <m/>
    <m/>
    <m/>
    <m/>
    <m/>
    <m/>
  </r>
  <r>
    <n v="2111"/>
    <n v="188827"/>
    <n v="185180"/>
    <s v="Capitalized"/>
    <s v="20 gallon cart A&amp;D"/>
    <m/>
    <m/>
    <n v="1"/>
    <m/>
    <n v="0"/>
    <s v="REHRIG PACIFIC COMPANY IN"/>
    <m/>
    <s v="CONTAINERS"/>
    <s v="TBA"/>
    <m/>
    <m/>
    <m/>
    <d v="2017-05-15T00:00:00"/>
    <d v="2017-05-15T00:00:00"/>
    <s v="2111-17-0032-1"/>
    <n v="700"/>
    <n v="14050"/>
    <n v="623.76"/>
    <n v="14056"/>
    <n v="623.76"/>
    <n v="0"/>
    <n v="29.69"/>
    <n v="54260"/>
    <n v="7.4"/>
    <s v="P"/>
    <m/>
    <m/>
    <s v=" "/>
    <s v="STL"/>
    <s v="YES"/>
    <s v="TBD"/>
    <d v="2024-10-09T00:00:00"/>
    <x v="19"/>
    <m/>
    <m/>
    <m/>
    <m/>
    <m/>
    <m/>
    <m/>
    <m/>
    <m/>
    <m/>
    <m/>
  </r>
  <r>
    <n v="2111"/>
    <n v="188020"/>
    <s v="P"/>
    <s v="Capitalized"/>
    <s v="6Yd FEL Recy Container"/>
    <m/>
    <m/>
    <n v="12"/>
    <m/>
    <n v="0"/>
    <s v="Capital Industries"/>
    <m/>
    <s v="CONTAINERS"/>
    <s v="TBA"/>
    <m/>
    <s v="6 YD"/>
    <s v="FEL/REL/SL Metal"/>
    <d v="2017-05-09T00:00:00"/>
    <d v="2017-05-09T00:00:00"/>
    <s v="2111-17-0031-2"/>
    <n v="1200"/>
    <n v="14050"/>
    <n v="10576.78"/>
    <n v="14056"/>
    <n v="6537.05"/>
    <n v="4039.7300000000005"/>
    <n v="661.05"/>
    <n v="54260"/>
    <n v="73.45"/>
    <s v="P"/>
    <m/>
    <m/>
    <s v=" "/>
    <s v="STL"/>
    <s v="YES"/>
    <s v="TBD"/>
    <d v="2024-10-09T00:00:00"/>
    <x v="19"/>
    <m/>
    <m/>
    <m/>
    <m/>
    <m/>
    <m/>
    <m/>
    <m/>
    <m/>
    <m/>
    <m/>
  </r>
  <r>
    <n v="2111"/>
    <n v="188019"/>
    <s v="P"/>
    <s v="Capitalized"/>
    <s v="6Yd FEL Recy Container"/>
    <m/>
    <m/>
    <n v="9"/>
    <m/>
    <n v="0"/>
    <s v="Capital Industries"/>
    <m/>
    <s v="CONTAINERS"/>
    <s v="TBA"/>
    <m/>
    <s v="6 YD"/>
    <s v="FEL/REL/SL Metal"/>
    <d v="2017-05-09T00:00:00"/>
    <d v="2017-05-09T00:00:00"/>
    <s v="2111-17-0031-2"/>
    <n v="1200"/>
    <n v="14050"/>
    <n v="7932.58"/>
    <n v="14056"/>
    <n v="4902.8100000000004"/>
    <n v="3029.7699999999995"/>
    <n v="495.81"/>
    <n v="54260"/>
    <n v="55.09"/>
    <s v="P"/>
    <m/>
    <m/>
    <s v=" "/>
    <s v="STL"/>
    <s v="YES"/>
    <s v="TBD"/>
    <d v="2024-10-09T00:00:00"/>
    <x v="19"/>
    <m/>
    <m/>
    <m/>
    <m/>
    <m/>
    <m/>
    <m/>
    <m/>
    <m/>
    <m/>
    <m/>
  </r>
  <r>
    <n v="2111"/>
    <n v="188018"/>
    <s v="P"/>
    <s v="Capitalized"/>
    <s v="6Yd FEL Recy Container"/>
    <m/>
    <m/>
    <n v="9"/>
    <m/>
    <n v="0"/>
    <s v="Capital Industries"/>
    <m/>
    <s v="CONTAINERS"/>
    <s v="TBA"/>
    <m/>
    <s v="6 YD"/>
    <s v="FEL/REL/SL Metal"/>
    <d v="2017-05-09T00:00:00"/>
    <d v="2017-05-09T00:00:00"/>
    <s v="2111-17-0031-2"/>
    <n v="1200"/>
    <n v="14050"/>
    <n v="7932.58"/>
    <n v="14056"/>
    <n v="4902.8100000000004"/>
    <n v="3029.7699999999995"/>
    <n v="495.81"/>
    <n v="54260"/>
    <n v="55.09"/>
    <s v="P"/>
    <m/>
    <m/>
    <s v=" "/>
    <s v="STL"/>
    <s v="YES"/>
    <s v="TBD"/>
    <d v="2024-10-09T00:00:00"/>
    <x v="19"/>
    <m/>
    <m/>
    <m/>
    <m/>
    <m/>
    <m/>
    <m/>
    <m/>
    <m/>
    <m/>
    <m/>
  </r>
  <r>
    <n v="2111"/>
    <n v="186746"/>
    <s v="P"/>
    <s v="Capitalized"/>
    <s v="65 Gallon Garbage Carts"/>
    <m/>
    <m/>
    <n v="350"/>
    <m/>
    <n v="0"/>
    <s v="Toter"/>
    <m/>
    <s v="CONTAINERS"/>
    <s v="TBA"/>
    <m/>
    <m/>
    <m/>
    <d v="2017-06-02T00:00:00"/>
    <d v="2017-06-02T00:00:00"/>
    <s v="2111-17-0038-1"/>
    <n v="700"/>
    <n v="14050"/>
    <n v="11193.83"/>
    <n v="14056"/>
    <n v="11193.83"/>
    <n v="0"/>
    <n v="666.29"/>
    <n v="54260"/>
    <n v="133.25"/>
    <s v="P"/>
    <m/>
    <m/>
    <s v=" "/>
    <s v="STL"/>
    <s v="YES"/>
    <s v="TBD"/>
    <d v="2024-10-09T00:00:00"/>
    <x v="19"/>
    <m/>
    <m/>
    <m/>
    <m/>
    <m/>
    <m/>
    <m/>
    <m/>
    <m/>
    <m/>
    <m/>
  </r>
  <r>
    <n v="2111"/>
    <n v="186745"/>
    <s v="P"/>
    <s v="Capitalized"/>
    <s v="95 Gallon Yard Waste Carts"/>
    <m/>
    <m/>
    <n v="350"/>
    <m/>
    <n v="0"/>
    <s v="Toter"/>
    <m/>
    <s v="CONTAINERS"/>
    <s v="TBA"/>
    <m/>
    <m/>
    <m/>
    <d v="2017-06-02T00:00:00"/>
    <d v="2017-06-02T00:00:00"/>
    <s v="2111-17-0038-1"/>
    <n v="700"/>
    <n v="14050"/>
    <n v="13501.74"/>
    <n v="14056"/>
    <n v="13501.74"/>
    <n v="0"/>
    <n v="803.67"/>
    <n v="54260"/>
    <n v="160.71"/>
    <s v="P"/>
    <m/>
    <m/>
    <s v=" "/>
    <s v="STL"/>
    <s v="YES"/>
    <s v="TBD"/>
    <d v="2024-10-09T00:00:00"/>
    <x v="19"/>
    <m/>
    <m/>
    <m/>
    <m/>
    <m/>
    <m/>
    <m/>
    <m/>
    <m/>
    <m/>
    <m/>
  </r>
  <r>
    <n v="2111"/>
    <n v="186676"/>
    <s v="P"/>
    <s v="Capitalized"/>
    <s v="95 Gallon recycle carts"/>
    <m/>
    <m/>
    <n v="624"/>
    <m/>
    <n v="0"/>
    <s v="Toter"/>
    <m/>
    <s v="CONTAINERS"/>
    <s v="TBA"/>
    <m/>
    <m/>
    <m/>
    <d v="2017-03-29T00:00:00"/>
    <d v="2017-03-29T00:00:00"/>
    <s v="2111-17-0042-1"/>
    <n v="700"/>
    <n v="14050"/>
    <n v="32611.53"/>
    <n v="14056"/>
    <n v="32611.53"/>
    <n v="0"/>
    <n v="1164.7"/>
    <n v="54260"/>
    <n v="388.24"/>
    <s v="P"/>
    <m/>
    <m/>
    <s v=" "/>
    <s v="STL"/>
    <s v="YES"/>
    <s v="TBD"/>
    <d v="2024-10-09T00:00:00"/>
    <x v="19"/>
    <m/>
    <m/>
    <m/>
    <m/>
    <m/>
    <m/>
    <m/>
    <m/>
    <m/>
    <m/>
    <m/>
  </r>
  <r>
    <n v="2111"/>
    <n v="186095"/>
    <n v="102350"/>
    <s v="Capitalized"/>
    <s v="Wet Kit for truck 61"/>
    <m/>
    <m/>
    <n v="1"/>
    <m/>
    <n v="0"/>
    <s v="SOLID WASTE SYSTEMS"/>
    <m/>
    <s v="TRUCKS AND TRAILERS"/>
    <s v="TBA"/>
    <s v="Non-Rolling Stock"/>
    <m/>
    <m/>
    <d v="2017-08-04T00:00:00"/>
    <d v="2017-08-04T00:00:00"/>
    <s v="2111-17-0040-1"/>
    <n v="300"/>
    <n v="14040"/>
    <n v="9492.07"/>
    <n v="14046"/>
    <n v="9492.07"/>
    <n v="0"/>
    <n v="0"/>
    <n v="51260"/>
    <n v="0"/>
    <s v="P"/>
    <m/>
    <m/>
    <s v=" "/>
    <s v="STL"/>
    <s v="YES"/>
    <s v="TBD"/>
    <d v="2024-10-09T00:00:00"/>
    <x v="19"/>
    <m/>
    <m/>
    <m/>
    <m/>
    <m/>
    <m/>
    <m/>
    <m/>
    <m/>
    <m/>
    <m/>
  </r>
  <r>
    <n v="2111"/>
    <n v="185867"/>
    <s v="P"/>
    <s v="Capitalized"/>
    <s v="65 Gallon Garbage Carts"/>
    <m/>
    <m/>
    <n v="430"/>
    <m/>
    <n v="0"/>
    <s v="REHRIG PACIFIC COMPANY IN"/>
    <m/>
    <s v="CONTAINERS"/>
    <s v="TBA"/>
    <m/>
    <m/>
    <m/>
    <d v="2017-07-25T00:00:00"/>
    <d v="2017-07-25T00:00:00"/>
    <s v="2111-17-0043-1"/>
    <n v="700"/>
    <n v="14050"/>
    <n v="18827.189999999999"/>
    <n v="14056"/>
    <n v="18827.189999999999"/>
    <n v="0"/>
    <n v="1568.92"/>
    <n v="54260"/>
    <n v="224.14"/>
    <s v="P"/>
    <m/>
    <m/>
    <s v=" "/>
    <s v="STL"/>
    <s v="YES"/>
    <s v="TBD"/>
    <d v="2024-10-09T00:00:00"/>
    <x v="19"/>
    <m/>
    <m/>
    <m/>
    <m/>
    <m/>
    <m/>
    <m/>
    <m/>
    <m/>
    <m/>
    <m/>
  </r>
  <r>
    <n v="2111"/>
    <n v="185866"/>
    <s v="P"/>
    <s v="Capitalized"/>
    <s v="95 Gallon Garbage Carts"/>
    <m/>
    <m/>
    <n v="220"/>
    <m/>
    <n v="0"/>
    <s v="REHRIG PACIFIC COMPANY IN"/>
    <m/>
    <s v="CONTAINERS"/>
    <s v="TBA"/>
    <m/>
    <m/>
    <m/>
    <d v="2017-07-25T00:00:00"/>
    <d v="2017-07-25T00:00:00"/>
    <s v="2111-17-0043-1"/>
    <n v="700"/>
    <n v="14050"/>
    <n v="13394.61"/>
    <n v="14056"/>
    <n v="13394.61"/>
    <n v="0"/>
    <n v="1116.19"/>
    <n v="54260"/>
    <n v="159.43"/>
    <s v="P"/>
    <m/>
    <m/>
    <s v=" "/>
    <s v="STL"/>
    <s v="YES"/>
    <s v="TBD"/>
    <d v="2024-10-09T00:00:00"/>
    <x v="19"/>
    <m/>
    <m/>
    <m/>
    <m/>
    <m/>
    <m/>
    <m/>
    <m/>
    <m/>
    <m/>
    <m/>
  </r>
  <r>
    <n v="2111"/>
    <n v="185865"/>
    <s v="P"/>
    <s v="Capitalized"/>
    <s v="95 Gallon Yard Waste Carts"/>
    <m/>
    <m/>
    <n v="702"/>
    <m/>
    <n v="0"/>
    <s v="REHRIG PACIFIC COMPANY IN"/>
    <m/>
    <s v="CONTAINERS"/>
    <s v="TBA"/>
    <m/>
    <m/>
    <m/>
    <d v="2017-06-20T00:00:00"/>
    <d v="2017-06-20T00:00:00"/>
    <s v="2111-17-0041-1"/>
    <n v="700"/>
    <n v="14050"/>
    <n v="35294.01"/>
    <n v="14056"/>
    <n v="35294.01"/>
    <n v="0"/>
    <n v="2521.0100000000002"/>
    <n v="54260"/>
    <n v="420.16"/>
    <s v="P"/>
    <m/>
    <m/>
    <s v=" "/>
    <s v="STL"/>
    <s v="YES"/>
    <s v="TBD"/>
    <d v="2024-10-09T00:00:00"/>
    <x v="19"/>
    <m/>
    <m/>
    <m/>
    <m/>
    <m/>
    <m/>
    <m/>
    <m/>
    <m/>
    <m/>
    <m/>
  </r>
  <r>
    <n v="2111"/>
    <n v="185864"/>
    <s v="P"/>
    <s v="Capitalized"/>
    <s v="95 Gallon Yard Waste Carts"/>
    <m/>
    <m/>
    <n v="702"/>
    <m/>
    <n v="0"/>
    <s v="REHRIG PACIFIC COMPANY IN"/>
    <m/>
    <s v="CONTAINERS"/>
    <s v="TBA"/>
    <m/>
    <m/>
    <m/>
    <d v="2017-06-20T00:00:00"/>
    <d v="2017-06-20T00:00:00"/>
    <s v="2111-17-0041-1"/>
    <n v="700"/>
    <n v="14050"/>
    <n v="35294.01"/>
    <n v="14056"/>
    <n v="35294.01"/>
    <n v="0"/>
    <n v="2521.0100000000002"/>
    <n v="54260"/>
    <n v="420.16"/>
    <s v="P"/>
    <m/>
    <m/>
    <s v=" "/>
    <s v="STL"/>
    <s v="YES"/>
    <s v="TBD"/>
    <d v="2024-10-09T00:00:00"/>
    <x v="19"/>
    <m/>
    <m/>
    <m/>
    <m/>
    <m/>
    <m/>
    <m/>
    <m/>
    <m/>
    <m/>
    <m/>
  </r>
  <r>
    <n v="2111"/>
    <n v="185863"/>
    <s v="P"/>
    <s v="Capitalized"/>
    <s v="95 Gallon Yard Waste Carts"/>
    <m/>
    <m/>
    <n v="702"/>
    <m/>
    <n v="0"/>
    <s v="REHRIG PACIFIC COMPANY IN"/>
    <m/>
    <s v="CONTAINERS"/>
    <s v="TBA"/>
    <m/>
    <m/>
    <m/>
    <d v="2017-01-16T00:00:00"/>
    <d v="2017-01-16T00:00:00"/>
    <s v="2111-17-0027-1"/>
    <n v="700"/>
    <n v="14050"/>
    <n v="36186.67"/>
    <n v="14056"/>
    <n v="36186.67"/>
    <n v="0"/>
    <n v="430.76"/>
    <n v="54260"/>
    <n v="430.76"/>
    <s v="P"/>
    <m/>
    <m/>
    <s v=" "/>
    <s v="STL"/>
    <s v="YES"/>
    <s v="TBD"/>
    <d v="2024-10-09T00:00:00"/>
    <x v="19"/>
    <m/>
    <m/>
    <m/>
    <m/>
    <m/>
    <m/>
    <m/>
    <m/>
    <m/>
    <m/>
    <m/>
  </r>
  <r>
    <n v="2111"/>
    <n v="185862"/>
    <s v="P"/>
    <s v="Capitalized"/>
    <s v="95 Gallon Yard Waste Carts"/>
    <m/>
    <m/>
    <n v="702"/>
    <m/>
    <n v="0"/>
    <s v="REHRIG PACIFIC COMPANY IN"/>
    <m/>
    <s v="CONTAINERS"/>
    <s v="TBA"/>
    <m/>
    <m/>
    <m/>
    <d v="2017-01-16T00:00:00"/>
    <d v="2017-01-16T00:00:00"/>
    <s v="2111-17-0027-1"/>
    <n v="700"/>
    <n v="14050"/>
    <n v="36186.67"/>
    <n v="14056"/>
    <n v="36186.67"/>
    <n v="0"/>
    <n v="430.76"/>
    <n v="54260"/>
    <n v="430.76"/>
    <s v="P"/>
    <m/>
    <m/>
    <s v=" "/>
    <s v="STL"/>
    <s v="YES"/>
    <s v="TBD"/>
    <d v="2024-10-09T00:00:00"/>
    <x v="19"/>
    <m/>
    <m/>
    <m/>
    <m/>
    <m/>
    <m/>
    <m/>
    <m/>
    <m/>
    <m/>
    <m/>
  </r>
  <r>
    <n v="2111"/>
    <n v="185768"/>
    <n v="102169"/>
    <s v="Capitalized"/>
    <s v="Install Wet Kit For Truck #182"/>
    <m/>
    <m/>
    <n v="1"/>
    <m/>
    <n v="0"/>
    <s v="SOLID WASTE SYSTEMS"/>
    <m/>
    <s v="TRUCKS AND TRAILERS"/>
    <s v="TBA"/>
    <s v="Non-Rolling Stock"/>
    <m/>
    <m/>
    <d v="2017-08-14T00:00:00"/>
    <d v="2017-08-14T00:00:00"/>
    <s v="2111-17-0039-1"/>
    <n v="300"/>
    <n v="14040"/>
    <n v="9492.07"/>
    <n v="14046"/>
    <n v="9492.07"/>
    <n v="0"/>
    <n v="0"/>
    <n v="51260"/>
    <n v="0"/>
    <s v="P"/>
    <m/>
    <m/>
    <s v=" "/>
    <s v="STL"/>
    <s v="YES"/>
    <s v="TBD"/>
    <d v="2024-10-09T00:00:00"/>
    <x v="19"/>
    <m/>
    <m/>
    <m/>
    <m/>
    <m/>
    <m/>
    <m/>
    <m/>
    <m/>
    <m/>
    <m/>
  </r>
  <r>
    <n v="2111"/>
    <n v="185180"/>
    <s v="P"/>
    <s v="Capitalized"/>
    <s v="20 Gal garbage carts"/>
    <m/>
    <m/>
    <n v="1500"/>
    <m/>
    <n v="0"/>
    <s v="REHRIG PACIFIC COMPANY IN"/>
    <m/>
    <s v="CONTAINERS"/>
    <s v="TBA"/>
    <m/>
    <m/>
    <m/>
    <d v="2017-05-15T00:00:00"/>
    <d v="2017-05-15T00:00:00"/>
    <s v="2111-17-0032-1"/>
    <n v="700"/>
    <n v="14050"/>
    <n v="58945.49"/>
    <n v="14056"/>
    <n v="58945.49"/>
    <n v="0"/>
    <n v="2806.96"/>
    <n v="54260"/>
    <n v="701.77"/>
    <s v="P"/>
    <m/>
    <m/>
    <s v=" "/>
    <s v="STL"/>
    <s v="YES"/>
    <s v="TBD"/>
    <d v="2024-10-09T00:00:00"/>
    <x v="19"/>
    <m/>
    <m/>
    <m/>
    <m/>
    <m/>
    <m/>
    <m/>
    <m/>
    <m/>
    <m/>
    <m/>
  </r>
  <r>
    <n v="2111"/>
    <n v="185179"/>
    <s v="P"/>
    <s v="Capitalized"/>
    <s v="95 Gal garbage carts"/>
    <m/>
    <m/>
    <n v="1500"/>
    <m/>
    <n v="0"/>
    <s v="REHRIG PACIFIC COMPANY IN"/>
    <m/>
    <s v="CONTAINERS"/>
    <s v="TBA"/>
    <m/>
    <m/>
    <m/>
    <d v="2017-05-15T00:00:00"/>
    <d v="2017-05-15T00:00:00"/>
    <s v="2111-17-0032-1"/>
    <n v="700"/>
    <n v="14050"/>
    <n v="79480.89"/>
    <n v="14056"/>
    <n v="79480.89"/>
    <n v="0"/>
    <n v="3784.82"/>
    <n v="54260"/>
    <n v="946.22"/>
    <s v="P"/>
    <m/>
    <m/>
    <s v=" "/>
    <s v="STL"/>
    <s v="YES"/>
    <s v="TBD"/>
    <d v="2024-10-09T00:00:00"/>
    <x v="19"/>
    <m/>
    <m/>
    <m/>
    <m/>
    <m/>
    <m/>
    <m/>
    <m/>
    <m/>
    <m/>
    <m/>
  </r>
  <r>
    <n v="2111"/>
    <n v="185178"/>
    <s v="P"/>
    <s v="Capitalized"/>
    <s v="65 Gal garbage carts"/>
    <m/>
    <m/>
    <n v="14000"/>
    <m/>
    <n v="0"/>
    <s v="REHRIG PACIFIC COMPANY IN"/>
    <m/>
    <s v="CONTAINERS"/>
    <s v="TBA"/>
    <m/>
    <m/>
    <m/>
    <d v="2017-05-15T00:00:00"/>
    <d v="2017-05-15T00:00:00"/>
    <s v="2111-17-0032-1"/>
    <n v="700"/>
    <n v="14050"/>
    <n v="660879.97"/>
    <n v="14056"/>
    <n v="660879.97"/>
    <n v="0"/>
    <n v="31470.44"/>
    <n v="54260"/>
    <n v="7867.58"/>
    <s v="P"/>
    <m/>
    <m/>
    <s v=" "/>
    <s v="STL"/>
    <s v="YES"/>
    <s v="TBD"/>
    <d v="2024-10-09T00:00:00"/>
    <x v="19"/>
    <m/>
    <m/>
    <m/>
    <m/>
    <m/>
    <m/>
    <m/>
    <m/>
    <m/>
    <m/>
    <m/>
  </r>
  <r>
    <n v="2111"/>
    <n v="185177"/>
    <s v="P"/>
    <s v="Capitalized"/>
    <s v="35 Gal garbage carts"/>
    <m/>
    <m/>
    <n v="38500"/>
    <m/>
    <n v="0"/>
    <s v="REHRIG PACIFIC COMPANY IN"/>
    <m/>
    <s v="CONTAINERS"/>
    <s v="TBA"/>
    <m/>
    <m/>
    <m/>
    <d v="2017-05-15T00:00:00"/>
    <d v="2017-05-15T00:00:00"/>
    <s v="2111-17-0032-1"/>
    <n v="700"/>
    <n v="14050"/>
    <n v="1531833.28"/>
    <n v="14056"/>
    <n v="1531833.28"/>
    <n v="0"/>
    <n v="72944.42"/>
    <n v="54260"/>
    <n v="18236.09"/>
    <s v="P"/>
    <m/>
    <m/>
    <s v=" "/>
    <s v="STL"/>
    <s v="YES"/>
    <s v="TBD"/>
    <d v="2024-10-09T00:00:00"/>
    <x v="19"/>
    <m/>
    <m/>
    <m/>
    <m/>
    <m/>
    <m/>
    <m/>
    <m/>
    <m/>
    <m/>
    <m/>
  </r>
  <r>
    <n v="2111"/>
    <n v="184822"/>
    <s v="P"/>
    <s v="Capitalized"/>
    <s v="21 Gallon Garbage Carts"/>
    <m/>
    <m/>
    <n v="940"/>
    <m/>
    <n v="0"/>
    <s v="Toter"/>
    <m/>
    <s v="CONTAINERS"/>
    <s v="TBA"/>
    <m/>
    <m/>
    <m/>
    <d v="2017-04-29T00:00:00"/>
    <d v="2017-04-29T00:00:00"/>
    <s v="2111-17-0036-1"/>
    <n v="700"/>
    <n v="14050"/>
    <n v="35253.71"/>
    <n v="14056"/>
    <n v="35253.71"/>
    <n v="0"/>
    <n v="1678.71"/>
    <n v="54260"/>
    <n v="419.64"/>
    <s v="P"/>
    <m/>
    <m/>
    <s v=" "/>
    <s v="STL"/>
    <s v="YES"/>
    <s v="TBD"/>
    <d v="2024-10-09T00:00:00"/>
    <x v="19"/>
    <m/>
    <m/>
    <m/>
    <m/>
    <m/>
    <m/>
    <m/>
    <m/>
    <m/>
    <m/>
    <m/>
  </r>
  <r>
    <n v="2111"/>
    <n v="184821"/>
    <s v="P"/>
    <s v="Capitalized"/>
    <s v="96 Gallon Recycle Carts"/>
    <m/>
    <m/>
    <n v="624"/>
    <m/>
    <n v="0"/>
    <s v="Toter"/>
    <m/>
    <s v="CONTAINERS"/>
    <s v="TBA"/>
    <m/>
    <m/>
    <m/>
    <d v="2017-04-07T00:00:00"/>
    <d v="2017-04-07T00:00:00"/>
    <s v="2111-17-0030-1"/>
    <n v="700"/>
    <n v="14050"/>
    <n v="32760.57"/>
    <n v="14056"/>
    <n v="32760.57"/>
    <n v="0"/>
    <n v="1170.03"/>
    <n v="54260"/>
    <n v="390.01"/>
    <s v="P"/>
    <m/>
    <m/>
    <s v=" "/>
    <s v="STL"/>
    <s v="YES"/>
    <s v="TBD"/>
    <d v="2024-10-09T00:00:00"/>
    <x v="19"/>
    <m/>
    <m/>
    <m/>
    <m/>
    <m/>
    <m/>
    <m/>
    <m/>
    <m/>
    <m/>
    <m/>
  </r>
  <r>
    <n v="2111"/>
    <n v="184458"/>
    <s v="P"/>
    <s v="Capitalized"/>
    <s v="2 YD RL WASTE CONT W/CAGE EXPANDED METAL FRONT"/>
    <m/>
    <m/>
    <n v="40"/>
    <m/>
    <n v="0"/>
    <s v="CAPITAL INDUSTRIES INC"/>
    <m/>
    <s v="CONTAINERS"/>
    <s v="TBA"/>
    <m/>
    <s v="2 YD"/>
    <s v="FEL/REL/SL Metal"/>
    <d v="2017-03-31T00:00:00"/>
    <d v="2017-03-31T00:00:00"/>
    <s v="2111-17-0031-1"/>
    <n v="1200"/>
    <n v="14050"/>
    <n v="23674.15"/>
    <n v="14056"/>
    <n v="14796.34"/>
    <n v="8877.8100000000013"/>
    <n v="1479.6"/>
    <n v="54260"/>
    <n v="164.4"/>
    <s v="P"/>
    <m/>
    <m/>
    <s v=" "/>
    <s v="STL"/>
    <s v="YES"/>
    <s v="TBD"/>
    <d v="2024-10-09T00:00:00"/>
    <x v="19"/>
    <m/>
    <m/>
    <m/>
    <m/>
    <m/>
    <m/>
    <m/>
    <m/>
    <m/>
    <m/>
    <m/>
  </r>
  <r>
    <n v="2111"/>
    <n v="183742"/>
    <n v="173166"/>
    <s v="Capitalized"/>
    <s v="Truck 609 Engine Rebuild"/>
    <m/>
    <m/>
    <n v="1"/>
    <m/>
    <n v="0"/>
    <s v="RWC"/>
    <m/>
    <s v="TRUCKS AND TRAILERS"/>
    <s v="TBA"/>
    <s v="Non-Rolling Stock"/>
    <m/>
    <m/>
    <d v="2017-03-17T00:00:00"/>
    <d v="2017-03-17T00:00:00"/>
    <s v="2111-17-0035-1"/>
    <n v="300"/>
    <n v="14040"/>
    <n v="15283.31"/>
    <n v="14046"/>
    <n v="15283.31"/>
    <n v="0"/>
    <n v="0"/>
    <n v="51260"/>
    <n v="0"/>
    <s v="P"/>
    <m/>
    <m/>
    <s v=" "/>
    <s v="STL"/>
    <s v="YES"/>
    <s v="TBD"/>
    <d v="2024-10-09T00:00:00"/>
    <x v="19"/>
    <m/>
    <m/>
    <m/>
    <m/>
    <m/>
    <m/>
    <m/>
    <m/>
    <m/>
    <m/>
    <m/>
  </r>
  <r>
    <n v="2111"/>
    <n v="183279"/>
    <s v="P"/>
    <s v="Capitalized"/>
    <s v="Peterbilt 320/McNeilus ZR ASL"/>
    <m/>
    <m/>
    <n v="1"/>
    <s v="3BPZL70X9HF174540"/>
    <n v="2017"/>
    <s v="Peterbilt"/>
    <s v="McNeilus"/>
    <s v="TRUCKS AND TRAILERS"/>
    <s v="TBA"/>
    <s v="Automated Side Loader"/>
    <m/>
    <m/>
    <d v="2017-06-01T00:00:00"/>
    <d v="2017-06-01T00:00:00"/>
    <s v="2111-17-0024-1"/>
    <n v="1000"/>
    <n v="14040"/>
    <n v="336597.94"/>
    <n v="14046"/>
    <n v="246838.44"/>
    <n v="89759.5"/>
    <n v="25244.82"/>
    <n v="51260"/>
    <n v="2804.98"/>
    <s v="P"/>
    <m/>
    <n v="853"/>
    <s v=" "/>
    <s v="STL"/>
    <s v="YES"/>
    <s v="TBD"/>
    <d v="2024-10-09T00:00:00"/>
    <x v="19"/>
    <m/>
    <m/>
    <m/>
    <m/>
    <m/>
    <m/>
    <m/>
    <m/>
    <m/>
    <m/>
    <m/>
  </r>
  <r>
    <n v="2111"/>
    <n v="183278"/>
    <s v="P"/>
    <s v="Capitalized"/>
    <s v="Peterbilt 320/McNeilus ZR ASL"/>
    <m/>
    <m/>
    <n v="1"/>
    <s v="3BPZL70X0HF174541"/>
    <n v="2017"/>
    <s v="Peterbilt"/>
    <s v="McNeilus"/>
    <s v="TRUCKS AND TRAILERS"/>
    <s v="TBA"/>
    <s v="Automated Side Loader"/>
    <m/>
    <m/>
    <d v="2017-06-01T00:00:00"/>
    <d v="2017-06-01T00:00:00"/>
    <s v="2111-17-0026-1"/>
    <n v="1000"/>
    <n v="14040"/>
    <n v="336597.94"/>
    <n v="14046"/>
    <n v="246838.44"/>
    <n v="89759.5"/>
    <n v="25244.82"/>
    <n v="51260"/>
    <n v="2804.98"/>
    <s v="P"/>
    <m/>
    <n v="852"/>
    <s v=" "/>
    <s v="STL"/>
    <s v="YES"/>
    <s v="TBD"/>
    <d v="2024-10-09T00:00:00"/>
    <x v="19"/>
    <m/>
    <m/>
    <m/>
    <m/>
    <m/>
    <m/>
    <m/>
    <m/>
    <m/>
    <m/>
    <m/>
  </r>
  <r>
    <n v="2111"/>
    <n v="183277"/>
    <s v="P"/>
    <s v="Capitalized"/>
    <s v="Peterbilt 320/McNeilus ZR ASL"/>
    <m/>
    <m/>
    <n v="1"/>
    <s v="3BPZL70X2HF174539"/>
    <n v="2017"/>
    <s v="Peterbilt"/>
    <s v="McNeilus"/>
    <s v="TRUCKS AND TRAILERS"/>
    <s v="TBA"/>
    <s v="Automated Side Loader"/>
    <m/>
    <m/>
    <d v="2017-06-01T00:00:00"/>
    <d v="2017-06-01T00:00:00"/>
    <s v="2111-17-0023-1"/>
    <n v="1000"/>
    <n v="14040"/>
    <n v="336597.94"/>
    <n v="14046"/>
    <n v="246838.44"/>
    <n v="89759.5"/>
    <n v="25244.82"/>
    <n v="51260"/>
    <n v="2804.98"/>
    <s v="P"/>
    <m/>
    <n v="851"/>
    <s v=" "/>
    <s v="STL"/>
    <s v="YES"/>
    <s v="TBD"/>
    <d v="2024-10-09T00:00:00"/>
    <x v="19"/>
    <m/>
    <m/>
    <m/>
    <m/>
    <m/>
    <m/>
    <m/>
    <m/>
    <m/>
    <m/>
    <m/>
  </r>
  <r>
    <n v="2111"/>
    <n v="180515"/>
    <s v="P"/>
    <s v="Capitalized"/>
    <s v="Tablet Mounts for UTC Automation"/>
    <m/>
    <m/>
    <n v="1"/>
    <m/>
    <n v="0"/>
    <s v="ProClip"/>
    <m/>
    <s v="HARDWARE AND SOFTWARE"/>
    <s v="TBA"/>
    <m/>
    <m/>
    <m/>
    <d v="2017-03-01T00:00:00"/>
    <d v="2017-03-01T00:00:00"/>
    <s v="2111-17-0034-1"/>
    <n v="100"/>
    <n v="14110"/>
    <n v="6597.75"/>
    <n v="14116"/>
    <n v="6597.75"/>
    <n v="0"/>
    <n v="0"/>
    <n v="70260"/>
    <n v="0"/>
    <s v="P"/>
    <m/>
    <m/>
    <s v=" "/>
    <s v="STL"/>
    <s v="YES"/>
    <s v="TBD"/>
    <d v="2024-10-09T00:00:00"/>
    <x v="19"/>
    <m/>
    <m/>
    <m/>
    <m/>
    <m/>
    <m/>
    <m/>
    <m/>
    <m/>
    <m/>
    <m/>
  </r>
  <r>
    <n v="2111"/>
    <n v="180514"/>
    <s v="P"/>
    <s v="Capitalized"/>
    <s v="Software for new Toughbook"/>
    <m/>
    <m/>
    <n v="1"/>
    <m/>
    <n v="0"/>
    <s v="Snap-On"/>
    <m/>
    <s v="HARDWARE AND SOFTWARE"/>
    <s v="TBA"/>
    <m/>
    <m/>
    <m/>
    <d v="2017-01-25T00:00:00"/>
    <d v="2017-01-25T00:00:00"/>
    <s v="2111-16-0053-1"/>
    <n v="200"/>
    <n v="14110"/>
    <n v="6944.72"/>
    <n v="14116"/>
    <n v="6944.72"/>
    <n v="0"/>
    <n v="0"/>
    <n v="70260"/>
    <n v="0"/>
    <s v="P"/>
    <m/>
    <m/>
    <s v=" "/>
    <s v="STL"/>
    <s v="YES"/>
    <s v="TBD"/>
    <d v="2024-10-09T00:00:00"/>
    <x v="19"/>
    <m/>
    <m/>
    <m/>
    <m/>
    <m/>
    <m/>
    <m/>
    <m/>
    <m/>
    <m/>
    <m/>
  </r>
  <r>
    <n v="2111"/>
    <n v="180339"/>
    <s v="P"/>
    <s v="Capitalized"/>
    <s v="Isuzu 12' Box Truck"/>
    <m/>
    <m/>
    <n v="1"/>
    <s v="JALC4W167C7000417"/>
    <n v="2012"/>
    <s v="Isuzu"/>
    <m/>
    <s v="TRUCKS AND TRAILERS"/>
    <s v="TBA"/>
    <s v="Box Truck"/>
    <m/>
    <m/>
    <d v="2017-04-24T00:00:00"/>
    <d v="2017-04-24T00:00:00"/>
    <s v="2111-17-0010-1"/>
    <n v="500"/>
    <n v="14040"/>
    <n v="35072"/>
    <n v="14046"/>
    <n v="35072"/>
    <n v="0"/>
    <n v="0"/>
    <n v="51260"/>
    <n v="0"/>
    <s v="P"/>
    <n v="0"/>
    <s v="C-8"/>
    <s v=" "/>
    <s v="STL"/>
    <s v="YES"/>
    <s v="TBD"/>
    <d v="2024-10-09T00:00:00"/>
    <x v="19"/>
    <m/>
    <m/>
    <m/>
    <m/>
    <m/>
    <m/>
    <m/>
    <m/>
    <m/>
    <m/>
    <m/>
  </r>
  <r>
    <n v="2111"/>
    <n v="180338"/>
    <s v="P"/>
    <s v="Capitalized"/>
    <s v="Peterbilt 320/McNeilus ZR ASL"/>
    <m/>
    <m/>
    <n v="1"/>
    <s v="3BPZL70X0HF174538"/>
    <n v="2017"/>
    <s v="Peterbilt"/>
    <s v="McNeilus"/>
    <s v="TRUCKS AND TRAILERS"/>
    <s v="TBA"/>
    <s v="Automated Side Loader"/>
    <m/>
    <m/>
    <d v="2017-04-01T00:00:00"/>
    <d v="2017-04-01T00:00:00"/>
    <s v="2111-17-0015-1"/>
    <n v="1000"/>
    <n v="14040"/>
    <n v="336597.94"/>
    <n v="14046"/>
    <n v="252448.41"/>
    <n v="84149.53"/>
    <n v="25244.82"/>
    <n v="51260"/>
    <n v="2804.98"/>
    <s v="P"/>
    <m/>
    <n v="850"/>
    <s v=" "/>
    <s v="STL"/>
    <s v="YES"/>
    <s v="TBD"/>
    <d v="2024-10-09T00:00:00"/>
    <x v="19"/>
    <m/>
    <m/>
    <m/>
    <m/>
    <m/>
    <m/>
    <m/>
    <m/>
    <m/>
    <m/>
    <m/>
  </r>
  <r>
    <n v="2111"/>
    <n v="179408"/>
    <n v="173291"/>
    <s v="Capitalized"/>
    <s v="Truck 409 Inframe Overhaul"/>
    <m/>
    <m/>
    <n v="1"/>
    <m/>
    <n v="0"/>
    <s v="Western Peterbilt"/>
    <m/>
    <s v="TRUCKS AND TRAILERS"/>
    <s v="TBA"/>
    <s v="Non-Rolling Stock"/>
    <m/>
    <m/>
    <d v="2017-02-24T00:00:00"/>
    <d v="2017-02-24T00:00:00"/>
    <s v="2111-17-0029-1"/>
    <n v="300"/>
    <n v="14040"/>
    <n v="19762.41"/>
    <n v="14046"/>
    <n v="19762.41"/>
    <n v="0"/>
    <n v="0"/>
    <n v="51260"/>
    <n v="0"/>
    <s v="P"/>
    <m/>
    <m/>
    <s v=" "/>
    <s v="STL"/>
    <s v="YES"/>
    <s v="TBD"/>
    <d v="2024-10-09T00:00:00"/>
    <x v="19"/>
    <m/>
    <m/>
    <m/>
    <m/>
    <m/>
    <m/>
    <m/>
    <m/>
    <m/>
    <m/>
    <m/>
  </r>
  <r>
    <n v="2111"/>
    <n v="179047"/>
    <s v="P"/>
    <s v="Capitalized"/>
    <s v="96 Gallon Recycle Carts"/>
    <m/>
    <m/>
    <n v="624"/>
    <m/>
    <n v="0"/>
    <s v="Toter"/>
    <m/>
    <s v="CONTAINERS"/>
    <s v="TBA"/>
    <m/>
    <m/>
    <m/>
    <d v="2017-01-01T00:00:00"/>
    <d v="2017-01-01T00:00:00"/>
    <s v="2131-16-0014-1"/>
    <n v="611"/>
    <n v="14050"/>
    <n v="31928.87"/>
    <n v="14056"/>
    <n v="31928.87"/>
    <n v="0"/>
    <n v="0"/>
    <n v="54260"/>
    <n v="0"/>
    <s v="P"/>
    <m/>
    <m/>
    <s v=" "/>
    <s v="STL"/>
    <s v="YES"/>
    <s v="TBD"/>
    <d v="2024-10-09T00:00:00"/>
    <x v="19"/>
    <m/>
    <m/>
    <m/>
    <m/>
    <m/>
    <m/>
    <m/>
    <m/>
    <m/>
    <m/>
    <m/>
  </r>
  <r>
    <n v="2111"/>
    <n v="178939"/>
    <s v="P"/>
    <s v="Capitalized"/>
    <s v="Registration for Laptop"/>
    <m/>
    <m/>
    <n v="1"/>
    <m/>
    <n v="0"/>
    <m/>
    <m/>
    <s v="HARDWARE AND SOFTWARE"/>
    <s v="TBA"/>
    <m/>
    <m/>
    <m/>
    <d v="2017-02-28T00:00:00"/>
    <d v="2017-02-28T00:00:00"/>
    <s v="2111-16-0053-1"/>
    <n v="300"/>
    <n v="14110"/>
    <n v="435.41"/>
    <n v="14116"/>
    <n v="435.41"/>
    <n v="0"/>
    <n v="0"/>
    <n v="70260"/>
    <n v="0"/>
    <s v="P"/>
    <m/>
    <m/>
    <s v=" "/>
    <s v="STL"/>
    <s v="YES"/>
    <s v="TBD"/>
    <d v="2024-10-09T00:00:00"/>
    <x v="19"/>
    <m/>
    <m/>
    <m/>
    <m/>
    <m/>
    <m/>
    <m/>
    <m/>
    <m/>
    <m/>
    <m/>
  </r>
  <r>
    <n v="2111"/>
    <n v="178938"/>
    <s v="P"/>
    <s v="Capitalized"/>
    <s v="Peterbilt 320/McNeilus ZR ASL"/>
    <m/>
    <m/>
    <n v="1"/>
    <s v="3BPZL70X1HF107544"/>
    <n v="2017"/>
    <s v="Peterbilt"/>
    <s v="McNeilus"/>
    <s v="TRUCKS AND TRAILERS"/>
    <s v="TBA"/>
    <s v="Automated Side Loader"/>
    <m/>
    <m/>
    <d v="2017-03-01T00:00:00"/>
    <d v="2017-03-01T00:00:00"/>
    <s v="2111-16-0049-1"/>
    <n v="1000"/>
    <n v="14040"/>
    <n v="329412.94"/>
    <n v="14046"/>
    <n v="249804.81"/>
    <n v="79608.13"/>
    <n v="24705.99"/>
    <n v="51260"/>
    <n v="2745.11"/>
    <s v="P"/>
    <m/>
    <n v="839"/>
    <s v=" "/>
    <s v="STL"/>
    <s v="YES"/>
    <s v="TBD"/>
    <d v="2024-10-09T00:00:00"/>
    <x v="19"/>
    <m/>
    <m/>
    <m/>
    <m/>
    <m/>
    <m/>
    <m/>
    <m/>
    <m/>
    <m/>
    <m/>
  </r>
  <r>
    <n v="2111"/>
    <n v="178937"/>
    <s v="P"/>
    <s v="Capitalized"/>
    <s v="Peterbilt 320/McNeilus ZR ASL"/>
    <m/>
    <m/>
    <n v="1"/>
    <s v="3BPZL70X6GF100684"/>
    <n v="2017"/>
    <s v="Peterbilt"/>
    <s v="McNeilus"/>
    <s v="TRUCKS AND TRAILERS"/>
    <s v="TBA"/>
    <s v="Automated Side Loader"/>
    <m/>
    <m/>
    <d v="2017-03-01T00:00:00"/>
    <d v="2017-03-01T00:00:00"/>
    <s v="2111-16-0047-1"/>
    <n v="1000"/>
    <n v="14040"/>
    <n v="330469.13"/>
    <n v="14046"/>
    <n v="250605.75"/>
    <n v="79863.38"/>
    <n v="24785.19"/>
    <n v="51260"/>
    <n v="2753.91"/>
    <s v="P"/>
    <m/>
    <n v="849"/>
    <s v=" "/>
    <s v="STL"/>
    <s v="YES"/>
    <s v="TBD"/>
    <d v="2024-10-09T00:00:00"/>
    <x v="19"/>
    <m/>
    <m/>
    <m/>
    <m/>
    <m/>
    <m/>
    <m/>
    <m/>
    <m/>
    <m/>
    <m/>
  </r>
  <r>
    <n v="2111"/>
    <n v="178936"/>
    <s v="P"/>
    <s v="Capitalized"/>
    <s v="Peterbilt 320/McNeilus ZR ASL"/>
    <m/>
    <m/>
    <n v="1"/>
    <s v="3BPZL70X4GF100683"/>
    <n v="2017"/>
    <s v="Peterbilt"/>
    <s v="McNeilus"/>
    <s v="TRUCKS AND TRAILERS"/>
    <s v="TBA"/>
    <s v="Automated Side Loader"/>
    <m/>
    <m/>
    <d v="2017-03-01T00:00:00"/>
    <d v="2017-03-01T00:00:00"/>
    <s v="2111-16-0043-1"/>
    <n v="1000"/>
    <n v="14040"/>
    <n v="329574.24"/>
    <n v="14046"/>
    <n v="249927.09"/>
    <n v="79647.149999999994"/>
    <n v="24718.05"/>
    <n v="51260"/>
    <n v="2746.45"/>
    <s v="P"/>
    <m/>
    <n v="842"/>
    <s v=" "/>
    <s v="STL"/>
    <s v="YES"/>
    <s v="TBD"/>
    <d v="2024-10-09T00:00:00"/>
    <x v="19"/>
    <m/>
    <m/>
    <m/>
    <m/>
    <m/>
    <m/>
    <m/>
    <m/>
    <m/>
    <m/>
    <m/>
  </r>
  <r>
    <n v="2111"/>
    <n v="178935"/>
    <s v="P"/>
    <s v="Capitalized"/>
    <s v="Peterbilt 320/McNeilus ZR ASL"/>
    <m/>
    <m/>
    <n v="1"/>
    <s v="3BPZL70X4HF173246"/>
    <n v="2017"/>
    <s v="Peterbilt"/>
    <s v="McNeilus"/>
    <s v="TRUCKS AND TRAILERS"/>
    <s v="TBA"/>
    <s v="Automated Side Loader"/>
    <m/>
    <m/>
    <d v="2017-03-01T00:00:00"/>
    <d v="2017-03-01T00:00:00"/>
    <s v="2111-16-0044-1"/>
    <n v="1000"/>
    <n v="14040"/>
    <n v="327597.21000000002"/>
    <n v="14046"/>
    <n v="248427.91"/>
    <n v="79169.300000000017"/>
    <n v="24569.82"/>
    <n v="51260"/>
    <n v="2729.98"/>
    <s v="P"/>
    <m/>
    <n v="840"/>
    <s v=" "/>
    <s v="STL"/>
    <s v="YES"/>
    <s v="TBD"/>
    <d v="2024-10-09T00:00:00"/>
    <x v="19"/>
    <m/>
    <m/>
    <m/>
    <m/>
    <m/>
    <m/>
    <m/>
    <m/>
    <m/>
    <m/>
    <m/>
  </r>
  <r>
    <n v="2111"/>
    <n v="178934"/>
    <s v="P"/>
    <s v="Capitalized"/>
    <s v="Peterbilt 320/McNeilus ZR ASL"/>
    <m/>
    <m/>
    <n v="1"/>
    <s v="3BPZL70X2HF173245"/>
    <n v="2017"/>
    <s v="Peterbilt"/>
    <s v="McNeilus"/>
    <s v="TRUCKS AND TRAILERS"/>
    <s v="TBA"/>
    <s v="Automated Side Loader"/>
    <m/>
    <m/>
    <d v="2017-03-01T00:00:00"/>
    <d v="2017-03-01T00:00:00"/>
    <s v="2111-16-0046-1"/>
    <n v="1000"/>
    <n v="14040"/>
    <n v="329869.31"/>
    <n v="14046"/>
    <n v="250150.88"/>
    <n v="79718.429999999993"/>
    <n v="24740.19"/>
    <n v="51260"/>
    <n v="2748.91"/>
    <s v="P"/>
    <m/>
    <n v="844"/>
    <s v=" "/>
    <s v="STL"/>
    <s v="YES"/>
    <s v="TBD"/>
    <d v="2024-10-09T00:00:00"/>
    <x v="19"/>
    <m/>
    <m/>
    <m/>
    <m/>
    <m/>
    <m/>
    <m/>
    <m/>
    <m/>
    <m/>
    <m/>
  </r>
  <r>
    <n v="2111"/>
    <n v="178933"/>
    <s v="P"/>
    <s v="Capitalized"/>
    <s v="Peterbilt 320/McNeilus ZR ASL"/>
    <m/>
    <m/>
    <n v="1"/>
    <s v="3BPZL70X8GF100685"/>
    <n v="2017"/>
    <s v="Peterbilt"/>
    <s v="McNeilus"/>
    <s v="TRUCKS AND TRAILERS"/>
    <s v="TBA"/>
    <s v="Automated Side Loader"/>
    <m/>
    <m/>
    <d v="2017-03-01T00:00:00"/>
    <d v="2017-03-01T00:00:00"/>
    <s v="2111-16-0048-1"/>
    <n v="1000"/>
    <n v="14040"/>
    <n v="330173.56"/>
    <n v="14046"/>
    <n v="250381.67"/>
    <n v="79791.889999999985"/>
    <n v="24763.05"/>
    <n v="51260"/>
    <n v="2751.45"/>
    <s v="P"/>
    <m/>
    <n v="841"/>
    <s v=" "/>
    <s v="STL"/>
    <s v="YES"/>
    <s v="TBD"/>
    <d v="2024-10-09T00:00:00"/>
    <x v="19"/>
    <m/>
    <m/>
    <m/>
    <m/>
    <m/>
    <m/>
    <m/>
    <m/>
    <m/>
    <m/>
    <m/>
  </r>
  <r>
    <n v="2111"/>
    <n v="178932"/>
    <s v="P"/>
    <s v="Capitalized"/>
    <s v="Peterbilt 320/McNeilus ZR ASL"/>
    <m/>
    <m/>
    <n v="1"/>
    <s v="3BPZL70X8HF173251"/>
    <n v="2017"/>
    <s v="Peterbilt"/>
    <s v="McNeilus"/>
    <s v="TRUCKS AND TRAILERS"/>
    <s v="TBA"/>
    <s v="Automated Side Loader"/>
    <m/>
    <m/>
    <d v="2017-03-01T00:00:00"/>
    <d v="2017-03-01T00:00:00"/>
    <s v="2111-16-0045-1"/>
    <n v="1000"/>
    <n v="14040"/>
    <n v="327489.68"/>
    <n v="14046"/>
    <n v="248346.35"/>
    <n v="79143.329999999987"/>
    <n v="24561.72"/>
    <n v="51260"/>
    <n v="2729.08"/>
    <s v="P"/>
    <m/>
    <n v="843"/>
    <s v=" "/>
    <s v="STL"/>
    <s v="YES"/>
    <s v="TBD"/>
    <d v="2024-10-09T00:00:00"/>
    <x v="19"/>
    <m/>
    <m/>
    <m/>
    <m/>
    <m/>
    <m/>
    <m/>
    <m/>
    <m/>
    <m/>
    <m/>
  </r>
  <r>
    <n v="2111"/>
    <n v="178931"/>
    <s v="P"/>
    <s v="Capitalized"/>
    <s v="Peterbilt 220/Wayne Royal GT Retriever"/>
    <m/>
    <m/>
    <n v="1"/>
    <s v="3BPPHM7X6HF591515"/>
    <n v="2017"/>
    <s v="Peterbilt"/>
    <s v="Wayne"/>
    <s v="TRUCKS AND TRAILERS"/>
    <s v="TBA"/>
    <s v="Rear Loader"/>
    <m/>
    <m/>
    <d v="2017-03-01T00:00:00"/>
    <d v="2017-03-01T00:00:00"/>
    <s v="2111-16-0037-1"/>
    <n v="1000"/>
    <n v="14040"/>
    <n v="173960.49"/>
    <n v="14046"/>
    <n v="131920.04"/>
    <n v="42040.449999999983"/>
    <n v="13047.03"/>
    <n v="51260"/>
    <n v="1449.67"/>
    <s v="P"/>
    <m/>
    <n v="304"/>
    <s v=" "/>
    <s v="STL"/>
    <s v="YES"/>
    <s v="TBD"/>
    <d v="2024-10-09T00:00:00"/>
    <x v="19"/>
    <m/>
    <m/>
    <m/>
    <m/>
    <m/>
    <m/>
    <m/>
    <m/>
    <m/>
    <m/>
    <m/>
  </r>
  <r>
    <n v="2111"/>
    <n v="178930"/>
    <s v="P"/>
    <s v="Capitalized"/>
    <s v="Peterbilt 320/McNeilus ZR ASL"/>
    <m/>
    <m/>
    <n v="1"/>
    <s v="3BPZL70X6HF174219"/>
    <n v="2017"/>
    <s v="Peterbilt"/>
    <s v="McNeilus"/>
    <s v="TRUCKS AND TRAILERS"/>
    <s v="TBA"/>
    <s v="Automated Side Loader"/>
    <m/>
    <m/>
    <d v="2017-03-31T00:00:00"/>
    <d v="2017-03-31T00:00:00"/>
    <s v="2111-16-0041-1"/>
    <n v="1000"/>
    <n v="14040"/>
    <n v="327150.13"/>
    <n v="14046"/>
    <n v="245362.57"/>
    <n v="81787.56"/>
    <n v="24536.25"/>
    <n v="51260"/>
    <n v="2726.25"/>
    <s v="P"/>
    <m/>
    <n v="846"/>
    <s v=" "/>
    <s v="STL"/>
    <s v="YES"/>
    <s v="TBD"/>
    <d v="2024-10-09T00:00:00"/>
    <x v="19"/>
    <m/>
    <m/>
    <m/>
    <m/>
    <m/>
    <m/>
    <m/>
    <m/>
    <m/>
    <m/>
    <m/>
  </r>
  <r>
    <n v="2111"/>
    <n v="178929"/>
    <s v="P"/>
    <s v="Capitalized"/>
    <s v="Peterbilt 320/McNeilus ZR ASL"/>
    <m/>
    <m/>
    <n v="1"/>
    <s v="3BPZL70X6HF174222"/>
    <n v="2017"/>
    <s v="Peterbilt"/>
    <s v="McNeilus"/>
    <s v="TRUCKS AND TRAILERS"/>
    <s v="TBA"/>
    <s v="Automated Side Loader"/>
    <m/>
    <m/>
    <d v="2017-03-01T00:00:00"/>
    <d v="2017-03-01T00:00:00"/>
    <s v="2111-16-0040-1"/>
    <n v="1000"/>
    <n v="14040"/>
    <n v="327150.13"/>
    <n v="14046"/>
    <n v="248088.82"/>
    <n v="79061.31"/>
    <n v="24536.25"/>
    <n v="51260"/>
    <n v="2726.25"/>
    <s v="P"/>
    <m/>
    <n v="847"/>
    <s v=" "/>
    <s v="STL"/>
    <s v="YES"/>
    <s v="TBD"/>
    <d v="2024-10-09T00:00:00"/>
    <x v="19"/>
    <m/>
    <m/>
    <m/>
    <m/>
    <m/>
    <m/>
    <m/>
    <m/>
    <m/>
    <m/>
    <m/>
  </r>
  <r>
    <n v="2111"/>
    <n v="178928"/>
    <s v="P"/>
    <s v="Capitalized"/>
    <s v="Peterbilt 320/McNeilus ZR ASL"/>
    <m/>
    <m/>
    <n v="1"/>
    <s v="3BPZL70X4HF174221"/>
    <n v="2017"/>
    <s v="Peterbilt"/>
    <s v="McNeilus"/>
    <s v="TRUCKS AND TRAILERS"/>
    <s v="TBA"/>
    <s v="Automated Side Loader"/>
    <m/>
    <m/>
    <d v="2017-03-01T00:00:00"/>
    <d v="2017-03-01T00:00:00"/>
    <s v="2111-16-0039-1"/>
    <n v="1000"/>
    <n v="14040"/>
    <n v="327150.13"/>
    <n v="14046"/>
    <n v="248088.82"/>
    <n v="79061.31"/>
    <n v="24536.25"/>
    <n v="51260"/>
    <n v="2726.25"/>
    <s v="P"/>
    <m/>
    <n v="845"/>
    <s v=" "/>
    <s v="STL"/>
    <s v="YES"/>
    <s v="TBD"/>
    <d v="2024-10-09T00:00:00"/>
    <x v="19"/>
    <m/>
    <m/>
    <m/>
    <m/>
    <m/>
    <m/>
    <m/>
    <m/>
    <m/>
    <m/>
    <m/>
  </r>
  <r>
    <n v="2111"/>
    <n v="178927"/>
    <s v="P"/>
    <s v="Capitalized"/>
    <s v="Peterbilt 320/McNeilus ZR ASL"/>
    <m/>
    <m/>
    <n v="1"/>
    <s v="3BPZL70X2HF174220"/>
    <n v="2017"/>
    <s v="Peterbilt"/>
    <s v="McNeilus"/>
    <s v="TRUCKS AND TRAILERS"/>
    <s v="TBA"/>
    <s v="Automated Side Loader"/>
    <m/>
    <m/>
    <d v="2017-03-01T00:00:00"/>
    <d v="2017-03-01T00:00:00"/>
    <s v="2111-16-0042-1"/>
    <n v="1000"/>
    <n v="14040"/>
    <n v="327150.14"/>
    <n v="14046"/>
    <n v="248088.82"/>
    <n v="79061.320000000007"/>
    <n v="24536.25"/>
    <n v="51260"/>
    <n v="2726.25"/>
    <s v="P"/>
    <m/>
    <n v="848"/>
    <s v=" "/>
    <s v="STL"/>
    <s v="YES"/>
    <s v="TBD"/>
    <d v="2024-10-09T00:00:00"/>
    <x v="19"/>
    <m/>
    <m/>
    <m/>
    <m/>
    <m/>
    <m/>
    <m/>
    <m/>
    <m/>
    <m/>
    <m/>
  </r>
  <r>
    <n v="2111"/>
    <n v="177519"/>
    <n v="171235"/>
    <s v="Capitalized"/>
    <s v="Wet Kit"/>
    <m/>
    <m/>
    <n v="1"/>
    <m/>
    <n v="0"/>
    <s v="SOLID WASTE SYSTEMS, INC"/>
    <s v="NA"/>
    <s v="TRUCKS AND TRAILERS"/>
    <s v="TBA"/>
    <s v="Non-Rolling Stock"/>
    <m/>
    <m/>
    <d v="2017-01-01T00:00:00"/>
    <d v="2017-01-01T00:00:00"/>
    <s v="2111-16-0001-1"/>
    <n v="500"/>
    <n v="14040"/>
    <n v="9021.1200000000008"/>
    <n v="14046"/>
    <n v="9021.1200000000008"/>
    <n v="0"/>
    <n v="0"/>
    <n v="51260"/>
    <n v="0"/>
    <s v="P"/>
    <m/>
    <m/>
    <s v=" "/>
    <s v="STL"/>
    <s v="YES"/>
    <s v="TBD"/>
    <d v="2024-10-09T00:00:00"/>
    <x v="19"/>
    <m/>
    <m/>
    <m/>
    <m/>
    <m/>
    <m/>
    <m/>
    <m/>
    <m/>
    <m/>
    <m/>
  </r>
  <r>
    <n v="2111"/>
    <n v="174545"/>
    <s v="P"/>
    <s v="Capitalized"/>
    <s v="HP ProBook 640 G2 - 14 Laptop"/>
    <m/>
    <m/>
    <n v="1"/>
    <m/>
    <n v="0"/>
    <s v="CDW"/>
    <m/>
    <s v="HARDWARE AND SOFTWARE"/>
    <s v="TBA"/>
    <m/>
    <m/>
    <m/>
    <d v="2017-01-12T00:00:00"/>
    <d v="2017-01-12T00:00:00"/>
    <s v="2111-17-0028-1"/>
    <n v="300"/>
    <n v="14110"/>
    <n v="1197.03"/>
    <n v="14116"/>
    <n v="1197.03"/>
    <n v="0"/>
    <n v="0"/>
    <n v="70260"/>
    <n v="0"/>
    <s v="P"/>
    <m/>
    <m/>
    <s v=" "/>
    <s v="STL"/>
    <s v="YES"/>
    <s v="TBD"/>
    <d v="2024-10-09T00:00:00"/>
    <x v="19"/>
    <m/>
    <m/>
    <m/>
    <m/>
    <m/>
    <m/>
    <m/>
    <m/>
    <m/>
    <m/>
    <m/>
  </r>
  <r>
    <n v="2111"/>
    <n v="173961"/>
    <s v="P"/>
    <s v="Capitalized"/>
    <s v="2001 Type HT Drop Trailer"/>
    <m/>
    <m/>
    <n v="1"/>
    <s v="1H9ST34371T347047"/>
    <n v="2001"/>
    <s v="Other"/>
    <s v="Other"/>
    <s v="TRUCKS AND TRAILERS"/>
    <s v="TBA"/>
    <s v="Other Trailer"/>
    <m/>
    <m/>
    <d v="2008-11-03T00:00:00"/>
    <d v="2008-11-03T00:00:00"/>
    <m/>
    <n v="300"/>
    <n v="14040"/>
    <n v="10000"/>
    <n v="14046"/>
    <n v="10000"/>
    <n v="0"/>
    <n v="0"/>
    <n v="51260"/>
    <n v="0"/>
    <s v="A"/>
    <s v="LeMay Enterprises"/>
    <n v="8714"/>
    <s v=" "/>
    <s v="STL"/>
    <s v="YES"/>
    <s v="TBD"/>
    <d v="2024-10-09T00:00:00"/>
    <x v="19"/>
    <m/>
    <m/>
    <m/>
    <m/>
    <m/>
    <m/>
    <m/>
    <m/>
    <m/>
    <m/>
    <m/>
  </r>
  <r>
    <n v="2111"/>
    <n v="173957"/>
    <s v="P"/>
    <s v="Capitalized"/>
    <s v="1973 Type HT Dolly Trailer"/>
    <m/>
    <m/>
    <n v="1"/>
    <s v="6331A0"/>
    <n v="1973"/>
    <s v="Peerless"/>
    <s v="Peerless"/>
    <s v="TRUCKS AND TRAILERS"/>
    <s v="TBA"/>
    <s v="Other Trailer"/>
    <m/>
    <m/>
    <d v="2008-11-03T00:00:00"/>
    <d v="2008-11-03T00:00:00"/>
    <m/>
    <n v="300"/>
    <n v="14040"/>
    <n v="1000"/>
    <n v="14046"/>
    <n v="1000"/>
    <n v="0"/>
    <n v="0"/>
    <n v="51260"/>
    <n v="0"/>
    <s v="A"/>
    <s v="LeMay Enterprises"/>
    <s v="PT-13a"/>
    <s v=" "/>
    <s v="STL"/>
    <s v="YES"/>
    <s v="TBD"/>
    <d v="2024-10-09T00:00:00"/>
    <x v="19"/>
    <m/>
    <m/>
    <m/>
    <m/>
    <m/>
    <m/>
    <m/>
    <m/>
    <m/>
    <m/>
    <m/>
  </r>
  <r>
    <n v="2111"/>
    <n v="173956"/>
    <s v="P"/>
    <s v="Capitalized"/>
    <s v="1991 Type HT Dolly Trailer"/>
    <m/>
    <m/>
    <n v="1"/>
    <s v="1PLH01516MTG06890"/>
    <n v="1991"/>
    <s v="Peerless"/>
    <s v="Peerless"/>
    <s v="TRUCKS AND TRAILERS"/>
    <s v="TBA"/>
    <s v="Other Trailer"/>
    <m/>
    <m/>
    <d v="2008-11-03T00:00:00"/>
    <d v="2008-11-03T00:00:00"/>
    <m/>
    <n v="300"/>
    <n v="14040"/>
    <n v="2500"/>
    <n v="14046"/>
    <n v="2500"/>
    <n v="0"/>
    <n v="0"/>
    <n v="51260"/>
    <n v="0"/>
    <s v="A"/>
    <s v="LeMay Enterprises"/>
    <s v="PT-16a"/>
    <s v=" "/>
    <s v="STL"/>
    <s v="YES"/>
    <s v="TBD"/>
    <d v="2024-10-09T00:00:00"/>
    <x v="19"/>
    <m/>
    <m/>
    <m/>
    <m/>
    <m/>
    <m/>
    <m/>
    <m/>
    <m/>
    <m/>
    <m/>
  </r>
  <r>
    <n v="2111"/>
    <n v="173761"/>
    <s v="P"/>
    <s v="Capitalized"/>
    <s v="1 Yard FEL Containers"/>
    <m/>
    <m/>
    <n v="5"/>
    <m/>
    <n v="0"/>
    <s v="WASTEQUIP"/>
    <m/>
    <s v="CONTAINERS"/>
    <s v="TBA"/>
    <m/>
    <s v="1 YD"/>
    <s v="FEL/REL/SL Metal"/>
    <d v="2010-07-01T00:00:00"/>
    <d v="2010-07-01T00:00:00"/>
    <s v="2148-10-0010-1"/>
    <n v="1200"/>
    <n v="14050"/>
    <n v="2196.46"/>
    <n v="14056"/>
    <n v="2196.46"/>
    <n v="0"/>
    <n v="0"/>
    <n v="54260"/>
    <n v="0"/>
    <s v="P"/>
    <m/>
    <m/>
    <s v=" "/>
    <s v="STL"/>
    <s v="YES"/>
    <s v="TBD"/>
    <d v="2024-10-09T00:00:00"/>
    <x v="19"/>
    <m/>
    <m/>
    <m/>
    <m/>
    <m/>
    <m/>
    <m/>
    <m/>
    <m/>
    <m/>
    <m/>
  </r>
  <r>
    <n v="2111"/>
    <n v="173333"/>
    <s v="P"/>
    <s v="Capitalized"/>
    <s v="American Intangible"/>
    <m/>
    <m/>
    <n v="1"/>
    <m/>
    <n v="0"/>
    <m/>
    <m/>
    <s v="INDEFINITE LIVED INTANGIBLES"/>
    <s v="INDEFINITE LIVED INTANGIBLES"/>
    <m/>
    <m/>
    <m/>
    <d v="1998-12-31T00:00:00"/>
    <d v="1998-12-31T00:00:00"/>
    <m/>
    <n v="0"/>
    <n v="15260"/>
    <n v="15470"/>
    <n v="15266"/>
    <n v="1837.06"/>
    <n v="13632.94"/>
    <n v="0"/>
    <n v="70264"/>
    <n v="0"/>
    <s v="A"/>
    <s v="American Disposal"/>
    <s v="NA"/>
    <s v=" "/>
    <s v="STL"/>
    <s v="NO"/>
    <s v="TBD"/>
    <d v="2024-10-09T00:00:00"/>
    <x v="19"/>
    <m/>
    <m/>
    <m/>
    <m/>
    <m/>
    <m/>
    <m/>
    <m/>
    <m/>
    <m/>
    <m/>
  </r>
  <r>
    <n v="2111"/>
    <n v="173332"/>
    <s v="P"/>
    <s v="Capitalized"/>
    <s v="American Intangible"/>
    <m/>
    <m/>
    <n v="1"/>
    <m/>
    <n v="0"/>
    <m/>
    <m/>
    <s v="OTHER INTANGIBLES"/>
    <s v="OTHER INTANGIBLES"/>
    <m/>
    <m/>
    <m/>
    <d v="1998-12-31T00:00:00"/>
    <d v="1998-12-31T00:00:00"/>
    <m/>
    <n v="4000"/>
    <n v="15240"/>
    <n v="25000"/>
    <n v="15246"/>
    <n v="16093.72"/>
    <n v="8906.2800000000007"/>
    <n v="468.72"/>
    <n v="70264"/>
    <n v="52.08"/>
    <s v="A"/>
    <s v="American Disposal"/>
    <s v="NA"/>
    <s v=" "/>
    <s v="STL"/>
    <s v="YES"/>
    <s v="TBD"/>
    <d v="2024-10-09T00:00:00"/>
    <x v="19"/>
    <m/>
    <m/>
    <m/>
    <m/>
    <m/>
    <m/>
    <m/>
    <m/>
    <m/>
    <m/>
    <m/>
  </r>
  <r>
    <n v="2111"/>
    <n v="173331"/>
    <s v="P"/>
    <s v="Capitalized"/>
    <s v="Addler 120PD Calculator"/>
    <m/>
    <m/>
    <n v="1"/>
    <m/>
    <n v="0"/>
    <m/>
    <m/>
    <s v="OFFICE EQUIPMENT"/>
    <s v="TBA"/>
    <m/>
    <m/>
    <m/>
    <d v="1984-11-15T00:00:00"/>
    <d v="1984-11-15T00:00:00"/>
    <m/>
    <n v="500"/>
    <n v="14100"/>
    <n v="197.1"/>
    <n v="14106"/>
    <n v="197.1"/>
    <n v="0"/>
    <n v="0"/>
    <n v="70260"/>
    <n v="0"/>
    <s v="A"/>
    <s v="American Disposal"/>
    <s v="NA"/>
    <s v=" "/>
    <s v="STL"/>
    <s v="YES"/>
    <s v="TBD"/>
    <d v="2024-10-09T00:00:00"/>
    <x v="19"/>
    <m/>
    <m/>
    <m/>
    <m/>
    <m/>
    <m/>
    <m/>
    <m/>
    <m/>
    <m/>
    <m/>
  </r>
  <r>
    <n v="2111"/>
    <n v="173330"/>
    <s v="P"/>
    <s v="Capitalized"/>
    <s v="Carpeting"/>
    <m/>
    <m/>
    <n v="1"/>
    <m/>
    <n v="0"/>
    <m/>
    <m/>
    <s v="OFFICE EQUIPMENT"/>
    <s v="TBA"/>
    <m/>
    <m/>
    <m/>
    <d v="1993-06-28T00:00:00"/>
    <d v="1983-06-28T00:00:00"/>
    <m/>
    <n v="500"/>
    <n v="14100"/>
    <n v="400"/>
    <n v="14106"/>
    <n v="400"/>
    <n v="0"/>
    <n v="0"/>
    <n v="70260"/>
    <n v="0"/>
    <s v="A"/>
    <s v="American Disposal"/>
    <s v="NA"/>
    <s v=" "/>
    <s v="STL"/>
    <s v="YES"/>
    <s v="TBD"/>
    <d v="2024-10-09T00:00:00"/>
    <x v="19"/>
    <m/>
    <m/>
    <m/>
    <m/>
    <m/>
    <m/>
    <m/>
    <m/>
    <m/>
    <m/>
    <m/>
  </r>
  <r>
    <n v="2111"/>
    <n v="173328"/>
    <s v="P"/>
    <s v="Capitalized"/>
    <s v="95 Gal Yard Waste Carts"/>
    <m/>
    <m/>
    <n v="702"/>
    <m/>
    <n v="0"/>
    <s v="Rehrig Pacific Company"/>
    <m/>
    <s v="CONTAINERS"/>
    <s v="TBA"/>
    <m/>
    <m/>
    <m/>
    <d v="2016-11-30T00:00:00"/>
    <d v="2016-11-30T00:00:00"/>
    <s v="2131-16-0012-1"/>
    <n v="700"/>
    <n v="14050"/>
    <n v="35858.480000000003"/>
    <n v="14056"/>
    <n v="35858.480000000003"/>
    <n v="0"/>
    <n v="0"/>
    <n v="54260"/>
    <n v="0"/>
    <s v="P"/>
    <m/>
    <m/>
    <s v=" "/>
    <s v="STL"/>
    <s v="YES"/>
    <s v="TBD"/>
    <d v="2024-10-09T00:00:00"/>
    <x v="19"/>
    <m/>
    <m/>
    <m/>
    <m/>
    <m/>
    <m/>
    <m/>
    <m/>
    <m/>
    <m/>
    <m/>
  </r>
  <r>
    <n v="2111"/>
    <n v="173327"/>
    <s v="P"/>
    <s v="Capitalized"/>
    <s v="95 Gallon Recycle Carts"/>
    <m/>
    <m/>
    <n v="702"/>
    <m/>
    <n v="0"/>
    <s v="Rehrig"/>
    <m/>
    <s v="CONTAINERS"/>
    <s v="TBA"/>
    <m/>
    <m/>
    <m/>
    <d v="2016-09-13T00:00:00"/>
    <d v="2016-09-13T00:00:00"/>
    <s v="2131-16-0013-1"/>
    <n v="700"/>
    <n v="14050"/>
    <n v="35858.47"/>
    <n v="14056"/>
    <n v="35858.47"/>
    <n v="0"/>
    <n v="0"/>
    <n v="54260"/>
    <n v="0"/>
    <s v="P"/>
    <m/>
    <m/>
    <s v=" "/>
    <s v="STL"/>
    <s v="YES"/>
    <s v="TBD"/>
    <d v="2024-10-09T00:00:00"/>
    <x v="19"/>
    <m/>
    <m/>
    <m/>
    <m/>
    <m/>
    <m/>
    <m/>
    <m/>
    <m/>
    <m/>
    <m/>
  </r>
  <r>
    <n v="2111"/>
    <n v="173326"/>
    <s v="P"/>
    <s v="Capitalized"/>
    <s v="Paint Job on ASL Trk#817"/>
    <m/>
    <m/>
    <n v="1"/>
    <m/>
    <n v="0"/>
    <m/>
    <m/>
    <s v="TRUCKS AND TRAILERS"/>
    <s v="TBA"/>
    <s v="Automated Side Loader"/>
    <m/>
    <m/>
    <d v="2010-06-24T00:00:00"/>
    <d v="2010-06-24T00:00:00"/>
    <s v="2131-10-0007-1"/>
    <n v="1000"/>
    <n v="14040"/>
    <n v="1916.25"/>
    <n v="14046"/>
    <n v="1916.25"/>
    <n v="0"/>
    <n v="0"/>
    <n v="51260"/>
    <n v="0"/>
    <s v="P"/>
    <m/>
    <m/>
    <s v=" "/>
    <s v="STL"/>
    <s v="YES"/>
    <s v="TBD"/>
    <d v="2024-10-09T00:00:00"/>
    <x v="19"/>
    <m/>
    <m/>
    <m/>
    <m/>
    <m/>
    <m/>
    <m/>
    <m/>
    <m/>
    <m/>
    <m/>
  </r>
  <r>
    <n v="2111"/>
    <n v="173325"/>
    <s v="P"/>
    <s v="Capitalized"/>
    <s v="Balance of Use Tax for Trk#817"/>
    <m/>
    <m/>
    <n v="1"/>
    <m/>
    <n v="0"/>
    <s v="Peterbilt"/>
    <m/>
    <s v="TRUCKS AND TRAILERS"/>
    <s v="TBA"/>
    <s v="Automated Side Loader"/>
    <m/>
    <m/>
    <d v="2010-06-24T00:00:00"/>
    <d v="2010-06-24T00:00:00"/>
    <s v="2131-10-0007-1"/>
    <n v="1000"/>
    <n v="14040"/>
    <n v="137.06"/>
    <n v="14046"/>
    <n v="137.06"/>
    <n v="0"/>
    <n v="0"/>
    <n v="51260"/>
    <n v="0"/>
    <s v="P"/>
    <m/>
    <m/>
    <s v=" "/>
    <s v="STL"/>
    <s v="YES"/>
    <s v="TBD"/>
    <d v="2024-10-09T00:00:00"/>
    <x v="19"/>
    <m/>
    <m/>
    <m/>
    <m/>
    <m/>
    <m/>
    <m/>
    <m/>
    <m/>
    <m/>
    <m/>
  </r>
  <r>
    <n v="2111"/>
    <n v="173324"/>
    <s v="P"/>
    <s v="Capitalized"/>
    <s v="New Wayne ASL Body for Trk#817 (s/n:17770)"/>
    <m/>
    <m/>
    <n v="1"/>
    <s v="3BPZL00X3AF107607"/>
    <n v="2010"/>
    <s v="Peterbilt"/>
    <m/>
    <s v="TRUCKS AND TRAILERS"/>
    <s v="TBA"/>
    <s v="Non-Rolling Stock"/>
    <m/>
    <m/>
    <d v="2010-06-24T00:00:00"/>
    <d v="2010-06-24T00:00:00"/>
    <s v="2131-10-0007-1"/>
    <n v="1000"/>
    <n v="14040"/>
    <n v="133793.45000000001"/>
    <n v="14046"/>
    <n v="133793.45000000001"/>
    <n v="0"/>
    <n v="0"/>
    <n v="51260"/>
    <n v="0"/>
    <s v="P"/>
    <m/>
    <m/>
    <s v=" "/>
    <s v="STL"/>
    <s v="YES"/>
    <s v="TBD"/>
    <d v="2024-10-09T00:00:00"/>
    <x v="19"/>
    <m/>
    <m/>
    <m/>
    <m/>
    <m/>
    <m/>
    <m/>
    <m/>
    <m/>
    <m/>
    <m/>
  </r>
  <r>
    <n v="2111"/>
    <n v="173323"/>
    <s v="P"/>
    <s v="Capitalized"/>
    <s v="New 2010 Peterbilt 320 ASL"/>
    <m/>
    <m/>
    <n v="1"/>
    <s v="3BPZL00X3AF107607"/>
    <n v="2010"/>
    <s v="Peterbilt"/>
    <s v="Wayne"/>
    <s v="TRUCKS AND TRAILERS"/>
    <s v="TBA"/>
    <s v="Automated Side Loader"/>
    <m/>
    <m/>
    <d v="2010-06-24T00:00:00"/>
    <d v="2010-06-24T00:00:00"/>
    <s v="2131-10-0007-1"/>
    <n v="1000"/>
    <n v="14040"/>
    <n v="138066.26"/>
    <n v="14046"/>
    <n v="138066.26"/>
    <n v="0"/>
    <n v="0"/>
    <n v="51260"/>
    <n v="0"/>
    <s v="P"/>
    <m/>
    <n v="818"/>
    <s v=" "/>
    <s v="STL"/>
    <s v="YES"/>
    <s v="TBD"/>
    <d v="2024-10-09T00:00:00"/>
    <x v="19"/>
    <m/>
    <m/>
    <m/>
    <m/>
    <m/>
    <m/>
    <m/>
    <m/>
    <m/>
    <m/>
    <m/>
  </r>
  <r>
    <n v="2111"/>
    <n v="173322"/>
    <s v="P"/>
    <s v="Capitalized"/>
    <s v="Peterbilt 567 Roll Off"/>
    <m/>
    <m/>
    <n v="1"/>
    <s v="1NPCX4EX8HD420026"/>
    <n v="2017"/>
    <m/>
    <m/>
    <s v="TRUCKS AND TRAILERS"/>
    <s v="TBA"/>
    <s v="Roll Off"/>
    <m/>
    <m/>
    <d v="2016-08-30T00:00:00"/>
    <d v="2016-08-30T00:00:00"/>
    <s v="2131-16-0007-1"/>
    <n v="1000"/>
    <n v="14040"/>
    <n v="168769.58"/>
    <n v="14046"/>
    <n v="168769.58"/>
    <n v="0"/>
    <n v="5563.83"/>
    <n v="51260"/>
    <n v="0"/>
    <s v="P"/>
    <m/>
    <n v="426"/>
    <s v=" "/>
    <s v="STL"/>
    <s v="YES"/>
    <s v="TBD"/>
    <d v="2024-10-09T00:00:00"/>
    <x v="19"/>
    <m/>
    <m/>
    <m/>
    <m/>
    <m/>
    <m/>
    <m/>
    <m/>
    <m/>
    <m/>
    <m/>
  </r>
  <r>
    <n v="2111"/>
    <n v="173321"/>
    <s v="P"/>
    <s v="Capitalized"/>
    <s v="Inframe Repair - Truck 318"/>
    <m/>
    <m/>
    <n v="1"/>
    <m/>
    <n v="0"/>
    <s v="Fleet Charge"/>
    <m/>
    <s v="TRUCKS AND TRAILERS"/>
    <s v="TBA"/>
    <s v="Non-Rolling Stock"/>
    <m/>
    <m/>
    <d v="2016-06-07T00:00:00"/>
    <d v="2016-06-07T00:00:00"/>
    <s v="2131-16-0011-1"/>
    <n v="300"/>
    <n v="14040"/>
    <n v="20959"/>
    <n v="14046"/>
    <n v="20959"/>
    <n v="0"/>
    <n v="0"/>
    <n v="51260"/>
    <n v="0"/>
    <s v="P"/>
    <m/>
    <m/>
    <s v=" "/>
    <s v="STL"/>
    <s v="YES"/>
    <s v="TBD"/>
    <d v="2024-10-09T00:00:00"/>
    <x v="19"/>
    <m/>
    <m/>
    <m/>
    <m/>
    <m/>
    <m/>
    <m/>
    <m/>
    <m/>
    <m/>
    <m/>
  </r>
  <r>
    <n v="2111"/>
    <n v="173320"/>
    <s v="P"/>
    <s v="Capitalized"/>
    <s v="65 Gal Yard Waste Carts"/>
    <m/>
    <m/>
    <n v="324"/>
    <m/>
    <n v="0"/>
    <s v="REHRIG PACIFIC COMPANY"/>
    <m/>
    <s v="CONTAINERS"/>
    <s v="TBA"/>
    <m/>
    <m/>
    <m/>
    <d v="2016-04-04T00:00:00"/>
    <d v="2016-04-04T00:00:00"/>
    <s v="2131-16-0003-1"/>
    <n v="700"/>
    <n v="14050"/>
    <n v="12863.21"/>
    <n v="14056"/>
    <n v="12863.21"/>
    <n v="0"/>
    <n v="0"/>
    <n v="54260"/>
    <n v="0"/>
    <s v="P"/>
    <m/>
    <m/>
    <s v=" "/>
    <s v="STL"/>
    <s v="YES"/>
    <s v="TBD"/>
    <d v="2024-10-09T00:00:00"/>
    <x v="19"/>
    <m/>
    <m/>
    <m/>
    <m/>
    <m/>
    <m/>
    <m/>
    <m/>
    <m/>
    <m/>
    <m/>
  </r>
  <r>
    <n v="2111"/>
    <n v="173319"/>
    <s v="P"/>
    <s v="Capitalized"/>
    <s v="95 Gal Yard Waste Carts"/>
    <m/>
    <m/>
    <n v="1053"/>
    <m/>
    <n v="0"/>
    <s v="REHRIG PACIFIC COMPANY"/>
    <m/>
    <s v="CONTAINERS"/>
    <s v="TBA"/>
    <m/>
    <m/>
    <m/>
    <d v="2016-04-04T00:00:00"/>
    <d v="2016-04-04T00:00:00"/>
    <s v="2131-16-0003-1"/>
    <n v="700"/>
    <n v="14050"/>
    <n v="53440.33"/>
    <n v="14056"/>
    <n v="53440.33"/>
    <n v="0"/>
    <n v="0"/>
    <n v="54260"/>
    <n v="0"/>
    <s v="P"/>
    <m/>
    <m/>
    <s v=" "/>
    <s v="STL"/>
    <s v="YES"/>
    <s v="TBD"/>
    <d v="2024-10-09T00:00:00"/>
    <x v="19"/>
    <m/>
    <m/>
    <m/>
    <m/>
    <m/>
    <m/>
    <m/>
    <m/>
    <m/>
    <m/>
    <m/>
  </r>
  <r>
    <n v="2111"/>
    <n v="173318"/>
    <s v="P"/>
    <s v="Capitalized"/>
    <s v="Peterbilt 320/Wayne Curbtender ASL"/>
    <m/>
    <m/>
    <n v="1"/>
    <s v="3BPZL70X2GF107180"/>
    <n v="2016"/>
    <m/>
    <m/>
    <s v="TRUCKS AND TRAILERS"/>
    <s v="TBA"/>
    <s v="Automated Side Loader"/>
    <m/>
    <m/>
    <d v="2016-03-31T00:00:00"/>
    <d v="2016-03-31T00:00:00"/>
    <s v="2131-16-0008-1"/>
    <n v="1000"/>
    <n v="14040"/>
    <n v="326844.58"/>
    <n v="14046"/>
    <n v="277817.86"/>
    <n v="49026.72000000003"/>
    <n v="24513.3"/>
    <n v="51260"/>
    <n v="2723.7"/>
    <s v="P"/>
    <m/>
    <n v="836"/>
    <s v=" "/>
    <s v="STL"/>
    <s v="YES"/>
    <s v="TBD"/>
    <d v="2024-10-09T00:00:00"/>
    <x v="19"/>
    <m/>
    <m/>
    <m/>
    <m/>
    <m/>
    <m/>
    <m/>
    <m/>
    <m/>
    <m/>
    <m/>
  </r>
  <r>
    <n v="2111"/>
    <n v="173317"/>
    <s v="P"/>
    <s v="Capitalized"/>
    <s v="Engine In Frame Repair"/>
    <m/>
    <m/>
    <n v="1"/>
    <m/>
    <n v="0"/>
    <s v="KENWORTH NORTHWEST INC"/>
    <m/>
    <s v="TRUCKS AND TRAILERS"/>
    <s v="TBA"/>
    <s v="Non-Rolling Stock"/>
    <m/>
    <m/>
    <d v="2016-03-31T00:00:00"/>
    <d v="2016-03-31T00:00:00"/>
    <s v="2131-16-0009-1"/>
    <n v="300"/>
    <n v="14040"/>
    <n v="24214.62"/>
    <n v="14046"/>
    <n v="24214.62"/>
    <n v="0"/>
    <n v="0"/>
    <n v="51260"/>
    <n v="0"/>
    <s v="P"/>
    <m/>
    <m/>
    <s v=" "/>
    <s v="STL"/>
    <s v="YES"/>
    <s v="TBD"/>
    <d v="2024-10-09T00:00:00"/>
    <x v="19"/>
    <m/>
    <m/>
    <m/>
    <m/>
    <m/>
    <m/>
    <m/>
    <m/>
    <m/>
    <m/>
    <m/>
  </r>
  <r>
    <n v="2111"/>
    <n v="173316"/>
    <s v="P"/>
    <s v="Capitalized"/>
    <s v="96 Gal Yard Waste Carts"/>
    <m/>
    <m/>
    <n v="624"/>
    <m/>
    <n v="0"/>
    <s v="Toter"/>
    <m/>
    <s v="CONTAINERS"/>
    <s v="TBA"/>
    <m/>
    <m/>
    <m/>
    <d v="2016-01-13T00:00:00"/>
    <d v="2016-01-13T00:00:00"/>
    <s v="2131-16-0010-1"/>
    <n v="700"/>
    <n v="14050"/>
    <n v="31910.84"/>
    <n v="14056"/>
    <n v="31910.84"/>
    <n v="0"/>
    <n v="0"/>
    <n v="54260"/>
    <n v="0"/>
    <s v="P"/>
    <m/>
    <m/>
    <s v=" "/>
    <s v="STL"/>
    <s v="YES"/>
    <s v="TBD"/>
    <d v="2024-10-09T00:00:00"/>
    <x v="19"/>
    <m/>
    <m/>
    <m/>
    <m/>
    <m/>
    <m/>
    <m/>
    <m/>
    <m/>
    <m/>
    <m/>
  </r>
  <r>
    <n v="2111"/>
    <n v="173315"/>
    <s v="P"/>
    <s v="Capitalized"/>
    <s v="4 YD FEL Containers"/>
    <m/>
    <m/>
    <n v="4"/>
    <m/>
    <n v="0"/>
    <s v="CAPITAL INDUSTRIES, INC."/>
    <m/>
    <s v="CONTAINERS"/>
    <s v="TBA"/>
    <m/>
    <s v="4 YD"/>
    <s v="FEL/REL/SL Metal"/>
    <d v="2013-06-24T00:00:00"/>
    <d v="2013-06-24T00:00:00"/>
    <s v="2160-13-0007-1"/>
    <n v="1200"/>
    <n v="14050"/>
    <n v="2713.12"/>
    <n v="14056"/>
    <n v="2543.5100000000002"/>
    <n v="169.60999999999967"/>
    <n v="169.56"/>
    <n v="54260"/>
    <n v="18.84"/>
    <s v="P"/>
    <m/>
    <m/>
    <s v=" "/>
    <s v="STL"/>
    <s v="YES"/>
    <s v="TBD"/>
    <d v="2024-10-09T00:00:00"/>
    <x v="19"/>
    <m/>
    <m/>
    <m/>
    <m/>
    <m/>
    <m/>
    <m/>
    <m/>
    <m/>
    <m/>
    <m/>
  </r>
  <r>
    <n v="2111"/>
    <n v="173314"/>
    <s v="P"/>
    <s v="Capitalized"/>
    <s v="96 Gallon Yard Waste Carts"/>
    <m/>
    <m/>
    <n v="333"/>
    <m/>
    <n v="0"/>
    <s v="REHRIG PACIFIC COMPANY"/>
    <m/>
    <s v="CONTAINERS"/>
    <s v="TBA"/>
    <m/>
    <m/>
    <m/>
    <d v="2015-11-23T00:00:00"/>
    <d v="2015-11-23T00:00:00"/>
    <s v="2131-15-0007-1"/>
    <n v="700"/>
    <n v="14050"/>
    <n v="19105.13"/>
    <n v="14056"/>
    <n v="19105.13"/>
    <n v="0"/>
    <n v="0"/>
    <n v="54260"/>
    <n v="0"/>
    <s v="P"/>
    <m/>
    <m/>
    <s v=" "/>
    <s v="STL"/>
    <s v="YES"/>
    <s v="TBD"/>
    <d v="2024-10-09T00:00:00"/>
    <x v="19"/>
    <m/>
    <m/>
    <m/>
    <m/>
    <m/>
    <m/>
    <m/>
    <m/>
    <m/>
    <m/>
    <m/>
  </r>
  <r>
    <n v="2111"/>
    <n v="173313"/>
    <n v="173079"/>
    <s v="Capitalized"/>
    <s v="New Cart Tipper on Truck 153"/>
    <m/>
    <m/>
    <n v="1"/>
    <m/>
    <n v="0"/>
    <s v="SOLID WASTE SYSTEMS INC"/>
    <m/>
    <s v="TRUCKS AND TRAILERS"/>
    <s v="TBA"/>
    <s v="Non-Rolling Stock"/>
    <m/>
    <m/>
    <d v="2015-10-28T00:00:00"/>
    <d v="2015-10-28T00:00:00"/>
    <s v="2131-15-0003-1"/>
    <n v="300"/>
    <n v="14040"/>
    <n v="7490.62"/>
    <n v="14046"/>
    <n v="7490.62"/>
    <n v="0"/>
    <n v="0"/>
    <n v="51260"/>
    <n v="0"/>
    <s v="P"/>
    <m/>
    <m/>
    <s v=" "/>
    <s v="STL"/>
    <s v="YES"/>
    <s v="TBD"/>
    <d v="2024-10-09T00:00:00"/>
    <x v="19"/>
    <m/>
    <m/>
    <m/>
    <m/>
    <m/>
    <m/>
    <m/>
    <m/>
    <m/>
    <m/>
    <m/>
  </r>
  <r>
    <n v="2111"/>
    <n v="173311"/>
    <s v="P"/>
    <s v="Capitalized"/>
    <s v="1 Yard REL Container"/>
    <m/>
    <m/>
    <n v="30"/>
    <m/>
    <n v="0"/>
    <s v="CAPITAL INDUSTRIES INC"/>
    <m/>
    <s v="CONTAINERS"/>
    <s v="TBA"/>
    <m/>
    <s v="1 YD"/>
    <s v="FEL/REL/SL Metal"/>
    <d v="2015-06-22T00:00:00"/>
    <d v="2015-06-22T00:00:00"/>
    <s v="2160-15-0010-1"/>
    <n v="1200"/>
    <n v="14050"/>
    <n v="14342.34"/>
    <n v="14056"/>
    <n v="11055.6"/>
    <n v="3286.74"/>
    <n v="896.4"/>
    <n v="54260"/>
    <n v="99.6"/>
    <s v="P"/>
    <m/>
    <m/>
    <s v=" "/>
    <s v="STL"/>
    <s v="YES"/>
    <s v="TBD"/>
    <d v="2024-10-09T00:00:00"/>
    <x v="19"/>
    <m/>
    <m/>
    <m/>
    <m/>
    <m/>
    <m/>
    <m/>
    <m/>
    <m/>
    <m/>
    <m/>
  </r>
  <r>
    <n v="2111"/>
    <n v="173310"/>
    <s v="P"/>
    <s v="Capitalized"/>
    <s v="96 Gallon Yard Waste Cart"/>
    <m/>
    <m/>
    <n v="486"/>
    <m/>
    <n v="0"/>
    <s v="REHRIG PACIFIC COMPANY"/>
    <m/>
    <s v="CONTAINERS"/>
    <s v="TBA"/>
    <m/>
    <m/>
    <m/>
    <d v="2015-04-22T00:00:00"/>
    <d v="2015-04-22T00:00:00"/>
    <s v="2131-15-0006-1"/>
    <n v="700"/>
    <n v="14050"/>
    <n v="26191.29"/>
    <n v="14056"/>
    <n v="26191.29"/>
    <n v="0"/>
    <n v="0"/>
    <n v="54260"/>
    <n v="0"/>
    <s v="P"/>
    <m/>
    <m/>
    <s v=" "/>
    <s v="STL"/>
    <s v="YES"/>
    <s v="TBD"/>
    <d v="2024-10-09T00:00:00"/>
    <x v="19"/>
    <m/>
    <m/>
    <m/>
    <m/>
    <m/>
    <m/>
    <m/>
    <m/>
    <m/>
    <m/>
    <m/>
  </r>
  <r>
    <n v="2111"/>
    <n v="173309"/>
    <s v="P"/>
    <s v="Capitalized"/>
    <s v="96 Gallon Yard Waste Carts"/>
    <m/>
    <m/>
    <n v="348"/>
    <m/>
    <n v="0"/>
    <s v="REHRIG PACIFIC COMPANY"/>
    <m/>
    <s v="CONTAINERS"/>
    <s v="TBA"/>
    <m/>
    <m/>
    <m/>
    <d v="2015-04-22T00:00:00"/>
    <d v="2015-04-22T00:00:00"/>
    <s v="2131-15-0006-1"/>
    <n v="700"/>
    <n v="14050"/>
    <n v="19406.59"/>
    <n v="14056"/>
    <n v="19406.59"/>
    <n v="0"/>
    <n v="0"/>
    <n v="54260"/>
    <n v="0"/>
    <s v="P"/>
    <m/>
    <m/>
    <s v=" "/>
    <s v="STL"/>
    <s v="YES"/>
    <s v="TBD"/>
    <d v="2024-10-09T00:00:00"/>
    <x v="19"/>
    <m/>
    <m/>
    <m/>
    <m/>
    <m/>
    <m/>
    <m/>
    <m/>
    <m/>
    <m/>
    <m/>
  </r>
  <r>
    <n v="2111"/>
    <n v="173308"/>
    <s v="P"/>
    <s v="Capitalized"/>
    <s v="Peterbilt 320/Wayne Curbtender ASL"/>
    <m/>
    <m/>
    <n v="1"/>
    <s v="3BPZL70X4GF100327"/>
    <n v="2016"/>
    <m/>
    <m/>
    <s v="TRUCKS AND TRAILERS"/>
    <s v="TBA"/>
    <s v="Automated Side Loader"/>
    <m/>
    <m/>
    <d v="2015-05-31T00:00:00"/>
    <d v="2015-05-31T00:00:00"/>
    <s v="2131-15-0002-1"/>
    <n v="1000"/>
    <n v="14040"/>
    <n v="326336.78000000003"/>
    <n v="14046"/>
    <n v="304580.98"/>
    <n v="21755.800000000047"/>
    <n v="24475.23"/>
    <n v="51260"/>
    <n v="2719.47"/>
    <s v="P"/>
    <m/>
    <n v="832"/>
    <s v=" "/>
    <s v="STL"/>
    <s v="YES"/>
    <s v="TBD"/>
    <d v="2024-10-09T00:00:00"/>
    <x v="19"/>
    <m/>
    <m/>
    <m/>
    <m/>
    <m/>
    <m/>
    <m/>
    <m/>
    <m/>
    <m/>
    <m/>
  </r>
  <r>
    <n v="2111"/>
    <n v="173307"/>
    <s v="P"/>
    <s v="Capitalized"/>
    <s v="Peterbilt 320/Wayne Curbtender ASL"/>
    <m/>
    <m/>
    <n v="1"/>
    <s v="3BPZL70X2FF265842"/>
    <n v="2015"/>
    <m/>
    <s v="Peterbilt"/>
    <s v="TRUCKS AND TRAILERS"/>
    <s v="TBA"/>
    <s v="Automated Side Loader"/>
    <m/>
    <m/>
    <d v="2014-10-30T00:00:00"/>
    <d v="2014-10-30T00:00:00"/>
    <s v="2131-14-0001-1"/>
    <n v="1000"/>
    <n v="14040"/>
    <n v="305787.71000000002"/>
    <n v="14046"/>
    <n v="305787.71000000002"/>
    <n v="0"/>
    <n v="8118.27"/>
    <n v="51260"/>
    <n v="0"/>
    <s v="P"/>
    <m/>
    <n v="829"/>
    <s v=" "/>
    <s v="STL"/>
    <s v="YES"/>
    <s v="TBD"/>
    <d v="2024-10-09T00:00:00"/>
    <x v="19"/>
    <m/>
    <m/>
    <m/>
    <m/>
    <m/>
    <m/>
    <m/>
    <m/>
    <m/>
    <m/>
    <m/>
  </r>
  <r>
    <n v="2111"/>
    <n v="173306"/>
    <n v="173166"/>
    <s v="Capitalized"/>
    <s v="Cap Repair - Transmission - T#609"/>
    <m/>
    <m/>
    <n v="1"/>
    <m/>
    <n v="0"/>
    <s v="U.S. Transmissions"/>
    <m/>
    <s v="TRUCKS AND TRAILERS"/>
    <s v="TBA"/>
    <s v="Non-Rolling Stock"/>
    <m/>
    <m/>
    <d v="2014-08-01T00:00:00"/>
    <d v="2014-08-01T00:00:00"/>
    <s v="2131-14-0008-1"/>
    <n v="300"/>
    <n v="14040"/>
    <n v="5046.9399999999996"/>
    <n v="14046"/>
    <n v="5046.9399999999996"/>
    <n v="0"/>
    <n v="0"/>
    <n v="51260"/>
    <n v="0"/>
    <s v="P"/>
    <m/>
    <m/>
    <s v=" "/>
    <s v="STL"/>
    <s v="YES"/>
    <s v="TBD"/>
    <d v="2024-10-09T00:00:00"/>
    <x v="19"/>
    <m/>
    <m/>
    <m/>
    <m/>
    <m/>
    <m/>
    <m/>
    <m/>
    <m/>
    <m/>
    <m/>
  </r>
  <r>
    <n v="2111"/>
    <n v="173305"/>
    <s v="P"/>
    <s v="Capitalized"/>
    <s v="Cap Repair - Engine - Truck 612"/>
    <m/>
    <m/>
    <n v="1"/>
    <m/>
    <n v="0"/>
    <s v="Kenworth Northwest"/>
    <m/>
    <s v="TRUCKS AND TRAILERS"/>
    <s v="TBA"/>
    <s v="Non-Rolling Stock"/>
    <m/>
    <m/>
    <d v="2014-07-31T00:00:00"/>
    <d v="2014-07-31T00:00:00"/>
    <s v="2131-14-0003-1"/>
    <n v="300"/>
    <n v="14040"/>
    <n v="18555.36"/>
    <n v="14046"/>
    <n v="18555.36"/>
    <n v="0"/>
    <n v="0"/>
    <n v="51260"/>
    <n v="0"/>
    <s v="P"/>
    <m/>
    <m/>
    <s v=" "/>
    <s v="STL"/>
    <s v="YES"/>
    <s v="TBD"/>
    <d v="2024-10-09T00:00:00"/>
    <x v="19"/>
    <m/>
    <m/>
    <m/>
    <m/>
    <m/>
    <m/>
    <m/>
    <m/>
    <m/>
    <m/>
    <m/>
  </r>
  <r>
    <n v="2111"/>
    <n v="173304"/>
    <s v="P"/>
    <s v="Capitalized"/>
    <s v="20 yd containers preacquisition"/>
    <m/>
    <m/>
    <n v="4"/>
    <m/>
    <n v="0"/>
    <m/>
    <m/>
    <s v="CONTAINERS"/>
    <s v="TBA"/>
    <m/>
    <s v="20 YD"/>
    <s v="RO Box"/>
    <d v="1994-08-30T00:00:00"/>
    <d v="1994-08-30T00:00:00"/>
    <m/>
    <n v="1200"/>
    <n v="14050"/>
    <n v="828.69"/>
    <n v="14056"/>
    <n v="828.69"/>
    <n v="0"/>
    <n v="0"/>
    <n v="54260"/>
    <n v="0"/>
    <s v="A"/>
    <s v="DM Disposal"/>
    <s v="NA"/>
    <s v=" "/>
    <s v="STL"/>
    <s v="YES"/>
    <s v="TBD"/>
    <d v="2024-10-09T00:00:00"/>
    <x v="19"/>
    <m/>
    <m/>
    <m/>
    <m/>
    <m/>
    <m/>
    <m/>
    <m/>
    <m/>
    <m/>
    <m/>
  </r>
  <r>
    <n v="2111"/>
    <n v="173303"/>
    <s v="P"/>
    <s v="Capitalized"/>
    <s v="96 Gal Plastic Carts"/>
    <m/>
    <m/>
    <n v="486"/>
    <m/>
    <n v="0"/>
    <s v="REHRIG PACIFIC COMPANY"/>
    <m/>
    <s v="CONTAINERS"/>
    <s v="TBA"/>
    <m/>
    <m/>
    <m/>
    <d v="2014-05-10T00:00:00"/>
    <d v="2014-05-10T00:00:00"/>
    <s v="2131-14-0006-1"/>
    <n v="700"/>
    <n v="14050"/>
    <n v="28330.85"/>
    <n v="14056"/>
    <n v="28330.85"/>
    <n v="0"/>
    <n v="0"/>
    <n v="54260"/>
    <n v="0"/>
    <s v="P"/>
    <m/>
    <m/>
    <s v=" "/>
    <s v="STL"/>
    <s v="YES"/>
    <s v="TBD"/>
    <d v="2024-10-09T00:00:00"/>
    <x v="19"/>
    <m/>
    <m/>
    <m/>
    <m/>
    <m/>
    <m/>
    <m/>
    <m/>
    <m/>
    <m/>
    <m/>
  </r>
  <r>
    <n v="2111"/>
    <n v="173302"/>
    <s v="P"/>
    <s v="Capitalized"/>
    <s v="95 Gal Carts"/>
    <m/>
    <m/>
    <n v="243"/>
    <m/>
    <n v="0"/>
    <s v="REHRIG PACIFIC COMPANY"/>
    <m/>
    <s v="CONTAINERS"/>
    <s v="TBA"/>
    <m/>
    <m/>
    <m/>
    <d v="2014-04-16T00:00:00"/>
    <d v="2014-04-16T00:00:00"/>
    <s v="2131-14-0007-1"/>
    <n v="700"/>
    <n v="14050"/>
    <n v="13865.54"/>
    <n v="14056"/>
    <n v="13865.54"/>
    <n v="0"/>
    <n v="0"/>
    <n v="54260"/>
    <n v="0"/>
    <s v="P"/>
    <m/>
    <m/>
    <s v=" "/>
    <s v="STL"/>
    <s v="YES"/>
    <s v="TBD"/>
    <d v="2024-10-09T00:00:00"/>
    <x v="19"/>
    <m/>
    <m/>
    <m/>
    <m/>
    <m/>
    <m/>
    <m/>
    <m/>
    <m/>
    <m/>
    <m/>
  </r>
  <r>
    <n v="2111"/>
    <n v="173301"/>
    <s v="P"/>
    <s v="Capitalized"/>
    <s v="96 Gal Carts"/>
    <m/>
    <m/>
    <n v="243"/>
    <m/>
    <n v="0"/>
    <s v="REHRIG PACIFIC COMPANY"/>
    <m/>
    <s v="CONTAINERS"/>
    <s v="TBA"/>
    <m/>
    <m/>
    <m/>
    <d v="2014-04-16T00:00:00"/>
    <d v="2014-04-16T00:00:00"/>
    <s v="2131-14-0007-1"/>
    <n v="700"/>
    <n v="14050"/>
    <n v="14367.99"/>
    <n v="14056"/>
    <n v="14367.99"/>
    <n v="0"/>
    <n v="0"/>
    <n v="54260"/>
    <n v="0"/>
    <s v="P"/>
    <m/>
    <m/>
    <s v=" "/>
    <s v="STL"/>
    <s v="YES"/>
    <s v="TBD"/>
    <d v="2024-10-09T00:00:00"/>
    <x v="19"/>
    <m/>
    <m/>
    <m/>
    <m/>
    <m/>
    <m/>
    <m/>
    <m/>
    <m/>
    <m/>
    <m/>
  </r>
  <r>
    <n v="2111"/>
    <n v="173300"/>
    <s v="P"/>
    <s v="Capitalized"/>
    <s v="Peterbilt 320/Wayne Curbtender ASL"/>
    <m/>
    <m/>
    <n v="1"/>
    <s v="3BPZL70X0EF223331"/>
    <n v="2014"/>
    <s v="Solid Waste Systems"/>
    <s v="Peterbilt"/>
    <s v="TRUCKS AND TRAILERS"/>
    <s v="TBA"/>
    <s v="Automated Side Loader"/>
    <m/>
    <m/>
    <d v="2014-01-01T00:00:00"/>
    <d v="2014-01-01T00:00:00"/>
    <s v="2131-13-0001-1"/>
    <n v="911"/>
    <n v="14040"/>
    <n v="319176.65000000002"/>
    <n v="14046"/>
    <n v="319176.65000000002"/>
    <n v="0"/>
    <n v="0"/>
    <n v="51260"/>
    <n v="0"/>
    <s v="P"/>
    <m/>
    <n v="823"/>
    <s v=" "/>
    <s v="STL"/>
    <s v="YES"/>
    <s v="TBD"/>
    <d v="2024-10-09T00:00:00"/>
    <x v="19"/>
    <m/>
    <m/>
    <m/>
    <m/>
    <m/>
    <m/>
    <m/>
    <m/>
    <m/>
    <m/>
    <m/>
  </r>
  <r>
    <n v="2111"/>
    <n v="173297"/>
    <s v="P"/>
    <s v="Capitalized"/>
    <s v="96 Gallon Recycle Carts"/>
    <m/>
    <m/>
    <n v="486"/>
    <m/>
    <n v="0"/>
    <s v="REHRIG PACIFIC COMPANY"/>
    <m/>
    <s v="CONTAINERS"/>
    <s v="TBA"/>
    <m/>
    <m/>
    <m/>
    <d v="2013-08-12T00:00:00"/>
    <d v="2013-08-12T00:00:00"/>
    <s v="2131-13-0004-1"/>
    <n v="700"/>
    <n v="14050"/>
    <n v="26316.799999999999"/>
    <n v="14056"/>
    <n v="26316.799999999999"/>
    <n v="0"/>
    <n v="0"/>
    <n v="54260"/>
    <n v="0"/>
    <s v="P"/>
    <m/>
    <m/>
    <s v=" "/>
    <s v="STL"/>
    <s v="YES"/>
    <s v="TBD"/>
    <d v="2024-10-09T00:00:00"/>
    <x v="19"/>
    <m/>
    <m/>
    <m/>
    <m/>
    <m/>
    <m/>
    <m/>
    <m/>
    <m/>
    <m/>
    <m/>
  </r>
  <r>
    <n v="2111"/>
    <n v="173296"/>
    <s v="P"/>
    <s v="Capitalized"/>
    <s v="New 2013 Peterbilt 320 W/ New Way Body - REL"/>
    <m/>
    <m/>
    <n v="1"/>
    <s v="3BPZL70X1DF184327"/>
    <n v="2013"/>
    <s v="Peterbilt 320"/>
    <s v="New Way"/>
    <s v="TRUCKS AND TRAILERS"/>
    <s v="TBA"/>
    <s v="Rear Loader"/>
    <m/>
    <m/>
    <d v="2012-12-31T00:00:00"/>
    <d v="2012-12-31T00:00:00"/>
    <s v="2111-12-0002-1"/>
    <n v="1000"/>
    <n v="14040"/>
    <n v="249953.17"/>
    <n v="14046"/>
    <n v="249953.17"/>
    <n v="0"/>
    <n v="0"/>
    <n v="51260"/>
    <n v="0"/>
    <s v="P"/>
    <m/>
    <n v="628"/>
    <s v=" "/>
    <s v="STL"/>
    <s v="YES"/>
    <s v="TBD"/>
    <d v="2024-10-09T00:00:00"/>
    <x v="19"/>
    <m/>
    <m/>
    <m/>
    <m/>
    <m/>
    <m/>
    <m/>
    <m/>
    <m/>
    <m/>
    <m/>
  </r>
  <r>
    <n v="2111"/>
    <n v="173294"/>
    <s v="P"/>
    <s v="Capitalized"/>
    <s v="New 2009 Ford Super Duty F-350 Tire Truck# 48"/>
    <m/>
    <m/>
    <n v="1"/>
    <s v="1FDWF34519EA33097"/>
    <n v="2009"/>
    <s v="Ford F350"/>
    <s v="Service Truck"/>
    <s v="TRUCKS AND TRAILERS"/>
    <s v="TBA"/>
    <s v="Service Truck"/>
    <m/>
    <m/>
    <d v="2010-03-01T00:00:00"/>
    <d v="2010-03-01T00:00:00"/>
    <s v="2111-10-0018-1"/>
    <n v="900"/>
    <n v="14040"/>
    <n v="33819"/>
    <n v="14046"/>
    <n v="33819"/>
    <n v="0"/>
    <n v="0"/>
    <n v="51260"/>
    <n v="0"/>
    <s v="P"/>
    <m/>
    <n v="48"/>
    <s v=" "/>
    <s v="STL"/>
    <s v="YES"/>
    <s v="TBD"/>
    <d v="2024-10-09T00:00:00"/>
    <x v="19"/>
    <m/>
    <m/>
    <m/>
    <m/>
    <m/>
    <m/>
    <m/>
    <m/>
    <m/>
    <m/>
    <m/>
  </r>
  <r>
    <n v="2111"/>
    <n v="173293"/>
    <s v="P"/>
    <s v="Capitalized"/>
    <s v="Auto Tarper for Truck #409"/>
    <m/>
    <m/>
    <n v="1"/>
    <m/>
    <n v="0"/>
    <m/>
    <m/>
    <s v="TRUCKS AND TRAILERS"/>
    <s v="TBA"/>
    <s v="Non-Rolling Stock "/>
    <m/>
    <m/>
    <d v="2009-01-01T00:00:00"/>
    <d v="2009-01-01T00:00:00"/>
    <s v="2131-8-0002"/>
    <n v="300"/>
    <n v="14040"/>
    <n v="6818.83"/>
    <n v="14046"/>
    <n v="6818.83"/>
    <n v="0"/>
    <n v="0"/>
    <n v="51260"/>
    <n v="0"/>
    <s v="P"/>
    <m/>
    <n v="409"/>
    <s v=" "/>
    <s v="STL"/>
    <s v="YES"/>
    <s v="TBD"/>
    <d v="2024-10-09T00:00:00"/>
    <x v="19"/>
    <m/>
    <m/>
    <m/>
    <m/>
    <m/>
    <m/>
    <m/>
    <m/>
    <m/>
    <m/>
    <m/>
  </r>
  <r>
    <n v="2111"/>
    <n v="173292"/>
    <s v="P"/>
    <s v="Capitalized"/>
    <s v="Cascon Powerlift Roll Off-2005 Peterbilt 330 Truck"/>
    <m/>
    <m/>
    <n v="1"/>
    <s v="CCPG-240-442"/>
    <n v="2005"/>
    <m/>
    <m/>
    <s v="TRUCKS AND TRAILERS"/>
    <s v="TBA"/>
    <s v="Non-Rolling Stock"/>
    <m/>
    <m/>
    <d v="2004-07-20T00:00:00"/>
    <d v="2004-07-20T00:00:00"/>
    <n v="42111007"/>
    <n v="1000"/>
    <n v="14040"/>
    <n v="32990.49"/>
    <n v="14046"/>
    <n v="32990.49"/>
    <n v="0"/>
    <n v="0"/>
    <n v="51260"/>
    <n v="0"/>
    <s v="P"/>
    <n v="0"/>
    <m/>
    <s v=" "/>
    <s v="STL"/>
    <s v="YES"/>
    <s v="TBD"/>
    <d v="2024-10-09T00:00:00"/>
    <x v="19"/>
    <m/>
    <m/>
    <m/>
    <m/>
    <m/>
    <m/>
    <m/>
    <m/>
    <m/>
    <m/>
    <m/>
  </r>
  <r>
    <n v="2111"/>
    <n v="173291"/>
    <s v="P"/>
    <s v="Capitalized"/>
    <s v="2005 Peterbilt 330 Truck - Roll Off Chassis"/>
    <m/>
    <m/>
    <n v="1"/>
    <s v="2NPNLZ0X65M849860"/>
    <n v="2005"/>
    <s v="Peterbilt 330"/>
    <s v="Cascon"/>
    <s v="TRUCKS AND TRAILERS"/>
    <s v="TBA"/>
    <s v="Roll Off"/>
    <m/>
    <m/>
    <d v="2004-06-01T00:00:00"/>
    <d v="2004-06-01T00:00:00"/>
    <n v="42111007"/>
    <n v="1000"/>
    <n v="14040"/>
    <n v="86270.65"/>
    <n v="14046"/>
    <n v="86270.65"/>
    <n v="0"/>
    <n v="0"/>
    <n v="51260"/>
    <n v="0"/>
    <s v="P"/>
    <n v="0"/>
    <n v="409"/>
    <s v=" "/>
    <s v="STL"/>
    <s v="YES"/>
    <s v="TBD"/>
    <d v="2024-10-09T00:00:00"/>
    <x v="19"/>
    <m/>
    <m/>
    <m/>
    <m/>
    <m/>
    <m/>
    <m/>
    <m/>
    <m/>
    <m/>
    <m/>
  </r>
  <r>
    <n v="2111"/>
    <n v="173290"/>
    <s v="P"/>
    <s v="Capitalized"/>
    <s v="New 2013 Peterbilt 320 w/ New Way Cobra Body"/>
    <m/>
    <m/>
    <n v="1"/>
    <s v="3BPZL70X5DF184329"/>
    <n v="2013"/>
    <s v="Peterbilt 320"/>
    <s v="New Way"/>
    <s v="TRUCKS AND TRAILERS"/>
    <s v="TBA"/>
    <s v="Rear Loader"/>
    <m/>
    <m/>
    <d v="2012-11-15T00:00:00"/>
    <d v="2012-11-15T00:00:00"/>
    <s v="2131-12-0002-1"/>
    <n v="1000"/>
    <n v="14040"/>
    <n v="249751.74"/>
    <n v="14046"/>
    <n v="249751.74"/>
    <n v="0"/>
    <n v="0"/>
    <n v="51260"/>
    <n v="0"/>
    <s v="P"/>
    <m/>
    <n v="629"/>
    <s v=" "/>
    <s v="STL"/>
    <s v="YES"/>
    <s v="TBD"/>
    <d v="2024-10-09T00:00:00"/>
    <x v="19"/>
    <m/>
    <m/>
    <m/>
    <m/>
    <m/>
    <m/>
    <m/>
    <m/>
    <m/>
    <m/>
    <m/>
  </r>
  <r>
    <n v="2111"/>
    <n v="173289"/>
    <s v="P"/>
    <s v="Capitalized"/>
    <s v="95 Gallon  Carts - Dark Navy Blue"/>
    <m/>
    <m/>
    <n v="486"/>
    <m/>
    <n v="0"/>
    <s v="REHRIG PACIFIC COMPANY"/>
    <m/>
    <s v="CONTAINERS"/>
    <s v="TBA"/>
    <m/>
    <m/>
    <m/>
    <d v="2012-09-25T00:00:00"/>
    <d v="2012-09-25T00:00:00"/>
    <s v="2131-12-0005-1"/>
    <n v="700"/>
    <n v="14050"/>
    <n v="25116.76"/>
    <n v="14056"/>
    <n v="25116.76"/>
    <n v="0"/>
    <n v="0"/>
    <n v="54260"/>
    <n v="0"/>
    <s v="P"/>
    <m/>
    <m/>
    <s v=" "/>
    <s v="STL"/>
    <s v="YES"/>
    <s v="TBD"/>
    <d v="2024-10-09T00:00:00"/>
    <x v="19"/>
    <m/>
    <m/>
    <m/>
    <m/>
    <m/>
    <m/>
    <m/>
    <m/>
    <m/>
    <m/>
    <m/>
  </r>
  <r>
    <n v="2111"/>
    <n v="173288"/>
    <s v="P"/>
    <s v="Capitalized"/>
    <s v="Used 2010 Ford F150 White Pickup"/>
    <m/>
    <m/>
    <n v="1"/>
    <s v="1FTEW1E83AFC11183"/>
    <n v="2010"/>
    <s v="FORD F-150"/>
    <s v="Pickup"/>
    <s v="TRUCKS AND TRAILERS"/>
    <s v="TBA"/>
    <s v="Pickup Truck"/>
    <m/>
    <m/>
    <d v="2012-05-01T00:00:00"/>
    <d v="2012-05-01T00:00:00"/>
    <s v="2131-12-0008-1"/>
    <n v="300"/>
    <n v="14040"/>
    <n v="26700"/>
    <n v="14046"/>
    <n v="26700"/>
    <n v="0"/>
    <n v="0"/>
    <n v="51260"/>
    <n v="0"/>
    <s v="P"/>
    <m/>
    <n v="9"/>
    <s v=" "/>
    <s v="STL"/>
    <s v="YES"/>
    <s v="TBD"/>
    <d v="2024-10-09T00:00:00"/>
    <x v="19"/>
    <m/>
    <m/>
    <m/>
    <m/>
    <m/>
    <m/>
    <m/>
    <m/>
    <m/>
    <m/>
    <m/>
  </r>
  <r>
    <n v="2111"/>
    <n v="173287"/>
    <s v="P"/>
    <s v="Capitalized"/>
    <s v="FEL Pre-Ordered DM Recycling"/>
    <m/>
    <m/>
    <n v="1"/>
    <s v="5VCDC6JF78H206219"/>
    <n v="2008"/>
    <m/>
    <m/>
    <s v="TRUCKS AND TRAILERS"/>
    <s v="TBA"/>
    <s v="Front Loader"/>
    <m/>
    <m/>
    <d v="2008-08-01T00:00:00"/>
    <d v="2008-08-01T00:00:00"/>
    <s v="2160-8-0004-1"/>
    <n v="900"/>
    <n v="14040"/>
    <n v="113448.07"/>
    <n v="14046"/>
    <n v="113448.07"/>
    <n v="0"/>
    <n v="0"/>
    <n v="51260"/>
    <n v="0"/>
    <s v="P"/>
    <m/>
    <m/>
    <s v=" "/>
    <s v="STL"/>
    <s v="YES"/>
    <s v="TBD"/>
    <d v="2024-10-09T00:00:00"/>
    <x v="19"/>
    <m/>
    <m/>
    <m/>
    <m/>
    <m/>
    <m/>
    <m/>
    <m/>
    <m/>
    <m/>
    <m/>
  </r>
  <r>
    <n v="2111"/>
    <n v="173286"/>
    <s v="P"/>
    <s v="Capitalized"/>
    <s v="4 - 20 ft Drive Cam extension cables"/>
    <m/>
    <m/>
    <n v="1"/>
    <m/>
    <n v="0"/>
    <s v="DriveCam"/>
    <m/>
    <s v="SHOP EQUIPMENT"/>
    <s v="TBA"/>
    <m/>
    <m/>
    <m/>
    <d v="2011-12-15T00:00:00"/>
    <d v="2011-12-15T00:00:00"/>
    <s v="2131-11-0009-1"/>
    <n v="500"/>
    <n v="14070"/>
    <n v="131.16"/>
    <n v="14076"/>
    <n v="131.16"/>
    <n v="0"/>
    <n v="0"/>
    <n v="51260"/>
    <n v="0"/>
    <s v="P"/>
    <m/>
    <m/>
    <s v=" "/>
    <s v="STL"/>
    <s v="YES"/>
    <s v="TBD"/>
    <d v="2024-10-09T00:00:00"/>
    <x v="19"/>
    <m/>
    <m/>
    <m/>
    <m/>
    <m/>
    <m/>
    <m/>
    <m/>
    <m/>
    <m/>
    <m/>
  </r>
  <r>
    <n v="2111"/>
    <n v="173285"/>
    <s v="P"/>
    <s v="Capitalized"/>
    <s v="4 -  DriveCam video event recorders"/>
    <m/>
    <m/>
    <n v="1"/>
    <m/>
    <n v="0"/>
    <s v="DriveCam"/>
    <m/>
    <s v="SHOP EQUIPMENT"/>
    <s v="TBA"/>
    <m/>
    <m/>
    <m/>
    <d v="2011-12-15T00:00:00"/>
    <d v="2011-12-15T00:00:00"/>
    <s v="2131-11-0009-1"/>
    <n v="500"/>
    <n v="14070"/>
    <n v="2437.25"/>
    <n v="14076"/>
    <n v="2437.25"/>
    <n v="0"/>
    <n v="0"/>
    <n v="51260"/>
    <n v="0"/>
    <s v="P"/>
    <m/>
    <m/>
    <s v=" "/>
    <s v="STL"/>
    <s v="YES"/>
    <s v="TBD"/>
    <d v="2024-10-09T00:00:00"/>
    <x v="19"/>
    <m/>
    <m/>
    <m/>
    <m/>
    <m/>
    <m/>
    <m/>
    <m/>
    <m/>
    <m/>
    <m/>
  </r>
  <r>
    <n v="2111"/>
    <n v="173284"/>
    <s v="P"/>
    <s v="Capitalized"/>
    <s v="New 2012 Isuzu NRR Chassis"/>
    <m/>
    <m/>
    <n v="1"/>
    <s v="JALE5W16XC7300409"/>
    <n v="2012"/>
    <s v="Isuzu NRR"/>
    <m/>
    <s v="TRUCKS AND TRAILERS"/>
    <s v="TBA"/>
    <s v="Retriever"/>
    <m/>
    <m/>
    <d v="2011-12-31T00:00:00"/>
    <d v="2011-12-31T00:00:00"/>
    <s v="2131-11-0002-1"/>
    <n v="700"/>
    <n v="14040"/>
    <n v="105733.19"/>
    <n v="14046"/>
    <n v="105733.19"/>
    <n v="0"/>
    <n v="0"/>
    <n v="51260"/>
    <n v="0"/>
    <s v="P"/>
    <m/>
    <n v="139"/>
    <s v=" "/>
    <s v="STL"/>
    <s v="YES"/>
    <s v="TBD"/>
    <d v="2024-10-09T00:00:00"/>
    <x v="19"/>
    <m/>
    <m/>
    <m/>
    <m/>
    <m/>
    <m/>
    <m/>
    <m/>
    <m/>
    <m/>
    <m/>
  </r>
  <r>
    <n v="2111"/>
    <n v="173283"/>
    <s v="P"/>
    <s v="Capitalized"/>
    <s v="96-Gal Comingle Carts"/>
    <m/>
    <m/>
    <n v="624"/>
    <m/>
    <n v="0"/>
    <s v="TOTER INCORPORATED"/>
    <m/>
    <s v="CONTAINERS"/>
    <s v="TBA"/>
    <m/>
    <m/>
    <m/>
    <d v="2011-04-30T00:00:00"/>
    <d v="2011-04-30T00:00:00"/>
    <s v="2131-11-0004-1"/>
    <n v="700"/>
    <n v="14050"/>
    <n v="32802.68"/>
    <n v="14056"/>
    <n v="32802.68"/>
    <n v="0"/>
    <n v="0"/>
    <n v="54260"/>
    <n v="0"/>
    <s v="P"/>
    <m/>
    <m/>
    <s v=" "/>
    <s v="STL"/>
    <s v="YES"/>
    <s v="TBD"/>
    <d v="2024-10-09T00:00:00"/>
    <x v="19"/>
    <m/>
    <m/>
    <m/>
    <m/>
    <m/>
    <m/>
    <m/>
    <m/>
    <m/>
    <m/>
    <m/>
  </r>
  <r>
    <n v="2111"/>
    <n v="173282"/>
    <s v="P"/>
    <s v="Capitalized"/>
    <s v="96 Gallon YW Carts - Dark Gray"/>
    <m/>
    <m/>
    <n v="624"/>
    <m/>
    <n v="0"/>
    <s v="TOTER, INC."/>
    <m/>
    <s v="CONTAINERS"/>
    <s v="TBA"/>
    <m/>
    <m/>
    <m/>
    <d v="2011-04-11T00:00:00"/>
    <d v="2011-04-11T00:00:00"/>
    <s v="2131-11-0004-1"/>
    <n v="700"/>
    <n v="14050"/>
    <n v="32802.68"/>
    <n v="14056"/>
    <n v="32802.68"/>
    <n v="0"/>
    <n v="0"/>
    <n v="54260"/>
    <n v="0"/>
    <s v="P"/>
    <m/>
    <m/>
    <s v=" "/>
    <s v="STL"/>
    <s v="YES"/>
    <s v="TBD"/>
    <d v="2024-10-09T00:00:00"/>
    <x v="19"/>
    <m/>
    <m/>
    <m/>
    <m/>
    <m/>
    <m/>
    <m/>
    <m/>
    <m/>
    <m/>
    <m/>
  </r>
  <r>
    <n v="2111"/>
    <n v="173281"/>
    <s v="P"/>
    <s v="Capitalized"/>
    <s v="RouteManager Licenses for 2131 Murreys"/>
    <m/>
    <m/>
    <n v="1"/>
    <m/>
    <n v="0"/>
    <s v="DESERT MICRO"/>
    <m/>
    <s v="HARDWARE AND SOFTWARE"/>
    <s v="TBA"/>
    <m/>
    <m/>
    <m/>
    <d v="2010-12-15T00:00:00"/>
    <d v="2010-12-15T00:00:00"/>
    <s v="2131-10-0009-1"/>
    <n v="300"/>
    <n v="14110"/>
    <n v="875"/>
    <n v="14116"/>
    <n v="875"/>
    <n v="0"/>
    <n v="0"/>
    <n v="70260"/>
    <n v="0"/>
    <s v="P"/>
    <m/>
    <m/>
    <s v=" "/>
    <s v="STL"/>
    <s v="YES"/>
    <s v="TBD"/>
    <d v="2024-10-09T00:00:00"/>
    <x v="19"/>
    <m/>
    <m/>
    <m/>
    <m/>
    <m/>
    <m/>
    <m/>
    <m/>
    <m/>
    <m/>
    <m/>
  </r>
  <r>
    <n v="2111"/>
    <n v="173280"/>
    <s v="P"/>
    <s v="Capitalized"/>
    <s v="95 Gallon Recycle Carts"/>
    <m/>
    <m/>
    <n v="486"/>
    <m/>
    <n v="0"/>
    <s v="REHRIG PACIFIC COMPANY"/>
    <m/>
    <s v="CONTAINERS"/>
    <s v="TBA"/>
    <m/>
    <m/>
    <m/>
    <d v="2010-11-27T00:00:00"/>
    <d v="2010-11-27T00:00:00"/>
    <s v="2131-10-0001-1"/>
    <n v="700"/>
    <n v="14050"/>
    <n v="23340.85"/>
    <n v="14056"/>
    <n v="23340.85"/>
    <n v="0"/>
    <n v="0"/>
    <n v="54260"/>
    <n v="0"/>
    <s v="P"/>
    <m/>
    <m/>
    <s v=" "/>
    <s v="STL"/>
    <s v="YES"/>
    <s v="TBD"/>
    <d v="2024-10-09T00:00:00"/>
    <x v="19"/>
    <m/>
    <m/>
    <m/>
    <m/>
    <m/>
    <m/>
    <m/>
    <m/>
    <m/>
    <m/>
    <m/>
  </r>
  <r>
    <n v="2111"/>
    <n v="173279"/>
    <s v="P"/>
    <s v="Capitalized"/>
    <s v="95 Gallon Recycle Carts"/>
    <m/>
    <m/>
    <n v="486"/>
    <m/>
    <n v="0"/>
    <s v="REHRIG PACIFIC COMPANY"/>
    <m/>
    <s v="CONTAINERS"/>
    <s v="TBA"/>
    <m/>
    <m/>
    <m/>
    <d v="2010-11-27T00:00:00"/>
    <d v="2010-11-27T00:00:00"/>
    <s v="2131-10-0001-1"/>
    <n v="700"/>
    <n v="14050"/>
    <n v="23340.85"/>
    <n v="14056"/>
    <n v="23340.85"/>
    <n v="0"/>
    <n v="0"/>
    <n v="54260"/>
    <n v="0"/>
    <s v="P"/>
    <m/>
    <m/>
    <s v=" "/>
    <s v="STL"/>
    <s v="YES"/>
    <s v="TBD"/>
    <d v="2024-10-09T00:00:00"/>
    <x v="19"/>
    <m/>
    <m/>
    <m/>
    <m/>
    <m/>
    <m/>
    <m/>
    <m/>
    <m/>
    <m/>
    <m/>
  </r>
  <r>
    <n v="2111"/>
    <n v="173278"/>
    <s v="P"/>
    <s v="Capitalized"/>
    <s v="1.5 Yard REL Containers"/>
    <m/>
    <m/>
    <n v="9"/>
    <m/>
    <n v="0"/>
    <s v="CAPITAL INDUSTRIES, INC."/>
    <m/>
    <s v="CONTAINERS"/>
    <s v="TBA"/>
    <m/>
    <s v="1.5 YD"/>
    <s v="FEL/REL/SL Metal"/>
    <d v="2010-06-21T00:00:00"/>
    <d v="2010-06-21T00:00:00"/>
    <s v="2131-10-0004-1"/>
    <n v="1200"/>
    <n v="14050"/>
    <n v="4033.17"/>
    <n v="14056"/>
    <n v="4033.17"/>
    <n v="0"/>
    <n v="0"/>
    <n v="54260"/>
    <n v="0"/>
    <s v="P"/>
    <m/>
    <m/>
    <s v=" "/>
    <s v="STL"/>
    <s v="YES"/>
    <s v="TBD"/>
    <d v="2024-10-09T00:00:00"/>
    <x v="19"/>
    <m/>
    <m/>
    <m/>
    <m/>
    <m/>
    <m/>
    <m/>
    <m/>
    <m/>
    <m/>
    <m/>
  </r>
  <r>
    <n v="2111"/>
    <n v="173277"/>
    <s v="P"/>
    <s v="Capitalized"/>
    <s v="1 Yard REL Containers"/>
    <m/>
    <m/>
    <n v="10"/>
    <m/>
    <n v="0"/>
    <s v="CAPITAL INDUSTRIES, INC."/>
    <m/>
    <s v="CONTAINERS"/>
    <s v="TBA"/>
    <m/>
    <s v="1 YD"/>
    <s v="FEL/REL/SL Metal"/>
    <d v="2010-06-16T00:00:00"/>
    <d v="2010-06-16T00:00:00"/>
    <s v="2131-10-0005-1"/>
    <n v="1200"/>
    <n v="14050"/>
    <n v="4109.68"/>
    <n v="14056"/>
    <n v="4109.68"/>
    <n v="0"/>
    <n v="0"/>
    <n v="54260"/>
    <n v="0"/>
    <s v="P"/>
    <m/>
    <m/>
    <s v=" "/>
    <s v="STL"/>
    <s v="YES"/>
    <s v="TBD"/>
    <d v="2024-10-09T00:00:00"/>
    <x v="19"/>
    <m/>
    <m/>
    <m/>
    <m/>
    <m/>
    <m/>
    <m/>
    <m/>
    <m/>
    <m/>
    <m/>
  </r>
  <r>
    <n v="2111"/>
    <n v="173276"/>
    <s v="P"/>
    <s v="Capitalized"/>
    <s v="95 Gallon Blue Yardwaste Carts"/>
    <m/>
    <m/>
    <n v="486"/>
    <m/>
    <n v="0"/>
    <s v="REHRIG PACIFIC COMPANY"/>
    <m/>
    <s v="CONTAINERS"/>
    <s v="TBA"/>
    <m/>
    <m/>
    <m/>
    <d v="2010-07-11T00:00:00"/>
    <d v="2010-07-11T00:00:00"/>
    <s v="2131-10-0001-1"/>
    <n v="700"/>
    <n v="14050"/>
    <n v="24211.15"/>
    <n v="14056"/>
    <n v="24211.15"/>
    <n v="0"/>
    <n v="0"/>
    <n v="54260"/>
    <n v="0"/>
    <s v="P"/>
    <m/>
    <m/>
    <s v=" "/>
    <s v="STL"/>
    <s v="YES"/>
    <s v="TBD"/>
    <d v="2024-10-09T00:00:00"/>
    <x v="19"/>
    <m/>
    <m/>
    <m/>
    <m/>
    <m/>
    <m/>
    <m/>
    <m/>
    <m/>
    <m/>
    <m/>
  </r>
  <r>
    <n v="2111"/>
    <n v="173275"/>
    <s v="P"/>
    <s v="Capitalized"/>
    <s v="6 Yard FEL Cathedral Containers"/>
    <m/>
    <m/>
    <n v="6"/>
    <m/>
    <n v="0"/>
    <s v="CAPITAL INDUSTRIES, INC."/>
    <m/>
    <s v="CONTAINERS"/>
    <s v="TBA"/>
    <m/>
    <s v="6 YD"/>
    <s v="FEL/REL/SL Metal"/>
    <d v="2010-06-28T00:00:00"/>
    <d v="2010-06-28T00:00:00"/>
    <s v="2131-10-0002-1"/>
    <n v="1200"/>
    <n v="14050"/>
    <n v="5115.24"/>
    <n v="14056"/>
    <n v="5115.24"/>
    <n v="0"/>
    <n v="0"/>
    <n v="54260"/>
    <n v="0"/>
    <s v="P"/>
    <m/>
    <m/>
    <s v=" "/>
    <s v="STL"/>
    <s v="YES"/>
    <s v="TBD"/>
    <d v="2024-10-09T00:00:00"/>
    <x v="19"/>
    <m/>
    <m/>
    <m/>
    <m/>
    <m/>
    <m/>
    <m/>
    <m/>
    <m/>
    <m/>
    <m/>
  </r>
  <r>
    <n v="2111"/>
    <n v="173274"/>
    <s v="P"/>
    <s v="Capitalized"/>
    <s v="6 Yard FEL Cathedral Containers"/>
    <m/>
    <m/>
    <n v="10"/>
    <m/>
    <n v="0"/>
    <s v="CAPITAL INDUSTRIES, INC."/>
    <m/>
    <s v="CONTAINERS"/>
    <s v="TBA"/>
    <m/>
    <s v="6 YD"/>
    <s v="FEL/REL/SL Metal"/>
    <d v="2010-06-28T00:00:00"/>
    <d v="2010-06-28T00:00:00"/>
    <s v="2131-10-0002-1"/>
    <n v="1200"/>
    <n v="14050"/>
    <n v="8525.4"/>
    <n v="14056"/>
    <n v="8525.4"/>
    <n v="0"/>
    <n v="0"/>
    <n v="54260"/>
    <n v="0"/>
    <s v="P"/>
    <m/>
    <m/>
    <s v=" "/>
    <s v="STL"/>
    <s v="YES"/>
    <s v="TBD"/>
    <d v="2024-10-09T00:00:00"/>
    <x v="19"/>
    <m/>
    <m/>
    <m/>
    <m/>
    <m/>
    <m/>
    <m/>
    <m/>
    <m/>
    <m/>
    <m/>
  </r>
  <r>
    <n v="2111"/>
    <n v="173273"/>
    <s v="P"/>
    <s v="Capitalized"/>
    <s v="Labor to install Transmission in Trk#320"/>
    <m/>
    <m/>
    <n v="1"/>
    <m/>
    <n v="0"/>
    <m/>
    <m/>
    <s v="TRUCKS AND TRAILERS"/>
    <s v="TBA"/>
    <s v="Non-Rolling Stock"/>
    <m/>
    <m/>
    <d v="2010-03-30T00:00:00"/>
    <d v="2010-03-30T00:00:00"/>
    <s v="2131-10-0008-1"/>
    <n v="300"/>
    <n v="14040"/>
    <n v="3781.69"/>
    <n v="14046"/>
    <n v="3781.69"/>
    <n v="0"/>
    <n v="0"/>
    <n v="51260"/>
    <n v="0"/>
    <s v="P"/>
    <m/>
    <m/>
    <s v=" "/>
    <s v="STL"/>
    <s v="YES"/>
    <s v="TBD"/>
    <d v="2024-10-09T00:00:00"/>
    <x v="19"/>
    <m/>
    <m/>
    <m/>
    <m/>
    <m/>
    <m/>
    <m/>
    <m/>
    <m/>
    <m/>
    <m/>
  </r>
  <r>
    <n v="2111"/>
    <n v="173272"/>
    <s v="P"/>
    <s v="Capitalized"/>
    <s v="Transmission for Trk#320"/>
    <m/>
    <m/>
    <n v="1"/>
    <m/>
    <n v="0"/>
    <m/>
    <m/>
    <s v="TRUCKS AND TRAILERS"/>
    <s v="TBA"/>
    <s v="Non-Rolling Stock"/>
    <m/>
    <m/>
    <d v="2010-03-30T00:00:00"/>
    <d v="2010-03-30T00:00:00"/>
    <s v="2131-10-0008-1"/>
    <n v="300"/>
    <n v="14040"/>
    <n v="4257.24"/>
    <n v="14046"/>
    <n v="4257.24"/>
    <n v="0"/>
    <n v="0"/>
    <n v="51260"/>
    <n v="0"/>
    <s v="P"/>
    <m/>
    <m/>
    <s v=" "/>
    <s v="STL"/>
    <s v="YES"/>
    <s v="TBD"/>
    <d v="2024-10-09T00:00:00"/>
    <x v="19"/>
    <m/>
    <m/>
    <m/>
    <m/>
    <m/>
    <m/>
    <m/>
    <m/>
    <m/>
    <m/>
    <m/>
  </r>
  <r>
    <n v="2111"/>
    <n v="173271"/>
    <s v="P"/>
    <s v="Capitalized"/>
    <s v="96 gallon Blue Yard Waste Carts"/>
    <m/>
    <m/>
    <n v="624"/>
    <m/>
    <n v="0"/>
    <s v="TOTER INCORPORATED"/>
    <m/>
    <s v="CONTAINERS"/>
    <s v="TBA"/>
    <m/>
    <m/>
    <m/>
    <d v="2009-09-15T00:00:00"/>
    <d v="2009-09-15T00:00:00"/>
    <s v="2131-9-0005-1"/>
    <n v="700"/>
    <n v="14050"/>
    <n v="29186.16"/>
    <n v="14056"/>
    <n v="29186.16"/>
    <n v="0"/>
    <n v="0"/>
    <n v="54260"/>
    <n v="0"/>
    <s v="P"/>
    <m/>
    <m/>
    <s v=" "/>
    <s v="STL"/>
    <s v="YES"/>
    <s v="TBD"/>
    <d v="2024-10-09T00:00:00"/>
    <x v="19"/>
    <m/>
    <m/>
    <m/>
    <m/>
    <m/>
    <m/>
    <m/>
    <m/>
    <m/>
    <m/>
    <m/>
  </r>
  <r>
    <n v="2111"/>
    <n v="173270"/>
    <s v="P"/>
    <s v="Capitalized"/>
    <s v="95 Gallon YW Carts - Aqua Blue"/>
    <m/>
    <m/>
    <n v="486"/>
    <m/>
    <n v="0"/>
    <s v="REHRIG PACIFIC COMPANY"/>
    <m/>
    <s v="CONTAINERS"/>
    <s v="TBA"/>
    <m/>
    <m/>
    <m/>
    <d v="2009-06-22T00:00:00"/>
    <d v="2009-06-22T00:00:00"/>
    <s v="2131-9-0006-1"/>
    <n v="700"/>
    <n v="14050"/>
    <n v="23659.56"/>
    <n v="14056"/>
    <n v="23659.56"/>
    <n v="0"/>
    <n v="0"/>
    <n v="54260"/>
    <n v="0"/>
    <s v="P"/>
    <m/>
    <m/>
    <s v=" "/>
    <s v="STL"/>
    <s v="YES"/>
    <s v="TBD"/>
    <d v="2024-10-09T00:00:00"/>
    <x v="19"/>
    <m/>
    <m/>
    <m/>
    <m/>
    <m/>
    <m/>
    <m/>
    <m/>
    <m/>
    <m/>
    <m/>
  </r>
  <r>
    <n v="2111"/>
    <n v="173269"/>
    <s v="P"/>
    <s v="Capitalized"/>
    <s v="2009 REL Truck#623 Use Tax"/>
    <m/>
    <m/>
    <n v="1"/>
    <s v="1HTWCAZR49J136487"/>
    <n v="2009"/>
    <m/>
    <m/>
    <s v="TRUCKS AND TRAILERS"/>
    <s v="TBA"/>
    <s v="Rear Loader"/>
    <m/>
    <m/>
    <d v="2009-05-13T00:00:00"/>
    <d v="2009-05-13T00:00:00"/>
    <s v="2131-9-0002-1"/>
    <n v="1000"/>
    <n v="14040"/>
    <n v="8004.29"/>
    <n v="14046"/>
    <n v="8004.29"/>
    <n v="0"/>
    <n v="0"/>
    <n v="51260"/>
    <n v="0"/>
    <s v="P"/>
    <m/>
    <m/>
    <s v=" "/>
    <s v="STL"/>
    <s v="YES"/>
    <s v="TBD"/>
    <d v="2024-10-09T00:00:00"/>
    <x v="19"/>
    <m/>
    <m/>
    <m/>
    <m/>
    <m/>
    <m/>
    <m/>
    <m/>
    <m/>
    <m/>
    <m/>
  </r>
  <r>
    <n v="2111"/>
    <n v="173268"/>
    <s v="P"/>
    <s v="Capitalized"/>
    <s v="Paint Job on Trk#816"/>
    <m/>
    <m/>
    <n v="1"/>
    <n v="203879"/>
    <n v="2007"/>
    <m/>
    <m/>
    <s v="TRUCKS AND TRAILERS"/>
    <s v="TBA"/>
    <s v="Automated Side Loader"/>
    <m/>
    <m/>
    <d v="2009-05-01T00:00:00"/>
    <d v="2009-05-01T00:00:00"/>
    <s v="2131-9-0001-1"/>
    <n v="800"/>
    <n v="14040"/>
    <n v="4174.1400000000003"/>
    <n v="14046"/>
    <n v="4174.1400000000003"/>
    <n v="0"/>
    <n v="0"/>
    <n v="51260"/>
    <n v="0"/>
    <s v="P"/>
    <m/>
    <m/>
    <s v=" "/>
    <s v="STL"/>
    <s v="YES"/>
    <s v="TBD"/>
    <d v="2024-10-09T00:00:00"/>
    <x v="19"/>
    <m/>
    <m/>
    <m/>
    <m/>
    <m/>
    <m/>
    <m/>
    <m/>
    <m/>
    <m/>
    <m/>
  </r>
  <r>
    <n v="2111"/>
    <n v="173267"/>
    <s v="P"/>
    <s v="Capitalized"/>
    <s v="Paint Job on New REL Trk #623"/>
    <m/>
    <m/>
    <n v="1"/>
    <s v="1HTWCAZR49J136487"/>
    <n v="2009"/>
    <m/>
    <m/>
    <s v="TRUCKS AND TRAILERS"/>
    <s v="TBA"/>
    <s v="Rear Loader"/>
    <m/>
    <m/>
    <d v="2009-05-13T00:00:00"/>
    <d v="2009-05-13T00:00:00"/>
    <s v="2131-9-0002-1"/>
    <n v="1000"/>
    <n v="14040"/>
    <n v="3443.78"/>
    <n v="14046"/>
    <n v="3443.78"/>
    <n v="0"/>
    <n v="0"/>
    <n v="51260"/>
    <n v="0"/>
    <s v="P"/>
    <m/>
    <m/>
    <s v=" "/>
    <s v="STL"/>
    <s v="YES"/>
    <s v="TBD"/>
    <d v="2024-10-09T00:00:00"/>
    <x v="19"/>
    <m/>
    <m/>
    <m/>
    <m/>
    <m/>
    <m/>
    <m/>
    <m/>
    <m/>
    <m/>
    <m/>
  </r>
  <r>
    <n v="2111"/>
    <n v="173266"/>
    <s v="P"/>
    <s v="Capitalized"/>
    <s v="New 2009 Packer REL #480"/>
    <m/>
    <m/>
    <n v="1"/>
    <s v="1HTWCAZR49J136487"/>
    <n v="2009"/>
    <s v="International 7400"/>
    <s v="McNeilus"/>
    <s v="TRUCKS AND TRAILERS"/>
    <s v="TBA"/>
    <s v="Non-Rolling Stock"/>
    <m/>
    <m/>
    <d v="2009-05-13T00:00:00"/>
    <d v="2009-05-13T00:00:00"/>
    <s v="2131-9-0002-1"/>
    <n v="1000"/>
    <n v="14040"/>
    <n v="84814.3"/>
    <n v="14046"/>
    <n v="84814.3"/>
    <n v="0"/>
    <n v="0"/>
    <n v="51260"/>
    <n v="0"/>
    <s v="P"/>
    <m/>
    <m/>
    <s v=" "/>
    <s v="STL"/>
    <s v="YES"/>
    <s v="TBD"/>
    <d v="2024-10-09T00:00:00"/>
    <x v="19"/>
    <m/>
    <m/>
    <m/>
    <m/>
    <m/>
    <m/>
    <m/>
    <m/>
    <m/>
    <m/>
    <m/>
  </r>
  <r>
    <n v="2111"/>
    <n v="173265"/>
    <s v="P"/>
    <s v="Capitalized"/>
    <s v="Use Tax on Used ASL Trk#816"/>
    <m/>
    <m/>
    <n v="1"/>
    <s v="5VCDC6MF97H203878"/>
    <n v="2007"/>
    <m/>
    <m/>
    <s v="TRUCKS AND TRAILERS"/>
    <s v="TBA"/>
    <s v="Automated Side Loader"/>
    <m/>
    <m/>
    <d v="2009-05-01T00:00:00"/>
    <d v="2009-05-01T00:00:00"/>
    <s v="2131-9-0001-1"/>
    <n v="800"/>
    <n v="14040"/>
    <n v="18230.400000000001"/>
    <n v="14046"/>
    <n v="18230.400000000001"/>
    <n v="0"/>
    <n v="0"/>
    <n v="51260"/>
    <n v="0"/>
    <s v="P"/>
    <m/>
    <m/>
    <s v=" "/>
    <s v="STL"/>
    <s v="YES"/>
    <s v="TBD"/>
    <d v="2024-10-09T00:00:00"/>
    <x v="19"/>
    <m/>
    <m/>
    <m/>
    <m/>
    <m/>
    <m/>
    <m/>
    <m/>
    <m/>
    <m/>
    <m/>
  </r>
  <r>
    <n v="2111"/>
    <n v="173263"/>
    <s v="P"/>
    <s v="Capitalized"/>
    <s v="Used 2007 Auotcar S/L"/>
    <m/>
    <m/>
    <n v="1"/>
    <s v="5VCDC6MF97H203879"/>
    <n v="2007"/>
    <s v="Autocar WXR64"/>
    <s v="McNeilus"/>
    <s v="TRUCKS AND TRAILERS"/>
    <s v="TBA"/>
    <s v="Automated Side Loader"/>
    <m/>
    <m/>
    <d v="2009-05-01T00:00:00"/>
    <d v="2009-05-01T00:00:00"/>
    <s v="2131-9-0001-1"/>
    <n v="800"/>
    <n v="14040"/>
    <n v="189900"/>
    <n v="14046"/>
    <n v="189900"/>
    <n v="0"/>
    <n v="0"/>
    <n v="51260"/>
    <n v="0"/>
    <s v="P"/>
    <m/>
    <n v="816"/>
    <s v=" "/>
    <s v="STL"/>
    <s v="YES"/>
    <s v="TBD"/>
    <d v="2024-10-09T00:00:00"/>
    <x v="19"/>
    <m/>
    <m/>
    <m/>
    <m/>
    <m/>
    <m/>
    <m/>
    <m/>
    <m/>
    <m/>
    <m/>
  </r>
  <r>
    <n v="2111"/>
    <n v="173262"/>
    <n v="25363"/>
    <s v="Capitalized"/>
    <s v="Auto Tarper for Truck #408"/>
    <m/>
    <m/>
    <n v="1"/>
    <m/>
    <n v="0"/>
    <m/>
    <m/>
    <s v="TRUCKS AND TRAILERS"/>
    <s v="TBA"/>
    <s v="Non-Rolling Stock"/>
    <m/>
    <m/>
    <d v="2009-01-01T00:00:00"/>
    <d v="2009-01-01T00:00:00"/>
    <s v="2131-8-0002-1"/>
    <n v="300"/>
    <n v="14040"/>
    <n v="6818.83"/>
    <n v="14046"/>
    <n v="6818.83"/>
    <n v="0"/>
    <n v="0"/>
    <n v="51260"/>
    <n v="0"/>
    <s v="P"/>
    <m/>
    <m/>
    <s v=" "/>
    <s v="STL"/>
    <s v="YES"/>
    <s v="TBD"/>
    <d v="2024-10-09T00:00:00"/>
    <x v="19"/>
    <m/>
    <m/>
    <m/>
    <m/>
    <m/>
    <m/>
    <m/>
    <m/>
    <m/>
    <m/>
    <m/>
  </r>
  <r>
    <n v="2111"/>
    <n v="173261"/>
    <s v="P"/>
    <s v="Capitalized"/>
    <s v="2 Yard Containers"/>
    <m/>
    <m/>
    <n v="5"/>
    <m/>
    <n v="0"/>
    <s v="CAPITAL INDUSTRIES, INC."/>
    <m/>
    <s v="CONTAINERS"/>
    <s v="TBA"/>
    <m/>
    <s v="2 YD"/>
    <s v="FEL/REL/SL Metal"/>
    <d v="2008-10-31T00:00:00"/>
    <d v="2008-10-31T00:00:00"/>
    <s v="2131-8-0016-3"/>
    <n v="1200"/>
    <n v="14050"/>
    <n v="2872.32"/>
    <n v="14056"/>
    <n v="2872.32"/>
    <n v="0"/>
    <n v="0"/>
    <n v="54260"/>
    <n v="0"/>
    <s v="P"/>
    <m/>
    <m/>
    <s v=" "/>
    <s v="STL"/>
    <s v="YES"/>
    <s v="TBD"/>
    <d v="2024-10-09T00:00:00"/>
    <x v="19"/>
    <m/>
    <m/>
    <m/>
    <m/>
    <m/>
    <m/>
    <m/>
    <m/>
    <m/>
    <m/>
    <m/>
  </r>
  <r>
    <n v="2111"/>
    <n v="173259"/>
    <s v="P"/>
    <s v="Capitalized"/>
    <s v="2008 Autocar Truck (#906 Paint)"/>
    <m/>
    <m/>
    <n v="1"/>
    <n v="206219"/>
    <n v="2008"/>
    <m/>
    <m/>
    <s v="TRUCKS AND TRAILERS"/>
    <s v="TBA"/>
    <s v="Front Loader"/>
    <m/>
    <m/>
    <d v="2008-08-01T00:00:00"/>
    <d v="2008-08-01T00:00:00"/>
    <s v="2160-8-0004-1"/>
    <n v="900"/>
    <n v="14040"/>
    <n v="3070.3"/>
    <n v="14046"/>
    <n v="3070.3"/>
    <n v="0"/>
    <n v="0"/>
    <n v="51260"/>
    <n v="0"/>
    <s v="P"/>
    <m/>
    <m/>
    <s v=" "/>
    <s v="STL"/>
    <s v="YES"/>
    <s v="TBD"/>
    <d v="2024-10-09T00:00:00"/>
    <x v="19"/>
    <m/>
    <m/>
    <m/>
    <m/>
    <m/>
    <m/>
    <m/>
    <m/>
    <m/>
    <m/>
    <m/>
  </r>
  <r>
    <n v="2111"/>
    <n v="173258"/>
    <s v="P"/>
    <s v="Capitalized"/>
    <s v="Sales Tax On Extended Warranties for Chassis 206219"/>
    <m/>
    <m/>
    <n v="1"/>
    <m/>
    <n v="2008"/>
    <m/>
    <m/>
    <s v="TRUCKS AND TRAILERS"/>
    <s v="TBA"/>
    <s v="Non-Rolling Stock"/>
    <m/>
    <m/>
    <d v="2008-08-01T00:00:00"/>
    <d v="2008-08-01T00:00:00"/>
    <s v="2160-8-0004-1"/>
    <n v="900"/>
    <n v="14040"/>
    <n v="191.1"/>
    <n v="14046"/>
    <n v="191.1"/>
    <n v="0"/>
    <n v="0"/>
    <n v="51260"/>
    <n v="0"/>
    <s v="P"/>
    <m/>
    <m/>
    <s v=" "/>
    <s v="STL"/>
    <s v="YES"/>
    <s v="TBD"/>
    <d v="2024-10-09T00:00:00"/>
    <x v="19"/>
    <m/>
    <m/>
    <m/>
    <m/>
    <m/>
    <m/>
    <m/>
    <m/>
    <m/>
    <m/>
    <m/>
  </r>
  <r>
    <n v="2111"/>
    <n v="173256"/>
    <s v="P"/>
    <s v="Capitalized"/>
    <s v="6 YD Containers"/>
    <m/>
    <m/>
    <n v="2"/>
    <m/>
    <n v="0"/>
    <s v="CAPITAL INDUSTRIES, INC."/>
    <m/>
    <s v="CONTAINERS"/>
    <s v="TBA"/>
    <m/>
    <s v="6 YD"/>
    <s v="FEL/REL/SL Metal"/>
    <d v="2008-09-16T00:00:00"/>
    <d v="2008-09-16T00:00:00"/>
    <s v="2131-8-0016-5"/>
    <n v="1200"/>
    <n v="14050"/>
    <n v="1991.04"/>
    <n v="14056"/>
    <n v="1991.04"/>
    <n v="0"/>
    <n v="0"/>
    <n v="54260"/>
    <n v="0"/>
    <s v="P"/>
    <m/>
    <m/>
    <s v=" "/>
    <s v="STL"/>
    <s v="YES"/>
    <s v="TBD"/>
    <d v="2024-10-09T00:00:00"/>
    <x v="19"/>
    <m/>
    <m/>
    <m/>
    <m/>
    <m/>
    <m/>
    <m/>
    <m/>
    <m/>
    <m/>
    <m/>
  </r>
  <r>
    <n v="2111"/>
    <n v="173255"/>
    <s v="P"/>
    <s v="Capitalized"/>
    <s v="4 YD FEL Container"/>
    <m/>
    <m/>
    <n v="2"/>
    <m/>
    <n v="0"/>
    <s v="CAPITAL INDUSTRIES, INC."/>
    <m/>
    <s v="CONTAINERS"/>
    <s v="TBA"/>
    <m/>
    <s v="4 YD"/>
    <s v="FEL/REL/SL Metal"/>
    <d v="2008-09-25T00:00:00"/>
    <d v="2008-09-25T00:00:00"/>
    <s v="2131-8-0016-4"/>
    <n v="1200"/>
    <n v="14050"/>
    <n v="1490.56"/>
    <n v="14056"/>
    <n v="1490.56"/>
    <n v="0"/>
    <n v="0"/>
    <n v="54260"/>
    <n v="0"/>
    <s v="P"/>
    <m/>
    <m/>
    <s v=" "/>
    <s v="STL"/>
    <s v="YES"/>
    <s v="TBD"/>
    <d v="2024-10-09T00:00:00"/>
    <x v="19"/>
    <m/>
    <m/>
    <m/>
    <m/>
    <m/>
    <m/>
    <m/>
    <m/>
    <m/>
    <m/>
    <m/>
  </r>
  <r>
    <n v="2111"/>
    <n v="173254"/>
    <s v="P"/>
    <s v="Capitalized"/>
    <s v="95 Gal Blue Yardwaste Carts Load #2"/>
    <m/>
    <m/>
    <n v="486"/>
    <m/>
    <n v="0"/>
    <s v="REHRIG PACIFIC COMPANY"/>
    <m/>
    <s v="CONTAINERS"/>
    <s v="TBA"/>
    <m/>
    <m/>
    <m/>
    <d v="2008-08-04T00:00:00"/>
    <d v="2008-08-04T00:00:00"/>
    <s v="2131-8-0005-1"/>
    <n v="700"/>
    <n v="14050"/>
    <n v="28400.13"/>
    <n v="14056"/>
    <n v="28400.13"/>
    <n v="0"/>
    <n v="0"/>
    <n v="54260"/>
    <n v="0"/>
    <s v="P"/>
    <m/>
    <m/>
    <s v=" "/>
    <s v="STL"/>
    <s v="YES"/>
    <s v="TBD"/>
    <d v="2024-10-09T00:00:00"/>
    <x v="19"/>
    <m/>
    <m/>
    <m/>
    <m/>
    <m/>
    <m/>
    <m/>
    <m/>
    <m/>
    <m/>
    <m/>
  </r>
  <r>
    <n v="2111"/>
    <n v="173253"/>
    <s v="P"/>
    <s v="Capitalized"/>
    <s v="95 Gal Blue Yardwaste Carts"/>
    <m/>
    <m/>
    <n v="486"/>
    <m/>
    <n v="0"/>
    <s v="REHRIG PACIFIC COMPANY"/>
    <m/>
    <s v="CONTAINERS"/>
    <s v="TBA"/>
    <m/>
    <m/>
    <m/>
    <d v="2008-08-04T00:00:00"/>
    <d v="2008-08-04T00:00:00"/>
    <s v="2131-8-0005-1"/>
    <n v="700"/>
    <n v="14050"/>
    <n v="28400.13"/>
    <n v="14056"/>
    <n v="28400.13"/>
    <n v="0"/>
    <n v="0"/>
    <n v="54260"/>
    <n v="0"/>
    <s v="P"/>
    <m/>
    <m/>
    <s v=" "/>
    <s v="STL"/>
    <s v="YES"/>
    <s v="TBD"/>
    <d v="2024-10-09T00:00:00"/>
    <x v="19"/>
    <m/>
    <m/>
    <m/>
    <m/>
    <m/>
    <m/>
    <m/>
    <m/>
    <m/>
    <m/>
    <m/>
  </r>
  <r>
    <n v="2111"/>
    <n v="173252"/>
    <n v="57325"/>
    <s v="Capitalized"/>
    <s v="(17) Drive Cameras"/>
    <m/>
    <m/>
    <n v="1"/>
    <m/>
    <n v="0"/>
    <s v="DriveCam"/>
    <m/>
    <s v="SHOP EQUIPMENT"/>
    <s v="TBA"/>
    <m/>
    <m/>
    <m/>
    <d v="2008-05-31T00:00:00"/>
    <d v="2008-05-31T00:00:00"/>
    <s v="2111-8-0028-1"/>
    <n v="500"/>
    <n v="14070"/>
    <n v="9272.31"/>
    <n v="14076"/>
    <n v="9272.31"/>
    <n v="0"/>
    <n v="0"/>
    <n v="51260"/>
    <n v="0"/>
    <s v="P"/>
    <m/>
    <m/>
    <s v=" "/>
    <s v="STL"/>
    <s v="YES"/>
    <s v="TBD"/>
    <d v="2024-10-09T00:00:00"/>
    <x v="19"/>
    <m/>
    <m/>
    <m/>
    <m/>
    <m/>
    <m/>
    <m/>
    <m/>
    <m/>
    <m/>
    <m/>
  </r>
  <r>
    <n v="2111"/>
    <n v="173251"/>
    <s v="P"/>
    <s v="Capitalized"/>
    <s v="2 YD REL Containers"/>
    <m/>
    <m/>
    <n v="30"/>
    <m/>
    <n v="0"/>
    <s v="ENTERPRISE SALES, INC."/>
    <m/>
    <s v="CONTAINERS"/>
    <s v="TBA"/>
    <m/>
    <s v="2 YD"/>
    <s v="FEL/REL/SL Metal"/>
    <d v="2008-01-07T00:00:00"/>
    <d v="2008-01-07T00:00:00"/>
    <s v="2131-8-0013-1"/>
    <n v="1200"/>
    <n v="14050"/>
    <n v="14100.48"/>
    <n v="14056"/>
    <n v="14100.48"/>
    <n v="0"/>
    <n v="0"/>
    <n v="54260"/>
    <n v="0"/>
    <s v="P"/>
    <m/>
    <m/>
    <s v=" "/>
    <s v="STL"/>
    <s v="YES"/>
    <s v="TBD"/>
    <d v="2024-10-09T00:00:00"/>
    <x v="19"/>
    <m/>
    <m/>
    <m/>
    <m/>
    <m/>
    <m/>
    <m/>
    <m/>
    <m/>
    <m/>
    <m/>
  </r>
  <r>
    <n v="2111"/>
    <n v="173250"/>
    <s v="P"/>
    <s v="Capitalized"/>
    <s v="30 YD Containers"/>
    <m/>
    <m/>
    <n v="2"/>
    <m/>
    <n v="0"/>
    <s v="CAPITAL INDUSTRIES, INC."/>
    <m/>
    <s v="CONTAINERS"/>
    <s v="TBA"/>
    <m/>
    <s v="30 YD"/>
    <s v="RO Box"/>
    <d v="2008-01-24T00:00:00"/>
    <d v="2008-01-24T00:00:00"/>
    <s v="2131-8-0013-2"/>
    <n v="1200"/>
    <n v="14050"/>
    <n v="10759.02"/>
    <n v="14056"/>
    <n v="10759.02"/>
    <n v="0"/>
    <n v="0"/>
    <n v="54260"/>
    <n v="0"/>
    <s v="P"/>
    <m/>
    <m/>
    <s v=" "/>
    <s v="STL"/>
    <s v="YES"/>
    <s v="TBD"/>
    <d v="2024-10-09T00:00:00"/>
    <x v="19"/>
    <m/>
    <m/>
    <m/>
    <m/>
    <m/>
    <m/>
    <m/>
    <m/>
    <m/>
    <m/>
    <m/>
  </r>
  <r>
    <n v="2111"/>
    <n v="173249"/>
    <s v="P"/>
    <s v="Capitalized"/>
    <s v="30 YD Containers"/>
    <m/>
    <m/>
    <n v="3"/>
    <m/>
    <n v="0"/>
    <s v="CAPITAL INDUSTRIES, INC."/>
    <m/>
    <s v="CONTAINERS"/>
    <s v="TBA"/>
    <m/>
    <s v="30 YD"/>
    <s v="RO Box"/>
    <d v="2008-01-24T00:00:00"/>
    <d v="2008-01-24T00:00:00"/>
    <s v="2131-8-0013-2"/>
    <n v="1200"/>
    <n v="14050"/>
    <n v="16138.98"/>
    <n v="14056"/>
    <n v="16138.98"/>
    <n v="0"/>
    <n v="0"/>
    <n v="54260"/>
    <n v="0"/>
    <s v="P"/>
    <m/>
    <m/>
    <s v=" "/>
    <s v="STL"/>
    <s v="YES"/>
    <s v="TBD"/>
    <d v="2024-10-09T00:00:00"/>
    <x v="19"/>
    <m/>
    <m/>
    <m/>
    <m/>
    <m/>
    <m/>
    <m/>
    <m/>
    <m/>
    <m/>
    <m/>
  </r>
  <r>
    <n v="2111"/>
    <n v="173248"/>
    <s v="P"/>
    <s v="Capitalized"/>
    <s v="McNeilus body"/>
    <m/>
    <m/>
    <n v="1"/>
    <s v="5VCH36HE88H206132"/>
    <n v="2007"/>
    <m/>
    <m/>
    <s v="TRUCKS AND TRAILERS"/>
    <s v="TBA"/>
    <s v="Non-Rolling Stock"/>
    <m/>
    <m/>
    <d v="2007-12-06T00:00:00"/>
    <d v="2007-12-06T00:00:00"/>
    <s v="07-2131-008"/>
    <n v="1000"/>
    <n v="14040"/>
    <n v="58428.6"/>
    <n v="14046"/>
    <n v="58428.6"/>
    <n v="0"/>
    <n v="0"/>
    <n v="51260"/>
    <n v="0"/>
    <s v="P"/>
    <m/>
    <m/>
    <s v=" "/>
    <s v="STL"/>
    <s v="YES"/>
    <s v="TBD"/>
    <d v="2024-10-09T00:00:00"/>
    <x v="19"/>
    <m/>
    <m/>
    <m/>
    <m/>
    <m/>
    <m/>
    <m/>
    <m/>
    <m/>
    <m/>
    <m/>
  </r>
  <r>
    <n v="2111"/>
    <n v="173247"/>
    <s v="P"/>
    <s v="Capitalized"/>
    <s v="2008 REL Truck VIN#206132"/>
    <m/>
    <m/>
    <n v="1"/>
    <s v="5VCH36HE88H206132"/>
    <n v="2008"/>
    <s v="AUTOCAR"/>
    <s v="McNeilus"/>
    <s v="TRUCKS AND TRAILERS"/>
    <s v="TBA"/>
    <s v="Rear Loader"/>
    <m/>
    <m/>
    <d v="2007-11-30T00:00:00"/>
    <d v="2007-11-30T00:00:00"/>
    <s v="07-2131-008"/>
    <n v="1000"/>
    <n v="14040"/>
    <n v="138814.73000000001"/>
    <n v="14046"/>
    <n v="138814.73000000001"/>
    <n v="0"/>
    <n v="0"/>
    <n v="51260"/>
    <n v="0"/>
    <s v="P"/>
    <n v="0"/>
    <n v="616"/>
    <s v=" "/>
    <s v="STL"/>
    <s v="YES"/>
    <s v="TBD"/>
    <d v="2024-10-09T00:00:00"/>
    <x v="19"/>
    <m/>
    <m/>
    <m/>
    <m/>
    <m/>
    <m/>
    <m/>
    <m/>
    <m/>
    <m/>
    <m/>
  </r>
  <r>
    <n v="2111"/>
    <n v="173246"/>
    <s v="P"/>
    <s v="Capitalized"/>
    <s v="30YD Roll Off"/>
    <m/>
    <m/>
    <n v="5"/>
    <n v="0"/>
    <n v="0"/>
    <s v="ENTERPRISE SALES, INC."/>
    <m/>
    <s v="CONTAINERS"/>
    <s v="TBA"/>
    <m/>
    <s v="30 YD"/>
    <s v="RO Box"/>
    <d v="2007-08-23T00:00:00"/>
    <d v="2007-08-23T00:00:00"/>
    <s v="07-2131-004"/>
    <n v="1200"/>
    <n v="14050"/>
    <n v="25704"/>
    <n v="14056"/>
    <n v="25704"/>
    <n v="0"/>
    <n v="0"/>
    <n v="54260"/>
    <n v="0"/>
    <s v="P"/>
    <m/>
    <m/>
    <s v=" "/>
    <s v="STL"/>
    <s v="YES"/>
    <s v="TBD"/>
    <d v="2024-10-09T00:00:00"/>
    <x v="19"/>
    <m/>
    <m/>
    <m/>
    <m/>
    <m/>
    <m/>
    <m/>
    <m/>
    <m/>
    <m/>
    <m/>
  </r>
  <r>
    <n v="2111"/>
    <n v="173245"/>
    <s v="P"/>
    <s v="Capitalized"/>
    <s v="95 GA Carts"/>
    <m/>
    <m/>
    <n v="486"/>
    <n v="0"/>
    <n v="0"/>
    <s v="REHRIG PACIFIC COMPANY"/>
    <m/>
    <s v="CONTAINERS"/>
    <s v="TBA"/>
    <m/>
    <m/>
    <m/>
    <d v="2007-07-02T00:00:00"/>
    <d v="2007-07-02T00:00:00"/>
    <s v="07-2131-006"/>
    <n v="700"/>
    <n v="14050"/>
    <n v="24439.65"/>
    <n v="14056"/>
    <n v="24439.65"/>
    <n v="0"/>
    <n v="0"/>
    <n v="54260"/>
    <n v="0"/>
    <s v="P"/>
    <m/>
    <m/>
    <s v=" "/>
    <s v="STL"/>
    <s v="YES"/>
    <s v="TBD"/>
    <d v="2024-10-09T00:00:00"/>
    <x v="19"/>
    <m/>
    <m/>
    <m/>
    <m/>
    <m/>
    <m/>
    <m/>
    <m/>
    <m/>
    <m/>
    <m/>
  </r>
  <r>
    <n v="2111"/>
    <n v="173244"/>
    <s v="P"/>
    <s v="Capitalized"/>
    <s v="6YD FEL"/>
    <m/>
    <m/>
    <n v="6"/>
    <n v="0"/>
    <n v="0"/>
    <s v="CAPITAL INDUSTRIES, INC."/>
    <m/>
    <s v="CONTAINERS"/>
    <s v="TBA"/>
    <m/>
    <s v="6 YD"/>
    <s v="FEL/REL/SL Metal"/>
    <d v="2007-06-19T00:00:00"/>
    <d v="2007-06-19T00:00:00"/>
    <s v="07-2131-002"/>
    <n v="1200"/>
    <n v="14050"/>
    <n v="4867.83"/>
    <n v="14056"/>
    <n v="4867.83"/>
    <n v="0"/>
    <n v="0"/>
    <n v="54260"/>
    <n v="0"/>
    <s v="P"/>
    <m/>
    <m/>
    <s v=" "/>
    <s v="STL"/>
    <s v="YES"/>
    <s v="TBD"/>
    <d v="2024-10-09T00:00:00"/>
    <x v="19"/>
    <m/>
    <m/>
    <m/>
    <m/>
    <m/>
    <m/>
    <m/>
    <m/>
    <m/>
    <m/>
    <m/>
  </r>
  <r>
    <n v="2111"/>
    <n v="173243"/>
    <s v="P"/>
    <s v="Capitalized"/>
    <s v="6YD FEL"/>
    <m/>
    <m/>
    <n v="9"/>
    <n v="0"/>
    <n v="0"/>
    <s v="CAPITAL INDUSTRIES, INC."/>
    <m/>
    <s v="CONTAINERS"/>
    <s v="TBA"/>
    <m/>
    <s v="6 YD"/>
    <s v="FEL/REL/SL Metal"/>
    <d v="2007-06-19T00:00:00"/>
    <d v="2007-06-19T00:00:00"/>
    <s v="07-2131-002"/>
    <n v="1200"/>
    <n v="14050"/>
    <n v="7301.75"/>
    <n v="14056"/>
    <n v="7301.75"/>
    <n v="0"/>
    <n v="0"/>
    <n v="54260"/>
    <n v="0"/>
    <s v="P"/>
    <m/>
    <m/>
    <s v=" "/>
    <s v="STL"/>
    <s v="YES"/>
    <s v="TBD"/>
    <d v="2024-10-09T00:00:00"/>
    <x v="19"/>
    <m/>
    <m/>
    <m/>
    <m/>
    <m/>
    <m/>
    <m/>
    <m/>
    <m/>
    <m/>
    <m/>
  </r>
  <r>
    <n v="2111"/>
    <n v="173242"/>
    <s v="P"/>
    <s v="Capitalized"/>
    <s v="95 GA Carts"/>
    <m/>
    <m/>
    <n v="486"/>
    <n v="0"/>
    <n v="0"/>
    <s v="REHRIG PACIFIC COMPANY"/>
    <m/>
    <s v="CONTAINERS"/>
    <s v="TBA"/>
    <m/>
    <m/>
    <m/>
    <d v="2007-06-03T00:00:00"/>
    <d v="2007-06-03T00:00:00"/>
    <s v="07-2131-006"/>
    <n v="700"/>
    <n v="14050"/>
    <n v="26258.62"/>
    <n v="14056"/>
    <n v="26258.62"/>
    <n v="0"/>
    <n v="0"/>
    <n v="54260"/>
    <n v="0"/>
    <s v="P"/>
    <m/>
    <m/>
    <s v=" "/>
    <s v="STL"/>
    <s v="YES"/>
    <s v="TBD"/>
    <d v="2024-10-09T00:00:00"/>
    <x v="19"/>
    <m/>
    <m/>
    <m/>
    <m/>
    <m/>
    <m/>
    <m/>
    <m/>
    <m/>
    <m/>
    <m/>
  </r>
  <r>
    <n v="2111"/>
    <n v="173241"/>
    <s v="P"/>
    <s v="Capitalized"/>
    <s v="95 GA Carts"/>
    <m/>
    <m/>
    <n v="486"/>
    <n v="0"/>
    <n v="0"/>
    <s v="REHRIG PACIFIC COMPANY"/>
    <m/>
    <s v="CONTAINERS"/>
    <s v="TBA"/>
    <m/>
    <m/>
    <m/>
    <d v="2007-06-03T00:00:00"/>
    <d v="2007-06-03T00:00:00"/>
    <s v="07-2131-006"/>
    <n v="700"/>
    <n v="14050"/>
    <n v="26258.62"/>
    <n v="14056"/>
    <n v="26258.62"/>
    <n v="0"/>
    <n v="0"/>
    <n v="54260"/>
    <n v="0"/>
    <s v="P"/>
    <m/>
    <m/>
    <s v=" "/>
    <s v="STL"/>
    <s v="YES"/>
    <s v="TBD"/>
    <d v="2024-10-09T00:00:00"/>
    <x v="19"/>
    <m/>
    <m/>
    <m/>
    <m/>
    <m/>
    <m/>
    <m/>
    <m/>
    <m/>
    <m/>
    <m/>
  </r>
  <r>
    <n v="2111"/>
    <n v="173240"/>
    <s v="P"/>
    <s v="Capitalized"/>
    <s v="95 GA Carts"/>
    <m/>
    <m/>
    <n v="486"/>
    <n v="0"/>
    <n v="0"/>
    <s v="REHRIG PACIFIC COMPANY"/>
    <m/>
    <s v="CONTAINERS"/>
    <s v="TBA"/>
    <m/>
    <m/>
    <m/>
    <d v="2007-05-15T00:00:00"/>
    <d v="2007-05-15T00:00:00"/>
    <s v="07-2131-010"/>
    <n v="700"/>
    <n v="14050"/>
    <n v="26554.73"/>
    <n v="14056"/>
    <n v="26554.73"/>
    <n v="0"/>
    <n v="0"/>
    <n v="54260"/>
    <n v="0"/>
    <s v="P"/>
    <m/>
    <m/>
    <s v=" "/>
    <s v="STL"/>
    <s v="YES"/>
    <s v="TBD"/>
    <d v="2024-10-09T00:00:00"/>
    <x v="19"/>
    <m/>
    <m/>
    <m/>
    <m/>
    <m/>
    <m/>
    <m/>
    <m/>
    <m/>
    <m/>
    <m/>
  </r>
  <r>
    <n v="2111"/>
    <n v="173239"/>
    <s v="P"/>
    <s v="Capitalized"/>
    <s v="4YD FEL"/>
    <m/>
    <m/>
    <n v="4"/>
    <n v="0"/>
    <n v="0"/>
    <s v="CAPITAL INDUSTRIES, INC."/>
    <m/>
    <s v="CONTAINERS"/>
    <s v="TBA"/>
    <m/>
    <s v="4 YD"/>
    <s v="FEL/REL/SL Metal"/>
    <d v="2007-05-17T00:00:00"/>
    <d v="2007-05-17T00:00:00"/>
    <s v="07-2131-001"/>
    <n v="1200"/>
    <n v="14050"/>
    <n v="2885.85"/>
    <n v="14056"/>
    <n v="2885.85"/>
    <n v="0"/>
    <n v="0"/>
    <n v="54260"/>
    <n v="0"/>
    <s v="P"/>
    <m/>
    <m/>
    <s v=" "/>
    <s v="STL"/>
    <s v="YES"/>
    <s v="TBD"/>
    <d v="2024-10-09T00:00:00"/>
    <x v="19"/>
    <m/>
    <m/>
    <m/>
    <m/>
    <m/>
    <m/>
    <m/>
    <m/>
    <m/>
    <m/>
    <m/>
  </r>
  <r>
    <n v="2111"/>
    <n v="173238"/>
    <s v="P"/>
    <s v="Capitalized"/>
    <s v="1YD REL"/>
    <m/>
    <m/>
    <n v="10"/>
    <n v="0"/>
    <n v="0"/>
    <s v="ENTERPRISE SALES, INC."/>
    <m/>
    <s v="CONTAINERS"/>
    <s v="TBA"/>
    <m/>
    <s v="1 YD"/>
    <s v="FEL/REL/SL Metal"/>
    <d v="2006-12-12T00:00:00"/>
    <d v="2006-12-12T00:00:00"/>
    <s v="06-2131-010"/>
    <n v="1200"/>
    <n v="14050"/>
    <n v="4308.4799999999996"/>
    <n v="14056"/>
    <n v="4308.4799999999996"/>
    <n v="0"/>
    <n v="0"/>
    <n v="54260"/>
    <n v="0"/>
    <s v="P"/>
    <m/>
    <m/>
    <s v=" "/>
    <s v="STL"/>
    <s v="YES"/>
    <s v="TBD"/>
    <d v="2024-10-09T00:00:00"/>
    <x v="19"/>
    <m/>
    <m/>
    <m/>
    <m/>
    <m/>
    <m/>
    <m/>
    <m/>
    <m/>
    <m/>
    <m/>
  </r>
  <r>
    <n v="2111"/>
    <n v="173237"/>
    <s v="P"/>
    <s v="Capitalized"/>
    <s v="2YD REL"/>
    <m/>
    <m/>
    <n v="22"/>
    <n v="0"/>
    <n v="0"/>
    <s v="ENTERPRISE SALES, INC."/>
    <m/>
    <s v="CONTAINERS"/>
    <s v="TBA"/>
    <m/>
    <s v="2 YD"/>
    <s v="FEL/REL/SL Metal"/>
    <d v="2006-12-12T00:00:00"/>
    <d v="2006-12-12T00:00:00"/>
    <s v="06-2131-007"/>
    <n v="1200"/>
    <n v="14050"/>
    <n v="10340.35"/>
    <n v="14056"/>
    <n v="10340.35"/>
    <n v="0"/>
    <n v="0"/>
    <n v="54260"/>
    <n v="0"/>
    <s v="P"/>
    <m/>
    <m/>
    <s v=" "/>
    <s v="STL"/>
    <s v="YES"/>
    <s v="TBD"/>
    <d v="2024-10-09T00:00:00"/>
    <x v="19"/>
    <m/>
    <m/>
    <m/>
    <m/>
    <m/>
    <m/>
    <m/>
    <m/>
    <m/>
    <m/>
    <m/>
  </r>
  <r>
    <n v="2111"/>
    <n v="173236"/>
    <s v="P"/>
    <s v="Capitalized"/>
    <s v="Body for RL  VIN#203513"/>
    <m/>
    <m/>
    <n v="1"/>
    <s v="5VCH36PE76H203513"/>
    <n v="2006"/>
    <m/>
    <m/>
    <s v="TRUCKS AND TRAILERS"/>
    <s v="TBA"/>
    <s v="Non-Rolling Stock"/>
    <m/>
    <m/>
    <d v="2006-09-25T00:00:00"/>
    <d v="2006-09-25T00:00:00"/>
    <s v="06-2131-001"/>
    <n v="1000"/>
    <n v="14040"/>
    <n v="65281.09"/>
    <n v="14046"/>
    <n v="65281.09"/>
    <n v="0"/>
    <n v="0"/>
    <n v="51260"/>
    <n v="0"/>
    <s v="P"/>
    <m/>
    <m/>
    <s v=" "/>
    <s v="STL"/>
    <s v="YES"/>
    <s v="TBD"/>
    <d v="2024-10-09T00:00:00"/>
    <x v="19"/>
    <m/>
    <m/>
    <m/>
    <m/>
    <m/>
    <m/>
    <m/>
    <m/>
    <m/>
    <m/>
    <m/>
  </r>
  <r>
    <n v="2111"/>
    <n v="173235"/>
    <s v="P"/>
    <s v="Capitalized"/>
    <s v="LIDS"/>
    <m/>
    <m/>
    <n v="437"/>
    <n v="0"/>
    <n v="0"/>
    <s v="TOTER INCORPORATED"/>
    <m/>
    <s v="CONTAINERS"/>
    <s v="TBA"/>
    <m/>
    <m/>
    <m/>
    <d v="2006-07-19T00:00:00"/>
    <d v="2006-07-19T00:00:00"/>
    <s v="06-2131-009"/>
    <n v="700"/>
    <n v="14050"/>
    <n v="1426.36"/>
    <n v="14056"/>
    <n v="1426.36"/>
    <n v="0"/>
    <n v="0"/>
    <n v="54260"/>
    <n v="0"/>
    <s v="P"/>
    <m/>
    <m/>
    <s v=" "/>
    <s v="STL"/>
    <s v="YES"/>
    <s v="TBD"/>
    <d v="2024-10-09T00:00:00"/>
    <x v="19"/>
    <m/>
    <m/>
    <m/>
    <m/>
    <m/>
    <m/>
    <m/>
    <m/>
    <m/>
    <m/>
    <m/>
  </r>
  <r>
    <n v="2111"/>
    <n v="173234"/>
    <s v="P"/>
    <s v="Capitalized"/>
    <s v="96 GA Carts"/>
    <m/>
    <m/>
    <n v="182"/>
    <n v="0"/>
    <n v="0"/>
    <s v="TOTER INCORPORATED"/>
    <m/>
    <s v="CONTAINERS"/>
    <s v="TBA"/>
    <m/>
    <m/>
    <m/>
    <d v="2006-07-19T00:00:00"/>
    <d v="2006-07-19T00:00:00"/>
    <s v="06-2131-009"/>
    <n v="700"/>
    <n v="14050"/>
    <n v="10909.38"/>
    <n v="14056"/>
    <n v="10909.38"/>
    <n v="0"/>
    <n v="0"/>
    <n v="54260"/>
    <n v="0"/>
    <s v="P"/>
    <m/>
    <m/>
    <s v=" "/>
    <s v="STL"/>
    <s v="YES"/>
    <s v="TBD"/>
    <d v="2024-10-09T00:00:00"/>
    <x v="19"/>
    <m/>
    <m/>
    <m/>
    <m/>
    <m/>
    <m/>
    <m/>
    <m/>
    <m/>
    <m/>
    <m/>
  </r>
  <r>
    <n v="2111"/>
    <n v="173233"/>
    <s v="P"/>
    <s v="Capitalized"/>
    <s v="64 Gallon Carts"/>
    <m/>
    <m/>
    <n v="239"/>
    <n v="0"/>
    <n v="0"/>
    <s v="TOTER INCORPORATED"/>
    <m/>
    <s v="CONTAINERS"/>
    <s v="TBA"/>
    <m/>
    <m/>
    <m/>
    <d v="2006-07-19T00:00:00"/>
    <d v="2006-07-19T00:00:00"/>
    <s v="06-2131-009"/>
    <n v="700"/>
    <n v="14050"/>
    <n v="12795.72"/>
    <n v="14056"/>
    <n v="12795.72"/>
    <n v="0"/>
    <n v="0"/>
    <n v="54260"/>
    <n v="0"/>
    <s v="P"/>
    <m/>
    <m/>
    <s v=" "/>
    <s v="STL"/>
    <s v="YES"/>
    <s v="TBD"/>
    <d v="2024-10-09T00:00:00"/>
    <x v="19"/>
    <m/>
    <m/>
    <m/>
    <m/>
    <m/>
    <m/>
    <m/>
    <m/>
    <m/>
    <m/>
    <m/>
  </r>
  <r>
    <n v="2111"/>
    <n v="173232"/>
    <s v="P"/>
    <s v="Capitalized"/>
    <s v="96 GA Carts"/>
    <m/>
    <m/>
    <n v="588"/>
    <n v="0"/>
    <n v="0"/>
    <s v="TOTER INCORPORATED"/>
    <m/>
    <s v="CONTAINERS"/>
    <s v="TBA"/>
    <m/>
    <m/>
    <m/>
    <d v="2006-07-12T00:00:00"/>
    <d v="2006-07-12T00:00:00"/>
    <s v="06-2131-009"/>
    <n v="700"/>
    <n v="14050"/>
    <n v="35558.019999999997"/>
    <n v="14056"/>
    <n v="35558.019999999997"/>
    <n v="0"/>
    <n v="0"/>
    <n v="54260"/>
    <n v="0"/>
    <s v="P"/>
    <m/>
    <m/>
    <s v=" "/>
    <s v="STL"/>
    <s v="YES"/>
    <s v="TBD"/>
    <d v="2024-10-09T00:00:00"/>
    <x v="19"/>
    <m/>
    <m/>
    <m/>
    <m/>
    <m/>
    <m/>
    <m/>
    <m/>
    <m/>
    <m/>
    <m/>
  </r>
  <r>
    <n v="2111"/>
    <n v="173231"/>
    <s v="P"/>
    <s v="Capitalized"/>
    <s v="2006 REL Chassis"/>
    <m/>
    <m/>
    <n v="1"/>
    <s v="5VCH36PE76H203513"/>
    <n v="2006"/>
    <s v="Autocar"/>
    <s v="McNeilus"/>
    <s v="TRUCKS AND TRAILERS"/>
    <s v="TBA"/>
    <s v="Rear Loader"/>
    <m/>
    <m/>
    <d v="2006-05-17T00:00:00"/>
    <d v="2006-05-17T00:00:00"/>
    <s v="06-2131-001"/>
    <n v="1000"/>
    <n v="14040"/>
    <n v="120222.34"/>
    <n v="14046"/>
    <n v="120222.34"/>
    <n v="0"/>
    <n v="0"/>
    <n v="51260"/>
    <n v="0"/>
    <s v="P"/>
    <m/>
    <n v="612"/>
    <s v=" "/>
    <s v="STL"/>
    <s v="YES"/>
    <s v="TBD"/>
    <d v="2024-10-09T00:00:00"/>
    <x v="19"/>
    <m/>
    <m/>
    <m/>
    <m/>
    <m/>
    <m/>
    <m/>
    <m/>
    <m/>
    <m/>
    <m/>
  </r>
  <r>
    <n v="2111"/>
    <n v="173230"/>
    <s v="P"/>
    <s v="Capitalized"/>
    <s v="95 GA Carts Dark Blue"/>
    <m/>
    <m/>
    <n v="432"/>
    <n v="0"/>
    <n v="0"/>
    <s v="REHRIG PACIFIC COMPANY"/>
    <m/>
    <s v="CONTAINERS"/>
    <s v="TBA"/>
    <m/>
    <m/>
    <m/>
    <d v="2006-05-05T00:00:00"/>
    <d v="2006-05-05T00:00:00"/>
    <s v="06-2131-002"/>
    <n v="700"/>
    <n v="14050"/>
    <n v="23284.6"/>
    <n v="14056"/>
    <n v="23284.6"/>
    <n v="0"/>
    <n v="0"/>
    <n v="54260"/>
    <n v="0"/>
    <s v="P"/>
    <m/>
    <m/>
    <s v=" "/>
    <s v="STL"/>
    <s v="YES"/>
    <s v="TBD"/>
    <d v="2024-10-09T00:00:00"/>
    <x v="19"/>
    <m/>
    <m/>
    <m/>
    <m/>
    <m/>
    <m/>
    <m/>
    <m/>
    <m/>
    <m/>
    <m/>
  </r>
  <r>
    <n v="2111"/>
    <n v="173229"/>
    <s v="P"/>
    <s v="Capitalized"/>
    <s v="95 GA Carts Dark Aqua Blue"/>
    <m/>
    <m/>
    <n v="432"/>
    <n v="0"/>
    <n v="0"/>
    <s v="REHRIG PACIFIC COMPANY"/>
    <m/>
    <s v="CONTAINERS"/>
    <s v="TBA"/>
    <m/>
    <m/>
    <m/>
    <d v="2006-05-02T00:00:00"/>
    <d v="2006-05-02T00:00:00"/>
    <s v="06-2131-002"/>
    <n v="700"/>
    <n v="14050"/>
    <n v="23461.41"/>
    <n v="14056"/>
    <n v="23461.41"/>
    <n v="0"/>
    <n v="0"/>
    <n v="54260"/>
    <n v="0"/>
    <s v="P"/>
    <m/>
    <m/>
    <s v=" "/>
    <s v="STL"/>
    <s v="YES"/>
    <s v="TBD"/>
    <d v="2024-10-09T00:00:00"/>
    <x v="19"/>
    <m/>
    <m/>
    <m/>
    <m/>
    <m/>
    <m/>
    <m/>
    <m/>
    <m/>
    <m/>
    <m/>
  </r>
  <r>
    <n v="2111"/>
    <n v="173228"/>
    <s v="P"/>
    <s v="Capitalized"/>
    <s v="6 YD FEL Containers-Peak Style"/>
    <m/>
    <m/>
    <n v="10"/>
    <n v="0"/>
    <n v="0"/>
    <s v="ENTERPRISE SALES, INC."/>
    <m/>
    <s v="CONTAINERS"/>
    <s v="TBA"/>
    <m/>
    <s v="6 YD"/>
    <s v="FEL/REL/SL Metal"/>
    <d v="2006-03-07T00:00:00"/>
    <d v="2006-03-07T00:00:00"/>
    <s v="06-2131-003"/>
    <n v="1200"/>
    <n v="14050"/>
    <n v="8040.32"/>
    <n v="14056"/>
    <n v="8040.32"/>
    <n v="0"/>
    <n v="0"/>
    <n v="54260"/>
    <n v="0"/>
    <s v="P"/>
    <n v="0"/>
    <m/>
    <s v=" "/>
    <s v="STL"/>
    <s v="YES"/>
    <s v="TBD"/>
    <d v="2024-10-09T00:00:00"/>
    <x v="19"/>
    <m/>
    <m/>
    <m/>
    <m/>
    <m/>
    <m/>
    <m/>
    <m/>
    <m/>
    <m/>
    <m/>
  </r>
  <r>
    <n v="2111"/>
    <n v="173226"/>
    <s v="P"/>
    <s v="Capitalized"/>
    <s v="4 YD FEL Containers w/ Lids &amp; Wheels-Green"/>
    <m/>
    <m/>
    <n v="5"/>
    <n v="0"/>
    <n v="0"/>
    <s v="ENTERPRISE SALES, INC."/>
    <m/>
    <s v="CONTAINERS"/>
    <s v="TBA"/>
    <m/>
    <s v="4 YD"/>
    <s v="FEL/REL/SL Metal"/>
    <d v="2006-03-07T00:00:00"/>
    <d v="2006-03-07T00:00:00"/>
    <s v="06-2131-008"/>
    <n v="1200"/>
    <n v="14050"/>
    <n v="2970.24"/>
    <n v="14056"/>
    <n v="2970.24"/>
    <n v="0"/>
    <n v="0"/>
    <n v="54260"/>
    <n v="0"/>
    <s v="P"/>
    <n v="0"/>
    <m/>
    <s v=" "/>
    <s v="STL"/>
    <s v="YES"/>
    <s v="TBD"/>
    <d v="2024-10-09T00:00:00"/>
    <x v="19"/>
    <m/>
    <m/>
    <m/>
    <m/>
    <m/>
    <m/>
    <m/>
    <m/>
    <m/>
    <m/>
    <m/>
  </r>
  <r>
    <n v="2111"/>
    <n v="173225"/>
    <s v="P"/>
    <s v="Capitalized"/>
    <s v="Sales Tax on 2004 Peterbilt Truck (#800)"/>
    <m/>
    <m/>
    <n v="1"/>
    <s v="1NPZLT0X24D715513"/>
    <n v="2005"/>
    <m/>
    <m/>
    <s v="TRUCKS AND TRAILERS"/>
    <s v="TBA"/>
    <s v="Non-Rolling Stock"/>
    <m/>
    <m/>
    <d v="2004-08-05T00:00:00"/>
    <d v="2004-08-05T00:00:00"/>
    <m/>
    <n v="1000"/>
    <n v="14040"/>
    <n v="8227.1299999999992"/>
    <n v="14046"/>
    <n v="8227.1299999999992"/>
    <n v="0"/>
    <n v="0"/>
    <n v="51260"/>
    <n v="0"/>
    <s v="P"/>
    <n v="0"/>
    <n v="800"/>
    <s v=" "/>
    <s v="STL"/>
    <s v="YES"/>
    <s v="TBD"/>
    <d v="2024-10-09T00:00:00"/>
    <x v="19"/>
    <m/>
    <m/>
    <m/>
    <m/>
    <m/>
    <m/>
    <m/>
    <m/>
    <m/>
    <m/>
    <m/>
  </r>
  <r>
    <n v="2111"/>
    <n v="173224"/>
    <s v="P"/>
    <s v="Capitalized"/>
    <s v="28.0 YD Automated Body on Chassis VIN#&amp;715513"/>
    <m/>
    <m/>
    <n v="1"/>
    <s v="330PX2841-17218"/>
    <n v="2005"/>
    <m/>
    <m/>
    <s v="TRUCKS AND TRAILERS"/>
    <s v="TBA"/>
    <s v="Non-Rolling Stock"/>
    <m/>
    <m/>
    <d v="2004-06-17T00:00:00"/>
    <d v="2004-06-17T00:00:00"/>
    <m/>
    <n v="1000"/>
    <n v="14040"/>
    <n v="77974.23"/>
    <n v="14046"/>
    <n v="77974.23"/>
    <n v="0"/>
    <n v="0"/>
    <n v="51260"/>
    <n v="0"/>
    <s v="P"/>
    <n v="0"/>
    <m/>
    <s v=" "/>
    <s v="STL"/>
    <s v="YES"/>
    <s v="TBD"/>
    <d v="2024-10-09T00:00:00"/>
    <x v="19"/>
    <m/>
    <m/>
    <m/>
    <m/>
    <m/>
    <m/>
    <m/>
    <m/>
    <m/>
    <m/>
    <m/>
  </r>
  <r>
    <n v="2111"/>
    <n v="173223"/>
    <s v="P"/>
    <s v="Capitalized"/>
    <s v="45x48 WCI Decals Printed Green &amp; Blue on White"/>
    <m/>
    <m/>
    <n v="1"/>
    <s v="1NPZLT0X24D715513"/>
    <n v="2005"/>
    <m/>
    <m/>
    <s v="TRUCKS AND TRAILERS"/>
    <s v="TBA"/>
    <s v="Automated Side Loader"/>
    <m/>
    <m/>
    <d v="2004-05-13T00:00:00"/>
    <d v="2004-05-13T00:00:00"/>
    <m/>
    <n v="1000"/>
    <n v="14040"/>
    <n v="230.76"/>
    <n v="14046"/>
    <n v="230.76"/>
    <n v="0"/>
    <n v="0"/>
    <n v="51260"/>
    <n v="0"/>
    <s v="P"/>
    <n v="0"/>
    <m/>
    <s v=" "/>
    <s v="STL"/>
    <s v="YES"/>
    <s v="TBD"/>
    <d v="2024-10-09T00:00:00"/>
    <x v="19"/>
    <m/>
    <m/>
    <m/>
    <m/>
    <m/>
    <m/>
    <m/>
    <m/>
    <m/>
    <m/>
    <m/>
  </r>
  <r>
    <n v="2111"/>
    <n v="173222"/>
    <s v="P"/>
    <s v="Capitalized"/>
    <s v="Decals for 2004 Peterbilt Model 320"/>
    <m/>
    <m/>
    <n v="1"/>
    <s v="1NPZLT0X24D715513"/>
    <n v="2005"/>
    <m/>
    <m/>
    <s v="TRUCKS AND TRAILERS"/>
    <s v="TBA"/>
    <s v="Non-Rolling Stock"/>
    <m/>
    <m/>
    <d v="2004-05-07T00:00:00"/>
    <d v="2004-05-07T00:00:00"/>
    <m/>
    <n v="1000"/>
    <n v="14040"/>
    <n v="612.41999999999996"/>
    <n v="14046"/>
    <n v="612.41999999999996"/>
    <n v="0"/>
    <n v="0"/>
    <n v="51260"/>
    <n v="0"/>
    <s v="P"/>
    <n v="0"/>
    <m/>
    <s v=" "/>
    <s v="STL"/>
    <s v="YES"/>
    <s v="TBD"/>
    <d v="2024-10-09T00:00:00"/>
    <x v="19"/>
    <m/>
    <m/>
    <m/>
    <m/>
    <m/>
    <m/>
    <m/>
    <m/>
    <m/>
    <m/>
    <m/>
  </r>
  <r>
    <n v="2111"/>
    <n v="173219"/>
    <s v="P"/>
    <s v="Capitalized"/>
    <s v="96 GAL Cart Assembly &amp; Delivery"/>
    <m/>
    <m/>
    <n v="2440"/>
    <m/>
    <n v="0"/>
    <s v="Toter Incorporated"/>
    <m/>
    <s v="CONTAINERS"/>
    <s v="TBA"/>
    <m/>
    <m/>
    <m/>
    <d v="2005-04-06T00:00:00"/>
    <d v="2005-04-06T00:00:00"/>
    <n v="52131002"/>
    <n v="700"/>
    <n v="14050"/>
    <n v="4628.68"/>
    <n v="14056"/>
    <n v="4628.68"/>
    <n v="0"/>
    <n v="0"/>
    <n v="54260"/>
    <n v="0"/>
    <s v="P"/>
    <n v="0"/>
    <m/>
    <s v=" "/>
    <s v="STL"/>
    <s v="YES"/>
    <s v="TBD"/>
    <d v="2024-10-09T00:00:00"/>
    <x v="19"/>
    <m/>
    <m/>
    <m/>
    <m/>
    <m/>
    <m/>
    <m/>
    <m/>
    <m/>
    <m/>
    <m/>
  </r>
  <r>
    <n v="2111"/>
    <n v="173218"/>
    <s v="P"/>
    <s v="Capitalized"/>
    <s v="96 GAL Cart Assembly &amp; Delivery"/>
    <m/>
    <m/>
    <n v="3488"/>
    <m/>
    <n v="0"/>
    <s v="Toter Incorporated"/>
    <m/>
    <s v="CONTAINERS"/>
    <s v="TBA"/>
    <m/>
    <m/>
    <m/>
    <d v="2005-03-30T00:00:00"/>
    <d v="2005-03-30T00:00:00"/>
    <n v="52131002"/>
    <n v="700"/>
    <n v="14050"/>
    <n v="6616.74"/>
    <n v="14056"/>
    <n v="6616.74"/>
    <n v="0"/>
    <n v="0"/>
    <n v="54260"/>
    <n v="0"/>
    <s v="P"/>
    <n v="0"/>
    <m/>
    <s v=" "/>
    <s v="STL"/>
    <s v="YES"/>
    <s v="TBD"/>
    <d v="2024-10-09T00:00:00"/>
    <x v="19"/>
    <m/>
    <m/>
    <m/>
    <m/>
    <m/>
    <m/>
    <m/>
    <m/>
    <m/>
    <m/>
    <m/>
  </r>
  <r>
    <n v="2111"/>
    <n v="173217"/>
    <s v="P"/>
    <s v="Capitalized"/>
    <s v="96 GAL Cart Assembly &amp; Delivery"/>
    <m/>
    <m/>
    <n v="1584"/>
    <m/>
    <n v="0"/>
    <s v="Toter Incorporated"/>
    <m/>
    <s v="CONTAINERS"/>
    <s v="TBA"/>
    <m/>
    <m/>
    <m/>
    <d v="2005-04-25T00:00:00"/>
    <d v="2005-04-25T00:00:00"/>
    <n v="52131002"/>
    <n v="700"/>
    <n v="14050"/>
    <n v="3004.85"/>
    <n v="14056"/>
    <n v="3004.85"/>
    <n v="0"/>
    <n v="0"/>
    <n v="54260"/>
    <n v="0"/>
    <s v="P"/>
    <n v="0"/>
    <m/>
    <s v=" "/>
    <s v="STL"/>
    <s v="YES"/>
    <s v="TBD"/>
    <d v="2024-10-09T00:00:00"/>
    <x v="19"/>
    <m/>
    <m/>
    <m/>
    <m/>
    <m/>
    <m/>
    <m/>
    <m/>
    <m/>
    <m/>
    <m/>
  </r>
  <r>
    <n v="2111"/>
    <n v="173216"/>
    <s v="P"/>
    <s v="Capitalized"/>
    <s v="96 GAL Cart Assembly &amp; Delivery"/>
    <m/>
    <m/>
    <n v="2884"/>
    <m/>
    <n v="0"/>
    <s v="Toter Incorporated"/>
    <m/>
    <s v="CONTAINERS"/>
    <s v="TBA"/>
    <m/>
    <m/>
    <m/>
    <d v="2005-03-24T00:00:00"/>
    <d v="2005-03-24T00:00:00"/>
    <n v="52131002"/>
    <n v="700"/>
    <n v="14050"/>
    <n v="5470.95"/>
    <n v="14056"/>
    <n v="5470.95"/>
    <n v="0"/>
    <n v="0"/>
    <n v="54260"/>
    <n v="0"/>
    <s v="P"/>
    <n v="0"/>
    <m/>
    <s v=" "/>
    <s v="STL"/>
    <s v="YES"/>
    <s v="TBD"/>
    <d v="2024-10-09T00:00:00"/>
    <x v="19"/>
    <m/>
    <m/>
    <m/>
    <m/>
    <m/>
    <m/>
    <m/>
    <m/>
    <m/>
    <m/>
    <m/>
  </r>
  <r>
    <n v="2111"/>
    <n v="173215"/>
    <s v="P"/>
    <s v="Capitalized"/>
    <s v="96 GAL Cart Assembly &amp; Delivery"/>
    <m/>
    <m/>
    <n v="2604"/>
    <m/>
    <n v="0"/>
    <s v="Toter Incorporated"/>
    <m/>
    <s v="CONTAINERS"/>
    <s v="TBA"/>
    <m/>
    <m/>
    <m/>
    <d v="2005-04-25T00:00:00"/>
    <d v="2005-04-25T00:00:00"/>
    <n v="52131002"/>
    <n v="700"/>
    <n v="14050"/>
    <n v="4939.79"/>
    <n v="14056"/>
    <n v="4939.79"/>
    <n v="0"/>
    <n v="0"/>
    <n v="54260"/>
    <n v="0"/>
    <s v="P"/>
    <n v="0"/>
    <m/>
    <s v=" "/>
    <s v="STL"/>
    <s v="YES"/>
    <s v="TBD"/>
    <d v="2024-10-09T00:00:00"/>
    <x v="19"/>
    <m/>
    <m/>
    <m/>
    <m/>
    <m/>
    <m/>
    <m/>
    <m/>
    <m/>
    <m/>
    <m/>
  </r>
  <r>
    <n v="2111"/>
    <n v="173214"/>
    <s v="P"/>
    <s v="Capitalized"/>
    <s v="96 GAL Cart Assembly &amp; Delivery"/>
    <m/>
    <m/>
    <n v="894"/>
    <m/>
    <n v="0"/>
    <s v="Toter Incorporated"/>
    <m/>
    <s v="CONTAINERS"/>
    <s v="TBA"/>
    <m/>
    <m/>
    <m/>
    <d v="2005-05-09T00:00:00"/>
    <d v="2005-05-09T00:00:00"/>
    <n v="52131002"/>
    <n v="700"/>
    <n v="14050"/>
    <n v="1702.18"/>
    <n v="14056"/>
    <n v="1702.18"/>
    <n v="0"/>
    <n v="0"/>
    <n v="54260"/>
    <n v="0"/>
    <s v="P"/>
    <n v="0"/>
    <m/>
    <s v=" "/>
    <s v="STL"/>
    <s v="YES"/>
    <s v="TBD"/>
    <d v="2024-10-09T00:00:00"/>
    <x v="19"/>
    <m/>
    <m/>
    <m/>
    <m/>
    <m/>
    <m/>
    <m/>
    <m/>
    <m/>
    <m/>
    <m/>
  </r>
  <r>
    <n v="2111"/>
    <n v="173213"/>
    <s v="P"/>
    <s v="Capitalized"/>
    <s v="96 GAL Cart Assembly &amp; Delivery"/>
    <m/>
    <m/>
    <n v="606"/>
    <m/>
    <n v="0"/>
    <s v="Toter Incorporated"/>
    <m/>
    <s v="CONTAINERS"/>
    <s v="TBA"/>
    <m/>
    <m/>
    <m/>
    <d v="2005-05-09T00:00:00"/>
    <d v="2005-05-09T00:00:00"/>
    <n v="52131002"/>
    <n v="700"/>
    <n v="14050"/>
    <n v="1153.82"/>
    <n v="14056"/>
    <n v="1153.82"/>
    <n v="0"/>
    <n v="0"/>
    <n v="54260"/>
    <n v="0"/>
    <s v="P"/>
    <n v="0"/>
    <m/>
    <s v=" "/>
    <s v="STL"/>
    <s v="YES"/>
    <s v="TBD"/>
    <d v="2024-10-09T00:00:00"/>
    <x v="19"/>
    <m/>
    <m/>
    <m/>
    <m/>
    <m/>
    <m/>
    <m/>
    <m/>
    <m/>
    <m/>
    <m/>
  </r>
  <r>
    <n v="2111"/>
    <n v="173212"/>
    <s v="P"/>
    <s v="Capitalized"/>
    <s v="4 Yd FL Murrey Containers"/>
    <m/>
    <m/>
    <n v="5"/>
    <m/>
    <n v="0"/>
    <s v="Capital Industries, Inc."/>
    <m/>
    <s v="CONTAINERS"/>
    <s v="TBA"/>
    <m/>
    <s v="4 YD"/>
    <s v="FEL/REL/SL Metal"/>
    <d v="2005-09-30T00:00:00"/>
    <d v="2005-09-30T00:00:00"/>
    <n v="52131011"/>
    <n v="1200"/>
    <n v="14050"/>
    <n v="2904.96"/>
    <n v="14056"/>
    <n v="2904.96"/>
    <n v="0"/>
    <n v="0"/>
    <n v="54260"/>
    <n v="0"/>
    <s v="P"/>
    <n v="0"/>
    <m/>
    <s v=" "/>
    <s v="STL"/>
    <s v="YES"/>
    <s v="TBD"/>
    <d v="2024-10-09T00:00:00"/>
    <x v="19"/>
    <m/>
    <m/>
    <m/>
    <m/>
    <m/>
    <m/>
    <m/>
    <m/>
    <m/>
    <m/>
    <m/>
  </r>
  <r>
    <n v="2111"/>
    <n v="173211"/>
    <s v="P"/>
    <s v="Capitalized"/>
    <s v="2 Yd FEL Containers-Murrey Green"/>
    <m/>
    <m/>
    <n v="10"/>
    <m/>
    <n v="0"/>
    <s v="Capital Industries, Inc."/>
    <m/>
    <s v="CONTAINERS"/>
    <s v="TBA"/>
    <m/>
    <s v="2 YD"/>
    <s v="FEL/REL/SL Metal"/>
    <d v="2005-10-25T00:00:00"/>
    <d v="2005-10-25T00:00:00"/>
    <n v="52131010"/>
    <n v="1200"/>
    <n v="14050"/>
    <n v="5222.3999999999996"/>
    <n v="14056"/>
    <n v="5222.3999999999996"/>
    <n v="0"/>
    <n v="0"/>
    <n v="54260"/>
    <n v="0"/>
    <s v="P"/>
    <n v="0"/>
    <m/>
    <s v=" "/>
    <s v="STL"/>
    <s v="YES"/>
    <s v="TBD"/>
    <d v="2024-10-09T00:00:00"/>
    <x v="19"/>
    <m/>
    <m/>
    <m/>
    <m/>
    <m/>
    <m/>
    <m/>
    <m/>
    <m/>
    <m/>
    <m/>
  </r>
  <r>
    <n v="2111"/>
    <n v="173210"/>
    <n v="12580"/>
    <s v="Capitalized"/>
    <s v="2001-2004 B&amp;O AUDIT-Mint PC Resources"/>
    <m/>
    <m/>
    <n v="1"/>
    <m/>
    <n v="0"/>
    <s v="Department of Revenue"/>
    <m/>
    <s v="HARDWARE AND SOFTWARE"/>
    <s v="TBA"/>
    <m/>
    <m/>
    <m/>
    <d v="2005-06-15T00:00:00"/>
    <d v="2005-06-15T00:00:00"/>
    <m/>
    <n v="300"/>
    <n v="14110"/>
    <n v="104.13"/>
    <n v="14116"/>
    <n v="104.13"/>
    <n v="0"/>
    <n v="0"/>
    <n v="70260"/>
    <n v="0"/>
    <s v="P"/>
    <n v="0"/>
    <m/>
    <s v=" "/>
    <s v="STL"/>
    <s v="YES"/>
    <s v="TBD"/>
    <d v="2024-10-09T00:00:00"/>
    <x v="19"/>
    <m/>
    <m/>
    <m/>
    <m/>
    <m/>
    <m/>
    <m/>
    <m/>
    <m/>
    <m/>
    <m/>
  </r>
  <r>
    <n v="2111"/>
    <n v="173209"/>
    <n v="173153"/>
    <s v="Capitalized"/>
    <s v="1.5 YD REL Cont."/>
    <m/>
    <m/>
    <n v="7"/>
    <m/>
    <n v="0"/>
    <s v="Department of Revenue"/>
    <m/>
    <s v="CONTAINERS"/>
    <s v="TBA"/>
    <m/>
    <m/>
    <m/>
    <d v="2005-06-15T00:00:00"/>
    <d v="2005-06-15T00:00:00"/>
    <m/>
    <n v="300"/>
    <n v="14050"/>
    <n v="206.55"/>
    <n v="14056"/>
    <n v="206.55"/>
    <n v="0"/>
    <n v="0"/>
    <n v="54260"/>
    <n v="0"/>
    <s v="P"/>
    <n v="0"/>
    <m/>
    <s v=" "/>
    <s v="STL"/>
    <s v="YES"/>
    <s v="TBD"/>
    <d v="2024-10-09T00:00:00"/>
    <x v="19"/>
    <m/>
    <m/>
    <m/>
    <m/>
    <m/>
    <m/>
    <m/>
    <m/>
    <m/>
    <m/>
    <m/>
  </r>
  <r>
    <n v="2111"/>
    <n v="173208"/>
    <n v="173152"/>
    <s v="Capitalized"/>
    <s v="1 YD REL Cont."/>
    <m/>
    <m/>
    <n v="7"/>
    <m/>
    <n v="0"/>
    <s v="Department of Revenue"/>
    <m/>
    <s v="CONTAINERS"/>
    <s v="TBA"/>
    <m/>
    <m/>
    <m/>
    <d v="2005-06-15T00:00:00"/>
    <d v="2005-06-15T00:00:00"/>
    <m/>
    <n v="300"/>
    <n v="14050"/>
    <n v="191.07"/>
    <n v="14056"/>
    <n v="191.07"/>
    <n v="0"/>
    <n v="0"/>
    <n v="54260"/>
    <n v="0"/>
    <s v="P"/>
    <n v="0"/>
    <m/>
    <s v=" "/>
    <s v="STL"/>
    <s v="YES"/>
    <s v="TBD"/>
    <d v="2024-10-09T00:00:00"/>
    <x v="19"/>
    <m/>
    <m/>
    <m/>
    <m/>
    <m/>
    <m/>
    <m/>
    <m/>
    <m/>
    <m/>
    <m/>
  </r>
  <r>
    <n v="2111"/>
    <n v="173207"/>
    <s v="P"/>
    <s v="Capitalized"/>
    <s v="Fuel Pump-Hi-Flow Dispenser; Diesel Nozzle; Hoses"/>
    <m/>
    <m/>
    <n v="1"/>
    <m/>
    <n v="0"/>
    <s v="REO Technology, LLC"/>
    <m/>
    <s v="SHOP EQUIPMENT"/>
    <s v="TBA"/>
    <m/>
    <m/>
    <m/>
    <d v="2005-06-28T00:00:00"/>
    <d v="2005-06-28T00:00:00"/>
    <n v="52131003"/>
    <n v="1000"/>
    <n v="14070"/>
    <n v="9411.5499999999993"/>
    <n v="14076"/>
    <n v="9411.5499999999993"/>
    <n v="0"/>
    <n v="0"/>
    <n v="51260"/>
    <n v="0"/>
    <s v="P"/>
    <n v="0"/>
    <m/>
    <s v=" "/>
    <s v="STL"/>
    <s v="YES"/>
    <s v="TBD"/>
    <d v="2024-10-09T00:00:00"/>
    <x v="19"/>
    <m/>
    <m/>
    <m/>
    <m/>
    <m/>
    <m/>
    <m/>
    <m/>
    <m/>
    <m/>
    <m/>
  </r>
  <r>
    <n v="2111"/>
    <n v="173206"/>
    <s v="P"/>
    <s v="Capitalized"/>
    <s v="1 Yd REL Containers w/ Plastic Lids &amp; Casters"/>
    <m/>
    <m/>
    <n v="20"/>
    <m/>
    <n v="0"/>
    <s v="Capital Industries, Inc."/>
    <m/>
    <s v="CONTAINERS"/>
    <s v="TBA"/>
    <m/>
    <s v="1 YD"/>
    <s v="FEL/REL/SL Metal"/>
    <d v="2005-06-23T00:00:00"/>
    <d v="2005-06-23T00:00:00"/>
    <n v="52131005"/>
    <n v="1200"/>
    <n v="14050"/>
    <n v="8268.7999999999993"/>
    <n v="14056"/>
    <n v="8268.7999999999993"/>
    <n v="0"/>
    <n v="0"/>
    <n v="54260"/>
    <n v="0"/>
    <s v="P"/>
    <n v="0"/>
    <m/>
    <s v=" "/>
    <s v="STL"/>
    <s v="YES"/>
    <s v="TBD"/>
    <d v="2024-10-09T00:00:00"/>
    <x v="19"/>
    <m/>
    <m/>
    <m/>
    <m/>
    <m/>
    <m/>
    <m/>
    <m/>
    <m/>
    <m/>
    <m/>
  </r>
  <r>
    <n v="2111"/>
    <n v="173205"/>
    <s v="P"/>
    <s v="Capitalized"/>
    <s v="taxes"/>
    <m/>
    <m/>
    <n v="5"/>
    <m/>
    <n v="0"/>
    <s v="Enterprise Sales, Inc"/>
    <m/>
    <s v="CONTAINERS"/>
    <s v="TBA"/>
    <m/>
    <m/>
    <m/>
    <d v="2005-06-22T00:00:00"/>
    <d v="2005-06-22T00:00:00"/>
    <n v="52131006"/>
    <n v="1200"/>
    <n v="14050"/>
    <n v="26933.439999999999"/>
    <n v="14056"/>
    <n v="26933.439999999999"/>
    <n v="0"/>
    <n v="0"/>
    <n v="54260"/>
    <n v="0"/>
    <s v="P"/>
    <n v="0"/>
    <m/>
    <s v=" "/>
    <s v="STL"/>
    <s v="YES"/>
    <s v="TBD"/>
    <d v="2024-10-09T00:00:00"/>
    <x v="19"/>
    <m/>
    <m/>
    <m/>
    <m/>
    <m/>
    <m/>
    <m/>
    <m/>
    <m/>
    <m/>
    <m/>
  </r>
  <r>
    <n v="2111"/>
    <n v="173204"/>
    <s v="P"/>
    <s v="Capitalized"/>
    <s v="Install EPO System on McNeilus S/L-Kit Adjustment"/>
    <m/>
    <m/>
    <n v="1"/>
    <s v="5VCH36PE35H201577"/>
    <n v="2005"/>
    <m/>
    <m/>
    <s v="TRUCKS AND TRAILERS"/>
    <s v="TBA"/>
    <s v="Non-Rolling Stock"/>
    <m/>
    <m/>
    <d v="2005-05-11T00:00:00"/>
    <d v="2005-05-11T00:00:00"/>
    <n v="52131001"/>
    <n v="1000"/>
    <n v="14040"/>
    <n v="65.11"/>
    <n v="14046"/>
    <n v="65.11"/>
    <n v="0"/>
    <n v="0"/>
    <n v="51260"/>
    <n v="0"/>
    <s v="P"/>
    <n v="0"/>
    <m/>
    <s v=" "/>
    <s v="STL"/>
    <s v="YES"/>
    <s v="TBD"/>
    <d v="2024-10-09T00:00:00"/>
    <x v="19"/>
    <m/>
    <m/>
    <m/>
    <m/>
    <m/>
    <m/>
    <m/>
    <m/>
    <m/>
    <m/>
    <m/>
  </r>
  <r>
    <n v="2111"/>
    <n v="173203"/>
    <s v="P"/>
    <s v="Capitalized"/>
    <s v="Install EPO System on McNeilus S/L-Pump Assembly"/>
    <m/>
    <m/>
    <n v="1"/>
    <s v="5VCH36PE55H201578"/>
    <n v="2005"/>
    <m/>
    <m/>
    <s v="TRUCKS AND TRAILERS"/>
    <s v="TBA"/>
    <s v="Non-Rolling Stock"/>
    <m/>
    <m/>
    <d v="2005-05-11T00:00:00"/>
    <d v="2005-05-11T00:00:00"/>
    <n v="52131001"/>
    <n v="1000"/>
    <n v="14040"/>
    <n v="3602.39"/>
    <n v="14046"/>
    <n v="3602.39"/>
    <n v="0"/>
    <n v="0"/>
    <n v="51260"/>
    <n v="0"/>
    <s v="P"/>
    <n v="0"/>
    <m/>
    <s v=" "/>
    <s v="STL"/>
    <s v="YES"/>
    <s v="TBD"/>
    <d v="2024-10-09T00:00:00"/>
    <x v="19"/>
    <m/>
    <m/>
    <m/>
    <m/>
    <m/>
    <m/>
    <m/>
    <m/>
    <m/>
    <m/>
    <m/>
  </r>
  <r>
    <n v="2111"/>
    <n v="173202"/>
    <s v="P"/>
    <s v="Capitalized"/>
    <s v="Install EPO System on McNeilus S/L -Pump Assembly"/>
    <m/>
    <m/>
    <n v="1"/>
    <s v="5VCH36PE35H201577"/>
    <n v="2005"/>
    <m/>
    <m/>
    <s v="TRUCKS AND TRAILERS"/>
    <s v="TBA"/>
    <s v="Non-Rolling Stock"/>
    <m/>
    <m/>
    <d v="2005-04-28T00:00:00"/>
    <d v="2005-04-28T00:00:00"/>
    <n v="52131001"/>
    <n v="1000"/>
    <n v="14040"/>
    <n v="3537.29"/>
    <n v="14046"/>
    <n v="3537.29"/>
    <n v="0"/>
    <n v="0"/>
    <n v="51260"/>
    <n v="0"/>
    <s v="P"/>
    <n v="0"/>
    <m/>
    <s v=" "/>
    <s v="STL"/>
    <s v="YES"/>
    <s v="TBD"/>
    <d v="2024-10-09T00:00:00"/>
    <x v="19"/>
    <m/>
    <m/>
    <m/>
    <m/>
    <m/>
    <m/>
    <m/>
    <m/>
    <m/>
    <m/>
    <m/>
  </r>
  <r>
    <n v="2111"/>
    <n v="173200"/>
    <s v="P"/>
    <s v="Capitalized"/>
    <s v="1 Yard FEL Containers w/ Lids &amp; Casters"/>
    <m/>
    <m/>
    <n v="1"/>
    <m/>
    <n v="0"/>
    <s v="Capital Industries, Inc."/>
    <m/>
    <s v="CONTAINERS"/>
    <s v="TBA"/>
    <m/>
    <s v="1 YD"/>
    <s v="FEL/REL/SL Metal"/>
    <d v="2005-06-16T00:00:00"/>
    <d v="2005-06-16T00:00:00"/>
    <n v="52131007"/>
    <n v="1200"/>
    <n v="14050"/>
    <n v="429.76"/>
    <n v="14056"/>
    <n v="429.76"/>
    <n v="0"/>
    <n v="0"/>
    <n v="54260"/>
    <n v="0"/>
    <s v="P"/>
    <n v="0"/>
    <m/>
    <s v=" "/>
    <s v="STL"/>
    <s v="YES"/>
    <s v="TBD"/>
    <d v="2024-10-09T00:00:00"/>
    <x v="19"/>
    <m/>
    <m/>
    <m/>
    <m/>
    <m/>
    <m/>
    <m/>
    <m/>
    <m/>
    <m/>
    <m/>
  </r>
  <r>
    <n v="2111"/>
    <n v="173199"/>
    <s v="P"/>
    <s v="Capitalized"/>
    <s v="96 GAL EVR II UNIV/NE0201 - SEAHAWK GRANITE"/>
    <m/>
    <m/>
    <n v="720"/>
    <s v="A9002881 THRU A9003600"/>
    <n v="0"/>
    <s v="Toter Incorporated"/>
    <m/>
    <s v="CONTAINERS"/>
    <s v="TBA"/>
    <m/>
    <m/>
    <m/>
    <d v="2005-03-02T00:00:00"/>
    <d v="2005-03-02T00:00:00"/>
    <n v="52131002"/>
    <n v="700"/>
    <n v="14050"/>
    <n v="28487.52"/>
    <n v="14056"/>
    <n v="28487.52"/>
    <n v="0"/>
    <n v="0"/>
    <n v="54260"/>
    <n v="0"/>
    <s v="P"/>
    <n v="0"/>
    <m/>
    <s v=" "/>
    <s v="STL"/>
    <s v="YES"/>
    <s v="TBD"/>
    <d v="2024-10-09T00:00:00"/>
    <x v="19"/>
    <m/>
    <m/>
    <m/>
    <m/>
    <m/>
    <m/>
    <m/>
    <m/>
    <m/>
    <m/>
    <m/>
  </r>
  <r>
    <n v="2111"/>
    <n v="173198"/>
    <s v="P"/>
    <s v="Capitalized"/>
    <s v="96 GAL EVR II UNIV/NE0201 - SEAHAWK GRANITE"/>
    <m/>
    <m/>
    <n v="720"/>
    <s v="A9006481 THRU A9007200"/>
    <n v="0"/>
    <s v="Toter Incorporated"/>
    <m/>
    <s v="CONTAINERS"/>
    <s v="TBA"/>
    <m/>
    <m/>
    <m/>
    <d v="2005-03-07T00:00:00"/>
    <d v="2005-03-07T00:00:00"/>
    <n v="52131002"/>
    <n v="700"/>
    <n v="14050"/>
    <n v="28487.52"/>
    <n v="14056"/>
    <n v="28487.52"/>
    <n v="0"/>
    <n v="0"/>
    <n v="54260"/>
    <n v="0"/>
    <s v="P"/>
    <n v="0"/>
    <m/>
    <s v=" "/>
    <s v="STL"/>
    <s v="YES"/>
    <s v="TBD"/>
    <d v="2024-10-09T00:00:00"/>
    <x v="19"/>
    <m/>
    <m/>
    <m/>
    <m/>
    <m/>
    <m/>
    <m/>
    <m/>
    <m/>
    <m/>
    <m/>
  </r>
  <r>
    <n v="2111"/>
    <n v="173197"/>
    <s v="P"/>
    <s v="Capitalized"/>
    <s v="96 GAL EVR II UNIV/NE0201 - SEAHAWK GRANITE"/>
    <m/>
    <m/>
    <n v="720"/>
    <s v="A9007201 THRU A9007920"/>
    <n v="0"/>
    <s v="Toter Incorporated"/>
    <m/>
    <s v="CONTAINERS"/>
    <s v="TBA"/>
    <m/>
    <m/>
    <m/>
    <d v="2005-03-07T00:00:00"/>
    <d v="2005-03-07T00:00:00"/>
    <n v="52131002"/>
    <n v="700"/>
    <n v="14050"/>
    <n v="28487.52"/>
    <n v="14056"/>
    <n v="28487.52"/>
    <n v="0"/>
    <n v="0"/>
    <n v="54260"/>
    <n v="0"/>
    <s v="P"/>
    <n v="0"/>
    <m/>
    <s v=" "/>
    <s v="STL"/>
    <s v="YES"/>
    <s v="TBD"/>
    <d v="2024-10-09T00:00:00"/>
    <x v="19"/>
    <m/>
    <m/>
    <m/>
    <m/>
    <m/>
    <m/>
    <m/>
    <m/>
    <m/>
    <m/>
    <m/>
  </r>
  <r>
    <n v="2111"/>
    <n v="173196"/>
    <s v="P"/>
    <s v="Capitalized"/>
    <s v="96 GAL EVR II UNIV/NE0201 - SEAHAWK GRANITE"/>
    <m/>
    <m/>
    <n v="720"/>
    <s v="A9012241 THRU A9012960"/>
    <n v="0"/>
    <s v="Toter Incorporated"/>
    <m/>
    <s v="CONTAINERS"/>
    <s v="TBA"/>
    <m/>
    <m/>
    <m/>
    <d v="2005-03-11T00:00:00"/>
    <d v="2005-03-11T00:00:00"/>
    <n v="52131002"/>
    <n v="700"/>
    <n v="14050"/>
    <n v="28487.52"/>
    <n v="14056"/>
    <n v="28487.52"/>
    <n v="0"/>
    <n v="0"/>
    <n v="54260"/>
    <n v="0"/>
    <s v="P"/>
    <n v="0"/>
    <m/>
    <s v=" "/>
    <s v="STL"/>
    <s v="YES"/>
    <s v="TBD"/>
    <d v="2024-10-09T00:00:00"/>
    <x v="19"/>
    <m/>
    <m/>
    <m/>
    <m/>
    <m/>
    <m/>
    <m/>
    <m/>
    <m/>
    <m/>
    <m/>
  </r>
  <r>
    <n v="2111"/>
    <n v="173195"/>
    <s v="P"/>
    <s v="Capitalized"/>
    <s v="96 GAL EVR II UNIV/NE0201 - SEAHAWK GRANITE"/>
    <m/>
    <m/>
    <n v="60"/>
    <s v="A9054941 THRU A9055000"/>
    <n v="0"/>
    <s v="Toter Incorporated"/>
    <m/>
    <s v="CONTAINERS"/>
    <s v="TBA"/>
    <m/>
    <m/>
    <m/>
    <d v="2005-05-04T00:00:00"/>
    <d v="2005-05-04T00:00:00"/>
    <n v="52131002"/>
    <n v="700"/>
    <n v="14050"/>
    <n v="2382.7199999999998"/>
    <n v="14056"/>
    <n v="2382.7199999999998"/>
    <n v="0"/>
    <n v="0"/>
    <n v="54260"/>
    <n v="0"/>
    <s v="P"/>
    <n v="0"/>
    <m/>
    <s v=" "/>
    <s v="STL"/>
    <s v="YES"/>
    <s v="TBD"/>
    <d v="2024-10-09T00:00:00"/>
    <x v="19"/>
    <m/>
    <m/>
    <m/>
    <m/>
    <m/>
    <m/>
    <m/>
    <m/>
    <m/>
    <m/>
    <m/>
  </r>
  <r>
    <n v="2111"/>
    <n v="173194"/>
    <s v="P"/>
    <s v="Capitalized"/>
    <s v="96 GAL EVR II UNIV/NE0201 - SEAHAWK GRANITE"/>
    <m/>
    <m/>
    <n v="720"/>
    <s v="A9054221 THRU A9054940"/>
    <n v="0"/>
    <s v="Toter Incorporated"/>
    <m/>
    <s v="CONTAINERS"/>
    <s v="TBA"/>
    <m/>
    <m/>
    <m/>
    <d v="2005-04-28T00:00:00"/>
    <d v="2005-04-28T00:00:00"/>
    <n v="52131002"/>
    <n v="700"/>
    <n v="14050"/>
    <n v="28592.639999999999"/>
    <n v="14056"/>
    <n v="28592.639999999999"/>
    <n v="0"/>
    <n v="0"/>
    <n v="54260"/>
    <n v="0"/>
    <s v="P"/>
    <n v="0"/>
    <m/>
    <s v=" "/>
    <s v="STL"/>
    <s v="YES"/>
    <s v="TBD"/>
    <d v="2024-10-09T00:00:00"/>
    <x v="19"/>
    <m/>
    <m/>
    <m/>
    <m/>
    <m/>
    <m/>
    <m/>
    <m/>
    <m/>
    <m/>
    <m/>
  </r>
  <r>
    <n v="2111"/>
    <n v="173193"/>
    <s v="P"/>
    <s v="Capitalized"/>
    <s v="96 GAL EVR II UNIV/NE0201 - SEAHAWK GRANITE"/>
    <m/>
    <m/>
    <n v="720"/>
    <s v="A9053501 THRU A9054220"/>
    <n v="0"/>
    <s v="Toter Incorporated"/>
    <m/>
    <s v="CONTAINERS"/>
    <s v="TBA"/>
    <m/>
    <m/>
    <m/>
    <d v="2005-04-28T00:00:00"/>
    <d v="2005-04-28T00:00:00"/>
    <n v="52131002"/>
    <n v="700"/>
    <n v="14050"/>
    <n v="28592.639999999999"/>
    <n v="14056"/>
    <n v="28592.639999999999"/>
    <n v="0"/>
    <n v="0"/>
    <n v="54260"/>
    <n v="0"/>
    <s v="P"/>
    <n v="0"/>
    <m/>
    <s v=" "/>
    <s v="STL"/>
    <s v="YES"/>
    <s v="TBD"/>
    <d v="2024-10-09T00:00:00"/>
    <x v="19"/>
    <m/>
    <m/>
    <m/>
    <m/>
    <m/>
    <m/>
    <m/>
    <m/>
    <m/>
    <m/>
    <m/>
  </r>
  <r>
    <n v="2111"/>
    <n v="173192"/>
    <s v="P"/>
    <s v="Capitalized"/>
    <s v="96 GAL EVR II UNIV/NE0201 - SEAHAWK GRANITE"/>
    <m/>
    <m/>
    <n v="40"/>
    <s v="A9012961 THRU A9013000"/>
    <n v="0"/>
    <s v="Toter Incorporated"/>
    <m/>
    <s v="CONTAINERS"/>
    <s v="TBA"/>
    <m/>
    <m/>
    <m/>
    <d v="2005-04-01T00:00:00"/>
    <d v="2005-04-01T00:00:00"/>
    <n v="52131002"/>
    <n v="700"/>
    <n v="14050"/>
    <n v="1582.64"/>
    <n v="14056"/>
    <n v="1582.64"/>
    <n v="0"/>
    <n v="0"/>
    <n v="54260"/>
    <n v="0"/>
    <s v="P"/>
    <n v="0"/>
    <m/>
    <s v=" "/>
    <s v="STL"/>
    <s v="YES"/>
    <s v="TBD"/>
    <d v="2024-10-09T00:00:00"/>
    <x v="19"/>
    <m/>
    <m/>
    <m/>
    <m/>
    <m/>
    <m/>
    <m/>
    <m/>
    <m/>
    <m/>
    <m/>
  </r>
  <r>
    <n v="2111"/>
    <n v="173191"/>
    <s v="P"/>
    <s v="Capitalized"/>
    <s v="96 GAL EVR II UNIV/NE0201 - SEAHAWK GRANITE"/>
    <m/>
    <m/>
    <n v="720"/>
    <s v="A9009361 THRU A9010080"/>
    <n v="0"/>
    <s v="Toter Incorporated"/>
    <m/>
    <s v="CONTAINERS"/>
    <s v="TBA"/>
    <m/>
    <m/>
    <m/>
    <d v="2005-03-09T00:00:00"/>
    <d v="2005-03-09T00:00:00"/>
    <n v="52131002"/>
    <n v="700"/>
    <n v="14050"/>
    <n v="28487.52"/>
    <n v="14056"/>
    <n v="28487.52"/>
    <n v="0"/>
    <n v="0"/>
    <n v="54260"/>
    <n v="0"/>
    <s v="P"/>
    <n v="0"/>
    <m/>
    <s v=" "/>
    <s v="STL"/>
    <s v="YES"/>
    <s v="TBD"/>
    <d v="2024-10-09T00:00:00"/>
    <x v="19"/>
    <m/>
    <m/>
    <m/>
    <m/>
    <m/>
    <m/>
    <m/>
    <m/>
    <m/>
    <m/>
    <m/>
  </r>
  <r>
    <n v="2111"/>
    <n v="173190"/>
    <s v="P"/>
    <s v="Capitalized"/>
    <s v="96 GAL EVR II UNIV/NE0201 - SEAHAWK GRANITE"/>
    <m/>
    <m/>
    <n v="720"/>
    <s v="A9011521 THRU A9012240"/>
    <n v="0"/>
    <s v="Toter Incorporated"/>
    <m/>
    <s v="CONTAINERS"/>
    <s v="TBA"/>
    <m/>
    <m/>
    <m/>
    <d v="2005-03-10T00:00:00"/>
    <d v="2005-03-10T00:00:00"/>
    <n v="52131002"/>
    <n v="700"/>
    <n v="14050"/>
    <n v="28487.52"/>
    <n v="14056"/>
    <n v="28487.52"/>
    <n v="0"/>
    <n v="0"/>
    <n v="54260"/>
    <n v="0"/>
    <s v="P"/>
    <n v="0"/>
    <m/>
    <s v=" "/>
    <s v="STL"/>
    <s v="YES"/>
    <s v="TBD"/>
    <d v="2024-10-09T00:00:00"/>
    <x v="19"/>
    <m/>
    <m/>
    <m/>
    <m/>
    <m/>
    <m/>
    <m/>
    <m/>
    <m/>
    <m/>
    <m/>
  </r>
  <r>
    <n v="2111"/>
    <n v="173189"/>
    <s v="P"/>
    <s v="Capitalized"/>
    <s v="96 GAL EVR II UNIV/NE0201 - SEAHAWK GRANITE"/>
    <m/>
    <m/>
    <n v="720"/>
    <s v="A9001441 THRU A9002160"/>
    <n v="0"/>
    <s v="Toter Incorporated"/>
    <m/>
    <s v="CONTAINERS"/>
    <s v="TBA"/>
    <m/>
    <m/>
    <m/>
    <d v="2005-02-24T00:00:00"/>
    <d v="2005-02-24T00:00:00"/>
    <n v="52131002"/>
    <n v="700"/>
    <n v="14050"/>
    <n v="28592.639999999999"/>
    <n v="14056"/>
    <n v="28592.639999999999"/>
    <n v="0"/>
    <n v="0"/>
    <n v="54260"/>
    <n v="0"/>
    <s v="P"/>
    <n v="0"/>
    <m/>
    <s v=" "/>
    <s v="STL"/>
    <s v="YES"/>
    <s v="TBD"/>
    <d v="2024-10-09T00:00:00"/>
    <x v="19"/>
    <m/>
    <m/>
    <m/>
    <m/>
    <m/>
    <m/>
    <m/>
    <m/>
    <m/>
    <m/>
    <m/>
  </r>
  <r>
    <n v="2111"/>
    <n v="173188"/>
    <s v="P"/>
    <s v="Capitalized"/>
    <s v="96 GAL EVR II UNIV/NE0201 - SEAHAWK GRANITE"/>
    <m/>
    <m/>
    <n v="720"/>
    <s v="A9000721 THRU A9001440"/>
    <n v="0"/>
    <s v="Toter Incorporated"/>
    <m/>
    <s v="CONTAINERS"/>
    <s v="TBA"/>
    <m/>
    <m/>
    <m/>
    <d v="2005-02-24T00:00:00"/>
    <d v="2005-02-24T00:00:00"/>
    <n v="52131002"/>
    <n v="700"/>
    <n v="14050"/>
    <n v="28592.639999999999"/>
    <n v="14056"/>
    <n v="28592.639999999999"/>
    <n v="0"/>
    <n v="0"/>
    <n v="54260"/>
    <n v="0"/>
    <s v="P"/>
    <n v="0"/>
    <m/>
    <s v=" "/>
    <s v="STL"/>
    <s v="YES"/>
    <s v="TBD"/>
    <d v="2024-10-09T00:00:00"/>
    <x v="19"/>
    <m/>
    <m/>
    <m/>
    <m/>
    <m/>
    <m/>
    <m/>
    <m/>
    <m/>
    <m/>
    <m/>
  </r>
  <r>
    <n v="2111"/>
    <n v="173187"/>
    <s v="P"/>
    <s v="Capitalized"/>
    <s v="96 GAL EVR II UNIV/NE0201 - SEAHAWK GRANITE"/>
    <m/>
    <m/>
    <n v="720"/>
    <s v="A9002161 THRU A9002880"/>
    <n v="0"/>
    <s v="Toter Incorporated"/>
    <m/>
    <s v="CONTAINERS"/>
    <s v="TBA"/>
    <m/>
    <m/>
    <m/>
    <d v="2005-02-25T00:00:00"/>
    <d v="2005-02-25T00:00:00"/>
    <n v="52131002"/>
    <n v="700"/>
    <n v="14050"/>
    <n v="28592.639999999999"/>
    <n v="14056"/>
    <n v="28592.639999999999"/>
    <n v="0"/>
    <n v="0"/>
    <n v="54260"/>
    <n v="0"/>
    <s v="P"/>
    <n v="0"/>
    <m/>
    <s v=" "/>
    <s v="STL"/>
    <s v="YES"/>
    <s v="TBD"/>
    <d v="2024-10-09T00:00:00"/>
    <x v="19"/>
    <m/>
    <m/>
    <m/>
    <m/>
    <m/>
    <m/>
    <m/>
    <m/>
    <m/>
    <m/>
    <m/>
  </r>
  <r>
    <n v="2111"/>
    <n v="173186"/>
    <s v="P"/>
    <s v="Capitalized"/>
    <s v="96 GAL EVR II UNIV/NE0201 - SEAHAWK GRANITE"/>
    <m/>
    <m/>
    <n v="720"/>
    <s v="A9000001 THRU A9000720"/>
    <n v="0"/>
    <s v="Toter Incorporated"/>
    <m/>
    <s v="CONTAINERS"/>
    <s v="TBA"/>
    <m/>
    <m/>
    <m/>
    <d v="2005-02-23T00:00:00"/>
    <d v="2005-02-23T00:00:00"/>
    <n v="52131002"/>
    <n v="700"/>
    <n v="14050"/>
    <n v="28592.639999999999"/>
    <n v="14056"/>
    <n v="28592.639999999999"/>
    <n v="0"/>
    <n v="0"/>
    <n v="54260"/>
    <n v="0"/>
    <s v="P"/>
    <n v="0"/>
    <m/>
    <s v=" "/>
    <s v="STL"/>
    <s v="YES"/>
    <s v="TBD"/>
    <d v="2024-10-09T00:00:00"/>
    <x v="19"/>
    <m/>
    <m/>
    <m/>
    <m/>
    <m/>
    <m/>
    <m/>
    <m/>
    <m/>
    <m/>
    <m/>
  </r>
  <r>
    <n v="2111"/>
    <n v="173185"/>
    <s v="P"/>
    <s v="Capitalized"/>
    <s v="96 GAL EVR II UNIV/NE0201 - SEAHAWK GRANITE"/>
    <m/>
    <m/>
    <n v="720"/>
    <s v="A9005041 THRU A9005760"/>
    <n v="0"/>
    <s v="Toter Incorporated"/>
    <m/>
    <s v="CONTAINERS"/>
    <s v="TBA"/>
    <m/>
    <m/>
    <m/>
    <d v="2005-03-03T00:00:00"/>
    <d v="2005-03-03T00:00:00"/>
    <n v="52131002"/>
    <n v="700"/>
    <n v="14050"/>
    <n v="28592.639999999999"/>
    <n v="14056"/>
    <n v="28592.639999999999"/>
    <n v="0"/>
    <n v="0"/>
    <n v="54260"/>
    <n v="0"/>
    <s v="P"/>
    <n v="0"/>
    <m/>
    <s v=" "/>
    <s v="STL"/>
    <s v="YES"/>
    <s v="TBD"/>
    <d v="2024-10-09T00:00:00"/>
    <x v="19"/>
    <m/>
    <m/>
    <m/>
    <m/>
    <m/>
    <m/>
    <m/>
    <m/>
    <m/>
    <m/>
    <m/>
  </r>
  <r>
    <n v="2111"/>
    <n v="173184"/>
    <s v="P"/>
    <s v="Capitalized"/>
    <s v="96 GAL EVR II UNIV/NE0201 - SEAHAWK GRANITE"/>
    <m/>
    <m/>
    <n v="720"/>
    <s v="A9004321 THRU A9005040"/>
    <n v="0"/>
    <s v="Toter Incorporated"/>
    <m/>
    <s v="CONTAINERS"/>
    <s v="TBA"/>
    <m/>
    <m/>
    <m/>
    <d v="2005-03-03T00:00:00"/>
    <d v="2005-03-03T00:00:00"/>
    <n v="52131002"/>
    <n v="700"/>
    <n v="14050"/>
    <n v="28592.639999999999"/>
    <n v="14056"/>
    <n v="28592.639999999999"/>
    <n v="0"/>
    <n v="0"/>
    <n v="54260"/>
    <n v="0"/>
    <s v="P"/>
    <n v="0"/>
    <m/>
    <s v=" "/>
    <s v="STL"/>
    <s v="YES"/>
    <s v="TBD"/>
    <d v="2024-10-09T00:00:00"/>
    <x v="19"/>
    <m/>
    <m/>
    <m/>
    <m/>
    <m/>
    <m/>
    <m/>
    <m/>
    <m/>
    <m/>
    <m/>
  </r>
  <r>
    <n v="2111"/>
    <n v="173183"/>
    <s v="P"/>
    <s v="Capitalized"/>
    <s v="96 GAL EVR II UNIV/NE0201 - SEAHAWK GRANITE"/>
    <m/>
    <m/>
    <n v="720"/>
    <s v="A9003601 THRU A9004320"/>
    <n v="0"/>
    <s v="Toter Incorporated"/>
    <m/>
    <s v="CONTAINERS"/>
    <s v="TBA"/>
    <m/>
    <m/>
    <m/>
    <d v="2005-03-02T00:00:00"/>
    <d v="2005-03-02T00:00:00"/>
    <n v="52131002"/>
    <n v="700"/>
    <n v="14050"/>
    <n v="28592.639999999999"/>
    <n v="14056"/>
    <n v="28592.639999999999"/>
    <n v="0"/>
    <n v="0"/>
    <n v="54260"/>
    <n v="0"/>
    <s v="P"/>
    <n v="0"/>
    <m/>
    <s v=" "/>
    <s v="STL"/>
    <s v="YES"/>
    <s v="TBD"/>
    <d v="2024-10-09T00:00:00"/>
    <x v="19"/>
    <m/>
    <m/>
    <m/>
    <m/>
    <m/>
    <m/>
    <m/>
    <m/>
    <m/>
    <m/>
    <m/>
  </r>
  <r>
    <n v="2111"/>
    <n v="173182"/>
    <s v="P"/>
    <s v="Capitalized"/>
    <s v="96 GAL EVR II UNIV/NE0201 - SEAHAWK GRANITE"/>
    <m/>
    <m/>
    <n v="720"/>
    <s v="A9008641 THRU A9009360"/>
    <n v="0"/>
    <s v="Toter Incorporated"/>
    <m/>
    <s v="CONTAINERS"/>
    <s v="TBA"/>
    <m/>
    <m/>
    <m/>
    <d v="2005-03-08T00:00:00"/>
    <d v="2005-03-08T00:00:00"/>
    <n v="52131002"/>
    <n v="700"/>
    <n v="14050"/>
    <n v="28592.639999999999"/>
    <n v="14056"/>
    <n v="28592.639999999999"/>
    <n v="0"/>
    <n v="0"/>
    <n v="54260"/>
    <n v="0"/>
    <s v="P"/>
    <n v="0"/>
    <m/>
    <s v=" "/>
    <s v="STL"/>
    <s v="YES"/>
    <s v="TBD"/>
    <d v="2024-10-09T00:00:00"/>
    <x v="19"/>
    <m/>
    <m/>
    <m/>
    <m/>
    <m/>
    <m/>
    <m/>
    <m/>
    <m/>
    <m/>
    <m/>
  </r>
  <r>
    <n v="2111"/>
    <n v="173181"/>
    <s v="P"/>
    <s v="Capitalized"/>
    <s v="96 GAL EVR II UNIV/NE0201 - SEAHAWK GRANITE"/>
    <m/>
    <m/>
    <n v="720"/>
    <s v="A9007921 THRU A9008640"/>
    <n v="0"/>
    <s v="Toter Incorporated"/>
    <m/>
    <s v="CONTAINERS"/>
    <s v="TBA"/>
    <m/>
    <m/>
    <m/>
    <d v="2005-03-08T00:00:00"/>
    <d v="2005-03-08T00:00:00"/>
    <n v="52131002"/>
    <n v="700"/>
    <n v="14050"/>
    <n v="28592.639999999999"/>
    <n v="14056"/>
    <n v="28592.639999999999"/>
    <n v="0"/>
    <n v="0"/>
    <n v="54260"/>
    <n v="0"/>
    <s v="P"/>
    <n v="0"/>
    <m/>
    <s v=" "/>
    <s v="STL"/>
    <s v="YES"/>
    <s v="TBD"/>
    <d v="2024-10-09T00:00:00"/>
    <x v="19"/>
    <m/>
    <m/>
    <m/>
    <m/>
    <m/>
    <m/>
    <m/>
    <m/>
    <m/>
    <m/>
    <m/>
  </r>
  <r>
    <n v="2111"/>
    <n v="173180"/>
    <s v="P"/>
    <s v="Capitalized"/>
    <s v="96 GAL EVR II UNIV/NE0201 - SEAHAWK GRANITE"/>
    <m/>
    <m/>
    <n v="720"/>
    <s v="A9010801 THRU A9011520"/>
    <n v="0"/>
    <s v="Toter Incorporated"/>
    <m/>
    <s v="CONTAINERS"/>
    <s v="TBA"/>
    <m/>
    <m/>
    <m/>
    <d v="2005-03-10T00:00:00"/>
    <d v="2005-03-10T00:00:00"/>
    <n v="52131002"/>
    <n v="700"/>
    <n v="14050"/>
    <n v="28592.639999999999"/>
    <n v="14056"/>
    <n v="28592.639999999999"/>
    <n v="0"/>
    <n v="0"/>
    <n v="54260"/>
    <n v="0"/>
    <s v="P"/>
    <n v="0"/>
    <m/>
    <s v=" "/>
    <s v="STL"/>
    <s v="YES"/>
    <s v="TBD"/>
    <d v="2024-10-09T00:00:00"/>
    <x v="19"/>
    <m/>
    <m/>
    <m/>
    <m/>
    <m/>
    <m/>
    <m/>
    <m/>
    <m/>
    <m/>
    <m/>
  </r>
  <r>
    <n v="2111"/>
    <n v="173179"/>
    <s v="P"/>
    <s v="Capitalized"/>
    <s v="96 GAL EVR II UNIV/NE0201 - SEAHAWK GRANITE"/>
    <m/>
    <m/>
    <n v="720"/>
    <s v="A9005761 THRU A9006480"/>
    <n v="0"/>
    <s v="Toter Incorporated"/>
    <m/>
    <s v="CONTAINERS"/>
    <s v="TBA"/>
    <m/>
    <m/>
    <m/>
    <d v="2005-03-04T00:00:00"/>
    <d v="2005-03-04T00:00:00"/>
    <n v="52131002"/>
    <n v="700"/>
    <n v="14050"/>
    <n v="28592.639999999999"/>
    <n v="14056"/>
    <n v="28592.639999999999"/>
    <n v="0"/>
    <n v="0"/>
    <n v="54260"/>
    <n v="0"/>
    <s v="P"/>
    <n v="0"/>
    <m/>
    <s v=" "/>
    <s v="STL"/>
    <s v="YES"/>
    <s v="TBD"/>
    <d v="2024-10-09T00:00:00"/>
    <x v="19"/>
    <m/>
    <m/>
    <m/>
    <m/>
    <m/>
    <m/>
    <m/>
    <m/>
    <m/>
    <m/>
    <m/>
  </r>
  <r>
    <n v="2111"/>
    <n v="173178"/>
    <s v="P"/>
    <s v="Capitalized"/>
    <s v="96 GAL EVR II UNIV/NE0201 - SEAHAWK GRANITE"/>
    <m/>
    <m/>
    <n v="720"/>
    <s v="A9010081 THRU A9010800"/>
    <n v="0"/>
    <s v="Toter Incorporated"/>
    <m/>
    <s v="CONTAINERS"/>
    <s v="TBA"/>
    <m/>
    <m/>
    <m/>
    <d v="2005-03-09T00:00:00"/>
    <d v="2005-03-09T00:00:00"/>
    <n v="52131002"/>
    <n v="700"/>
    <n v="14050"/>
    <n v="28592.639999999999"/>
    <n v="14056"/>
    <n v="28592.639999999999"/>
    <n v="0"/>
    <n v="0"/>
    <n v="54260"/>
    <n v="0"/>
    <s v="P"/>
    <n v="0"/>
    <m/>
    <s v=" "/>
    <s v="STL"/>
    <s v="YES"/>
    <s v="TBD"/>
    <d v="2024-10-09T00:00:00"/>
    <x v="19"/>
    <m/>
    <m/>
    <m/>
    <m/>
    <m/>
    <m/>
    <m/>
    <m/>
    <m/>
    <m/>
    <m/>
  </r>
  <r>
    <n v="2111"/>
    <n v="173177"/>
    <s v="P"/>
    <s v="Capitalized"/>
    <s v="95 Gal Univ Cart-Assy 045u - Drk Aqua Blue"/>
    <m/>
    <m/>
    <n v="432"/>
    <s v="268577 THRU 269008"/>
    <n v="0"/>
    <s v="Rehrig Pacific Company"/>
    <m/>
    <s v="CONTAINERS"/>
    <s v="TBA"/>
    <m/>
    <m/>
    <m/>
    <d v="2005-03-31T00:00:00"/>
    <d v="2005-03-31T00:00:00"/>
    <n v="52131004"/>
    <n v="700"/>
    <n v="14050"/>
    <n v="19270.66"/>
    <n v="14056"/>
    <n v="19270.66"/>
    <n v="0"/>
    <n v="0"/>
    <n v="54260"/>
    <n v="0"/>
    <s v="P"/>
    <n v="0"/>
    <m/>
    <s v=" "/>
    <s v="STL"/>
    <s v="YES"/>
    <s v="TBD"/>
    <d v="2024-10-09T00:00:00"/>
    <x v="19"/>
    <m/>
    <m/>
    <m/>
    <m/>
    <m/>
    <m/>
    <m/>
    <m/>
    <m/>
    <m/>
    <m/>
  </r>
  <r>
    <n v="2111"/>
    <n v="173176"/>
    <s v="P"/>
    <s v="Capitalized"/>
    <s v="95 Gal Univ Cart-Assy 045u - Drk Aqua Blue"/>
    <m/>
    <m/>
    <n v="432"/>
    <s v="268145 THRU 268576"/>
    <n v="0"/>
    <s v="Rehrig Pacific Company"/>
    <m/>
    <s v="CONTAINERS"/>
    <s v="TBA"/>
    <m/>
    <m/>
    <m/>
    <d v="2005-03-30T00:00:00"/>
    <d v="2005-03-30T00:00:00"/>
    <n v="52131004"/>
    <n v="700"/>
    <n v="14050"/>
    <n v="19270.66"/>
    <n v="14056"/>
    <n v="19270.66"/>
    <n v="0"/>
    <n v="0"/>
    <n v="54260"/>
    <n v="0"/>
    <s v="P"/>
    <n v="0"/>
    <m/>
    <s v=" "/>
    <s v="STL"/>
    <s v="YES"/>
    <s v="TBD"/>
    <d v="2024-10-09T00:00:00"/>
    <x v="19"/>
    <m/>
    <m/>
    <m/>
    <m/>
    <m/>
    <m/>
    <m/>
    <m/>
    <m/>
    <m/>
    <m/>
  </r>
  <r>
    <n v="2111"/>
    <n v="173175"/>
    <s v="P"/>
    <s v="Capitalized"/>
    <s v="26 YD Street Force MSL Auto on 2005 Autocar WXLL42"/>
    <m/>
    <m/>
    <n v="1"/>
    <s v="5VCH36PE55H201578"/>
    <n v="2005"/>
    <m/>
    <m/>
    <s v="TRUCKS AND TRAILERS"/>
    <s v="TBA"/>
    <s v="Non-Rolling Stock"/>
    <m/>
    <m/>
    <d v="2005-02-02T00:00:00"/>
    <d v="2005-02-02T00:00:00"/>
    <n v="52131001"/>
    <n v="1000"/>
    <n v="14040"/>
    <n v="97960.58"/>
    <n v="14046"/>
    <n v="97960.58"/>
    <n v="0"/>
    <n v="0"/>
    <n v="51260"/>
    <n v="0"/>
    <s v="P"/>
    <n v="0"/>
    <n v="801"/>
    <s v=" "/>
    <s v="STL"/>
    <s v="YES"/>
    <s v="TBD"/>
    <d v="2024-10-09T00:00:00"/>
    <x v="19"/>
    <m/>
    <m/>
    <m/>
    <m/>
    <m/>
    <m/>
    <m/>
    <m/>
    <m/>
    <m/>
    <m/>
  </r>
  <r>
    <n v="2111"/>
    <n v="173174"/>
    <s v="P"/>
    <s v="Capitalized"/>
    <s v="26 YD Street Force MSL Auto on 2005 Autocar WXLL42"/>
    <m/>
    <m/>
    <n v="1"/>
    <s v="5VCH36PE35H201577"/>
    <n v="2005"/>
    <m/>
    <m/>
    <s v="TRUCKS AND TRAILERS"/>
    <s v="TBA"/>
    <s v="Non-Rolling Stock"/>
    <m/>
    <m/>
    <d v="2005-02-02T00:00:00"/>
    <d v="2005-02-02T00:00:00"/>
    <n v="52131001"/>
    <n v="1000"/>
    <n v="14040"/>
    <n v="97960.57"/>
    <n v="14046"/>
    <n v="97960.57"/>
    <n v="0"/>
    <n v="0"/>
    <n v="51260"/>
    <n v="0"/>
    <s v="P"/>
    <n v="0"/>
    <m/>
    <s v=" "/>
    <s v="STL"/>
    <s v="YES"/>
    <s v="TBD"/>
    <d v="2024-10-09T00:00:00"/>
    <x v="19"/>
    <m/>
    <m/>
    <m/>
    <m/>
    <m/>
    <m/>
    <m/>
    <m/>
    <m/>
    <m/>
    <m/>
  </r>
  <r>
    <n v="2111"/>
    <n v="173171"/>
    <s v="P"/>
    <s v="Capitalized"/>
    <s v="95 Gallon Carts"/>
    <m/>
    <m/>
    <n v="1164"/>
    <s v="002233-003396"/>
    <n v="2004"/>
    <s v="GRAINGER"/>
    <s v="Other"/>
    <s v="CONTAINERS"/>
    <s v="TBA"/>
    <m/>
    <m/>
    <m/>
    <d v="2004-03-01T00:00:00"/>
    <d v="2004-03-01T00:00:00"/>
    <n v="42131002"/>
    <n v="700"/>
    <n v="14050"/>
    <n v="50024.06"/>
    <n v="14056"/>
    <n v="50024.06"/>
    <n v="0"/>
    <n v="0"/>
    <n v="54260"/>
    <n v="0"/>
    <s v="A"/>
    <n v="0"/>
    <s v="NA"/>
    <s v=" "/>
    <s v="STL"/>
    <s v="YES"/>
    <s v="TBD"/>
    <d v="2024-10-09T00:00:00"/>
    <x v="19"/>
    <m/>
    <m/>
    <m/>
    <m/>
    <m/>
    <m/>
    <m/>
    <m/>
    <m/>
    <m/>
    <m/>
  </r>
  <r>
    <n v="2111"/>
    <n v="173170"/>
    <s v="P"/>
    <s v="Capitalized"/>
    <s v="1 YD REL Containers"/>
    <m/>
    <m/>
    <n v="6"/>
    <m/>
    <n v="0"/>
    <s v="Enterprise Sales"/>
    <m/>
    <s v="CONTAINERS"/>
    <s v="TBA"/>
    <m/>
    <s v="1 YD"/>
    <s v="FEL/REL/SL Metal"/>
    <d v="2003-12-31T00:00:00"/>
    <d v="2003-12-31T00:00:00"/>
    <s v="03-2131-007"/>
    <n v="1200"/>
    <n v="14050"/>
    <n v="1955.14"/>
    <n v="14056"/>
    <n v="1955.14"/>
    <n v="0"/>
    <n v="0"/>
    <n v="54260"/>
    <n v="0"/>
    <s v="P"/>
    <m/>
    <m/>
    <s v=" "/>
    <s v="STL"/>
    <s v="YES"/>
    <s v="TBD"/>
    <d v="2024-10-09T00:00:00"/>
    <x v="19"/>
    <m/>
    <m/>
    <m/>
    <m/>
    <m/>
    <m/>
    <m/>
    <m/>
    <m/>
    <m/>
    <m/>
  </r>
  <r>
    <n v="2111"/>
    <n v="173167"/>
    <s v="P"/>
    <s v="Capitalized"/>
    <s v="4 Yd FEL Containers"/>
    <m/>
    <m/>
    <n v="5"/>
    <m/>
    <n v="0"/>
    <s v="Enterprise Sales"/>
    <m/>
    <s v="CONTAINERS"/>
    <s v="TBA"/>
    <m/>
    <s v="4 YD"/>
    <s v="FEL/REL/SL Metal"/>
    <d v="2003-07-31T00:00:00"/>
    <d v="2003-07-31T00:00:00"/>
    <s v="03-2131-005"/>
    <n v="1200"/>
    <n v="14050"/>
    <n v="2357.6"/>
    <n v="14056"/>
    <n v="2357.6"/>
    <n v="0"/>
    <n v="0"/>
    <n v="54260"/>
    <n v="0"/>
    <s v="P"/>
    <m/>
    <m/>
    <s v=" "/>
    <s v="STL"/>
    <s v="YES"/>
    <s v="TBD"/>
    <d v="2024-10-09T00:00:00"/>
    <x v="19"/>
    <m/>
    <m/>
    <m/>
    <m/>
    <m/>
    <m/>
    <m/>
    <m/>
    <m/>
    <m/>
    <m/>
  </r>
  <r>
    <n v="2111"/>
    <n v="173166"/>
    <s v="P"/>
    <s v="Capitalized"/>
    <s v="2003 IHC 7400 Rear Loader"/>
    <m/>
    <m/>
    <n v="1"/>
    <s v="1HTWCAAN93J067537"/>
    <n v="2003"/>
    <s v="International 7400"/>
    <s v="McNeilus"/>
    <s v="TRUCKS AND TRAILERS"/>
    <s v="TBA"/>
    <s v="Rear Loader"/>
    <m/>
    <m/>
    <d v="2003-04-01T00:00:00"/>
    <d v="2003-01-31T00:00:00"/>
    <s v="03-2131-002"/>
    <n v="1000"/>
    <n v="14040"/>
    <n v="123452.02"/>
    <n v="14046"/>
    <n v="123452.02"/>
    <n v="0"/>
    <n v="0"/>
    <n v="51260"/>
    <n v="0"/>
    <s v="P"/>
    <m/>
    <n v="609"/>
    <s v=" "/>
    <s v="STL"/>
    <s v="YES"/>
    <s v="TBD"/>
    <d v="2024-10-09T00:00:00"/>
    <x v="19"/>
    <m/>
    <m/>
    <m/>
    <m/>
    <m/>
    <m/>
    <m/>
    <m/>
    <m/>
    <m/>
    <m/>
  </r>
  <r>
    <n v="2111"/>
    <n v="173165"/>
    <s v="P"/>
    <s v="Capitalized"/>
    <s v="95 Gallon Carts"/>
    <m/>
    <m/>
    <n v="384"/>
    <s v="WC000697-WC001080"/>
    <n v="0"/>
    <s v="Otto Waste Systems"/>
    <m/>
    <s v="CONTAINERS"/>
    <s v="TBA"/>
    <m/>
    <m/>
    <m/>
    <d v="2003-03-31T00:00:00"/>
    <d v="2003-03-31T00:00:00"/>
    <s v="03-2131-003"/>
    <n v="700"/>
    <n v="14050"/>
    <n v="16711.68"/>
    <n v="14056"/>
    <n v="16711.68"/>
    <n v="0"/>
    <n v="0"/>
    <n v="54260"/>
    <n v="0"/>
    <s v="P"/>
    <m/>
    <m/>
    <s v=" "/>
    <s v="STL"/>
    <s v="YES"/>
    <s v="TBD"/>
    <d v="2024-10-09T00:00:00"/>
    <x v="19"/>
    <m/>
    <m/>
    <m/>
    <m/>
    <m/>
    <m/>
    <m/>
    <m/>
    <m/>
    <m/>
    <m/>
  </r>
  <r>
    <n v="2111"/>
    <n v="173164"/>
    <s v="P"/>
    <s v="Capitalized"/>
    <s v="Microsoft Software"/>
    <m/>
    <m/>
    <n v="1"/>
    <m/>
    <n v="0"/>
    <s v="Quest"/>
    <m/>
    <s v="HARDWARE AND SOFTWARE"/>
    <s v="TBA"/>
    <m/>
    <m/>
    <m/>
    <d v="2002-07-16T00:00:00"/>
    <d v="2002-07-16T00:00:00"/>
    <m/>
    <n v="300"/>
    <n v="14110"/>
    <n v="505.73"/>
    <n v="14116"/>
    <n v="505.73"/>
    <n v="0"/>
    <n v="0"/>
    <n v="70260"/>
    <n v="0"/>
    <s v="P"/>
    <m/>
    <m/>
    <s v=" "/>
    <s v="STL"/>
    <s v="YES"/>
    <s v="TBD"/>
    <d v="2024-10-09T00:00:00"/>
    <x v="19"/>
    <m/>
    <m/>
    <m/>
    <m/>
    <m/>
    <m/>
    <m/>
    <m/>
    <m/>
    <m/>
    <m/>
  </r>
  <r>
    <n v="2111"/>
    <n v="173162"/>
    <s v="P"/>
    <s v="Capitalized"/>
    <s v="Scanner"/>
    <m/>
    <m/>
    <n v="1"/>
    <s v="SCNCB804603"/>
    <n v="0"/>
    <s v="Quest"/>
    <m/>
    <s v="HARDWARE AND SOFTWARE"/>
    <s v="TBA"/>
    <m/>
    <m/>
    <m/>
    <d v="2002-08-19T00:00:00"/>
    <d v="2002-08-19T00:00:00"/>
    <s v="02-2131-009"/>
    <n v="300"/>
    <n v="14110"/>
    <n v="471.14"/>
    <n v="14116"/>
    <n v="471.14"/>
    <n v="0"/>
    <n v="0"/>
    <n v="70260"/>
    <n v="0"/>
    <s v="P"/>
    <m/>
    <m/>
    <s v=" "/>
    <s v="STL"/>
    <s v="YES"/>
    <s v="TBD"/>
    <d v="2024-10-09T00:00:00"/>
    <x v="19"/>
    <m/>
    <m/>
    <m/>
    <m/>
    <m/>
    <m/>
    <m/>
    <m/>
    <m/>
    <m/>
    <m/>
  </r>
  <r>
    <n v="2111"/>
    <n v="173161"/>
    <s v="P"/>
    <s v="Capitalized"/>
    <s v="2 Yd FEL Containers w/ Wheels"/>
    <m/>
    <m/>
    <n v="5"/>
    <m/>
    <n v="0"/>
    <s v="Capital Industries"/>
    <m/>
    <s v="CONTAINERS"/>
    <s v="TBA"/>
    <m/>
    <s v="2 YD"/>
    <s v="FEL/REL/SL Metal"/>
    <d v="2002-06-27T00:00:00"/>
    <d v="2002-06-27T00:00:00"/>
    <s v="02-2131-005"/>
    <n v="1200"/>
    <n v="14050"/>
    <n v="1808.8"/>
    <n v="14056"/>
    <n v="1808.8"/>
    <n v="0"/>
    <n v="0"/>
    <n v="54260"/>
    <n v="0"/>
    <s v="P"/>
    <m/>
    <m/>
    <s v=" "/>
    <s v="STL"/>
    <s v="YES"/>
    <s v="TBD"/>
    <d v="2024-10-09T00:00:00"/>
    <x v="19"/>
    <m/>
    <m/>
    <m/>
    <m/>
    <m/>
    <m/>
    <m/>
    <m/>
    <m/>
    <m/>
    <m/>
  </r>
  <r>
    <n v="2111"/>
    <n v="173160"/>
    <s v="P"/>
    <s v="Capitalized"/>
    <s v="1 Yd FEL Containers w/ Wheels"/>
    <m/>
    <m/>
    <n v="4"/>
    <m/>
    <n v="0"/>
    <s v="Capital Industries"/>
    <m/>
    <s v="CONTAINERS"/>
    <s v="TBA"/>
    <m/>
    <s v="1 YD"/>
    <s v="FEL/REL/SL Metal"/>
    <d v="2002-06-27T00:00:00"/>
    <d v="2002-06-27T00:00:00"/>
    <s v="02-2131-002"/>
    <n v="1200"/>
    <n v="14050"/>
    <n v="1229.44"/>
    <n v="14056"/>
    <n v="1229.44"/>
    <n v="0"/>
    <n v="0"/>
    <n v="54260"/>
    <n v="0"/>
    <s v="P"/>
    <m/>
    <m/>
    <s v=" "/>
    <s v="STL"/>
    <s v="YES"/>
    <s v="TBD"/>
    <d v="2024-10-09T00:00:00"/>
    <x v="19"/>
    <m/>
    <m/>
    <m/>
    <m/>
    <m/>
    <m/>
    <m/>
    <m/>
    <m/>
    <m/>
    <m/>
  </r>
  <r>
    <n v="2111"/>
    <n v="173159"/>
    <s v="P"/>
    <s v="Capitalized"/>
    <s v="1 Yd FEL Containers w/ Wheels"/>
    <m/>
    <m/>
    <n v="6"/>
    <m/>
    <n v="0"/>
    <s v="Capital Industries"/>
    <m/>
    <s v="CONTAINERS"/>
    <s v="TBA"/>
    <m/>
    <s v="1 YD"/>
    <s v="FEL/REL/SL Metal"/>
    <d v="2002-06-29T00:00:00"/>
    <d v="2002-06-29T00:00:00"/>
    <s v="02-2131-005"/>
    <n v="1200"/>
    <n v="14050"/>
    <n v="1844.16"/>
    <n v="14056"/>
    <n v="1844.16"/>
    <n v="0"/>
    <n v="0"/>
    <n v="54260"/>
    <n v="0"/>
    <s v="P"/>
    <m/>
    <m/>
    <s v=" "/>
    <s v="STL"/>
    <s v="YES"/>
    <s v="TBD"/>
    <d v="2024-10-09T00:00:00"/>
    <x v="19"/>
    <m/>
    <m/>
    <m/>
    <m/>
    <m/>
    <m/>
    <m/>
    <m/>
    <m/>
    <m/>
    <m/>
  </r>
  <r>
    <n v="2111"/>
    <n v="173158"/>
    <s v="P"/>
    <s v="Capitalized"/>
    <s v="95 Gallon Carts for Yard Waste"/>
    <m/>
    <m/>
    <n v="432"/>
    <s v="260369-260800"/>
    <n v="0"/>
    <s v="Rehrig Pacific"/>
    <m/>
    <s v="CONTAINERS"/>
    <s v="TBA"/>
    <m/>
    <m/>
    <m/>
    <d v="2002-06-28T00:00:00"/>
    <d v="2002-06-28T00:00:00"/>
    <s v="02-2131-007"/>
    <n v="700"/>
    <n v="14050"/>
    <n v="20263.46"/>
    <n v="14056"/>
    <n v="20263.46"/>
    <n v="0"/>
    <n v="0"/>
    <n v="54260"/>
    <n v="0"/>
    <s v="P"/>
    <m/>
    <m/>
    <s v=" "/>
    <s v="STL"/>
    <s v="YES"/>
    <s v="TBD"/>
    <d v="2024-10-09T00:00:00"/>
    <x v="19"/>
    <m/>
    <m/>
    <m/>
    <m/>
    <m/>
    <m/>
    <m/>
    <m/>
    <m/>
    <m/>
    <m/>
  </r>
  <r>
    <n v="2111"/>
    <n v="173157"/>
    <s v="P"/>
    <s v="Capitalized"/>
    <s v="30 Yd Drop Boxes"/>
    <m/>
    <m/>
    <n v="2"/>
    <m/>
    <n v="0"/>
    <s v="Capital Industries"/>
    <m/>
    <s v="CONTAINERS"/>
    <s v="TBA"/>
    <m/>
    <s v="30 YD"/>
    <s v="RO Box"/>
    <d v="2002-06-27T00:00:00"/>
    <d v="2002-06-27T00:00:00"/>
    <s v="02-2131-005"/>
    <n v="1200"/>
    <n v="14050"/>
    <n v="6745.6"/>
    <n v="14056"/>
    <n v="6745.6"/>
    <n v="0"/>
    <n v="0"/>
    <n v="54260"/>
    <n v="0"/>
    <s v="P"/>
    <m/>
    <m/>
    <s v=" "/>
    <s v="STL"/>
    <s v="YES"/>
    <s v="TBD"/>
    <d v="2024-10-09T00:00:00"/>
    <x v="19"/>
    <m/>
    <m/>
    <m/>
    <m/>
    <m/>
    <m/>
    <m/>
    <m/>
    <m/>
    <m/>
    <m/>
  </r>
  <r>
    <n v="2111"/>
    <n v="173156"/>
    <s v="P"/>
    <s v="Capitalized"/>
    <s v="Compaq EVO Microtower"/>
    <m/>
    <m/>
    <n v="1"/>
    <s v="7P26KKM3A0SP"/>
    <n v="0"/>
    <s v="Quest"/>
    <m/>
    <s v="HARDWARE AND SOFTWARE"/>
    <s v="TBA"/>
    <m/>
    <m/>
    <m/>
    <d v="2002-07-12T00:00:00"/>
    <d v="2002-07-12T00:00:00"/>
    <m/>
    <n v="300"/>
    <n v="14110"/>
    <n v="852.78"/>
    <n v="14116"/>
    <n v="852.78"/>
    <n v="0"/>
    <n v="0"/>
    <n v="70260"/>
    <n v="0"/>
    <s v="P"/>
    <m/>
    <m/>
    <s v=" "/>
    <s v="STL"/>
    <s v="YES"/>
    <s v="TBD"/>
    <d v="2024-10-09T00:00:00"/>
    <x v="19"/>
    <m/>
    <m/>
    <m/>
    <m/>
    <m/>
    <m/>
    <m/>
    <m/>
    <m/>
    <m/>
    <m/>
  </r>
  <r>
    <n v="2111"/>
    <n v="173155"/>
    <s v="P"/>
    <s v="Capitalized"/>
    <s v="Transmission Rebuilds - 3 Units"/>
    <m/>
    <m/>
    <n v="1"/>
    <s v="BCA24255"/>
    <n v="2001"/>
    <s v="Pacific Torque Inc"/>
    <s v="Other"/>
    <s v="TRUCKS AND TRAILERS"/>
    <s v="TBA"/>
    <s v="Non-Rolling Stock"/>
    <m/>
    <m/>
    <d v="2001-12-01T00:00:00"/>
    <d v="2001-12-01T00:00:00"/>
    <m/>
    <n v="300"/>
    <n v="14040"/>
    <n v="18734.91"/>
    <n v="14046"/>
    <n v="18734.91"/>
    <n v="0"/>
    <n v="0"/>
    <n v="51260"/>
    <n v="0"/>
    <s v="P"/>
    <m/>
    <m/>
    <s v=" "/>
    <s v="STL"/>
    <s v="YES"/>
    <s v="TBD"/>
    <d v="2024-10-09T00:00:00"/>
    <x v="19"/>
    <m/>
    <m/>
    <m/>
    <m/>
    <m/>
    <m/>
    <m/>
    <m/>
    <m/>
    <m/>
    <m/>
  </r>
  <r>
    <n v="2111"/>
    <n v="173154"/>
    <s v="P"/>
    <s v="Capitalized"/>
    <s v="4 Yd Front Load Containers w/ Lids"/>
    <m/>
    <m/>
    <n v="4"/>
    <m/>
    <n v="0"/>
    <s v="Capital Industries"/>
    <m/>
    <s v="CONTAINERS"/>
    <s v="TBA"/>
    <m/>
    <s v="4 YD"/>
    <s v="FEL/REL/SL Metal"/>
    <d v="2001-08-30T00:00:00"/>
    <d v="2001-08-30T00:00:00"/>
    <s v="01-2131-005"/>
    <n v="1200"/>
    <n v="14050"/>
    <n v="1996.4"/>
    <n v="14056"/>
    <n v="1996.4"/>
    <n v="0"/>
    <n v="0"/>
    <n v="54260"/>
    <n v="0"/>
    <s v="P"/>
    <m/>
    <m/>
    <s v=" "/>
    <s v="STL"/>
    <s v="YES"/>
    <s v="TBD"/>
    <d v="2024-10-09T00:00:00"/>
    <x v="19"/>
    <m/>
    <m/>
    <m/>
    <m/>
    <m/>
    <m/>
    <m/>
    <m/>
    <m/>
    <m/>
    <m/>
  </r>
  <r>
    <n v="2111"/>
    <n v="173153"/>
    <s v="P"/>
    <s v="Capitalized"/>
    <s v="1.5 Yd Rear Load Containers w/ Lids"/>
    <m/>
    <m/>
    <n v="7"/>
    <m/>
    <n v="0"/>
    <s v="Capital Industries"/>
    <m/>
    <s v="CONTAINERS"/>
    <s v="TBA"/>
    <m/>
    <s v="1.5 YD"/>
    <s v="FEL/REL/SL Metal"/>
    <d v="2001-09-21T00:00:00"/>
    <d v="2001-09-21T00:00:00"/>
    <s v="01-2131-006"/>
    <n v="1200"/>
    <n v="14050"/>
    <n v="2430.4"/>
    <n v="14056"/>
    <n v="2430.4"/>
    <n v="0"/>
    <n v="0"/>
    <n v="54260"/>
    <n v="0"/>
    <s v="P"/>
    <m/>
    <m/>
    <s v=" "/>
    <s v="STL"/>
    <s v="YES"/>
    <s v="TBD"/>
    <d v="2024-10-09T00:00:00"/>
    <x v="19"/>
    <m/>
    <m/>
    <m/>
    <m/>
    <m/>
    <m/>
    <m/>
    <m/>
    <m/>
    <m/>
    <m/>
  </r>
  <r>
    <n v="2111"/>
    <n v="173152"/>
    <s v="P"/>
    <s v="Capitalized"/>
    <s v="1 Yd Rear Load Containers"/>
    <m/>
    <m/>
    <n v="7"/>
    <m/>
    <n v="0"/>
    <s v="Capital Industries"/>
    <m/>
    <s v="CONTAINERS"/>
    <s v="TBA"/>
    <m/>
    <s v="1 YD"/>
    <s v="FEL/REL/SL Metal"/>
    <d v="2001-08-30T00:00:00"/>
    <d v="2001-08-30T00:00:00"/>
    <s v="01-2131-004"/>
    <n v="1200"/>
    <n v="14050"/>
    <n v="2248.12"/>
    <n v="14056"/>
    <n v="2248.12"/>
    <n v="0"/>
    <n v="0"/>
    <n v="54260"/>
    <n v="0"/>
    <s v="P"/>
    <m/>
    <m/>
    <s v=" "/>
    <s v="STL"/>
    <s v="YES"/>
    <s v="TBD"/>
    <d v="2024-10-09T00:00:00"/>
    <x v="19"/>
    <m/>
    <m/>
    <m/>
    <m/>
    <m/>
    <m/>
    <m/>
    <m/>
    <m/>
    <m/>
    <m/>
  </r>
  <r>
    <n v="2111"/>
    <n v="173151"/>
    <s v="P"/>
    <s v="Capitalized"/>
    <s v="Fleet Upgrade"/>
    <m/>
    <m/>
    <n v="1"/>
    <s v="FCB12545"/>
    <n v="2001"/>
    <s v="OTHER"/>
    <s v="Other"/>
    <s v="TRUCKS AND TRAILERS"/>
    <s v="TBA"/>
    <s v="Non-Rolling Stock"/>
    <m/>
    <m/>
    <d v="2001-06-30T00:00:00"/>
    <d v="2001-06-30T00:00:00"/>
    <m/>
    <n v="300"/>
    <n v="14040"/>
    <n v="12090"/>
    <n v="14046"/>
    <n v="12090"/>
    <n v="0"/>
    <n v="0"/>
    <n v="51260"/>
    <n v="0"/>
    <s v="P"/>
    <m/>
    <m/>
    <s v=" "/>
    <s v="STL"/>
    <s v="YES"/>
    <s v="TBD"/>
    <d v="2024-10-09T00:00:00"/>
    <x v="19"/>
    <m/>
    <m/>
    <m/>
    <m/>
    <m/>
    <m/>
    <m/>
    <m/>
    <m/>
    <m/>
    <m/>
  </r>
  <r>
    <n v="2111"/>
    <n v="173150"/>
    <s v="P"/>
    <s v="Capitalized"/>
    <s v="95 Gallon Toters"/>
    <m/>
    <m/>
    <n v="432"/>
    <s v="256049-256480"/>
    <n v="0"/>
    <s v="Rehrig Pacific Co."/>
    <m/>
    <s v="CONTAINERS"/>
    <s v="TBA"/>
    <m/>
    <m/>
    <m/>
    <d v="2001-04-26T00:00:00"/>
    <d v="2001-04-26T00:00:00"/>
    <s v="01-2131-007"/>
    <n v="700"/>
    <n v="14050"/>
    <n v="18514.439999999999"/>
    <n v="14056"/>
    <n v="18514.439999999999"/>
    <n v="0"/>
    <n v="0"/>
    <n v="54260"/>
    <n v="0"/>
    <s v="P"/>
    <m/>
    <m/>
    <s v=" "/>
    <s v="STL"/>
    <s v="YES"/>
    <s v="TBD"/>
    <d v="2024-10-09T00:00:00"/>
    <x v="19"/>
    <m/>
    <m/>
    <m/>
    <m/>
    <m/>
    <m/>
    <m/>
    <m/>
    <m/>
    <m/>
    <m/>
  </r>
  <r>
    <n v="2111"/>
    <n v="173149"/>
    <s v="P"/>
    <s v="Capitalized"/>
    <s v="30 Yard Drop Boxes w/lids"/>
    <m/>
    <m/>
    <n v="5"/>
    <m/>
    <n v="0"/>
    <s v="Capitol Industries"/>
    <m/>
    <s v="CONTAINERS"/>
    <s v="TBA"/>
    <m/>
    <s v="30 YD"/>
    <s v="RO Box"/>
    <d v="2001-04-05T00:00:00"/>
    <d v="2001-04-05T00:00:00"/>
    <s v="01-2131-008"/>
    <n v="1200"/>
    <n v="14050"/>
    <n v="19367.25"/>
    <n v="14056"/>
    <n v="19367.25"/>
    <n v="0"/>
    <n v="0"/>
    <n v="54260"/>
    <n v="0"/>
    <s v="P"/>
    <m/>
    <m/>
    <s v=" "/>
    <s v="STL"/>
    <s v="YES"/>
    <s v="TBD"/>
    <d v="2024-10-09T00:00:00"/>
    <x v="19"/>
    <m/>
    <m/>
    <m/>
    <m/>
    <m/>
    <m/>
    <m/>
    <m/>
    <m/>
    <m/>
    <m/>
  </r>
  <r>
    <n v="2111"/>
    <n v="173148"/>
    <s v="P"/>
    <s v="Capitalized"/>
    <s v="95 Gallon Toters"/>
    <m/>
    <m/>
    <n v="384"/>
    <s v="91500385-91500768"/>
    <n v="0"/>
    <s v="Otto Industries"/>
    <m/>
    <s v="CONTAINERS"/>
    <s v="TBA"/>
    <m/>
    <m/>
    <m/>
    <d v="2001-03-12T00:00:00"/>
    <d v="2001-03-12T00:00:00"/>
    <s v="01-2131-009"/>
    <n v="700"/>
    <n v="14050"/>
    <n v="16248.96"/>
    <n v="14056"/>
    <n v="16248.96"/>
    <n v="0"/>
    <n v="0"/>
    <n v="54260"/>
    <n v="0"/>
    <s v="P"/>
    <m/>
    <m/>
    <s v=" "/>
    <s v="STL"/>
    <s v="YES"/>
    <s v="TBD"/>
    <d v="2024-10-09T00:00:00"/>
    <x v="19"/>
    <m/>
    <m/>
    <m/>
    <m/>
    <m/>
    <m/>
    <m/>
    <m/>
    <m/>
    <m/>
    <m/>
  </r>
  <r>
    <n v="2111"/>
    <n v="173147"/>
    <s v="P"/>
    <s v="Capitalized"/>
    <s v="1 Yard Containers"/>
    <m/>
    <m/>
    <n v="15"/>
    <s v="168332-168346"/>
    <n v="0"/>
    <s v="DeWald Northwest"/>
    <m/>
    <s v="CONTAINERS"/>
    <s v="TBA"/>
    <m/>
    <s v="1 YD"/>
    <s v="FEL/REL/SL Metal"/>
    <d v="2000-09-15T00:00:00"/>
    <d v="2000-09-15T00:00:00"/>
    <s v="00-2131-003"/>
    <n v="1200"/>
    <n v="14050"/>
    <n v="4391.8"/>
    <n v="14056"/>
    <n v="4391.8"/>
    <n v="0"/>
    <n v="0"/>
    <n v="54260"/>
    <n v="0"/>
    <s v="P"/>
    <m/>
    <m/>
    <s v=" "/>
    <s v="STL"/>
    <s v="YES"/>
    <s v="TBD"/>
    <d v="2024-10-09T00:00:00"/>
    <x v="19"/>
    <m/>
    <m/>
    <m/>
    <m/>
    <m/>
    <m/>
    <m/>
    <m/>
    <m/>
    <m/>
    <m/>
  </r>
  <r>
    <n v="2111"/>
    <n v="173145"/>
    <s v="P"/>
    <s v="Capitalized"/>
    <s v="Angel PC 485 (N)"/>
    <m/>
    <m/>
    <n v="1"/>
    <m/>
    <n v="0"/>
    <m/>
    <m/>
    <s v="OFFICE EQUIPMENT"/>
    <s v="TBA"/>
    <m/>
    <m/>
    <m/>
    <d v="1992-06-10T00:00:00"/>
    <d v="1992-06-10T00:00:00"/>
    <m/>
    <n v="500"/>
    <n v="14100"/>
    <n v="2285.36"/>
    <n v="14106"/>
    <n v="2285.36"/>
    <n v="0"/>
    <n v="0"/>
    <n v="70260"/>
    <n v="0"/>
    <s v="A"/>
    <s v="American Disposal"/>
    <s v="NA"/>
    <s v=" "/>
    <s v="STL"/>
    <s v="YES"/>
    <s v="TBD"/>
    <d v="2024-10-09T00:00:00"/>
    <x v="19"/>
    <m/>
    <m/>
    <m/>
    <m/>
    <m/>
    <m/>
    <m/>
    <m/>
    <m/>
    <m/>
    <m/>
  </r>
  <r>
    <n v="2111"/>
    <n v="173144"/>
    <s v="P"/>
    <s v="Capitalized"/>
    <s v="IBM Cartridge #5291"/>
    <m/>
    <m/>
    <n v="1"/>
    <m/>
    <n v="0"/>
    <m/>
    <m/>
    <s v="OFFICE EQUIPMENT"/>
    <s v="TBA"/>
    <m/>
    <m/>
    <m/>
    <d v="1990-12-12T00:00:00"/>
    <d v="1990-12-12T00:00:00"/>
    <m/>
    <n v="300"/>
    <n v="14100"/>
    <n v="539"/>
    <n v="14106"/>
    <n v="539"/>
    <n v="0"/>
    <n v="0"/>
    <n v="70260"/>
    <n v="0"/>
    <s v="A"/>
    <s v="American Disposal"/>
    <s v="NA"/>
    <s v=" "/>
    <s v="STL"/>
    <s v="YES"/>
    <s v="TBD"/>
    <d v="2024-10-09T00:00:00"/>
    <x v="19"/>
    <m/>
    <m/>
    <m/>
    <m/>
    <m/>
    <m/>
    <m/>
    <m/>
    <m/>
    <m/>
    <m/>
  </r>
  <r>
    <n v="2111"/>
    <n v="173143"/>
    <s v="P"/>
    <s v="Capitalized"/>
    <s v="4 Drawer Fireproof Files"/>
    <m/>
    <m/>
    <n v="1"/>
    <m/>
    <n v="0"/>
    <m/>
    <m/>
    <s v="OFFICE EQUIPMENT"/>
    <s v="TBA"/>
    <m/>
    <m/>
    <m/>
    <d v="1987-12-21T00:00:00"/>
    <d v="1987-12-21T00:00:00"/>
    <m/>
    <n v="500"/>
    <n v="14100"/>
    <n v="1940.4"/>
    <n v="14106"/>
    <n v="1940.4"/>
    <n v="0"/>
    <n v="0"/>
    <n v="70260"/>
    <n v="0"/>
    <s v="A"/>
    <s v="American Disposal"/>
    <s v="NA"/>
    <s v=" "/>
    <s v="STL"/>
    <s v="YES"/>
    <s v="TBD"/>
    <d v="2024-10-09T00:00:00"/>
    <x v="19"/>
    <m/>
    <m/>
    <m/>
    <m/>
    <m/>
    <m/>
    <m/>
    <m/>
    <m/>
    <m/>
    <m/>
  </r>
  <r>
    <n v="2111"/>
    <n v="173142"/>
    <s v="P"/>
    <s v="Capitalized"/>
    <s v="Adler 120PD Calculator"/>
    <m/>
    <m/>
    <n v="1"/>
    <m/>
    <n v="0"/>
    <m/>
    <m/>
    <s v="OFFICE EQUIPMENT"/>
    <s v="TBA"/>
    <m/>
    <m/>
    <m/>
    <d v="1987-02-05T00:00:00"/>
    <d v="1987-02-05T00:00:00"/>
    <m/>
    <n v="500"/>
    <n v="14100"/>
    <n v="214.79"/>
    <n v="14106"/>
    <n v="214.79"/>
    <n v="0"/>
    <n v="0"/>
    <n v="70260"/>
    <n v="0"/>
    <s v="A"/>
    <s v="American Disposal"/>
    <s v="NA"/>
    <s v=" "/>
    <s v="STL"/>
    <s v="YES"/>
    <s v="TBD"/>
    <d v="2024-10-09T00:00:00"/>
    <x v="19"/>
    <m/>
    <m/>
    <m/>
    <m/>
    <m/>
    <m/>
    <m/>
    <m/>
    <m/>
    <m/>
    <m/>
  </r>
  <r>
    <n v="2111"/>
    <n v="173141"/>
    <s v="P"/>
    <s v="Capitalized"/>
    <s v="Desk and Chair"/>
    <m/>
    <m/>
    <n v="1"/>
    <m/>
    <n v="0"/>
    <m/>
    <m/>
    <s v="OFFICE EQUIPMENT"/>
    <s v="TBA"/>
    <m/>
    <m/>
    <m/>
    <d v="1987-02-12T00:00:00"/>
    <d v="1987-02-12T00:00:00"/>
    <m/>
    <n v="500"/>
    <n v="14100"/>
    <n v="333.92"/>
    <n v="14106"/>
    <n v="333.92"/>
    <n v="0"/>
    <n v="0"/>
    <n v="70260"/>
    <n v="0"/>
    <s v="A"/>
    <s v="American Disposal"/>
    <s v="NA"/>
    <s v=" "/>
    <s v="STL"/>
    <s v="YES"/>
    <s v="TBD"/>
    <d v="2024-10-09T00:00:00"/>
    <x v="19"/>
    <m/>
    <m/>
    <m/>
    <m/>
    <m/>
    <m/>
    <m/>
    <m/>
    <m/>
    <m/>
    <m/>
  </r>
  <r>
    <n v="2111"/>
    <n v="173140"/>
    <s v="P"/>
    <s v="Capitalized"/>
    <s v="Oak Conference Table &amp; Chairs"/>
    <m/>
    <m/>
    <n v="1"/>
    <m/>
    <n v="0"/>
    <m/>
    <m/>
    <s v="OFFICE EQUIPMENT"/>
    <s v="TBA"/>
    <m/>
    <m/>
    <m/>
    <d v="1985-02-07T00:00:00"/>
    <d v="1985-02-07T00:00:00"/>
    <m/>
    <n v="500"/>
    <n v="14100"/>
    <n v="4014"/>
    <n v="14106"/>
    <n v="4014"/>
    <n v="0"/>
    <n v="0"/>
    <n v="70260"/>
    <n v="0"/>
    <s v="A"/>
    <s v="American Disposal"/>
    <s v="NA"/>
    <s v=" "/>
    <s v="STL"/>
    <s v="YES"/>
    <s v="TBD"/>
    <d v="2024-10-09T00:00:00"/>
    <x v="19"/>
    <m/>
    <m/>
    <m/>
    <m/>
    <m/>
    <m/>
    <m/>
    <m/>
    <m/>
    <m/>
    <m/>
  </r>
  <r>
    <n v="2111"/>
    <n v="173139"/>
    <s v="P"/>
    <s v="Capitalized"/>
    <s v="IBM 5256 Check Printer"/>
    <m/>
    <m/>
    <n v="1"/>
    <m/>
    <n v="0"/>
    <m/>
    <m/>
    <s v="OFFICE EQUIPMENT"/>
    <s v="TBA"/>
    <m/>
    <m/>
    <m/>
    <d v="1985-01-14T00:00:00"/>
    <d v="1985-01-14T00:00:00"/>
    <m/>
    <n v="500"/>
    <n v="14100"/>
    <n v="2975"/>
    <n v="14106"/>
    <n v="2975"/>
    <n v="0"/>
    <n v="0"/>
    <n v="70260"/>
    <n v="0"/>
    <s v="A"/>
    <s v="American Disposal"/>
    <s v="NA"/>
    <s v=" "/>
    <s v="STL"/>
    <s v="YES"/>
    <s v="TBD"/>
    <d v="2024-10-09T00:00:00"/>
    <x v="19"/>
    <m/>
    <m/>
    <m/>
    <m/>
    <m/>
    <m/>
    <m/>
    <m/>
    <m/>
    <m/>
    <m/>
  </r>
  <r>
    <n v="2111"/>
    <n v="173138"/>
    <s v="P"/>
    <s v="Capitalized"/>
    <s v="Pre - 1981 Equipment"/>
    <m/>
    <m/>
    <n v="1"/>
    <m/>
    <n v="0"/>
    <m/>
    <m/>
    <s v="OFFICE EQUIPMENT"/>
    <s v="TBA"/>
    <m/>
    <m/>
    <m/>
    <d v="1981-01-01T00:00:00"/>
    <d v="1981-01-01T00:00:00"/>
    <m/>
    <n v="700"/>
    <n v="14100"/>
    <n v="1841.65"/>
    <n v="14106"/>
    <n v="1841.65"/>
    <n v="0"/>
    <n v="0"/>
    <n v="70260"/>
    <n v="0"/>
    <s v="A"/>
    <s v="American Disposal"/>
    <s v="NA"/>
    <s v=" "/>
    <s v="STL"/>
    <s v="YES"/>
    <s v="TBD"/>
    <d v="2024-10-09T00:00:00"/>
    <x v="19"/>
    <m/>
    <m/>
    <m/>
    <m/>
    <m/>
    <m/>
    <m/>
    <m/>
    <m/>
    <m/>
    <m/>
  </r>
  <r>
    <n v="2111"/>
    <n v="173137"/>
    <s v="P"/>
    <s v="Capitalized"/>
    <s v="Office Improvements"/>
    <m/>
    <m/>
    <n v="1"/>
    <m/>
    <n v="0"/>
    <m/>
    <m/>
    <s v="BUILDINGS"/>
    <s v="TBA"/>
    <m/>
    <m/>
    <m/>
    <d v="1980-04-01T00:00:00"/>
    <d v="1980-04-01T00:00:00"/>
    <m/>
    <n v="2000"/>
    <n v="14080"/>
    <n v="4440"/>
    <n v="14086"/>
    <n v="4440"/>
    <n v="0"/>
    <n v="0"/>
    <n v="57260"/>
    <n v="0"/>
    <s v="A"/>
    <s v="American Disposal"/>
    <s v="NA"/>
    <s v=" "/>
    <s v="STL"/>
    <s v="YES"/>
    <s v="TBD"/>
    <d v="2024-10-09T00:00:00"/>
    <x v="19"/>
    <m/>
    <m/>
    <m/>
    <m/>
    <m/>
    <m/>
    <m/>
    <m/>
    <m/>
    <m/>
    <m/>
  </r>
  <r>
    <n v="2111"/>
    <n v="173136"/>
    <s v="P"/>
    <s v="Capitalized"/>
    <s v="Building Improvements"/>
    <m/>
    <m/>
    <n v="1"/>
    <m/>
    <n v="0"/>
    <m/>
    <m/>
    <s v="BUILDINGS"/>
    <s v="TBA"/>
    <m/>
    <m/>
    <m/>
    <d v="1980-03-01T00:00:00"/>
    <d v="1980-03-01T00:00:00"/>
    <m/>
    <n v="2000"/>
    <n v="14080"/>
    <n v="5124.8"/>
    <n v="14086"/>
    <n v="5124.8"/>
    <n v="0"/>
    <n v="0"/>
    <n v="57260"/>
    <n v="0"/>
    <s v="A"/>
    <s v="American Disposal"/>
    <s v="NA"/>
    <s v=" "/>
    <s v="STL"/>
    <s v="YES"/>
    <s v="TBD"/>
    <d v="2024-10-09T00:00:00"/>
    <x v="19"/>
    <m/>
    <m/>
    <m/>
    <m/>
    <m/>
    <m/>
    <m/>
    <m/>
    <m/>
    <m/>
    <m/>
  </r>
  <r>
    <n v="2111"/>
    <n v="173135"/>
    <s v="P"/>
    <s v="Capitalized"/>
    <s v="Building Improvements"/>
    <m/>
    <m/>
    <n v="1"/>
    <m/>
    <n v="0"/>
    <m/>
    <m/>
    <s v="BUILDINGS"/>
    <s v="TBA"/>
    <m/>
    <m/>
    <m/>
    <d v="1979-06-01T00:00:00"/>
    <d v="1979-06-01T00:00:00"/>
    <m/>
    <n v="2000"/>
    <n v="14080"/>
    <n v="2510.37"/>
    <n v="14086"/>
    <n v="2510.37"/>
    <n v="0"/>
    <n v="0"/>
    <n v="57260"/>
    <n v="0"/>
    <s v="A"/>
    <s v="American Disposal"/>
    <s v="NA"/>
    <s v=" "/>
    <s v="STL"/>
    <s v="YES"/>
    <s v="TBD"/>
    <d v="2024-10-09T00:00:00"/>
    <x v="19"/>
    <m/>
    <m/>
    <m/>
    <m/>
    <m/>
    <m/>
    <m/>
    <m/>
    <m/>
    <m/>
    <m/>
  </r>
  <r>
    <n v="2111"/>
    <n v="173134"/>
    <s v="P"/>
    <s v="Capitalized"/>
    <s v="Transfer Station"/>
    <m/>
    <m/>
    <n v="1"/>
    <m/>
    <n v="0"/>
    <m/>
    <m/>
    <s v="BUILDINGS"/>
    <s v="TBA"/>
    <m/>
    <m/>
    <m/>
    <d v="1978-03-01T00:00:00"/>
    <d v="1978-03-01T00:00:00"/>
    <m/>
    <n v="2000"/>
    <n v="14080"/>
    <n v="820"/>
    <n v="14086"/>
    <n v="820"/>
    <n v="0"/>
    <n v="0"/>
    <n v="57260"/>
    <n v="0"/>
    <s v="A"/>
    <s v="American Disposal"/>
    <s v="NA"/>
    <s v=" "/>
    <s v="STL"/>
    <s v="YES"/>
    <s v="TBD"/>
    <d v="2024-10-09T00:00:00"/>
    <x v="19"/>
    <m/>
    <m/>
    <m/>
    <m/>
    <m/>
    <m/>
    <m/>
    <m/>
    <m/>
    <m/>
    <m/>
  </r>
  <r>
    <n v="2111"/>
    <n v="173133"/>
    <s v="P"/>
    <s v="Capitalized"/>
    <s v="Concrete Slab"/>
    <m/>
    <m/>
    <n v="1"/>
    <m/>
    <n v="0"/>
    <m/>
    <m/>
    <s v="BUILDINGS"/>
    <s v="TBA"/>
    <m/>
    <m/>
    <m/>
    <d v="1977-10-01T00:00:00"/>
    <d v="1977-10-01T00:00:00"/>
    <m/>
    <n v="2000"/>
    <n v="14080"/>
    <n v="1010.54"/>
    <n v="14086"/>
    <n v="1010.54"/>
    <n v="0"/>
    <n v="0"/>
    <n v="57260"/>
    <n v="0"/>
    <s v="A"/>
    <s v="American Disposal"/>
    <s v="NA"/>
    <s v=" "/>
    <s v="STL"/>
    <s v="YES"/>
    <s v="TBD"/>
    <d v="2024-10-09T00:00:00"/>
    <x v="19"/>
    <m/>
    <m/>
    <m/>
    <m/>
    <m/>
    <m/>
    <m/>
    <m/>
    <m/>
    <m/>
    <m/>
  </r>
  <r>
    <n v="2111"/>
    <n v="173132"/>
    <s v="P"/>
    <s v="Capitalized"/>
    <s v="Well"/>
    <m/>
    <m/>
    <n v="1"/>
    <m/>
    <n v="1980"/>
    <s v="OTHER"/>
    <s v="Other"/>
    <s v="SHOP EQUIPMENT"/>
    <s v="TBA"/>
    <m/>
    <m/>
    <m/>
    <d v="1980-09-01T00:00:00"/>
    <d v="1980-09-01T00:00:00"/>
    <m/>
    <n v="500"/>
    <n v="14070"/>
    <n v="5984.86"/>
    <n v="14076"/>
    <n v="5984.86"/>
    <n v="0"/>
    <n v="0"/>
    <n v="51260"/>
    <n v="0"/>
    <s v="A"/>
    <s v="American Disposal"/>
    <s v="NA"/>
    <s v=" "/>
    <s v="STL"/>
    <s v="YES"/>
    <s v="TBD"/>
    <d v="2024-10-09T00:00:00"/>
    <x v="19"/>
    <m/>
    <m/>
    <m/>
    <m/>
    <m/>
    <m/>
    <m/>
    <m/>
    <m/>
    <m/>
    <m/>
  </r>
  <r>
    <n v="2111"/>
    <n v="173131"/>
    <s v="P"/>
    <s v="Capitalized"/>
    <s v="Well"/>
    <m/>
    <m/>
    <n v="1"/>
    <m/>
    <n v="1978"/>
    <s v="OTHER"/>
    <s v="Other"/>
    <s v="SHOP EQUIPMENT"/>
    <s v="TBA"/>
    <m/>
    <m/>
    <m/>
    <d v="1978-05-01T00:00:00"/>
    <d v="1978-05-01T00:00:00"/>
    <m/>
    <n v="500"/>
    <n v="14070"/>
    <n v="2650.58"/>
    <n v="14076"/>
    <n v="2650.58"/>
    <n v="0"/>
    <n v="0"/>
    <n v="51260"/>
    <n v="0"/>
    <s v="A"/>
    <s v="American Disposal"/>
    <s v="NA"/>
    <s v=" "/>
    <s v="STL"/>
    <s v="YES"/>
    <s v="TBD"/>
    <d v="2024-10-09T00:00:00"/>
    <x v="19"/>
    <m/>
    <m/>
    <m/>
    <m/>
    <m/>
    <m/>
    <m/>
    <m/>
    <m/>
    <m/>
    <m/>
  </r>
  <r>
    <n v="2111"/>
    <n v="173130"/>
    <s v="P"/>
    <s v="Capitalized"/>
    <s v="Well"/>
    <m/>
    <m/>
    <n v="1"/>
    <m/>
    <n v="1977"/>
    <s v="OTHER"/>
    <s v="Other"/>
    <s v="SHOP EQUIPMENT"/>
    <s v="TBA"/>
    <m/>
    <m/>
    <m/>
    <d v="1977-02-28T00:00:00"/>
    <d v="1977-02-28T00:00:00"/>
    <m/>
    <n v="500"/>
    <n v="14070"/>
    <n v="6030.5"/>
    <n v="14076"/>
    <n v="6030.5"/>
    <n v="0"/>
    <n v="0"/>
    <n v="51260"/>
    <n v="0"/>
    <s v="A"/>
    <s v="American Disposal"/>
    <s v="NA"/>
    <s v=" "/>
    <s v="STL"/>
    <s v="YES"/>
    <s v="TBD"/>
    <d v="2024-10-09T00:00:00"/>
    <x v="19"/>
    <m/>
    <m/>
    <m/>
    <m/>
    <m/>
    <m/>
    <m/>
    <m/>
    <m/>
    <m/>
    <m/>
  </r>
  <r>
    <n v="2111"/>
    <n v="173129"/>
    <s v="P"/>
    <s v="Capitalized"/>
    <s v="Air Jacks (N)"/>
    <m/>
    <m/>
    <n v="1"/>
    <m/>
    <n v="1990"/>
    <s v="OTHER"/>
    <s v="Other"/>
    <s v="SHOP EQUIPMENT"/>
    <s v="TBA"/>
    <m/>
    <m/>
    <m/>
    <d v="1990-05-20T00:00:00"/>
    <d v="1990-05-20T00:00:00"/>
    <m/>
    <n v="500"/>
    <n v="14070"/>
    <n v="1750"/>
    <n v="14076"/>
    <n v="1750"/>
    <n v="0"/>
    <n v="0"/>
    <n v="51260"/>
    <n v="0"/>
    <s v="A"/>
    <s v="American Disposal"/>
    <s v="NA"/>
    <s v=" "/>
    <s v="STL"/>
    <s v="YES"/>
    <s v="TBD"/>
    <d v="2024-10-09T00:00:00"/>
    <x v="19"/>
    <m/>
    <m/>
    <m/>
    <m/>
    <m/>
    <m/>
    <m/>
    <m/>
    <m/>
    <m/>
    <m/>
  </r>
  <r>
    <n v="2111"/>
    <n v="173128"/>
    <s v="P"/>
    <s v="Capitalized"/>
    <s v="15hp Air Compressor"/>
    <m/>
    <m/>
    <n v="1"/>
    <m/>
    <n v="1983"/>
    <s v="OTHER"/>
    <s v="Other"/>
    <s v="SHOP EQUIPMENT"/>
    <s v="TBA"/>
    <m/>
    <m/>
    <m/>
    <d v="1983-04-08T00:00:00"/>
    <d v="1993-04-08T00:00:00"/>
    <m/>
    <n v="500"/>
    <n v="14070"/>
    <n v="1617"/>
    <n v="14076"/>
    <n v="1617"/>
    <n v="0"/>
    <n v="0"/>
    <n v="51260"/>
    <n v="0"/>
    <s v="A"/>
    <s v="American Disposal"/>
    <s v="NA"/>
    <s v=" "/>
    <s v="STL"/>
    <s v="YES"/>
    <s v="TBD"/>
    <d v="2024-10-09T00:00:00"/>
    <x v="19"/>
    <m/>
    <m/>
    <m/>
    <m/>
    <m/>
    <m/>
    <m/>
    <m/>
    <m/>
    <m/>
    <m/>
  </r>
  <r>
    <n v="2111"/>
    <n v="173127"/>
    <s v="P"/>
    <s v="Capitalized"/>
    <s v="60 Lids &amp; Freight Charges &amp; Tax"/>
    <m/>
    <m/>
    <n v="60"/>
    <m/>
    <n v="0"/>
    <s v="Dewald Northwest"/>
    <m/>
    <s v="CONTAINERS"/>
    <s v="TBA"/>
    <m/>
    <m/>
    <m/>
    <d v="1999-07-30T00:00:00"/>
    <d v="1999-07-30T00:00:00"/>
    <s v="99-2111-0860"/>
    <n v="1200"/>
    <n v="14050"/>
    <n v="2887.07"/>
    <n v="14056"/>
    <n v="2887.07"/>
    <n v="0"/>
    <n v="0"/>
    <n v="54260"/>
    <n v="0"/>
    <s v="P"/>
    <m/>
    <m/>
    <s v=" "/>
    <s v="STL"/>
    <s v="YES"/>
    <s v="TBD"/>
    <d v="2024-10-09T00:00:00"/>
    <x v="19"/>
    <m/>
    <m/>
    <m/>
    <m/>
    <m/>
    <m/>
    <m/>
    <m/>
    <m/>
    <m/>
    <m/>
  </r>
  <r>
    <n v="2111"/>
    <n v="173126"/>
    <s v="P"/>
    <s v="Capitalized"/>
    <s v="2 yd Rearload Containers"/>
    <m/>
    <m/>
    <n v="7"/>
    <m/>
    <n v="0"/>
    <s v="Dewald Northwest"/>
    <m/>
    <s v="CONTAINERS"/>
    <s v="TBA"/>
    <m/>
    <s v="2 YD"/>
    <s v="FEL/REL/SL Metal"/>
    <d v="1999-07-30T00:00:00"/>
    <d v="1999-07-30T00:00:00"/>
    <s v="99-2111-0860"/>
    <n v="1200"/>
    <n v="14050"/>
    <n v="2009.28"/>
    <n v="14056"/>
    <n v="2009.28"/>
    <n v="0"/>
    <n v="0"/>
    <n v="54260"/>
    <n v="0"/>
    <s v="P"/>
    <m/>
    <m/>
    <s v=" "/>
    <s v="STL"/>
    <s v="YES"/>
    <s v="TBD"/>
    <d v="2024-10-09T00:00:00"/>
    <x v="19"/>
    <m/>
    <m/>
    <m/>
    <m/>
    <m/>
    <m/>
    <m/>
    <m/>
    <m/>
    <m/>
    <m/>
  </r>
  <r>
    <n v="2111"/>
    <n v="173123"/>
    <s v="P"/>
    <s v="Capitalized"/>
    <s v="95 gal Toters"/>
    <m/>
    <m/>
    <n v="384"/>
    <m/>
    <n v="0"/>
    <m/>
    <m/>
    <s v="CONTAINERS"/>
    <s v="TBA"/>
    <m/>
    <m/>
    <m/>
    <d v="1998-03-31T00:00:00"/>
    <d v="1998-03-31T00:00:00"/>
    <m/>
    <n v="500"/>
    <n v="14050"/>
    <n v="18627.46"/>
    <n v="14056"/>
    <n v="18627.46"/>
    <n v="0"/>
    <n v="0"/>
    <n v="54260"/>
    <n v="0"/>
    <s v="A"/>
    <s v="American Disposal"/>
    <s v="NA"/>
    <s v=" "/>
    <s v="STL"/>
    <s v="YES"/>
    <s v="TBD"/>
    <d v="2024-10-09T00:00:00"/>
    <x v="19"/>
    <m/>
    <m/>
    <m/>
    <m/>
    <m/>
    <m/>
    <m/>
    <m/>
    <m/>
    <m/>
    <m/>
  </r>
  <r>
    <n v="2111"/>
    <n v="173122"/>
    <s v="P"/>
    <s v="Capitalized"/>
    <s v="1 yd Containers w/Lids (N)"/>
    <m/>
    <m/>
    <n v="25"/>
    <m/>
    <n v="0"/>
    <m/>
    <m/>
    <s v="CONTAINERS"/>
    <s v="TBA"/>
    <m/>
    <s v="1 YD"/>
    <s v="FEL/REL/SL Metal"/>
    <d v="1997-03-24T00:00:00"/>
    <d v="1997-03-24T00:00:00"/>
    <m/>
    <n v="1200"/>
    <n v="14050"/>
    <n v="6806.16"/>
    <n v="14056"/>
    <n v="6806.16"/>
    <n v="0"/>
    <n v="0"/>
    <n v="54260"/>
    <n v="0"/>
    <s v="A"/>
    <s v="American Disposal"/>
    <s v="NA"/>
    <s v=" "/>
    <s v="STL"/>
    <s v="YES"/>
    <s v="TBD"/>
    <d v="2024-10-09T00:00:00"/>
    <x v="19"/>
    <m/>
    <m/>
    <m/>
    <m/>
    <m/>
    <m/>
    <m/>
    <m/>
    <m/>
    <m/>
    <m/>
  </r>
  <r>
    <n v="2111"/>
    <n v="173121"/>
    <s v="P"/>
    <s v="Capitalized"/>
    <s v="95 gal Toters"/>
    <m/>
    <m/>
    <n v="720"/>
    <m/>
    <n v="0"/>
    <m/>
    <m/>
    <s v="CONTAINERS"/>
    <s v="TBA"/>
    <m/>
    <m/>
    <m/>
    <d v="1997-02-20T00:00:00"/>
    <d v="1997-02-20T00:00:00"/>
    <m/>
    <n v="500"/>
    <n v="14050"/>
    <n v="36547.199999999997"/>
    <n v="14056"/>
    <n v="36547.199999999997"/>
    <n v="0"/>
    <n v="0"/>
    <n v="54260"/>
    <n v="0"/>
    <s v="A"/>
    <s v="American Disposal"/>
    <s v="NA"/>
    <s v=" "/>
    <s v="STL"/>
    <s v="YES"/>
    <s v="TBD"/>
    <d v="2024-10-09T00:00:00"/>
    <x v="19"/>
    <m/>
    <m/>
    <m/>
    <m/>
    <m/>
    <m/>
    <m/>
    <m/>
    <m/>
    <m/>
    <m/>
  </r>
  <r>
    <n v="2111"/>
    <n v="173120"/>
    <s v="P"/>
    <s v="Capitalized"/>
    <s v="95 gal Toters"/>
    <m/>
    <m/>
    <n v="360"/>
    <m/>
    <n v="0"/>
    <m/>
    <m/>
    <s v="CONTAINERS"/>
    <s v="TBA"/>
    <m/>
    <m/>
    <m/>
    <d v="1997-01-24T00:00:00"/>
    <d v="1997-01-24T00:00:00"/>
    <m/>
    <n v="500"/>
    <n v="14050"/>
    <n v="20165.04"/>
    <n v="14056"/>
    <n v="20165.04"/>
    <n v="0"/>
    <n v="0"/>
    <n v="54260"/>
    <n v="0"/>
    <s v="A"/>
    <s v="American Disposal"/>
    <s v="NA"/>
    <s v=" "/>
    <s v="STL"/>
    <s v="YES"/>
    <s v="TBD"/>
    <d v="2024-10-09T00:00:00"/>
    <x v="19"/>
    <m/>
    <m/>
    <m/>
    <m/>
    <m/>
    <m/>
    <m/>
    <m/>
    <m/>
    <m/>
    <m/>
  </r>
  <r>
    <n v="2111"/>
    <n v="173119"/>
    <s v="P"/>
    <s v="Capitalized"/>
    <s v="30 yd Drop Boxes w/Lids (N)"/>
    <m/>
    <m/>
    <n v="1"/>
    <m/>
    <n v="0"/>
    <m/>
    <m/>
    <s v="CONTAINERS"/>
    <s v="TBA"/>
    <m/>
    <s v="30 YD"/>
    <s v="RO Box"/>
    <d v="1996-05-30T00:00:00"/>
    <d v="1996-05-30T00:00:00"/>
    <m/>
    <n v="1200"/>
    <n v="14050"/>
    <n v="3257.05"/>
    <n v="14056"/>
    <n v="3257.05"/>
    <n v="0"/>
    <n v="0"/>
    <n v="54260"/>
    <n v="0"/>
    <s v="A"/>
    <s v="American Disposal"/>
    <s v="NA"/>
    <s v=" "/>
    <s v="STL"/>
    <s v="YES"/>
    <s v="TBD"/>
    <d v="2024-10-09T00:00:00"/>
    <x v="19"/>
    <m/>
    <m/>
    <m/>
    <m/>
    <m/>
    <m/>
    <m/>
    <m/>
    <m/>
    <m/>
    <m/>
  </r>
  <r>
    <n v="2111"/>
    <n v="173118"/>
    <s v="P"/>
    <s v="Capitalized"/>
    <s v="1 yd Containers w/Lids"/>
    <m/>
    <m/>
    <n v="20"/>
    <m/>
    <n v="0"/>
    <m/>
    <m/>
    <s v="CONTAINERS"/>
    <s v="TBA"/>
    <m/>
    <s v="1 YD"/>
    <s v="FEL/REL/SL Metal"/>
    <d v="1996-03-28T00:00:00"/>
    <d v="1996-03-28T00:00:00"/>
    <m/>
    <n v="1200"/>
    <n v="14050"/>
    <n v="5439.89"/>
    <n v="14056"/>
    <n v="5439.89"/>
    <n v="0"/>
    <n v="0"/>
    <n v="54260"/>
    <n v="0"/>
    <s v="A"/>
    <s v="American Disposal"/>
    <s v="NA"/>
    <s v=" "/>
    <s v="STL"/>
    <s v="YES"/>
    <s v="TBD"/>
    <d v="2024-10-09T00:00:00"/>
    <x v="19"/>
    <m/>
    <m/>
    <m/>
    <m/>
    <m/>
    <m/>
    <m/>
    <m/>
    <m/>
    <m/>
    <m/>
  </r>
  <r>
    <n v="2111"/>
    <n v="173117"/>
    <s v="P"/>
    <s v="Capitalized"/>
    <s v="95 gal Toters"/>
    <m/>
    <m/>
    <n v="340"/>
    <m/>
    <n v="0"/>
    <m/>
    <m/>
    <s v="CONTAINERS"/>
    <s v="TBA"/>
    <m/>
    <m/>
    <m/>
    <d v="1996-03-28T00:00:00"/>
    <d v="1996-03-28T00:00:00"/>
    <m/>
    <n v="500"/>
    <n v="14050"/>
    <n v="20004.66"/>
    <n v="14056"/>
    <n v="20004.66"/>
    <n v="0"/>
    <n v="0"/>
    <n v="54260"/>
    <n v="0"/>
    <s v="A"/>
    <s v="American Disposal"/>
    <s v="NA"/>
    <s v=" "/>
    <s v="STL"/>
    <s v="YES"/>
    <s v="TBD"/>
    <d v="2024-10-09T00:00:00"/>
    <x v="19"/>
    <m/>
    <m/>
    <m/>
    <m/>
    <m/>
    <m/>
    <m/>
    <m/>
    <m/>
    <m/>
    <m/>
  </r>
  <r>
    <n v="2111"/>
    <n v="173116"/>
    <s v="P"/>
    <s v="Capitalized"/>
    <s v="20yd Drop Boxes w/Lids (N)"/>
    <m/>
    <m/>
    <n v="2"/>
    <m/>
    <n v="0"/>
    <m/>
    <m/>
    <s v="CONTAINERS"/>
    <s v="TBA"/>
    <m/>
    <s v="20 YD"/>
    <s v="RO Box"/>
    <d v="1996-02-14T00:00:00"/>
    <d v="1996-02-14T00:00:00"/>
    <m/>
    <n v="1200"/>
    <n v="14050"/>
    <n v="6957.42"/>
    <n v="14056"/>
    <n v="6957.42"/>
    <n v="0"/>
    <n v="0"/>
    <n v="54260"/>
    <n v="0"/>
    <s v="A"/>
    <s v="American Disposal"/>
    <s v="NA"/>
    <s v=" "/>
    <s v="STL"/>
    <s v="YES"/>
    <s v="TBD"/>
    <d v="2024-10-09T00:00:00"/>
    <x v="19"/>
    <m/>
    <m/>
    <m/>
    <m/>
    <m/>
    <m/>
    <m/>
    <m/>
    <m/>
    <m/>
    <m/>
  </r>
  <r>
    <n v="2111"/>
    <n v="173115"/>
    <s v="P"/>
    <s v="Capitalized"/>
    <s v="30yd Drop Boxes w/Lids (N)"/>
    <m/>
    <m/>
    <n v="2"/>
    <m/>
    <n v="0"/>
    <m/>
    <m/>
    <s v="CONTAINERS"/>
    <s v="TBA"/>
    <m/>
    <s v="30 YD"/>
    <s v="RO Box"/>
    <d v="1996-02-15T00:00:00"/>
    <d v="1996-02-15T00:00:00"/>
    <m/>
    <n v="1200"/>
    <n v="14050"/>
    <n v="7892.61"/>
    <n v="14056"/>
    <n v="7892.61"/>
    <n v="0"/>
    <n v="0"/>
    <n v="54260"/>
    <n v="0"/>
    <s v="A"/>
    <s v="American Disposal"/>
    <s v="NA"/>
    <s v=" "/>
    <s v="STL"/>
    <s v="YES"/>
    <s v="TBD"/>
    <d v="2024-10-09T00:00:00"/>
    <x v="19"/>
    <m/>
    <m/>
    <m/>
    <m/>
    <m/>
    <m/>
    <m/>
    <m/>
    <m/>
    <m/>
    <m/>
  </r>
  <r>
    <n v="2111"/>
    <n v="173114"/>
    <s v="P"/>
    <s v="Capitalized"/>
    <s v="2yd Containers w/Lids"/>
    <m/>
    <m/>
    <n v="50"/>
    <m/>
    <n v="0"/>
    <m/>
    <m/>
    <s v="CONTAINERS"/>
    <s v="TBA"/>
    <m/>
    <s v="2 YD"/>
    <s v="FEL/REL/SL Metal"/>
    <d v="1995-08-01T00:00:00"/>
    <d v="1995-08-01T00:00:00"/>
    <m/>
    <n v="1200"/>
    <n v="14050"/>
    <n v="16670.560000000001"/>
    <n v="14056"/>
    <n v="16670.560000000001"/>
    <n v="0"/>
    <n v="0"/>
    <n v="54260"/>
    <n v="0"/>
    <s v="A"/>
    <s v="American Disposal"/>
    <s v="NA"/>
    <s v=" "/>
    <s v="STL"/>
    <s v="YES"/>
    <s v="TBD"/>
    <d v="2024-10-09T00:00:00"/>
    <x v="19"/>
    <m/>
    <m/>
    <m/>
    <m/>
    <m/>
    <m/>
    <m/>
    <m/>
    <m/>
    <m/>
    <m/>
  </r>
  <r>
    <n v="2111"/>
    <n v="173113"/>
    <s v="P"/>
    <s v="Capitalized"/>
    <s v="95 gal Toters (U) Resdul"/>
    <m/>
    <m/>
    <n v="1982"/>
    <m/>
    <n v="0"/>
    <m/>
    <m/>
    <s v="CONTAINERS"/>
    <s v="TBA"/>
    <m/>
    <m/>
    <m/>
    <d v="1995-06-25T00:00:00"/>
    <d v="1995-06-25T00:00:00"/>
    <m/>
    <n v="500"/>
    <n v="14050"/>
    <n v="12179.42"/>
    <n v="14056"/>
    <n v="12179.42"/>
    <n v="0"/>
    <n v="0"/>
    <n v="54260"/>
    <n v="0"/>
    <s v="A"/>
    <s v="American Disposal"/>
    <s v="NA"/>
    <s v=" "/>
    <s v="STL"/>
    <s v="YES"/>
    <s v="TBD"/>
    <d v="2024-10-09T00:00:00"/>
    <x v="19"/>
    <m/>
    <m/>
    <m/>
    <m/>
    <m/>
    <m/>
    <m/>
    <m/>
    <m/>
    <m/>
    <m/>
  </r>
  <r>
    <n v="2111"/>
    <n v="173112"/>
    <s v="P"/>
    <s v="Capitalized"/>
    <s v="95gal Toters (N)"/>
    <m/>
    <m/>
    <n v="120"/>
    <m/>
    <n v="0"/>
    <m/>
    <m/>
    <s v="CONTAINERS"/>
    <s v="TBA"/>
    <m/>
    <m/>
    <m/>
    <d v="1995-06-16T00:00:00"/>
    <d v="1995-06-16T00:00:00"/>
    <m/>
    <n v="500"/>
    <n v="14050"/>
    <n v="6862.44"/>
    <n v="14056"/>
    <n v="6862.44"/>
    <n v="0"/>
    <n v="0"/>
    <n v="54260"/>
    <n v="0"/>
    <s v="A"/>
    <s v="American Disposal"/>
    <s v="NA"/>
    <s v=" "/>
    <s v="STL"/>
    <s v="YES"/>
    <s v="TBD"/>
    <d v="2024-10-09T00:00:00"/>
    <x v="19"/>
    <m/>
    <m/>
    <m/>
    <m/>
    <m/>
    <m/>
    <m/>
    <m/>
    <m/>
    <m/>
    <m/>
  </r>
  <r>
    <n v="2111"/>
    <n v="173111"/>
    <s v="P"/>
    <s v="Capitalized"/>
    <s v="95gal Toters"/>
    <m/>
    <m/>
    <n v="340"/>
    <m/>
    <n v="0"/>
    <m/>
    <m/>
    <s v="CONTAINERS"/>
    <s v="TBA"/>
    <m/>
    <m/>
    <m/>
    <d v="1995-03-27T00:00:00"/>
    <d v="1995-03-27T00:00:00"/>
    <m/>
    <n v="500"/>
    <n v="14050"/>
    <n v="19443.580000000002"/>
    <n v="14056"/>
    <n v="19443.580000000002"/>
    <n v="0"/>
    <n v="0"/>
    <n v="54260"/>
    <n v="0"/>
    <s v="A"/>
    <s v="American Disposal"/>
    <s v="NA"/>
    <s v=" "/>
    <s v="STL"/>
    <s v="YES"/>
    <s v="TBD"/>
    <d v="2024-10-09T00:00:00"/>
    <x v="19"/>
    <m/>
    <m/>
    <m/>
    <m/>
    <m/>
    <m/>
    <m/>
    <m/>
    <m/>
    <m/>
    <m/>
  </r>
  <r>
    <n v="2111"/>
    <n v="173110"/>
    <s v="P"/>
    <s v="Capitalized"/>
    <s v="6yd SC'D Cages"/>
    <m/>
    <m/>
    <n v="13"/>
    <m/>
    <n v="0"/>
    <m/>
    <m/>
    <s v="CONTAINERS"/>
    <s v="TBA"/>
    <m/>
    <s v="6 YD"/>
    <s v="FEL/REL/SL Metal"/>
    <d v="1994-08-14T00:00:00"/>
    <d v="1994-08-14T00:00:00"/>
    <m/>
    <n v="1200"/>
    <n v="14050"/>
    <n v="4208.1000000000004"/>
    <n v="14056"/>
    <n v="4208.1000000000004"/>
    <n v="0"/>
    <n v="0"/>
    <n v="54260"/>
    <n v="0"/>
    <s v="A"/>
    <s v="American Disposal"/>
    <s v="NA"/>
    <s v=" "/>
    <s v="STL"/>
    <s v="YES"/>
    <s v="TBD"/>
    <d v="2024-10-09T00:00:00"/>
    <x v="19"/>
    <m/>
    <m/>
    <m/>
    <m/>
    <m/>
    <m/>
    <m/>
    <m/>
    <m/>
    <m/>
    <m/>
  </r>
  <r>
    <n v="2111"/>
    <n v="173107"/>
    <s v="P"/>
    <s v="Capitalized"/>
    <s v="20 yd Drop Boxes w/Lids"/>
    <m/>
    <m/>
    <n v="2"/>
    <m/>
    <n v="0"/>
    <m/>
    <m/>
    <s v="CONTAINERS"/>
    <s v="TBA"/>
    <m/>
    <s v="20 YD"/>
    <s v="RO Box"/>
    <d v="1994-07-06T00:00:00"/>
    <d v="1994-07-06T00:00:00"/>
    <m/>
    <n v="1200"/>
    <n v="14050"/>
    <n v="6264.67"/>
    <n v="14056"/>
    <n v="6264.67"/>
    <n v="0"/>
    <n v="0"/>
    <n v="54260"/>
    <n v="0"/>
    <s v="A"/>
    <s v="American Disposal"/>
    <s v="NA"/>
    <s v=" "/>
    <s v="STL"/>
    <s v="YES"/>
    <s v="TBD"/>
    <d v="2024-10-09T00:00:00"/>
    <x v="19"/>
    <m/>
    <m/>
    <m/>
    <m/>
    <m/>
    <m/>
    <m/>
    <m/>
    <m/>
    <m/>
    <m/>
  </r>
  <r>
    <n v="2111"/>
    <n v="173105"/>
    <s v="P"/>
    <s v="Capitalized"/>
    <s v="1 yd Containers w/Lids"/>
    <m/>
    <m/>
    <n v="19"/>
    <m/>
    <n v="0"/>
    <m/>
    <m/>
    <s v="CONTAINERS"/>
    <s v="TBA"/>
    <m/>
    <s v="1 YD"/>
    <s v="FEL/REL/SL Metal"/>
    <d v="1994-05-26T00:00:00"/>
    <d v="1994-05-26T00:00:00"/>
    <m/>
    <n v="1200"/>
    <n v="14050"/>
    <n v="4734.1000000000004"/>
    <n v="14056"/>
    <n v="4734.1000000000004"/>
    <n v="0"/>
    <n v="0"/>
    <n v="54260"/>
    <n v="0"/>
    <s v="A"/>
    <s v="American Disposal"/>
    <s v="NA"/>
    <s v=" "/>
    <s v="STL"/>
    <s v="YES"/>
    <s v="TBD"/>
    <d v="2024-10-09T00:00:00"/>
    <x v="19"/>
    <m/>
    <m/>
    <m/>
    <m/>
    <m/>
    <m/>
    <m/>
    <m/>
    <m/>
    <m/>
    <m/>
  </r>
  <r>
    <n v="2111"/>
    <n v="173104"/>
    <s v="P"/>
    <s v="Capitalized"/>
    <s v="1yd Containers w/Lids"/>
    <m/>
    <m/>
    <n v="11"/>
    <m/>
    <n v="0"/>
    <m/>
    <m/>
    <s v="CONTAINERS"/>
    <s v="TBA"/>
    <m/>
    <s v="1 YD"/>
    <s v="FEL/REL/SL Metal"/>
    <d v="1994-05-16T00:00:00"/>
    <d v="1994-05-16T00:00:00"/>
    <m/>
    <n v="1200"/>
    <n v="14050"/>
    <n v="2740.79"/>
    <n v="14056"/>
    <n v="2740.79"/>
    <n v="0"/>
    <n v="0"/>
    <n v="54260"/>
    <n v="0"/>
    <s v="A"/>
    <s v="American Disposal"/>
    <s v="NA"/>
    <s v=" "/>
    <s v="STL"/>
    <s v="YES"/>
    <s v="TBD"/>
    <d v="2024-10-09T00:00:00"/>
    <x v="19"/>
    <m/>
    <m/>
    <m/>
    <m/>
    <m/>
    <m/>
    <m/>
    <m/>
    <m/>
    <m/>
    <m/>
  </r>
  <r>
    <n v="2111"/>
    <n v="173103"/>
    <s v="P"/>
    <s v="Capitalized"/>
    <s v="20 yd Drop Boxes w/Lids"/>
    <m/>
    <m/>
    <n v="1"/>
    <m/>
    <n v="0"/>
    <m/>
    <m/>
    <s v="CONTAINERS"/>
    <s v="TBA"/>
    <m/>
    <s v="20 YD"/>
    <s v="RO Box"/>
    <d v="1994-04-21T00:00:00"/>
    <d v="1994-04-21T00:00:00"/>
    <m/>
    <n v="1200"/>
    <n v="14050"/>
    <n v="3251.88"/>
    <n v="14056"/>
    <n v="3251.88"/>
    <n v="0"/>
    <n v="0"/>
    <n v="54260"/>
    <n v="0"/>
    <s v="A"/>
    <s v="American Disposal"/>
    <s v="NA"/>
    <s v=" "/>
    <s v="STL"/>
    <s v="YES"/>
    <s v="TBD"/>
    <d v="2024-10-09T00:00:00"/>
    <x v="19"/>
    <m/>
    <m/>
    <m/>
    <m/>
    <m/>
    <m/>
    <m/>
    <m/>
    <m/>
    <m/>
    <m/>
  </r>
  <r>
    <n v="2111"/>
    <n v="173102"/>
    <s v="P"/>
    <s v="Capitalized"/>
    <s v="2yd Containers w/Lids"/>
    <m/>
    <m/>
    <n v="25"/>
    <m/>
    <n v="0"/>
    <m/>
    <m/>
    <s v="CONTAINERS"/>
    <s v="TBA"/>
    <m/>
    <s v="2 YD"/>
    <s v="FEL/REL/SL Metal"/>
    <d v="1994-03-17T00:00:00"/>
    <d v="1994-03-17T00:00:00"/>
    <m/>
    <n v="1200"/>
    <n v="14050"/>
    <n v="8335.2800000000007"/>
    <n v="14056"/>
    <n v="8335.2800000000007"/>
    <n v="0"/>
    <n v="0"/>
    <n v="54260"/>
    <n v="0"/>
    <s v="A"/>
    <s v="American Disposal"/>
    <s v="NA"/>
    <s v=" "/>
    <s v="STL"/>
    <s v="YES"/>
    <s v="TBD"/>
    <d v="2024-10-09T00:00:00"/>
    <x v="19"/>
    <m/>
    <m/>
    <m/>
    <m/>
    <m/>
    <m/>
    <m/>
    <m/>
    <m/>
    <m/>
    <m/>
  </r>
  <r>
    <n v="2111"/>
    <n v="173098"/>
    <s v="P"/>
    <s v="Capitalized"/>
    <s v="2yd Containers w/Lids"/>
    <m/>
    <m/>
    <n v="25"/>
    <m/>
    <n v="0"/>
    <m/>
    <m/>
    <s v="CONTAINERS"/>
    <s v="TBA"/>
    <m/>
    <s v="2 YD"/>
    <s v="FEL/REL/SL Metal"/>
    <d v="1993-07-06T00:00:00"/>
    <d v="1993-07-06T00:00:00"/>
    <m/>
    <n v="1200"/>
    <n v="14050"/>
    <n v="7680.75"/>
    <n v="14056"/>
    <n v="7680.75"/>
    <n v="0"/>
    <n v="0"/>
    <n v="54260"/>
    <n v="0"/>
    <s v="A"/>
    <s v="American Disposal"/>
    <s v="NA"/>
    <s v=" "/>
    <s v="STL"/>
    <s v="YES"/>
    <s v="TBD"/>
    <d v="2024-10-09T00:00:00"/>
    <x v="19"/>
    <m/>
    <m/>
    <m/>
    <m/>
    <m/>
    <m/>
    <m/>
    <m/>
    <m/>
    <m/>
    <m/>
  </r>
  <r>
    <n v="2111"/>
    <n v="173097"/>
    <s v="P"/>
    <s v="Capitalized"/>
    <s v="95 gal MF Toters"/>
    <m/>
    <m/>
    <n v="100"/>
    <m/>
    <n v="0"/>
    <m/>
    <m/>
    <s v="CONTAINERS"/>
    <s v="TBA"/>
    <m/>
    <m/>
    <m/>
    <d v="1993-06-28T00:00:00"/>
    <d v="1993-06-28T00:00:00"/>
    <m/>
    <n v="500"/>
    <n v="14050"/>
    <n v="5551.7"/>
    <n v="14056"/>
    <n v="5551.7"/>
    <n v="0"/>
    <n v="0"/>
    <n v="54260"/>
    <n v="0"/>
    <s v="A"/>
    <s v="American Disposal"/>
    <s v="NA"/>
    <s v=" "/>
    <s v="STL"/>
    <s v="YES"/>
    <s v="TBD"/>
    <d v="2024-10-09T00:00:00"/>
    <x v="19"/>
    <m/>
    <m/>
    <m/>
    <m/>
    <m/>
    <m/>
    <m/>
    <m/>
    <m/>
    <m/>
    <m/>
  </r>
  <r>
    <n v="2111"/>
    <n v="173096"/>
    <s v="P"/>
    <s v="Capitalized"/>
    <s v="95 gal Yard w/Toters"/>
    <m/>
    <m/>
    <n v="250"/>
    <m/>
    <n v="0"/>
    <m/>
    <m/>
    <s v="CONTAINERS"/>
    <s v="TBA"/>
    <m/>
    <m/>
    <m/>
    <d v="1993-06-28T00:00:00"/>
    <d v="1993-06-28T00:00:00"/>
    <m/>
    <n v="500"/>
    <n v="14050"/>
    <n v="13879.25"/>
    <n v="14056"/>
    <n v="13879.25"/>
    <n v="0"/>
    <n v="0"/>
    <n v="54260"/>
    <n v="0"/>
    <s v="A"/>
    <s v="American Disposal"/>
    <s v="NA"/>
    <s v=" "/>
    <s v="STL"/>
    <s v="YES"/>
    <s v="TBD"/>
    <d v="2024-10-09T00:00:00"/>
    <x v="19"/>
    <m/>
    <m/>
    <m/>
    <m/>
    <m/>
    <m/>
    <m/>
    <m/>
    <m/>
    <m/>
    <m/>
  </r>
  <r>
    <n v="2111"/>
    <n v="173095"/>
    <s v="P"/>
    <s v="Capitalized"/>
    <s v="95 gal Yard w/Toters"/>
    <m/>
    <m/>
    <n v="90"/>
    <m/>
    <n v="0"/>
    <m/>
    <m/>
    <s v="CONTAINERS"/>
    <s v="TBA"/>
    <m/>
    <m/>
    <m/>
    <d v="1993-06-10T00:00:00"/>
    <d v="1993-06-10T00:00:00"/>
    <m/>
    <n v="500"/>
    <n v="14050"/>
    <n v="4996.53"/>
    <n v="14056"/>
    <n v="4996.53"/>
    <n v="0"/>
    <n v="0"/>
    <n v="54260"/>
    <n v="0"/>
    <s v="A"/>
    <s v="American Disposal"/>
    <s v="NA"/>
    <s v=" "/>
    <s v="STL"/>
    <s v="YES"/>
    <s v="TBD"/>
    <d v="2024-10-09T00:00:00"/>
    <x v="19"/>
    <m/>
    <m/>
    <m/>
    <m/>
    <m/>
    <m/>
    <m/>
    <m/>
    <m/>
    <m/>
    <m/>
  </r>
  <r>
    <n v="2111"/>
    <n v="173087"/>
    <s v="P"/>
    <s v="Capitalized"/>
    <s v="4yd  Containers w/Lids"/>
    <m/>
    <m/>
    <n v="10"/>
    <m/>
    <n v="0"/>
    <m/>
    <m/>
    <s v="CONTAINERS"/>
    <s v="TBA"/>
    <m/>
    <s v="4 YD"/>
    <s v="FEL/REL/SL Metal"/>
    <d v="1989-10-13T00:00:00"/>
    <d v="1989-10-13T00:00:00"/>
    <m/>
    <n v="1200"/>
    <n v="14050"/>
    <n v="4143.05"/>
    <n v="14056"/>
    <n v="4143.05"/>
    <n v="0"/>
    <n v="0"/>
    <n v="54260"/>
    <n v="0"/>
    <s v="A"/>
    <s v="American Disposal"/>
    <s v="NA"/>
    <s v=" "/>
    <s v="STL"/>
    <s v="YES"/>
    <s v="TBD"/>
    <d v="2024-10-09T00:00:00"/>
    <x v="19"/>
    <m/>
    <m/>
    <m/>
    <m/>
    <m/>
    <m/>
    <m/>
    <m/>
    <m/>
    <m/>
    <m/>
  </r>
  <r>
    <n v="2111"/>
    <n v="173085"/>
    <s v="P"/>
    <s v="Capitalized"/>
    <s v="4yd Containers w/Lids"/>
    <m/>
    <m/>
    <n v="2"/>
    <m/>
    <n v="0"/>
    <m/>
    <m/>
    <s v="CONTAINERS"/>
    <s v="TBA"/>
    <m/>
    <s v="4 YD"/>
    <s v="FEL/REL/SL Metal"/>
    <d v="1988-11-30T00:00:00"/>
    <d v="1988-11-30T00:00:00"/>
    <m/>
    <n v="1200"/>
    <n v="14050"/>
    <n v="808.4"/>
    <n v="14056"/>
    <n v="808.4"/>
    <n v="0"/>
    <n v="0"/>
    <n v="54260"/>
    <n v="0"/>
    <s v="A"/>
    <s v="American Disposal"/>
    <s v="NA"/>
    <s v=" "/>
    <s v="STL"/>
    <s v="YES"/>
    <s v="TBD"/>
    <d v="2024-10-09T00:00:00"/>
    <x v="19"/>
    <m/>
    <m/>
    <m/>
    <m/>
    <m/>
    <m/>
    <m/>
    <m/>
    <m/>
    <m/>
    <m/>
  </r>
  <r>
    <n v="2111"/>
    <n v="173084"/>
    <s v="P"/>
    <s v="Capitalized"/>
    <s v="2yd Containers w/Lids"/>
    <m/>
    <m/>
    <n v="7"/>
    <m/>
    <n v="0"/>
    <m/>
    <m/>
    <s v="CONTAINERS"/>
    <s v="TBA"/>
    <m/>
    <s v="2 YD"/>
    <s v="FEL/REL/SL Metal"/>
    <d v="1988-09-29T00:00:00"/>
    <d v="1988-09-29T00:00:00"/>
    <m/>
    <n v="1200"/>
    <n v="14050"/>
    <n v="563.86"/>
    <n v="14056"/>
    <n v="563.86"/>
    <n v="0"/>
    <n v="0"/>
    <n v="54260"/>
    <n v="0"/>
    <s v="A"/>
    <s v="American Disposal"/>
    <s v="NA"/>
    <s v=" "/>
    <s v="STL"/>
    <s v="YES"/>
    <s v="TBD"/>
    <d v="2024-10-09T00:00:00"/>
    <x v="19"/>
    <m/>
    <m/>
    <m/>
    <m/>
    <m/>
    <m/>
    <m/>
    <m/>
    <m/>
    <m/>
    <m/>
  </r>
  <r>
    <n v="2111"/>
    <n v="173080"/>
    <s v="P"/>
    <s v="Capitalized"/>
    <s v="Truck Radios"/>
    <m/>
    <m/>
    <n v="1"/>
    <s v="BCA24225"/>
    <n v="1997"/>
    <s v="OTHER"/>
    <s v="Other"/>
    <s v="TRUCKS AND TRAILERS"/>
    <s v="TBA"/>
    <s v="Non-Rolling Stock"/>
    <m/>
    <m/>
    <d v="1997-09-15T00:00:00"/>
    <d v="1997-09-15T00:00:00"/>
    <m/>
    <n v="1000"/>
    <n v="14040"/>
    <n v="8095.22"/>
    <n v="14046"/>
    <n v="8095.22"/>
    <n v="0"/>
    <n v="0"/>
    <n v="51260"/>
    <n v="0"/>
    <s v="A"/>
    <s v="American Disposal"/>
    <s v="NA"/>
    <s v=" "/>
    <s v="STL"/>
    <s v="YES"/>
    <s v="TBD"/>
    <d v="2024-10-09T00:00:00"/>
    <x v="19"/>
    <m/>
    <m/>
    <m/>
    <m/>
    <m/>
    <m/>
    <m/>
    <m/>
    <m/>
    <m/>
    <m/>
  </r>
  <r>
    <n v="2111"/>
    <n v="173079"/>
    <s v="P"/>
    <s v="Capitalized"/>
    <s v="1998 Peterbilt (10801) (5166)51 (N) #153"/>
    <m/>
    <m/>
    <n v="1"/>
    <s v="1NPZH58X9WD710801"/>
    <n v="1998"/>
    <s v="Peterbilt"/>
    <s v="Heil"/>
    <s v="TRUCKS AND TRAILERS"/>
    <s v="TBA"/>
    <s v="Rear Loader"/>
    <m/>
    <m/>
    <d v="1997-08-13T00:00:00"/>
    <d v="1997-08-13T00:00:00"/>
    <m/>
    <n v="1000"/>
    <n v="14040"/>
    <n v="119807.54"/>
    <n v="14046"/>
    <n v="119807.54"/>
    <n v="0"/>
    <n v="0"/>
    <n v="51260"/>
    <n v="0"/>
    <s v="A"/>
    <s v="American Disposal"/>
    <n v="153"/>
    <s v=" "/>
    <s v="STL"/>
    <s v="YES"/>
    <s v="TBD"/>
    <d v="2024-10-09T00:00:00"/>
    <x v="19"/>
    <m/>
    <m/>
    <m/>
    <m/>
    <m/>
    <m/>
    <m/>
    <m/>
    <m/>
    <m/>
    <m/>
  </r>
  <r>
    <n v="2111"/>
    <n v="173078"/>
    <s v="P"/>
    <s v="Capitalized"/>
    <s v="1998 Peterbilt (10800), (5141) (N) #152"/>
    <m/>
    <m/>
    <n v="1"/>
    <s v="1NPZH58X7WD710800"/>
    <n v="1998"/>
    <s v="Peterbilt"/>
    <s v="Heil"/>
    <s v="TRUCKS AND TRAILERS"/>
    <s v="TBA"/>
    <s v="Rear Loader"/>
    <m/>
    <m/>
    <d v="1997-08-13T00:00:00"/>
    <d v="1997-08-13T00:00:00"/>
    <m/>
    <n v="1000"/>
    <n v="14040"/>
    <n v="119807.54"/>
    <n v="14046"/>
    <n v="119807.54"/>
    <n v="0"/>
    <n v="0"/>
    <n v="51260"/>
    <n v="0"/>
    <s v="A"/>
    <s v="American Disposal"/>
    <n v="152"/>
    <s v=" "/>
    <s v="STL"/>
    <s v="YES"/>
    <s v="TBD"/>
    <d v="2024-10-09T00:00:00"/>
    <x v="19"/>
    <m/>
    <m/>
    <m/>
    <m/>
    <m/>
    <m/>
    <m/>
    <m/>
    <m/>
    <m/>
    <m/>
  </r>
  <r>
    <n v="2111"/>
    <n v="173077"/>
    <s v="P"/>
    <s v="Capitalized"/>
    <s v="30yd w/Lids (N)"/>
    <m/>
    <m/>
    <n v="6"/>
    <m/>
    <n v="1997"/>
    <s v="OTHER"/>
    <s v="Cascon"/>
    <s v="CONTAINERS"/>
    <s v="TBA"/>
    <m/>
    <s v="30 YD"/>
    <s v="RO Box"/>
    <d v="1997-08-15T00:00:00"/>
    <d v="1997-08-15T00:00:00"/>
    <m/>
    <n v="1200"/>
    <n v="14050"/>
    <n v="24565.62"/>
    <n v="14056"/>
    <n v="24565.62"/>
    <n v="0"/>
    <n v="0"/>
    <n v="54260"/>
    <n v="0"/>
    <s v="A"/>
    <s v="American Disposal"/>
    <s v="NA"/>
    <s v=" "/>
    <s v="STL"/>
    <s v="YES"/>
    <s v="TBD"/>
    <d v="2024-10-09T00:00:00"/>
    <x v="19"/>
    <m/>
    <m/>
    <m/>
    <m/>
    <m/>
    <m/>
    <m/>
    <m/>
    <m/>
    <m/>
    <m/>
  </r>
  <r>
    <n v="2111"/>
    <n v="173076"/>
    <s v="P"/>
    <s v="Capitalized"/>
    <s v="95gal Toters"/>
    <m/>
    <m/>
    <n v="340"/>
    <m/>
    <n v="1996"/>
    <s v="OTHER"/>
    <m/>
    <s v="CONTAINERS"/>
    <s v="TBA"/>
    <m/>
    <m/>
    <m/>
    <d v="1996-07-08T00:00:00"/>
    <d v="1996-07-08T00:00:00"/>
    <m/>
    <n v="500"/>
    <n v="14050"/>
    <n v="20023.2"/>
    <n v="14056"/>
    <n v="20023.2"/>
    <n v="0"/>
    <n v="0"/>
    <n v="54260"/>
    <n v="0"/>
    <s v="A"/>
    <s v="American Disposal"/>
    <s v="NA"/>
    <s v=" "/>
    <s v="STL"/>
    <s v="YES"/>
    <s v="TBD"/>
    <d v="2024-10-09T00:00:00"/>
    <x v="19"/>
    <m/>
    <m/>
    <m/>
    <m/>
    <m/>
    <m/>
    <m/>
    <m/>
    <m/>
    <m/>
    <m/>
  </r>
  <r>
    <n v="2111"/>
    <n v="173075"/>
    <s v="P"/>
    <s v="Capitalized"/>
    <s v="Land American Disposal"/>
    <m/>
    <m/>
    <n v="1"/>
    <m/>
    <n v="0"/>
    <m/>
    <m/>
    <s v="LAND"/>
    <s v="LAND"/>
    <m/>
    <m/>
    <m/>
    <d v="1998-12-31T00:00:00"/>
    <d v="1998-12-31T00:00:00"/>
    <m/>
    <n v="0"/>
    <n v="14000"/>
    <n v="12084.87"/>
    <n v="14016"/>
    <n v="0"/>
    <n v="12084.87"/>
    <n v="0"/>
    <n v="57260"/>
    <n v="0"/>
    <s v="A"/>
    <s v="American Disposal"/>
    <s v="NA"/>
    <s v=" "/>
    <s v="STL"/>
    <s v="NO"/>
    <s v="TBD"/>
    <d v="2024-10-09T00:00:00"/>
    <x v="19"/>
    <m/>
    <m/>
    <m/>
    <m/>
    <m/>
    <m/>
    <m/>
    <m/>
    <m/>
    <m/>
    <m/>
  </r>
  <r>
    <n v="2111"/>
    <n v="172841"/>
    <n v="102158"/>
    <s v="Capitalized"/>
    <s v="Cart Tipper"/>
    <m/>
    <m/>
    <n v="1"/>
    <m/>
    <n v="0"/>
    <s v="SOLID WASTE SYSTEMS, INC"/>
    <m/>
    <s v="TRUCKS AND TRAILERS"/>
    <s v="TBA"/>
    <s v="Non-Rolling Stock"/>
    <m/>
    <m/>
    <d v="2017-01-01T00:00:00"/>
    <d v="2017-01-01T00:00:00"/>
    <s v="2111-16-0051-1"/>
    <n v="500"/>
    <n v="14040"/>
    <n v="67968.03"/>
    <n v="14046"/>
    <n v="67968.03"/>
    <n v="0"/>
    <n v="0"/>
    <n v="51260"/>
    <n v="0"/>
    <s v="P"/>
    <m/>
    <m/>
    <s v=" "/>
    <s v="STL"/>
    <s v="YES"/>
    <s v="TBD"/>
    <d v="2024-10-09T00:00:00"/>
    <x v="19"/>
    <m/>
    <m/>
    <m/>
    <m/>
    <m/>
    <m/>
    <m/>
    <m/>
    <m/>
    <m/>
    <m/>
  </r>
  <r>
    <n v="2111"/>
    <n v="171824"/>
    <s v="P"/>
    <s v="Capitalized"/>
    <s v="New Laptop - Panasonic Toughbook 53 Lite 14"/>
    <m/>
    <m/>
    <n v="1"/>
    <m/>
    <n v="0"/>
    <s v="CDW"/>
    <m/>
    <s v="HARDWARE AND SOFTWARE"/>
    <s v="TBA"/>
    <m/>
    <m/>
    <m/>
    <d v="2016-12-20T00:00:00"/>
    <d v="2016-12-20T00:00:00"/>
    <s v="2111-16-0053-1"/>
    <n v="200"/>
    <n v="14110"/>
    <n v="1311.89"/>
    <n v="14116"/>
    <n v="1311.89"/>
    <n v="0"/>
    <n v="0"/>
    <n v="70260"/>
    <n v="0"/>
    <s v="P"/>
    <m/>
    <m/>
    <s v=" "/>
    <s v="STL"/>
    <s v="YES"/>
    <s v="TBD"/>
    <d v="2024-10-09T00:00:00"/>
    <x v="19"/>
    <m/>
    <m/>
    <m/>
    <m/>
    <m/>
    <m/>
    <m/>
    <m/>
    <m/>
    <m/>
    <m/>
  </r>
  <r>
    <n v="2111"/>
    <n v="171235"/>
    <s v="P"/>
    <s v="Capitalized"/>
    <s v="Peterbilt 386 Road Tractor"/>
    <m/>
    <m/>
    <n v="1"/>
    <s v="1XPHP49X6ED221557"/>
    <n v="2014"/>
    <s v="Peterbilt"/>
    <s v="NA"/>
    <s v="TRUCKS AND TRAILERS"/>
    <s v="TBA"/>
    <s v="Transfer Tractor"/>
    <m/>
    <m/>
    <d v="2016-12-26T00:00:00"/>
    <d v="2016-12-26T00:00:00"/>
    <s v="2111-16-0001-1"/>
    <n v="400"/>
    <n v="14040"/>
    <n v="104215"/>
    <n v="14046"/>
    <n v="104215"/>
    <n v="0"/>
    <n v="0"/>
    <n v="51260"/>
    <n v="0"/>
    <s v="P"/>
    <m/>
    <n v="188"/>
    <s v=" "/>
    <s v="STL"/>
    <s v="YES"/>
    <s v="TBD"/>
    <d v="2024-10-09T00:00:00"/>
    <x v="19"/>
    <m/>
    <m/>
    <m/>
    <m/>
    <m/>
    <m/>
    <m/>
    <m/>
    <m/>
    <m/>
    <m/>
  </r>
  <r>
    <n v="2111"/>
    <n v="170509"/>
    <s v="P"/>
    <s v="Capitalized"/>
    <s v="Engine Overhaul"/>
    <m/>
    <m/>
    <n v="1"/>
    <m/>
    <n v="0"/>
    <s v="RWC Group"/>
    <m/>
    <s v="TRUCKS AND TRAILERS"/>
    <s v="TBA"/>
    <s v="Non-Rolling Stock"/>
    <m/>
    <m/>
    <d v="2016-11-01T00:00:00"/>
    <d v="2016-11-01T00:00:00"/>
    <s v="2111-16-0052-1"/>
    <n v="300"/>
    <n v="14040"/>
    <n v="14023.35"/>
    <n v="14046"/>
    <n v="14023.35"/>
    <n v="0"/>
    <n v="0"/>
    <n v="51260"/>
    <n v="0"/>
    <s v="P"/>
    <m/>
    <m/>
    <s v=" "/>
    <s v="STL"/>
    <s v="YES"/>
    <s v="TBD"/>
    <d v="2024-10-09T00:00:00"/>
    <x v="19"/>
    <m/>
    <m/>
    <m/>
    <m/>
    <m/>
    <m/>
    <m/>
    <m/>
    <m/>
    <m/>
    <m/>
  </r>
  <r>
    <n v="2111"/>
    <n v="170480"/>
    <s v="P"/>
    <s v="Capitalized"/>
    <s v="Engine Overhaul Inhouse Labor"/>
    <m/>
    <m/>
    <n v="1"/>
    <m/>
    <n v="0"/>
    <s v="Murreys"/>
    <m/>
    <s v="TRUCKS AND TRAILERS"/>
    <s v="TBA"/>
    <s v="Non-Rolling Stock"/>
    <m/>
    <m/>
    <d v="2016-11-01T00:00:00"/>
    <d v="2016-11-01T00:00:00"/>
    <s v="2111-16-0052-1"/>
    <n v="300"/>
    <n v="14040"/>
    <n v="1575"/>
    <n v="14046"/>
    <n v="1575"/>
    <n v="0"/>
    <n v="0"/>
    <n v="51260"/>
    <n v="0"/>
    <s v="P"/>
    <m/>
    <m/>
    <s v=" "/>
    <s v="STL"/>
    <s v="YES"/>
    <s v="TBD"/>
    <d v="2024-10-09T00:00:00"/>
    <x v="19"/>
    <m/>
    <m/>
    <m/>
    <m/>
    <m/>
    <m/>
    <m/>
    <m/>
    <m/>
    <m/>
    <m/>
  </r>
  <r>
    <n v="2111"/>
    <n v="170429"/>
    <s v="P"/>
    <s v="Capitalized"/>
    <s v="Air and hose reel shop improvement"/>
    <m/>
    <m/>
    <n v="1"/>
    <m/>
    <n v="0"/>
    <s v="CAMCAL Inc"/>
    <m/>
    <s v="BUILDINGS"/>
    <s v="TBA"/>
    <m/>
    <m/>
    <m/>
    <d v="2016-11-01T00:00:00"/>
    <d v="2016-11-01T00:00:00"/>
    <s v="2111-16-0054-1"/>
    <n v="1000"/>
    <n v="14080"/>
    <n v="17748.240000000002"/>
    <n v="14086"/>
    <n v="14050.64"/>
    <n v="3697.6000000000022"/>
    <n v="1331.1"/>
    <n v="57260"/>
    <n v="147.9"/>
    <s v="P"/>
    <m/>
    <m/>
    <s v=" "/>
    <s v="STL"/>
    <s v="YES"/>
    <s v="TBD"/>
    <d v="2024-10-09T00:00:00"/>
    <x v="19"/>
    <m/>
    <m/>
    <m/>
    <m/>
    <m/>
    <m/>
    <m/>
    <m/>
    <m/>
    <m/>
    <m/>
  </r>
  <r>
    <n v="2111"/>
    <n v="170261"/>
    <n v="169996"/>
    <s v="Capitalized"/>
    <s v="Drivecam"/>
    <m/>
    <m/>
    <n v="1"/>
    <m/>
    <n v="0"/>
    <s v="Lytx"/>
    <s v="NA"/>
    <s v="TRUCKS AND TRAILERS"/>
    <s v="TBA"/>
    <s v="Non-Rolling Stock"/>
    <m/>
    <m/>
    <d v="2016-11-25T00:00:00"/>
    <d v="2016-11-25T00:00:00"/>
    <s v="2111-16-0038-1"/>
    <n v="500"/>
    <n v="14040"/>
    <n v="632.72"/>
    <n v="14046"/>
    <n v="632.72"/>
    <n v="0"/>
    <n v="0"/>
    <n v="51260"/>
    <n v="0"/>
    <s v="P"/>
    <m/>
    <m/>
    <s v=" "/>
    <s v="STL"/>
    <s v="YES"/>
    <s v="TBD"/>
    <d v="2024-10-09T00:00:00"/>
    <x v="19"/>
    <m/>
    <m/>
    <m/>
    <m/>
    <m/>
    <m/>
    <m/>
    <m/>
    <m/>
    <m/>
    <m/>
  </r>
  <r>
    <n v="2111"/>
    <n v="169996"/>
    <s v="P"/>
    <s v="Capitalized"/>
    <s v="Isuzu 12' Box Truck"/>
    <m/>
    <m/>
    <n v="1"/>
    <s v="JALC4W164C7000519"/>
    <n v="2012"/>
    <s v="Isuzu"/>
    <s v="NA"/>
    <s v="TRUCKS AND TRAILERS"/>
    <s v="TBA"/>
    <s v="Box Truck"/>
    <m/>
    <m/>
    <d v="2016-11-25T00:00:00"/>
    <d v="2016-11-25T00:00:00"/>
    <s v="2111-16-0038-1"/>
    <n v="500"/>
    <n v="14040"/>
    <n v="34500"/>
    <n v="14046"/>
    <n v="34500"/>
    <n v="0"/>
    <n v="0"/>
    <n v="51260"/>
    <n v="0"/>
    <s v="P"/>
    <n v="0"/>
    <s v="C-6"/>
    <s v=" "/>
    <s v="STL"/>
    <s v="YES"/>
    <s v="TBD"/>
    <d v="2024-10-09T00:00:00"/>
    <x v="19"/>
    <m/>
    <m/>
    <m/>
    <m/>
    <m/>
    <m/>
    <m/>
    <m/>
    <m/>
    <m/>
    <m/>
  </r>
  <r>
    <n v="2111"/>
    <n v="168978"/>
    <s v="P"/>
    <s v="Capitalized"/>
    <s v="Improvement Sterling Truck 175 Install Wet Kit"/>
    <m/>
    <m/>
    <n v="1"/>
    <m/>
    <n v="0"/>
    <s v="SOLID WASTE SYSTEMS INC"/>
    <m/>
    <s v="TRUCKS AND TRAILERS"/>
    <s v="TBA"/>
    <s v="Non-Rolling Stock"/>
    <m/>
    <m/>
    <d v="2016-06-15T00:00:00"/>
    <d v="2016-06-15T00:00:00"/>
    <s v="2111-16-0027-1"/>
    <n v="300"/>
    <n v="14040"/>
    <n v="8833.89"/>
    <n v="14046"/>
    <n v="8833.89"/>
    <n v="0"/>
    <n v="0"/>
    <n v="51260"/>
    <n v="0"/>
    <s v="P"/>
    <m/>
    <m/>
    <s v=" "/>
    <s v="STL"/>
    <s v="YES"/>
    <s v="TBD"/>
    <d v="2024-10-09T00:00:00"/>
    <x v="19"/>
    <m/>
    <m/>
    <m/>
    <m/>
    <m/>
    <m/>
    <m/>
    <m/>
    <m/>
    <m/>
    <m/>
  </r>
  <r>
    <n v="2111"/>
    <n v="168021"/>
    <s v="P"/>
    <s v="Capitalized"/>
    <s v="(8) Acer V226HQL - LED Monitors - 21.5"/>
    <m/>
    <m/>
    <n v="1"/>
    <m/>
    <n v="0"/>
    <s v="CDW"/>
    <m/>
    <s v="HARDWARE AND SOFTWARE"/>
    <s v="TBA"/>
    <m/>
    <m/>
    <m/>
    <d v="2016-09-22T00:00:00"/>
    <d v="2016-09-22T00:00:00"/>
    <s v="2111-16-0022-1"/>
    <n v="300"/>
    <n v="14110"/>
    <n v="993.08"/>
    <n v="14116"/>
    <n v="993.08"/>
    <n v="0"/>
    <n v="0"/>
    <n v="70260"/>
    <n v="0"/>
    <s v="P"/>
    <m/>
    <m/>
    <s v=" "/>
    <s v="STL"/>
    <s v="YES"/>
    <s v="TBD"/>
    <d v="2024-10-09T00:00:00"/>
    <x v="19"/>
    <m/>
    <m/>
    <m/>
    <m/>
    <m/>
    <m/>
    <m/>
    <m/>
    <m/>
    <m/>
    <m/>
  </r>
  <r>
    <n v="2111"/>
    <n v="166868"/>
    <s v="P"/>
    <s v="Capitalized"/>
    <s v="96 Gallon Recycle Carts"/>
    <m/>
    <m/>
    <n v="624"/>
    <m/>
    <n v="0"/>
    <s v="Toter"/>
    <m/>
    <s v="CONTAINERS"/>
    <s v="TBA"/>
    <m/>
    <m/>
    <m/>
    <d v="2016-06-27T00:00:00"/>
    <d v="2016-06-27T00:00:00"/>
    <s v="2111-16-0030-1"/>
    <n v="700"/>
    <n v="14050"/>
    <n v="31693.8"/>
    <n v="14056"/>
    <n v="31693.8"/>
    <n v="0"/>
    <n v="0"/>
    <n v="54260"/>
    <n v="0"/>
    <s v="P"/>
    <m/>
    <m/>
    <s v=" "/>
    <s v="STL"/>
    <s v="YES"/>
    <s v="TBD"/>
    <d v="2024-10-09T00:00:00"/>
    <x v="19"/>
    <m/>
    <m/>
    <m/>
    <m/>
    <m/>
    <m/>
    <m/>
    <m/>
    <m/>
    <m/>
    <m/>
  </r>
  <r>
    <n v="2111"/>
    <n v="166867"/>
    <s v="P"/>
    <s v="Capitalized"/>
    <s v="96 Gallon Recycle Carts"/>
    <m/>
    <m/>
    <n v="624"/>
    <m/>
    <n v="0"/>
    <s v="Toter"/>
    <m/>
    <s v="CONTAINERS"/>
    <s v="TBA"/>
    <m/>
    <m/>
    <m/>
    <d v="2016-06-20T00:00:00"/>
    <d v="2016-06-20T00:00:00"/>
    <s v="2111-16-0030-1"/>
    <n v="700"/>
    <n v="14050"/>
    <n v="31693.79"/>
    <n v="14056"/>
    <n v="31693.79"/>
    <n v="0"/>
    <n v="0"/>
    <n v="54260"/>
    <n v="0"/>
    <s v="P"/>
    <m/>
    <m/>
    <s v=" "/>
    <s v="STL"/>
    <s v="YES"/>
    <s v="TBD"/>
    <d v="2024-10-09T00:00:00"/>
    <x v="19"/>
    <m/>
    <m/>
    <m/>
    <m/>
    <m/>
    <m/>
    <m/>
    <m/>
    <m/>
    <m/>
    <m/>
  </r>
  <r>
    <n v="2111"/>
    <n v="166835"/>
    <s v="P"/>
    <s v="Capitalized"/>
    <s v="1986 Yard Mule"/>
    <m/>
    <m/>
    <n v="1"/>
    <n v="61174"/>
    <n v="1986"/>
    <s v="Budget Truck Wrecking"/>
    <m/>
    <s v="TRUCKS AND TRAILERS"/>
    <s v="TBA"/>
    <s v="Yard Mule"/>
    <m/>
    <m/>
    <d v="2016-06-01T00:00:00"/>
    <d v="2016-06-01T00:00:00"/>
    <s v="2111-16-0003-1"/>
    <n v="300"/>
    <n v="14040"/>
    <n v="5475"/>
    <n v="14046"/>
    <n v="5475"/>
    <n v="0"/>
    <n v="0"/>
    <n v="51260"/>
    <n v="0"/>
    <s v="P"/>
    <n v="0"/>
    <s v="YG-4"/>
    <s v=" "/>
    <s v="STL"/>
    <s v="YES"/>
    <s v="TBD"/>
    <d v="2024-10-09T00:00:00"/>
    <x v="19"/>
    <m/>
    <m/>
    <m/>
    <m/>
    <m/>
    <m/>
    <m/>
    <m/>
    <m/>
    <m/>
    <m/>
  </r>
  <r>
    <n v="2111"/>
    <n v="166458"/>
    <s v="P"/>
    <s v="Capitalized"/>
    <s v="2002 Used Yard Goat"/>
    <m/>
    <m/>
    <n v="1"/>
    <n v="303563"/>
    <n v="2002"/>
    <s v="RWC"/>
    <s v="OTTAWA"/>
    <s v="TRUCKS AND TRAILERS"/>
    <s v="TBA"/>
    <s v="Yard Mule"/>
    <m/>
    <m/>
    <d v="2016-08-15T00:00:00"/>
    <d v="2016-08-15T00:00:00"/>
    <s v="2111-16-0033-1"/>
    <n v="300"/>
    <n v="14040"/>
    <n v="26927"/>
    <n v="14046"/>
    <n v="26927"/>
    <n v="0"/>
    <n v="0"/>
    <n v="51260"/>
    <n v="0"/>
    <s v="P"/>
    <n v="0"/>
    <s v="YG-3"/>
    <s v=" "/>
    <s v="STL"/>
    <s v="YES"/>
    <s v="TBD"/>
    <d v="2024-10-09T00:00:00"/>
    <x v="19"/>
    <m/>
    <m/>
    <m/>
    <m/>
    <m/>
    <m/>
    <m/>
    <m/>
    <m/>
    <m/>
    <m/>
  </r>
  <r>
    <n v="2111"/>
    <n v="165855"/>
    <s v="P"/>
    <s v="Capitalized"/>
    <s v="HP ProBook 650 G2 - 15.6 Laptop"/>
    <m/>
    <m/>
    <n v="1"/>
    <m/>
    <n v="0"/>
    <s v="CDW"/>
    <m/>
    <s v="HARDWARE AND SOFTWARE"/>
    <s v="TBA"/>
    <m/>
    <m/>
    <m/>
    <d v="2016-07-08T00:00:00"/>
    <d v="2016-07-08T00:00:00"/>
    <s v="2111-16-0032-1"/>
    <n v="300"/>
    <n v="14110"/>
    <n v="1237.49"/>
    <n v="14116"/>
    <n v="1237.49"/>
    <n v="0"/>
    <n v="0"/>
    <n v="70260"/>
    <n v="0"/>
    <s v="P"/>
    <m/>
    <m/>
    <s v=" "/>
    <s v="STL"/>
    <s v="YES"/>
    <s v="TBD"/>
    <d v="2024-10-09T00:00:00"/>
    <x v="19"/>
    <m/>
    <m/>
    <m/>
    <m/>
    <m/>
    <m/>
    <m/>
    <m/>
    <m/>
    <m/>
    <m/>
  </r>
  <r>
    <n v="2111"/>
    <n v="165849"/>
    <s v="P"/>
    <s v="Capitalized"/>
    <s v="Soft Cab - Zamboni Cover"/>
    <m/>
    <m/>
    <n v="1"/>
    <m/>
    <n v="0"/>
    <s v="Tennant Co"/>
    <m/>
    <s v="SHOP EQUIPMENT"/>
    <s v="TBA"/>
    <m/>
    <m/>
    <m/>
    <d v="2016-06-22T00:00:00"/>
    <d v="2016-06-22T00:00:00"/>
    <s v="2111-16-0024-1"/>
    <n v="500"/>
    <n v="14070"/>
    <n v="7659.9"/>
    <n v="14076"/>
    <n v="7659.9"/>
    <n v="0"/>
    <n v="0"/>
    <n v="51260"/>
    <n v="0"/>
    <s v="P"/>
    <m/>
    <m/>
    <s v=" "/>
    <s v="STL"/>
    <s v="YES"/>
    <s v="TBD"/>
    <d v="2024-10-09T00:00:00"/>
    <x v="19"/>
    <m/>
    <m/>
    <m/>
    <m/>
    <m/>
    <m/>
    <m/>
    <m/>
    <m/>
    <m/>
    <m/>
  </r>
  <r>
    <n v="2111"/>
    <n v="165758"/>
    <n v="25020"/>
    <s v="Capitalized"/>
    <s v="RO Inframe Capital Repair"/>
    <m/>
    <m/>
    <n v="1"/>
    <m/>
    <n v="0"/>
    <s v="Western Peterbilt"/>
    <m/>
    <s v="TRUCKS AND TRAILERS"/>
    <s v="TBA"/>
    <s v="Non-Rolling Stock"/>
    <m/>
    <m/>
    <d v="2016-06-23T00:00:00"/>
    <d v="2016-06-23T00:00:00"/>
    <s v="2111-16-0031-1"/>
    <n v="300"/>
    <n v="14040"/>
    <n v="19969.009999999998"/>
    <n v="14046"/>
    <n v="19969.009999999998"/>
    <n v="0"/>
    <n v="0"/>
    <n v="51260"/>
    <n v="0"/>
    <s v="P"/>
    <m/>
    <m/>
    <s v=" "/>
    <s v="STL"/>
    <s v="YES"/>
    <s v="TBD"/>
    <d v="2024-10-09T00:00:00"/>
    <x v="19"/>
    <m/>
    <m/>
    <m/>
    <m/>
    <m/>
    <m/>
    <m/>
    <m/>
    <m/>
    <m/>
    <m/>
  </r>
  <r>
    <n v="2111"/>
    <n v="165562"/>
    <s v="P"/>
    <s v="Capitalized"/>
    <s v="HP Probook 640 G1"/>
    <m/>
    <m/>
    <n v="1"/>
    <m/>
    <n v="0"/>
    <s v="CDW"/>
    <m/>
    <s v="HARDWARE AND SOFTWARE"/>
    <s v="TBA"/>
    <m/>
    <m/>
    <m/>
    <d v="2014-04-28T00:00:00"/>
    <d v="2014-04-28T00:00:00"/>
    <s v="2410-14-0001-1"/>
    <n v="300"/>
    <n v="14110"/>
    <n v="1019.16"/>
    <n v="14116"/>
    <n v="1019.16"/>
    <n v="0"/>
    <n v="0"/>
    <n v="70260"/>
    <n v="0"/>
    <s v="P"/>
    <m/>
    <m/>
    <s v=" "/>
    <s v="STL"/>
    <s v="YES"/>
    <s v="TBD"/>
    <d v="2024-10-09T00:00:00"/>
    <x v="19"/>
    <m/>
    <m/>
    <m/>
    <m/>
    <m/>
    <m/>
    <m/>
    <m/>
    <m/>
    <m/>
    <m/>
  </r>
  <r>
    <n v="2111"/>
    <n v="133017"/>
    <s v="P"/>
    <s v="Capitalized"/>
    <s v="HP SB ProBook 640"/>
    <m/>
    <m/>
    <n v="1"/>
    <m/>
    <n v="0"/>
    <s v="CDW"/>
    <m/>
    <s v="HARDWARE AND SOFTWARE"/>
    <s v="TBA"/>
    <m/>
    <m/>
    <m/>
    <d v="2016-05-23T00:00:00"/>
    <d v="2016-05-23T00:00:00"/>
    <s v="2111-16-0029-1"/>
    <n v="300"/>
    <n v="14110"/>
    <n v="1121.76"/>
    <n v="14116"/>
    <n v="1121.76"/>
    <n v="0"/>
    <n v="0"/>
    <n v="70260"/>
    <n v="0"/>
    <s v="P"/>
    <m/>
    <m/>
    <s v=" "/>
    <s v="STL"/>
    <s v="YES"/>
    <s v="TBD"/>
    <d v="2024-10-09T00:00:00"/>
    <x v="19"/>
    <m/>
    <m/>
    <m/>
    <m/>
    <m/>
    <m/>
    <m/>
    <m/>
    <m/>
    <m/>
    <m/>
  </r>
  <r>
    <n v="2111"/>
    <n v="133016"/>
    <s v="P"/>
    <s v="Capitalized"/>
    <s v="LED Monitors"/>
    <m/>
    <m/>
    <n v="1"/>
    <m/>
    <n v="0"/>
    <s v="CDW"/>
    <m/>
    <s v="HARDWARE AND SOFTWARE"/>
    <s v="TBA"/>
    <m/>
    <m/>
    <m/>
    <d v="2016-05-05T00:00:00"/>
    <d v="2016-05-05T00:00:00"/>
    <s v="2111-16-0022-1"/>
    <n v="300"/>
    <n v="14110"/>
    <n v="2417.6999999999998"/>
    <n v="14116"/>
    <n v="2417.6999999999998"/>
    <n v="0"/>
    <n v="0"/>
    <n v="70260"/>
    <n v="0"/>
    <s v="P"/>
    <m/>
    <m/>
    <s v=" "/>
    <s v="STL"/>
    <s v="YES"/>
    <s v="TBD"/>
    <d v="2024-10-09T00:00:00"/>
    <x v="19"/>
    <m/>
    <m/>
    <m/>
    <m/>
    <m/>
    <m/>
    <m/>
    <m/>
    <m/>
    <m/>
    <m/>
  </r>
  <r>
    <n v="2111"/>
    <n v="132977"/>
    <n v="102169"/>
    <s v="Capitalized"/>
    <s v="Truck #182 Repair"/>
    <m/>
    <m/>
    <n v="1"/>
    <m/>
    <n v="0"/>
    <s v="WESTERN PETERBILT"/>
    <m/>
    <s v="TRUCKS AND TRAILERS"/>
    <s v="TBA"/>
    <s v="Non-Rolling Stock"/>
    <m/>
    <m/>
    <d v="2016-04-30T00:00:00"/>
    <d v="2016-04-30T00:00:00"/>
    <s v="2111-16-0023-1"/>
    <n v="300"/>
    <n v="14040"/>
    <n v="34606.75"/>
    <n v="14046"/>
    <n v="34606.75"/>
    <n v="0"/>
    <n v="0"/>
    <n v="51260"/>
    <n v="0"/>
    <s v="P"/>
    <m/>
    <m/>
    <s v=" "/>
    <s v="STL"/>
    <s v="YES"/>
    <s v="TBD"/>
    <d v="2024-10-09T00:00:00"/>
    <x v="19"/>
    <m/>
    <m/>
    <m/>
    <m/>
    <m/>
    <m/>
    <m/>
    <m/>
    <m/>
    <m/>
    <m/>
  </r>
  <r>
    <n v="2111"/>
    <n v="132354"/>
    <n v="131295"/>
    <s v="Capitalized"/>
    <s v="ProClip Tablet Mounts"/>
    <m/>
    <m/>
    <n v="1"/>
    <m/>
    <n v="0"/>
    <s v="PROCLIP USA, INC"/>
    <m/>
    <s v="HARDWARE AND SOFTWARE"/>
    <s v="TBA"/>
    <m/>
    <m/>
    <m/>
    <d v="2016-03-31T00:00:00"/>
    <d v="2016-03-31T00:00:00"/>
    <s v="2111-16-0018-1"/>
    <n v="100"/>
    <n v="14110"/>
    <n v="23056.62"/>
    <n v="14116"/>
    <n v="23056.62"/>
    <n v="0"/>
    <n v="0"/>
    <n v="70260"/>
    <n v="0"/>
    <s v="P"/>
    <m/>
    <m/>
    <s v=" "/>
    <s v="STL"/>
    <s v="YES"/>
    <s v="TBD"/>
    <d v="2024-10-09T00:00:00"/>
    <x v="19"/>
    <m/>
    <m/>
    <m/>
    <m/>
    <m/>
    <m/>
    <m/>
    <m/>
    <m/>
    <m/>
    <m/>
  </r>
  <r>
    <n v="2111"/>
    <n v="132249"/>
    <s v="P"/>
    <s v="Capitalized"/>
    <s v="2500 Lb Drop Box Winches"/>
    <m/>
    <m/>
    <n v="48"/>
    <m/>
    <n v="0"/>
    <s v="DUTTON-LAINSON COMPANY"/>
    <m/>
    <s v="CONTAINERS"/>
    <s v="TBA"/>
    <m/>
    <m/>
    <m/>
    <d v="2016-04-30T00:00:00"/>
    <d v="2016-04-30T00:00:00"/>
    <s v="2111-16-0025-1"/>
    <n v="500"/>
    <n v="14050"/>
    <n v="7289.19"/>
    <n v="14056"/>
    <n v="7289.19"/>
    <n v="0"/>
    <n v="0"/>
    <n v="54260"/>
    <n v="0"/>
    <s v="P"/>
    <m/>
    <m/>
    <s v=" "/>
    <s v="STL"/>
    <s v="YES"/>
    <s v="TBD"/>
    <d v="2024-10-09T00:00:00"/>
    <x v="19"/>
    <m/>
    <m/>
    <m/>
    <m/>
    <m/>
    <m/>
    <m/>
    <m/>
    <m/>
    <m/>
    <m/>
  </r>
  <r>
    <n v="2111"/>
    <n v="132248"/>
    <s v="P"/>
    <s v="Capitalized"/>
    <s v="1500 Lb Drop Box Winches"/>
    <m/>
    <m/>
    <n v="400"/>
    <m/>
    <n v="0"/>
    <s v="DUTTON-LAINSON COMPANY"/>
    <m/>
    <s v="CONTAINERS"/>
    <s v="TBA"/>
    <m/>
    <m/>
    <m/>
    <d v="2016-04-30T00:00:00"/>
    <d v="2016-04-30T00:00:00"/>
    <s v="2111-16-0025-1"/>
    <n v="500"/>
    <n v="14050"/>
    <n v="37677.360000000001"/>
    <n v="14056"/>
    <n v="37677.360000000001"/>
    <n v="0"/>
    <n v="0"/>
    <n v="54260"/>
    <n v="0"/>
    <s v="P"/>
    <m/>
    <m/>
    <s v=" "/>
    <s v="STL"/>
    <s v="YES"/>
    <s v="TBD"/>
    <d v="2024-10-09T00:00:00"/>
    <x v="19"/>
    <m/>
    <m/>
    <m/>
    <m/>
    <m/>
    <m/>
    <m/>
    <m/>
    <m/>
    <m/>
    <m/>
  </r>
  <r>
    <n v="2111"/>
    <n v="132075"/>
    <s v="P"/>
    <s v="Capitalized"/>
    <s v="Peterbilt 320/McNeilus REL"/>
    <m/>
    <m/>
    <n v="1"/>
    <s v="3BPZL70X0GF107386"/>
    <n v="2016"/>
    <s v="Peterbilt"/>
    <s v="McNeilus"/>
    <s v="TRUCKS AND TRAILERS"/>
    <s v="TBA"/>
    <s v="Rear Loader"/>
    <m/>
    <m/>
    <d v="2016-03-31T00:00:00"/>
    <d v="2016-03-31T00:00:00"/>
    <s v="2111-16-0014-1"/>
    <n v="1000"/>
    <n v="14040"/>
    <n v="287706.76"/>
    <n v="14046"/>
    <n v="244550.81"/>
    <n v="43155.950000000012"/>
    <n v="21578.04"/>
    <n v="51260"/>
    <n v="2397.56"/>
    <s v="P"/>
    <m/>
    <n v="630"/>
    <s v=" "/>
    <s v="STL"/>
    <s v="YES"/>
    <s v="TBD"/>
    <d v="2024-10-09T00:00:00"/>
    <x v="19"/>
    <m/>
    <m/>
    <m/>
    <m/>
    <m/>
    <m/>
    <m/>
    <m/>
    <m/>
    <m/>
    <m/>
  </r>
  <r>
    <n v="2111"/>
    <n v="132074"/>
    <s v="P"/>
    <s v="Capitalized"/>
    <s v="Peterbilt 320/Wayne Curbtender ASL"/>
    <m/>
    <m/>
    <n v="1"/>
    <s v="3BPZL70X1GF107185"/>
    <n v="2016"/>
    <s v="Peterbilt"/>
    <s v="Wayne"/>
    <s v="TRUCKS AND TRAILERS"/>
    <s v="TBA"/>
    <s v="Automated Side Loader"/>
    <m/>
    <m/>
    <d v="2016-04-30T00:00:00"/>
    <d v="2016-04-30T00:00:00"/>
    <s v="2111-16-0019-1"/>
    <n v="1000"/>
    <n v="14040"/>
    <n v="327729.76"/>
    <n v="14046"/>
    <n v="275839.23"/>
    <n v="51890.530000000028"/>
    <n v="24579.72"/>
    <n v="51260"/>
    <n v="2731.08"/>
    <s v="P"/>
    <m/>
    <n v="837"/>
    <s v=" "/>
    <s v="STL"/>
    <s v="YES"/>
    <s v="TBD"/>
    <d v="2024-10-09T00:00:00"/>
    <x v="19"/>
    <m/>
    <m/>
    <m/>
    <m/>
    <m/>
    <m/>
    <m/>
    <m/>
    <m/>
    <m/>
    <m/>
  </r>
  <r>
    <n v="2111"/>
    <n v="131500"/>
    <n v="19647"/>
    <s v="Capitalized"/>
    <s v="Engine Cap Repair"/>
    <m/>
    <m/>
    <n v="1"/>
    <m/>
    <n v="0"/>
    <s v="RWC GROUP"/>
    <m/>
    <s v="TRUCKS AND TRAILERS"/>
    <s v="TBA"/>
    <s v="Non-Rolling Stock"/>
    <m/>
    <m/>
    <d v="2016-03-31T00:00:00"/>
    <d v="2016-03-31T00:00:00"/>
    <s v="2111-16-0021-1"/>
    <n v="300"/>
    <n v="14040"/>
    <n v="20361.07"/>
    <n v="14046"/>
    <n v="20361.07"/>
    <n v="0"/>
    <n v="0"/>
    <n v="51260"/>
    <n v="0"/>
    <s v="P"/>
    <m/>
    <m/>
    <s v=" "/>
    <s v="STL"/>
    <s v="YES"/>
    <s v="TBD"/>
    <d v="2024-10-09T00:00:00"/>
    <x v="19"/>
    <m/>
    <m/>
    <m/>
    <m/>
    <m/>
    <m/>
    <m/>
    <m/>
    <m/>
    <m/>
    <m/>
  </r>
  <r>
    <n v="2111"/>
    <n v="131295"/>
    <s v="P"/>
    <s v="Capitalized"/>
    <s v="(104) Galaxy Tablets"/>
    <m/>
    <m/>
    <n v="1"/>
    <m/>
    <n v="0"/>
    <s v="VERIZON"/>
    <m/>
    <s v="HARDWARE AND SOFTWARE"/>
    <s v="TBA"/>
    <m/>
    <m/>
    <m/>
    <d v="2016-03-31T00:00:00"/>
    <d v="2016-03-31T00:00:00"/>
    <s v="2111-16-0018-1"/>
    <n v="100"/>
    <n v="14110"/>
    <n v="25892.28"/>
    <n v="14116"/>
    <n v="25892.28"/>
    <n v="0"/>
    <n v="0"/>
    <n v="70260"/>
    <n v="0"/>
    <s v="P"/>
    <m/>
    <m/>
    <s v=" "/>
    <s v="STL"/>
    <s v="YES"/>
    <s v="TBD"/>
    <d v="2024-10-09T00:00:00"/>
    <x v="19"/>
    <m/>
    <m/>
    <m/>
    <m/>
    <m/>
    <m/>
    <m/>
    <m/>
    <m/>
    <m/>
    <m/>
  </r>
  <r>
    <n v="2111"/>
    <n v="131256"/>
    <s v="P"/>
    <s v="Capitalized"/>
    <s v="96 GAL YARD WASTE CARTS"/>
    <m/>
    <m/>
    <n v="624"/>
    <m/>
    <n v="0"/>
    <s v="TOTER"/>
    <m/>
    <s v="CONTAINERS"/>
    <s v="TBA"/>
    <m/>
    <m/>
    <m/>
    <d v="2016-02-16T00:00:00"/>
    <d v="2016-02-16T00:00:00"/>
    <s v="2111-16-0009-1"/>
    <n v="700"/>
    <n v="14050"/>
    <n v="32025.85"/>
    <n v="14056"/>
    <n v="32025.85"/>
    <n v="0"/>
    <n v="0"/>
    <n v="54260"/>
    <n v="0"/>
    <s v="P"/>
    <m/>
    <m/>
    <s v=" "/>
    <s v="STL"/>
    <s v="YES"/>
    <s v="TBD"/>
    <d v="2024-10-09T00:00:00"/>
    <x v="19"/>
    <m/>
    <m/>
    <m/>
    <m/>
    <m/>
    <m/>
    <m/>
    <m/>
    <m/>
    <m/>
    <m/>
  </r>
  <r>
    <n v="2111"/>
    <n v="130302"/>
    <s v="P"/>
    <s v="Capitalized"/>
    <s v="96 Gal Yard Waste Carts"/>
    <m/>
    <m/>
    <n v="624"/>
    <m/>
    <n v="0"/>
    <s v="Toter"/>
    <m/>
    <s v="CONTAINERS"/>
    <s v="TBA"/>
    <m/>
    <m/>
    <m/>
    <d v="2016-02-16T00:00:00"/>
    <d v="2016-02-16T00:00:00"/>
    <s v="2111-16-0009-1"/>
    <n v="700"/>
    <n v="14050"/>
    <n v="32708.5"/>
    <n v="14056"/>
    <n v="32708.5"/>
    <n v="0"/>
    <n v="0"/>
    <n v="54260"/>
    <n v="0"/>
    <s v="P"/>
    <m/>
    <m/>
    <s v=" "/>
    <s v="STL"/>
    <s v="YES"/>
    <s v="TBD"/>
    <d v="2024-10-09T00:00:00"/>
    <x v="19"/>
    <m/>
    <m/>
    <m/>
    <m/>
    <m/>
    <m/>
    <m/>
    <m/>
    <m/>
    <m/>
    <m/>
  </r>
  <r>
    <n v="2111"/>
    <n v="129801"/>
    <s v="P"/>
    <s v="Capitalized"/>
    <s v="(2) Wireless Winterms Maintenance Department"/>
    <m/>
    <m/>
    <n v="1"/>
    <m/>
    <n v="0"/>
    <s v="CDW Direct"/>
    <m/>
    <s v="HARDWARE AND SOFTWARE"/>
    <s v="TBA"/>
    <m/>
    <m/>
    <m/>
    <d v="2016-01-01T00:00:00"/>
    <d v="2016-01-01T00:00:00"/>
    <s v="2111-15-0025-1"/>
    <n v="300"/>
    <n v="14110"/>
    <n v="780.68"/>
    <n v="14116"/>
    <n v="780.68"/>
    <n v="0"/>
    <n v="0"/>
    <n v="70260"/>
    <n v="0"/>
    <s v="P"/>
    <m/>
    <m/>
    <s v=" "/>
    <s v="STL"/>
    <s v="YES"/>
    <s v="TBD"/>
    <d v="2024-10-09T00:00:00"/>
    <x v="19"/>
    <m/>
    <m/>
    <m/>
    <m/>
    <m/>
    <m/>
    <m/>
    <m/>
    <m/>
    <m/>
    <m/>
  </r>
  <r>
    <n v="2111"/>
    <n v="129739"/>
    <s v="P"/>
    <s v="Capitalized"/>
    <s v="Model T20 Scrubber-Zamboni"/>
    <m/>
    <m/>
    <n v="1"/>
    <m/>
    <n v="0"/>
    <s v="Tennant"/>
    <m/>
    <s v="SHOP EQUIPMENT"/>
    <s v="TBA"/>
    <m/>
    <m/>
    <m/>
    <d v="2016-01-31T00:00:00"/>
    <d v="2016-01-31T00:00:00"/>
    <s v="2111-16-0002-1"/>
    <n v="500"/>
    <n v="14070"/>
    <n v="51034.44"/>
    <n v="14076"/>
    <n v="51034.44"/>
    <n v="0"/>
    <n v="0"/>
    <n v="51260"/>
    <n v="0"/>
    <s v="P"/>
    <m/>
    <m/>
    <s v=" "/>
    <s v="STL"/>
    <s v="YES"/>
    <s v="TBD"/>
    <d v="2024-10-09T00:00:00"/>
    <x v="19"/>
    <m/>
    <m/>
    <m/>
    <m/>
    <m/>
    <m/>
    <m/>
    <m/>
    <m/>
    <m/>
    <m/>
  </r>
  <r>
    <n v="2111"/>
    <n v="129340"/>
    <s v="P"/>
    <s v="Capitalized"/>
    <s v="1998 Type HT C-C Trailer"/>
    <m/>
    <m/>
    <n v="1"/>
    <s v="1D9CS5347WT360034"/>
    <n v="1998"/>
    <m/>
    <m/>
    <s v="TRUCKS AND TRAILERS"/>
    <s v="TBA"/>
    <s v="Transfer Trailer"/>
    <m/>
    <m/>
    <d v="2016-01-26T00:00:00"/>
    <d v="2016-01-26T00:00:00"/>
    <m/>
    <n v="0"/>
    <n v="14040"/>
    <n v="0"/>
    <n v="14046"/>
    <n v="0"/>
    <n v="0"/>
    <n v="0"/>
    <n v="51260"/>
    <n v="0"/>
    <s v="A"/>
    <m/>
    <s v="LEX-13"/>
    <s v=" "/>
    <s v="STL"/>
    <s v="NO"/>
    <s v="TBD"/>
    <d v="2024-10-09T00:00:00"/>
    <x v="19"/>
    <m/>
    <m/>
    <m/>
    <m/>
    <m/>
    <m/>
    <m/>
    <m/>
    <m/>
    <m/>
    <m/>
  </r>
  <r>
    <n v="2111"/>
    <n v="129339"/>
    <s v="P"/>
    <s v="Capitalized"/>
    <s v="1998 Type HT C-C Trailer"/>
    <m/>
    <m/>
    <n v="1"/>
    <s v="1D9CS534XWT360030"/>
    <n v="1998"/>
    <m/>
    <m/>
    <s v="TRUCKS AND TRAILERS"/>
    <s v="TBA"/>
    <s v="Transfer Trailer"/>
    <m/>
    <m/>
    <d v="2016-01-26T00:00:00"/>
    <d v="2016-01-26T00:00:00"/>
    <m/>
    <n v="0"/>
    <n v="14040"/>
    <n v="0"/>
    <n v="14046"/>
    <n v="0"/>
    <n v="0"/>
    <n v="0"/>
    <n v="51260"/>
    <n v="0"/>
    <s v="A"/>
    <m/>
    <s v="LEX-4"/>
    <s v=" "/>
    <s v="STL"/>
    <s v="NO"/>
    <s v="TBD"/>
    <d v="2024-10-09T00:00:00"/>
    <x v="19"/>
    <m/>
    <m/>
    <m/>
    <m/>
    <m/>
    <m/>
    <m/>
    <m/>
    <m/>
    <m/>
    <m/>
  </r>
  <r>
    <n v="2111"/>
    <n v="129338"/>
    <s v="P"/>
    <s v="Capitalized"/>
    <s v="1998 Type HT C-C Trailer"/>
    <m/>
    <m/>
    <n v="1"/>
    <s v="1D9CS534XWT360027"/>
    <n v="1998"/>
    <m/>
    <m/>
    <s v="TRUCKS AND TRAILERS"/>
    <s v="TBA"/>
    <s v="Transfer Trailer"/>
    <m/>
    <m/>
    <d v="2016-01-26T00:00:00"/>
    <d v="2016-01-26T00:00:00"/>
    <m/>
    <n v="0"/>
    <n v="14040"/>
    <n v="0"/>
    <n v="14046"/>
    <n v="0"/>
    <n v="0"/>
    <n v="0"/>
    <n v="51260"/>
    <n v="0"/>
    <s v="A"/>
    <m/>
    <s v="LEX-3"/>
    <s v=" "/>
    <s v="STL"/>
    <s v="NO"/>
    <s v="TBD"/>
    <d v="2024-10-09T00:00:00"/>
    <x v="19"/>
    <m/>
    <m/>
    <m/>
    <m/>
    <m/>
    <m/>
    <m/>
    <m/>
    <m/>
    <m/>
    <m/>
  </r>
  <r>
    <n v="2111"/>
    <n v="129337"/>
    <s v="P"/>
    <s v="Capitalized"/>
    <s v="1998 Type HT C-C Trailer"/>
    <m/>
    <m/>
    <n v="1"/>
    <s v="1D9CS5346WT360025"/>
    <n v="1998"/>
    <m/>
    <m/>
    <s v="TRUCKS AND TRAILERS"/>
    <s v="TBA"/>
    <s v="Transfer Trailer"/>
    <m/>
    <m/>
    <d v="2016-01-26T00:00:00"/>
    <d v="2016-01-26T00:00:00"/>
    <m/>
    <n v="0"/>
    <n v="14040"/>
    <n v="0"/>
    <n v="14046"/>
    <n v="0"/>
    <n v="0"/>
    <n v="0"/>
    <n v="51260"/>
    <n v="0"/>
    <s v="A"/>
    <m/>
    <s v="LEX-5"/>
    <s v=" "/>
    <s v="STL"/>
    <s v="NO"/>
    <s v="TBD"/>
    <d v="2024-10-09T00:00:00"/>
    <x v="19"/>
    <m/>
    <m/>
    <m/>
    <m/>
    <m/>
    <m/>
    <m/>
    <m/>
    <m/>
    <m/>
    <m/>
  </r>
  <r>
    <n v="2111"/>
    <n v="129336"/>
    <s v="P"/>
    <s v="Capitalized"/>
    <s v="1998 Type HT C-C Trailer"/>
    <m/>
    <m/>
    <n v="1"/>
    <s v="1D9CS534XWT360024"/>
    <n v="1998"/>
    <m/>
    <m/>
    <s v="TRUCKS AND TRAILERS"/>
    <s v="TBA"/>
    <s v="Transfer Trailer"/>
    <m/>
    <m/>
    <d v="2016-01-26T00:00:00"/>
    <d v="2016-01-26T00:00:00"/>
    <m/>
    <n v="0"/>
    <n v="14040"/>
    <n v="0"/>
    <n v="14046"/>
    <n v="0"/>
    <n v="0"/>
    <n v="0"/>
    <n v="51260"/>
    <n v="0"/>
    <s v="A"/>
    <m/>
    <s v="LEX-1"/>
    <s v=" "/>
    <s v="STL"/>
    <s v="NO"/>
    <s v="TBD"/>
    <d v="2024-10-09T00:00:00"/>
    <x v="19"/>
    <m/>
    <m/>
    <m/>
    <m/>
    <m/>
    <m/>
    <m/>
    <m/>
    <m/>
    <m/>
    <m/>
  </r>
  <r>
    <n v="2111"/>
    <n v="129335"/>
    <s v="P"/>
    <s v="Capitalized"/>
    <s v="1998 Type HT C-C Trailer"/>
    <m/>
    <m/>
    <n v="1"/>
    <s v="WA98190619"/>
    <n v="1998"/>
    <m/>
    <m/>
    <s v="TRUCKS AND TRAILERS"/>
    <s v="TBA"/>
    <s v="Transfer Trailer"/>
    <m/>
    <m/>
    <d v="2016-01-26T00:00:00"/>
    <d v="2016-01-26T00:00:00"/>
    <m/>
    <n v="0"/>
    <n v="14040"/>
    <n v="0"/>
    <n v="14046"/>
    <n v="0"/>
    <n v="0"/>
    <n v="0"/>
    <n v="51260"/>
    <n v="0"/>
    <s v="A"/>
    <m/>
    <s v="LEX-6"/>
    <s v=" "/>
    <s v="STL"/>
    <s v="NO"/>
    <s v="TBD"/>
    <d v="2024-10-09T00:00:00"/>
    <x v="19"/>
    <m/>
    <m/>
    <m/>
    <m/>
    <m/>
    <m/>
    <m/>
    <m/>
    <m/>
    <m/>
    <m/>
  </r>
  <r>
    <n v="2111"/>
    <n v="128907"/>
    <s v="P"/>
    <s v="Capitalized"/>
    <s v="HP Probook 640 G1"/>
    <m/>
    <m/>
    <n v="1"/>
    <m/>
    <n v="0"/>
    <s v="CDW"/>
    <m/>
    <s v="HARDWARE AND SOFTWARE"/>
    <s v="TBA"/>
    <m/>
    <m/>
    <m/>
    <d v="2015-12-14T00:00:00"/>
    <d v="2015-12-14T00:00:00"/>
    <s v="2111-15-0026-1"/>
    <n v="300"/>
    <n v="14110"/>
    <n v="1141.1300000000001"/>
    <n v="14116"/>
    <n v="1141.1300000000001"/>
    <n v="0"/>
    <n v="0"/>
    <n v="70260"/>
    <n v="0"/>
    <s v="P"/>
    <m/>
    <m/>
    <s v=" "/>
    <s v="STL"/>
    <s v="YES"/>
    <s v="TBD"/>
    <d v="2024-10-09T00:00:00"/>
    <x v="19"/>
    <m/>
    <m/>
    <m/>
    <m/>
    <m/>
    <m/>
    <m/>
    <m/>
    <m/>
    <m/>
    <m/>
  </r>
  <r>
    <n v="2111"/>
    <n v="128810"/>
    <s v="P"/>
    <s v="Capitalized"/>
    <s v="4 YD Containers (Green)"/>
    <m/>
    <m/>
    <n v="10"/>
    <m/>
    <n v="0"/>
    <s v="CAPITAL INDUSTRIES, INC."/>
    <m/>
    <s v="CONTAINERS"/>
    <s v="TBA"/>
    <m/>
    <s v="4 YD"/>
    <s v="FEL/REL/SL Metal"/>
    <d v="2014-05-22T00:00:00"/>
    <d v="2014-05-22T00:00:00"/>
    <s v="2160-14-0005-1"/>
    <n v="1200"/>
    <n v="14050"/>
    <n v="7548.6"/>
    <n v="14056"/>
    <n v="6500.01"/>
    <n v="1048.5900000000001"/>
    <n v="471.78"/>
    <n v="54260"/>
    <n v="52.42"/>
    <s v="P"/>
    <m/>
    <m/>
    <s v=" "/>
    <s v="STL"/>
    <s v="YES"/>
    <s v="TBD"/>
    <d v="2024-10-09T00:00:00"/>
    <x v="19"/>
    <m/>
    <m/>
    <m/>
    <m/>
    <m/>
    <m/>
    <m/>
    <m/>
    <m/>
    <m/>
    <m/>
  </r>
  <r>
    <n v="2111"/>
    <n v="128632"/>
    <s v="P"/>
    <s v="Capitalized"/>
    <s v="Pressure Washer"/>
    <m/>
    <m/>
    <n v="1"/>
    <m/>
    <n v="0"/>
    <s v="BENS CLEANER SALES, INC"/>
    <m/>
    <s v="SHOP EQUIPMENT"/>
    <s v="TBA"/>
    <m/>
    <m/>
    <m/>
    <d v="2015-12-14T00:00:00"/>
    <d v="2015-12-14T00:00:00"/>
    <s v="2111-15-0024-1"/>
    <n v="500"/>
    <n v="14070"/>
    <n v="9807.82"/>
    <n v="14076"/>
    <n v="9807.82"/>
    <n v="0"/>
    <n v="0"/>
    <n v="51260"/>
    <n v="0"/>
    <s v="P"/>
    <m/>
    <m/>
    <s v=" "/>
    <s v="STL"/>
    <s v="YES"/>
    <s v="TBD"/>
    <d v="2024-10-09T00:00:00"/>
    <x v="19"/>
    <m/>
    <m/>
    <m/>
    <m/>
    <m/>
    <m/>
    <m/>
    <m/>
    <m/>
    <m/>
    <m/>
  </r>
  <r>
    <n v="2111"/>
    <n v="127696"/>
    <s v="P"/>
    <s v="Capitalized"/>
    <s v="Laptop and Desktop Memory Upgrade"/>
    <m/>
    <m/>
    <n v="1"/>
    <m/>
    <n v="0"/>
    <s v="CDW"/>
    <m/>
    <s v="HARDWARE AND SOFTWARE"/>
    <s v="TBA"/>
    <m/>
    <m/>
    <m/>
    <d v="2015-11-16T00:00:00"/>
    <d v="2015-11-16T00:00:00"/>
    <s v="2111-15-0023-1"/>
    <n v="300"/>
    <n v="14110"/>
    <n v="864.3"/>
    <n v="14116"/>
    <n v="864.3"/>
    <n v="0"/>
    <n v="0"/>
    <n v="70260"/>
    <n v="0"/>
    <s v="P"/>
    <m/>
    <m/>
    <s v=" "/>
    <s v="STL"/>
    <s v="YES"/>
    <s v="TBD"/>
    <d v="2024-10-09T00:00:00"/>
    <x v="19"/>
    <m/>
    <m/>
    <m/>
    <m/>
    <m/>
    <m/>
    <m/>
    <m/>
    <m/>
    <m/>
    <m/>
  </r>
  <r>
    <n v="2111"/>
    <n v="126247"/>
    <s v="P"/>
    <s v="Capitalized"/>
    <s v="95-Gallon Recycle Cart"/>
    <m/>
    <m/>
    <n v="528"/>
    <m/>
    <n v="0"/>
    <s v="WASTEQUIP LLC"/>
    <m/>
    <s v="CONTAINERS"/>
    <s v="TBA"/>
    <m/>
    <m/>
    <m/>
    <d v="2015-05-30T00:00:00"/>
    <d v="2015-05-30T00:00:00"/>
    <s v="2160-15-0001-1"/>
    <n v="700"/>
    <n v="14050"/>
    <n v="27937.89"/>
    <n v="14056"/>
    <n v="27937.89"/>
    <n v="0"/>
    <n v="0"/>
    <n v="54260"/>
    <n v="0"/>
    <s v="P"/>
    <m/>
    <m/>
    <s v=" "/>
    <s v="STL"/>
    <s v="YES"/>
    <s v="TBD"/>
    <d v="2024-10-09T00:00:00"/>
    <x v="19"/>
    <m/>
    <m/>
    <m/>
    <m/>
    <m/>
    <m/>
    <m/>
    <m/>
    <m/>
    <m/>
    <m/>
  </r>
  <r>
    <n v="2111"/>
    <n v="125315"/>
    <s v="P"/>
    <s v="Capitalized"/>
    <s v="4YD FEL Recycle Container"/>
    <m/>
    <m/>
    <n v="10"/>
    <m/>
    <n v="0"/>
    <s v="WASTEQUIP"/>
    <m/>
    <s v="CONTAINERS"/>
    <s v="TBA"/>
    <m/>
    <s v="4 YD"/>
    <s v="FEL/REL/SL Metal"/>
    <d v="2015-07-29T00:00:00"/>
    <d v="2015-07-29T00:00:00"/>
    <s v="2111-15-0014-1"/>
    <n v="1200"/>
    <n v="14050"/>
    <n v="5837.1"/>
    <n v="14056"/>
    <n v="4458.9799999999996"/>
    <n v="1378.1200000000008"/>
    <n v="364.86"/>
    <n v="54260"/>
    <n v="40.54"/>
    <s v="P"/>
    <m/>
    <m/>
    <s v=" "/>
    <s v="STL"/>
    <s v="YES"/>
    <s v="TBD"/>
    <d v="2024-10-09T00:00:00"/>
    <x v="19"/>
    <m/>
    <m/>
    <m/>
    <m/>
    <m/>
    <m/>
    <m/>
    <m/>
    <m/>
    <m/>
    <m/>
  </r>
  <r>
    <n v="2111"/>
    <n v="125313"/>
    <s v="P"/>
    <s v="Capitalized"/>
    <s v="2 YD REL Container"/>
    <m/>
    <m/>
    <n v="10"/>
    <m/>
    <n v="0"/>
    <s v="WASTEQUIP"/>
    <m/>
    <s v="CONTAINERS"/>
    <s v="TBA"/>
    <m/>
    <s v="2 YD"/>
    <s v="FEL/REL/SL Metal"/>
    <d v="2015-07-29T00:00:00"/>
    <d v="2015-07-29T00:00:00"/>
    <s v="2111-15-0014-1"/>
    <n v="1200"/>
    <n v="14050"/>
    <n v="6677.17"/>
    <n v="14056"/>
    <n v="5100.62"/>
    <n v="1576.5500000000002"/>
    <n v="417.33"/>
    <n v="54260"/>
    <n v="46.37"/>
    <s v="P"/>
    <m/>
    <m/>
    <s v=" "/>
    <s v="STL"/>
    <s v="YES"/>
    <s v="TBD"/>
    <d v="2024-10-09T00:00:00"/>
    <x v="19"/>
    <m/>
    <m/>
    <m/>
    <m/>
    <m/>
    <m/>
    <m/>
    <m/>
    <m/>
    <m/>
    <m/>
  </r>
  <r>
    <n v="2111"/>
    <n v="125264"/>
    <s v="P"/>
    <s v="Capitalized"/>
    <s v="1 YD REL Containers"/>
    <m/>
    <m/>
    <n v="15"/>
    <m/>
    <n v="0"/>
    <s v="WASTEQUIP"/>
    <m/>
    <s v="CONTAINERS"/>
    <s v="TBA"/>
    <m/>
    <s v="1 YD"/>
    <s v="FEL/REL/SL Metal"/>
    <d v="2015-07-29T00:00:00"/>
    <d v="2015-07-29T00:00:00"/>
    <s v="2111-15-0014-1"/>
    <n v="1200"/>
    <n v="14050"/>
    <n v="8766.75"/>
    <n v="14056"/>
    <n v="6696.8"/>
    <n v="2069.9499999999998"/>
    <n v="547.91999999999996"/>
    <n v="54260"/>
    <n v="60.88"/>
    <s v="P"/>
    <m/>
    <m/>
    <s v=" "/>
    <s v="STL"/>
    <s v="YES"/>
    <s v="TBD"/>
    <d v="2024-10-09T00:00:00"/>
    <x v="19"/>
    <m/>
    <m/>
    <m/>
    <m/>
    <m/>
    <m/>
    <m/>
    <m/>
    <m/>
    <m/>
    <m/>
  </r>
  <r>
    <n v="2111"/>
    <n v="124685"/>
    <s v="P"/>
    <s v="Capitalized"/>
    <s v="6 YD FEL Slant Top Containers"/>
    <m/>
    <m/>
    <n v="14"/>
    <m/>
    <n v="0"/>
    <s v="WASTEQUIP"/>
    <m/>
    <s v="CONTAINERS"/>
    <s v="TBA"/>
    <m/>
    <s v="6 YD"/>
    <s v="FEL/REL/SL Metal"/>
    <d v="2015-07-16T00:00:00"/>
    <d v="2015-07-16T00:00:00"/>
    <s v="2111-15-0014-1"/>
    <n v="1200"/>
    <n v="14050"/>
    <n v="10678.75"/>
    <n v="14056"/>
    <n v="8157.43"/>
    <n v="2521.3199999999997"/>
    <n v="667.44"/>
    <n v="54260"/>
    <n v="74.16"/>
    <s v="P"/>
    <m/>
    <m/>
    <s v=" "/>
    <s v="STL"/>
    <s v="YES"/>
    <s v="TBD"/>
    <d v="2024-10-09T00:00:00"/>
    <x v="19"/>
    <m/>
    <m/>
    <m/>
    <m/>
    <m/>
    <m/>
    <m/>
    <m/>
    <m/>
    <m/>
    <m/>
  </r>
  <r>
    <n v="2111"/>
    <n v="124133"/>
    <s v="P"/>
    <s v="Capitalized"/>
    <s v="1 Yd Containers"/>
    <m/>
    <m/>
    <n v="213"/>
    <m/>
    <n v="0"/>
    <m/>
    <m/>
    <s v="CONTAINERS"/>
    <s v="TBA"/>
    <m/>
    <s v="1 YD"/>
    <s v="FEL/REL/SL Metal"/>
    <d v="2015-07-31T00:00:00"/>
    <d v="2015-07-31T00:00:00"/>
    <m/>
    <n v="0"/>
    <n v="14050"/>
    <n v="0"/>
    <n v="14056"/>
    <n v="0"/>
    <n v="0"/>
    <n v="0"/>
    <n v="54260"/>
    <n v="0"/>
    <s v="A"/>
    <m/>
    <s v="NA"/>
    <s v=" "/>
    <s v="STL"/>
    <s v="NO"/>
    <s v="TBD"/>
    <d v="2024-10-09T00:00:00"/>
    <x v="19"/>
    <m/>
    <m/>
    <m/>
    <m/>
    <m/>
    <m/>
    <m/>
    <m/>
    <m/>
    <m/>
    <m/>
  </r>
  <r>
    <n v="2111"/>
    <n v="124132"/>
    <s v="P"/>
    <s v="Capitalized"/>
    <s v="2 Yd Containers"/>
    <m/>
    <m/>
    <n v="26"/>
    <m/>
    <n v="0"/>
    <m/>
    <m/>
    <s v="CONTAINERS"/>
    <s v="TBA"/>
    <m/>
    <s v="2 YD"/>
    <s v="FEL/REL/SL Metal"/>
    <d v="2015-07-31T00:00:00"/>
    <d v="2015-07-31T00:00:00"/>
    <m/>
    <n v="0"/>
    <n v="14050"/>
    <n v="0"/>
    <n v="14056"/>
    <n v="0"/>
    <n v="0"/>
    <n v="0"/>
    <n v="54260"/>
    <n v="0"/>
    <s v="A"/>
    <m/>
    <s v="NA"/>
    <s v=" "/>
    <s v="STL"/>
    <s v="NO"/>
    <s v="TBD"/>
    <d v="2024-10-09T00:00:00"/>
    <x v="19"/>
    <m/>
    <m/>
    <m/>
    <m/>
    <m/>
    <m/>
    <m/>
    <m/>
    <m/>
    <m/>
    <m/>
  </r>
  <r>
    <n v="2111"/>
    <n v="124066"/>
    <s v="P"/>
    <s v="Capitalized"/>
    <s v="96 Gallon Yard Waste"/>
    <m/>
    <m/>
    <n v="624"/>
    <m/>
    <n v="0"/>
    <s v="WASTEQUIP LLC"/>
    <m/>
    <s v="CONTAINERS"/>
    <s v="TBA"/>
    <m/>
    <m/>
    <m/>
    <d v="2015-06-26T00:00:00"/>
    <d v="2015-06-26T00:00:00"/>
    <s v="2111-15-0015-1"/>
    <n v="700"/>
    <n v="14050"/>
    <n v="33030.050000000003"/>
    <n v="14056"/>
    <n v="33030.050000000003"/>
    <n v="0"/>
    <n v="0"/>
    <n v="54260"/>
    <n v="0"/>
    <s v="P"/>
    <m/>
    <m/>
    <s v=" "/>
    <s v="STL"/>
    <s v="YES"/>
    <s v="TBD"/>
    <d v="2024-10-09T00:00:00"/>
    <x v="19"/>
    <m/>
    <m/>
    <m/>
    <m/>
    <m/>
    <m/>
    <m/>
    <m/>
    <m/>
    <m/>
    <m/>
  </r>
  <r>
    <n v="2111"/>
    <n v="122888"/>
    <s v="P"/>
    <s v="Capitalized"/>
    <s v="30YD Containers"/>
    <m/>
    <m/>
    <n v="5"/>
    <m/>
    <n v="0"/>
    <s v="Wastequip"/>
    <m/>
    <s v="CONTAINERS"/>
    <s v="TBA"/>
    <m/>
    <s v="30 YD"/>
    <s v="RO Box"/>
    <d v="2015-04-01T00:00:00"/>
    <d v="2015-04-01T00:00:00"/>
    <s v="2111-15-0011-1"/>
    <n v="1200"/>
    <n v="14050"/>
    <n v="30270"/>
    <n v="14056"/>
    <n v="23963.77"/>
    <n v="6306.23"/>
    <n v="1891.89"/>
    <n v="54260"/>
    <n v="210.21"/>
    <s v="P"/>
    <m/>
    <m/>
    <s v=" "/>
    <s v="STL"/>
    <s v="YES"/>
    <s v="TBD"/>
    <d v="2024-10-09T00:00:00"/>
    <x v="19"/>
    <m/>
    <m/>
    <m/>
    <m/>
    <m/>
    <m/>
    <m/>
    <m/>
    <m/>
    <m/>
    <m/>
  </r>
  <r>
    <n v="2111"/>
    <n v="122827"/>
    <s v="P"/>
    <s v="Capitalized"/>
    <s v="(3) HP Probook 650 G1"/>
    <m/>
    <m/>
    <n v="1"/>
    <m/>
    <n v="0"/>
    <m/>
    <m/>
    <s v="HARDWARE AND SOFTWARE"/>
    <s v="TBA"/>
    <m/>
    <m/>
    <m/>
    <d v="2015-05-15T00:00:00"/>
    <d v="2015-05-15T00:00:00"/>
    <s v="2111-15-0022-1"/>
    <n v="300"/>
    <n v="14110"/>
    <n v="3126.31"/>
    <n v="14116"/>
    <n v="3126.31"/>
    <n v="0"/>
    <n v="0"/>
    <n v="70260"/>
    <n v="0"/>
    <s v="P"/>
    <m/>
    <m/>
    <s v=" "/>
    <s v="STL"/>
    <s v="YES"/>
    <s v="TBD"/>
    <d v="2024-10-09T00:00:00"/>
    <x v="19"/>
    <m/>
    <m/>
    <m/>
    <m/>
    <m/>
    <m/>
    <m/>
    <m/>
    <m/>
    <m/>
    <m/>
  </r>
  <r>
    <n v="2111"/>
    <n v="122580"/>
    <s v="P"/>
    <s v="Capitalized"/>
    <s v="Peterbilt 320/Wayne Curbtender ASL"/>
    <m/>
    <m/>
    <n v="1"/>
    <s v="3BPZL70X2GF100326"/>
    <n v="2016"/>
    <s v="Peterbilt"/>
    <s v="Wayne"/>
    <s v="TRUCKS AND TRAILERS"/>
    <s v="TBA"/>
    <s v="Automated Side Loader"/>
    <m/>
    <m/>
    <d v="2015-05-31T00:00:00"/>
    <d v="2015-05-31T00:00:00"/>
    <s v="2111-15-0004-1"/>
    <n v="1000"/>
    <n v="14040"/>
    <n v="326336.78000000003"/>
    <n v="14046"/>
    <n v="304580.98"/>
    <n v="21755.800000000047"/>
    <n v="24475.23"/>
    <n v="51260"/>
    <n v="2719.47"/>
    <s v="P"/>
    <m/>
    <n v="831"/>
    <s v=" "/>
    <s v="STL"/>
    <s v="YES"/>
    <s v="TBD"/>
    <d v="2024-10-09T00:00:00"/>
    <x v="19"/>
    <m/>
    <m/>
    <m/>
    <m/>
    <m/>
    <m/>
    <m/>
    <m/>
    <m/>
    <m/>
    <m/>
  </r>
  <r>
    <n v="2111"/>
    <n v="122194"/>
    <s v="P"/>
    <s v="Capitalized"/>
    <s v="96 GAL Recycle Carts"/>
    <m/>
    <m/>
    <n v="624"/>
    <m/>
    <n v="0"/>
    <s v="WASTEQUIP"/>
    <m/>
    <s v="CONTAINERS"/>
    <s v="TBA"/>
    <m/>
    <m/>
    <m/>
    <d v="2015-02-28T00:00:00"/>
    <d v="2015-02-28T00:00:00"/>
    <s v="2111-15-0016-1"/>
    <n v="700"/>
    <n v="14050"/>
    <n v="36128.58"/>
    <n v="14056"/>
    <n v="36128.58"/>
    <n v="0"/>
    <n v="0"/>
    <n v="54260"/>
    <n v="0"/>
    <s v="P"/>
    <m/>
    <m/>
    <s v=" "/>
    <s v="STL"/>
    <s v="YES"/>
    <s v="TBD"/>
    <d v="2024-10-09T00:00:00"/>
    <x v="19"/>
    <m/>
    <m/>
    <m/>
    <m/>
    <m/>
    <m/>
    <m/>
    <m/>
    <m/>
    <m/>
    <m/>
  </r>
  <r>
    <n v="2111"/>
    <n v="121001"/>
    <s v="P"/>
    <s v="Capitalized"/>
    <s v="96 gal YW Bins - TOTER"/>
    <m/>
    <m/>
    <n v="624"/>
    <m/>
    <n v="0"/>
    <s v="TOTER INCORPORATED"/>
    <m/>
    <s v="CONTAINERS"/>
    <s v="TBA"/>
    <m/>
    <m/>
    <m/>
    <d v="2015-02-28T00:00:00"/>
    <d v="2015-02-28T00:00:00"/>
    <s v="2111-15-0015-1"/>
    <n v="700"/>
    <n v="14050"/>
    <n v="34343.910000000003"/>
    <n v="14056"/>
    <n v="34343.910000000003"/>
    <n v="0"/>
    <n v="0"/>
    <n v="54260"/>
    <n v="0"/>
    <s v="P"/>
    <m/>
    <m/>
    <s v=" "/>
    <s v="STL"/>
    <s v="YES"/>
    <s v="TBD"/>
    <d v="2024-10-09T00:00:00"/>
    <x v="19"/>
    <m/>
    <m/>
    <m/>
    <m/>
    <m/>
    <m/>
    <m/>
    <m/>
    <m/>
    <m/>
    <m/>
  </r>
  <r>
    <n v="2111"/>
    <n v="120339"/>
    <s v="P"/>
    <s v="Capitalized"/>
    <s v="HP Prodesk 600 G1"/>
    <m/>
    <m/>
    <n v="1"/>
    <m/>
    <n v="0"/>
    <s v="CDW"/>
    <m/>
    <s v="HARDWARE AND SOFTWARE"/>
    <s v="TBA"/>
    <m/>
    <m/>
    <m/>
    <d v="2015-02-01T00:00:00"/>
    <d v="2015-02-01T00:00:00"/>
    <s v="2111-15-0019-1"/>
    <n v="300"/>
    <n v="14110"/>
    <n v="747.14"/>
    <n v="14116"/>
    <n v="747.14"/>
    <n v="0"/>
    <n v="0"/>
    <n v="70260"/>
    <n v="0"/>
    <s v="P"/>
    <m/>
    <m/>
    <s v=" "/>
    <s v="STL"/>
    <s v="YES"/>
    <s v="TBD"/>
    <d v="2024-10-09T00:00:00"/>
    <x v="19"/>
    <m/>
    <m/>
    <m/>
    <m/>
    <m/>
    <m/>
    <m/>
    <m/>
    <m/>
    <m/>
    <m/>
  </r>
  <r>
    <n v="2111"/>
    <n v="120338"/>
    <s v="P"/>
    <s v="Capitalized"/>
    <s v="(26) Winterms - Dell Wyse D10D Thin Client"/>
    <m/>
    <m/>
    <n v="1"/>
    <m/>
    <n v="0"/>
    <s v="CDW"/>
    <m/>
    <s v="HARDWARE AND SOFTWARE"/>
    <s v="TBA"/>
    <m/>
    <m/>
    <m/>
    <d v="2015-02-28T00:00:00"/>
    <d v="2015-02-28T00:00:00"/>
    <s v="2111-15-0020-1"/>
    <n v="300"/>
    <n v="14110"/>
    <n v="8597.08"/>
    <n v="14116"/>
    <n v="8597.08"/>
    <n v="0"/>
    <n v="0"/>
    <n v="70260"/>
    <n v="0"/>
    <s v="P"/>
    <m/>
    <m/>
    <s v=" "/>
    <s v="STL"/>
    <s v="YES"/>
    <s v="TBD"/>
    <d v="2024-10-09T00:00:00"/>
    <x v="19"/>
    <m/>
    <m/>
    <m/>
    <m/>
    <m/>
    <m/>
    <m/>
    <m/>
    <m/>
    <m/>
    <m/>
  </r>
  <r>
    <n v="2111"/>
    <n v="120295"/>
    <s v="P"/>
    <s v="Capitalized"/>
    <s v="(8) Winterms"/>
    <m/>
    <m/>
    <n v="1"/>
    <m/>
    <n v="0"/>
    <s v="CDW"/>
    <m/>
    <s v="HARDWARE AND SOFTWARE"/>
    <s v="TBA"/>
    <m/>
    <m/>
    <m/>
    <d v="2015-02-02T00:00:00"/>
    <d v="2015-02-02T00:00:00"/>
    <s v="2000-15-0007-1"/>
    <n v="300"/>
    <n v="14110"/>
    <n v="2768.16"/>
    <n v="14116"/>
    <n v="2768.16"/>
    <n v="0"/>
    <n v="0"/>
    <n v="70260"/>
    <n v="0"/>
    <s v="P"/>
    <m/>
    <m/>
    <s v=" "/>
    <s v="STL"/>
    <s v="YES"/>
    <s v="TBD"/>
    <d v="2024-10-09T00:00:00"/>
    <x v="19"/>
    <m/>
    <m/>
    <m/>
    <m/>
    <m/>
    <m/>
    <m/>
    <m/>
    <m/>
    <m/>
    <m/>
  </r>
  <r>
    <n v="2111"/>
    <n v="120153"/>
    <n v="120152"/>
    <s v="Capitalized"/>
    <s v="Licensing for New FEL Truck"/>
    <m/>
    <m/>
    <n v="1"/>
    <s v="3BPZL70X3DF187407"/>
    <n v="2013"/>
    <s v="Peterbilt 320"/>
    <s v="N/A"/>
    <s v="TRUCKS AND TRAILERS"/>
    <s v="TBA"/>
    <s v="Front Loader"/>
    <m/>
    <m/>
    <d v="2012-12-17T00:00:00"/>
    <d v="2012-12-17T00:00:00"/>
    <s v="2180-12-0001-1"/>
    <n v="1000"/>
    <n v="14040"/>
    <n v="847.67"/>
    <n v="14046"/>
    <n v="847.67"/>
    <n v="0"/>
    <n v="0"/>
    <n v="51260"/>
    <n v="0"/>
    <s v="P"/>
    <m/>
    <m/>
    <s v=" "/>
    <s v="STL"/>
    <s v="YES"/>
    <s v="TBD"/>
    <d v="2024-10-09T00:00:00"/>
    <x v="19"/>
    <m/>
    <m/>
    <m/>
    <m/>
    <m/>
    <m/>
    <m/>
    <m/>
    <m/>
    <m/>
    <m/>
  </r>
  <r>
    <n v="2111"/>
    <n v="120152"/>
    <s v="P"/>
    <s v="Capitalized"/>
    <s v="New 2013 Peterbilt 320 w/ Wittke Starlight - FEL"/>
    <m/>
    <m/>
    <n v="1"/>
    <s v="3BPZL70X3DF187407"/>
    <n v="2013"/>
    <s v="Peterbilt 320"/>
    <s v="Starlight"/>
    <s v="TRUCKS AND TRAILERS"/>
    <s v="TBA"/>
    <s v="Front Loader"/>
    <m/>
    <m/>
    <d v="2012-12-17T00:00:00"/>
    <d v="2012-12-17T00:00:00"/>
    <s v="2180-12-0001-1"/>
    <n v="1000"/>
    <n v="14040"/>
    <n v="304502.05"/>
    <n v="14046"/>
    <n v="304502.05"/>
    <n v="0"/>
    <n v="0"/>
    <n v="51260"/>
    <n v="0"/>
    <s v="P"/>
    <m/>
    <n v="910"/>
    <s v=" "/>
    <s v="STL"/>
    <s v="YES"/>
    <s v="TBD"/>
    <d v="2024-10-09T00:00:00"/>
    <x v="19"/>
    <m/>
    <m/>
    <m/>
    <m/>
    <m/>
    <m/>
    <m/>
    <m/>
    <m/>
    <m/>
    <m/>
  </r>
  <r>
    <n v="2111"/>
    <n v="118482"/>
    <s v="P"/>
    <s v="Capitalized"/>
    <s v="Genie GS-1530 Man Lift"/>
    <m/>
    <m/>
    <n v="1"/>
    <s v="GS3015A-141361"/>
    <n v="2014"/>
    <s v="Grainger"/>
    <s v="Genie"/>
    <s v="HEAVY EQUIPMENT"/>
    <s v="TBA"/>
    <s v="Forklift"/>
    <m/>
    <m/>
    <d v="2014-12-05T00:00:00"/>
    <d v="2014-12-05T00:00:00"/>
    <s v="2111-14-0031-1"/>
    <n v="900"/>
    <n v="14030"/>
    <n v="14933.1"/>
    <n v="14036"/>
    <n v="14933.1"/>
    <n v="0"/>
    <n v="0"/>
    <n v="51260"/>
    <n v="0"/>
    <s v="P"/>
    <n v="0"/>
    <s v="Lift-1"/>
    <s v=" "/>
    <s v="STL"/>
    <s v="YES"/>
    <s v="TBD"/>
    <d v="2024-10-09T00:00:00"/>
    <x v="19"/>
    <m/>
    <m/>
    <m/>
    <m/>
    <m/>
    <m/>
    <m/>
    <m/>
    <m/>
    <m/>
    <m/>
  </r>
  <r>
    <n v="2111"/>
    <n v="118361"/>
    <s v="P"/>
    <s v="Capitalized"/>
    <s v="Winch - DL2500 DBL SPRING"/>
    <m/>
    <m/>
    <n v="48"/>
    <m/>
    <n v="0"/>
    <s v="CAPITAL INDUSTRIES, INC."/>
    <m/>
    <s v="CONTAINERS"/>
    <s v="TBA"/>
    <m/>
    <m/>
    <m/>
    <d v="2014-12-11T00:00:00"/>
    <d v="2014-12-11T00:00:00"/>
    <s v="2111-14-0028-1"/>
    <n v="500"/>
    <n v="14050"/>
    <n v="59251.040000000001"/>
    <n v="14056"/>
    <n v="59251.040000000001"/>
    <n v="0"/>
    <n v="0"/>
    <n v="54260"/>
    <n v="0"/>
    <s v="P"/>
    <m/>
    <m/>
    <s v=" "/>
    <s v="STL"/>
    <s v="YES"/>
    <s v="TBD"/>
    <d v="2024-10-09T00:00:00"/>
    <x v="19"/>
    <m/>
    <m/>
    <m/>
    <m/>
    <m/>
    <m/>
    <m/>
    <m/>
    <m/>
    <m/>
    <m/>
  </r>
  <r>
    <n v="2111"/>
    <n v="118290"/>
    <s v="P"/>
    <s v="Capitalized"/>
    <s v="4 Post - 18,500 lbs Truck Lift"/>
    <m/>
    <m/>
    <n v="1"/>
    <m/>
    <n v="0"/>
    <s v="Kenworth Northwest, Inc."/>
    <m/>
    <s v="SHOP EQUIPMENT"/>
    <s v="TBA"/>
    <m/>
    <m/>
    <m/>
    <d v="2014-11-17T00:00:00"/>
    <d v="2014-11-17T00:00:00"/>
    <s v="2111-14-0029-1"/>
    <n v="500"/>
    <n v="14070"/>
    <n v="46736.34"/>
    <n v="14076"/>
    <n v="46736.34"/>
    <n v="0"/>
    <n v="0"/>
    <n v="51260"/>
    <n v="0"/>
    <s v="P"/>
    <m/>
    <m/>
    <s v=" "/>
    <s v="STL"/>
    <s v="YES"/>
    <s v="TBD"/>
    <d v="2024-10-09T00:00:00"/>
    <x v="19"/>
    <m/>
    <m/>
    <m/>
    <m/>
    <m/>
    <m/>
    <m/>
    <m/>
    <m/>
    <m/>
    <m/>
  </r>
  <r>
    <n v="2111"/>
    <n v="118206"/>
    <s v="P"/>
    <s v="Capitalized"/>
    <s v="Peterbilt 340 Roll Off"/>
    <m/>
    <m/>
    <n v="1"/>
    <s v="2NP3LN0X1CM159592"/>
    <n v="2012"/>
    <s v="Peterbilt"/>
    <s v="AA Welding"/>
    <s v="TRUCKS AND TRAILERS"/>
    <s v="TBA"/>
    <s v="Roll Off"/>
    <m/>
    <m/>
    <d v="2013-10-01T00:00:00"/>
    <d v="2013-10-01T00:00:00"/>
    <s v="2140-13-0003-1"/>
    <n v="800"/>
    <n v="14040"/>
    <n v="181166.14"/>
    <n v="14046"/>
    <n v="181166.14"/>
    <n v="0"/>
    <n v="0"/>
    <n v="51260"/>
    <n v="0"/>
    <s v="P"/>
    <m/>
    <n v="422"/>
    <s v=" "/>
    <s v="STL"/>
    <s v="YES"/>
    <s v="TBD"/>
    <d v="2024-10-09T00:00:00"/>
    <x v="19"/>
    <m/>
    <m/>
    <m/>
    <m/>
    <m/>
    <m/>
    <m/>
    <m/>
    <m/>
    <m/>
    <m/>
  </r>
  <r>
    <n v="2111"/>
    <n v="117607"/>
    <s v="P"/>
    <s v="Capitalized"/>
    <s v="12' Enclosed Utility Trailer"/>
    <m/>
    <m/>
    <n v="1"/>
    <s v="575200F15EU257390"/>
    <n v="2014"/>
    <s v="FREEWAY TRAILER INC."/>
    <s v="Wells"/>
    <s v="TRUCKS AND TRAILERS"/>
    <s v="TBA"/>
    <s v="Other Trailer"/>
    <m/>
    <m/>
    <d v="2014-11-18T00:00:00"/>
    <d v="2014-11-18T00:00:00"/>
    <s v="2111-14-0030-1"/>
    <n v="600"/>
    <n v="14040"/>
    <n v="6499.27"/>
    <n v="14046"/>
    <n v="6499.27"/>
    <n v="0"/>
    <n v="0"/>
    <n v="51260"/>
    <n v="0"/>
    <s v="P"/>
    <n v="0"/>
    <s v="ST-1"/>
    <s v=" "/>
    <s v="STL"/>
    <s v="YES"/>
    <s v="TBD"/>
    <d v="2024-10-09T00:00:00"/>
    <x v="19"/>
    <m/>
    <m/>
    <m/>
    <m/>
    <m/>
    <m/>
    <m/>
    <m/>
    <m/>
    <m/>
    <m/>
  </r>
  <r>
    <n v="2111"/>
    <n v="117196"/>
    <n v="109566"/>
    <s v="Capitalized"/>
    <s v="Fife Facility Construction-TAX UOP Elevator"/>
    <m/>
    <m/>
    <n v="1"/>
    <m/>
    <n v="0"/>
    <m/>
    <m/>
    <s v="BUILDINGS"/>
    <s v="TBA"/>
    <m/>
    <m/>
    <m/>
    <d v="2013-12-01T00:00:00"/>
    <d v="2013-12-01T00:00:00"/>
    <s v="2111-13-0012-1"/>
    <n v="0"/>
    <n v="14080"/>
    <n v="0"/>
    <n v="14086"/>
    <n v="0"/>
    <n v="0"/>
    <n v="0"/>
    <n v="57260"/>
    <n v="0"/>
    <s v="P"/>
    <m/>
    <m/>
    <s v=" "/>
    <s v="STL"/>
    <s v="NO"/>
    <s v="TBD"/>
    <d v="2024-10-09T00:00:00"/>
    <x v="19"/>
    <m/>
    <m/>
    <m/>
    <m/>
    <m/>
    <m/>
    <m/>
    <m/>
    <m/>
    <m/>
    <m/>
  </r>
  <r>
    <n v="2111"/>
    <n v="117195"/>
    <n v="109566"/>
    <s v="Capitalized"/>
    <s v="Fife Facility Construction-TAX UOP Fire Protection"/>
    <m/>
    <m/>
    <n v="1"/>
    <m/>
    <n v="0"/>
    <m/>
    <m/>
    <s v="BUILDINGS"/>
    <s v="TBA"/>
    <m/>
    <m/>
    <m/>
    <d v="2013-12-01T00:00:00"/>
    <d v="2013-12-01T00:00:00"/>
    <s v="2111-13-0012-1"/>
    <n v="0"/>
    <n v="14080"/>
    <n v="0"/>
    <n v="14086"/>
    <n v="0"/>
    <n v="0"/>
    <n v="0"/>
    <n v="57260"/>
    <n v="0"/>
    <s v="P"/>
    <m/>
    <m/>
    <s v=" "/>
    <s v="STL"/>
    <s v="NO"/>
    <s v="TBD"/>
    <d v="2024-10-09T00:00:00"/>
    <x v="19"/>
    <m/>
    <m/>
    <m/>
    <m/>
    <m/>
    <m/>
    <m/>
    <m/>
    <m/>
    <m/>
    <m/>
  </r>
  <r>
    <n v="2111"/>
    <n v="117194"/>
    <n v="109566"/>
    <s v="Capitalized"/>
    <s v="Fife Facility Construction-TAX UOP Electrical"/>
    <m/>
    <m/>
    <n v="1"/>
    <m/>
    <n v="0"/>
    <m/>
    <m/>
    <s v="BUILDINGS"/>
    <s v="TBA"/>
    <m/>
    <m/>
    <m/>
    <d v="2013-12-01T00:00:00"/>
    <d v="2013-12-01T00:00:00"/>
    <s v="2111-13-0012-1"/>
    <n v="0"/>
    <n v="14080"/>
    <n v="0"/>
    <n v="14086"/>
    <n v="0"/>
    <n v="0"/>
    <n v="0"/>
    <n v="57260"/>
    <n v="0"/>
    <s v="P"/>
    <m/>
    <m/>
    <s v=" "/>
    <s v="STL"/>
    <s v="NO"/>
    <s v="TBD"/>
    <d v="2024-10-09T00:00:00"/>
    <x v="19"/>
    <m/>
    <m/>
    <m/>
    <m/>
    <m/>
    <m/>
    <m/>
    <m/>
    <m/>
    <m/>
    <m/>
  </r>
  <r>
    <n v="2111"/>
    <n v="117193"/>
    <n v="109566"/>
    <s v="Capitalized"/>
    <s v="Fife Facility Construction-TAX UOP Plumbing"/>
    <m/>
    <m/>
    <n v="1"/>
    <m/>
    <n v="0"/>
    <m/>
    <m/>
    <s v="BUILDINGS"/>
    <s v="TBA"/>
    <m/>
    <m/>
    <m/>
    <d v="2013-12-01T00:00:00"/>
    <d v="2013-12-01T00:00:00"/>
    <s v="2111-13-0012-1"/>
    <n v="0"/>
    <n v="14080"/>
    <n v="0"/>
    <n v="14086"/>
    <n v="0"/>
    <n v="0"/>
    <n v="0"/>
    <n v="57260"/>
    <n v="0"/>
    <s v="P"/>
    <m/>
    <m/>
    <s v=" "/>
    <s v="STL"/>
    <s v="NO"/>
    <s v="TBD"/>
    <d v="2024-10-09T00:00:00"/>
    <x v="19"/>
    <m/>
    <m/>
    <m/>
    <m/>
    <m/>
    <m/>
    <m/>
    <m/>
    <m/>
    <m/>
    <m/>
  </r>
  <r>
    <n v="2111"/>
    <n v="117192"/>
    <n v="109566"/>
    <s v="Capitalized"/>
    <s v="Fife Facility Construction-TAX UOP HVAC"/>
    <m/>
    <m/>
    <n v="1"/>
    <m/>
    <n v="0"/>
    <m/>
    <m/>
    <s v="BUILDINGS"/>
    <s v="TBA"/>
    <m/>
    <m/>
    <m/>
    <d v="2013-12-01T00:00:00"/>
    <d v="2013-12-01T00:00:00"/>
    <s v="2111-13-0012-1"/>
    <n v="0"/>
    <n v="14080"/>
    <n v="0"/>
    <n v="14086"/>
    <n v="0"/>
    <n v="0"/>
    <n v="0"/>
    <n v="57260"/>
    <n v="0"/>
    <s v="P"/>
    <m/>
    <m/>
    <s v=" "/>
    <s v="STL"/>
    <s v="NO"/>
    <s v="TBD"/>
    <d v="2024-10-09T00:00:00"/>
    <x v="19"/>
    <m/>
    <m/>
    <m/>
    <m/>
    <m/>
    <m/>
    <m/>
    <m/>
    <m/>
    <m/>
    <m/>
  </r>
  <r>
    <n v="2111"/>
    <n v="116566"/>
    <s v="P"/>
    <s v="Capitalized"/>
    <s v="Peterbilt 320/Wayne Curbtender ASL"/>
    <m/>
    <m/>
    <n v="1"/>
    <s v="3BPZL70X0FF265841"/>
    <n v="2015"/>
    <s v="Peterbilt"/>
    <s v="Wayne Engineering"/>
    <s v="TRUCKS AND TRAILERS"/>
    <s v="TBA"/>
    <s v="Automated Side Loader"/>
    <m/>
    <m/>
    <d v="2014-10-30T00:00:00"/>
    <d v="2014-10-30T00:00:00"/>
    <s v="2111-14-0006-1"/>
    <n v="1000"/>
    <n v="14040"/>
    <n v="325033.65999999997"/>
    <n v="14046"/>
    <n v="322324.96000000002"/>
    <n v="2708.6999999999534"/>
    <n v="24377.49"/>
    <n v="51260"/>
    <n v="2708.61"/>
    <s v="P"/>
    <m/>
    <n v="826"/>
    <s v=" "/>
    <s v="STL"/>
    <s v="YES"/>
    <s v="TBD"/>
    <d v="2024-10-09T00:00:00"/>
    <x v="19"/>
    <m/>
    <m/>
    <m/>
    <m/>
    <m/>
    <m/>
    <m/>
    <m/>
    <m/>
    <m/>
    <m/>
  </r>
  <r>
    <n v="2111"/>
    <n v="116095"/>
    <s v="P"/>
    <s v="Capitalized"/>
    <s v="96 Gallon Recycle Carts (Grey)"/>
    <m/>
    <m/>
    <n v="624"/>
    <m/>
    <n v="0"/>
    <s v="TOTER INCORPORATED"/>
    <m/>
    <s v="CONTAINERS"/>
    <s v="TBA"/>
    <m/>
    <m/>
    <m/>
    <d v="2014-09-24T00:00:00"/>
    <d v="2014-09-24T00:00:00"/>
    <s v="2111-14-0025-1"/>
    <n v="700"/>
    <n v="14050"/>
    <n v="37546.959999999999"/>
    <n v="14056"/>
    <n v="37546.959999999999"/>
    <n v="0"/>
    <n v="0"/>
    <n v="54260"/>
    <n v="0"/>
    <s v="P"/>
    <m/>
    <m/>
    <s v=" "/>
    <s v="STL"/>
    <s v="YES"/>
    <s v="TBD"/>
    <d v="2024-10-09T00:00:00"/>
    <x v="19"/>
    <m/>
    <m/>
    <m/>
    <m/>
    <m/>
    <m/>
    <m/>
    <m/>
    <m/>
    <m/>
    <m/>
  </r>
  <r>
    <n v="2111"/>
    <n v="115434"/>
    <s v="P"/>
    <s v="Capitalized"/>
    <s v="Container Chassis Trailer"/>
    <m/>
    <m/>
    <n v="1"/>
    <s v="1G9CH5342R1109011"/>
    <n v="1994"/>
    <s v="Other"/>
    <s v="Chinook"/>
    <s v="TRUCKS AND TRAILERS"/>
    <s v="TBA"/>
    <s v="Transfer Trailer"/>
    <m/>
    <m/>
    <d v="2008-11-03T00:00:00"/>
    <d v="2008-11-03T00:00:00"/>
    <m/>
    <n v="300"/>
    <n v="14040"/>
    <n v="2500"/>
    <n v="14046"/>
    <n v="2500"/>
    <n v="0"/>
    <n v="0"/>
    <n v="51260"/>
    <n v="0"/>
    <s v="A"/>
    <s v="LeMay Enterprises"/>
    <s v="LEX-22"/>
    <s v=" "/>
    <s v="STL"/>
    <s v="YES"/>
    <s v="TBD"/>
    <d v="2024-10-09T00:00:00"/>
    <x v="19"/>
    <m/>
    <m/>
    <m/>
    <m/>
    <m/>
    <m/>
    <m/>
    <m/>
    <m/>
    <m/>
    <m/>
  </r>
  <r>
    <n v="2111"/>
    <n v="115362"/>
    <s v="P"/>
    <s v="Capitalized"/>
    <s v="30 Yard Drop Box Container (Green)"/>
    <m/>
    <m/>
    <n v="1"/>
    <m/>
    <n v="0"/>
    <s v="CAPITAL INDUSTRIES, INC."/>
    <m/>
    <s v="CONTAINERS"/>
    <s v="TBA"/>
    <m/>
    <s v="30 YD"/>
    <s v="RO Box"/>
    <d v="2014-08-13T00:00:00"/>
    <d v="2014-08-13T00:00:00"/>
    <s v="2111-14-0026-1"/>
    <n v="1200"/>
    <n v="14050"/>
    <n v="6969.68"/>
    <n v="14056"/>
    <n v="5904.89"/>
    <n v="1064.79"/>
    <n v="435.6"/>
    <n v="54260"/>
    <n v="48.4"/>
    <s v="P"/>
    <m/>
    <m/>
    <s v=" "/>
    <s v="STL"/>
    <s v="YES"/>
    <s v="TBD"/>
    <d v="2024-10-09T00:00:00"/>
    <x v="19"/>
    <m/>
    <m/>
    <m/>
    <m/>
    <m/>
    <m/>
    <m/>
    <m/>
    <m/>
    <m/>
    <m/>
  </r>
  <r>
    <n v="2111"/>
    <n v="115361"/>
    <s v="P"/>
    <s v="Capitalized"/>
    <s v="30 Yard Drop Box Container (Green)"/>
    <m/>
    <m/>
    <n v="1"/>
    <m/>
    <n v="0"/>
    <s v="CAPITAL INDUSTRIES, INC."/>
    <m/>
    <s v="CONTAINERS"/>
    <s v="TBA"/>
    <m/>
    <s v="30 YD"/>
    <s v="RO Box"/>
    <d v="2014-08-25T00:00:00"/>
    <d v="2014-08-25T00:00:00"/>
    <s v="2111-14-0026-1"/>
    <n v="1200"/>
    <n v="14050"/>
    <n v="6969.68"/>
    <n v="14056"/>
    <n v="5856.49"/>
    <n v="1113.1900000000005"/>
    <n v="435.6"/>
    <n v="54260"/>
    <n v="48.4"/>
    <s v="P"/>
    <m/>
    <m/>
    <s v=" "/>
    <s v="STL"/>
    <s v="YES"/>
    <s v="TBD"/>
    <d v="2024-10-09T00:00:00"/>
    <x v="19"/>
    <m/>
    <m/>
    <m/>
    <m/>
    <m/>
    <m/>
    <m/>
    <m/>
    <m/>
    <m/>
    <m/>
  </r>
  <r>
    <n v="2111"/>
    <n v="115352"/>
    <n v="19647"/>
    <s v="Capitalized"/>
    <s v="Cap Repair - Transsmission - Truck #606"/>
    <m/>
    <m/>
    <n v="1"/>
    <m/>
    <n v="0"/>
    <s v="Pacific Power Group"/>
    <m/>
    <s v="TRUCKS AND TRAILERS"/>
    <s v="TBA"/>
    <s v="Non-Rolling Stock"/>
    <m/>
    <m/>
    <d v="2014-07-23T00:00:00"/>
    <d v="2014-07-23T00:00:00"/>
    <s v="2111-14-0007-1"/>
    <n v="300"/>
    <n v="14040"/>
    <n v="8754.92"/>
    <n v="14046"/>
    <n v="8754.92"/>
    <n v="0"/>
    <n v="0"/>
    <n v="51260"/>
    <n v="0"/>
    <s v="P"/>
    <m/>
    <m/>
    <s v=" "/>
    <s v="STL"/>
    <s v="YES"/>
    <s v="TBD"/>
    <d v="2024-10-09T00:00:00"/>
    <x v="19"/>
    <m/>
    <m/>
    <m/>
    <m/>
    <m/>
    <m/>
    <m/>
    <m/>
    <m/>
    <m/>
    <m/>
  </r>
  <r>
    <n v="2111"/>
    <n v="115031"/>
    <s v="P"/>
    <s v="Capitalized"/>
    <s v="95 Gallon Yard Waste Carts (Blue)"/>
    <m/>
    <m/>
    <n v="486"/>
    <m/>
    <n v="0"/>
    <s v="REHRIG PACIFIC COMPANY"/>
    <m/>
    <s v="CONTAINERS"/>
    <s v="TBA"/>
    <m/>
    <m/>
    <m/>
    <d v="2014-07-15T00:00:00"/>
    <d v="2014-07-15T00:00:00"/>
    <s v="2111-14-0024-1"/>
    <n v="700"/>
    <n v="14050"/>
    <n v="28330.85"/>
    <n v="14056"/>
    <n v="28330.85"/>
    <n v="0"/>
    <n v="0"/>
    <n v="54260"/>
    <n v="0"/>
    <s v="P"/>
    <m/>
    <m/>
    <s v=" "/>
    <s v="STL"/>
    <s v="YES"/>
    <s v="TBD"/>
    <d v="2024-10-09T00:00:00"/>
    <x v="19"/>
    <m/>
    <m/>
    <m/>
    <m/>
    <m/>
    <m/>
    <m/>
    <m/>
    <m/>
    <m/>
    <m/>
  </r>
  <r>
    <n v="2111"/>
    <n v="114877"/>
    <s v="P"/>
    <s v="Capitalized"/>
    <s v="2002 Used Ford F150 Supervisor Pick Up"/>
    <m/>
    <m/>
    <n v="1"/>
    <s v="2FTRX18W22CA19954"/>
    <n v="2002"/>
    <s v="FORD F-150"/>
    <s v="Pickup"/>
    <s v="TRUCKS AND TRAILERS"/>
    <s v="TBA"/>
    <s v="Pickup Truck"/>
    <m/>
    <m/>
    <d v="2004-09-13T00:00:00"/>
    <d v="2004-09-13T00:00:00"/>
    <n v="42160003"/>
    <n v="300"/>
    <n v="14040"/>
    <n v="19000"/>
    <n v="14046"/>
    <n v="19000"/>
    <n v="0"/>
    <n v="0"/>
    <n v="51260"/>
    <n v="0"/>
    <s v="P"/>
    <n v="0"/>
    <n v="8"/>
    <s v=" "/>
    <s v="STL"/>
    <s v="YES"/>
    <s v="TBD"/>
    <d v="2024-10-09T00:00:00"/>
    <x v="19"/>
    <m/>
    <m/>
    <m/>
    <m/>
    <m/>
    <m/>
    <m/>
    <m/>
    <m/>
    <m/>
    <m/>
  </r>
  <r>
    <n v="2111"/>
    <n v="113987"/>
    <s v="P"/>
    <s v="Capitalized"/>
    <s v="Sky Orb Safety System"/>
    <m/>
    <m/>
    <n v="1"/>
    <m/>
    <n v="0"/>
    <s v="Ritz Safety, LLC"/>
    <m/>
    <s v="SHOP EQUIPMENT"/>
    <s v="TBA"/>
    <m/>
    <m/>
    <m/>
    <d v="2014-06-26T00:00:00"/>
    <d v="2014-06-26T00:00:00"/>
    <s v="2111-14-0022-1"/>
    <n v="500"/>
    <n v="14070"/>
    <n v="10194.98"/>
    <n v="14076"/>
    <n v="10194.98"/>
    <n v="0"/>
    <n v="0"/>
    <n v="51260"/>
    <n v="0"/>
    <s v="P"/>
    <m/>
    <m/>
    <s v=" "/>
    <s v="STL"/>
    <s v="YES"/>
    <s v="TBD"/>
    <d v="2024-10-09T00:00:00"/>
    <x v="19"/>
    <m/>
    <m/>
    <m/>
    <m/>
    <m/>
    <m/>
    <m/>
    <m/>
    <m/>
    <m/>
    <m/>
  </r>
  <r>
    <n v="2111"/>
    <n v="113921"/>
    <s v="P"/>
    <s v="Capitalized"/>
    <s v="96 Gal Plastic Carts (Blue)"/>
    <m/>
    <m/>
    <n v="486"/>
    <m/>
    <n v="0"/>
    <s v="REHRIG PACIFIC COMPANY"/>
    <m/>
    <s v="CONTAINERS"/>
    <s v="TBA"/>
    <m/>
    <m/>
    <m/>
    <d v="2014-06-23T00:00:00"/>
    <d v="2014-06-23T00:00:00"/>
    <s v="2111-14-0023-1"/>
    <n v="700"/>
    <n v="14050"/>
    <n v="28330.85"/>
    <n v="14056"/>
    <n v="28330.85"/>
    <n v="0"/>
    <n v="0"/>
    <n v="54260"/>
    <n v="0"/>
    <s v="P"/>
    <m/>
    <m/>
    <s v=" "/>
    <s v="STL"/>
    <s v="YES"/>
    <s v="TBD"/>
    <d v="2024-10-09T00:00:00"/>
    <x v="19"/>
    <m/>
    <m/>
    <m/>
    <m/>
    <m/>
    <m/>
    <m/>
    <m/>
    <m/>
    <m/>
    <m/>
  </r>
  <r>
    <n v="2111"/>
    <n v="113725"/>
    <s v="P"/>
    <s v="Capitalized"/>
    <s v="(3) Digi portServers - WasteWorks"/>
    <m/>
    <m/>
    <n v="1"/>
    <m/>
    <n v="0"/>
    <s v="CAROLINA SOFTWARE"/>
    <m/>
    <s v="HARDWARE AND SOFTWARE"/>
    <s v="TBA"/>
    <m/>
    <m/>
    <m/>
    <d v="2011-07-11T00:00:00"/>
    <d v="2011-07-11T00:00:00"/>
    <s v="2170-11-0007-1"/>
    <n v="500"/>
    <n v="14110"/>
    <n v="2292.02"/>
    <n v="14116"/>
    <n v="2292.02"/>
    <n v="0"/>
    <n v="0"/>
    <n v="70260"/>
    <n v="0"/>
    <s v="P"/>
    <m/>
    <m/>
    <s v=" "/>
    <s v="STL"/>
    <s v="YES"/>
    <s v="TBD"/>
    <d v="2024-10-09T00:00:00"/>
    <x v="19"/>
    <m/>
    <m/>
    <m/>
    <m/>
    <m/>
    <m/>
    <m/>
    <m/>
    <m/>
    <m/>
    <m/>
  </r>
  <r>
    <n v="2111"/>
    <n v="113724"/>
    <s v="P"/>
    <s v="Capitalized"/>
    <s v="Waste Works Software Package"/>
    <m/>
    <m/>
    <n v="1"/>
    <m/>
    <n v="0"/>
    <s v="CAROLINA SOFTWARE"/>
    <m/>
    <s v="HARDWARE AND SOFTWARE"/>
    <s v="TBA"/>
    <m/>
    <m/>
    <m/>
    <d v="2011-07-11T00:00:00"/>
    <d v="2011-07-11T00:00:00"/>
    <s v="2170-11-0007-1"/>
    <n v="300"/>
    <n v="14110"/>
    <n v="16910.03"/>
    <n v="14116"/>
    <n v="16910.03"/>
    <n v="0"/>
    <n v="0"/>
    <n v="70260"/>
    <n v="0"/>
    <s v="P"/>
    <m/>
    <m/>
    <s v=" "/>
    <s v="STL"/>
    <s v="YES"/>
    <s v="TBD"/>
    <d v="2024-10-09T00:00:00"/>
    <x v="19"/>
    <m/>
    <m/>
    <m/>
    <m/>
    <m/>
    <m/>
    <m/>
    <m/>
    <m/>
    <m/>
    <m/>
  </r>
  <r>
    <n v="2111"/>
    <n v="113265"/>
    <s v="P"/>
    <s v="Capitalized"/>
    <s v="Wyse Winterms D10D"/>
    <m/>
    <m/>
    <n v="8"/>
    <m/>
    <n v="0"/>
    <s v="CDW"/>
    <m/>
    <s v="HARDWARE AND SOFTWARE"/>
    <s v="TBA"/>
    <m/>
    <m/>
    <m/>
    <d v="2014-04-20T00:00:00"/>
    <d v="2014-04-20T00:00:00"/>
    <s v="2000-14-0006-1"/>
    <n v="300"/>
    <n v="14110"/>
    <n v="2780.14"/>
    <n v="14116"/>
    <n v="2780.14"/>
    <n v="0"/>
    <n v="0"/>
    <n v="70260"/>
    <n v="0"/>
    <s v="P"/>
    <m/>
    <m/>
    <s v=" "/>
    <s v="STL"/>
    <s v="YES"/>
    <s v="TBD"/>
    <d v="2024-10-09T00:00:00"/>
    <x v="19"/>
    <m/>
    <m/>
    <m/>
    <m/>
    <m/>
    <m/>
    <m/>
    <m/>
    <m/>
    <m/>
    <m/>
  </r>
  <r>
    <n v="2111"/>
    <n v="113249"/>
    <n v="109566"/>
    <s v="Capitalized"/>
    <s v="Metal Carport"/>
    <m/>
    <m/>
    <n v="1"/>
    <m/>
    <n v="0"/>
    <s v="The Metal Mill"/>
    <m/>
    <s v="BUILDINGS"/>
    <s v="TBA"/>
    <m/>
    <m/>
    <m/>
    <d v="2014-01-01T00:00:00"/>
    <d v="2014-01-01T00:00:00"/>
    <s v="2111-13-0012-1"/>
    <n v="1911"/>
    <n v="14080"/>
    <n v="631.14"/>
    <n v="14086"/>
    <n v="340.46"/>
    <n v="290.68"/>
    <n v="23.76"/>
    <n v="57260"/>
    <n v="2.64"/>
    <s v="P"/>
    <m/>
    <m/>
    <s v=" "/>
    <s v="STL"/>
    <s v="YES"/>
    <s v="TBD"/>
    <d v="2024-10-09T00:00:00"/>
    <x v="19"/>
    <m/>
    <m/>
    <m/>
    <m/>
    <m/>
    <m/>
    <m/>
    <m/>
    <m/>
    <m/>
    <m/>
  </r>
  <r>
    <n v="2111"/>
    <n v="113143"/>
    <n v="109566"/>
    <s v="Capitalized"/>
    <s v="Credit - Gray Carport"/>
    <m/>
    <m/>
    <n v="1"/>
    <m/>
    <n v="0"/>
    <s v="Sarco Supply"/>
    <m/>
    <s v="BUILDINGS"/>
    <s v="TBA"/>
    <m/>
    <m/>
    <m/>
    <d v="2014-01-01T00:00:00"/>
    <d v="2014-01-01T00:00:00"/>
    <s v="2111-13-0012-1"/>
    <n v="1911"/>
    <n v="14080"/>
    <n v="-1288.93"/>
    <n v="14086"/>
    <n v="-695.71"/>
    <n v="-593.22"/>
    <n v="-48.51"/>
    <n v="57260"/>
    <n v="-5.39"/>
    <s v="P"/>
    <m/>
    <m/>
    <s v=" "/>
    <s v="STL"/>
    <s v="YES"/>
    <s v="TBD"/>
    <d v="2024-10-09T00:00:00"/>
    <x v="19"/>
    <m/>
    <m/>
    <m/>
    <m/>
    <m/>
    <m/>
    <m/>
    <m/>
    <m/>
    <m/>
    <m/>
  </r>
  <r>
    <n v="2111"/>
    <n v="112769"/>
    <s v="P"/>
    <s v="Capitalized"/>
    <s v="HP Probook 6570b (SN = 5CB2480VVM)"/>
    <m/>
    <m/>
    <n v="1"/>
    <m/>
    <n v="0"/>
    <s v="CDW"/>
    <m/>
    <s v="HARDWARE AND SOFTWARE"/>
    <s v="TBA"/>
    <m/>
    <m/>
    <m/>
    <d v="2013-02-15T00:00:00"/>
    <d v="2013-02-15T00:00:00"/>
    <s v="4110-13-0007-1"/>
    <n v="300"/>
    <n v="14110"/>
    <n v="976.33"/>
    <n v="14116"/>
    <n v="976.33"/>
    <n v="0"/>
    <n v="0"/>
    <n v="70260"/>
    <n v="0"/>
    <s v="P"/>
    <m/>
    <m/>
    <s v=" "/>
    <s v="STL"/>
    <s v="YES"/>
    <s v="TBD"/>
    <d v="2024-10-09T00:00:00"/>
    <x v="19"/>
    <m/>
    <m/>
    <m/>
    <m/>
    <m/>
    <m/>
    <m/>
    <m/>
    <m/>
    <m/>
    <m/>
  </r>
  <r>
    <n v="2111"/>
    <n v="112527"/>
    <n v="109566"/>
    <s v="Capitalized"/>
    <s v="Emergency Contact Signs"/>
    <m/>
    <m/>
    <n v="1"/>
    <m/>
    <n v="0"/>
    <s v="Fast Signs"/>
    <m/>
    <s v="BUILDINGS"/>
    <s v="TBA"/>
    <m/>
    <m/>
    <m/>
    <d v="2014-01-01T00:00:00"/>
    <d v="2014-01-01T00:00:00"/>
    <s v="2111-13-0012-1"/>
    <n v="2000"/>
    <n v="14080"/>
    <n v="742.58"/>
    <n v="14086"/>
    <n v="399.11"/>
    <n v="343.47"/>
    <n v="27.81"/>
    <n v="57260"/>
    <n v="3.09"/>
    <s v="P"/>
    <m/>
    <m/>
    <s v=" "/>
    <s v="STL"/>
    <s v="YES"/>
    <s v="TBD"/>
    <d v="2024-10-09T00:00:00"/>
    <x v="19"/>
    <m/>
    <m/>
    <m/>
    <m/>
    <m/>
    <m/>
    <m/>
    <m/>
    <m/>
    <m/>
    <m/>
  </r>
  <r>
    <n v="2111"/>
    <n v="111626"/>
    <s v="P"/>
    <s v="Capitalized"/>
    <s v="96 Gallon Recycle Carts (Grey)"/>
    <m/>
    <m/>
    <n v="486"/>
    <m/>
    <n v="0"/>
    <s v="REHRIG PACIFIC COMPANY"/>
    <m/>
    <s v="CONTAINERS"/>
    <s v="TBA"/>
    <m/>
    <m/>
    <m/>
    <d v="2014-01-27T00:00:00"/>
    <d v="2014-01-27T00:00:00"/>
    <s v="2111-14-0013-1"/>
    <n v="700"/>
    <n v="14050"/>
    <n v="27313.39"/>
    <n v="14056"/>
    <n v="27313.39"/>
    <n v="0"/>
    <n v="0"/>
    <n v="54260"/>
    <n v="0"/>
    <s v="P"/>
    <m/>
    <m/>
    <s v=" "/>
    <s v="STL"/>
    <s v="YES"/>
    <s v="TBD"/>
    <d v="2024-10-09T00:00:00"/>
    <x v="19"/>
    <m/>
    <m/>
    <m/>
    <m/>
    <m/>
    <m/>
    <m/>
    <m/>
    <m/>
    <m/>
    <m/>
  </r>
  <r>
    <n v="2111"/>
    <n v="111444"/>
    <s v="P"/>
    <s v="Capitalized"/>
    <s v="96 Gallon Blue Yard Waste Carts"/>
    <m/>
    <m/>
    <n v="624"/>
    <m/>
    <n v="0"/>
    <s v="TOTER INCORPORATED"/>
    <m/>
    <s v="CONTAINERS"/>
    <s v="TBA"/>
    <m/>
    <m/>
    <m/>
    <d v="2014-03-01T00:00:00"/>
    <d v="2014-03-01T00:00:00"/>
    <s v="2111-14-0012-1"/>
    <n v="700"/>
    <n v="14050"/>
    <n v="35948.660000000003"/>
    <n v="14056"/>
    <n v="35948.660000000003"/>
    <n v="0"/>
    <n v="0"/>
    <n v="54260"/>
    <n v="0"/>
    <s v="P"/>
    <m/>
    <m/>
    <s v=" "/>
    <s v="STL"/>
    <s v="YES"/>
    <s v="TBD"/>
    <d v="2024-10-09T00:00:00"/>
    <x v="19"/>
    <m/>
    <m/>
    <m/>
    <m/>
    <m/>
    <m/>
    <m/>
    <m/>
    <m/>
    <m/>
    <m/>
  </r>
  <r>
    <n v="2111"/>
    <n v="111133"/>
    <n v="109566"/>
    <s v="Capitalized"/>
    <s v="Evacuation Route Signs"/>
    <m/>
    <m/>
    <n v="1"/>
    <m/>
    <n v="0"/>
    <s v="Fastsigns"/>
    <m/>
    <s v="BUILDINGS"/>
    <s v="TBA"/>
    <m/>
    <m/>
    <m/>
    <d v="2014-01-01T00:00:00"/>
    <d v="2014-01-01T00:00:00"/>
    <s v="2111-13-0012-1"/>
    <n v="1911"/>
    <n v="14080"/>
    <n v="2520"/>
    <n v="14086"/>
    <n v="1360.16"/>
    <n v="1159.8399999999999"/>
    <n v="94.86"/>
    <n v="57260"/>
    <n v="10.54"/>
    <s v="P"/>
    <m/>
    <m/>
    <s v=" "/>
    <s v="STL"/>
    <s v="YES"/>
    <s v="TBD"/>
    <d v="2024-10-09T00:00:00"/>
    <x v="19"/>
    <m/>
    <m/>
    <m/>
    <m/>
    <m/>
    <m/>
    <m/>
    <m/>
    <m/>
    <m/>
    <m/>
  </r>
  <r>
    <n v="2111"/>
    <n v="110969"/>
    <s v="P"/>
    <s v="Capitalized"/>
    <s v="2014 Ford F450"/>
    <m/>
    <m/>
    <n v="1"/>
    <s v="1FD0W4GT6EEA87012"/>
    <n v="2014"/>
    <s v="Solid Waste Systems"/>
    <s v="Ford"/>
    <s v="TRUCKS AND TRAILERS"/>
    <s v="TBA"/>
    <s v="Service Truck"/>
    <m/>
    <m/>
    <d v="2014-02-03T00:00:00"/>
    <d v="2014-02-03T00:00:00"/>
    <s v="2111-13-0003-1"/>
    <n v="1000"/>
    <n v="14040"/>
    <n v="74932.75"/>
    <n v="14046"/>
    <n v="74932.75"/>
    <n v="0"/>
    <n v="624.39"/>
    <n v="51260"/>
    <n v="624.39"/>
    <s v="P"/>
    <m/>
    <n v="127"/>
    <s v=" "/>
    <s v="STL"/>
    <s v="YES"/>
    <s v="TBD"/>
    <d v="2024-10-09T00:00:00"/>
    <x v="19"/>
    <m/>
    <m/>
    <m/>
    <m/>
    <m/>
    <m/>
    <m/>
    <m/>
    <m/>
    <m/>
    <m/>
  </r>
  <r>
    <n v="2111"/>
    <n v="110968"/>
    <s v="P"/>
    <s v="Capitalized"/>
    <s v="Peterbilt 320/Wayne Curbtender ASL"/>
    <m/>
    <m/>
    <n v="1"/>
    <s v="3BPZL70X4EF236986"/>
    <n v="2014"/>
    <s v="Western Peterbilt"/>
    <s v="Wayne"/>
    <s v="TRUCKS AND TRAILERS"/>
    <s v="TBA"/>
    <s v="Automated Side Loader"/>
    <m/>
    <m/>
    <d v="2014-02-03T00:00:00"/>
    <d v="2014-02-03T00:00:00"/>
    <s v="2111-13-0001-1"/>
    <n v="1000"/>
    <n v="14040"/>
    <n v="318992.86"/>
    <n v="14046"/>
    <n v="318992.86"/>
    <n v="0"/>
    <n v="2658.24"/>
    <n v="51260"/>
    <n v="2658.24"/>
    <s v="P"/>
    <m/>
    <n v="825"/>
    <s v=" "/>
    <s v="STL"/>
    <s v="YES"/>
    <s v="TBD"/>
    <d v="2024-10-09T00:00:00"/>
    <x v="19"/>
    <m/>
    <m/>
    <m/>
    <m/>
    <m/>
    <m/>
    <m/>
    <m/>
    <m/>
    <m/>
    <m/>
  </r>
  <r>
    <n v="2111"/>
    <n v="110907"/>
    <n v="109566"/>
    <s v="Capitalized"/>
    <s v="Labor - New Fife Facility Design &amp; Construction"/>
    <m/>
    <m/>
    <n v="1"/>
    <m/>
    <n v="0"/>
    <s v="RUSH DESIGN INC"/>
    <m/>
    <s v="BUILDINGS"/>
    <s v="TBA"/>
    <m/>
    <m/>
    <m/>
    <d v="2014-01-01T00:00:00"/>
    <d v="2014-01-01T00:00:00"/>
    <s v="2111-13-0012-1"/>
    <n v="1911"/>
    <n v="14080"/>
    <n v="29651.93"/>
    <n v="14086"/>
    <n v="16004.63"/>
    <n v="13647.300000000001"/>
    <n v="1116.6300000000001"/>
    <n v="57260"/>
    <n v="124.07"/>
    <s v="P"/>
    <m/>
    <m/>
    <s v=" "/>
    <s v="STL"/>
    <s v="YES"/>
    <s v="TBD"/>
    <d v="2024-10-09T00:00:00"/>
    <x v="19"/>
    <m/>
    <m/>
    <m/>
    <m/>
    <m/>
    <m/>
    <m/>
    <m/>
    <m/>
    <m/>
    <m/>
  </r>
  <r>
    <n v="2111"/>
    <n v="110706"/>
    <n v="109566"/>
    <s v="Capitalized"/>
    <s v="New Fife Facility Design &amp; Construction"/>
    <m/>
    <m/>
    <n v="1"/>
    <m/>
    <n v="0"/>
    <s v="Bagreen Ellingson"/>
    <m/>
    <s v="BUILDINGS"/>
    <s v="TBA"/>
    <m/>
    <m/>
    <m/>
    <d v="2014-01-01T00:00:00"/>
    <d v="2014-01-01T00:00:00"/>
    <s v="2111-13-0012-1"/>
    <n v="1911"/>
    <n v="14080"/>
    <n v="11814.1"/>
    <n v="14086"/>
    <n v="6376.67"/>
    <n v="5437.43"/>
    <n v="444.87"/>
    <n v="57260"/>
    <n v="49.43"/>
    <s v="P"/>
    <m/>
    <m/>
    <s v=" "/>
    <s v="STL"/>
    <s v="YES"/>
    <s v="TBD"/>
    <d v="2024-10-09T00:00:00"/>
    <x v="19"/>
    <m/>
    <m/>
    <m/>
    <m/>
    <m/>
    <m/>
    <m/>
    <m/>
    <m/>
    <m/>
    <m/>
  </r>
  <r>
    <n v="2111"/>
    <n v="110645"/>
    <n v="109566"/>
    <s v="Capitalized"/>
    <s v="New Fife Facility Design &amp; Construction"/>
    <m/>
    <m/>
    <n v="1"/>
    <m/>
    <n v="0"/>
    <s v="RUSH DESIGN INC"/>
    <m/>
    <s v="BUILDINGS"/>
    <s v="TBA"/>
    <m/>
    <m/>
    <m/>
    <d v="2014-01-01T00:00:00"/>
    <d v="2014-01-01T00:00:00"/>
    <s v="2111-13-0012-1"/>
    <n v="1911"/>
    <n v="14080"/>
    <n v="1301.6300000000001"/>
    <n v="14086"/>
    <n v="702.55"/>
    <n v="599.08000000000015"/>
    <n v="49.05"/>
    <n v="57260"/>
    <n v="5.45"/>
    <s v="P"/>
    <m/>
    <m/>
    <s v=" "/>
    <s v="STL"/>
    <s v="YES"/>
    <s v="TBD"/>
    <d v="2024-10-09T00:00:00"/>
    <x v="19"/>
    <m/>
    <m/>
    <m/>
    <m/>
    <m/>
    <m/>
    <m/>
    <m/>
    <m/>
    <m/>
    <m/>
  </r>
  <r>
    <n v="2111"/>
    <n v="110509"/>
    <n v="109566"/>
    <s v="Capitalized"/>
    <s v="New Fife Facility Design &amp; Construction"/>
    <m/>
    <m/>
    <n v="1"/>
    <m/>
    <n v="0"/>
    <s v="RUSH COMMERCIAL CONSTRUCT"/>
    <m/>
    <s v="BUILDINGS"/>
    <s v="TBA"/>
    <m/>
    <m/>
    <m/>
    <d v="2014-01-01T00:00:00"/>
    <d v="2014-01-01T00:00:00"/>
    <s v="2111-13-0012-1"/>
    <n v="1911"/>
    <n v="14080"/>
    <n v="306599.73"/>
    <n v="14086"/>
    <n v="165486.76"/>
    <n v="141112.96999999997"/>
    <n v="11545.56"/>
    <n v="57260"/>
    <n v="1282.8399999999999"/>
    <s v="P"/>
    <m/>
    <m/>
    <s v=" "/>
    <s v="STL"/>
    <s v="YES"/>
    <s v="TBD"/>
    <d v="2024-10-09T00:00:00"/>
    <x v="19"/>
    <m/>
    <m/>
    <m/>
    <m/>
    <m/>
    <m/>
    <m/>
    <m/>
    <m/>
    <m/>
    <m/>
  </r>
  <r>
    <n v="2111"/>
    <n v="110503"/>
    <s v="P"/>
    <s v="Capitalized"/>
    <s v="1.5 YD REL Containers (Green/Garbage)"/>
    <m/>
    <m/>
    <n v="10"/>
    <m/>
    <n v="0"/>
    <s v="CAPITAL INDUSTRIES, INC."/>
    <m/>
    <s v="CONTAINERS"/>
    <s v="TBA"/>
    <m/>
    <s v="1.5 YD"/>
    <s v="FEL/REL/SL Metal"/>
    <d v="2014-01-01T00:00:00"/>
    <d v="2014-01-01T00:00:00"/>
    <s v="2111-13-0021-1"/>
    <n v="1200"/>
    <n v="14050"/>
    <n v="4649.5"/>
    <n v="14056"/>
    <n v="4165.21"/>
    <n v="484.28999999999996"/>
    <n v="290.61"/>
    <n v="54260"/>
    <n v="32.29"/>
    <s v="P"/>
    <m/>
    <m/>
    <s v=" "/>
    <s v="STL"/>
    <s v="YES"/>
    <s v="TBD"/>
    <d v="2024-10-09T00:00:00"/>
    <x v="19"/>
    <m/>
    <m/>
    <m/>
    <m/>
    <m/>
    <m/>
    <m/>
    <m/>
    <m/>
    <m/>
    <m/>
  </r>
  <r>
    <n v="2111"/>
    <n v="110099"/>
    <n v="109566"/>
    <s v="Capitalized"/>
    <s v="New Fife Facility Design &amp; Construction"/>
    <m/>
    <m/>
    <n v="1"/>
    <m/>
    <n v="0"/>
    <s v="City of Fife Community De"/>
    <m/>
    <s v="BUILDINGS"/>
    <s v="TBA"/>
    <m/>
    <m/>
    <m/>
    <d v="2013-12-01T00:00:00"/>
    <d v="2013-12-01T00:00:00"/>
    <s v="2111-13-0012-1"/>
    <n v="2000"/>
    <n v="14080"/>
    <n v="42201.919999999998"/>
    <n v="14086"/>
    <n v="22859.4"/>
    <n v="19342.519999999997"/>
    <n v="1582.56"/>
    <n v="57260"/>
    <n v="175.84"/>
    <s v="P"/>
    <m/>
    <m/>
    <s v=" "/>
    <s v="STL"/>
    <s v="YES"/>
    <s v="TBD"/>
    <d v="2024-10-09T00:00:00"/>
    <x v="19"/>
    <m/>
    <m/>
    <m/>
    <m/>
    <m/>
    <m/>
    <m/>
    <m/>
    <m/>
    <m/>
    <m/>
  </r>
  <r>
    <n v="2111"/>
    <n v="110094"/>
    <s v="P"/>
    <s v="Capitalized"/>
    <s v="Walk-Behind Floor Scrubber (Model #5680)"/>
    <m/>
    <m/>
    <n v="1"/>
    <m/>
    <n v="0"/>
    <s v="Tennant"/>
    <m/>
    <s v="SHOP EQUIPMENT"/>
    <s v="TBA"/>
    <m/>
    <m/>
    <m/>
    <d v="2013-12-31T00:00:00"/>
    <d v="2013-12-31T00:00:00"/>
    <s v="2111-13-0019-1"/>
    <n v="500"/>
    <n v="14070"/>
    <n v="14544.51"/>
    <n v="14076"/>
    <n v="14544.51"/>
    <n v="0"/>
    <n v="0"/>
    <n v="51260"/>
    <n v="0"/>
    <s v="P"/>
    <m/>
    <m/>
    <s v=" "/>
    <s v="STL"/>
    <s v="YES"/>
    <s v="TBD"/>
    <d v="2024-10-09T00:00:00"/>
    <x v="19"/>
    <m/>
    <m/>
    <m/>
    <m/>
    <m/>
    <m/>
    <m/>
    <m/>
    <m/>
    <m/>
    <m/>
  </r>
  <r>
    <n v="2111"/>
    <n v="110093"/>
    <s v="P"/>
    <s v="Capitalized"/>
    <s v="22 Ton Jack"/>
    <m/>
    <m/>
    <n v="1"/>
    <m/>
    <n v="0"/>
    <s v="FleetPride Truck &amp; Traile"/>
    <m/>
    <s v="SHOP EQUIPMENT"/>
    <s v="TBA"/>
    <m/>
    <m/>
    <m/>
    <d v="2013-12-31T00:00:00"/>
    <d v="2013-12-31T00:00:00"/>
    <s v="2111-13-0019-1"/>
    <n v="500"/>
    <n v="14070"/>
    <n v="5343.25"/>
    <n v="14076"/>
    <n v="5343.25"/>
    <n v="0"/>
    <n v="0"/>
    <n v="51260"/>
    <n v="0"/>
    <s v="P"/>
    <m/>
    <m/>
    <s v=" "/>
    <s v="STL"/>
    <s v="YES"/>
    <s v="TBD"/>
    <d v="2024-10-09T00:00:00"/>
    <x v="19"/>
    <m/>
    <m/>
    <m/>
    <m/>
    <m/>
    <m/>
    <m/>
    <m/>
    <m/>
    <m/>
    <m/>
  </r>
  <r>
    <n v="2111"/>
    <n v="110092"/>
    <s v="P"/>
    <s v="Capitalized"/>
    <s v="Millermatic 252 Welder"/>
    <m/>
    <m/>
    <n v="1"/>
    <m/>
    <n v="0"/>
    <s v="Pacific Welding Supplies "/>
    <m/>
    <s v="SHOP EQUIPMENT"/>
    <s v="TBA"/>
    <m/>
    <m/>
    <m/>
    <d v="2013-12-31T00:00:00"/>
    <d v="2013-12-31T00:00:00"/>
    <s v="2111-13-0019-1"/>
    <n v="500"/>
    <n v="14070"/>
    <n v="2337.39"/>
    <n v="14076"/>
    <n v="2337.39"/>
    <n v="0"/>
    <n v="0"/>
    <n v="51260"/>
    <n v="0"/>
    <s v="P"/>
    <m/>
    <m/>
    <s v=" "/>
    <s v="STL"/>
    <s v="YES"/>
    <s v="TBD"/>
    <d v="2024-10-09T00:00:00"/>
    <x v="19"/>
    <m/>
    <m/>
    <m/>
    <m/>
    <m/>
    <m/>
    <m/>
    <m/>
    <m/>
    <m/>
    <m/>
  </r>
  <r>
    <n v="2111"/>
    <n v="109960"/>
    <n v="109566"/>
    <s v="Capitalized"/>
    <s v="New Fife Facility Design &amp; Construction"/>
    <m/>
    <m/>
    <n v="1"/>
    <m/>
    <n v="0"/>
    <s v="Sarco Supply"/>
    <m/>
    <s v="BUILDINGS"/>
    <s v="TBA"/>
    <m/>
    <m/>
    <m/>
    <d v="2013-12-01T00:00:00"/>
    <d v="2013-12-01T00:00:00"/>
    <s v="2111-13-0012-1"/>
    <n v="2000"/>
    <n v="14080"/>
    <n v="3969.58"/>
    <n v="14086"/>
    <n v="2150.1999999999998"/>
    <n v="1819.38"/>
    <n v="148.86000000000001"/>
    <n v="57260"/>
    <n v="16.54"/>
    <s v="P"/>
    <m/>
    <m/>
    <s v=" "/>
    <s v="STL"/>
    <s v="YES"/>
    <s v="TBD"/>
    <d v="2024-10-09T00:00:00"/>
    <x v="19"/>
    <m/>
    <m/>
    <m/>
    <m/>
    <m/>
    <m/>
    <m/>
    <m/>
    <m/>
    <m/>
    <m/>
  </r>
  <r>
    <n v="2111"/>
    <n v="109827"/>
    <n v="109566"/>
    <s v="Capitalized"/>
    <s v="New Fife Facility Design &amp; Construction"/>
    <m/>
    <m/>
    <n v="1"/>
    <m/>
    <n v="0"/>
    <s v="PES ENVIRONMENTAL INC"/>
    <m/>
    <s v="BUILDINGS"/>
    <s v="TBA"/>
    <m/>
    <m/>
    <m/>
    <d v="2013-12-01T00:00:00"/>
    <d v="2013-12-01T00:00:00"/>
    <s v="2111-13-0012-1"/>
    <n v="2000"/>
    <n v="14080"/>
    <n v="1650.8"/>
    <n v="14086"/>
    <n v="894.2"/>
    <n v="756.59999999999991"/>
    <n v="61.92"/>
    <n v="57260"/>
    <n v="6.88"/>
    <s v="P"/>
    <m/>
    <m/>
    <s v=" "/>
    <s v="STL"/>
    <s v="YES"/>
    <s v="TBD"/>
    <d v="2024-10-09T00:00:00"/>
    <x v="19"/>
    <m/>
    <m/>
    <m/>
    <m/>
    <m/>
    <m/>
    <m/>
    <m/>
    <m/>
    <m/>
    <m/>
  </r>
  <r>
    <n v="2111"/>
    <n v="109566"/>
    <s v="P"/>
    <s v="Capitalized"/>
    <s v="Fife Facility Design &amp; Construction"/>
    <m/>
    <m/>
    <n v="1"/>
    <m/>
    <n v="0"/>
    <m/>
    <m/>
    <s v="BUILDINGS"/>
    <s v="TBA"/>
    <m/>
    <m/>
    <m/>
    <d v="2013-12-01T00:00:00"/>
    <d v="2013-12-01T00:00:00"/>
    <s v="2111-13-0012-1"/>
    <n v="2000"/>
    <n v="14080"/>
    <n v="5573344.7300000004"/>
    <n v="14086"/>
    <n v="3018895.1"/>
    <n v="2554449.6300000004"/>
    <n v="209000.43"/>
    <n v="57260"/>
    <n v="23222.27"/>
    <s v="P"/>
    <m/>
    <m/>
    <s v=" "/>
    <s v="STL"/>
    <s v="YES"/>
    <s v="TBD"/>
    <d v="2024-10-09T00:00:00"/>
    <x v="19"/>
    <m/>
    <m/>
    <m/>
    <m/>
    <m/>
    <m/>
    <m/>
    <m/>
    <m/>
    <m/>
    <m/>
  </r>
  <r>
    <n v="2111"/>
    <n v="108441"/>
    <s v="P"/>
    <s v="Capitalized"/>
    <s v="RouteManager Conversion Site Licenses  and 3 Users for Tacoma"/>
    <m/>
    <m/>
    <n v="1"/>
    <m/>
    <n v="0"/>
    <s v="WESTERN MICROSYSTEMS"/>
    <m/>
    <s v="HARDWARE AND SOFTWARE"/>
    <s v="TBA"/>
    <m/>
    <m/>
    <m/>
    <d v="2011-08-01T00:00:00"/>
    <d v="2011-08-01T00:00:00"/>
    <s v="2170-11-0012-1"/>
    <n v="300"/>
    <n v="14110"/>
    <n v="5025"/>
    <n v="14116"/>
    <n v="5025"/>
    <n v="0"/>
    <n v="0"/>
    <n v="70260"/>
    <n v="0"/>
    <s v="P"/>
    <m/>
    <m/>
    <s v=" "/>
    <s v="STL"/>
    <s v="YES"/>
    <s v="TBD"/>
    <d v="2024-10-09T00:00:00"/>
    <x v="19"/>
    <m/>
    <m/>
    <m/>
    <m/>
    <m/>
    <m/>
    <m/>
    <m/>
    <m/>
    <m/>
    <m/>
  </r>
  <r>
    <n v="2111"/>
    <n v="108440"/>
    <n v="108441"/>
    <s v="Capitalized"/>
    <s v="Use Tax on RM Licenses"/>
    <m/>
    <m/>
    <n v="1"/>
    <m/>
    <n v="0"/>
    <s v="Desert Micro"/>
    <m/>
    <s v="HARDWARE AND SOFTWARE"/>
    <s v="TBA"/>
    <m/>
    <m/>
    <m/>
    <d v="2011-08-01T00:00:00"/>
    <d v="2011-08-01T00:00:00"/>
    <s v="2170-11-0012-1"/>
    <n v="300"/>
    <n v="14110"/>
    <n v="467.32"/>
    <n v="14116"/>
    <n v="467.32"/>
    <n v="0"/>
    <n v="0"/>
    <n v="70260"/>
    <n v="0"/>
    <s v="P"/>
    <m/>
    <m/>
    <s v=" "/>
    <s v="STL"/>
    <s v="YES"/>
    <s v="TBD"/>
    <d v="2024-10-09T00:00:00"/>
    <x v="19"/>
    <m/>
    <m/>
    <m/>
    <m/>
    <m/>
    <m/>
    <m/>
    <m/>
    <m/>
    <m/>
    <m/>
  </r>
  <r>
    <n v="2111"/>
    <n v="107976"/>
    <s v="P"/>
    <s v="Capitalized"/>
    <s v="96 Gallon Recycle Carts"/>
    <m/>
    <m/>
    <n v="312"/>
    <m/>
    <n v="0"/>
    <s v="TOTER INCORPORATED"/>
    <m/>
    <s v="CONTAINERS"/>
    <s v="TBA"/>
    <m/>
    <m/>
    <m/>
    <d v="2013-10-30T00:00:00"/>
    <d v="2013-10-30T00:00:00"/>
    <s v="2111-13-0007-1"/>
    <n v="700"/>
    <n v="14050"/>
    <n v="17116.18"/>
    <n v="14056"/>
    <n v="17116.18"/>
    <n v="0"/>
    <n v="0"/>
    <n v="54260"/>
    <n v="0"/>
    <s v="P"/>
    <m/>
    <m/>
    <s v=" "/>
    <s v="STL"/>
    <s v="YES"/>
    <s v="TBD"/>
    <d v="2024-10-09T00:00:00"/>
    <x v="19"/>
    <m/>
    <m/>
    <m/>
    <m/>
    <m/>
    <m/>
    <m/>
    <m/>
    <m/>
    <m/>
    <m/>
  </r>
  <r>
    <n v="2111"/>
    <n v="107975"/>
    <s v="P"/>
    <s v="Capitalized"/>
    <s v="96 Gallon Yard Waste Carts"/>
    <m/>
    <m/>
    <n v="312"/>
    <m/>
    <n v="0"/>
    <s v="TOTER INCORPORATED"/>
    <m/>
    <s v="CONTAINERS"/>
    <s v="TBA"/>
    <m/>
    <m/>
    <m/>
    <d v="2013-10-30T00:00:00"/>
    <d v="2013-10-30T00:00:00"/>
    <s v="2111-13-0007-1"/>
    <n v="700"/>
    <n v="14050"/>
    <n v="17201.509999999998"/>
    <n v="14056"/>
    <n v="17201.509999999998"/>
    <n v="0"/>
    <n v="0"/>
    <n v="54260"/>
    <n v="0"/>
    <s v="P"/>
    <m/>
    <m/>
    <s v=" "/>
    <s v="STL"/>
    <s v="YES"/>
    <s v="TBD"/>
    <d v="2024-10-09T00:00:00"/>
    <x v="19"/>
    <m/>
    <m/>
    <m/>
    <m/>
    <m/>
    <m/>
    <m/>
    <m/>
    <m/>
    <m/>
    <m/>
  </r>
  <r>
    <n v="2111"/>
    <n v="107198"/>
    <s v="P"/>
    <s v="Capitalized"/>
    <s v=" Planetaries - Rear, Left"/>
    <m/>
    <m/>
    <n v="1"/>
    <m/>
    <n v="2006"/>
    <s v="John Deere"/>
    <s v="John Deere"/>
    <s v="HEAVY EQUIPMENT"/>
    <s v="TBA"/>
    <s v="Non-Rolling Stock"/>
    <m/>
    <m/>
    <d v="2012-10-01T00:00:00"/>
    <d v="2012-10-01T00:00:00"/>
    <s v="2170-12-0009-1"/>
    <n v="300"/>
    <n v="14030"/>
    <n v="1938.15"/>
    <n v="14036"/>
    <n v="1938.15"/>
    <n v="0"/>
    <n v="0"/>
    <n v="51260"/>
    <n v="0"/>
    <s v="P"/>
    <m/>
    <m/>
    <s v=" "/>
    <s v="STL"/>
    <s v="YES"/>
    <s v="TBD"/>
    <d v="2024-10-09T00:00:00"/>
    <x v="19"/>
    <m/>
    <m/>
    <m/>
    <m/>
    <m/>
    <m/>
    <m/>
    <m/>
    <m/>
    <m/>
    <m/>
  </r>
  <r>
    <n v="2111"/>
    <n v="107197"/>
    <s v="P"/>
    <s v="Capitalized"/>
    <s v=" Planetaries - Rear, Right"/>
    <m/>
    <m/>
    <n v="1"/>
    <m/>
    <n v="2006"/>
    <s v="John Deere"/>
    <s v="John Deere"/>
    <s v="HEAVY EQUIPMENT"/>
    <s v="TBA"/>
    <s v="Non-Rolling Stock"/>
    <m/>
    <m/>
    <d v="2012-10-01T00:00:00"/>
    <d v="2012-10-01T00:00:00"/>
    <s v="2170-12-0009-1"/>
    <n v="300"/>
    <n v="14030"/>
    <n v="1938.15"/>
    <n v="14036"/>
    <n v="1938.15"/>
    <n v="0"/>
    <n v="0"/>
    <n v="51260"/>
    <n v="0"/>
    <s v="P"/>
    <m/>
    <m/>
    <s v=" "/>
    <s v="STL"/>
    <s v="YES"/>
    <s v="TBD"/>
    <d v="2024-10-09T00:00:00"/>
    <x v="19"/>
    <m/>
    <m/>
    <m/>
    <m/>
    <m/>
    <m/>
    <m/>
    <m/>
    <m/>
    <m/>
    <m/>
  </r>
  <r>
    <n v="2111"/>
    <n v="107196"/>
    <s v="P"/>
    <s v="Capitalized"/>
    <s v="Planetaries - Front, Left"/>
    <m/>
    <m/>
    <n v="1"/>
    <m/>
    <n v="2006"/>
    <s v="STAR RENTALS INC"/>
    <m/>
    <s v="HEAVY EQUIPMENT"/>
    <s v="TBA"/>
    <s v="Non-Rolling Stock"/>
    <m/>
    <m/>
    <d v="2012-10-01T00:00:00"/>
    <d v="2012-10-01T00:00:00"/>
    <s v="2170-12-0009-1"/>
    <n v="300"/>
    <n v="14030"/>
    <n v="1938.15"/>
    <n v="14036"/>
    <n v="1938.15"/>
    <n v="0"/>
    <n v="0"/>
    <n v="51260"/>
    <n v="0"/>
    <s v="P"/>
    <m/>
    <m/>
    <s v=" "/>
    <s v="STL"/>
    <s v="YES"/>
    <s v="TBD"/>
    <d v="2024-10-09T00:00:00"/>
    <x v="19"/>
    <m/>
    <m/>
    <m/>
    <m/>
    <m/>
    <m/>
    <m/>
    <m/>
    <m/>
    <m/>
    <m/>
  </r>
  <r>
    <n v="2111"/>
    <n v="107195"/>
    <s v="P"/>
    <s v="Capitalized"/>
    <s v="Planetaries - Front, Right"/>
    <m/>
    <m/>
    <n v="1"/>
    <m/>
    <n v="2006"/>
    <s v="John Deere"/>
    <s v="John Deere"/>
    <s v="HEAVY EQUIPMENT"/>
    <s v="TBA"/>
    <s v="Non-Rolling Stock"/>
    <m/>
    <m/>
    <d v="2012-10-01T00:00:00"/>
    <d v="2012-10-01T00:00:00"/>
    <s v="2170-12-0009-1"/>
    <n v="300"/>
    <n v="14030"/>
    <n v="1938.15"/>
    <n v="14036"/>
    <n v="1938.15"/>
    <n v="0"/>
    <n v="0"/>
    <n v="51260"/>
    <n v="0"/>
    <s v="P"/>
    <m/>
    <m/>
    <s v=" "/>
    <s v="STL"/>
    <s v="YES"/>
    <s v="TBD"/>
    <d v="2024-10-09T00:00:00"/>
    <x v="19"/>
    <m/>
    <m/>
    <m/>
    <m/>
    <m/>
    <m/>
    <m/>
    <m/>
    <m/>
    <m/>
    <m/>
  </r>
  <r>
    <n v="2111"/>
    <n v="107194"/>
    <s v="P"/>
    <s v="Capitalized"/>
    <s v="Differential - Rear"/>
    <m/>
    <m/>
    <n v="1"/>
    <m/>
    <n v="2006"/>
    <s v="John Deere"/>
    <s v="John Deere"/>
    <s v="HEAVY EQUIPMENT"/>
    <s v="TBA"/>
    <s v="Non-Rolling Stock"/>
    <m/>
    <m/>
    <d v="2012-10-01T00:00:00"/>
    <d v="2012-10-01T00:00:00"/>
    <s v="2170-12-0009-1"/>
    <n v="300"/>
    <n v="14030"/>
    <n v="3230.25"/>
    <n v="14036"/>
    <n v="3230.25"/>
    <n v="0"/>
    <n v="0"/>
    <n v="51260"/>
    <n v="0"/>
    <s v="P"/>
    <m/>
    <m/>
    <s v=" "/>
    <s v="STL"/>
    <s v="YES"/>
    <s v="TBD"/>
    <d v="2024-10-09T00:00:00"/>
    <x v="19"/>
    <m/>
    <m/>
    <m/>
    <m/>
    <m/>
    <m/>
    <m/>
    <m/>
    <m/>
    <m/>
    <m/>
  </r>
  <r>
    <n v="2111"/>
    <n v="107193"/>
    <s v="P"/>
    <s v="Capitalized"/>
    <s v="Differential - Front"/>
    <m/>
    <m/>
    <n v="1"/>
    <m/>
    <n v="2006"/>
    <s v="John Deere"/>
    <s v="John Deere"/>
    <s v="HEAVY EQUIPMENT"/>
    <s v="TBA"/>
    <s v="Non-Rolling Stock"/>
    <m/>
    <m/>
    <d v="2012-10-01T00:00:00"/>
    <d v="2012-10-01T00:00:00"/>
    <s v="2170-12-0009-1"/>
    <n v="300"/>
    <n v="14030"/>
    <n v="3230.25"/>
    <n v="14036"/>
    <n v="3230.25"/>
    <n v="0"/>
    <n v="0"/>
    <n v="51260"/>
    <n v="0"/>
    <s v="P"/>
    <m/>
    <m/>
    <s v=" "/>
    <s v="STL"/>
    <s v="YES"/>
    <s v="TBD"/>
    <d v="2024-10-09T00:00:00"/>
    <x v="19"/>
    <m/>
    <m/>
    <m/>
    <m/>
    <m/>
    <m/>
    <m/>
    <m/>
    <m/>
    <m/>
    <m/>
  </r>
  <r>
    <n v="2111"/>
    <n v="107192"/>
    <s v="P"/>
    <s v="Capitalized"/>
    <s v="Hydrostatic Transmission Drive Pump"/>
    <m/>
    <m/>
    <n v="1"/>
    <m/>
    <n v="2006"/>
    <s v="John Deere"/>
    <s v="John Deere"/>
    <s v="HEAVY EQUIPMENT"/>
    <s v="TBA"/>
    <s v="Non-Rolling Stock"/>
    <m/>
    <m/>
    <d v="2012-10-01T00:00:00"/>
    <d v="2012-10-01T00:00:00"/>
    <s v="2170-12-0009-1"/>
    <n v="300"/>
    <n v="14030"/>
    <n v="2584.1999999999998"/>
    <n v="14036"/>
    <n v="2584.1999999999998"/>
    <n v="0"/>
    <n v="0"/>
    <n v="51260"/>
    <n v="0"/>
    <s v="P"/>
    <m/>
    <m/>
    <s v=" "/>
    <s v="STL"/>
    <s v="YES"/>
    <s v="TBD"/>
    <d v="2024-10-09T00:00:00"/>
    <x v="19"/>
    <m/>
    <m/>
    <m/>
    <m/>
    <m/>
    <m/>
    <m/>
    <m/>
    <m/>
    <m/>
    <m/>
  </r>
  <r>
    <n v="2111"/>
    <n v="107191"/>
    <s v="P"/>
    <s v="Capitalized"/>
    <s v="John Deere JD44J Loader - Transmission"/>
    <m/>
    <m/>
    <n v="1"/>
    <m/>
    <n v="2006"/>
    <s v="John Deere"/>
    <s v="John Deere"/>
    <s v="HEAVY EQUIPMENT"/>
    <s v="TBA"/>
    <s v="Non-Rolling Stock"/>
    <m/>
    <m/>
    <d v="2012-10-01T00:00:00"/>
    <d v="2012-10-01T00:00:00"/>
    <s v="2170-12-0009-1"/>
    <n v="300"/>
    <n v="14030"/>
    <n v="5168.3999999999996"/>
    <n v="14036"/>
    <n v="5168.3999999999996"/>
    <n v="0"/>
    <n v="0"/>
    <n v="51260"/>
    <n v="0"/>
    <s v="P"/>
    <m/>
    <m/>
    <s v=" "/>
    <s v="STL"/>
    <s v="YES"/>
    <s v="TBD"/>
    <d v="2024-10-09T00:00:00"/>
    <x v="19"/>
    <m/>
    <m/>
    <m/>
    <m/>
    <m/>
    <m/>
    <m/>
    <m/>
    <m/>
    <m/>
    <m/>
  </r>
  <r>
    <n v="2111"/>
    <n v="107190"/>
    <s v="P"/>
    <s v="Capitalized"/>
    <s v="John Deere JD44J Loader - Engine"/>
    <m/>
    <m/>
    <n v="1"/>
    <m/>
    <n v="2006"/>
    <s v="John Deere"/>
    <s v="John Deere"/>
    <s v="HEAVY EQUIPMENT"/>
    <s v="TBA"/>
    <s v="Non-Rolling Stock"/>
    <m/>
    <m/>
    <d v="2012-10-01T00:00:00"/>
    <d v="2012-10-01T00:00:00"/>
    <s v="2170-12-0009-1"/>
    <n v="300"/>
    <n v="14030"/>
    <n v="7752.6"/>
    <n v="14036"/>
    <n v="7752.6"/>
    <n v="0"/>
    <n v="0"/>
    <n v="51260"/>
    <n v="0"/>
    <s v="P"/>
    <m/>
    <m/>
    <s v=" "/>
    <s v="STL"/>
    <s v="YES"/>
    <s v="TBD"/>
    <d v="2024-10-09T00:00:00"/>
    <x v="19"/>
    <m/>
    <m/>
    <m/>
    <m/>
    <m/>
    <m/>
    <m/>
    <m/>
    <m/>
    <m/>
    <m/>
  </r>
  <r>
    <n v="2111"/>
    <n v="107188"/>
    <s v="P"/>
    <s v="Capitalized"/>
    <s v="HP Compaq 6200 Pro (SN =MXL2270KNB)"/>
    <m/>
    <m/>
    <n v="1"/>
    <m/>
    <n v="0"/>
    <s v="CDW"/>
    <m/>
    <s v="HARDWARE AND SOFTWARE"/>
    <s v="TBA"/>
    <m/>
    <m/>
    <m/>
    <d v="2012-07-15T00:00:00"/>
    <d v="2012-07-15T00:00:00"/>
    <s v="2170-12-0008-1"/>
    <n v="300"/>
    <n v="14110"/>
    <n v="649.16999999999996"/>
    <n v="14116"/>
    <n v="649.16999999999996"/>
    <n v="0"/>
    <n v="0"/>
    <n v="70260"/>
    <n v="0"/>
    <s v="P"/>
    <m/>
    <m/>
    <s v=" "/>
    <s v="STL"/>
    <s v="YES"/>
    <s v="TBD"/>
    <d v="2024-10-09T00:00:00"/>
    <x v="19"/>
    <m/>
    <m/>
    <m/>
    <m/>
    <m/>
    <m/>
    <m/>
    <m/>
    <m/>
    <m/>
    <m/>
  </r>
  <r>
    <n v="2111"/>
    <n v="107187"/>
    <s v="P"/>
    <s v="Capitalized"/>
    <s v="Sony Internet  TV (SN = S018095316I)"/>
    <m/>
    <m/>
    <n v="1"/>
    <m/>
    <n v="0"/>
    <s v="cdw"/>
    <m/>
    <s v="HARDWARE AND SOFTWARE"/>
    <s v="TBA"/>
    <m/>
    <m/>
    <m/>
    <d v="2012-01-25T00:00:00"/>
    <d v="2012-01-25T00:00:00"/>
    <s v="1010-12-0018-1"/>
    <n v="500"/>
    <n v="14110"/>
    <n v="564.44000000000005"/>
    <n v="14116"/>
    <n v="564.44000000000005"/>
    <n v="0"/>
    <n v="0"/>
    <n v="70260"/>
    <n v="0"/>
    <s v="P"/>
    <m/>
    <m/>
    <s v=" "/>
    <s v="STL"/>
    <s v="YES"/>
    <s v="TBD"/>
    <d v="2024-10-09T00:00:00"/>
    <x v="19"/>
    <m/>
    <m/>
    <m/>
    <m/>
    <m/>
    <m/>
    <m/>
    <m/>
    <m/>
    <m/>
    <m/>
  </r>
  <r>
    <n v="2111"/>
    <n v="107185"/>
    <s v="P"/>
    <s v="Capitalized"/>
    <s v="2011 318D John Deere Skid Steer"/>
    <m/>
    <m/>
    <n v="1"/>
    <s v="1T0318DJPBG202551"/>
    <n v="2011"/>
    <s v="John Deere"/>
    <s v="John Deere"/>
    <s v="HEAVY EQUIPMENT"/>
    <s v="TBA"/>
    <s v="Skid Steer"/>
    <m/>
    <m/>
    <d v="2011-09-12T00:00:00"/>
    <d v="2011-09-12T00:00:00"/>
    <s v="2170-11-0004-1"/>
    <n v="900"/>
    <n v="14030"/>
    <n v="42435.72"/>
    <n v="14036"/>
    <n v="42435.72"/>
    <n v="0"/>
    <n v="0"/>
    <n v="51260"/>
    <n v="0"/>
    <s v="P"/>
    <m/>
    <s v="318D"/>
    <s v=" "/>
    <s v="STL"/>
    <s v="YES"/>
    <s v="TBD"/>
    <d v="2024-10-09T00:00:00"/>
    <x v="19"/>
    <m/>
    <m/>
    <m/>
    <m/>
    <m/>
    <m/>
    <m/>
    <m/>
    <m/>
    <m/>
    <m/>
  </r>
  <r>
    <n v="2111"/>
    <n v="107183"/>
    <s v="P"/>
    <s v="Capitalized"/>
    <s v="Air Compressor Fittings/Hoses"/>
    <m/>
    <m/>
    <n v="1"/>
    <m/>
    <n v="0"/>
    <s v="Fleet Pride"/>
    <m/>
    <s v="SHOP EQUIPMENT"/>
    <s v="TBA"/>
    <m/>
    <m/>
    <m/>
    <d v="2011-03-08T00:00:00"/>
    <d v="2011-03-08T00:00:00"/>
    <s v="2170-11-0011-1"/>
    <n v="500"/>
    <n v="14070"/>
    <n v="1505.44"/>
    <n v="14076"/>
    <n v="1505.44"/>
    <n v="0"/>
    <n v="0"/>
    <n v="51260"/>
    <n v="0"/>
    <s v="P"/>
    <m/>
    <m/>
    <s v=" "/>
    <s v="STL"/>
    <s v="YES"/>
    <s v="TBD"/>
    <d v="2024-10-09T00:00:00"/>
    <x v="19"/>
    <m/>
    <m/>
    <m/>
    <m/>
    <m/>
    <m/>
    <m/>
    <m/>
    <m/>
    <m/>
    <m/>
  </r>
  <r>
    <n v="2111"/>
    <n v="107182"/>
    <s v="P"/>
    <s v="Capitalized"/>
    <s v="Air Compressor Fittings/Hoses"/>
    <m/>
    <m/>
    <n v="1"/>
    <m/>
    <n v="0"/>
    <s v="Fastenal"/>
    <m/>
    <s v="SHOP EQUIPMENT"/>
    <s v="TBA"/>
    <m/>
    <m/>
    <m/>
    <d v="2011-03-08T00:00:00"/>
    <d v="2011-03-08T00:00:00"/>
    <s v="2170-11-0011-1"/>
    <n v="500"/>
    <n v="14070"/>
    <n v="736.79"/>
    <n v="14076"/>
    <n v="736.79"/>
    <n v="0"/>
    <n v="0"/>
    <n v="51260"/>
    <n v="0"/>
    <s v="P"/>
    <m/>
    <m/>
    <s v=" "/>
    <s v="STL"/>
    <s v="YES"/>
    <s v="TBD"/>
    <d v="2024-10-09T00:00:00"/>
    <x v="19"/>
    <m/>
    <m/>
    <m/>
    <m/>
    <m/>
    <m/>
    <m/>
    <m/>
    <m/>
    <m/>
    <m/>
  </r>
  <r>
    <n v="2111"/>
    <n v="107181"/>
    <s v="P"/>
    <s v="Capitalized"/>
    <s v="(10) Two-Way Radios"/>
    <m/>
    <m/>
    <n v="1"/>
    <m/>
    <n v="0"/>
    <s v="BearCom Group, Inc."/>
    <m/>
    <s v="SHOP EQUIPMENT"/>
    <s v="TBA"/>
    <m/>
    <m/>
    <m/>
    <d v="2010-12-31T00:00:00"/>
    <d v="2010-12-31T00:00:00"/>
    <s v="2170-10-0012-1"/>
    <n v="500"/>
    <n v="14070"/>
    <n v="4645.25"/>
    <n v="14076"/>
    <n v="4645.25"/>
    <n v="0"/>
    <n v="0"/>
    <n v="51260"/>
    <n v="0"/>
    <s v="P"/>
    <m/>
    <m/>
    <s v=" "/>
    <s v="STL"/>
    <s v="YES"/>
    <s v="TBD"/>
    <d v="2024-10-09T00:00:00"/>
    <x v="19"/>
    <m/>
    <m/>
    <m/>
    <m/>
    <m/>
    <m/>
    <m/>
    <m/>
    <m/>
    <m/>
    <m/>
  </r>
  <r>
    <n v="2111"/>
    <n v="107171"/>
    <s v="P"/>
    <s v="Capitalized"/>
    <s v="2001-2004 B&amp;O AUDIT-1999 Dodge Pickup"/>
    <m/>
    <m/>
    <n v="1"/>
    <m/>
    <n v="0"/>
    <m/>
    <m/>
    <s v="TRUCKS AND TRAILERS"/>
    <s v="TBA"/>
    <s v="Non-Rolling Stock"/>
    <m/>
    <m/>
    <d v="2005-06-15T00:00:00"/>
    <d v="2005-06-15T00:00:00"/>
    <m/>
    <n v="300"/>
    <n v="14040"/>
    <n v="1215.48"/>
    <n v="14046"/>
    <n v="1215.48"/>
    <n v="0"/>
    <n v="0"/>
    <n v="51260"/>
    <n v="0"/>
    <s v="P"/>
    <n v="0"/>
    <m/>
    <s v=" "/>
    <s v="STL"/>
    <s v="YES"/>
    <s v="TBD"/>
    <d v="2024-10-09T00:00:00"/>
    <x v="19"/>
    <m/>
    <m/>
    <m/>
    <m/>
    <m/>
    <m/>
    <m/>
    <m/>
    <m/>
    <m/>
    <m/>
  </r>
  <r>
    <n v="2111"/>
    <n v="107169"/>
    <s v="P"/>
    <s v="Capitalized"/>
    <s v="2008 Hyster H50FT ForkLift"/>
    <m/>
    <m/>
    <n v="1"/>
    <s v="L177B23274F"/>
    <n v="2008"/>
    <s v="Pape / Hyster"/>
    <m/>
    <s v="HEAVY EQUIPMENT"/>
    <s v="TBA"/>
    <s v="Forklift"/>
    <m/>
    <m/>
    <d v="2010-01-12T00:00:00"/>
    <d v="2010-01-12T00:00:00"/>
    <s v="2170-10-0009-1"/>
    <n v="800"/>
    <n v="14030"/>
    <n v="25084.35"/>
    <n v="14036"/>
    <n v="25084.35"/>
    <n v="0"/>
    <n v="0"/>
    <n v="51260"/>
    <n v="0"/>
    <s v="P"/>
    <m/>
    <s v="FL11"/>
    <s v=" "/>
    <s v="STL"/>
    <s v="YES"/>
    <s v="TBD"/>
    <d v="2024-10-09T00:00:00"/>
    <x v="19"/>
    <m/>
    <m/>
    <m/>
    <m/>
    <m/>
    <m/>
    <m/>
    <m/>
    <m/>
    <m/>
    <m/>
  </r>
  <r>
    <n v="2111"/>
    <n v="107167"/>
    <n v="57325"/>
    <s v="Capitalized"/>
    <s v="(1) Drive Camera"/>
    <m/>
    <m/>
    <n v="1"/>
    <m/>
    <n v="0"/>
    <s v="DriveCam"/>
    <m/>
    <s v="SHOP EQUIPMENT"/>
    <s v="TBA"/>
    <m/>
    <m/>
    <m/>
    <d v="2008-05-31T00:00:00"/>
    <d v="2008-05-31T00:00:00"/>
    <s v="2111-8-0028-1"/>
    <n v="500"/>
    <n v="14070"/>
    <n v="545.42999999999995"/>
    <n v="14076"/>
    <n v="545.42999999999995"/>
    <n v="0"/>
    <n v="0"/>
    <n v="51260"/>
    <n v="0"/>
    <s v="P"/>
    <m/>
    <m/>
    <s v=" "/>
    <s v="STL"/>
    <s v="YES"/>
    <s v="TBD"/>
    <d v="2024-10-09T00:00:00"/>
    <x v="19"/>
    <m/>
    <m/>
    <m/>
    <m/>
    <m/>
    <m/>
    <m/>
    <m/>
    <m/>
    <m/>
    <m/>
  </r>
  <r>
    <n v="2111"/>
    <n v="107165"/>
    <s v="P"/>
    <s v="Capitalized"/>
    <s v="7.5 HP VERTICAL AIR COMPRESSOR"/>
    <m/>
    <m/>
    <n v="1"/>
    <n v="0"/>
    <n v="0"/>
    <s v="AMB TOOL &amp; EQUIPMENT"/>
    <m/>
    <s v="SHOP EQUIPMENT"/>
    <s v="TBA"/>
    <m/>
    <m/>
    <m/>
    <d v="2006-03-31T00:00:00"/>
    <d v="2006-03-31T00:00:00"/>
    <s v="06-2170-002"/>
    <n v="500"/>
    <n v="14070"/>
    <n v="3088.83"/>
    <n v="14076"/>
    <n v="3088.83"/>
    <n v="0"/>
    <n v="0"/>
    <n v="51260"/>
    <n v="0"/>
    <s v="P"/>
    <m/>
    <m/>
    <s v=" "/>
    <s v="STL"/>
    <s v="YES"/>
    <s v="TBD"/>
    <d v="2024-10-09T00:00:00"/>
    <x v="19"/>
    <m/>
    <m/>
    <m/>
    <m/>
    <m/>
    <m/>
    <m/>
    <m/>
    <m/>
    <m/>
    <m/>
  </r>
  <r>
    <n v="2111"/>
    <n v="107163"/>
    <s v="P"/>
    <s v="Capitalized"/>
    <s v="1996 Drop Deck Trailer (N)"/>
    <m/>
    <m/>
    <n v="1"/>
    <s v="13N24620-0-T1573035"/>
    <n v="1996"/>
    <s v="OTHER"/>
    <s v="Other"/>
    <s v="TRUCKS AND TRAILERS"/>
    <s v="TBA"/>
    <s v="Flatbed Trailer"/>
    <m/>
    <m/>
    <d v="1996-08-21T00:00:00"/>
    <d v="1996-08-21T00:00:00"/>
    <m/>
    <n v="1000"/>
    <n v="14040"/>
    <n v="29045.200000000001"/>
    <n v="14046"/>
    <n v="29045.200000000001"/>
    <n v="0"/>
    <n v="0"/>
    <n v="51260"/>
    <n v="0"/>
    <s v="A"/>
    <s v="Tacoma"/>
    <s v="T-25"/>
    <s v=" "/>
    <s v="STL"/>
    <s v="YES"/>
    <s v="TBD"/>
    <d v="2024-10-09T00:00:00"/>
    <x v="19"/>
    <m/>
    <m/>
    <m/>
    <m/>
    <m/>
    <m/>
    <m/>
    <m/>
    <m/>
    <m/>
    <m/>
  </r>
  <r>
    <n v="2111"/>
    <n v="107162"/>
    <s v="P"/>
    <s v="Capitalized"/>
    <s v="PC w/ Monitor &amp; Printer"/>
    <m/>
    <m/>
    <n v="1"/>
    <s v="S2UB411034B"/>
    <n v="0"/>
    <s v="Quest"/>
    <m/>
    <s v="HARDWARE AND SOFTWARE"/>
    <s v="TBA"/>
    <m/>
    <m/>
    <m/>
    <d v="2004-03-30T00:00:00"/>
    <d v="2004-03-30T00:00:00"/>
    <m/>
    <n v="300"/>
    <n v="14110"/>
    <n v="658.47"/>
    <n v="14116"/>
    <n v="658.47"/>
    <n v="0"/>
    <n v="0"/>
    <n v="70260"/>
    <n v="0"/>
    <s v="P"/>
    <n v="0"/>
    <m/>
    <s v=" "/>
    <s v="STL"/>
    <s v="YES"/>
    <s v="TBD"/>
    <d v="2024-10-09T00:00:00"/>
    <x v="19"/>
    <m/>
    <m/>
    <m/>
    <m/>
    <m/>
    <m/>
    <m/>
    <m/>
    <m/>
    <m/>
    <m/>
  </r>
  <r>
    <n v="2111"/>
    <n v="107161"/>
    <s v="P"/>
    <s v="Capitalized"/>
    <s v="PC w/ Monitor &amp; Printer"/>
    <m/>
    <m/>
    <n v="1"/>
    <s v="S2UB411034B"/>
    <n v="0"/>
    <s v="Quest"/>
    <m/>
    <s v="HARDWARE AND SOFTWARE"/>
    <s v="TBA"/>
    <m/>
    <m/>
    <m/>
    <d v="2004-03-30T00:00:00"/>
    <d v="2004-03-30T00:00:00"/>
    <m/>
    <n v="300"/>
    <n v="14110"/>
    <n v="817"/>
    <n v="14116"/>
    <n v="817"/>
    <n v="0"/>
    <n v="0"/>
    <n v="70260"/>
    <n v="0"/>
    <s v="P"/>
    <n v="0"/>
    <m/>
    <s v=" "/>
    <s v="STL"/>
    <s v="YES"/>
    <s v="TBD"/>
    <d v="2024-10-09T00:00:00"/>
    <x v="19"/>
    <m/>
    <m/>
    <m/>
    <m/>
    <m/>
    <m/>
    <m/>
    <m/>
    <m/>
    <m/>
    <m/>
  </r>
  <r>
    <n v="2111"/>
    <n v="107160"/>
    <s v="P"/>
    <s v="Capitalized"/>
    <s v="Sharp SF-2020 Copier w/RADF Feeder, 10 Bin Sorter, Stand"/>
    <m/>
    <m/>
    <n v="1"/>
    <m/>
    <n v="0"/>
    <s v="Copier Maintenance Tech"/>
    <m/>
    <s v="OFFICE EQUIPMENT"/>
    <s v="TBA"/>
    <m/>
    <m/>
    <m/>
    <d v="2003-04-30T00:00:00"/>
    <d v="2003-04-30T00:00:00"/>
    <m/>
    <n v="300"/>
    <n v="14100"/>
    <n v="2165"/>
    <n v="14106"/>
    <n v="2165"/>
    <n v="0"/>
    <n v="0"/>
    <n v="70260"/>
    <n v="0"/>
    <s v="P"/>
    <m/>
    <m/>
    <s v=" "/>
    <s v="STL"/>
    <s v="YES"/>
    <s v="TBD"/>
    <d v="2024-10-09T00:00:00"/>
    <x v="19"/>
    <m/>
    <m/>
    <m/>
    <m/>
    <m/>
    <m/>
    <m/>
    <m/>
    <m/>
    <m/>
    <m/>
  </r>
  <r>
    <n v="2111"/>
    <n v="107159"/>
    <s v="P"/>
    <s v="Capitalized"/>
    <s v="1995 Magnum Terminal Tractor"/>
    <m/>
    <m/>
    <n v="1"/>
    <s v="T1E4L1C0SC1AA2537"/>
    <n v="1995"/>
    <s v="OTHER"/>
    <s v="Other"/>
    <s v="HEAVY EQUIPMENT"/>
    <s v="TBA"/>
    <s v="Yard Mule"/>
    <m/>
    <m/>
    <d v="2003-04-30T00:00:00"/>
    <d v="2003-04-30T00:00:00"/>
    <s v="03-2170-001"/>
    <n v="700"/>
    <n v="14030"/>
    <n v="24969.599999999999"/>
    <n v="14036"/>
    <n v="24969.599999999999"/>
    <n v="0"/>
    <n v="0"/>
    <n v="51260"/>
    <n v="0"/>
    <s v="P"/>
    <n v="0"/>
    <s v="YG-1"/>
    <s v=" "/>
    <s v="STL"/>
    <s v="YES"/>
    <s v="TBD"/>
    <d v="2024-10-09T00:00:00"/>
    <x v="19"/>
    <m/>
    <m/>
    <m/>
    <m/>
    <m/>
    <m/>
    <m/>
    <m/>
    <m/>
    <m/>
    <m/>
  </r>
  <r>
    <n v="2111"/>
    <n v="107157"/>
    <s v="P"/>
    <s v="Capitalized"/>
    <s v="1 - HP Laserjet 1100XI Printer"/>
    <m/>
    <m/>
    <n v="1"/>
    <s v="SUSGN121644"/>
    <n v="0"/>
    <s v="Insight"/>
    <m/>
    <s v="HARDWARE AND SOFTWARE"/>
    <s v="TBA"/>
    <m/>
    <m/>
    <m/>
    <d v="2000-02-10T00:00:00"/>
    <d v="2000-02-10T00:00:00"/>
    <s v="00-2170-214"/>
    <n v="500"/>
    <n v="14110"/>
    <n v="466.52"/>
    <n v="14116"/>
    <n v="466.52"/>
    <n v="0"/>
    <n v="0"/>
    <n v="70260"/>
    <n v="0"/>
    <s v="P"/>
    <m/>
    <m/>
    <s v=" "/>
    <s v="STL"/>
    <s v="YES"/>
    <s v="TBD"/>
    <d v="2024-10-09T00:00:00"/>
    <x v="19"/>
    <m/>
    <m/>
    <m/>
    <m/>
    <m/>
    <m/>
    <m/>
    <m/>
    <m/>
    <m/>
    <m/>
  </r>
  <r>
    <n v="2111"/>
    <n v="107018"/>
    <n v="107016"/>
    <s v="Capitalized"/>
    <s v="Parts-Trailer 1004 Floor Repair"/>
    <m/>
    <m/>
    <n v="1"/>
    <m/>
    <n v="0"/>
    <m/>
    <m/>
    <s v="TRUCKS AND TRAILERS"/>
    <s v="TBA"/>
    <s v="Non-Rolling Stock"/>
    <m/>
    <m/>
    <d v="2009-03-10T00:00:00"/>
    <d v="2009-03-10T00:00:00"/>
    <s v="4020-9-0033-1"/>
    <n v="300"/>
    <n v="14040"/>
    <n v="13401.78"/>
    <n v="14046"/>
    <n v="13401.78"/>
    <n v="0"/>
    <n v="0"/>
    <n v="51260"/>
    <n v="0"/>
    <s v="P"/>
    <m/>
    <m/>
    <s v=" "/>
    <s v="STL"/>
    <s v="YES"/>
    <s v="TBD"/>
    <d v="2024-10-09T00:00:00"/>
    <x v="19"/>
    <m/>
    <m/>
    <m/>
    <m/>
    <m/>
    <m/>
    <m/>
    <m/>
    <m/>
    <m/>
    <m/>
  </r>
  <r>
    <n v="2111"/>
    <n v="107017"/>
    <n v="107016"/>
    <s v="Capitalized"/>
    <s v="Labor-Walking Floor Repair-Trailer 1004"/>
    <m/>
    <m/>
    <n v="1"/>
    <m/>
    <n v="0"/>
    <m/>
    <m/>
    <s v="TRUCKS AND TRAILERS"/>
    <s v="TBA"/>
    <s v="Non-Rolling Stock"/>
    <m/>
    <m/>
    <d v="2009-03-10T00:00:00"/>
    <d v="2009-03-10T00:00:00"/>
    <s v="4020-9-0033-1"/>
    <n v="300"/>
    <n v="14040"/>
    <n v="7500"/>
    <n v="14046"/>
    <n v="7500"/>
    <n v="0"/>
    <n v="0"/>
    <n v="51260"/>
    <n v="0"/>
    <s v="P"/>
    <m/>
    <m/>
    <s v=" "/>
    <s v="STL"/>
    <s v="YES"/>
    <s v="TBD"/>
    <d v="2024-10-09T00:00:00"/>
    <x v="19"/>
    <m/>
    <m/>
    <m/>
    <m/>
    <m/>
    <m/>
    <m/>
    <m/>
    <m/>
    <m/>
    <m/>
  </r>
  <r>
    <n v="2111"/>
    <n v="107016"/>
    <s v="P"/>
    <s v="Capitalized"/>
    <s v="2003 Roadrunner Trailer"/>
    <m/>
    <m/>
    <n v="1"/>
    <s v="1W91H50253M077962"/>
    <n v="2003"/>
    <s v="Wilkens"/>
    <s v="Other"/>
    <s v="TRUCKS AND TRAILERS"/>
    <s v="TBA"/>
    <s v="Transfer Trailer"/>
    <m/>
    <m/>
    <d v="2003-09-17T00:00:00"/>
    <d v="2003-09-17T00:00:00"/>
    <m/>
    <n v="700"/>
    <n v="14040"/>
    <n v="40000"/>
    <n v="14046"/>
    <n v="40000"/>
    <n v="0"/>
    <n v="0"/>
    <n v="51260"/>
    <n v="0"/>
    <s v="A"/>
    <s v="GreenTeam of San Jose"/>
    <s v="WF-26"/>
    <s v=" "/>
    <s v="STL"/>
    <s v="YES"/>
    <s v="TBD"/>
    <d v="2024-10-09T00:00:00"/>
    <x v="19"/>
    <m/>
    <m/>
    <m/>
    <m/>
    <m/>
    <m/>
    <m/>
    <m/>
    <m/>
    <m/>
    <m/>
  </r>
  <r>
    <n v="2111"/>
    <n v="107015"/>
    <n v="107013"/>
    <s v="Capitalized"/>
    <s v="Walking Floor Repair-Trl 1003-parts"/>
    <m/>
    <m/>
    <n v="1"/>
    <m/>
    <n v="0"/>
    <m/>
    <m/>
    <s v="TRUCKS AND TRAILERS"/>
    <s v="TBA"/>
    <s v="Non-Rolling Stock"/>
    <m/>
    <m/>
    <d v="2009-06-11T00:00:00"/>
    <d v="2009-06-11T00:00:00"/>
    <s v="4020-9-0015-1"/>
    <n v="300"/>
    <n v="14040"/>
    <n v="13520.5"/>
    <n v="14046"/>
    <n v="13520.5"/>
    <n v="0"/>
    <n v="0"/>
    <n v="51260"/>
    <n v="0"/>
    <s v="P"/>
    <m/>
    <m/>
    <s v=" "/>
    <s v="STL"/>
    <s v="YES"/>
    <s v="TBD"/>
    <d v="2024-10-09T00:00:00"/>
    <x v="19"/>
    <m/>
    <m/>
    <m/>
    <m/>
    <m/>
    <m/>
    <m/>
    <m/>
    <m/>
    <m/>
    <m/>
  </r>
  <r>
    <n v="2111"/>
    <n v="107014"/>
    <n v="107013"/>
    <s v="Capitalized"/>
    <s v="Walking Floor Repair-Trl 1003-Labor"/>
    <m/>
    <m/>
    <n v="1"/>
    <m/>
    <n v="0"/>
    <m/>
    <m/>
    <s v="TRUCKS AND TRAILERS"/>
    <s v="TBA"/>
    <s v="Non-Rolling Stock"/>
    <m/>
    <m/>
    <d v="2009-06-11T00:00:00"/>
    <d v="2009-06-11T00:00:00"/>
    <s v="4020-9-0015-1"/>
    <n v="300"/>
    <n v="14040"/>
    <n v="7500"/>
    <n v="14046"/>
    <n v="7500"/>
    <n v="0"/>
    <n v="0"/>
    <n v="51260"/>
    <n v="0"/>
    <s v="P"/>
    <m/>
    <m/>
    <s v=" "/>
    <s v="STL"/>
    <s v="YES"/>
    <s v="TBD"/>
    <d v="2024-10-09T00:00:00"/>
    <x v="19"/>
    <m/>
    <m/>
    <m/>
    <m/>
    <m/>
    <m/>
    <m/>
    <m/>
    <m/>
    <m/>
    <m/>
  </r>
  <r>
    <n v="2111"/>
    <n v="107013"/>
    <s v="P"/>
    <s v="Capitalized"/>
    <s v="2003 Roadrunner Trailer"/>
    <m/>
    <m/>
    <n v="1"/>
    <s v="1W91H50253M077961"/>
    <n v="2003"/>
    <s v="Wilkens"/>
    <s v="Other"/>
    <s v="TRUCKS AND TRAILERS"/>
    <s v="TBA"/>
    <s v="Transfer Trailer"/>
    <m/>
    <m/>
    <d v="2003-09-17T00:00:00"/>
    <d v="2003-09-17T00:00:00"/>
    <m/>
    <n v="700"/>
    <n v="14040"/>
    <n v="40000"/>
    <n v="14046"/>
    <n v="40000"/>
    <n v="0"/>
    <n v="0"/>
    <n v="51260"/>
    <n v="0"/>
    <s v="A"/>
    <s v="GreenTeam of San Jose"/>
    <s v="WF-25"/>
    <s v=" "/>
    <s v="STL"/>
    <s v="YES"/>
    <s v="TBD"/>
    <d v="2024-10-09T00:00:00"/>
    <x v="19"/>
    <m/>
    <m/>
    <m/>
    <m/>
    <m/>
    <m/>
    <m/>
    <m/>
    <m/>
    <m/>
    <m/>
  </r>
  <r>
    <n v="2111"/>
    <n v="107012"/>
    <n v="107009"/>
    <s v="Capitalized"/>
    <s v="Replace trailer #1001 walking floor (parts)"/>
    <m/>
    <m/>
    <n v="1"/>
    <m/>
    <n v="0"/>
    <s v="Wilkens Industries, Inc"/>
    <m/>
    <s v="TRUCKS AND TRAILERS"/>
    <s v="TBA"/>
    <s v="Non-Rolling Stock"/>
    <m/>
    <m/>
    <d v="2010-12-20T00:00:00"/>
    <d v="2010-12-20T00:00:00"/>
    <s v="4020-10-0039-1"/>
    <n v="300"/>
    <n v="14040"/>
    <n v="13314.76"/>
    <n v="14046"/>
    <n v="13314.76"/>
    <n v="0"/>
    <n v="0"/>
    <n v="51260"/>
    <n v="0"/>
    <s v="P"/>
    <m/>
    <m/>
    <s v=" "/>
    <s v="STL"/>
    <s v="YES"/>
    <s v="TBD"/>
    <d v="2024-10-09T00:00:00"/>
    <x v="19"/>
    <m/>
    <m/>
    <m/>
    <m/>
    <m/>
    <m/>
    <m/>
    <m/>
    <m/>
    <m/>
    <m/>
  </r>
  <r>
    <n v="2111"/>
    <n v="107011"/>
    <n v="107009"/>
    <s v="Capitalized"/>
    <s v="Replace trailer #1001 walking floor (Labor)"/>
    <m/>
    <m/>
    <n v="1"/>
    <m/>
    <n v="0"/>
    <s v="3 J Repair"/>
    <m/>
    <s v="TRUCKS AND TRAILERS"/>
    <s v="TBA"/>
    <s v="Non-Rolling Stock"/>
    <m/>
    <m/>
    <d v="2010-12-20T00:00:00"/>
    <d v="2010-12-20T00:00:00"/>
    <s v="4020-10-0039-1"/>
    <n v="300"/>
    <n v="14040"/>
    <n v="7500"/>
    <n v="14046"/>
    <n v="7500"/>
    <n v="0"/>
    <n v="0"/>
    <n v="51260"/>
    <n v="0"/>
    <s v="P"/>
    <m/>
    <m/>
    <s v=" "/>
    <s v="STL"/>
    <s v="YES"/>
    <s v="TBD"/>
    <d v="2024-10-09T00:00:00"/>
    <x v="19"/>
    <m/>
    <m/>
    <m/>
    <m/>
    <m/>
    <m/>
    <m/>
    <m/>
    <m/>
    <m/>
    <m/>
  </r>
  <r>
    <n v="2111"/>
    <n v="107010"/>
    <n v="107009"/>
    <s v="Capitalized"/>
    <s v="Replace Sub-Floor for Transfer Trailer 1001"/>
    <m/>
    <m/>
    <n v="1"/>
    <m/>
    <n v="0"/>
    <s v="3 J Repair"/>
    <m/>
    <s v="TRUCKS AND TRAILERS"/>
    <s v="TBA"/>
    <s v="Non-Rolling Stock"/>
    <m/>
    <m/>
    <d v="2011-01-31T00:00:00"/>
    <d v="2011-01-31T00:00:00"/>
    <s v="4020-11-0012-1"/>
    <n v="300"/>
    <n v="14040"/>
    <n v="13289.72"/>
    <n v="14046"/>
    <n v="13289.72"/>
    <n v="0"/>
    <n v="0"/>
    <n v="51260"/>
    <n v="0"/>
    <s v="P"/>
    <m/>
    <m/>
    <s v=" "/>
    <s v="STL"/>
    <s v="YES"/>
    <s v="TBD"/>
    <d v="2024-10-09T00:00:00"/>
    <x v="19"/>
    <m/>
    <m/>
    <m/>
    <m/>
    <m/>
    <m/>
    <m/>
    <m/>
    <m/>
    <m/>
    <m/>
  </r>
  <r>
    <n v="2111"/>
    <n v="107009"/>
    <s v="P"/>
    <s v="Capitalized"/>
    <s v="2003 Roadrunner Trailer"/>
    <m/>
    <m/>
    <n v="1"/>
    <s v="1W91H50223M077934"/>
    <n v="2003"/>
    <s v="Wilkens"/>
    <s v="Other"/>
    <s v="TRUCKS AND TRAILERS"/>
    <s v="TBA"/>
    <s v="Transfer Trailer"/>
    <m/>
    <m/>
    <d v="2003-09-17T00:00:00"/>
    <d v="2003-09-17T00:00:00"/>
    <m/>
    <n v="700"/>
    <n v="14040"/>
    <n v="40000"/>
    <n v="14046"/>
    <n v="40000"/>
    <n v="0"/>
    <n v="0"/>
    <n v="51260"/>
    <n v="0"/>
    <s v="A"/>
    <s v="GreenTeam of San Jose"/>
    <s v="WF-23"/>
    <s v=" "/>
    <s v="STL"/>
    <s v="YES"/>
    <s v="TBD"/>
    <d v="2024-10-09T00:00:00"/>
    <x v="19"/>
    <m/>
    <m/>
    <m/>
    <m/>
    <m/>
    <m/>
    <m/>
    <m/>
    <m/>
    <m/>
    <m/>
  </r>
  <r>
    <n v="2111"/>
    <n v="107008"/>
    <s v="P"/>
    <s v="Capitalized"/>
    <s v="2003 Roadrunner Trailer"/>
    <m/>
    <m/>
    <n v="1"/>
    <s v="1W91H50223M077948"/>
    <n v="2003"/>
    <s v="Wilkens"/>
    <s v="Other"/>
    <s v="TRUCKS AND TRAILERS"/>
    <s v="TBA"/>
    <s v="Transfer Trailer"/>
    <m/>
    <m/>
    <d v="2003-09-17T00:00:00"/>
    <d v="2003-09-17T00:00:00"/>
    <m/>
    <n v="700"/>
    <n v="14040"/>
    <n v="40000"/>
    <n v="14046"/>
    <n v="40000"/>
    <n v="0"/>
    <n v="0"/>
    <n v="51260"/>
    <n v="0"/>
    <s v="A"/>
    <s v="GreenTeam of San Jose"/>
    <s v="WF-24"/>
    <s v=" "/>
    <s v="STL"/>
    <s v="YES"/>
    <s v="TBD"/>
    <d v="2024-10-09T00:00:00"/>
    <x v="19"/>
    <m/>
    <m/>
    <m/>
    <m/>
    <m/>
    <m/>
    <m/>
    <m/>
    <m/>
    <m/>
    <m/>
  </r>
  <r>
    <n v="2111"/>
    <n v="106797"/>
    <s v="P"/>
    <s v="Capitalized"/>
    <s v="2013 53 ft. Quad Axle Container Chassis"/>
    <m/>
    <m/>
    <n v="1"/>
    <s v="1H9CC53453T347153"/>
    <n v="2013"/>
    <s v="Helm"/>
    <s v="Helm"/>
    <s v="TRUCKS AND TRAILERS"/>
    <s v="TBA"/>
    <s v="Container Chassis"/>
    <m/>
    <m/>
    <d v="2013-08-20T00:00:00"/>
    <d v="2013-08-20T00:00:00"/>
    <s v="2111-13-0017-1"/>
    <n v="600"/>
    <n v="14040"/>
    <n v="39274.82"/>
    <n v="14046"/>
    <n v="39274.82"/>
    <n v="0"/>
    <n v="0"/>
    <n v="51260"/>
    <n v="0"/>
    <s v="P"/>
    <n v="0"/>
    <s v="LEX-21"/>
    <s v=" "/>
    <s v="STL"/>
    <s v="YES"/>
    <s v="TBD"/>
    <d v="2024-10-09T00:00:00"/>
    <x v="19"/>
    <m/>
    <m/>
    <m/>
    <m/>
    <m/>
    <m/>
    <m/>
    <m/>
    <m/>
    <m/>
    <m/>
  </r>
  <r>
    <n v="2111"/>
    <n v="106743"/>
    <s v="P"/>
    <s v="Capitalized"/>
    <s v="53 ft. Quad Axle Container Chassis"/>
    <m/>
    <m/>
    <n v="1"/>
    <s v="1H9CC53413T347151"/>
    <n v="2013"/>
    <s v="Helm"/>
    <s v="Helm"/>
    <s v="TRUCKS AND TRAILERS"/>
    <s v="TBA"/>
    <s v="Container Chassis"/>
    <m/>
    <m/>
    <d v="2013-08-20T00:00:00"/>
    <d v="2013-08-20T00:00:00"/>
    <s v="2111-13-0015-1"/>
    <n v="700"/>
    <n v="14040"/>
    <n v="39274.82"/>
    <n v="14046"/>
    <n v="39274.82"/>
    <n v="0"/>
    <n v="0"/>
    <n v="51260"/>
    <n v="0"/>
    <s v="P"/>
    <n v="0"/>
    <s v="LEX-19"/>
    <s v=" "/>
    <s v="STL"/>
    <s v="YES"/>
    <s v="TBD"/>
    <d v="2024-10-09T00:00:00"/>
    <x v="19"/>
    <m/>
    <m/>
    <m/>
    <m/>
    <m/>
    <m/>
    <m/>
    <m/>
    <m/>
    <m/>
    <m/>
  </r>
  <r>
    <n v="2111"/>
    <n v="105992"/>
    <s v="P"/>
    <s v="Capitalized"/>
    <s v="96 Gallon Yard Waste Carts"/>
    <m/>
    <m/>
    <n v="486"/>
    <m/>
    <n v="0"/>
    <s v="REHRIG PACIFIC COMPANY"/>
    <m/>
    <s v="CONTAINERS"/>
    <s v="TBA"/>
    <m/>
    <m/>
    <m/>
    <d v="2013-07-28T00:00:00"/>
    <d v="2013-07-28T00:00:00"/>
    <s v="2111-13-0007-1"/>
    <n v="700"/>
    <n v="14050"/>
    <n v="26316.799999999999"/>
    <n v="14056"/>
    <n v="26316.799999999999"/>
    <n v="0"/>
    <n v="0"/>
    <n v="54260"/>
    <n v="0"/>
    <s v="P"/>
    <m/>
    <m/>
    <s v=" "/>
    <s v="STL"/>
    <s v="YES"/>
    <s v="TBD"/>
    <d v="2024-10-09T00:00:00"/>
    <x v="19"/>
    <m/>
    <m/>
    <m/>
    <m/>
    <m/>
    <m/>
    <m/>
    <m/>
    <m/>
    <m/>
    <m/>
  </r>
  <r>
    <n v="2111"/>
    <n v="105140"/>
    <s v="P"/>
    <s v="Capitalized"/>
    <s v="HP Probook 6470b (SN = CNU3159239) and Docking Station (SN = CNU309Z6N5)"/>
    <m/>
    <m/>
    <n v="1"/>
    <m/>
    <n v="0"/>
    <s v="CDW"/>
    <m/>
    <s v="HARDWARE AND SOFTWARE"/>
    <s v="TBA"/>
    <m/>
    <m/>
    <m/>
    <d v="2013-06-05T00:00:00"/>
    <d v="2013-06-05T00:00:00"/>
    <s v="2111-13-0014-1"/>
    <n v="300"/>
    <n v="14110"/>
    <n v="1020.44"/>
    <n v="14116"/>
    <n v="1020.44"/>
    <n v="0"/>
    <n v="0"/>
    <n v="70260"/>
    <n v="0"/>
    <s v="P"/>
    <m/>
    <m/>
    <s v=" "/>
    <s v="STL"/>
    <s v="YES"/>
    <s v="TBD"/>
    <d v="2024-10-09T00:00:00"/>
    <x v="19"/>
    <m/>
    <m/>
    <m/>
    <m/>
    <m/>
    <m/>
    <m/>
    <m/>
    <m/>
    <m/>
    <m/>
  </r>
  <r>
    <n v="2111"/>
    <n v="104634"/>
    <s v="P"/>
    <s v="Capitalized"/>
    <s v="95 Gal Carts"/>
    <m/>
    <m/>
    <n v="486"/>
    <m/>
    <n v="0"/>
    <s v="REHRIG PACIFIC COMPANY"/>
    <m/>
    <s v="CONTAINERS"/>
    <s v="TBA"/>
    <m/>
    <m/>
    <m/>
    <d v="2013-06-08T00:00:00"/>
    <d v="2013-06-08T00:00:00"/>
    <s v="2111-13-0006-1"/>
    <n v="700"/>
    <n v="14050"/>
    <n v="26316.799999999999"/>
    <n v="14056"/>
    <n v="26316.799999999999"/>
    <n v="0"/>
    <n v="0"/>
    <n v="54260"/>
    <n v="0"/>
    <s v="P"/>
    <m/>
    <m/>
    <s v=" "/>
    <s v="STL"/>
    <s v="YES"/>
    <s v="TBD"/>
    <d v="2024-10-09T00:00:00"/>
    <x v="19"/>
    <m/>
    <m/>
    <m/>
    <m/>
    <m/>
    <m/>
    <m/>
    <m/>
    <m/>
    <m/>
    <m/>
  </r>
  <r>
    <n v="2111"/>
    <n v="104623"/>
    <n v="102175"/>
    <s v="Capitalized"/>
    <s v="Cap Repair Transmission ReplacementTruck #154"/>
    <m/>
    <m/>
    <n v="1"/>
    <m/>
    <n v="0"/>
    <s v="PACIFIC POWER PRODUCTS"/>
    <m/>
    <s v="TRUCKS AND TRAILERS"/>
    <s v="TBA"/>
    <s v="Non-Rolling Stock"/>
    <m/>
    <m/>
    <d v="2013-03-29T00:00:00"/>
    <d v="2013-03-29T00:00:00"/>
    <s v="2140-13-0005-1"/>
    <n v="300"/>
    <n v="14040"/>
    <n v="10181.32"/>
    <n v="14046"/>
    <n v="10181.32"/>
    <n v="0"/>
    <n v="0"/>
    <n v="51260"/>
    <n v="0"/>
    <s v="P"/>
    <m/>
    <m/>
    <s v=" "/>
    <s v="STL"/>
    <s v="YES"/>
    <s v="TBD"/>
    <d v="2024-10-09T00:00:00"/>
    <x v="19"/>
    <m/>
    <m/>
    <m/>
    <m/>
    <m/>
    <m/>
    <m/>
    <m/>
    <m/>
    <m/>
    <m/>
  </r>
  <r>
    <n v="2111"/>
    <n v="103580"/>
    <s v="P"/>
    <s v="Capitalized"/>
    <s v="4-YD FEL WASTE Containers"/>
    <m/>
    <m/>
    <n v="10"/>
    <m/>
    <n v="0"/>
    <s v="CAPITAL INDUSTRIES, INC."/>
    <m/>
    <s v="CONTAINERS"/>
    <s v="TBA"/>
    <m/>
    <s v="4 YD"/>
    <s v="FEL/REL/SL Metal"/>
    <d v="2013-04-01T00:00:00"/>
    <d v="2013-04-01T00:00:00"/>
    <s v="2111-13-0008-1"/>
    <n v="1200"/>
    <n v="14050"/>
    <n v="6782.8"/>
    <n v="14056"/>
    <n v="6500.13"/>
    <n v="282.67000000000007"/>
    <n v="423.9"/>
    <n v="54260"/>
    <n v="47.1"/>
    <s v="P"/>
    <m/>
    <m/>
    <s v=" "/>
    <s v="STL"/>
    <s v="YES"/>
    <s v="TBD"/>
    <d v="2024-10-09T00:00:00"/>
    <x v="19"/>
    <m/>
    <m/>
    <m/>
    <m/>
    <m/>
    <m/>
    <m/>
    <m/>
    <m/>
    <m/>
    <m/>
  </r>
  <r>
    <n v="2111"/>
    <n v="103336"/>
    <s v="P"/>
    <s v="Capitalized"/>
    <s v="6YD containers"/>
    <m/>
    <m/>
    <n v="6"/>
    <m/>
    <n v="0"/>
    <s v="CAPITAL INDUSTRIES, INC."/>
    <m/>
    <s v="CONTAINERS"/>
    <s v="TBA"/>
    <m/>
    <s v="6 YD"/>
    <s v="FEL/REL/SL Metal"/>
    <d v="2013-03-31T00:00:00"/>
    <d v="2013-03-31T00:00:00"/>
    <s v="2111-13-0008-1"/>
    <n v="1200"/>
    <n v="14050"/>
    <n v="5218.38"/>
    <n v="14056"/>
    <n v="5001.01"/>
    <n v="217.36999999999989"/>
    <n v="326.16000000000003"/>
    <n v="54260"/>
    <n v="36.24"/>
    <s v="P"/>
    <m/>
    <m/>
    <s v=" "/>
    <s v="STL"/>
    <s v="YES"/>
    <s v="TBD"/>
    <d v="2024-10-09T00:00:00"/>
    <x v="19"/>
    <m/>
    <m/>
    <m/>
    <m/>
    <m/>
    <m/>
    <m/>
    <m/>
    <m/>
    <m/>
    <m/>
  </r>
  <r>
    <n v="2111"/>
    <n v="103335"/>
    <s v="P"/>
    <s v="Capitalized"/>
    <s v="6YD Containers"/>
    <m/>
    <m/>
    <n v="11"/>
    <m/>
    <n v="0"/>
    <s v="CAPITAL INDUSTRIES, INC."/>
    <m/>
    <s v="CONTAINERS"/>
    <s v="TBA"/>
    <m/>
    <s v="6 YD"/>
    <s v="FEL/REL/SL Metal"/>
    <d v="2013-03-31T00:00:00"/>
    <d v="2013-03-31T00:00:00"/>
    <s v="2111-13-0008-1"/>
    <n v="1200"/>
    <n v="14050"/>
    <n v="9567.0300000000007"/>
    <n v="14056"/>
    <n v="9168.4"/>
    <n v="398.63000000000102"/>
    <n v="597.96"/>
    <n v="54260"/>
    <n v="66.44"/>
    <s v="P"/>
    <m/>
    <m/>
    <s v=" "/>
    <s v="STL"/>
    <s v="YES"/>
    <s v="TBD"/>
    <d v="2024-10-09T00:00:00"/>
    <x v="19"/>
    <m/>
    <m/>
    <m/>
    <m/>
    <m/>
    <m/>
    <m/>
    <m/>
    <m/>
    <m/>
    <m/>
  </r>
  <r>
    <n v="2111"/>
    <n v="103334"/>
    <s v="P"/>
    <s v="Capitalized"/>
    <s v="6YD Containers Murray"/>
    <m/>
    <m/>
    <n v="8"/>
    <m/>
    <n v="0"/>
    <s v="CAPITAL INDUSTRIES, INC."/>
    <m/>
    <s v="CONTAINERS"/>
    <s v="TBA"/>
    <m/>
    <s v="6 YD"/>
    <s v="FEL/REL/SL Metal"/>
    <d v="2013-03-31T00:00:00"/>
    <d v="2013-03-31T00:00:00"/>
    <s v="2111-13-0008-1"/>
    <n v="1200"/>
    <n v="14050"/>
    <n v="6957.84"/>
    <n v="14056"/>
    <n v="6667.95"/>
    <n v="289.89000000000033"/>
    <n v="434.88"/>
    <n v="54260"/>
    <n v="48.32"/>
    <s v="P"/>
    <m/>
    <m/>
    <s v=" "/>
    <s v="STL"/>
    <s v="YES"/>
    <s v="TBD"/>
    <d v="2024-10-09T00:00:00"/>
    <x v="19"/>
    <m/>
    <m/>
    <m/>
    <m/>
    <m/>
    <m/>
    <m/>
    <m/>
    <m/>
    <m/>
    <m/>
  </r>
  <r>
    <n v="2111"/>
    <n v="103267"/>
    <s v="P"/>
    <s v="Capitalized"/>
    <s v="1.5 RL NO LIFTBAR MURRAY WC"/>
    <m/>
    <m/>
    <n v="10"/>
    <m/>
    <n v="0"/>
    <s v="CAPITAL INDUSTRIES, INC."/>
    <m/>
    <s v="CONTAINERS"/>
    <s v="TBA"/>
    <m/>
    <s v="1.5 YD"/>
    <s v="FEL/REL/SL Metal"/>
    <d v="2013-03-31T00:00:00"/>
    <d v="2013-03-31T00:00:00"/>
    <s v="2111-13-0008-1"/>
    <n v="1200"/>
    <n v="14050"/>
    <n v="4649.5"/>
    <n v="14056"/>
    <n v="4455.8"/>
    <n v="193.69999999999982"/>
    <n v="290.61"/>
    <n v="54260"/>
    <n v="32.29"/>
    <s v="P"/>
    <m/>
    <m/>
    <s v=" "/>
    <s v="STL"/>
    <s v="YES"/>
    <s v="TBD"/>
    <d v="2024-10-09T00:00:00"/>
    <x v="19"/>
    <m/>
    <m/>
    <m/>
    <m/>
    <m/>
    <m/>
    <m/>
    <m/>
    <m/>
    <m/>
    <m/>
  </r>
  <r>
    <n v="2111"/>
    <n v="102964"/>
    <s v="P"/>
    <s v="Capitalized"/>
    <s v="2 yd containers"/>
    <m/>
    <m/>
    <n v="20"/>
    <m/>
    <n v="0"/>
    <s v="CAPITAL INDUSTRIES, INC."/>
    <m/>
    <s v="CONTAINERS"/>
    <s v="TBA"/>
    <m/>
    <s v="2 YD"/>
    <s v="FEL/REL/SL Metal"/>
    <d v="2013-03-01T00:00:00"/>
    <d v="2013-03-01T00:00:00"/>
    <s v="2111-13-0008-1"/>
    <n v="1200"/>
    <n v="14050"/>
    <n v="11815.2"/>
    <n v="14056"/>
    <n v="11404.95"/>
    <n v="410.25"/>
    <n v="738.45"/>
    <n v="54260"/>
    <n v="82.05"/>
    <s v="P"/>
    <m/>
    <m/>
    <s v=" "/>
    <s v="STL"/>
    <s v="YES"/>
    <s v="TBD"/>
    <d v="2024-10-09T00:00:00"/>
    <x v="19"/>
    <m/>
    <m/>
    <m/>
    <m/>
    <m/>
    <m/>
    <m/>
    <m/>
    <m/>
    <m/>
    <m/>
  </r>
  <r>
    <n v="2111"/>
    <n v="102874"/>
    <s v="P"/>
    <s v="Capitalized"/>
    <s v="Used 15,500 LB Forklift"/>
    <m/>
    <m/>
    <n v="1"/>
    <s v="G006V04249D"/>
    <n v="2006"/>
    <m/>
    <s v="HYSTER"/>
    <s v="HEAVY EQUIPMENT"/>
    <s v="TBA"/>
    <s v="Forklift"/>
    <m/>
    <m/>
    <d v="2013-03-29T00:00:00"/>
    <d v="2013-03-29T00:00:00"/>
    <s v="2111-13-0013-1"/>
    <n v="300"/>
    <n v="14030"/>
    <n v="34953.300000000003"/>
    <n v="14036"/>
    <n v="34953.300000000003"/>
    <n v="0"/>
    <n v="0"/>
    <n v="51260"/>
    <n v="0"/>
    <s v="P"/>
    <m/>
    <s v="2C"/>
    <s v=" "/>
    <s v="STL"/>
    <s v="YES"/>
    <s v="TBD"/>
    <d v="2024-10-09T00:00:00"/>
    <x v="19"/>
    <m/>
    <m/>
    <m/>
    <m/>
    <m/>
    <m/>
    <m/>
    <m/>
    <m/>
    <m/>
    <m/>
  </r>
  <r>
    <n v="2111"/>
    <n v="102854"/>
    <s v="P"/>
    <s v="Capitalized"/>
    <s v="2yd containers"/>
    <m/>
    <m/>
    <n v="5"/>
    <m/>
    <n v="0"/>
    <s v="CAPITAL INDUSTRIES, INC."/>
    <m/>
    <s v="CONTAINERS"/>
    <s v="TBA"/>
    <m/>
    <s v="2 YD"/>
    <s v="FEL/REL/SL Metal"/>
    <d v="2013-03-08T00:00:00"/>
    <d v="2013-03-08T00:00:00"/>
    <s v="2111-13-0008-1"/>
    <n v="1200"/>
    <n v="14050"/>
    <n v="2953.8"/>
    <n v="14056"/>
    <n v="2851.22"/>
    <n v="102.58000000000038"/>
    <n v="184.59"/>
    <n v="54260"/>
    <n v="20.51"/>
    <s v="P"/>
    <m/>
    <m/>
    <s v=" "/>
    <s v="STL"/>
    <s v="YES"/>
    <s v="TBD"/>
    <d v="2024-10-09T00:00:00"/>
    <x v="19"/>
    <m/>
    <m/>
    <m/>
    <m/>
    <m/>
    <m/>
    <m/>
    <m/>
    <m/>
    <m/>
    <m/>
  </r>
  <r>
    <n v="2111"/>
    <n v="102853"/>
    <s v="P"/>
    <s v="Capitalized"/>
    <s v="1yd containers"/>
    <m/>
    <m/>
    <n v="20"/>
    <m/>
    <n v="0"/>
    <s v="CAPITAL INDUSTRIES, INC."/>
    <m/>
    <s v="CONTAINERS"/>
    <s v="TBA"/>
    <m/>
    <s v="1 YD"/>
    <s v="FEL/REL/SL Metal"/>
    <d v="2013-03-08T00:00:00"/>
    <d v="2013-03-08T00:00:00"/>
    <s v="2111-13-0008-1"/>
    <n v="1200"/>
    <n v="14050"/>
    <n v="9189.6"/>
    <n v="14056"/>
    <n v="8870.5499999999993"/>
    <n v="319.05000000000109"/>
    <n v="574.38"/>
    <n v="54260"/>
    <n v="63.82"/>
    <s v="P"/>
    <m/>
    <m/>
    <s v=" "/>
    <s v="STL"/>
    <s v="YES"/>
    <s v="TBD"/>
    <d v="2024-10-09T00:00:00"/>
    <x v="19"/>
    <m/>
    <m/>
    <m/>
    <m/>
    <m/>
    <m/>
    <m/>
    <m/>
    <m/>
    <m/>
    <m/>
  </r>
  <r>
    <n v="2111"/>
    <n v="102361"/>
    <n v="102350"/>
    <s v="Capitalized"/>
    <s v="Misc. Repairs/Additions to 2000 Freightliner Tract"/>
    <m/>
    <m/>
    <n v="1"/>
    <s v="1FUPCXYB4YPB09094"/>
    <n v="2000"/>
    <m/>
    <m/>
    <s v="TRUCKS AND TRAILERS"/>
    <s v="TBA"/>
    <s v="Non-Rolling Stock"/>
    <m/>
    <m/>
    <d v="2004-03-03T00:00:00"/>
    <d v="2004-03-03T00:00:00"/>
    <n v="42040018"/>
    <n v="500"/>
    <n v="14040"/>
    <n v="189"/>
    <n v="14046"/>
    <n v="189"/>
    <n v="0"/>
    <n v="0"/>
    <n v="51260"/>
    <n v="0"/>
    <s v="A"/>
    <n v="0"/>
    <n v="61"/>
    <s v=" "/>
    <s v="STL"/>
    <s v="YES"/>
    <s v="TBD"/>
    <d v="2024-10-09T00:00:00"/>
    <x v="19"/>
    <m/>
    <m/>
    <m/>
    <m/>
    <m/>
    <m/>
    <m/>
    <m/>
    <m/>
    <m/>
    <m/>
  </r>
  <r>
    <n v="2111"/>
    <n v="102360"/>
    <n v="102350"/>
    <s v="Capitalized"/>
    <s v="Misc. Repairs/Additions to 2000 Freightliner Tract"/>
    <m/>
    <m/>
    <n v="1"/>
    <s v="1FUPCXYB4YPB09094"/>
    <n v="2000"/>
    <m/>
    <m/>
    <s v="TRUCKS AND TRAILERS"/>
    <s v="TBA"/>
    <s v="Non-Rolling Stock"/>
    <m/>
    <m/>
    <d v="2004-02-16T00:00:00"/>
    <d v="2004-02-16T00:00:00"/>
    <n v="42040018"/>
    <n v="500"/>
    <n v="14040"/>
    <n v="212.48"/>
    <n v="14046"/>
    <n v="212.48"/>
    <n v="0"/>
    <n v="0"/>
    <n v="51260"/>
    <n v="0"/>
    <s v="A"/>
    <n v="0"/>
    <n v="61"/>
    <s v=" "/>
    <s v="STL"/>
    <s v="YES"/>
    <s v="TBD"/>
    <d v="2024-10-09T00:00:00"/>
    <x v="19"/>
    <m/>
    <m/>
    <m/>
    <m/>
    <m/>
    <m/>
    <m/>
    <m/>
    <m/>
    <m/>
    <m/>
  </r>
  <r>
    <n v="2111"/>
    <n v="102359"/>
    <n v="102350"/>
    <s v="Capitalized"/>
    <s v="Misc. Repairs/Additions to 2000 Freightliner Tract"/>
    <m/>
    <m/>
    <n v="1"/>
    <s v="1FUPCXYB4YPB09094"/>
    <n v="2000"/>
    <m/>
    <m/>
    <s v="TRUCKS AND TRAILERS"/>
    <s v="TBA"/>
    <s v="Non-Rolling Stock"/>
    <m/>
    <m/>
    <d v="2004-02-12T00:00:00"/>
    <d v="2004-02-12T00:00:00"/>
    <n v="42040018"/>
    <n v="500"/>
    <n v="14040"/>
    <n v="279.02"/>
    <n v="14046"/>
    <n v="279.02"/>
    <n v="0"/>
    <n v="0"/>
    <n v="51260"/>
    <n v="0"/>
    <s v="A"/>
    <n v="0"/>
    <n v="61"/>
    <s v=" "/>
    <s v="STL"/>
    <s v="YES"/>
    <s v="TBD"/>
    <d v="2024-10-09T00:00:00"/>
    <x v="19"/>
    <m/>
    <m/>
    <m/>
    <m/>
    <m/>
    <m/>
    <m/>
    <m/>
    <m/>
    <m/>
    <m/>
  </r>
  <r>
    <n v="2111"/>
    <n v="102358"/>
    <n v="102350"/>
    <s v="Capitalized"/>
    <s v="Misc. Repairs/Additions to 2000 Freightliner Tract"/>
    <m/>
    <m/>
    <n v="1"/>
    <s v="1FUPCXYB4YPB09094"/>
    <n v="2000"/>
    <m/>
    <m/>
    <s v="TRUCKS AND TRAILERS"/>
    <s v="TBA"/>
    <s v="Non-Rolling Stock"/>
    <m/>
    <m/>
    <d v="2004-03-05T00:00:00"/>
    <d v="2004-03-05T00:00:00"/>
    <n v="42040018"/>
    <n v="500"/>
    <n v="14040"/>
    <n v="2328.44"/>
    <n v="14046"/>
    <n v="2328.44"/>
    <n v="0"/>
    <n v="0"/>
    <n v="51260"/>
    <n v="0"/>
    <s v="A"/>
    <n v="0"/>
    <n v="61"/>
    <s v=" "/>
    <s v="STL"/>
    <s v="YES"/>
    <s v="TBD"/>
    <d v="2024-10-09T00:00:00"/>
    <x v="19"/>
    <m/>
    <m/>
    <m/>
    <m/>
    <m/>
    <m/>
    <m/>
    <m/>
    <m/>
    <m/>
    <m/>
  </r>
  <r>
    <n v="2111"/>
    <n v="102357"/>
    <n v="102350"/>
    <s v="Capitalized"/>
    <s v="Misc. Repairs/Additions to 2000 Freightliner Tract"/>
    <m/>
    <m/>
    <n v="1"/>
    <s v="1FUPCXYB4YPB09094"/>
    <n v="2000"/>
    <m/>
    <m/>
    <s v="TRUCKS AND TRAILERS"/>
    <s v="TBA"/>
    <s v="Non-Rolling Stock"/>
    <m/>
    <m/>
    <d v="2004-02-16T00:00:00"/>
    <d v="2004-02-16T00:00:00"/>
    <n v="42040018"/>
    <n v="500"/>
    <n v="14040"/>
    <n v="401.69"/>
    <n v="14046"/>
    <n v="401.69"/>
    <n v="0"/>
    <n v="0"/>
    <n v="51260"/>
    <n v="0"/>
    <s v="A"/>
    <n v="0"/>
    <n v="61"/>
    <s v=" "/>
    <s v="STL"/>
    <s v="YES"/>
    <s v="TBD"/>
    <d v="2024-10-09T00:00:00"/>
    <x v="19"/>
    <m/>
    <m/>
    <m/>
    <m/>
    <m/>
    <m/>
    <m/>
    <m/>
    <m/>
    <m/>
    <m/>
  </r>
  <r>
    <n v="2111"/>
    <n v="102356"/>
    <n v="102350"/>
    <s v="Capitalized"/>
    <s v="Misc. Repairs/Additions to 2000 Freightliner Tract"/>
    <m/>
    <m/>
    <n v="1"/>
    <s v="1FUPCXYB4YPB09094"/>
    <n v="2000"/>
    <m/>
    <m/>
    <s v="TRUCKS AND TRAILERS"/>
    <s v="TBA"/>
    <s v="Non-Rolling Stock"/>
    <m/>
    <m/>
    <d v="2004-03-03T00:00:00"/>
    <d v="2004-03-03T00:00:00"/>
    <n v="42040018"/>
    <n v="500"/>
    <n v="14040"/>
    <n v="190"/>
    <n v="14046"/>
    <n v="190"/>
    <n v="0"/>
    <n v="0"/>
    <n v="51260"/>
    <n v="0"/>
    <s v="A"/>
    <n v="0"/>
    <n v="61"/>
    <s v=" "/>
    <s v="STL"/>
    <s v="YES"/>
    <s v="TBD"/>
    <d v="2024-10-09T00:00:00"/>
    <x v="19"/>
    <m/>
    <m/>
    <m/>
    <m/>
    <m/>
    <m/>
    <m/>
    <m/>
    <m/>
    <m/>
    <m/>
  </r>
  <r>
    <n v="2111"/>
    <n v="102355"/>
    <n v="102350"/>
    <s v="Capitalized"/>
    <s v="Misc. Repairs/Additions to 2000 Freightliner Tract"/>
    <m/>
    <m/>
    <n v="1"/>
    <s v="1FUPCXYB4YPB09094"/>
    <n v="2000"/>
    <m/>
    <m/>
    <s v="TRUCKS AND TRAILERS"/>
    <s v="TBA"/>
    <s v="Non-Rolling Stock"/>
    <m/>
    <m/>
    <d v="2004-02-26T00:00:00"/>
    <d v="2004-02-26T00:00:00"/>
    <n v="42040018"/>
    <n v="500"/>
    <n v="14040"/>
    <n v="144.69999999999999"/>
    <n v="14046"/>
    <n v="144.69999999999999"/>
    <n v="0"/>
    <n v="0"/>
    <n v="51260"/>
    <n v="0"/>
    <s v="A"/>
    <n v="0"/>
    <n v="61"/>
    <s v=" "/>
    <s v="STL"/>
    <s v="YES"/>
    <s v="TBD"/>
    <d v="2024-10-09T00:00:00"/>
    <x v="19"/>
    <m/>
    <m/>
    <m/>
    <m/>
    <m/>
    <m/>
    <m/>
    <m/>
    <m/>
    <m/>
    <m/>
  </r>
  <r>
    <n v="2111"/>
    <n v="102354"/>
    <n v="102350"/>
    <s v="Capitalized"/>
    <s v="Misc. Repairs/Additions to 2000 Freightliner Tract"/>
    <m/>
    <m/>
    <n v="1"/>
    <s v="1FUPCXYB4YPB09094"/>
    <n v="2000"/>
    <m/>
    <m/>
    <s v="TRUCKS AND TRAILERS"/>
    <s v="TBA"/>
    <s v="Non-Rolling Stock"/>
    <m/>
    <m/>
    <d v="2004-02-18T00:00:00"/>
    <d v="2004-02-18T00:00:00"/>
    <n v="42040018"/>
    <n v="500"/>
    <n v="14040"/>
    <n v="253.67"/>
    <n v="14046"/>
    <n v="253.67"/>
    <n v="0"/>
    <n v="0"/>
    <n v="51260"/>
    <n v="0"/>
    <s v="A"/>
    <n v="0"/>
    <n v="61"/>
    <s v=" "/>
    <s v="STL"/>
    <s v="YES"/>
    <s v="TBD"/>
    <d v="2024-10-09T00:00:00"/>
    <x v="19"/>
    <m/>
    <m/>
    <m/>
    <m/>
    <m/>
    <m/>
    <m/>
    <m/>
    <m/>
    <m/>
    <m/>
  </r>
  <r>
    <n v="2111"/>
    <n v="102353"/>
    <n v="102350"/>
    <s v="Capitalized"/>
    <s v="Misc. Repairs/Additions to 2000 Freightliner Tract"/>
    <m/>
    <m/>
    <n v="1"/>
    <s v="1FUPCXYB4YPB09094"/>
    <n v="2000"/>
    <m/>
    <m/>
    <s v="TRUCKS AND TRAILERS"/>
    <s v="TBA"/>
    <s v="Non-Rolling Stock"/>
    <m/>
    <m/>
    <d v="2004-02-17T00:00:00"/>
    <d v="2004-02-17T00:00:00"/>
    <n v="42040018"/>
    <n v="500"/>
    <n v="14040"/>
    <n v="113.91"/>
    <n v="14046"/>
    <n v="113.91"/>
    <n v="0"/>
    <n v="0"/>
    <n v="51260"/>
    <n v="0"/>
    <s v="A"/>
    <n v="0"/>
    <n v="61"/>
    <s v=" "/>
    <s v="STL"/>
    <s v="YES"/>
    <s v="TBD"/>
    <d v="2024-10-09T00:00:00"/>
    <x v="19"/>
    <m/>
    <m/>
    <m/>
    <m/>
    <m/>
    <m/>
    <m/>
    <m/>
    <m/>
    <m/>
    <m/>
  </r>
  <r>
    <n v="2111"/>
    <n v="102352"/>
    <n v="102350"/>
    <s v="Capitalized"/>
    <s v="Misc. Repairs/Additions to 2000 Freightliner Tract"/>
    <m/>
    <m/>
    <n v="1"/>
    <s v="1FUPCXYB4YPB09094"/>
    <n v="2000"/>
    <m/>
    <m/>
    <s v="TRUCKS AND TRAILERS"/>
    <s v="TBA"/>
    <s v="Non-Rolling Stock"/>
    <m/>
    <m/>
    <d v="2004-02-18T00:00:00"/>
    <d v="2004-02-18T00:00:00"/>
    <n v="42040018"/>
    <n v="500"/>
    <n v="14040"/>
    <n v="1000"/>
    <n v="14046"/>
    <n v="1000"/>
    <n v="0"/>
    <n v="0"/>
    <n v="51260"/>
    <n v="0"/>
    <s v="A"/>
    <n v="0"/>
    <n v="61"/>
    <s v=" "/>
    <s v="STL"/>
    <s v="YES"/>
    <s v="TBD"/>
    <d v="2024-10-09T00:00:00"/>
    <x v="19"/>
    <m/>
    <m/>
    <m/>
    <m/>
    <m/>
    <m/>
    <m/>
    <m/>
    <m/>
    <m/>
    <m/>
  </r>
  <r>
    <n v="2111"/>
    <n v="102351"/>
    <n v="102350"/>
    <s v="Capitalized"/>
    <s v="Extended Warranty for Automated Truck"/>
    <m/>
    <m/>
    <n v="1"/>
    <m/>
    <n v="0"/>
    <m/>
    <m/>
    <s v="TRUCKS AND TRAILERS"/>
    <s v="TBA"/>
    <s v="Non-Rolling Stock"/>
    <m/>
    <m/>
    <d v="2002-12-31T00:00:00"/>
    <d v="2002-12-31T00:00:00"/>
    <s v="02-2040-015"/>
    <n v="1000"/>
    <n v="14040"/>
    <n v="39"/>
    <n v="14046"/>
    <n v="39"/>
    <n v="0"/>
    <n v="0"/>
    <n v="51260"/>
    <n v="0"/>
    <s v="P"/>
    <m/>
    <m/>
    <s v=" "/>
    <s v="STL"/>
    <s v="YES"/>
    <s v="TBD"/>
    <d v="2024-10-09T00:00:00"/>
    <x v="19"/>
    <m/>
    <m/>
    <m/>
    <m/>
    <m/>
    <m/>
    <m/>
    <m/>
    <m/>
    <m/>
    <m/>
  </r>
  <r>
    <n v="2111"/>
    <n v="102350"/>
    <s v="P"/>
    <s v="Capitalized"/>
    <s v="Freightliner Classic Road Tractor"/>
    <m/>
    <m/>
    <n v="1"/>
    <s v="1FUPCXYB4YPB09094"/>
    <n v="2000"/>
    <s v="Freightliner"/>
    <s v="N/A"/>
    <s v="TRUCKS AND TRAILERS"/>
    <s v="TBA"/>
    <s v="Road Tractor"/>
    <m/>
    <m/>
    <d v="2004-01-28T00:00:00"/>
    <d v="2004-01-28T00:00:00"/>
    <n v="42040018"/>
    <n v="500"/>
    <n v="14040"/>
    <n v="47000"/>
    <n v="14046"/>
    <n v="47000"/>
    <n v="0"/>
    <n v="0"/>
    <n v="51260"/>
    <n v="0"/>
    <s v="A"/>
    <n v="0"/>
    <n v="61"/>
    <s v=" "/>
    <s v="STL"/>
    <s v="YES"/>
    <s v="TBD"/>
    <d v="2024-10-09T00:00:00"/>
    <x v="19"/>
    <m/>
    <m/>
    <m/>
    <m/>
    <m/>
    <m/>
    <m/>
    <m/>
    <m/>
    <m/>
    <m/>
  </r>
  <r>
    <n v="2111"/>
    <n v="102349"/>
    <n v="102347"/>
    <s v="Capitalized"/>
    <s v="2001 FREIGHTLINER TRUCK (PART OF FAS# 102347)"/>
    <m/>
    <m/>
    <n v="1"/>
    <s v="1FUJALAY01PH89388"/>
    <n v="2002"/>
    <m/>
    <m/>
    <s v="TRUCKS AND TRAILERS"/>
    <s v="TBA"/>
    <s v="Road Tractor"/>
    <m/>
    <m/>
    <d v="2002-06-05T00:00:00"/>
    <d v="2002-06-05T00:00:00"/>
    <s v="02-2040-016"/>
    <n v="600"/>
    <n v="14040"/>
    <n v="17500"/>
    <n v="14046"/>
    <n v="17500"/>
    <n v="0"/>
    <n v="0"/>
    <n v="51260"/>
    <n v="0"/>
    <s v="P"/>
    <m/>
    <n v="60"/>
    <s v=" "/>
    <s v="STL"/>
    <s v="YES"/>
    <s v="TBD"/>
    <d v="2024-10-09T00:00:00"/>
    <x v="19"/>
    <m/>
    <m/>
    <m/>
    <m/>
    <m/>
    <m/>
    <m/>
    <m/>
    <m/>
    <m/>
    <m/>
  </r>
  <r>
    <n v="2111"/>
    <n v="102348"/>
    <n v="102347"/>
    <s v="Capitalized"/>
    <s v="Engine for truck #60"/>
    <m/>
    <m/>
    <n v="1"/>
    <s v="1FUJALAY01PH89388"/>
    <n v="2001"/>
    <m/>
    <m/>
    <s v="TRUCKS AND TRAILERS"/>
    <s v="TBA"/>
    <s v="Non-Rolling Stock "/>
    <m/>
    <m/>
    <d v="2008-03-31T00:00:00"/>
    <d v="2008-03-31T00:00:00"/>
    <s v="2040-8-0007-1"/>
    <n v="300"/>
    <n v="14040"/>
    <n v="13118.26"/>
    <n v="14046"/>
    <n v="13118.26"/>
    <n v="0"/>
    <n v="0"/>
    <n v="51260"/>
    <n v="0"/>
    <s v="P"/>
    <m/>
    <s v="60C"/>
    <s v=" "/>
    <s v="STL"/>
    <s v="YES"/>
    <s v="TBD"/>
    <d v="2024-10-09T00:00:00"/>
    <x v="19"/>
    <m/>
    <m/>
    <m/>
    <m/>
    <m/>
    <m/>
    <m/>
    <m/>
    <m/>
    <m/>
    <m/>
  </r>
  <r>
    <n v="2111"/>
    <n v="102347"/>
    <s v="P"/>
    <s v="Capitalized"/>
    <s v="Freightliner Classic Road Tractor - Seahawks Wrap"/>
    <m/>
    <m/>
    <n v="1"/>
    <s v="1FUJALAY01PH89388"/>
    <n v="2001"/>
    <s v="Freightliner"/>
    <s v="N/A"/>
    <s v="TRUCKS AND TRAILERS"/>
    <s v="TBA"/>
    <s v="Road Tractor"/>
    <m/>
    <m/>
    <d v="2002-06-01T00:00:00"/>
    <d v="2002-06-01T00:00:00"/>
    <n v="22040016"/>
    <n v="600"/>
    <n v="14040"/>
    <n v="37500"/>
    <n v="14046"/>
    <n v="37500"/>
    <n v="0"/>
    <n v="0"/>
    <n v="51260"/>
    <n v="0"/>
    <s v="P"/>
    <m/>
    <n v="60"/>
    <s v=" "/>
    <s v="STL"/>
    <s v="YES"/>
    <s v="TBD"/>
    <d v="2024-10-09T00:00:00"/>
    <x v="19"/>
    <m/>
    <m/>
    <m/>
    <m/>
    <m/>
    <m/>
    <m/>
    <m/>
    <m/>
    <m/>
    <m/>
  </r>
  <r>
    <n v="2111"/>
    <n v="102189"/>
    <n v="102188"/>
    <s v="Capitalized"/>
    <s v="Manual Side Loader Body"/>
    <m/>
    <m/>
    <n v="1"/>
    <s v="5VCACSKE7AH211525"/>
    <n v="2010"/>
    <m/>
    <m/>
    <s v="TRUCKS AND TRAILERS"/>
    <s v="TBA"/>
    <s v="Automated Side Loader"/>
    <m/>
    <m/>
    <d v="2010-10-31T00:00:00"/>
    <d v="2010-10-31T00:00:00"/>
    <s v="2131-10-0006-1"/>
    <n v="900"/>
    <n v="14040"/>
    <n v="129535.12"/>
    <n v="14046"/>
    <n v="129535.12"/>
    <n v="0"/>
    <n v="0"/>
    <n v="51260"/>
    <n v="0"/>
    <s v="P"/>
    <m/>
    <n v="624"/>
    <s v=" "/>
    <s v="STL"/>
    <s v="YES"/>
    <s v="TBD"/>
    <d v="2024-10-09T00:00:00"/>
    <x v="19"/>
    <m/>
    <m/>
    <m/>
    <m/>
    <m/>
    <m/>
    <m/>
    <m/>
    <m/>
    <m/>
    <m/>
  </r>
  <r>
    <n v="2111"/>
    <n v="102188"/>
    <s v="P"/>
    <s v="Capitalized"/>
    <s v="Autocar Expeditor Manual Sideload"/>
    <m/>
    <m/>
    <n v="1"/>
    <s v="5VCACSKE7AH211525"/>
    <n v="2010"/>
    <s v="Autocar ACX"/>
    <s v="Labrie"/>
    <s v="TRUCKS AND TRAILERS"/>
    <s v="TBA"/>
    <s v="Side Loader"/>
    <m/>
    <m/>
    <d v="2010-10-31T00:00:00"/>
    <d v="2010-10-31T00:00:00"/>
    <s v="2131-10-0006-1"/>
    <n v="900"/>
    <n v="14040"/>
    <n v="162266.70000000001"/>
    <n v="14046"/>
    <n v="162266.70000000001"/>
    <n v="0"/>
    <n v="0"/>
    <n v="51260"/>
    <n v="0"/>
    <s v="P"/>
    <m/>
    <n v="624"/>
    <s v=" "/>
    <s v="STL"/>
    <s v="YES"/>
    <s v="TBD"/>
    <d v="2024-10-09T00:00:00"/>
    <x v="19"/>
    <m/>
    <m/>
    <m/>
    <m/>
    <m/>
    <m/>
    <m/>
    <m/>
    <m/>
    <m/>
    <m/>
  </r>
  <r>
    <n v="2111"/>
    <n v="102178"/>
    <n v="102177"/>
    <s v="Capitalized"/>
    <s v="Use Tax on Used Transfer Tractor #181"/>
    <m/>
    <m/>
    <n v="1"/>
    <s v="1XPFD49X07D690100"/>
    <n v="2007"/>
    <m/>
    <m/>
    <s v="TRUCKS AND TRAILERS"/>
    <s v="TBA"/>
    <s v="Road Tractor"/>
    <m/>
    <m/>
    <d v="2009-01-01T00:00:00"/>
    <d v="2009-01-01T00:00:00"/>
    <s v="2111-9-0019-1"/>
    <n v="709"/>
    <n v="14040"/>
    <n v="3236.4"/>
    <n v="14046"/>
    <n v="3236.4"/>
    <n v="0"/>
    <n v="0"/>
    <n v="51260"/>
    <n v="0"/>
    <s v="P"/>
    <m/>
    <m/>
    <s v=" "/>
    <s v="STL"/>
    <s v="YES"/>
    <s v="TBD"/>
    <d v="2024-10-09T00:00:00"/>
    <x v="19"/>
    <m/>
    <m/>
    <m/>
    <m/>
    <m/>
    <m/>
    <m/>
    <m/>
    <m/>
    <m/>
    <m/>
  </r>
  <r>
    <n v="2111"/>
    <n v="102177"/>
    <s v="P"/>
    <s v="Capitalized"/>
    <s v="2007 Peterbilt Transfer Tractor - Used"/>
    <m/>
    <m/>
    <n v="1"/>
    <s v="1XPFD49X07D690100"/>
    <n v="2007"/>
    <s v="Peterbilt 378"/>
    <s v="Other"/>
    <s v="TRUCKS AND TRAILERS"/>
    <s v="TBA"/>
    <s v="Road Tractor"/>
    <m/>
    <m/>
    <d v="2008-09-25T00:00:00"/>
    <d v="2008-09-25T00:00:00"/>
    <s v="2111-8-0035-1"/>
    <n v="800"/>
    <n v="14040"/>
    <n v="110664"/>
    <n v="14046"/>
    <n v="110664"/>
    <n v="0"/>
    <n v="0"/>
    <n v="51260"/>
    <n v="0"/>
    <s v="P"/>
    <m/>
    <n v="181"/>
    <s v=" "/>
    <s v="STL"/>
    <s v="YES"/>
    <s v="TBD"/>
    <d v="2024-10-09T00:00:00"/>
    <x v="19"/>
    <m/>
    <m/>
    <m/>
    <m/>
    <m/>
    <m/>
    <m/>
    <m/>
    <m/>
    <m/>
    <m/>
  </r>
  <r>
    <n v="2111"/>
    <n v="102176"/>
    <n v="102175"/>
    <s v="Capitalized"/>
    <s v="Auto Tarper for Truck #154"/>
    <m/>
    <m/>
    <n v="1"/>
    <m/>
    <n v="0"/>
    <m/>
    <m/>
    <s v="TRUCKS AND TRAILERS"/>
    <s v="TBA"/>
    <s v="Non-Rolling Stock "/>
    <m/>
    <m/>
    <d v="2009-01-01T00:00:00"/>
    <d v="2009-01-01T00:00:00"/>
    <s v="2131-8-0002"/>
    <n v="300"/>
    <n v="14040"/>
    <n v="6818.83"/>
    <n v="14046"/>
    <n v="6818.83"/>
    <n v="0"/>
    <n v="0"/>
    <n v="51260"/>
    <n v="0"/>
    <s v="P"/>
    <m/>
    <n v="154"/>
    <s v=" "/>
    <s v="STL"/>
    <s v="YES"/>
    <s v="TBD"/>
    <d v="2024-10-09T00:00:00"/>
    <x v="19"/>
    <m/>
    <m/>
    <m/>
    <m/>
    <m/>
    <m/>
    <m/>
    <m/>
    <m/>
    <m/>
    <m/>
  </r>
  <r>
    <n v="2111"/>
    <n v="102175"/>
    <s v="P"/>
    <s v="Capitalized"/>
    <s v="Peterbilt 320 Roll Off"/>
    <m/>
    <m/>
    <n v="1"/>
    <s v="1NPZL50X1WD710799"/>
    <n v="1998"/>
    <s v="Peterbilt"/>
    <s v="Cascon"/>
    <s v="TRUCKS AND TRAILERS"/>
    <s v="TBA"/>
    <s v="Roll Off"/>
    <m/>
    <m/>
    <d v="1997-08-12T00:00:00"/>
    <d v="1997-08-12T00:00:00"/>
    <m/>
    <n v="1000"/>
    <n v="14040"/>
    <n v="120715.78"/>
    <n v="14046"/>
    <n v="120715.78"/>
    <n v="0"/>
    <n v="0"/>
    <n v="51260"/>
    <n v="0"/>
    <s v="A"/>
    <s v="Murreys Disposal"/>
    <n v="154"/>
    <s v=" "/>
    <s v="STL"/>
    <s v="YES"/>
    <s v="TBD"/>
    <d v="2024-10-09T00:00:00"/>
    <x v="19"/>
    <m/>
    <m/>
    <m/>
    <m/>
    <m/>
    <m/>
    <m/>
    <m/>
    <m/>
    <m/>
    <m/>
  </r>
  <r>
    <n v="2111"/>
    <n v="102169"/>
    <s v="P"/>
    <s v="Capitalized"/>
    <s v="Peterbilt 378 Road Tractor"/>
    <m/>
    <m/>
    <n v="1"/>
    <s v="1XPFD49X55D847651"/>
    <n v="2005"/>
    <s v="Peterbilt 378"/>
    <s v="N/A"/>
    <s v="TRUCKS AND TRAILERS"/>
    <s v="TBA"/>
    <s v="Road Tractor"/>
    <m/>
    <m/>
    <d v="2009-08-13T00:00:00"/>
    <d v="2009-08-13T00:00:00"/>
    <s v="2140-9-0011-1"/>
    <n v="500"/>
    <n v="14040"/>
    <n v="63020"/>
    <n v="14046"/>
    <n v="63020"/>
    <n v="0"/>
    <n v="0"/>
    <n v="51260"/>
    <n v="0"/>
    <s v="P"/>
    <m/>
    <n v="182"/>
    <s v=" "/>
    <s v="STL"/>
    <s v="YES"/>
    <s v="TBD"/>
    <d v="2024-10-09T00:00:00"/>
    <x v="19"/>
    <m/>
    <m/>
    <m/>
    <m/>
    <m/>
    <m/>
    <m/>
    <m/>
    <m/>
    <m/>
    <m/>
  </r>
  <r>
    <n v="2111"/>
    <n v="102168"/>
    <s v="P"/>
    <s v="Capitalized"/>
    <s v="FLUP-Truck 5583"/>
    <m/>
    <m/>
    <n v="1"/>
    <n v="45983"/>
    <n v="2004"/>
    <m/>
    <m/>
    <s v="TRUCKS AND TRAILERS"/>
    <s v="TBA"/>
    <s v="Non-Rolling Stock"/>
    <m/>
    <m/>
    <d v="2009-05-03T00:00:00"/>
    <d v="2009-05-03T00:00:00"/>
    <s v="2182-8-0002-1"/>
    <n v="300"/>
    <n v="14040"/>
    <n v="7240.26"/>
    <n v="14046"/>
    <n v="7240.26"/>
    <n v="0"/>
    <n v="0"/>
    <n v="51260"/>
    <n v="0"/>
    <s v="P"/>
    <m/>
    <n v="5583"/>
    <s v=" "/>
    <s v="STL"/>
    <s v="YES"/>
    <s v="TBD"/>
    <d v="2024-10-09T00:00:00"/>
    <x v="19"/>
    <m/>
    <m/>
    <m/>
    <m/>
    <m/>
    <m/>
    <m/>
    <m/>
    <m/>
    <m/>
    <m/>
  </r>
  <r>
    <n v="2111"/>
    <n v="102159"/>
    <s v="P"/>
    <s v="Capitalized"/>
    <s v="RL Body for Vin# 203512"/>
    <m/>
    <m/>
    <n v="1"/>
    <s v="5VCH36PE56H203512"/>
    <n v="2006"/>
    <m/>
    <m/>
    <s v="TRUCKS AND TRAILERS"/>
    <s v="TBA"/>
    <s v="Non-Rolling Stock"/>
    <m/>
    <m/>
    <d v="2006-10-16T00:00:00"/>
    <d v="2006-10-16T00:00:00"/>
    <s v="06-2111-002"/>
    <n v="1000"/>
    <n v="14040"/>
    <n v="57321.279999999999"/>
    <n v="14046"/>
    <n v="57321.279999999999"/>
    <n v="0"/>
    <n v="0"/>
    <n v="51260"/>
    <n v="0"/>
    <s v="P"/>
    <m/>
    <m/>
    <s v=" "/>
    <s v="STL"/>
    <s v="YES"/>
    <s v="TBD"/>
    <d v="2024-10-09T00:00:00"/>
    <x v="19"/>
    <m/>
    <m/>
    <m/>
    <m/>
    <m/>
    <m/>
    <m/>
    <m/>
    <m/>
    <m/>
    <m/>
  </r>
  <r>
    <n v="2111"/>
    <n v="102158"/>
    <s v="P"/>
    <s v="Capitalized"/>
    <s v="2006 Autocar Chassis REL"/>
    <m/>
    <m/>
    <n v="1"/>
    <s v="5VCH36PE56H203512"/>
    <n v="2006"/>
    <s v="Autocar"/>
    <s v="McNeilus"/>
    <s v="TRUCKS AND TRAILERS"/>
    <s v="TBA"/>
    <s v="Rear Loader"/>
    <m/>
    <m/>
    <d v="2006-05-17T00:00:00"/>
    <d v="2006-05-17T00:00:00"/>
    <s v="06-2111-002"/>
    <n v="1000"/>
    <n v="14040"/>
    <n v="120222.34"/>
    <n v="14046"/>
    <n v="120222.34"/>
    <n v="0"/>
    <n v="0"/>
    <n v="51260"/>
    <n v="0"/>
    <s v="P"/>
    <m/>
    <n v="613"/>
    <s v=" "/>
    <s v="STL"/>
    <s v="YES"/>
    <s v="TBD"/>
    <d v="2024-10-09T00:00:00"/>
    <x v="19"/>
    <m/>
    <m/>
    <m/>
    <m/>
    <m/>
    <m/>
    <m/>
    <m/>
    <m/>
    <m/>
    <m/>
  </r>
  <r>
    <n v="2111"/>
    <n v="99657"/>
    <s v="P"/>
    <s v="Capitalized"/>
    <s v="New 2013 Peterbilt 320 W/ Wayne Curtender Body - ASL"/>
    <m/>
    <m/>
    <n v="1"/>
    <s v="3BPZL70X8DF184325"/>
    <n v="2013"/>
    <s v="Peterbilt 320"/>
    <s v="Wayne"/>
    <s v="TRUCKS AND TRAILERS"/>
    <s v="TBA"/>
    <s v="Automated Side Loader"/>
    <m/>
    <m/>
    <d v="2012-12-31T00:00:00"/>
    <d v="2012-12-31T00:00:00"/>
    <s v="2111-12-0004-1"/>
    <n v="1000"/>
    <n v="14040"/>
    <n v="313064.90999999997"/>
    <n v="14046"/>
    <n v="313064.90999999997"/>
    <n v="0"/>
    <n v="0"/>
    <n v="51260"/>
    <n v="0"/>
    <s v="P"/>
    <m/>
    <n v="822"/>
    <s v=" "/>
    <s v="STL"/>
    <s v="YES"/>
    <s v="TBD"/>
    <d v="2024-10-09T00:00:00"/>
    <x v="19"/>
    <m/>
    <m/>
    <m/>
    <m/>
    <m/>
    <m/>
    <m/>
    <m/>
    <m/>
    <m/>
    <m/>
  </r>
  <r>
    <n v="2111"/>
    <n v="98430"/>
    <s v="P"/>
    <s v="Capitalized"/>
    <s v="Fife Sewer/Storm Water Improvement"/>
    <m/>
    <m/>
    <n v="1"/>
    <m/>
    <n v="0"/>
    <s v="City of Fife"/>
    <m/>
    <s v="LAND IMPROVEMENTS"/>
    <s v="TBA"/>
    <m/>
    <m/>
    <m/>
    <d v="2012-11-16T00:00:00"/>
    <d v="2012-11-16T00:00:00"/>
    <s v="2111-12-0021-1"/>
    <n v="1000"/>
    <n v="14010"/>
    <n v="753818"/>
    <n v="14016"/>
    <n v="753818"/>
    <n v="0"/>
    <n v="0"/>
    <n v="57260"/>
    <n v="0"/>
    <s v="P"/>
    <m/>
    <m/>
    <s v=" "/>
    <s v="STL"/>
    <s v="YES"/>
    <s v="TBD"/>
    <d v="2024-10-09T00:00:00"/>
    <x v="19"/>
    <m/>
    <m/>
    <m/>
    <m/>
    <m/>
    <m/>
    <m/>
    <m/>
    <m/>
    <m/>
    <m/>
  </r>
  <r>
    <n v="2111"/>
    <n v="95850"/>
    <s v="P"/>
    <s v="Capitalized"/>
    <s v="95 Gallon Resi Refuse Carts"/>
    <m/>
    <m/>
    <n v="486"/>
    <s v="M281132 - M281617"/>
    <n v="0"/>
    <s v="REHRIG PACIFIC COMPANY"/>
    <m/>
    <s v="CONTAINERS"/>
    <s v="TBA"/>
    <m/>
    <m/>
    <m/>
    <d v="2012-07-17T00:00:00"/>
    <d v="2012-07-17T00:00:00"/>
    <s v="2111-12-0018-1"/>
    <n v="700"/>
    <n v="14050"/>
    <n v="25365.119999999999"/>
    <n v="14056"/>
    <n v="25365.119999999999"/>
    <n v="0"/>
    <n v="0"/>
    <n v="54260"/>
    <n v="0"/>
    <s v="P"/>
    <m/>
    <m/>
    <s v=" "/>
    <s v="STL"/>
    <s v="YES"/>
    <s v="TBD"/>
    <d v="2024-10-09T00:00:00"/>
    <x v="19"/>
    <m/>
    <m/>
    <m/>
    <m/>
    <m/>
    <m/>
    <m/>
    <m/>
    <m/>
    <m/>
    <m/>
  </r>
  <r>
    <n v="2111"/>
    <n v="95043"/>
    <s v="P"/>
    <s v="Capitalized"/>
    <s v="RTA Equipment"/>
    <m/>
    <m/>
    <n v="1"/>
    <m/>
    <n v="0"/>
    <s v="CDW"/>
    <m/>
    <s v="HARDWARE AND SOFTWARE"/>
    <s v="TBA"/>
    <m/>
    <m/>
    <m/>
    <d v="2012-04-30T00:00:00"/>
    <d v="2012-04-30T00:00:00"/>
    <s v="1010-12-0021-1"/>
    <n v="300"/>
    <n v="14110"/>
    <n v="1398.18"/>
    <n v="14116"/>
    <n v="1398.18"/>
    <n v="0"/>
    <n v="0"/>
    <n v="70260"/>
    <n v="0"/>
    <s v="P"/>
    <m/>
    <m/>
    <s v=" "/>
    <s v="STL"/>
    <s v="YES"/>
    <s v="TBD"/>
    <d v="2024-10-09T00:00:00"/>
    <x v="19"/>
    <m/>
    <m/>
    <m/>
    <m/>
    <m/>
    <m/>
    <m/>
    <m/>
    <m/>
    <m/>
    <m/>
  </r>
  <r>
    <n v="2111"/>
    <n v="94658"/>
    <n v="91749"/>
    <s v="Capitalized"/>
    <s v="Fife Transfer station - electric"/>
    <m/>
    <m/>
    <n v="1"/>
    <m/>
    <n v="0"/>
    <s v="Meridian Center Electric"/>
    <m/>
    <s v="BUILDINGS"/>
    <s v="TBA"/>
    <m/>
    <m/>
    <m/>
    <d v="2012-03-01T00:00:00"/>
    <d v="2012-03-01T00:00:00"/>
    <s v="2111-12-0019-1"/>
    <n v="1000"/>
    <n v="14080"/>
    <n v="-245.93"/>
    <n v="14086"/>
    <n v="-245.93"/>
    <n v="0"/>
    <n v="0"/>
    <n v="57260"/>
    <n v="0"/>
    <s v="P"/>
    <m/>
    <m/>
    <s v=" "/>
    <s v="STL"/>
    <s v="YES"/>
    <s v="TBD"/>
    <d v="2024-10-09T00:00:00"/>
    <x v="19"/>
    <m/>
    <m/>
    <m/>
    <m/>
    <m/>
    <m/>
    <m/>
    <m/>
    <m/>
    <m/>
    <m/>
  </r>
  <r>
    <n v="2111"/>
    <n v="92659"/>
    <n v="91749"/>
    <s v="Capitalized"/>
    <s v="electric work on transfer station upgrade"/>
    <m/>
    <m/>
    <n v="1"/>
    <m/>
    <n v="0"/>
    <s v="Meridian Center Electric"/>
    <m/>
    <s v="BUILDINGS"/>
    <s v="TBA"/>
    <m/>
    <m/>
    <m/>
    <d v="2012-03-01T00:00:00"/>
    <d v="2012-03-01T00:00:00"/>
    <s v="2111-11-0025-1"/>
    <n v="1000"/>
    <n v="14080"/>
    <n v="38610.230000000003"/>
    <n v="14086"/>
    <n v="38610.230000000003"/>
    <n v="0"/>
    <n v="0"/>
    <n v="57260"/>
    <n v="0"/>
    <s v="P"/>
    <m/>
    <m/>
    <s v=" "/>
    <s v="STL"/>
    <s v="YES"/>
    <s v="TBD"/>
    <d v="2024-10-09T00:00:00"/>
    <x v="19"/>
    <m/>
    <m/>
    <m/>
    <m/>
    <m/>
    <m/>
    <m/>
    <m/>
    <m/>
    <m/>
    <m/>
  </r>
  <r>
    <n v="2111"/>
    <n v="92557"/>
    <n v="91749"/>
    <s v="Capitalized"/>
    <s v="Fife T station upgrade - lamp towers"/>
    <m/>
    <m/>
    <n v="1"/>
    <m/>
    <n v="0"/>
    <s v="Star Rentals"/>
    <m/>
    <s v="BUILDINGS"/>
    <s v="TBA"/>
    <m/>
    <m/>
    <m/>
    <d v="2012-03-01T00:00:00"/>
    <d v="2012-03-01T00:00:00"/>
    <s v="2111-12-0019-1"/>
    <n v="1000"/>
    <n v="14080"/>
    <n v="1311.6"/>
    <n v="14086"/>
    <n v="1311.6"/>
    <n v="0"/>
    <n v="0"/>
    <n v="57260"/>
    <n v="0"/>
    <s v="P"/>
    <m/>
    <m/>
    <s v=" "/>
    <s v="STL"/>
    <s v="YES"/>
    <s v="TBD"/>
    <d v="2024-10-09T00:00:00"/>
    <x v="19"/>
    <m/>
    <m/>
    <m/>
    <m/>
    <m/>
    <m/>
    <m/>
    <m/>
    <m/>
    <m/>
    <m/>
  </r>
  <r>
    <n v="2111"/>
    <n v="92556"/>
    <n v="91749"/>
    <s v="Capitalized"/>
    <s v="T Station upgrade - generator"/>
    <m/>
    <m/>
    <n v="1"/>
    <m/>
    <n v="0"/>
    <s v="Star Rentals"/>
    <m/>
    <s v="BUILDINGS"/>
    <s v="TBA"/>
    <m/>
    <m/>
    <m/>
    <d v="2012-03-01T00:00:00"/>
    <d v="2012-03-01T00:00:00"/>
    <s v="2111-12-0019-1"/>
    <n v="1000"/>
    <n v="14080"/>
    <n v="3497.6"/>
    <n v="14086"/>
    <n v="3497.6"/>
    <n v="0"/>
    <n v="0"/>
    <n v="57260"/>
    <n v="0"/>
    <s v="P"/>
    <m/>
    <m/>
    <s v=" "/>
    <s v="STL"/>
    <s v="YES"/>
    <s v="TBD"/>
    <d v="2024-10-09T00:00:00"/>
    <x v="19"/>
    <m/>
    <m/>
    <m/>
    <m/>
    <m/>
    <m/>
    <m/>
    <m/>
    <m/>
    <m/>
    <m/>
  </r>
  <r>
    <n v="2111"/>
    <n v="92555"/>
    <n v="91749"/>
    <s v="Capitalized"/>
    <s v="fife T station upgrade - wobble lights"/>
    <m/>
    <m/>
    <n v="1"/>
    <m/>
    <n v="0"/>
    <s v="Star Rentals"/>
    <m/>
    <s v="BUILDINGS"/>
    <s v="TBA"/>
    <m/>
    <m/>
    <m/>
    <d v="2012-03-01T00:00:00"/>
    <d v="2012-03-01T00:00:00"/>
    <s v="2111-12-0019-1"/>
    <n v="1000"/>
    <n v="14080"/>
    <n v="98.37"/>
    <n v="14086"/>
    <n v="98.37"/>
    <n v="0"/>
    <n v="0"/>
    <n v="57260"/>
    <n v="0"/>
    <s v="P"/>
    <m/>
    <m/>
    <s v=" "/>
    <s v="STL"/>
    <s v="YES"/>
    <s v="TBD"/>
    <d v="2024-10-09T00:00:00"/>
    <x v="19"/>
    <m/>
    <m/>
    <m/>
    <m/>
    <m/>
    <m/>
    <m/>
    <m/>
    <m/>
    <m/>
    <m/>
  </r>
  <r>
    <n v="2111"/>
    <n v="92554"/>
    <n v="91749"/>
    <s v="Capitalized"/>
    <s v="TS Upgrades - Labor for Ramp Repairs"/>
    <m/>
    <m/>
    <n v="1"/>
    <m/>
    <n v="0"/>
    <s v="Meridian Center Electric,"/>
    <m/>
    <s v="BUILDINGS"/>
    <s v="TBA"/>
    <m/>
    <m/>
    <m/>
    <d v="2012-03-01T00:00:00"/>
    <d v="2012-03-01T00:00:00"/>
    <s v="2111-12-0019-1"/>
    <n v="1000"/>
    <n v="14080"/>
    <n v="142.09"/>
    <n v="14086"/>
    <n v="142.09"/>
    <n v="0"/>
    <n v="0"/>
    <n v="57260"/>
    <n v="0"/>
    <s v="P"/>
    <m/>
    <m/>
    <s v=" "/>
    <s v="STL"/>
    <s v="YES"/>
    <s v="TBD"/>
    <d v="2024-10-09T00:00:00"/>
    <x v="19"/>
    <m/>
    <m/>
    <m/>
    <m/>
    <m/>
    <m/>
    <m/>
    <m/>
    <m/>
    <m/>
    <m/>
  </r>
  <r>
    <n v="2111"/>
    <n v="91797"/>
    <n v="91749"/>
    <s v="Capitalized"/>
    <s v="Fife T station - prewash"/>
    <m/>
    <m/>
    <n v="1"/>
    <m/>
    <n v="0"/>
    <s v="AABERGS TOOL AND EQUIPMEN"/>
    <m/>
    <s v="BUILDINGS"/>
    <s v="TBA"/>
    <m/>
    <m/>
    <m/>
    <d v="2012-03-01T00:00:00"/>
    <d v="2012-03-01T00:00:00"/>
    <s v="2111-12-0019-1"/>
    <n v="1000"/>
    <n v="14080"/>
    <n v="901.73"/>
    <n v="14086"/>
    <n v="901.73"/>
    <n v="0"/>
    <n v="0"/>
    <n v="57260"/>
    <n v="0"/>
    <s v="P"/>
    <m/>
    <m/>
    <s v=" "/>
    <s v="STL"/>
    <s v="YES"/>
    <s v="TBD"/>
    <d v="2024-10-09T00:00:00"/>
    <x v="19"/>
    <m/>
    <m/>
    <m/>
    <m/>
    <m/>
    <m/>
    <m/>
    <m/>
    <m/>
    <m/>
    <m/>
  </r>
  <r>
    <n v="2111"/>
    <n v="91796"/>
    <n v="91749"/>
    <s v="Capitalized"/>
    <s v="fife T Station Breaker Box"/>
    <m/>
    <m/>
    <n v="1"/>
    <m/>
    <n v="0"/>
    <s v="MERIDIAN CENTER ELECTRIC"/>
    <m/>
    <s v="BUILDINGS"/>
    <s v="TBA"/>
    <m/>
    <m/>
    <m/>
    <d v="2012-03-01T00:00:00"/>
    <d v="2012-03-01T00:00:00"/>
    <s v="2111-12-0019-1"/>
    <n v="1000"/>
    <n v="14080"/>
    <n v="245.93"/>
    <n v="14086"/>
    <n v="245.93"/>
    <n v="0"/>
    <n v="0"/>
    <n v="57260"/>
    <n v="0"/>
    <s v="P"/>
    <m/>
    <m/>
    <s v=" "/>
    <s v="STL"/>
    <s v="YES"/>
    <s v="TBD"/>
    <d v="2024-10-09T00:00:00"/>
    <x v="19"/>
    <m/>
    <m/>
    <m/>
    <m/>
    <m/>
    <m/>
    <m/>
    <m/>
    <m/>
    <m/>
    <m/>
  </r>
  <r>
    <n v="2111"/>
    <n v="91749"/>
    <s v="P"/>
    <s v="Capitalized"/>
    <s v="Murrey's Transfer Station - Upgrades"/>
    <m/>
    <m/>
    <n v="1"/>
    <m/>
    <n v="0"/>
    <m/>
    <m/>
    <s v="BUILDINGS"/>
    <s v="TBA"/>
    <m/>
    <m/>
    <m/>
    <d v="2012-03-01T00:00:00"/>
    <d v="2012-03-01T00:00:00"/>
    <n v="2111"/>
    <n v="1000"/>
    <n v="14080"/>
    <n v="382909.31"/>
    <n v="14086"/>
    <n v="382909.31"/>
    <n v="0"/>
    <n v="0"/>
    <n v="57260"/>
    <n v="0"/>
    <s v="P"/>
    <m/>
    <m/>
    <s v=" "/>
    <s v="STL"/>
    <s v="YES"/>
    <s v="TBD"/>
    <d v="2024-10-09T00:00:00"/>
    <x v="19"/>
    <m/>
    <m/>
    <m/>
    <m/>
    <m/>
    <m/>
    <m/>
    <m/>
    <m/>
    <m/>
    <m/>
  </r>
  <r>
    <n v="2111"/>
    <n v="91734"/>
    <n v="91749"/>
    <s v="Capitalized"/>
    <s v="TS Upgrades - Construction Completion"/>
    <m/>
    <m/>
    <n v="1"/>
    <m/>
    <n v="0"/>
    <m/>
    <m/>
    <s v="BUILDINGS"/>
    <s v="TBA"/>
    <m/>
    <m/>
    <m/>
    <d v="2012-03-01T00:00:00"/>
    <d v="2012-03-01T00:00:00"/>
    <s v="2111-12-0019-1"/>
    <n v="1000"/>
    <n v="14080"/>
    <n v="49925.64"/>
    <n v="14086"/>
    <n v="49925.64"/>
    <n v="0"/>
    <n v="0"/>
    <n v="57260"/>
    <n v="0"/>
    <s v="P"/>
    <m/>
    <m/>
    <s v=" "/>
    <s v="STL"/>
    <s v="YES"/>
    <s v="TBD"/>
    <d v="2024-10-09T00:00:00"/>
    <x v="19"/>
    <m/>
    <m/>
    <m/>
    <m/>
    <m/>
    <m/>
    <m/>
    <m/>
    <m/>
    <m/>
    <m/>
  </r>
  <r>
    <n v="2111"/>
    <n v="91733"/>
    <n v="91749"/>
    <s v="Capitalized"/>
    <s v="TS Upgrades - Construction"/>
    <m/>
    <m/>
    <n v="1"/>
    <m/>
    <n v="0"/>
    <m/>
    <m/>
    <s v="BUILDINGS"/>
    <s v="TBA"/>
    <m/>
    <m/>
    <m/>
    <d v="2012-03-01T00:00:00"/>
    <d v="2012-03-01T00:00:00"/>
    <s v="2111-11-0025-1"/>
    <n v="1000"/>
    <n v="14080"/>
    <n v="471968.91"/>
    <n v="14086"/>
    <n v="471968.91"/>
    <n v="0"/>
    <n v="0"/>
    <n v="57260"/>
    <n v="0"/>
    <s v="P"/>
    <m/>
    <m/>
    <s v=" "/>
    <s v="STL"/>
    <s v="YES"/>
    <s v="TBD"/>
    <d v="2024-10-09T00:00:00"/>
    <x v="19"/>
    <m/>
    <m/>
    <m/>
    <m/>
    <m/>
    <m/>
    <m/>
    <m/>
    <m/>
    <m/>
    <m/>
  </r>
  <r>
    <n v="2111"/>
    <n v="91732"/>
    <n v="91749"/>
    <s v="Capitalized"/>
    <s v="TS Upgrades Permits &amp; Surveying"/>
    <m/>
    <m/>
    <n v="1"/>
    <m/>
    <n v="0"/>
    <m/>
    <m/>
    <s v="BUILDINGS"/>
    <s v="TBA"/>
    <m/>
    <m/>
    <m/>
    <d v="2012-03-01T00:00:00"/>
    <d v="2012-03-01T00:00:00"/>
    <s v="2111-11-0024-1"/>
    <n v="1000"/>
    <n v="14080"/>
    <n v="24281.1"/>
    <n v="14086"/>
    <n v="24281.1"/>
    <n v="0"/>
    <n v="0"/>
    <n v="57260"/>
    <n v="0"/>
    <s v="P"/>
    <m/>
    <m/>
    <s v=" "/>
    <s v="STL"/>
    <s v="YES"/>
    <s v="TBD"/>
    <d v="2024-10-09T00:00:00"/>
    <x v="19"/>
    <m/>
    <m/>
    <m/>
    <m/>
    <m/>
    <m/>
    <m/>
    <m/>
    <m/>
    <m/>
    <m/>
  </r>
  <r>
    <n v="2111"/>
    <n v="91713"/>
    <n v="91749"/>
    <s v="Capitalized"/>
    <s v="Fife T station upgrade - electric work"/>
    <m/>
    <m/>
    <n v="1"/>
    <m/>
    <n v="0"/>
    <s v="MERIDIAN CENTER ELECTRIC"/>
    <m/>
    <s v="BUILDINGS"/>
    <s v="TBA"/>
    <m/>
    <m/>
    <m/>
    <d v="2012-03-01T00:00:00"/>
    <d v="2012-03-01T00:00:00"/>
    <s v="2111-12-0019-1"/>
    <n v="1000"/>
    <n v="14080"/>
    <n v="2000.19"/>
    <n v="14086"/>
    <n v="2000.19"/>
    <n v="0"/>
    <n v="0"/>
    <n v="57260"/>
    <n v="0"/>
    <s v="P"/>
    <m/>
    <m/>
    <s v=" "/>
    <s v="STL"/>
    <s v="YES"/>
    <s v="TBD"/>
    <d v="2024-10-09T00:00:00"/>
    <x v="19"/>
    <m/>
    <m/>
    <m/>
    <m/>
    <m/>
    <m/>
    <m/>
    <m/>
    <m/>
    <m/>
    <m/>
  </r>
  <r>
    <n v="2111"/>
    <n v="91712"/>
    <n v="91749"/>
    <s v="Capitalized"/>
    <s v="Fife T station - materials"/>
    <m/>
    <m/>
    <n v="1"/>
    <m/>
    <n v="0"/>
    <s v="MERIDIAN CENTER ELECTRIC"/>
    <m/>
    <s v="BUILDINGS"/>
    <s v="TBA"/>
    <m/>
    <m/>
    <m/>
    <d v="2012-03-01T00:00:00"/>
    <d v="2012-03-01T00:00:00"/>
    <s v="2111-12-0019-1"/>
    <n v="1000"/>
    <n v="14080"/>
    <n v="3858.29"/>
    <n v="14086"/>
    <n v="3858.29"/>
    <n v="0"/>
    <n v="0"/>
    <n v="57260"/>
    <n v="0"/>
    <s v="P"/>
    <m/>
    <m/>
    <s v=" "/>
    <s v="STL"/>
    <s v="YES"/>
    <s v="TBD"/>
    <d v="2024-10-09T00:00:00"/>
    <x v="19"/>
    <m/>
    <m/>
    <m/>
    <m/>
    <m/>
    <m/>
    <m/>
    <m/>
    <m/>
    <m/>
    <m/>
  </r>
  <r>
    <n v="2111"/>
    <n v="91711"/>
    <n v="91749"/>
    <s v="Capitalized"/>
    <s v="Fife T Station - new fixtures"/>
    <m/>
    <m/>
    <n v="1"/>
    <m/>
    <n v="0"/>
    <s v="MERIDIAN CENTER ELECTRIC"/>
    <m/>
    <s v="BUILDINGS"/>
    <s v="TBA"/>
    <m/>
    <m/>
    <m/>
    <d v="2012-03-01T00:00:00"/>
    <d v="2012-03-01T00:00:00"/>
    <s v="2111-12-0019-1"/>
    <n v="1000"/>
    <n v="14080"/>
    <n v="9399.7999999999993"/>
    <n v="14086"/>
    <n v="9399.7999999999993"/>
    <n v="0"/>
    <n v="0"/>
    <n v="57260"/>
    <n v="0"/>
    <s v="P"/>
    <m/>
    <m/>
    <s v=" "/>
    <s v="STL"/>
    <s v="YES"/>
    <s v="TBD"/>
    <d v="2024-10-09T00:00:00"/>
    <x v="19"/>
    <m/>
    <m/>
    <m/>
    <m/>
    <m/>
    <m/>
    <m/>
    <m/>
    <m/>
    <m/>
    <m/>
  </r>
  <r>
    <n v="2111"/>
    <n v="91710"/>
    <n v="91749"/>
    <s v="Capitalized"/>
    <s v="Fife T station upgrade - circuits"/>
    <m/>
    <m/>
    <n v="1"/>
    <m/>
    <n v="0"/>
    <s v="MERIDIAN CENTER ELECTRIC"/>
    <m/>
    <s v="BUILDINGS"/>
    <s v="TBA"/>
    <m/>
    <m/>
    <m/>
    <d v="2012-03-01T00:00:00"/>
    <d v="2012-03-01T00:00:00"/>
    <s v="2111-12-0019-1"/>
    <n v="1000"/>
    <n v="14080"/>
    <n v="9755.0300000000007"/>
    <n v="14086"/>
    <n v="9755.0300000000007"/>
    <n v="0"/>
    <n v="0"/>
    <n v="57260"/>
    <n v="0"/>
    <s v="P"/>
    <m/>
    <m/>
    <s v=" "/>
    <s v="STL"/>
    <s v="YES"/>
    <s v="TBD"/>
    <d v="2024-10-09T00:00:00"/>
    <x v="19"/>
    <m/>
    <m/>
    <m/>
    <m/>
    <m/>
    <m/>
    <m/>
    <m/>
    <m/>
    <m/>
    <m/>
  </r>
  <r>
    <n v="2111"/>
    <n v="89625"/>
    <s v="P"/>
    <s v="Capitalized"/>
    <s v="New 2012 Peterbilt FEL w/ Wittke Starlight Body"/>
    <m/>
    <m/>
    <n v="1"/>
    <s v="3BPZL70X1CF154758"/>
    <n v="2012"/>
    <s v="Peterbilt 320"/>
    <s v="Wittke"/>
    <s v="TRUCKS AND TRAILERS"/>
    <s v="TBA"/>
    <s v="Front Loader"/>
    <m/>
    <m/>
    <d v="2012-01-31T00:00:00"/>
    <d v="2012-01-31T00:00:00"/>
    <s v="2111-11-0001-1"/>
    <n v="1000"/>
    <n v="14040"/>
    <n v="284650.28000000003"/>
    <n v="14046"/>
    <n v="284650.28000000003"/>
    <n v="0"/>
    <n v="0"/>
    <n v="51260"/>
    <n v="0"/>
    <s v="P"/>
    <m/>
    <n v="908"/>
    <s v=" "/>
    <s v="STL"/>
    <s v="YES"/>
    <s v="TBD"/>
    <d v="2024-10-09T00:00:00"/>
    <x v="19"/>
    <m/>
    <m/>
    <m/>
    <m/>
    <m/>
    <m/>
    <m/>
    <m/>
    <m/>
    <m/>
    <m/>
  </r>
  <r>
    <n v="2111"/>
    <n v="89092"/>
    <s v="P"/>
    <s v="Capitalized"/>
    <s v="Sony Internet TV S/N# S018064204A"/>
    <m/>
    <m/>
    <n v="1"/>
    <m/>
    <n v="0"/>
    <s v="CDW"/>
    <m/>
    <s v="HARDWARE AND SOFTWARE"/>
    <s v="TBA"/>
    <m/>
    <m/>
    <m/>
    <d v="2011-12-31T00:00:00"/>
    <d v="2011-12-31T00:00:00"/>
    <s v="1010-11-0048-1"/>
    <n v="500"/>
    <n v="14110"/>
    <n v="858"/>
    <n v="14116"/>
    <n v="858"/>
    <n v="0"/>
    <n v="0"/>
    <n v="70260"/>
    <n v="0"/>
    <s v="P"/>
    <m/>
    <m/>
    <s v=" "/>
    <s v="STL"/>
    <s v="YES"/>
    <s v="TBD"/>
    <d v="2024-10-09T00:00:00"/>
    <x v="19"/>
    <m/>
    <m/>
    <m/>
    <m/>
    <m/>
    <m/>
    <m/>
    <m/>
    <m/>
    <m/>
    <m/>
  </r>
  <r>
    <n v="2111"/>
    <n v="89091"/>
    <s v="P"/>
    <s v="Capitalized"/>
    <s v="(1) Sony Internet TV S/N# S018064205B"/>
    <m/>
    <m/>
    <n v="1"/>
    <m/>
    <n v="0"/>
    <s v="CDW"/>
    <m/>
    <s v="HARDWARE AND SOFTWARE"/>
    <s v="TBA"/>
    <m/>
    <m/>
    <m/>
    <d v="2011-12-31T00:00:00"/>
    <d v="2011-12-31T00:00:00"/>
    <s v="1010-11-0048-1"/>
    <n v="500"/>
    <n v="14110"/>
    <n v="858"/>
    <n v="14116"/>
    <n v="858"/>
    <n v="0"/>
    <n v="0"/>
    <n v="70260"/>
    <n v="0"/>
    <s v="P"/>
    <m/>
    <m/>
    <s v=" "/>
    <s v="STL"/>
    <s v="YES"/>
    <s v="TBD"/>
    <d v="2024-10-09T00:00:00"/>
    <x v="19"/>
    <m/>
    <m/>
    <m/>
    <m/>
    <m/>
    <m/>
    <m/>
    <m/>
    <m/>
    <m/>
    <m/>
  </r>
  <r>
    <n v="2111"/>
    <n v="88795"/>
    <s v="P"/>
    <s v="Capitalized"/>
    <s v="(6) DriveCam Units"/>
    <m/>
    <m/>
    <n v="1"/>
    <m/>
    <n v="0"/>
    <s v="DriveCam"/>
    <m/>
    <s v="SHOP EQUIPMENT"/>
    <s v="TBA"/>
    <m/>
    <m/>
    <m/>
    <d v="2011-12-15T00:00:00"/>
    <d v="2011-12-15T00:00:00"/>
    <s v="2111-11-0023-1"/>
    <n v="500"/>
    <n v="14070"/>
    <n v="3830.72"/>
    <n v="14076"/>
    <n v="3830.72"/>
    <n v="0"/>
    <n v="0"/>
    <n v="51260"/>
    <n v="0"/>
    <s v="P"/>
    <m/>
    <m/>
    <s v=" "/>
    <s v="STL"/>
    <s v="YES"/>
    <s v="TBD"/>
    <d v="2024-10-09T00:00:00"/>
    <x v="19"/>
    <m/>
    <m/>
    <m/>
    <m/>
    <m/>
    <m/>
    <m/>
    <m/>
    <m/>
    <m/>
    <m/>
  </r>
  <r>
    <n v="2111"/>
    <n v="88717"/>
    <s v="P"/>
    <s v="Capitalized"/>
    <s v="New 2012 Isuzu NRR Chassis"/>
    <m/>
    <m/>
    <n v="1"/>
    <s v="JALE5W168C7300344"/>
    <n v="2012"/>
    <s v="Isuzu NRR"/>
    <s v="Recycle Truck"/>
    <s v="TRUCKS AND TRAILERS"/>
    <s v="TBA"/>
    <s v="Retriever"/>
    <m/>
    <m/>
    <d v="2011-12-31T00:00:00"/>
    <d v="2011-12-31T00:00:00"/>
    <s v="2111-11-0004-1"/>
    <n v="700"/>
    <n v="14040"/>
    <n v="105733.19"/>
    <n v="14046"/>
    <n v="105733.19"/>
    <n v="0"/>
    <n v="0"/>
    <n v="51260"/>
    <n v="0"/>
    <s v="P"/>
    <m/>
    <n v="151"/>
    <s v=" "/>
    <s v="STL"/>
    <s v="YES"/>
    <s v="TBD"/>
    <d v="2024-10-09T00:00:00"/>
    <x v="19"/>
    <m/>
    <m/>
    <m/>
    <m/>
    <m/>
    <m/>
    <m/>
    <m/>
    <m/>
    <m/>
    <m/>
  </r>
  <r>
    <n v="2111"/>
    <n v="87856"/>
    <s v="P"/>
    <s v="Capitalized"/>
    <s v="6 Yard FEL Containers - Green"/>
    <m/>
    <m/>
    <n v="7"/>
    <m/>
    <n v="0"/>
    <s v="CAPITAL INDUSTRIES, INC."/>
    <m/>
    <s v="CONTAINERS"/>
    <s v="TBA"/>
    <m/>
    <s v="6 YD"/>
    <s v="FEL/REL/SL Metal"/>
    <d v="2011-11-30T00:00:00"/>
    <d v="2011-11-30T00:00:00"/>
    <s v="2111-11-0011-1"/>
    <n v="1200"/>
    <n v="14050"/>
    <n v="5891.27"/>
    <n v="14056"/>
    <n v="5891.27"/>
    <n v="0"/>
    <n v="0"/>
    <n v="54260"/>
    <n v="0"/>
    <s v="P"/>
    <m/>
    <m/>
    <s v=" "/>
    <s v="STL"/>
    <s v="YES"/>
    <s v="TBD"/>
    <d v="2024-10-09T00:00:00"/>
    <x v="19"/>
    <m/>
    <m/>
    <m/>
    <m/>
    <m/>
    <m/>
    <m/>
    <m/>
    <m/>
    <m/>
    <m/>
  </r>
  <r>
    <n v="2111"/>
    <n v="87855"/>
    <s v="P"/>
    <s v="Capitalized"/>
    <s v="6 Yard FEL Containers - Green"/>
    <m/>
    <m/>
    <n v="7"/>
    <m/>
    <n v="0"/>
    <s v="CAPITAL INDUSTRIES, INC."/>
    <m/>
    <s v="CONTAINERS"/>
    <s v="TBA"/>
    <m/>
    <s v="6 YD"/>
    <s v="FEL/REL/SL Metal"/>
    <d v="2011-11-30T00:00:00"/>
    <d v="2011-11-30T00:00:00"/>
    <s v="2111-11-0011-1"/>
    <n v="1200"/>
    <n v="14050"/>
    <n v="5891.27"/>
    <n v="14056"/>
    <n v="5891.27"/>
    <n v="0"/>
    <n v="0"/>
    <n v="54260"/>
    <n v="0"/>
    <s v="P"/>
    <m/>
    <m/>
    <s v=" "/>
    <s v="STL"/>
    <s v="YES"/>
    <s v="TBD"/>
    <d v="2024-10-09T00:00:00"/>
    <x v="19"/>
    <m/>
    <m/>
    <m/>
    <m/>
    <m/>
    <m/>
    <m/>
    <m/>
    <m/>
    <m/>
    <m/>
  </r>
  <r>
    <n v="2111"/>
    <n v="87854"/>
    <s v="P"/>
    <s v="Capitalized"/>
    <s v="6 Yard FEL Containers - Tan"/>
    <m/>
    <m/>
    <n v="13"/>
    <m/>
    <n v="0"/>
    <s v="CAPITAL INDUSTRIES, INC."/>
    <m/>
    <s v="CONTAINERS"/>
    <s v="TBA"/>
    <m/>
    <s v="6 YD"/>
    <s v="FEL/REL/SL Metal"/>
    <d v="2011-11-30T00:00:00"/>
    <d v="2011-11-30T00:00:00"/>
    <s v="2111-11-0011-1"/>
    <n v="1200"/>
    <n v="14050"/>
    <n v="12077.65"/>
    <n v="14056"/>
    <n v="12077.65"/>
    <n v="0"/>
    <n v="0"/>
    <n v="54260"/>
    <n v="0"/>
    <s v="P"/>
    <m/>
    <m/>
    <s v=" "/>
    <s v="STL"/>
    <s v="YES"/>
    <s v="TBD"/>
    <d v="2024-10-09T00:00:00"/>
    <x v="19"/>
    <m/>
    <m/>
    <m/>
    <m/>
    <m/>
    <m/>
    <m/>
    <m/>
    <m/>
    <m/>
    <m/>
  </r>
  <r>
    <n v="2111"/>
    <n v="87853"/>
    <s v="P"/>
    <s v="Capitalized"/>
    <s v="6 Yard FEL Containers - Green"/>
    <m/>
    <m/>
    <n v="7"/>
    <m/>
    <n v="0"/>
    <s v="CAPITAL INDUSTRIES, INC."/>
    <m/>
    <s v="CONTAINERS"/>
    <s v="TBA"/>
    <m/>
    <s v="6 YD"/>
    <s v="FEL/REL/SL Metal"/>
    <d v="2011-11-30T00:00:00"/>
    <d v="2011-11-30T00:00:00"/>
    <s v="2111-11-0011-1"/>
    <n v="1200"/>
    <n v="14050"/>
    <n v="5891.27"/>
    <n v="14056"/>
    <n v="5891.27"/>
    <n v="0"/>
    <n v="0"/>
    <n v="54260"/>
    <n v="0"/>
    <s v="P"/>
    <m/>
    <m/>
    <s v=" "/>
    <s v="STL"/>
    <s v="YES"/>
    <s v="TBD"/>
    <d v="2024-10-09T00:00:00"/>
    <x v="19"/>
    <m/>
    <m/>
    <m/>
    <m/>
    <m/>
    <m/>
    <m/>
    <m/>
    <m/>
    <m/>
    <m/>
  </r>
  <r>
    <n v="2111"/>
    <n v="87852"/>
    <s v="P"/>
    <s v="Capitalized"/>
    <s v="6 Yard FEL Containers - Tan"/>
    <m/>
    <m/>
    <n v="6"/>
    <m/>
    <n v="0"/>
    <s v="CAPITAL INDUSTRIES, INC."/>
    <m/>
    <s v="CONTAINERS"/>
    <s v="TBA"/>
    <m/>
    <s v="6 YD"/>
    <s v="FEL/REL/SL Metal"/>
    <d v="2011-11-30T00:00:00"/>
    <d v="2011-11-30T00:00:00"/>
    <s v="2111-11-0011-1"/>
    <n v="1200"/>
    <n v="14050"/>
    <n v="5574.3"/>
    <n v="14056"/>
    <n v="5574.3"/>
    <n v="0"/>
    <n v="0"/>
    <n v="54260"/>
    <n v="0"/>
    <s v="P"/>
    <m/>
    <m/>
    <s v=" "/>
    <s v="STL"/>
    <s v="YES"/>
    <s v="TBD"/>
    <d v="2024-10-09T00:00:00"/>
    <x v="19"/>
    <m/>
    <m/>
    <m/>
    <m/>
    <m/>
    <m/>
    <m/>
    <m/>
    <m/>
    <m/>
    <m/>
  </r>
  <r>
    <n v="2111"/>
    <n v="87851"/>
    <s v="P"/>
    <s v="Capitalized"/>
    <s v="6 Yard FEL Containers - Tan"/>
    <m/>
    <m/>
    <n v="13"/>
    <m/>
    <n v="0"/>
    <s v="CAPITAL INDUSTRIES, INC."/>
    <m/>
    <s v="CONTAINERS"/>
    <s v="TBA"/>
    <m/>
    <s v="6 YD"/>
    <s v="FEL/REL/SL Metal"/>
    <d v="2011-11-30T00:00:00"/>
    <d v="2011-11-30T00:00:00"/>
    <s v="2111-11-0011-1"/>
    <n v="1200"/>
    <n v="14050"/>
    <n v="12077.65"/>
    <n v="14056"/>
    <n v="12077.65"/>
    <n v="0"/>
    <n v="0"/>
    <n v="54260"/>
    <n v="0"/>
    <s v="P"/>
    <m/>
    <m/>
    <s v=" "/>
    <s v="STL"/>
    <s v="YES"/>
    <s v="TBD"/>
    <d v="2024-10-09T00:00:00"/>
    <x v="19"/>
    <m/>
    <m/>
    <m/>
    <m/>
    <m/>
    <m/>
    <m/>
    <m/>
    <m/>
    <m/>
    <m/>
  </r>
  <r>
    <n v="2111"/>
    <n v="87850"/>
    <s v="P"/>
    <s v="Capitalized"/>
    <s v="6 Yard FEL Containers - Tan"/>
    <m/>
    <m/>
    <n v="13"/>
    <m/>
    <n v="0"/>
    <s v="CAPITAL INDUSTRIES, INC."/>
    <m/>
    <s v="CONTAINERS"/>
    <s v="TBA"/>
    <m/>
    <s v="6 YD"/>
    <s v="FEL/REL/SL Metal"/>
    <d v="2011-11-30T00:00:00"/>
    <d v="2011-11-30T00:00:00"/>
    <s v="2111-11-0011-1"/>
    <n v="1200"/>
    <n v="14050"/>
    <n v="12077.65"/>
    <n v="14056"/>
    <n v="12077.65"/>
    <n v="0"/>
    <n v="0"/>
    <n v="54260"/>
    <n v="0"/>
    <s v="P"/>
    <m/>
    <m/>
    <s v=" "/>
    <s v="STL"/>
    <s v="YES"/>
    <s v="TBD"/>
    <d v="2024-10-09T00:00:00"/>
    <x v="19"/>
    <m/>
    <m/>
    <m/>
    <m/>
    <m/>
    <m/>
    <m/>
    <m/>
    <m/>
    <m/>
    <m/>
  </r>
  <r>
    <n v="2111"/>
    <n v="87849"/>
    <s v="P"/>
    <s v="Capitalized"/>
    <s v="6 Yard FEL Containers - Green"/>
    <m/>
    <m/>
    <n v="2"/>
    <m/>
    <n v="0"/>
    <s v="CAPITAL INDUSTRIES, INC."/>
    <m/>
    <s v="CONTAINERS"/>
    <s v="TBA"/>
    <m/>
    <s v="6 YD"/>
    <s v="FEL/REL/SL Metal"/>
    <d v="2011-11-30T00:00:00"/>
    <d v="2011-11-30T00:00:00"/>
    <s v="2111-11-0011-1"/>
    <n v="1200"/>
    <n v="14050"/>
    <n v="1683.22"/>
    <n v="14056"/>
    <n v="1683.22"/>
    <n v="0"/>
    <n v="0"/>
    <n v="54260"/>
    <n v="0"/>
    <s v="P"/>
    <m/>
    <m/>
    <s v=" "/>
    <s v="STL"/>
    <s v="YES"/>
    <s v="TBD"/>
    <d v="2024-10-09T00:00:00"/>
    <x v="19"/>
    <m/>
    <m/>
    <m/>
    <m/>
    <m/>
    <m/>
    <m/>
    <m/>
    <m/>
    <m/>
    <m/>
  </r>
  <r>
    <n v="2111"/>
    <n v="87848"/>
    <s v="P"/>
    <s v="Capitalized"/>
    <s v="6 Yard FEL Containers - Green"/>
    <m/>
    <m/>
    <n v="7"/>
    <m/>
    <n v="0"/>
    <s v="CAPITAL INDUSTRIES, INC."/>
    <m/>
    <s v="CONTAINERS"/>
    <s v="TBA"/>
    <m/>
    <s v="6 YD"/>
    <s v="FEL/REL/SL Metal"/>
    <d v="2011-11-30T00:00:00"/>
    <d v="2011-11-30T00:00:00"/>
    <s v="2111-11-0011-1"/>
    <n v="1200"/>
    <n v="14050"/>
    <n v="5891.27"/>
    <n v="14056"/>
    <n v="5891.27"/>
    <n v="0"/>
    <n v="0"/>
    <n v="54260"/>
    <n v="0"/>
    <s v="P"/>
    <m/>
    <m/>
    <s v=" "/>
    <s v="STL"/>
    <s v="YES"/>
    <s v="TBD"/>
    <d v="2024-10-09T00:00:00"/>
    <x v="19"/>
    <m/>
    <m/>
    <m/>
    <m/>
    <m/>
    <m/>
    <m/>
    <m/>
    <m/>
    <m/>
    <m/>
  </r>
  <r>
    <n v="2111"/>
    <n v="87697"/>
    <n v="80817"/>
    <s v="Capitalized"/>
    <s v="Use Tax on RM Licenses"/>
    <m/>
    <m/>
    <n v="1"/>
    <m/>
    <n v="0"/>
    <s v="Desert Micro"/>
    <m/>
    <s v="HARDWARE AND SOFTWARE"/>
    <s v="TBA"/>
    <m/>
    <m/>
    <m/>
    <d v="2011-04-04T00:00:00"/>
    <d v="2011-04-04T00:00:00"/>
    <s v="2111-11-0026-1"/>
    <n v="300"/>
    <n v="14110"/>
    <n v="162.75"/>
    <n v="14116"/>
    <n v="162.75"/>
    <n v="0"/>
    <n v="0"/>
    <n v="70260"/>
    <n v="0"/>
    <s v="P"/>
    <m/>
    <m/>
    <s v=" "/>
    <s v="STL"/>
    <s v="YES"/>
    <s v="TBD"/>
    <d v="2024-10-09T00:00:00"/>
    <x v="19"/>
    <m/>
    <m/>
    <m/>
    <m/>
    <m/>
    <m/>
    <m/>
    <m/>
    <m/>
    <m/>
    <m/>
  </r>
  <r>
    <n v="2111"/>
    <n v="87404"/>
    <s v="P"/>
    <s v="Capitalized"/>
    <s v="1.5 Yard REL Garbage Container -- Green"/>
    <m/>
    <m/>
    <n v="1"/>
    <m/>
    <n v="0"/>
    <s v="CAPITAL INDUSTRIES, INC."/>
    <m/>
    <s v="CONTAINERS"/>
    <s v="TBA"/>
    <m/>
    <s v="1.5 YD"/>
    <s v="FEL/REL/SL Metal"/>
    <d v="2011-10-31T00:00:00"/>
    <d v="2011-10-31T00:00:00"/>
    <s v="2111-11-0013-1"/>
    <n v="1200"/>
    <n v="14050"/>
    <n v="486.39"/>
    <n v="14056"/>
    <n v="486.39"/>
    <n v="0"/>
    <n v="0"/>
    <n v="54260"/>
    <n v="0"/>
    <s v="P"/>
    <m/>
    <m/>
    <s v=" "/>
    <s v="STL"/>
    <s v="YES"/>
    <s v="TBD"/>
    <d v="2024-10-09T00:00:00"/>
    <x v="19"/>
    <m/>
    <m/>
    <m/>
    <m/>
    <m/>
    <m/>
    <m/>
    <m/>
    <m/>
    <m/>
    <m/>
  </r>
  <r>
    <n v="2111"/>
    <n v="87403"/>
    <s v="P"/>
    <s v="Capitalized"/>
    <s v="1.5 Yard REL Garbage Containers -- Green"/>
    <m/>
    <m/>
    <n v="12"/>
    <m/>
    <n v="0"/>
    <s v="CAPITAL INDUSTRIES, INC."/>
    <m/>
    <s v="CONTAINERS"/>
    <s v="TBA"/>
    <m/>
    <s v="1.5 YD"/>
    <s v="FEL/REL/SL Metal"/>
    <d v="2011-10-31T00:00:00"/>
    <d v="2011-10-31T00:00:00"/>
    <s v="2111-11-0013-1"/>
    <n v="1200"/>
    <n v="14050"/>
    <n v="5836.62"/>
    <n v="14056"/>
    <n v="5836.62"/>
    <n v="0"/>
    <n v="0"/>
    <n v="54260"/>
    <n v="0"/>
    <s v="P"/>
    <m/>
    <m/>
    <s v=" "/>
    <s v="STL"/>
    <s v="YES"/>
    <s v="TBD"/>
    <d v="2024-10-09T00:00:00"/>
    <x v="19"/>
    <m/>
    <m/>
    <m/>
    <m/>
    <m/>
    <m/>
    <m/>
    <m/>
    <m/>
    <m/>
    <m/>
  </r>
  <r>
    <n v="2111"/>
    <n v="87402"/>
    <s v="P"/>
    <s v="Capitalized"/>
    <s v="1.5 Yard REL Garbage Containers -- Green"/>
    <m/>
    <m/>
    <n v="2"/>
    <m/>
    <n v="0"/>
    <s v="CAPITAL INDUSTRIES, INC."/>
    <m/>
    <s v="CONTAINERS"/>
    <s v="TBA"/>
    <m/>
    <s v="1.5 YD"/>
    <s v="FEL/REL/SL Metal"/>
    <d v="2011-10-31T00:00:00"/>
    <d v="2011-10-31T00:00:00"/>
    <s v="2111-11-0013-1"/>
    <n v="1200"/>
    <n v="14050"/>
    <n v="972.77"/>
    <n v="14056"/>
    <n v="972.77"/>
    <n v="0"/>
    <n v="0"/>
    <n v="54260"/>
    <n v="0"/>
    <s v="P"/>
    <m/>
    <m/>
    <s v=" "/>
    <s v="STL"/>
    <s v="YES"/>
    <s v="TBD"/>
    <d v="2024-10-09T00:00:00"/>
    <x v="19"/>
    <m/>
    <m/>
    <m/>
    <m/>
    <m/>
    <m/>
    <m/>
    <m/>
    <m/>
    <m/>
    <m/>
  </r>
  <r>
    <n v="2111"/>
    <n v="86523"/>
    <s v="P"/>
    <s v="Capitalized"/>
    <s v="HP Pro 3130 PC (SN = SMXL11609TB)"/>
    <m/>
    <m/>
    <n v="1"/>
    <m/>
    <n v="0"/>
    <s v="CDW"/>
    <m/>
    <s v="HARDWARE AND SOFTWARE"/>
    <s v="TBA"/>
    <m/>
    <m/>
    <m/>
    <d v="2011-09-27T00:00:00"/>
    <d v="2011-09-27T00:00:00"/>
    <s v="2111-11-0028-1"/>
    <n v="300"/>
    <n v="14110"/>
    <n v="593.86"/>
    <n v="14116"/>
    <n v="593.86"/>
    <n v="0"/>
    <n v="0"/>
    <n v="70260"/>
    <n v="0"/>
    <s v="P"/>
    <m/>
    <m/>
    <s v=" "/>
    <s v="STL"/>
    <s v="YES"/>
    <s v="TBD"/>
    <d v="2024-10-09T00:00:00"/>
    <x v="19"/>
    <m/>
    <m/>
    <m/>
    <m/>
    <m/>
    <m/>
    <m/>
    <m/>
    <m/>
    <m/>
    <m/>
  </r>
  <r>
    <n v="2111"/>
    <n v="86151"/>
    <s v="P"/>
    <s v="Capitalized"/>
    <s v="95 Gallon Carts - Dark Aqua Blue"/>
    <m/>
    <m/>
    <n v="486"/>
    <m/>
    <n v="0"/>
    <s v="REHRIG PACIFIC COMPANY"/>
    <m/>
    <s v="CONTAINERS"/>
    <s v="TBA"/>
    <m/>
    <m/>
    <m/>
    <d v="2011-08-31T00:00:00"/>
    <d v="2011-08-31T00:00:00"/>
    <s v="2111-11-0010-1"/>
    <n v="700"/>
    <n v="14050"/>
    <n v="26150.87"/>
    <n v="14056"/>
    <n v="26150.87"/>
    <n v="0"/>
    <n v="0"/>
    <n v="54260"/>
    <n v="0"/>
    <s v="P"/>
    <m/>
    <m/>
    <s v=" "/>
    <s v="STL"/>
    <s v="YES"/>
    <s v="TBD"/>
    <d v="2024-10-09T00:00:00"/>
    <x v="19"/>
    <m/>
    <m/>
    <m/>
    <m/>
    <m/>
    <m/>
    <m/>
    <m/>
    <m/>
    <m/>
    <m/>
  </r>
  <r>
    <n v="2111"/>
    <n v="85380"/>
    <n v="85258"/>
    <s v="Capitalized"/>
    <s v="Truck 185 Wet Kit for Used Transfer Tractor"/>
    <m/>
    <m/>
    <n v="1"/>
    <s v="1XPFDB9X75D874502"/>
    <n v="2005"/>
    <m/>
    <m/>
    <s v="TRUCKS AND TRAILERS"/>
    <s v="TBA"/>
    <s v="Non-Rolling Stock"/>
    <m/>
    <m/>
    <d v="2011-07-31T00:00:00"/>
    <d v="2011-07-31T00:00:00"/>
    <s v="2111-11-0005-1"/>
    <n v="300"/>
    <n v="14040"/>
    <n v="3825.5"/>
    <n v="14046"/>
    <n v="3825.5"/>
    <n v="0"/>
    <n v="0"/>
    <n v="51260"/>
    <n v="0"/>
    <s v="P"/>
    <m/>
    <m/>
    <s v=" "/>
    <s v="STL"/>
    <s v="YES"/>
    <s v="TBD"/>
    <d v="2024-10-09T00:00:00"/>
    <x v="19"/>
    <m/>
    <m/>
    <m/>
    <m/>
    <m/>
    <m/>
    <m/>
    <m/>
    <m/>
    <m/>
    <m/>
  </r>
  <r>
    <n v="2111"/>
    <n v="85258"/>
    <s v="P"/>
    <s v="Capitalized"/>
    <s v="Used 2005 Peterbilt 378 Tractor"/>
    <m/>
    <m/>
    <n v="1"/>
    <s v="1XPFDB9X75D874502"/>
    <n v="2005"/>
    <s v="Peterbilt 378"/>
    <s v="N/A"/>
    <s v="TRUCKS AND TRAILERS"/>
    <s v="TBA"/>
    <s v="Road Tractor"/>
    <m/>
    <m/>
    <d v="2011-07-31T00:00:00"/>
    <d v="2011-07-31T00:00:00"/>
    <s v="2111-11-0005-1"/>
    <n v="300"/>
    <n v="14040"/>
    <n v="71987.66"/>
    <n v="14046"/>
    <n v="71987.66"/>
    <n v="0"/>
    <n v="0"/>
    <n v="51260"/>
    <n v="0"/>
    <s v="P"/>
    <m/>
    <n v="185"/>
    <s v=" "/>
    <s v="STL"/>
    <s v="YES"/>
    <s v="TBD"/>
    <d v="2024-10-09T00:00:00"/>
    <x v="19"/>
    <m/>
    <m/>
    <m/>
    <m/>
    <m/>
    <m/>
    <m/>
    <m/>
    <m/>
    <m/>
    <m/>
  </r>
  <r>
    <n v="2111"/>
    <n v="85182"/>
    <s v="P"/>
    <s v="Capitalized"/>
    <s v="95 Gallon YW Carts - Dark Blue"/>
    <m/>
    <m/>
    <n v="486"/>
    <m/>
    <n v="0"/>
    <s v="REHRIG PACIFIC COMPANY"/>
    <m/>
    <s v="CONTAINERS"/>
    <s v="TBA"/>
    <m/>
    <m/>
    <m/>
    <d v="2011-07-08T00:00:00"/>
    <d v="2011-07-08T00:00:00"/>
    <s v="2111-11-0009-1"/>
    <n v="700"/>
    <n v="14050"/>
    <n v="26150.87"/>
    <n v="14056"/>
    <n v="26150.87"/>
    <n v="0"/>
    <n v="0"/>
    <n v="54260"/>
    <n v="0"/>
    <s v="P"/>
    <m/>
    <m/>
    <s v=" "/>
    <s v="STL"/>
    <s v="YES"/>
    <s v="TBD"/>
    <d v="2024-10-09T00:00:00"/>
    <x v="19"/>
    <m/>
    <m/>
    <m/>
    <m/>
    <m/>
    <m/>
    <m/>
    <m/>
    <m/>
    <m/>
    <m/>
  </r>
  <r>
    <n v="2111"/>
    <n v="85181"/>
    <s v="P"/>
    <s v="Capitalized"/>
    <s v="95 Gallon YW Carts - Dark Blue"/>
    <m/>
    <m/>
    <n v="243"/>
    <m/>
    <n v="0"/>
    <s v="REHRIG PACIFIC COMPANY"/>
    <m/>
    <s v="CONTAINERS"/>
    <s v="TBA"/>
    <m/>
    <m/>
    <m/>
    <d v="2011-07-08T00:00:00"/>
    <d v="2011-07-08T00:00:00"/>
    <s v="2111-11-0009-1"/>
    <n v="700"/>
    <n v="14050"/>
    <n v="13075.44"/>
    <n v="14056"/>
    <n v="13075.44"/>
    <n v="0"/>
    <n v="0"/>
    <n v="54260"/>
    <n v="0"/>
    <s v="P"/>
    <m/>
    <m/>
    <s v=" "/>
    <s v="STL"/>
    <s v="YES"/>
    <s v="TBD"/>
    <d v="2024-10-09T00:00:00"/>
    <x v="19"/>
    <m/>
    <m/>
    <m/>
    <m/>
    <m/>
    <m/>
    <m/>
    <m/>
    <m/>
    <m/>
    <m/>
  </r>
  <r>
    <n v="2111"/>
    <n v="85180"/>
    <s v="P"/>
    <s v="Capitalized"/>
    <s v="95 Gallon Recycling Carts - Grey"/>
    <m/>
    <m/>
    <n v="243"/>
    <m/>
    <n v="0"/>
    <s v="REHRIG PACIFIC COMPANY"/>
    <m/>
    <s v="CONTAINERS"/>
    <s v="TBA"/>
    <m/>
    <m/>
    <m/>
    <d v="2011-07-08T00:00:00"/>
    <d v="2011-07-08T00:00:00"/>
    <s v="2111-11-0009-1"/>
    <n v="700"/>
    <n v="14050"/>
    <n v="13341.05"/>
    <n v="14056"/>
    <n v="13341.05"/>
    <n v="0"/>
    <n v="0"/>
    <n v="54260"/>
    <n v="0"/>
    <s v="P"/>
    <m/>
    <m/>
    <s v=" "/>
    <s v="STL"/>
    <s v="YES"/>
    <s v="TBD"/>
    <d v="2024-10-09T00:00:00"/>
    <x v="19"/>
    <m/>
    <m/>
    <m/>
    <m/>
    <m/>
    <m/>
    <m/>
    <m/>
    <m/>
    <m/>
    <m/>
  </r>
  <r>
    <n v="2111"/>
    <n v="85049"/>
    <s v="P"/>
    <s v="Capitalized"/>
    <s v="2 Yard Bear Proof REL Containers"/>
    <m/>
    <m/>
    <n v="45"/>
    <m/>
    <n v="0"/>
    <s v="ENTERPRISE SALES, INC"/>
    <m/>
    <s v="CONTAINERS"/>
    <s v="TBA"/>
    <m/>
    <s v="2 YD"/>
    <s v="FEL/REL/SL Metal"/>
    <d v="2011-06-30T00:00:00"/>
    <d v="2011-06-30T00:00:00"/>
    <s v="2111-11-0021-1"/>
    <n v="1200"/>
    <n v="14050"/>
    <n v="35855.870000000003"/>
    <n v="14056"/>
    <n v="35855.870000000003"/>
    <n v="0"/>
    <n v="0"/>
    <n v="54260"/>
    <n v="0"/>
    <s v="P"/>
    <m/>
    <m/>
    <s v=" "/>
    <s v="STL"/>
    <s v="YES"/>
    <s v="TBD"/>
    <d v="2024-10-09T00:00:00"/>
    <x v="19"/>
    <m/>
    <m/>
    <m/>
    <m/>
    <m/>
    <m/>
    <m/>
    <m/>
    <m/>
    <m/>
    <m/>
  </r>
  <r>
    <n v="2111"/>
    <n v="81008"/>
    <n v="31293"/>
    <s v="Capitalized"/>
    <s v="Replace Engine &amp; Rebuild Transmission for Unit# 708-01"/>
    <m/>
    <m/>
    <n v="1"/>
    <m/>
    <n v="0"/>
    <s v="NC MACHINERY CO"/>
    <m/>
    <s v="HEAVY EQUIPMENT"/>
    <s v="TBA"/>
    <s v="Non-Rolling Stock"/>
    <m/>
    <m/>
    <d v="2011-01-15T00:00:00"/>
    <d v="2011-01-15T00:00:00"/>
    <s v="2190-11-0041-1"/>
    <n v="300"/>
    <n v="14030"/>
    <n v="36961.360000000001"/>
    <n v="14036"/>
    <n v="36961.360000000001"/>
    <n v="0"/>
    <n v="0"/>
    <n v="51260"/>
    <n v="0"/>
    <s v="P"/>
    <m/>
    <m/>
    <s v=" "/>
    <s v="STL"/>
    <s v="YES"/>
    <s v="TBD"/>
    <d v="2024-10-09T00:00:00"/>
    <x v="19"/>
    <m/>
    <m/>
    <m/>
    <m/>
    <m/>
    <m/>
    <m/>
    <m/>
    <m/>
    <m/>
    <m/>
  </r>
  <r>
    <n v="2111"/>
    <n v="80817"/>
    <s v="P"/>
    <s v="Capitalized"/>
    <s v="RouteManager Licenses 2 Users for Murreys"/>
    <m/>
    <m/>
    <n v="1"/>
    <m/>
    <n v="0"/>
    <s v="DESERT MICRO"/>
    <m/>
    <s v="HARDWARE AND SOFTWARE"/>
    <s v="TBA"/>
    <m/>
    <m/>
    <m/>
    <d v="2011-04-04T00:00:00"/>
    <d v="2011-04-04T00:00:00"/>
    <s v="2111-11-0026-1"/>
    <n v="300"/>
    <n v="14110"/>
    <n v="1750"/>
    <n v="14116"/>
    <n v="1750"/>
    <n v="0"/>
    <n v="0"/>
    <n v="70260"/>
    <n v="0"/>
    <s v="P"/>
    <m/>
    <m/>
    <s v=" "/>
    <s v="STL"/>
    <s v="YES"/>
    <s v="TBD"/>
    <d v="2024-10-09T00:00:00"/>
    <x v="19"/>
    <m/>
    <m/>
    <m/>
    <m/>
    <m/>
    <m/>
    <m/>
    <m/>
    <m/>
    <m/>
    <m/>
  </r>
  <r>
    <n v="2111"/>
    <n v="80693"/>
    <s v="P"/>
    <s v="Capitalized"/>
    <s v="(11) Drive Cam Units"/>
    <m/>
    <m/>
    <n v="1"/>
    <m/>
    <n v="0"/>
    <s v="Drivecam"/>
    <m/>
    <s v="SHOP EQUIPMENT"/>
    <s v="TBA"/>
    <m/>
    <m/>
    <m/>
    <d v="2011-01-01T00:00:00"/>
    <d v="2011-01-01T00:00:00"/>
    <s v="2111-10-0033-1"/>
    <n v="500"/>
    <n v="14070"/>
    <n v="6260.49"/>
    <n v="14076"/>
    <n v="6260.49"/>
    <n v="0"/>
    <n v="0"/>
    <n v="51260"/>
    <n v="0"/>
    <s v="P"/>
    <m/>
    <m/>
    <s v=" "/>
    <s v="STL"/>
    <s v="YES"/>
    <s v="TBD"/>
    <d v="2024-10-09T00:00:00"/>
    <x v="19"/>
    <m/>
    <m/>
    <m/>
    <m/>
    <m/>
    <m/>
    <m/>
    <m/>
    <m/>
    <m/>
    <m/>
  </r>
  <r>
    <n v="2111"/>
    <n v="80515"/>
    <n v="80514"/>
    <s v="Capitalized"/>
    <s v="1Yard REL Waste Containers - Additional Funds"/>
    <m/>
    <m/>
    <n v="12"/>
    <m/>
    <n v="0"/>
    <s v="CAPITAL INDUSTRIES, INC."/>
    <m/>
    <s v="CONTAINERS"/>
    <s v="TBA"/>
    <m/>
    <m/>
    <m/>
    <d v="2011-01-01T00:00:00"/>
    <d v="2011-01-01T00:00:00"/>
    <s v="2111-10-0032-3"/>
    <n v="1200"/>
    <n v="14050"/>
    <n v="590"/>
    <n v="14056"/>
    <n v="590"/>
    <n v="0"/>
    <n v="0"/>
    <n v="54260"/>
    <n v="0"/>
    <s v="P"/>
    <m/>
    <m/>
    <s v=" "/>
    <s v="STL"/>
    <s v="YES"/>
    <s v="TBD"/>
    <d v="2024-10-09T00:00:00"/>
    <x v="19"/>
    <m/>
    <m/>
    <m/>
    <m/>
    <m/>
    <m/>
    <m/>
    <m/>
    <m/>
    <m/>
    <m/>
  </r>
  <r>
    <n v="2111"/>
    <n v="80514"/>
    <s v="P"/>
    <s v="Capitalized"/>
    <s v="1Yard REL Waste Containers"/>
    <m/>
    <m/>
    <n v="12"/>
    <m/>
    <n v="0"/>
    <s v="CAPITAL INDUSTRIES, INC."/>
    <m/>
    <s v="CONTAINERS"/>
    <s v="TBA"/>
    <m/>
    <s v="1 YD"/>
    <s v="FEL/REL/SL Metal"/>
    <d v="2011-01-01T00:00:00"/>
    <d v="2011-01-01T00:00:00"/>
    <s v="2111-10-0032-1"/>
    <n v="1200"/>
    <n v="14050"/>
    <n v="4886"/>
    <n v="14056"/>
    <n v="4886"/>
    <n v="0"/>
    <n v="0"/>
    <n v="54260"/>
    <n v="0"/>
    <s v="P"/>
    <m/>
    <m/>
    <s v=" "/>
    <s v="STL"/>
    <s v="YES"/>
    <s v="TBD"/>
    <d v="2024-10-09T00:00:00"/>
    <x v="19"/>
    <m/>
    <m/>
    <m/>
    <m/>
    <m/>
    <m/>
    <m/>
    <m/>
    <m/>
    <m/>
    <m/>
  </r>
  <r>
    <n v="2111"/>
    <n v="79173"/>
    <s v="P"/>
    <s v="Capitalized"/>
    <s v="1 YD REL Containers"/>
    <m/>
    <m/>
    <n v="9"/>
    <m/>
    <n v="0"/>
    <s v="CAPITAL INDUSTRIES, INC."/>
    <m/>
    <s v="CONTAINERS"/>
    <s v="TBA"/>
    <m/>
    <s v="1 YD"/>
    <s v="FEL/REL/SL Metal"/>
    <d v="2010-12-31T00:00:00"/>
    <d v="2010-12-31T00:00:00"/>
    <s v="2111-10-0032-3"/>
    <n v="1200"/>
    <n v="14050"/>
    <n v="4131.54"/>
    <n v="14056"/>
    <n v="4131.54"/>
    <n v="0"/>
    <n v="0"/>
    <n v="54260"/>
    <n v="0"/>
    <s v="P"/>
    <m/>
    <m/>
    <s v=" "/>
    <s v="STL"/>
    <s v="YES"/>
    <s v="TBD"/>
    <d v="2024-10-09T00:00:00"/>
    <x v="19"/>
    <m/>
    <m/>
    <m/>
    <m/>
    <m/>
    <m/>
    <m/>
    <m/>
    <m/>
    <m/>
    <m/>
  </r>
  <r>
    <n v="2111"/>
    <n v="79157"/>
    <s v="P"/>
    <s v="Capitalized"/>
    <s v="2Yard REL Containers"/>
    <m/>
    <m/>
    <n v="6"/>
    <m/>
    <n v="0"/>
    <s v="CAPITAL INDUSTRIES, INC."/>
    <m/>
    <s v="CONTAINERS"/>
    <s v="TBA"/>
    <m/>
    <s v="2 YD"/>
    <s v="FEL/REL/SL Metal"/>
    <d v="2010-12-21T00:00:00"/>
    <d v="2010-12-21T00:00:00"/>
    <s v="2111-10-0032-3"/>
    <n v="1200"/>
    <n v="14050"/>
    <n v="3147.84"/>
    <n v="14056"/>
    <n v="3147.84"/>
    <n v="0"/>
    <n v="0"/>
    <n v="54260"/>
    <n v="0"/>
    <s v="P"/>
    <m/>
    <m/>
    <s v=" "/>
    <s v="STL"/>
    <s v="YES"/>
    <s v="TBD"/>
    <d v="2024-10-09T00:00:00"/>
    <x v="19"/>
    <m/>
    <m/>
    <m/>
    <m/>
    <m/>
    <m/>
    <m/>
    <m/>
    <m/>
    <m/>
    <m/>
  </r>
  <r>
    <n v="2111"/>
    <n v="79156"/>
    <s v="P"/>
    <s v="Capitalized"/>
    <s v="2 YD REL Container"/>
    <m/>
    <m/>
    <n v="2"/>
    <m/>
    <n v="0"/>
    <s v="CAPITAL INDUSTRIES, INC."/>
    <m/>
    <s v="CONTAINERS"/>
    <s v="TBA"/>
    <m/>
    <s v="2 YD"/>
    <s v="FEL/REL/SL Metal"/>
    <d v="2010-12-21T00:00:00"/>
    <d v="2010-12-21T00:00:00"/>
    <s v="2111-10-0032-1"/>
    <n v="1200"/>
    <n v="14050"/>
    <n v="163.96"/>
    <n v="14056"/>
    <n v="163.96"/>
    <n v="0"/>
    <n v="0"/>
    <n v="54260"/>
    <n v="0"/>
    <s v="P"/>
    <m/>
    <m/>
    <s v=" "/>
    <s v="STL"/>
    <s v="YES"/>
    <s v="TBD"/>
    <d v="2024-10-09T00:00:00"/>
    <x v="19"/>
    <m/>
    <m/>
    <m/>
    <m/>
    <m/>
    <m/>
    <m/>
    <m/>
    <m/>
    <m/>
    <m/>
  </r>
  <r>
    <n v="2111"/>
    <n v="79155"/>
    <s v="P"/>
    <s v="Capitalized"/>
    <s v="2 YD REL Containers"/>
    <m/>
    <m/>
    <n v="12"/>
    <m/>
    <n v="0"/>
    <s v="CAPITAL INDUSTRIES, INC."/>
    <m/>
    <s v="CONTAINERS"/>
    <s v="TBA"/>
    <m/>
    <s v="2 YD"/>
    <s v="FEL/REL/SL Metal"/>
    <d v="2010-12-21T00:00:00"/>
    <d v="2010-12-21T00:00:00"/>
    <s v="2111-10-0032-2"/>
    <n v="1200"/>
    <n v="14050"/>
    <n v="7181"/>
    <n v="14056"/>
    <n v="7181"/>
    <n v="0"/>
    <n v="0"/>
    <n v="54260"/>
    <n v="0"/>
    <s v="P"/>
    <m/>
    <m/>
    <s v=" "/>
    <s v="STL"/>
    <s v="YES"/>
    <s v="TBD"/>
    <d v="2024-10-09T00:00:00"/>
    <x v="19"/>
    <m/>
    <m/>
    <m/>
    <m/>
    <m/>
    <m/>
    <m/>
    <m/>
    <m/>
    <m/>
    <m/>
  </r>
  <r>
    <n v="2111"/>
    <n v="79154"/>
    <s v="P"/>
    <s v="Capitalized"/>
    <s v="1 YD REL Containers"/>
    <m/>
    <m/>
    <n v="9"/>
    <m/>
    <n v="0"/>
    <s v="CAPITAL INDUSTRIES, INC."/>
    <m/>
    <s v="CONTAINERS"/>
    <s v="TBA"/>
    <m/>
    <s v="1 YD"/>
    <s v="FEL/REL/SL Metal"/>
    <d v="2010-12-21T00:00:00"/>
    <d v="2010-12-21T00:00:00"/>
    <s v="2111-10-0032-1"/>
    <n v="1200"/>
    <n v="14050"/>
    <n v="4131.54"/>
    <n v="14056"/>
    <n v="4131.54"/>
    <n v="0"/>
    <n v="0"/>
    <n v="54260"/>
    <n v="0"/>
    <s v="P"/>
    <m/>
    <m/>
    <s v=" "/>
    <s v="STL"/>
    <s v="YES"/>
    <s v="TBD"/>
    <d v="2024-10-09T00:00:00"/>
    <x v="19"/>
    <m/>
    <m/>
    <m/>
    <m/>
    <m/>
    <m/>
    <m/>
    <m/>
    <m/>
    <m/>
    <m/>
  </r>
  <r>
    <n v="2111"/>
    <n v="79152"/>
    <s v="P"/>
    <s v="Capitalized"/>
    <s v="2 YD REL Containers"/>
    <m/>
    <m/>
    <n v="8"/>
    <m/>
    <n v="0"/>
    <s v="CAPITAL INDUSTRIES, INC."/>
    <m/>
    <s v="CONTAINERS"/>
    <s v="TBA"/>
    <m/>
    <s v="2 YD"/>
    <s v="FEL/REL/SL Metal"/>
    <d v="2010-12-20T00:00:00"/>
    <d v="2010-12-20T00:00:00"/>
    <s v="2111-10-0032-3"/>
    <n v="1200"/>
    <n v="14050"/>
    <n v="4197.12"/>
    <n v="14056"/>
    <n v="4197.12"/>
    <n v="0"/>
    <n v="0"/>
    <n v="54260"/>
    <n v="0"/>
    <s v="P"/>
    <m/>
    <m/>
    <s v=" "/>
    <s v="STL"/>
    <s v="YES"/>
    <s v="TBD"/>
    <d v="2024-10-09T00:00:00"/>
    <x v="19"/>
    <m/>
    <m/>
    <m/>
    <m/>
    <m/>
    <m/>
    <m/>
    <m/>
    <m/>
    <m/>
    <m/>
  </r>
  <r>
    <n v="2111"/>
    <n v="79144"/>
    <s v="P"/>
    <s v="Capitalized"/>
    <s v="95 Gallon Yard Waste Carts"/>
    <m/>
    <m/>
    <n v="486"/>
    <m/>
    <n v="0"/>
    <s v="REHRIG PACIFIC COMPANY"/>
    <m/>
    <s v="CONTAINERS"/>
    <s v="TBA"/>
    <m/>
    <m/>
    <m/>
    <d v="2010-11-28T00:00:00"/>
    <d v="2010-11-28T00:00:00"/>
    <s v="2111-10-0004-1"/>
    <n v="700"/>
    <n v="14050"/>
    <n v="23872.04"/>
    <n v="14056"/>
    <n v="23872.04"/>
    <n v="0"/>
    <n v="0"/>
    <n v="54260"/>
    <n v="0"/>
    <s v="P"/>
    <m/>
    <m/>
    <s v=" "/>
    <s v="STL"/>
    <s v="YES"/>
    <s v="TBD"/>
    <d v="2024-10-09T00:00:00"/>
    <x v="19"/>
    <m/>
    <m/>
    <m/>
    <m/>
    <m/>
    <m/>
    <m/>
    <m/>
    <m/>
    <m/>
    <m/>
  </r>
  <r>
    <n v="2111"/>
    <n v="78044"/>
    <s v="P"/>
    <s v="Capitalized"/>
    <s v="Used Tire Machine"/>
    <m/>
    <m/>
    <n v="1"/>
    <m/>
    <n v="0"/>
    <s v="GCR TACOMA TIRE CENTER"/>
    <m/>
    <s v="SHOP EQUIPMENT"/>
    <s v="TBA"/>
    <m/>
    <m/>
    <m/>
    <d v="2010-11-19T00:00:00"/>
    <d v="2010-11-19T00:00:00"/>
    <s v="2111-10-0031-1"/>
    <n v="500"/>
    <n v="14070"/>
    <n v="7651"/>
    <n v="14076"/>
    <n v="7651"/>
    <n v="0"/>
    <n v="0"/>
    <n v="51260"/>
    <n v="0"/>
    <s v="P"/>
    <m/>
    <m/>
    <s v=" "/>
    <s v="STL"/>
    <s v="YES"/>
    <s v="TBD"/>
    <d v="2024-10-09T00:00:00"/>
    <x v="19"/>
    <m/>
    <m/>
    <m/>
    <m/>
    <m/>
    <m/>
    <m/>
    <m/>
    <m/>
    <m/>
    <m/>
  </r>
  <r>
    <n v="2111"/>
    <n v="78016"/>
    <n v="9536"/>
    <s v="Capitalized"/>
    <s v="Inframe Repair Trk#169"/>
    <m/>
    <m/>
    <n v="1"/>
    <m/>
    <n v="0"/>
    <s v="KENWORTH NORTHWEST INC"/>
    <m/>
    <s v="TRUCKS AND TRAILERS"/>
    <s v="TBA"/>
    <s v="Non-Rolling Stock"/>
    <m/>
    <m/>
    <d v="2010-10-28T00:00:00"/>
    <d v="2010-10-28T00:00:00"/>
    <s v="2111-10-0005-1"/>
    <n v="300"/>
    <n v="14040"/>
    <n v="12406"/>
    <n v="14046"/>
    <n v="12406"/>
    <n v="0"/>
    <n v="0"/>
    <n v="51260"/>
    <n v="0"/>
    <s v="P"/>
    <m/>
    <m/>
    <s v=" "/>
    <s v="STL"/>
    <s v="YES"/>
    <s v="TBD"/>
    <d v="2024-10-09T00:00:00"/>
    <x v="19"/>
    <m/>
    <m/>
    <m/>
    <m/>
    <m/>
    <m/>
    <m/>
    <m/>
    <m/>
    <m/>
    <m/>
  </r>
  <r>
    <n v="2111"/>
    <n v="77215"/>
    <s v="P"/>
    <s v="Capitalized"/>
    <s v="2YD REL Containers"/>
    <m/>
    <m/>
    <n v="11"/>
    <m/>
    <n v="0"/>
    <s v="CAPITAL INDUSTRIES, INC."/>
    <m/>
    <s v="CONTAINERS"/>
    <s v="TBA"/>
    <m/>
    <s v="2 YD"/>
    <s v="FEL/REL/SL Metal"/>
    <d v="2010-06-22T00:00:00"/>
    <d v="2010-06-22T00:00:00"/>
    <s v="2111-10-0027-3"/>
    <n v="1200"/>
    <n v="14050"/>
    <n v="5584"/>
    <n v="14056"/>
    <n v="5584"/>
    <n v="0"/>
    <n v="0"/>
    <n v="54260"/>
    <n v="0"/>
    <s v="P"/>
    <m/>
    <m/>
    <s v=" "/>
    <s v="STL"/>
    <s v="YES"/>
    <s v="TBD"/>
    <d v="2024-10-09T00:00:00"/>
    <x v="19"/>
    <m/>
    <m/>
    <m/>
    <m/>
    <m/>
    <m/>
    <m/>
    <m/>
    <m/>
    <m/>
    <m/>
  </r>
  <r>
    <n v="2111"/>
    <n v="77214"/>
    <n v="77215"/>
    <s v="Capitalized"/>
    <s v="Rounding for (11) 2YD REL Containers"/>
    <m/>
    <m/>
    <n v="11"/>
    <m/>
    <n v="0"/>
    <s v="CAPITAL INDUSTRIES, INC."/>
    <m/>
    <s v="CONTAINERS"/>
    <s v="TBA"/>
    <m/>
    <m/>
    <m/>
    <d v="2010-06-21T00:00:00"/>
    <d v="2010-06-21T00:00:00"/>
    <s v="2111-10-0027-1"/>
    <n v="1200"/>
    <n v="14050"/>
    <n v="0.7"/>
    <n v="14056"/>
    <n v="0.7"/>
    <n v="0"/>
    <n v="0"/>
    <n v="54260"/>
    <n v="0"/>
    <s v="P"/>
    <m/>
    <m/>
    <s v=" "/>
    <s v="STL"/>
    <s v="YES"/>
    <s v="TBD"/>
    <d v="2024-10-09T00:00:00"/>
    <x v="19"/>
    <m/>
    <m/>
    <m/>
    <m/>
    <m/>
    <m/>
    <m/>
    <m/>
    <m/>
    <m/>
    <m/>
  </r>
  <r>
    <n v="2111"/>
    <n v="77213"/>
    <n v="77215"/>
    <s v="Capitalized"/>
    <s v="Rounding for (11) 2YD REL Containers"/>
    <m/>
    <m/>
    <n v="11"/>
    <m/>
    <n v="0"/>
    <s v="CAPITAL INDUSTRIES, INC."/>
    <m/>
    <s v="CONTAINERS"/>
    <s v="TBA"/>
    <m/>
    <m/>
    <m/>
    <d v="2010-06-21T00:00:00"/>
    <d v="2010-06-21T00:00:00"/>
    <s v="2111-10-0027-2"/>
    <n v="1200"/>
    <n v="14050"/>
    <n v="6"/>
    <n v="14056"/>
    <n v="6"/>
    <n v="0"/>
    <n v="0"/>
    <n v="54260"/>
    <n v="0"/>
    <s v="P"/>
    <m/>
    <m/>
    <s v=" "/>
    <s v="STL"/>
    <s v="YES"/>
    <s v="TBD"/>
    <d v="2024-10-09T00:00:00"/>
    <x v="19"/>
    <m/>
    <m/>
    <m/>
    <m/>
    <m/>
    <m/>
    <m/>
    <m/>
    <m/>
    <m/>
    <m/>
  </r>
  <r>
    <n v="2111"/>
    <n v="76984"/>
    <s v="P"/>
    <s v="Capitalized"/>
    <s v="4 Yard FEL Containers"/>
    <m/>
    <m/>
    <n v="9"/>
    <m/>
    <n v="0"/>
    <s v="CAPITAL INDUSTRIES, INC."/>
    <m/>
    <s v="CONTAINERS"/>
    <s v="TBA"/>
    <m/>
    <s v="4 YD"/>
    <s v="FEL/REL/SL Metal"/>
    <d v="2010-09-01T00:00:00"/>
    <d v="2010-09-01T00:00:00"/>
    <s v="2111-10-0026-3"/>
    <n v="1200"/>
    <n v="14050"/>
    <n v="5705.46"/>
    <n v="14056"/>
    <n v="5705.46"/>
    <n v="0"/>
    <n v="0"/>
    <n v="54260"/>
    <n v="0"/>
    <s v="P"/>
    <m/>
    <m/>
    <s v=" "/>
    <s v="STL"/>
    <s v="YES"/>
    <s v="TBD"/>
    <d v="2024-10-09T00:00:00"/>
    <x v="19"/>
    <m/>
    <m/>
    <m/>
    <m/>
    <m/>
    <m/>
    <m/>
    <m/>
    <m/>
    <m/>
    <m/>
  </r>
  <r>
    <n v="2111"/>
    <n v="76983"/>
    <s v="P"/>
    <s v="Capitalized"/>
    <s v="4Yard FEL Containers"/>
    <m/>
    <m/>
    <n v="14"/>
    <m/>
    <n v="0"/>
    <s v="CAPITAL INDUSTRIES, INC."/>
    <m/>
    <s v="CONTAINERS"/>
    <s v="TBA"/>
    <m/>
    <s v="4 YD"/>
    <s v="FEL/REL/SL Metal"/>
    <d v="2010-09-01T00:00:00"/>
    <d v="2010-09-01T00:00:00"/>
    <s v="2111-10-0026-3"/>
    <n v="1200"/>
    <n v="14050"/>
    <n v="8875.16"/>
    <n v="14056"/>
    <n v="8875.16"/>
    <n v="0"/>
    <n v="0"/>
    <n v="54260"/>
    <n v="0"/>
    <s v="P"/>
    <m/>
    <m/>
    <s v=" "/>
    <s v="STL"/>
    <s v="YES"/>
    <s v="TBD"/>
    <d v="2024-10-09T00:00:00"/>
    <x v="19"/>
    <m/>
    <m/>
    <m/>
    <m/>
    <m/>
    <m/>
    <m/>
    <m/>
    <m/>
    <m/>
    <m/>
  </r>
  <r>
    <n v="2111"/>
    <n v="76982"/>
    <s v="P"/>
    <s v="Capitalized"/>
    <s v="4 Yard FEL Containers"/>
    <m/>
    <m/>
    <n v="14"/>
    <m/>
    <n v="0"/>
    <s v="CAPITAL INDUSTRIES, INC."/>
    <m/>
    <s v="CONTAINERS"/>
    <s v="TBA"/>
    <m/>
    <s v="4 YD"/>
    <s v="FEL/REL/SL Metal"/>
    <d v="2010-09-01T00:00:00"/>
    <d v="2010-09-01T00:00:00"/>
    <s v="2111-10-0026-3"/>
    <n v="1200"/>
    <n v="14050"/>
    <n v="8875.16"/>
    <n v="14056"/>
    <n v="8875.16"/>
    <n v="0"/>
    <n v="0"/>
    <n v="54260"/>
    <n v="0"/>
    <s v="P"/>
    <m/>
    <m/>
    <s v=" "/>
    <s v="STL"/>
    <s v="YES"/>
    <s v="TBD"/>
    <d v="2024-10-09T00:00:00"/>
    <x v="19"/>
    <m/>
    <m/>
    <m/>
    <m/>
    <m/>
    <m/>
    <m/>
    <m/>
    <m/>
    <m/>
    <m/>
  </r>
  <r>
    <n v="2111"/>
    <n v="76981"/>
    <s v="P"/>
    <s v="Capitalized"/>
    <s v="4 Yard FEL Containers"/>
    <m/>
    <m/>
    <n v="13"/>
    <m/>
    <n v="0"/>
    <s v="CAPITAL INDUSTRIES, INC."/>
    <m/>
    <s v="CONTAINERS"/>
    <s v="TBA"/>
    <m/>
    <s v="4 YD"/>
    <s v="FEL/REL/SL Metal"/>
    <d v="2010-09-01T00:00:00"/>
    <d v="2010-09-01T00:00:00"/>
    <s v="2111-10-0026-3"/>
    <n v="1200"/>
    <n v="14050"/>
    <n v="8241.2199999999993"/>
    <n v="14056"/>
    <n v="8241.2199999999993"/>
    <n v="0"/>
    <n v="0"/>
    <n v="54260"/>
    <n v="0"/>
    <s v="P"/>
    <m/>
    <m/>
    <s v=" "/>
    <s v="STL"/>
    <s v="YES"/>
    <s v="TBD"/>
    <d v="2024-10-09T00:00:00"/>
    <x v="19"/>
    <m/>
    <m/>
    <m/>
    <m/>
    <m/>
    <m/>
    <m/>
    <m/>
    <m/>
    <m/>
    <m/>
  </r>
  <r>
    <n v="2111"/>
    <n v="76808"/>
    <s v="P"/>
    <s v="Capitalized"/>
    <s v="HP Pro 3000 PC (SN= SMXL0270ZCC)"/>
    <m/>
    <m/>
    <n v="1"/>
    <m/>
    <n v="0"/>
    <s v="CDW"/>
    <m/>
    <s v="HARDWARE AND SOFTWARE"/>
    <s v="TBA"/>
    <m/>
    <m/>
    <m/>
    <d v="2010-08-30T00:00:00"/>
    <d v="2010-08-30T00:00:00"/>
    <s v="2111-10-0030-1"/>
    <n v="300"/>
    <n v="14110"/>
    <n v="611.54999999999995"/>
    <n v="14116"/>
    <n v="611.54999999999995"/>
    <n v="0"/>
    <n v="0"/>
    <n v="70260"/>
    <n v="0"/>
    <s v="P"/>
    <m/>
    <m/>
    <s v=" "/>
    <s v="STL"/>
    <s v="YES"/>
    <s v="TBD"/>
    <d v="2024-10-09T00:00:00"/>
    <x v="19"/>
    <m/>
    <m/>
    <m/>
    <m/>
    <m/>
    <m/>
    <m/>
    <m/>
    <m/>
    <m/>
    <m/>
  </r>
  <r>
    <n v="2111"/>
    <n v="76740"/>
    <s v="P"/>
    <s v="Capitalized"/>
    <s v="(6) Drive Cam August Installation"/>
    <m/>
    <m/>
    <n v="1"/>
    <m/>
    <n v="0"/>
    <s v="DRIVECAM"/>
    <m/>
    <s v="SHOP EQUIPMENT"/>
    <s v="TBA"/>
    <m/>
    <m/>
    <m/>
    <d v="2010-08-11T00:00:00"/>
    <d v="2010-08-11T00:00:00"/>
    <s v="2111-10-0029-1"/>
    <n v="500"/>
    <n v="14070"/>
    <n v="3359.46"/>
    <n v="14076"/>
    <n v="3359.46"/>
    <n v="0"/>
    <n v="0"/>
    <n v="51260"/>
    <n v="0"/>
    <s v="P"/>
    <m/>
    <m/>
    <s v=" "/>
    <s v="STL"/>
    <s v="YES"/>
    <s v="TBD"/>
    <d v="2024-10-09T00:00:00"/>
    <x v="19"/>
    <m/>
    <m/>
    <m/>
    <m/>
    <m/>
    <m/>
    <m/>
    <m/>
    <m/>
    <m/>
    <m/>
  </r>
  <r>
    <n v="2111"/>
    <n v="76739"/>
    <s v="P"/>
    <s v="Capitalized"/>
    <s v="(2) Drive Cam August Installation"/>
    <m/>
    <m/>
    <n v="1"/>
    <m/>
    <n v="0"/>
    <s v="DRIVECAM"/>
    <m/>
    <s v="SHOP EQUIPMENT"/>
    <s v="TBA"/>
    <m/>
    <m/>
    <m/>
    <d v="2010-08-09T00:00:00"/>
    <d v="2010-08-09T00:00:00"/>
    <s v="2111-10-0029-1"/>
    <n v="500"/>
    <n v="14070"/>
    <n v="1119.82"/>
    <n v="14076"/>
    <n v="1119.82"/>
    <n v="0"/>
    <n v="0"/>
    <n v="51260"/>
    <n v="0"/>
    <s v="P"/>
    <m/>
    <m/>
    <s v=" "/>
    <s v="STL"/>
    <s v="YES"/>
    <s v="TBD"/>
    <d v="2024-10-09T00:00:00"/>
    <x v="19"/>
    <m/>
    <m/>
    <m/>
    <m/>
    <m/>
    <m/>
    <m/>
    <m/>
    <m/>
    <m/>
    <m/>
  </r>
  <r>
    <n v="2111"/>
    <n v="76738"/>
    <s v="P"/>
    <s v="Capitalized"/>
    <s v="(2) Drive Cam  July Installation"/>
    <m/>
    <m/>
    <n v="1"/>
    <m/>
    <n v="0"/>
    <s v="DRIVECAM"/>
    <m/>
    <s v="SHOP EQUIPMENT"/>
    <s v="TBA"/>
    <m/>
    <m/>
    <m/>
    <d v="2010-07-30T00:00:00"/>
    <d v="2010-07-30T00:00:00"/>
    <s v="2111-10-0029-1"/>
    <n v="500"/>
    <n v="14070"/>
    <n v="1119.82"/>
    <n v="14076"/>
    <n v="1119.82"/>
    <n v="0"/>
    <n v="0"/>
    <n v="51260"/>
    <n v="0"/>
    <s v="P"/>
    <m/>
    <m/>
    <s v=" "/>
    <s v="STL"/>
    <s v="YES"/>
    <s v="TBD"/>
    <d v="2024-10-09T00:00:00"/>
    <x v="19"/>
    <m/>
    <m/>
    <m/>
    <m/>
    <m/>
    <m/>
    <m/>
    <m/>
    <m/>
    <m/>
    <m/>
  </r>
  <r>
    <n v="2111"/>
    <n v="76629"/>
    <s v="P"/>
    <s v="Capitalized"/>
    <s v="Preco Radar Back Up - Pilot Program"/>
    <m/>
    <m/>
    <n v="1"/>
    <m/>
    <n v="0"/>
    <s v="Preco Electronics"/>
    <m/>
    <s v="SHOP EQUIPMENT"/>
    <s v="TBA"/>
    <m/>
    <m/>
    <m/>
    <d v="2010-07-23T00:00:00"/>
    <d v="2010-07-23T00:00:00"/>
    <s v="1010-10-0005-1"/>
    <n v="500"/>
    <n v="14070"/>
    <n v="164438"/>
    <n v="14076"/>
    <n v="164438"/>
    <n v="0"/>
    <n v="0"/>
    <n v="51260"/>
    <n v="0"/>
    <s v="P"/>
    <m/>
    <m/>
    <s v=" "/>
    <s v="STL"/>
    <s v="YES"/>
    <s v="TBD"/>
    <d v="2024-10-09T00:00:00"/>
    <x v="19"/>
    <m/>
    <m/>
    <m/>
    <m/>
    <m/>
    <m/>
    <m/>
    <m/>
    <m/>
    <m/>
    <m/>
  </r>
  <r>
    <n v="2111"/>
    <n v="76057"/>
    <n v="73368"/>
    <s v="Capitalized"/>
    <s v="Final Payment for new phone system at Murreys"/>
    <m/>
    <m/>
    <n v="1"/>
    <m/>
    <n v="0"/>
    <s v="Gaynor Telesystems"/>
    <m/>
    <s v="OFFICE EQUIPMENT"/>
    <s v="TBA"/>
    <m/>
    <m/>
    <m/>
    <d v="2010-04-30T00:00:00"/>
    <d v="2010-04-30T00:00:00"/>
    <s v="2111-10-0023-1"/>
    <n v="500"/>
    <n v="14100"/>
    <n v="5000"/>
    <n v="14106"/>
    <n v="5000"/>
    <n v="0"/>
    <n v="0"/>
    <n v="70260"/>
    <n v="0"/>
    <s v="P"/>
    <m/>
    <m/>
    <s v=" "/>
    <s v="STL"/>
    <s v="YES"/>
    <s v="TBD"/>
    <d v="2024-10-09T00:00:00"/>
    <x v="19"/>
    <m/>
    <m/>
    <m/>
    <m/>
    <m/>
    <m/>
    <m/>
    <m/>
    <m/>
    <m/>
    <m/>
  </r>
  <r>
    <n v="2111"/>
    <n v="75742"/>
    <n v="75741"/>
    <s v="Capitalized"/>
    <s v="Sales/Use Tax on 1999 Shred Truck"/>
    <m/>
    <m/>
    <n v="1"/>
    <s v="1G8J6H1C18J04724"/>
    <n v="1999"/>
    <m/>
    <m/>
    <s v="TRUCKS AND TRAILERS"/>
    <s v="TBA"/>
    <s v="Non-Rolling Stock"/>
    <m/>
    <m/>
    <d v="2005-08-15T00:00:00"/>
    <d v="2005-08-15T00:00:00"/>
    <n v="52170001"/>
    <n v="1000"/>
    <n v="14040"/>
    <n v="8008"/>
    <n v="14046"/>
    <n v="8008"/>
    <n v="0"/>
    <n v="0"/>
    <n v="51260"/>
    <n v="0"/>
    <s v="P"/>
    <n v="0"/>
    <m/>
    <s v=" "/>
    <s v="STL"/>
    <s v="YES"/>
    <s v="TBD"/>
    <d v="2024-10-09T00:00:00"/>
    <x v="19"/>
    <m/>
    <m/>
    <m/>
    <m/>
    <m/>
    <m/>
    <m/>
    <m/>
    <m/>
    <m/>
    <m/>
  </r>
  <r>
    <n v="2111"/>
    <n v="75741"/>
    <s v="P"/>
    <s v="Capitalized"/>
    <s v="Chevrolet Kodiak Container Delivery Truck"/>
    <m/>
    <m/>
    <n v="1"/>
    <s v="1GBJ6H1C1XJ107724"/>
    <n v="2005"/>
    <s v="Fort Mac - Les Billett"/>
    <s v="Other"/>
    <s v="TRUCKS AND TRAILERS"/>
    <s v="TBA"/>
    <s v="Container Delivery Truck"/>
    <m/>
    <m/>
    <d v="2005-06-02T00:00:00"/>
    <d v="2005-06-02T00:00:00"/>
    <n v="52170001"/>
    <n v="1000"/>
    <n v="14040"/>
    <n v="88000"/>
    <n v="14046"/>
    <n v="88000"/>
    <n v="0"/>
    <n v="0"/>
    <n v="51260"/>
    <n v="0"/>
    <s v="P"/>
    <n v="0"/>
    <s v="C-3"/>
    <s v=" "/>
    <s v="STL"/>
    <s v="YES"/>
    <s v="TBD"/>
    <d v="2024-10-09T00:00:00"/>
    <x v="19"/>
    <m/>
    <m/>
    <m/>
    <m/>
    <m/>
    <m/>
    <m/>
    <m/>
    <m/>
    <m/>
    <m/>
  </r>
  <r>
    <n v="2111"/>
    <n v="75679"/>
    <s v="P"/>
    <s v="Capitalized"/>
    <s v="2YD FEL Containers - painted safety orange"/>
    <m/>
    <m/>
    <n v="10"/>
    <m/>
    <n v="0"/>
    <s v="CAPITAL INDUSTRIES, INC."/>
    <m/>
    <s v="CONTAINERS"/>
    <s v="TBA"/>
    <m/>
    <s v="2 YD"/>
    <s v="FEL/REL/SL Metal"/>
    <d v="2010-06-30T00:00:00"/>
    <d v="2010-06-30T00:00:00"/>
    <s v="2111-10-0026-2"/>
    <n v="1200"/>
    <n v="14050"/>
    <n v="5027.8"/>
    <n v="14056"/>
    <n v="5027.8"/>
    <n v="0"/>
    <n v="0"/>
    <n v="54260"/>
    <n v="0"/>
    <s v="P"/>
    <m/>
    <m/>
    <s v=" "/>
    <s v="STL"/>
    <s v="YES"/>
    <s v="TBD"/>
    <d v="2024-10-09T00:00:00"/>
    <x v="19"/>
    <m/>
    <m/>
    <m/>
    <m/>
    <m/>
    <m/>
    <m/>
    <m/>
    <m/>
    <m/>
    <m/>
  </r>
  <r>
    <n v="2111"/>
    <n v="75234"/>
    <s v="P"/>
    <s v="Capitalized"/>
    <s v="1Yard REL Containers"/>
    <m/>
    <m/>
    <n v="14"/>
    <m/>
    <n v="0"/>
    <s v="CAPITAL INDUSTRIES, INC."/>
    <m/>
    <s v="CONTAINERS"/>
    <s v="TBA"/>
    <m/>
    <s v="1 YD"/>
    <s v="FEL/REL/SL Metal"/>
    <d v="2010-06-21T00:00:00"/>
    <d v="2010-06-21T00:00:00"/>
    <s v="2111-10-0026-1"/>
    <n v="1200"/>
    <n v="14050"/>
    <n v="6273.82"/>
    <n v="14056"/>
    <n v="6273.82"/>
    <n v="0"/>
    <n v="0"/>
    <n v="54260"/>
    <n v="0"/>
    <s v="P"/>
    <m/>
    <m/>
    <s v=" "/>
    <s v="STL"/>
    <s v="YES"/>
    <s v="TBD"/>
    <d v="2024-10-09T00:00:00"/>
    <x v="19"/>
    <m/>
    <m/>
    <m/>
    <m/>
    <m/>
    <m/>
    <m/>
    <m/>
    <m/>
    <m/>
    <m/>
  </r>
  <r>
    <n v="2111"/>
    <n v="75233"/>
    <s v="P"/>
    <s v="Capitalized"/>
    <s v="1Yard REL Containers"/>
    <m/>
    <m/>
    <n v="1"/>
    <m/>
    <n v="0"/>
    <s v="CAPITAL INDUSTRIES, INC."/>
    <m/>
    <s v="CONTAINERS"/>
    <s v="TBA"/>
    <m/>
    <s v="1 YD"/>
    <s v="FEL/REL/SL Metal"/>
    <d v="2010-06-21T00:00:00"/>
    <d v="2010-06-21T00:00:00"/>
    <s v="2111-10-0026-1"/>
    <n v="1200"/>
    <n v="14050"/>
    <n v="448.13"/>
    <n v="14056"/>
    <n v="448.13"/>
    <n v="0"/>
    <n v="0"/>
    <n v="54260"/>
    <n v="0"/>
    <s v="P"/>
    <m/>
    <m/>
    <s v=" "/>
    <s v="STL"/>
    <s v="YES"/>
    <s v="TBD"/>
    <d v="2024-10-09T00:00:00"/>
    <x v="19"/>
    <m/>
    <m/>
    <m/>
    <m/>
    <m/>
    <m/>
    <m/>
    <m/>
    <m/>
    <m/>
    <m/>
  </r>
  <r>
    <n v="2111"/>
    <n v="75232"/>
    <s v="P"/>
    <s v="Capitalized"/>
    <s v="1 Yard REL Containers"/>
    <m/>
    <m/>
    <n v="15"/>
    <m/>
    <n v="0"/>
    <s v="CAPITAL INDUSTRIES, INC."/>
    <m/>
    <s v="CONTAINERS"/>
    <s v="TBA"/>
    <m/>
    <s v="1 YD"/>
    <s v="FEL/REL/SL Metal"/>
    <d v="2010-06-21T00:00:00"/>
    <d v="2010-06-21T00:00:00"/>
    <s v="2111-10-0026-1"/>
    <n v="1200"/>
    <n v="14050"/>
    <n v="6721.95"/>
    <n v="14056"/>
    <n v="6721.95"/>
    <n v="0"/>
    <n v="0"/>
    <n v="54260"/>
    <n v="0"/>
    <s v="P"/>
    <m/>
    <m/>
    <s v=" "/>
    <s v="STL"/>
    <s v="YES"/>
    <s v="TBD"/>
    <d v="2024-10-09T00:00:00"/>
    <x v="19"/>
    <m/>
    <m/>
    <m/>
    <m/>
    <m/>
    <m/>
    <m/>
    <m/>
    <m/>
    <m/>
    <m/>
  </r>
  <r>
    <n v="2111"/>
    <n v="75231"/>
    <s v="P"/>
    <s v="Capitalized"/>
    <s v="1.5 Yard REL Containers"/>
    <m/>
    <m/>
    <n v="8"/>
    <m/>
    <n v="0"/>
    <s v="CAPITAL INDUSTRIES, INC."/>
    <m/>
    <s v="CONTAINERS"/>
    <s v="TBA"/>
    <m/>
    <s v="1.5 YD"/>
    <s v="FEL/REL/SL Metal"/>
    <d v="2010-06-21T00:00:00"/>
    <d v="2010-06-21T00:00:00"/>
    <s v="2111-10-0027-1"/>
    <n v="1200"/>
    <n v="14050"/>
    <n v="3716.2"/>
    <n v="14056"/>
    <n v="3716.2"/>
    <n v="0"/>
    <n v="0"/>
    <n v="54260"/>
    <n v="0"/>
    <s v="P"/>
    <m/>
    <m/>
    <s v=" "/>
    <s v="STL"/>
    <s v="YES"/>
    <s v="TBD"/>
    <d v="2024-10-09T00:00:00"/>
    <x v="19"/>
    <m/>
    <m/>
    <m/>
    <m/>
    <m/>
    <m/>
    <m/>
    <m/>
    <m/>
    <m/>
    <m/>
  </r>
  <r>
    <n v="2111"/>
    <n v="75230"/>
    <s v="P"/>
    <s v="Capitalized"/>
    <s v="1.5 Yard REL Containers"/>
    <m/>
    <m/>
    <n v="3"/>
    <m/>
    <n v="0"/>
    <s v="CAPITAL INDUSTRIES, INC."/>
    <m/>
    <s v="CONTAINERS"/>
    <s v="TBA"/>
    <m/>
    <s v="1.5 YD"/>
    <s v="FEL/REL/SL Metal"/>
    <d v="2010-06-21T00:00:00"/>
    <d v="2010-06-21T00:00:00"/>
    <s v="2111-10-0027-1"/>
    <n v="1200"/>
    <n v="14050"/>
    <n v="1393.58"/>
    <n v="14056"/>
    <n v="1393.58"/>
    <n v="0"/>
    <n v="0"/>
    <n v="54260"/>
    <n v="0"/>
    <s v="P"/>
    <m/>
    <m/>
    <s v=" "/>
    <s v="STL"/>
    <s v="YES"/>
    <s v="TBD"/>
    <d v="2024-10-09T00:00:00"/>
    <x v="19"/>
    <m/>
    <m/>
    <m/>
    <m/>
    <m/>
    <m/>
    <m/>
    <m/>
    <m/>
    <m/>
    <m/>
  </r>
  <r>
    <n v="2111"/>
    <n v="75220"/>
    <s v="P"/>
    <s v="Capitalized"/>
    <s v="95 GAL Grey Comingle Toters"/>
    <m/>
    <m/>
    <n v="486"/>
    <m/>
    <n v="0"/>
    <s v="REHRIG PACIFIC COMPANY"/>
    <m/>
    <s v="CONTAINERS"/>
    <s v="TBA"/>
    <m/>
    <m/>
    <m/>
    <d v="2010-05-12T00:00:00"/>
    <d v="2010-05-12T00:00:00"/>
    <s v="2111-10-0002-1"/>
    <n v="700"/>
    <n v="14050"/>
    <n v="25141.599999999999"/>
    <n v="14056"/>
    <n v="25141.599999999999"/>
    <n v="0"/>
    <n v="0"/>
    <n v="54260"/>
    <n v="0"/>
    <s v="P"/>
    <m/>
    <m/>
    <s v=" "/>
    <s v="STL"/>
    <s v="YES"/>
    <s v="TBD"/>
    <d v="2024-10-09T00:00:00"/>
    <x v="19"/>
    <m/>
    <m/>
    <m/>
    <m/>
    <m/>
    <m/>
    <m/>
    <m/>
    <m/>
    <m/>
    <m/>
  </r>
  <r>
    <n v="2111"/>
    <n v="75183"/>
    <s v="P"/>
    <s v="Capitalized"/>
    <s v="2 Yard REL Containers"/>
    <m/>
    <m/>
    <n v="4"/>
    <m/>
    <n v="0"/>
    <s v="CAPITAL INDUSTRIES, INC."/>
    <m/>
    <s v="CONTAINERS"/>
    <s v="TBA"/>
    <m/>
    <s v="2 YD"/>
    <s v="FEL/REL/SL Metal"/>
    <d v="2010-06-22T00:00:00"/>
    <d v="2010-06-22T00:00:00"/>
    <s v="2111-10-0027-3"/>
    <n v="1200"/>
    <n v="14050"/>
    <n v="2032.98"/>
    <n v="14056"/>
    <n v="2032.98"/>
    <n v="0"/>
    <n v="0"/>
    <n v="54260"/>
    <n v="0"/>
    <s v="P"/>
    <m/>
    <m/>
    <s v=" "/>
    <s v="STL"/>
    <s v="YES"/>
    <s v="TBD"/>
    <d v="2024-10-09T00:00:00"/>
    <x v="19"/>
    <m/>
    <m/>
    <m/>
    <m/>
    <m/>
    <m/>
    <m/>
    <m/>
    <m/>
    <m/>
    <m/>
  </r>
  <r>
    <n v="2111"/>
    <n v="75182"/>
    <s v="P"/>
    <s v="Capitalized"/>
    <s v="1.5 Yard REL Containers"/>
    <m/>
    <m/>
    <n v="2"/>
    <m/>
    <n v="0"/>
    <s v="CAPITAL INDUSTRIES, INC."/>
    <m/>
    <s v="CONTAINERS"/>
    <s v="TBA"/>
    <m/>
    <s v="1.5 YD"/>
    <s v="FEL/REL/SL Metal"/>
    <d v="2010-06-21T00:00:00"/>
    <d v="2010-06-21T00:00:00"/>
    <s v="2111-10-0027-1"/>
    <n v="1200"/>
    <n v="14050"/>
    <n v="929.05"/>
    <n v="14056"/>
    <n v="929.05"/>
    <n v="0"/>
    <n v="0"/>
    <n v="54260"/>
    <n v="0"/>
    <s v="P"/>
    <m/>
    <m/>
    <s v=" "/>
    <s v="STL"/>
    <s v="YES"/>
    <s v="TBD"/>
    <d v="2024-10-09T00:00:00"/>
    <x v="19"/>
    <m/>
    <m/>
    <m/>
    <m/>
    <m/>
    <m/>
    <m/>
    <m/>
    <m/>
    <m/>
    <m/>
  </r>
  <r>
    <n v="2111"/>
    <n v="75181"/>
    <s v="P"/>
    <s v="Capitalized"/>
    <s v="2Yard REL Container"/>
    <m/>
    <m/>
    <n v="1"/>
    <m/>
    <n v="0"/>
    <s v="CAPITAL INDUSTRIES, INC."/>
    <m/>
    <s v="CONTAINERS"/>
    <s v="TBA"/>
    <m/>
    <s v="2 YD"/>
    <s v="FEL/REL/SL Metal"/>
    <d v="2010-06-21T00:00:00"/>
    <d v="2010-06-21T00:00:00"/>
    <s v="2111-10-0027-2"/>
    <n v="1200"/>
    <n v="14050"/>
    <n v="508.25"/>
    <n v="14056"/>
    <n v="508.25"/>
    <n v="0"/>
    <n v="0"/>
    <n v="54260"/>
    <n v="0"/>
    <s v="P"/>
    <m/>
    <m/>
    <s v=" "/>
    <s v="STL"/>
    <s v="YES"/>
    <s v="TBD"/>
    <d v="2024-10-09T00:00:00"/>
    <x v="19"/>
    <m/>
    <m/>
    <m/>
    <m/>
    <m/>
    <m/>
    <m/>
    <m/>
    <m/>
    <m/>
    <m/>
  </r>
  <r>
    <n v="2111"/>
    <n v="75180"/>
    <s v="P"/>
    <s v="Capitalized"/>
    <s v="2 Yard REL Containers"/>
    <m/>
    <m/>
    <n v="13"/>
    <m/>
    <n v="0"/>
    <s v="CAPITAL INDUSTRIES, INC."/>
    <m/>
    <s v="CONTAINERS"/>
    <s v="TBA"/>
    <m/>
    <s v="2 YD"/>
    <s v="FEL/REL/SL Metal"/>
    <d v="2010-06-21T00:00:00"/>
    <d v="2010-06-21T00:00:00"/>
    <s v="2111-10-0027-2"/>
    <n v="1200"/>
    <n v="14050"/>
    <n v="6607.18"/>
    <n v="14056"/>
    <n v="6607.18"/>
    <n v="0"/>
    <n v="0"/>
    <n v="54260"/>
    <n v="0"/>
    <s v="P"/>
    <m/>
    <m/>
    <s v=" "/>
    <s v="STL"/>
    <s v="YES"/>
    <s v="TBD"/>
    <d v="2024-10-09T00:00:00"/>
    <x v="19"/>
    <m/>
    <m/>
    <m/>
    <m/>
    <m/>
    <m/>
    <m/>
    <m/>
    <m/>
    <m/>
    <m/>
  </r>
  <r>
    <n v="2111"/>
    <n v="75142"/>
    <s v="P"/>
    <s v="Capitalized"/>
    <s v="Used 2007 F150 Supervisor Truck"/>
    <m/>
    <m/>
    <n v="1"/>
    <s v="1FTRW14W87KC33892"/>
    <n v="2007"/>
    <s v="Ford, F-150"/>
    <s v="Other"/>
    <s v="TRUCKS AND TRAILERS"/>
    <s v="TBA"/>
    <s v="Pickup Truck"/>
    <m/>
    <m/>
    <d v="2010-06-04T00:00:00"/>
    <d v="2010-06-04T00:00:00"/>
    <s v="2111-10-0025-1"/>
    <n v="300"/>
    <n v="14040"/>
    <n v="25131.7"/>
    <n v="14046"/>
    <n v="25131.7"/>
    <n v="0"/>
    <n v="0"/>
    <n v="51260"/>
    <n v="0"/>
    <s v="P"/>
    <m/>
    <n v="3"/>
    <s v=" "/>
    <s v="STL"/>
    <s v="YES"/>
    <s v="TBD"/>
    <d v="2024-10-09T00:00:00"/>
    <x v="19"/>
    <m/>
    <m/>
    <m/>
    <m/>
    <m/>
    <m/>
    <m/>
    <m/>
    <m/>
    <m/>
    <m/>
  </r>
  <r>
    <n v="2111"/>
    <n v="74450"/>
    <s v="P"/>
    <s v="Capitalized"/>
    <s v="Panasonic Toughbook CF-52 SN %0BTSA10091"/>
    <m/>
    <m/>
    <n v="1"/>
    <m/>
    <n v="0"/>
    <s v="CDW"/>
    <m/>
    <s v="HARDWARE AND SOFTWARE"/>
    <s v="TBA"/>
    <m/>
    <m/>
    <m/>
    <d v="2010-05-10T00:00:00"/>
    <d v="2010-05-10T00:00:00"/>
    <s v="2111-10-0028-1"/>
    <n v="300"/>
    <n v="14110"/>
    <n v="1573.39"/>
    <n v="14116"/>
    <n v="1573.39"/>
    <n v="0"/>
    <n v="0"/>
    <n v="70260"/>
    <n v="0"/>
    <s v="P"/>
    <m/>
    <m/>
    <s v=" "/>
    <s v="STL"/>
    <s v="YES"/>
    <s v="TBD"/>
    <d v="2024-10-09T00:00:00"/>
    <x v="19"/>
    <m/>
    <m/>
    <m/>
    <m/>
    <m/>
    <m/>
    <m/>
    <m/>
    <m/>
    <m/>
    <m/>
  </r>
  <r>
    <n v="2111"/>
    <n v="74443"/>
    <n v="73368"/>
    <s v="Capitalized"/>
    <s v="Payment for Murreys new phone system"/>
    <m/>
    <m/>
    <n v="1"/>
    <m/>
    <n v="0"/>
    <s v="Gaynor Telesystems"/>
    <m/>
    <s v="OFFICE EQUIPMENT"/>
    <s v="TBA"/>
    <m/>
    <m/>
    <m/>
    <d v="2010-04-15T00:00:00"/>
    <d v="2010-04-15T00:00:00"/>
    <s v="2111-10-0023-1"/>
    <n v="500"/>
    <n v="14100"/>
    <n v="21294.240000000002"/>
    <n v="14106"/>
    <n v="21294.240000000002"/>
    <n v="0"/>
    <n v="0"/>
    <n v="70260"/>
    <n v="0"/>
    <s v="P"/>
    <m/>
    <m/>
    <s v=" "/>
    <s v="STL"/>
    <s v="YES"/>
    <s v="TBD"/>
    <d v="2024-10-09T00:00:00"/>
    <x v="19"/>
    <m/>
    <m/>
    <m/>
    <m/>
    <m/>
    <m/>
    <m/>
    <m/>
    <m/>
    <m/>
    <m/>
  </r>
  <r>
    <n v="2111"/>
    <n v="74026"/>
    <s v="P"/>
    <s v="Capitalized"/>
    <s v="Commercial Yard Lawn Mower"/>
    <m/>
    <m/>
    <n v="1"/>
    <m/>
    <n v="0"/>
    <s v="RON JONES POWER EQUIPMENT"/>
    <m/>
    <s v="SHOP EQUIPMENT"/>
    <s v="TBA"/>
    <m/>
    <m/>
    <m/>
    <d v="2010-04-28T00:00:00"/>
    <d v="2010-04-28T00:00:00"/>
    <s v="2111-10-0012-1"/>
    <n v="500"/>
    <n v="14070"/>
    <n v="5464.99"/>
    <n v="14076"/>
    <n v="5464.99"/>
    <n v="0"/>
    <n v="0"/>
    <n v="51260"/>
    <n v="0"/>
    <s v="P"/>
    <m/>
    <m/>
    <s v=" "/>
    <s v="STL"/>
    <s v="YES"/>
    <s v="TBD"/>
    <d v="2024-10-09T00:00:00"/>
    <x v="19"/>
    <m/>
    <m/>
    <m/>
    <m/>
    <m/>
    <m/>
    <m/>
    <m/>
    <m/>
    <m/>
    <m/>
  </r>
  <r>
    <n v="2111"/>
    <n v="73855"/>
    <n v="73757"/>
    <s v="Capitalized"/>
    <s v="Use tax 9.3% on RM License"/>
    <m/>
    <m/>
    <n v="1"/>
    <m/>
    <n v="0"/>
    <s v="Desert Micro"/>
    <m/>
    <s v="HARDWARE AND SOFTWARE"/>
    <s v="TBA"/>
    <m/>
    <m/>
    <m/>
    <d v="2010-04-01T00:00:00"/>
    <d v="2010-04-01T00:00:00"/>
    <s v="2111-10-0024-1"/>
    <n v="300"/>
    <n v="14110"/>
    <n v="81.38"/>
    <n v="14116"/>
    <n v="81.38"/>
    <n v="0"/>
    <n v="0"/>
    <n v="70260"/>
    <n v="0"/>
    <s v="P"/>
    <m/>
    <m/>
    <s v=" "/>
    <s v="STL"/>
    <s v="YES"/>
    <s v="TBD"/>
    <d v="2024-10-09T00:00:00"/>
    <x v="19"/>
    <m/>
    <m/>
    <m/>
    <m/>
    <m/>
    <m/>
    <m/>
    <m/>
    <m/>
    <m/>
    <m/>
  </r>
  <r>
    <n v="2111"/>
    <n v="73851"/>
    <n v="73368"/>
    <s v="Capitalized"/>
    <s v="Installment payment for Murreys 2111 Phone System"/>
    <m/>
    <m/>
    <n v="1"/>
    <m/>
    <n v="0"/>
    <s v="Gaynor Telesystems"/>
    <m/>
    <s v="OFFICE EQUIPMENT"/>
    <s v="TBA"/>
    <m/>
    <m/>
    <m/>
    <d v="2010-04-15T00:00:00"/>
    <d v="2010-04-15T00:00:00"/>
    <s v="2111-10-0023-1"/>
    <n v="500"/>
    <n v="14100"/>
    <n v="30050.55"/>
    <n v="14106"/>
    <n v="30050.55"/>
    <n v="0"/>
    <n v="0"/>
    <n v="70260"/>
    <n v="0"/>
    <s v="P"/>
    <m/>
    <m/>
    <s v=" "/>
    <s v="STL"/>
    <s v="YES"/>
    <s v="TBD"/>
    <d v="2024-10-09T00:00:00"/>
    <x v="19"/>
    <m/>
    <m/>
    <m/>
    <m/>
    <m/>
    <m/>
    <m/>
    <m/>
    <m/>
    <m/>
    <m/>
  </r>
  <r>
    <n v="2111"/>
    <n v="73757"/>
    <s v="P"/>
    <s v="Capitalized"/>
    <s v="1 RouteManager User Licenses for 2111 Murreys"/>
    <m/>
    <m/>
    <n v="1"/>
    <m/>
    <n v="0"/>
    <s v="DESERT MICRO"/>
    <m/>
    <s v="HARDWARE AND SOFTWARE"/>
    <s v="TBA"/>
    <m/>
    <m/>
    <m/>
    <d v="2010-04-01T00:00:00"/>
    <d v="2010-04-01T00:00:00"/>
    <s v="2111-10-0024-1"/>
    <n v="300"/>
    <n v="14110"/>
    <n v="875"/>
    <n v="14116"/>
    <n v="875"/>
    <n v="0"/>
    <n v="0"/>
    <n v="70260"/>
    <n v="0"/>
    <s v="P"/>
    <m/>
    <m/>
    <s v=" "/>
    <s v="STL"/>
    <s v="YES"/>
    <s v="TBD"/>
    <d v="2024-10-09T00:00:00"/>
    <x v="19"/>
    <m/>
    <m/>
    <m/>
    <m/>
    <m/>
    <m/>
    <m/>
    <m/>
    <m/>
    <m/>
    <m/>
  </r>
  <r>
    <n v="2111"/>
    <n v="73638"/>
    <s v="P"/>
    <s v="Capitalized"/>
    <s v="New 2010 Ford E350 Med Waste Van"/>
    <m/>
    <m/>
    <n v="1"/>
    <s v="1FDWE3FL3ADA13202"/>
    <n v="2010"/>
    <s v="Ford E320"/>
    <s v="Panel Van"/>
    <s v="TRUCKS AND TRAILERS"/>
    <s v="TBA"/>
    <s v="Box Truck"/>
    <m/>
    <m/>
    <d v="2010-04-16T00:00:00"/>
    <d v="2010-04-16T00:00:00"/>
    <s v="2111-10-0019-1"/>
    <n v="500"/>
    <n v="14040"/>
    <n v="35496"/>
    <n v="14046"/>
    <n v="35496"/>
    <n v="0"/>
    <n v="0"/>
    <n v="51260"/>
    <n v="0"/>
    <s v="P"/>
    <n v="0"/>
    <s v="M-1"/>
    <s v=" "/>
    <s v="STL"/>
    <s v="YES"/>
    <s v="TBD"/>
    <d v="2024-10-09T00:00:00"/>
    <x v="19"/>
    <m/>
    <m/>
    <m/>
    <m/>
    <m/>
    <m/>
    <m/>
    <m/>
    <m/>
    <m/>
    <m/>
  </r>
  <r>
    <n v="2111"/>
    <n v="73490"/>
    <s v="P"/>
    <s v="Capitalized"/>
    <s v="4 Yd Drop Boxes w/ Open Top"/>
    <m/>
    <m/>
    <n v="5"/>
    <m/>
    <n v="0"/>
    <s v="Capital Industries"/>
    <m/>
    <s v="CONTAINERS"/>
    <s v="TBA"/>
    <m/>
    <s v="4 YD"/>
    <s v="FEL/REL/SL Metal"/>
    <d v="2002-07-18T00:00:00"/>
    <d v="2002-07-18T00:00:00"/>
    <s v="02-2160-002"/>
    <n v="1200"/>
    <n v="14050"/>
    <n v="16250"/>
    <n v="14056"/>
    <n v="16250"/>
    <n v="0"/>
    <n v="0"/>
    <n v="54260"/>
    <n v="0"/>
    <s v="P"/>
    <m/>
    <m/>
    <s v=" "/>
    <s v="STL"/>
    <s v="YES"/>
    <s v="TBD"/>
    <d v="2024-10-09T00:00:00"/>
    <x v="19"/>
    <m/>
    <m/>
    <m/>
    <m/>
    <m/>
    <m/>
    <m/>
    <m/>
    <m/>
    <m/>
    <m/>
  </r>
  <r>
    <n v="2111"/>
    <n v="73470"/>
    <s v="P"/>
    <s v="Capitalized"/>
    <s v="30 yd"/>
    <m/>
    <m/>
    <n v="10"/>
    <m/>
    <n v="0"/>
    <m/>
    <m/>
    <s v="CONTAINERS"/>
    <s v="TBA"/>
    <m/>
    <s v="30 YD"/>
    <s v="RO Box"/>
    <d v="1997-12-01T00:00:00"/>
    <d v="1997-12-01T00:00:00"/>
    <m/>
    <n v="600"/>
    <n v="14050"/>
    <n v="66000"/>
    <n v="14056"/>
    <n v="66000"/>
    <n v="0"/>
    <n v="0"/>
    <n v="54260"/>
    <n v="0"/>
    <s v="A"/>
    <s v="DM Disposal Port Angelas"/>
    <s v="NA"/>
    <s v=" "/>
    <s v="STL"/>
    <s v="YES"/>
    <s v="TBD"/>
    <d v="2024-10-09T00:00:00"/>
    <x v="19"/>
    <m/>
    <m/>
    <m/>
    <m/>
    <m/>
    <m/>
    <m/>
    <m/>
    <m/>
    <m/>
    <m/>
  </r>
  <r>
    <n v="2111"/>
    <n v="73368"/>
    <s v="P"/>
    <s v="Capitalized"/>
    <s v="Down Payment for Phone System at 2111"/>
    <m/>
    <m/>
    <n v="1"/>
    <m/>
    <n v="0"/>
    <s v="Gaynor Telesystems"/>
    <m/>
    <s v="OFFICE EQUIPMENT"/>
    <s v="TBA"/>
    <m/>
    <m/>
    <m/>
    <d v="2010-04-15T00:00:00"/>
    <d v="2010-04-15T00:00:00"/>
    <s v="2111-10-0023-1"/>
    <n v="500"/>
    <n v="14100"/>
    <n v="18781.59"/>
    <n v="14106"/>
    <n v="18781.59"/>
    <n v="0"/>
    <n v="0"/>
    <n v="70260"/>
    <n v="0"/>
    <s v="P"/>
    <m/>
    <m/>
    <s v=" "/>
    <s v="STL"/>
    <s v="YES"/>
    <s v="TBD"/>
    <d v="2024-10-09T00:00:00"/>
    <x v="19"/>
    <m/>
    <m/>
    <m/>
    <m/>
    <m/>
    <m/>
    <m/>
    <m/>
    <m/>
    <m/>
    <m/>
  </r>
  <r>
    <n v="2111"/>
    <n v="73244"/>
    <n v="73243"/>
    <s v="Capitalized"/>
    <s v="New 2009 Container Delivery Trk#C2"/>
    <m/>
    <m/>
    <n v="1"/>
    <s v="1GDK7F1B29F400560"/>
    <n v="2009"/>
    <s v="same as below(change P/C)"/>
    <s v="Other"/>
    <s v="TRUCKS AND TRAILERS"/>
    <s v="TBA"/>
    <s v="Non-Rolling Stock"/>
    <m/>
    <m/>
    <d v="2010-03-29T00:00:00"/>
    <d v="2010-03-29T00:00:00"/>
    <s v="2111-10-0016-1"/>
    <n v="900"/>
    <n v="14040"/>
    <n v="36333.870000000003"/>
    <n v="14046"/>
    <n v="36333.870000000003"/>
    <n v="0"/>
    <n v="0"/>
    <n v="51260"/>
    <n v="0"/>
    <s v="P"/>
    <m/>
    <s v="C2"/>
    <s v=" "/>
    <s v="STL"/>
    <s v="YES"/>
    <s v="TBD"/>
    <d v="2024-10-09T00:00:00"/>
    <x v="19"/>
    <m/>
    <m/>
    <m/>
    <m/>
    <m/>
    <m/>
    <m/>
    <m/>
    <m/>
    <m/>
    <m/>
  </r>
  <r>
    <n v="2111"/>
    <n v="73243"/>
    <s v="P"/>
    <s v="Capitalized"/>
    <s v="New 2009 GMC T7500 Container Deliver Trk# C2"/>
    <m/>
    <m/>
    <n v="1"/>
    <s v="1GDK7F1B29F400560"/>
    <n v="2009"/>
    <s v="GMC T7500"/>
    <s v="Delivery Truck"/>
    <s v="TRUCKS AND TRAILERS"/>
    <s v="TBA"/>
    <s v="Container Delivery Truck"/>
    <m/>
    <m/>
    <d v="2010-03-29T00:00:00"/>
    <d v="2010-03-29T00:00:00"/>
    <s v="2111-10-0016-1"/>
    <n v="900"/>
    <n v="14040"/>
    <n v="74310.77"/>
    <n v="14046"/>
    <n v="74310.77"/>
    <n v="0"/>
    <n v="0"/>
    <n v="51260"/>
    <n v="0"/>
    <s v="P"/>
    <n v="0"/>
    <s v="C-2"/>
    <s v=" "/>
    <s v="STL"/>
    <s v="YES"/>
    <s v="TBD"/>
    <d v="2024-10-09T00:00:00"/>
    <x v="19"/>
    <m/>
    <m/>
    <m/>
    <m/>
    <m/>
    <m/>
    <m/>
    <m/>
    <m/>
    <m/>
    <m/>
  </r>
  <r>
    <n v="2111"/>
    <n v="73005"/>
    <s v="P"/>
    <s v="Capitalized"/>
    <s v="FEL 6 Yard Containers"/>
    <m/>
    <m/>
    <n v="40"/>
    <m/>
    <n v="0"/>
    <s v="CAPITAL INDUSTRIES, INC."/>
    <m/>
    <s v="CONTAINERS"/>
    <s v="TBA"/>
    <m/>
    <s v="6 YD"/>
    <s v="FEL/REL/SL Metal"/>
    <d v="2010-01-01T00:00:00"/>
    <d v="2010-01-01T00:00:00"/>
    <s v="2111-9-0013-1"/>
    <n v="1200"/>
    <n v="14050"/>
    <n v="34626.239999999998"/>
    <n v="14056"/>
    <n v="34626.239999999998"/>
    <n v="0"/>
    <n v="0"/>
    <n v="54260"/>
    <n v="0"/>
    <s v="P"/>
    <m/>
    <m/>
    <s v=" "/>
    <s v="STL"/>
    <s v="YES"/>
    <s v="TBD"/>
    <d v="2024-10-09T00:00:00"/>
    <x v="19"/>
    <m/>
    <m/>
    <m/>
    <m/>
    <m/>
    <m/>
    <m/>
    <m/>
    <m/>
    <m/>
    <m/>
  </r>
  <r>
    <n v="2111"/>
    <n v="73004"/>
    <s v="P"/>
    <s v="Capitalized"/>
    <s v="REL 2 Yard Containers"/>
    <m/>
    <m/>
    <n v="40"/>
    <m/>
    <n v="0"/>
    <s v="CAPITAL INDUSTRIES, INC."/>
    <m/>
    <s v="CONTAINERS"/>
    <s v="TBA"/>
    <m/>
    <s v="2 YD"/>
    <s v="FEL/REL/SL Metal"/>
    <d v="2010-01-01T00:00:00"/>
    <d v="2010-01-01T00:00:00"/>
    <s v="2111-9-0016-1"/>
    <n v="1200"/>
    <n v="14050"/>
    <n v="20723.28"/>
    <n v="14056"/>
    <n v="20723.28"/>
    <n v="0"/>
    <n v="0"/>
    <n v="54260"/>
    <n v="0"/>
    <s v="P"/>
    <m/>
    <m/>
    <s v=" "/>
    <s v="STL"/>
    <s v="YES"/>
    <s v="TBD"/>
    <d v="2024-10-09T00:00:00"/>
    <x v="19"/>
    <m/>
    <m/>
    <m/>
    <m/>
    <m/>
    <m/>
    <m/>
    <m/>
    <m/>
    <m/>
    <m/>
  </r>
  <r>
    <n v="2111"/>
    <n v="70873"/>
    <s v="P"/>
    <s v="Capitalized"/>
    <s v="96 gallon Yard Waste Carts-Blue"/>
    <m/>
    <m/>
    <n v="624"/>
    <m/>
    <n v="0"/>
    <s v="TOTER INCORPORATED"/>
    <m/>
    <s v="CONTAINERS"/>
    <s v="TBA"/>
    <m/>
    <m/>
    <m/>
    <d v="2009-12-14T00:00:00"/>
    <d v="2009-12-14T00:00:00"/>
    <s v="2111-9-0011-1"/>
    <n v="700"/>
    <n v="14050"/>
    <n v="29186.16"/>
    <n v="14056"/>
    <n v="29186.16"/>
    <n v="0"/>
    <n v="0"/>
    <n v="54260"/>
    <n v="0"/>
    <s v="P"/>
    <m/>
    <m/>
    <s v=" "/>
    <s v="STL"/>
    <s v="YES"/>
    <s v="TBD"/>
    <d v="2024-10-09T00:00:00"/>
    <x v="19"/>
    <m/>
    <m/>
    <m/>
    <m/>
    <m/>
    <m/>
    <m/>
    <m/>
    <m/>
    <m/>
    <m/>
  </r>
  <r>
    <n v="2111"/>
    <n v="69853"/>
    <s v="P"/>
    <s v="Capitalized"/>
    <s v="96 Gallon Grey Comingle Carts"/>
    <m/>
    <m/>
    <n v="624"/>
    <m/>
    <n v="0"/>
    <s v="TOTER INCORPORATED"/>
    <m/>
    <s v="CONTAINERS"/>
    <s v="TBA"/>
    <m/>
    <m/>
    <m/>
    <d v="2009-10-30T00:00:00"/>
    <d v="2009-10-30T00:00:00"/>
    <s v="2111-9-0012-1"/>
    <n v="700"/>
    <n v="14050"/>
    <n v="30038.7"/>
    <n v="14056"/>
    <n v="30038.7"/>
    <n v="0"/>
    <n v="0"/>
    <n v="54260"/>
    <n v="0"/>
    <s v="P"/>
    <m/>
    <m/>
    <s v=" "/>
    <s v="STL"/>
    <s v="YES"/>
    <s v="TBD"/>
    <d v="2024-10-09T00:00:00"/>
    <x v="19"/>
    <m/>
    <m/>
    <m/>
    <m/>
    <m/>
    <m/>
    <m/>
    <m/>
    <m/>
    <m/>
    <m/>
  </r>
  <r>
    <n v="2111"/>
    <n v="68924"/>
    <s v="P"/>
    <s v="Capitalized"/>
    <s v="96 gallon Grey Comingle Carts"/>
    <m/>
    <m/>
    <n v="624"/>
    <m/>
    <n v="0"/>
    <s v="TOTER INCORPORATED"/>
    <m/>
    <s v="CONTAINERS"/>
    <s v="TBA"/>
    <m/>
    <m/>
    <m/>
    <d v="2009-09-15T00:00:00"/>
    <d v="2009-09-15T00:00:00"/>
    <s v="2111-9-0012-1"/>
    <n v="700"/>
    <n v="14050"/>
    <n v="30038.7"/>
    <n v="14056"/>
    <n v="30038.7"/>
    <n v="0"/>
    <n v="0"/>
    <n v="54260"/>
    <n v="0"/>
    <s v="P"/>
    <m/>
    <m/>
    <s v=" "/>
    <s v="STL"/>
    <s v="YES"/>
    <s v="TBD"/>
    <d v="2024-10-09T00:00:00"/>
    <x v="19"/>
    <m/>
    <m/>
    <m/>
    <m/>
    <m/>
    <m/>
    <m/>
    <m/>
    <m/>
    <m/>
    <m/>
  </r>
  <r>
    <n v="2111"/>
    <n v="66433"/>
    <n v="66278"/>
    <s v="Capitalized"/>
    <s v="Start Up Filters for Shop Compressor"/>
    <m/>
    <m/>
    <n v="1"/>
    <m/>
    <n v="0"/>
    <s v="ATLAS COPCO COMPRESSORS L"/>
    <m/>
    <s v="SHOP EQUIPMENT"/>
    <s v="TBA"/>
    <m/>
    <m/>
    <m/>
    <d v="2009-06-30T00:00:00"/>
    <d v="2009-06-30T00:00:00"/>
    <s v="2111-9-0008-1"/>
    <n v="500"/>
    <n v="14070"/>
    <n v="746.16"/>
    <n v="14076"/>
    <n v="746.16"/>
    <n v="0"/>
    <n v="0"/>
    <n v="51260"/>
    <n v="0"/>
    <s v="P"/>
    <m/>
    <m/>
    <s v=" "/>
    <s v="STL"/>
    <s v="YES"/>
    <s v="TBD"/>
    <d v="2024-10-09T00:00:00"/>
    <x v="19"/>
    <m/>
    <m/>
    <m/>
    <m/>
    <m/>
    <m/>
    <m/>
    <m/>
    <m/>
    <m/>
    <m/>
  </r>
  <r>
    <n v="2111"/>
    <n v="66278"/>
    <s v="P"/>
    <s v="Capitalized"/>
    <s v="25Hp Shop Air Compressor"/>
    <m/>
    <m/>
    <n v="1"/>
    <m/>
    <n v="0"/>
    <s v="ATLAS COPCO COMPRESSORS L"/>
    <m/>
    <s v="SHOP EQUIPMENT"/>
    <s v="TBA"/>
    <m/>
    <m/>
    <m/>
    <d v="2009-06-30T00:00:00"/>
    <d v="2009-06-30T00:00:00"/>
    <s v="2111-9-0008-1"/>
    <n v="500"/>
    <n v="14070"/>
    <n v="13737.83"/>
    <n v="14076"/>
    <n v="13737.83"/>
    <n v="0"/>
    <n v="0"/>
    <n v="51260"/>
    <n v="0"/>
    <s v="P"/>
    <m/>
    <m/>
    <s v=" "/>
    <s v="STL"/>
    <s v="YES"/>
    <s v="TBD"/>
    <d v="2024-10-09T00:00:00"/>
    <x v="19"/>
    <m/>
    <m/>
    <m/>
    <m/>
    <m/>
    <m/>
    <m/>
    <m/>
    <m/>
    <m/>
    <m/>
  </r>
  <r>
    <n v="2111"/>
    <n v="66197"/>
    <n v="66196"/>
    <s v="Capitalized"/>
    <s v="McNeilus Credit for Invoice #317172"/>
    <m/>
    <m/>
    <n v="1"/>
    <s v="1HTWCAZR07J461473"/>
    <n v="2007"/>
    <m/>
    <m/>
    <s v="TRUCKS AND TRAILERS"/>
    <s v="TBA"/>
    <s v="Non-Rolling Stock"/>
    <m/>
    <m/>
    <d v="2008-01-01T00:00:00"/>
    <d v="2008-01-01T00:00:00"/>
    <s v="07-3031-429"/>
    <n v="904"/>
    <n v="14040"/>
    <n v="-2947"/>
    <n v="14046"/>
    <n v="-2947"/>
    <n v="0"/>
    <n v="0"/>
    <n v="51260"/>
    <n v="0"/>
    <s v="P"/>
    <n v="0"/>
    <m/>
    <s v=" "/>
    <s v="STL"/>
    <s v="YES"/>
    <s v="TBD"/>
    <d v="2024-10-09T00:00:00"/>
    <x v="19"/>
    <m/>
    <m/>
    <m/>
    <m/>
    <m/>
    <m/>
    <m/>
    <m/>
    <m/>
    <m/>
    <m/>
  </r>
  <r>
    <n v="2111"/>
    <n v="66196"/>
    <s v="P"/>
    <s v="Capitalized"/>
    <s v="2009 IHC 7400 REL"/>
    <m/>
    <m/>
    <n v="1"/>
    <s v="1HTWCAZR07J461473"/>
    <n v="2009"/>
    <s v="International"/>
    <s v="McNeilus"/>
    <s v="TRUCKS AND TRAILERS"/>
    <s v="TBA"/>
    <s v="Rear Loader"/>
    <m/>
    <m/>
    <d v="2007-04-05T00:00:00"/>
    <d v="2007-04-05T00:00:00"/>
    <s v="07-3031-429"/>
    <n v="1000"/>
    <n v="14040"/>
    <n v="83420.460000000006"/>
    <n v="14046"/>
    <n v="83420.460000000006"/>
    <n v="0"/>
    <n v="0"/>
    <n v="51260"/>
    <n v="0"/>
    <s v="P"/>
    <n v="0"/>
    <n v="614"/>
    <s v=" "/>
    <s v="STL"/>
    <s v="YES"/>
    <s v="TBD"/>
    <d v="2024-10-09T00:00:00"/>
    <x v="19"/>
    <m/>
    <m/>
    <m/>
    <m/>
    <m/>
    <m/>
    <m/>
    <m/>
    <m/>
    <m/>
    <m/>
  </r>
  <r>
    <n v="2111"/>
    <n v="65892"/>
    <n v="62296"/>
    <s v="Capitalized"/>
    <s v="Use Tax difference on Trk#907 to WA"/>
    <m/>
    <m/>
    <n v="1"/>
    <s v="3BPZL00X78F71844"/>
    <n v="2008"/>
    <m/>
    <m/>
    <s v="TRUCKS AND TRAILERS"/>
    <s v="TBA"/>
    <s v="Front Loader"/>
    <m/>
    <m/>
    <d v="2009-01-01T00:00:00"/>
    <d v="2009-01-01T00:00:00"/>
    <s v="2111-9-0020-1"/>
    <n v="911"/>
    <n v="14040"/>
    <n v="1105.68"/>
    <n v="14046"/>
    <n v="1105.68"/>
    <n v="0"/>
    <n v="0"/>
    <n v="51260"/>
    <n v="0"/>
    <s v="P"/>
    <m/>
    <m/>
    <s v=" "/>
    <s v="STL"/>
    <s v="YES"/>
    <s v="TBD"/>
    <d v="2024-10-09T00:00:00"/>
    <x v="19"/>
    <m/>
    <m/>
    <m/>
    <m/>
    <m/>
    <m/>
    <m/>
    <m/>
    <m/>
    <m/>
    <m/>
  </r>
  <r>
    <n v="2111"/>
    <n v="65540"/>
    <s v="P"/>
    <s v="Capitalized"/>
    <s v="96 Gallon YW Carts - Dark Aqua Blue"/>
    <m/>
    <m/>
    <n v="415"/>
    <m/>
    <n v="0"/>
    <s v="REHRIG PACIFIC COMPANY"/>
    <m/>
    <s v="CONTAINERS"/>
    <s v="TBA"/>
    <m/>
    <m/>
    <m/>
    <d v="2009-06-01T00:00:00"/>
    <d v="2009-06-01T00:00:00"/>
    <s v="2111-9-0011-1"/>
    <n v="700"/>
    <n v="14050"/>
    <n v="20203.11"/>
    <n v="14056"/>
    <n v="20203.11"/>
    <n v="0"/>
    <n v="0"/>
    <n v="54260"/>
    <n v="0"/>
    <s v="P"/>
    <m/>
    <m/>
    <s v=" "/>
    <s v="STL"/>
    <s v="YES"/>
    <s v="TBD"/>
    <d v="2024-10-09T00:00:00"/>
    <x v="19"/>
    <m/>
    <m/>
    <m/>
    <m/>
    <m/>
    <m/>
    <m/>
    <m/>
    <m/>
    <m/>
    <m/>
  </r>
  <r>
    <n v="2111"/>
    <n v="65106"/>
    <s v="P"/>
    <s v="Capitalized"/>
    <s v="95 Gallon Dark Aqua Blue YW Carts"/>
    <m/>
    <m/>
    <n v="486"/>
    <m/>
    <n v="0"/>
    <s v="REHRIG PACIFIC COMPANY"/>
    <m/>
    <s v="CONTAINERS"/>
    <s v="TBA"/>
    <m/>
    <m/>
    <m/>
    <d v="2009-05-20T00:00:00"/>
    <d v="2009-05-20T00:00:00"/>
    <s v="2111-9-0011-1"/>
    <n v="700"/>
    <n v="14050"/>
    <n v="23659.56"/>
    <n v="14056"/>
    <n v="23659.56"/>
    <n v="0"/>
    <n v="0"/>
    <n v="54260"/>
    <n v="0"/>
    <s v="P"/>
    <m/>
    <m/>
    <s v=" "/>
    <s v="STL"/>
    <s v="YES"/>
    <s v="TBD"/>
    <d v="2024-10-09T00:00:00"/>
    <x v="19"/>
    <m/>
    <m/>
    <m/>
    <m/>
    <m/>
    <m/>
    <m/>
    <m/>
    <m/>
    <m/>
    <m/>
  </r>
  <r>
    <n v="2111"/>
    <n v="64678"/>
    <s v="P"/>
    <s v="Capitalized"/>
    <s v="25 Yard R/O Containers"/>
    <m/>
    <m/>
    <n v="1"/>
    <m/>
    <n v="0"/>
    <m/>
    <m/>
    <s v="CONTAINERS"/>
    <s v="TBA"/>
    <m/>
    <s v="25 YD"/>
    <s v="RO Box"/>
    <d v="2008-11-03T00:00:00"/>
    <d v="2008-11-03T00:00:00"/>
    <m/>
    <n v="700"/>
    <n v="14050"/>
    <n v="13125"/>
    <n v="14056"/>
    <n v="13125"/>
    <n v="0"/>
    <n v="0"/>
    <n v="54260"/>
    <n v="0"/>
    <s v="A"/>
    <s v="LeMay Enterprises"/>
    <s v="NA"/>
    <s v=" "/>
    <s v="STL"/>
    <s v="YES"/>
    <s v="TBD"/>
    <d v="2024-10-09T00:00:00"/>
    <x v="19"/>
    <m/>
    <m/>
    <m/>
    <m/>
    <m/>
    <m/>
    <m/>
    <m/>
    <m/>
    <m/>
    <m/>
  </r>
  <r>
    <n v="2111"/>
    <n v="64155"/>
    <s v="P"/>
    <s v="Capitalized"/>
    <s v="Use Tax 2009 Murrey's REL Truck #620"/>
    <m/>
    <m/>
    <n v="1"/>
    <m/>
    <n v="2009"/>
    <m/>
    <m/>
    <s v="TRUCKS AND TRAILERS"/>
    <s v="TBA"/>
    <s v="Rear Loader"/>
    <m/>
    <m/>
    <d v="2009-03-13T00:00:00"/>
    <d v="2009-03-13T00:00:00"/>
    <s v="2111-9-0002-1"/>
    <n v="1000"/>
    <n v="14040"/>
    <n v="8016.29"/>
    <n v="14046"/>
    <n v="8016.29"/>
    <n v="0"/>
    <n v="0"/>
    <n v="51260"/>
    <n v="0"/>
    <s v="P"/>
    <m/>
    <m/>
    <s v=" "/>
    <s v="STL"/>
    <s v="YES"/>
    <s v="TBD"/>
    <d v="2024-10-09T00:00:00"/>
    <x v="19"/>
    <m/>
    <m/>
    <m/>
    <m/>
    <m/>
    <m/>
    <m/>
    <m/>
    <m/>
    <m/>
    <m/>
  </r>
  <r>
    <n v="2111"/>
    <n v="62662"/>
    <n v="25020"/>
    <s v="Capitalized"/>
    <s v="Auto Tarper for Truck #406"/>
    <m/>
    <m/>
    <n v="1"/>
    <m/>
    <n v="0"/>
    <m/>
    <m/>
    <s v="TRUCKS AND TRAILERS"/>
    <s v="TBA"/>
    <s v="Non-Rolling Stock"/>
    <m/>
    <m/>
    <d v="2009-01-01T00:00:00"/>
    <d v="2009-01-01T00:00:00"/>
    <s v="2111-8-0008"/>
    <n v="300"/>
    <n v="14040"/>
    <n v="6818.83"/>
    <n v="14046"/>
    <n v="6818.83"/>
    <n v="0"/>
    <n v="0"/>
    <n v="51260"/>
    <n v="0"/>
    <s v="P"/>
    <n v="0"/>
    <m/>
    <s v=" "/>
    <s v="STL"/>
    <s v="YES"/>
    <s v="TBD"/>
    <d v="2024-10-09T00:00:00"/>
    <x v="19"/>
    <m/>
    <m/>
    <m/>
    <m/>
    <m/>
    <m/>
    <m/>
    <m/>
    <m/>
    <m/>
    <m/>
  </r>
  <r>
    <n v="2111"/>
    <n v="62604"/>
    <n v="61128"/>
    <s v="Capitalized"/>
    <s v="Autogreaser for Truck 3621"/>
    <m/>
    <m/>
    <n v="1"/>
    <m/>
    <n v="0"/>
    <m/>
    <m/>
    <s v="TRUCKS AND TRAILERS"/>
    <s v="TBA"/>
    <s v="Non-Rolling Stock"/>
    <m/>
    <m/>
    <d v="2009-01-01T00:00:00"/>
    <d v="2009-01-01T00:00:00"/>
    <s v="2183-8-0002-1"/>
    <n v="300"/>
    <n v="14040"/>
    <n v="3949.44"/>
    <n v="14046"/>
    <n v="3949.44"/>
    <n v="0"/>
    <n v="0"/>
    <n v="51260"/>
    <n v="0"/>
    <s v="P"/>
    <m/>
    <m/>
    <s v=" "/>
    <s v="STL"/>
    <s v="YES"/>
    <s v="TBD"/>
    <d v="2024-10-09T00:00:00"/>
    <x v="19"/>
    <m/>
    <m/>
    <m/>
    <m/>
    <m/>
    <m/>
    <m/>
    <m/>
    <m/>
    <m/>
    <m/>
  </r>
  <r>
    <n v="2111"/>
    <n v="62308"/>
    <n v="25019"/>
    <s v="Capitalized"/>
    <s v="Auto Tarper"/>
    <m/>
    <m/>
    <n v="1"/>
    <m/>
    <n v="0"/>
    <m/>
    <m/>
    <s v="TRUCKS AND TRAILERS"/>
    <s v="TBA"/>
    <s v="Non-Rolling Stock"/>
    <m/>
    <m/>
    <d v="2008-12-31T00:00:00"/>
    <d v="2008-12-31T00:00:00"/>
    <s v="2111-8-0008-1"/>
    <n v="300"/>
    <n v="14040"/>
    <n v="6818.83"/>
    <n v="14046"/>
    <n v="6818.83"/>
    <n v="0"/>
    <n v="0"/>
    <n v="51260"/>
    <n v="0"/>
    <s v="P"/>
    <m/>
    <m/>
    <s v=" "/>
    <s v="STL"/>
    <s v="YES"/>
    <s v="TBD"/>
    <d v="2024-10-09T00:00:00"/>
    <x v="19"/>
    <m/>
    <m/>
    <m/>
    <m/>
    <m/>
    <m/>
    <m/>
    <m/>
    <m/>
    <m/>
    <m/>
  </r>
  <r>
    <n v="2111"/>
    <n v="62296"/>
    <s v="P"/>
    <s v="Capitalized"/>
    <s v="2008 Peterbilt FEL Truck #907"/>
    <m/>
    <m/>
    <n v="1"/>
    <s v="3BPZL00X78F718444"/>
    <n v="2008"/>
    <s v="Peterbilt 320"/>
    <s v="Labrie"/>
    <s v="TRUCKS AND TRAILERS"/>
    <s v="TBA"/>
    <s v="Front Loader"/>
    <m/>
    <m/>
    <d v="2008-12-02T00:00:00"/>
    <d v="2008-12-02T00:00:00"/>
    <s v="1010-8-0027-1"/>
    <n v="900"/>
    <n v="14040"/>
    <n v="247446.22"/>
    <n v="14046"/>
    <n v="247446.22"/>
    <n v="0"/>
    <n v="0"/>
    <n v="51260"/>
    <n v="0"/>
    <s v="P"/>
    <m/>
    <n v="907"/>
    <s v=" "/>
    <s v="STL"/>
    <s v="YES"/>
    <s v="TBD"/>
    <d v="2024-10-09T00:00:00"/>
    <x v="19"/>
    <m/>
    <m/>
    <m/>
    <m/>
    <m/>
    <m/>
    <m/>
    <m/>
    <m/>
    <m/>
    <m/>
  </r>
  <r>
    <n v="2111"/>
    <n v="62289"/>
    <n v="60338"/>
    <s v="Capitalized"/>
    <s v="Transmisson Overhaul"/>
    <m/>
    <m/>
    <n v="1"/>
    <m/>
    <n v="0"/>
    <m/>
    <m/>
    <s v="TRUCKS AND TRAILERS"/>
    <s v="TBA"/>
    <s v="Non-Rolling Stock"/>
    <m/>
    <m/>
    <d v="2008-09-05T00:00:00"/>
    <d v="2008-09-05T00:00:00"/>
    <s v="2111-8-0019-1"/>
    <n v="300"/>
    <n v="14040"/>
    <n v="5712.34"/>
    <n v="14046"/>
    <n v="5712.34"/>
    <n v="0"/>
    <n v="0"/>
    <n v="51260"/>
    <n v="0"/>
    <s v="P"/>
    <m/>
    <m/>
    <s v=" "/>
    <s v="STL"/>
    <s v="YES"/>
    <s v="TBD"/>
    <d v="2024-10-09T00:00:00"/>
    <x v="19"/>
    <m/>
    <m/>
    <m/>
    <m/>
    <m/>
    <m/>
    <m/>
    <m/>
    <m/>
    <m/>
    <m/>
  </r>
  <r>
    <n v="2111"/>
    <n v="61128"/>
    <s v="P"/>
    <s v="Capitalized"/>
    <s v="2009 Type H TSide ASL"/>
    <m/>
    <m/>
    <n v="1"/>
    <s v="3BPZL50X29F719192"/>
    <n v="2009"/>
    <s v="Peterbilt"/>
    <s v="Wayne"/>
    <s v="TRUCKS AND TRAILERS"/>
    <s v="TBA"/>
    <s v="Automated Side Loader"/>
    <m/>
    <m/>
    <d v="2008-11-03T00:00:00"/>
    <d v="2008-11-03T00:00:00"/>
    <m/>
    <n v="1000"/>
    <n v="14040"/>
    <n v="132128.6"/>
    <n v="14046"/>
    <n v="132128.6"/>
    <n v="0"/>
    <n v="0"/>
    <n v="51260"/>
    <n v="0"/>
    <s v="A"/>
    <s v="LeMay Enterprises"/>
    <n v="3621"/>
    <s v=" "/>
    <s v="STL"/>
    <s v="YES"/>
    <s v="TBD"/>
    <d v="2024-10-09T00:00:00"/>
    <x v="19"/>
    <m/>
    <m/>
    <m/>
    <m/>
    <m/>
    <m/>
    <m/>
    <m/>
    <m/>
    <m/>
    <m/>
  </r>
  <r>
    <n v="2111"/>
    <n v="61124"/>
    <s v="P"/>
    <s v="Capitalized"/>
    <s v="2007 Type H TSide ASL"/>
    <m/>
    <m/>
    <n v="1"/>
    <s v="3BPZLD9X87F717683"/>
    <n v="2007"/>
    <s v="Peterbilt"/>
    <s v="Wayne"/>
    <s v="TRUCKS AND TRAILERS"/>
    <s v="TBA"/>
    <s v="Automated Side Loader"/>
    <m/>
    <m/>
    <d v="2008-11-03T00:00:00"/>
    <d v="2008-11-03T00:00:00"/>
    <m/>
    <n v="800"/>
    <n v="14040"/>
    <n v="133500"/>
    <n v="14046"/>
    <n v="133500"/>
    <n v="0"/>
    <n v="0"/>
    <n v="51260"/>
    <n v="0"/>
    <s v="A"/>
    <s v="LeMay Enterprises"/>
    <n v="3615"/>
    <s v=" "/>
    <s v="STL"/>
    <s v="YES"/>
    <s v="TBD"/>
    <d v="2024-10-09T00:00:00"/>
    <x v="19"/>
    <m/>
    <m/>
    <m/>
    <m/>
    <m/>
    <m/>
    <m/>
    <m/>
    <m/>
    <m/>
    <m/>
  </r>
  <r>
    <n v="2111"/>
    <n v="60421"/>
    <n v="60338"/>
    <s v="Capitalized"/>
    <s v="In-House Labor on Truck #158"/>
    <m/>
    <m/>
    <n v="1"/>
    <m/>
    <n v="0"/>
    <m/>
    <m/>
    <s v="TRUCKS AND TRAILERS"/>
    <s v="TBA"/>
    <s v="Non-Rolling Stock"/>
    <m/>
    <m/>
    <d v="2008-11-03T00:00:00"/>
    <d v="2008-11-03T00:00:00"/>
    <s v="2111-8-0019-1"/>
    <n v="300"/>
    <n v="14040"/>
    <n v="910"/>
    <n v="14046"/>
    <n v="910"/>
    <n v="0"/>
    <n v="0"/>
    <n v="51260"/>
    <n v="0"/>
    <s v="P"/>
    <m/>
    <m/>
    <s v=" "/>
    <s v="STL"/>
    <s v="YES"/>
    <s v="TBD"/>
    <d v="2024-10-09T00:00:00"/>
    <x v="19"/>
    <m/>
    <m/>
    <m/>
    <m/>
    <m/>
    <m/>
    <m/>
    <m/>
    <m/>
    <m/>
    <m/>
  </r>
  <r>
    <n v="2111"/>
    <n v="60420"/>
    <n v="58549"/>
    <s v="Capitalized"/>
    <s v="Service Truck Up-Lift Body #126"/>
    <m/>
    <m/>
    <n v="1"/>
    <s v="1FDXF46R78ED24860"/>
    <n v="2008"/>
    <m/>
    <m/>
    <s v="TRUCKS AND TRAILERS"/>
    <s v="TBA"/>
    <s v="Non-Rolling Stock"/>
    <m/>
    <m/>
    <d v="2008-08-20T00:00:00"/>
    <d v="2008-10-17T00:00:00"/>
    <s v="2111-8-0017-1"/>
    <n v="900"/>
    <n v="14040"/>
    <n v="2714.56"/>
    <n v="14046"/>
    <n v="2714.56"/>
    <n v="0"/>
    <n v="0"/>
    <n v="51260"/>
    <n v="0"/>
    <s v="P"/>
    <m/>
    <m/>
    <s v=" "/>
    <s v="STL"/>
    <s v="YES"/>
    <s v="TBD"/>
    <d v="2024-10-09T00:00:00"/>
    <x v="19"/>
    <m/>
    <m/>
    <m/>
    <m/>
    <m/>
    <m/>
    <m/>
    <m/>
    <m/>
    <m/>
    <m/>
  </r>
  <r>
    <n v="2111"/>
    <n v="60377"/>
    <s v="P"/>
    <s v="Capitalized"/>
    <s v="2008 53' Walking Floor Trailer #WF-15"/>
    <m/>
    <m/>
    <n v="1"/>
    <s v="48XAR534691006690"/>
    <n v="2008"/>
    <s v="Travis S-102WF"/>
    <s v="Travis"/>
    <s v="TRUCKS AND TRAILERS"/>
    <s v="TBA"/>
    <s v="Transfer Trailer"/>
    <m/>
    <m/>
    <d v="2008-11-06T00:00:00"/>
    <d v="2008-11-06T00:00:00"/>
    <s v="2111-8-0003-1"/>
    <n v="600"/>
    <n v="14040"/>
    <n v="101028.8"/>
    <n v="14046"/>
    <n v="101028.8"/>
    <n v="0"/>
    <n v="0"/>
    <n v="51260"/>
    <n v="0"/>
    <s v="P"/>
    <n v="0"/>
    <s v="WF-15"/>
    <s v=" "/>
    <s v="STL"/>
    <s v="YES"/>
    <s v="TBD"/>
    <d v="2024-10-09T00:00:00"/>
    <x v="19"/>
    <m/>
    <m/>
    <m/>
    <m/>
    <m/>
    <m/>
    <m/>
    <m/>
    <m/>
    <m/>
    <m/>
  </r>
  <r>
    <n v="2111"/>
    <n v="60150"/>
    <s v="P"/>
    <s v="Capitalized"/>
    <s v="2 Yard Containers"/>
    <m/>
    <m/>
    <n v="13"/>
    <m/>
    <n v="0"/>
    <s v="CAPITAL INDUSTRIES, INC."/>
    <m/>
    <s v="CONTAINERS"/>
    <s v="TBA"/>
    <m/>
    <s v="2 YD"/>
    <s v="FEL/REL/SL Metal"/>
    <d v="2008-10-31T00:00:00"/>
    <d v="2008-10-31T00:00:00"/>
    <s v="2111-8-0029-3"/>
    <n v="1200"/>
    <n v="14050"/>
    <n v="7468.03"/>
    <n v="14056"/>
    <n v="7468.03"/>
    <n v="0"/>
    <n v="0"/>
    <n v="54260"/>
    <n v="0"/>
    <s v="P"/>
    <m/>
    <m/>
    <s v=" "/>
    <s v="STL"/>
    <s v="YES"/>
    <s v="TBD"/>
    <d v="2024-10-09T00:00:00"/>
    <x v="19"/>
    <m/>
    <m/>
    <m/>
    <m/>
    <m/>
    <m/>
    <m/>
    <m/>
    <m/>
    <m/>
    <m/>
  </r>
  <r>
    <n v="2111"/>
    <n v="60147"/>
    <s v="P"/>
    <s v="Capitalized"/>
    <s v="1 Yard Containers"/>
    <m/>
    <m/>
    <n v="1"/>
    <m/>
    <n v="0"/>
    <s v="CAPITAL INDUSTRIES, INC."/>
    <m/>
    <s v="CONTAINERS"/>
    <s v="TBA"/>
    <m/>
    <s v="1 YD"/>
    <s v="FEL/REL/SL Metal"/>
    <d v="2008-10-31T00:00:00"/>
    <d v="2008-10-31T00:00:00"/>
    <s v="2111-8-0029-1"/>
    <n v="1200"/>
    <n v="14050"/>
    <n v="2475.1999999999998"/>
    <n v="14056"/>
    <n v="2475.1999999999998"/>
    <n v="0"/>
    <n v="0"/>
    <n v="54260"/>
    <n v="0"/>
    <s v="P"/>
    <m/>
    <m/>
    <s v=" "/>
    <s v="STL"/>
    <s v="YES"/>
    <s v="TBD"/>
    <d v="2024-10-09T00:00:00"/>
    <x v="19"/>
    <m/>
    <m/>
    <m/>
    <m/>
    <m/>
    <m/>
    <m/>
    <m/>
    <m/>
    <m/>
    <m/>
  </r>
  <r>
    <n v="2111"/>
    <n v="59913"/>
    <s v="P"/>
    <s v="Capitalized"/>
    <s v="HP 6710b Notebook SN SCNU8377S80 &amp; Docking Station SN SCNU833XF5Q"/>
    <m/>
    <m/>
    <n v="1"/>
    <m/>
    <n v="0"/>
    <s v="CDW"/>
    <m/>
    <s v="HARDWARE AND SOFTWARE"/>
    <s v="TBA"/>
    <m/>
    <m/>
    <m/>
    <d v="2008-10-05T00:00:00"/>
    <d v="2008-10-05T00:00:00"/>
    <s v="2111-8-0034-1"/>
    <n v="300"/>
    <n v="14110"/>
    <n v="1251.47"/>
    <n v="14116"/>
    <n v="1251.47"/>
    <n v="0"/>
    <n v="0"/>
    <n v="70260"/>
    <n v="0"/>
    <s v="P"/>
    <m/>
    <m/>
    <s v=" "/>
    <s v="STL"/>
    <s v="YES"/>
    <s v="TBD"/>
    <d v="2024-10-09T00:00:00"/>
    <x v="19"/>
    <m/>
    <m/>
    <m/>
    <m/>
    <m/>
    <m/>
    <m/>
    <m/>
    <m/>
    <m/>
    <m/>
  </r>
  <r>
    <n v="2111"/>
    <n v="59813"/>
    <s v="P"/>
    <s v="Capitalized"/>
    <s v="96 Gallon Seahawk Granite Carts"/>
    <m/>
    <m/>
    <n v="624"/>
    <m/>
    <n v="0"/>
    <s v="TOTER INCORPORATED"/>
    <m/>
    <s v="CONTAINERS"/>
    <s v="TBA"/>
    <m/>
    <m/>
    <m/>
    <d v="2008-09-15T00:00:00"/>
    <d v="2008-09-15T00:00:00"/>
    <s v="2111-8-0007-1"/>
    <n v="700"/>
    <n v="14050"/>
    <n v="39442.870000000003"/>
    <n v="14056"/>
    <n v="39442.870000000003"/>
    <n v="0"/>
    <n v="0"/>
    <n v="54260"/>
    <n v="0"/>
    <s v="P"/>
    <m/>
    <m/>
    <s v=" "/>
    <s v="STL"/>
    <s v="YES"/>
    <s v="TBD"/>
    <d v="2024-10-09T00:00:00"/>
    <x v="19"/>
    <m/>
    <m/>
    <m/>
    <m/>
    <m/>
    <m/>
    <m/>
    <m/>
    <m/>
    <m/>
    <m/>
  </r>
  <r>
    <n v="2111"/>
    <n v="59812"/>
    <s v="P"/>
    <s v="Capitalized"/>
    <s v="96 Gallon Seahawk Granite Carts"/>
    <m/>
    <m/>
    <n v="624"/>
    <m/>
    <n v="0"/>
    <s v="TOTER INCORPORATED"/>
    <m/>
    <s v="CONTAINERS"/>
    <s v="TBA"/>
    <m/>
    <m/>
    <m/>
    <d v="2008-09-15T00:00:00"/>
    <d v="2008-09-15T00:00:00"/>
    <s v="2111-8-0007-1"/>
    <n v="700"/>
    <n v="14050"/>
    <n v="39442.870000000003"/>
    <n v="14056"/>
    <n v="39442.870000000003"/>
    <n v="0"/>
    <n v="0"/>
    <n v="54260"/>
    <n v="0"/>
    <s v="P"/>
    <m/>
    <m/>
    <s v=" "/>
    <s v="STL"/>
    <s v="YES"/>
    <s v="TBD"/>
    <d v="2024-10-09T00:00:00"/>
    <x v="19"/>
    <m/>
    <m/>
    <m/>
    <m/>
    <m/>
    <m/>
    <m/>
    <m/>
    <m/>
    <m/>
    <m/>
  </r>
  <r>
    <n v="2111"/>
    <n v="59445"/>
    <s v="P"/>
    <s v="Capitalized"/>
    <s v="6YD Containers"/>
    <m/>
    <m/>
    <n v="5"/>
    <m/>
    <n v="0"/>
    <s v="CAPITAL INDUSTRIES, INC."/>
    <m/>
    <s v="CONTAINERS"/>
    <s v="TBA"/>
    <m/>
    <s v="6 YD"/>
    <s v="FEL/REL/SL Metal"/>
    <d v="2008-09-16T00:00:00"/>
    <d v="2008-09-16T00:00:00"/>
    <s v="2111-8-0029-5"/>
    <n v="1200"/>
    <n v="14050"/>
    <n v="4977.6000000000004"/>
    <n v="14056"/>
    <n v="4977.6000000000004"/>
    <n v="0"/>
    <n v="0"/>
    <n v="54260"/>
    <n v="0"/>
    <s v="P"/>
    <m/>
    <m/>
    <s v=" "/>
    <s v="STL"/>
    <s v="YES"/>
    <s v="TBD"/>
    <d v="2024-10-09T00:00:00"/>
    <x v="19"/>
    <m/>
    <m/>
    <m/>
    <m/>
    <m/>
    <m/>
    <m/>
    <m/>
    <m/>
    <m/>
    <m/>
  </r>
  <r>
    <n v="2111"/>
    <n v="59444"/>
    <s v="P"/>
    <s v="Capitalized"/>
    <s v="4YD FEL Container"/>
    <m/>
    <m/>
    <n v="5"/>
    <m/>
    <n v="0"/>
    <s v="CAPITAL INDUSTRIES, INC."/>
    <m/>
    <s v="CONTAINERS"/>
    <s v="TBA"/>
    <m/>
    <s v="4 YD"/>
    <s v="FEL/REL/SL Metal"/>
    <d v="2008-09-25T00:00:00"/>
    <d v="2008-09-25T00:00:00"/>
    <s v="2111-8-0029-4"/>
    <n v="1200"/>
    <n v="14050"/>
    <n v="3726.4"/>
    <n v="14056"/>
    <n v="3726.4"/>
    <n v="0"/>
    <n v="0"/>
    <n v="54260"/>
    <n v="0"/>
    <s v="P"/>
    <m/>
    <m/>
    <s v=" "/>
    <s v="STL"/>
    <s v="YES"/>
    <s v="TBD"/>
    <d v="2024-10-09T00:00:00"/>
    <x v="19"/>
    <m/>
    <m/>
    <m/>
    <m/>
    <m/>
    <m/>
    <m/>
    <m/>
    <m/>
    <m/>
    <m/>
  </r>
  <r>
    <n v="2111"/>
    <n v="59199"/>
    <s v="P"/>
    <s v="Capitalized"/>
    <s v="Walking Floor Trailer #WF14"/>
    <m/>
    <m/>
    <n v="1"/>
    <s v="48XAR534991006537"/>
    <n v="2008"/>
    <s v="Other"/>
    <s v="Travis"/>
    <s v="TRUCKS AND TRAILERS"/>
    <s v="TBA"/>
    <s v="Transfer Trailer"/>
    <m/>
    <m/>
    <d v="2008-07-02T00:00:00"/>
    <d v="2008-07-02T00:00:00"/>
    <s v="2111-8-0002-1"/>
    <n v="600"/>
    <n v="14040"/>
    <n v="96676.9"/>
    <n v="14046"/>
    <n v="96676.9"/>
    <n v="0"/>
    <n v="0"/>
    <n v="51260"/>
    <n v="0"/>
    <s v="P"/>
    <n v="0"/>
    <s v="WF-14"/>
    <s v=" "/>
    <s v="STL"/>
    <s v="YES"/>
    <s v="TBD"/>
    <d v="2024-10-09T00:00:00"/>
    <x v="19"/>
    <m/>
    <m/>
    <m/>
    <m/>
    <m/>
    <m/>
    <m/>
    <m/>
    <m/>
    <m/>
    <m/>
  </r>
  <r>
    <n v="2111"/>
    <n v="58826"/>
    <s v="P"/>
    <s v="Capitalized"/>
    <s v="HP 6710b Notebook SN SCNU8310DX1 and Docking Station SN SCNU819XX76"/>
    <m/>
    <m/>
    <n v="1"/>
    <m/>
    <n v="0"/>
    <s v="CDW"/>
    <m/>
    <s v="HARDWARE AND SOFTWARE"/>
    <s v="TBA"/>
    <m/>
    <m/>
    <m/>
    <d v="2008-08-25T00:00:00"/>
    <d v="2008-08-25T00:00:00"/>
    <s v="2111-8-0031-1"/>
    <n v="300"/>
    <n v="14110"/>
    <n v="1462.97"/>
    <n v="14116"/>
    <n v="1462.97"/>
    <n v="0"/>
    <n v="0"/>
    <n v="70260"/>
    <n v="0"/>
    <s v="P"/>
    <m/>
    <m/>
    <s v=" "/>
    <s v="STL"/>
    <s v="YES"/>
    <s v="TBD"/>
    <d v="2024-10-09T00:00:00"/>
    <x v="19"/>
    <m/>
    <m/>
    <m/>
    <m/>
    <m/>
    <m/>
    <m/>
    <m/>
    <m/>
    <m/>
    <m/>
  </r>
  <r>
    <n v="2111"/>
    <n v="58549"/>
    <s v="P"/>
    <s v="Capitalized"/>
    <s v="2008 F450 S-DTY Shop Truck"/>
    <m/>
    <m/>
    <n v="1"/>
    <s v="1FDXF46R78ED24860"/>
    <n v="2008"/>
    <s v="Ford F450"/>
    <s v="Service Truck"/>
    <s v="TRUCKS AND TRAILERS"/>
    <s v="TBA"/>
    <s v="Service Truck"/>
    <m/>
    <m/>
    <d v="2008-08-20T00:00:00"/>
    <d v="2008-08-20T00:00:00"/>
    <s v="2111-8-0017-1"/>
    <n v="900"/>
    <n v="14040"/>
    <n v="46818.35"/>
    <n v="14046"/>
    <n v="46818.35"/>
    <n v="0"/>
    <n v="0"/>
    <n v="51260"/>
    <n v="0"/>
    <s v="P"/>
    <m/>
    <n v="126"/>
    <s v=" "/>
    <s v="STL"/>
    <s v="YES"/>
    <s v="TBD"/>
    <d v="2024-10-09T00:00:00"/>
    <x v="19"/>
    <m/>
    <m/>
    <m/>
    <m/>
    <m/>
    <m/>
    <m/>
    <m/>
    <m/>
    <m/>
    <m/>
  </r>
  <r>
    <n v="2111"/>
    <n v="57894"/>
    <n v="57325"/>
    <s v="Capitalized"/>
    <s v="2111 Installation (12) Drive Cams"/>
    <m/>
    <m/>
    <n v="1"/>
    <m/>
    <n v="0"/>
    <s v="DriveCam"/>
    <m/>
    <s v="SHOP EQUIPMENT"/>
    <s v="TBA"/>
    <s v="Non-Rolling Stock"/>
    <m/>
    <m/>
    <d v="2008-05-30T00:00:00"/>
    <d v="2008-05-30T00:00:00"/>
    <s v="2111-8-0030-1"/>
    <n v="500"/>
    <n v="14070"/>
    <n v="12000"/>
    <n v="14076"/>
    <n v="12000"/>
    <n v="0"/>
    <n v="0"/>
    <n v="51260"/>
    <n v="0"/>
    <s v="P"/>
    <m/>
    <m/>
    <s v=" "/>
    <s v="STL"/>
    <s v="YES"/>
    <s v="TBD"/>
    <d v="2024-10-09T00:00:00"/>
    <x v="19"/>
    <m/>
    <m/>
    <m/>
    <m/>
    <m/>
    <m/>
    <m/>
    <m/>
    <m/>
    <m/>
    <m/>
  </r>
  <r>
    <n v="2111"/>
    <n v="57822"/>
    <n v="50359"/>
    <s v="Capitalized"/>
    <s v="Plumb Signs--never constructed/void check"/>
    <m/>
    <m/>
    <n v="1"/>
    <n v="0"/>
    <n v="0"/>
    <m/>
    <m/>
    <s v="LEASEHOLD IMPROVEMENTS"/>
    <s v="LEASEHOLD IMPROVEMENTS"/>
    <m/>
    <m/>
    <m/>
    <d v="2008-01-01T00:00:00"/>
    <d v="2008-01-01T00:00:00"/>
    <s v="07-2111-417"/>
    <n v="11"/>
    <n v="14090"/>
    <n v="-3745.44"/>
    <n v="14096"/>
    <n v="-3745.44"/>
    <n v="0"/>
    <n v="0"/>
    <n v="57260"/>
    <n v="0"/>
    <s v="P"/>
    <m/>
    <m/>
    <s v=" "/>
    <s v="STL"/>
    <s v="YES"/>
    <s v="TBD"/>
    <d v="2024-10-09T00:00:00"/>
    <x v="19"/>
    <m/>
    <m/>
    <m/>
    <m/>
    <m/>
    <m/>
    <m/>
    <m/>
    <m/>
    <m/>
    <m/>
  </r>
  <r>
    <n v="2111"/>
    <n v="57735"/>
    <s v="P"/>
    <s v="Capitalized"/>
    <s v="95 Gal Commingle Carts Load#2"/>
    <m/>
    <m/>
    <n v="486"/>
    <m/>
    <n v="0"/>
    <s v="REHRIG PACIFIC COMPANY"/>
    <m/>
    <s v="CONTAINERS"/>
    <s v="TBA"/>
    <m/>
    <m/>
    <m/>
    <d v="2008-06-02T00:00:00"/>
    <d v="2008-06-02T00:00:00"/>
    <s v="2111-8-0007-1"/>
    <n v="700"/>
    <n v="14050"/>
    <n v="29335"/>
    <n v="14056"/>
    <n v="29335"/>
    <n v="0"/>
    <n v="0"/>
    <n v="54260"/>
    <n v="0"/>
    <s v="P"/>
    <m/>
    <m/>
    <s v=" "/>
    <s v="STL"/>
    <s v="YES"/>
    <s v="TBD"/>
    <d v="2024-10-09T00:00:00"/>
    <x v="19"/>
    <m/>
    <m/>
    <m/>
    <m/>
    <m/>
    <m/>
    <m/>
    <m/>
    <m/>
    <m/>
    <m/>
  </r>
  <r>
    <n v="2111"/>
    <n v="57734"/>
    <s v="P"/>
    <s v="Capitalized"/>
    <s v="95 Gal Yardwaste Carts"/>
    <m/>
    <m/>
    <n v="486"/>
    <m/>
    <n v="0"/>
    <s v="REHRIG PACIFIC COMPANY"/>
    <m/>
    <s v="CONTAINERS"/>
    <s v="TBA"/>
    <m/>
    <m/>
    <m/>
    <d v="2008-06-02T00:00:00"/>
    <d v="2008-06-02T00:00:00"/>
    <s v="2111-8-0006-1"/>
    <n v="700"/>
    <n v="14050"/>
    <n v="28400.13"/>
    <n v="14056"/>
    <n v="28400.13"/>
    <n v="0"/>
    <n v="0"/>
    <n v="54260"/>
    <n v="0"/>
    <s v="P"/>
    <m/>
    <m/>
    <s v=" "/>
    <s v="STL"/>
    <s v="YES"/>
    <s v="TBD"/>
    <d v="2024-10-09T00:00:00"/>
    <x v="19"/>
    <m/>
    <m/>
    <m/>
    <m/>
    <m/>
    <m/>
    <m/>
    <m/>
    <m/>
    <m/>
    <m/>
  </r>
  <r>
    <n v="2111"/>
    <n v="57733"/>
    <s v="P"/>
    <s v="Capitalized"/>
    <s v="95 Gal Yardwaste Carts"/>
    <m/>
    <m/>
    <n v="486"/>
    <m/>
    <n v="0"/>
    <s v="REHRIG PACIFIC COMPANY"/>
    <m/>
    <s v="CONTAINERS"/>
    <s v="TBA"/>
    <m/>
    <m/>
    <m/>
    <d v="2008-06-02T00:00:00"/>
    <d v="2008-06-02T00:00:00"/>
    <s v="2111-8-0006-1"/>
    <n v="700"/>
    <n v="14050"/>
    <n v="28400.13"/>
    <n v="14056"/>
    <n v="28400.13"/>
    <n v="0"/>
    <n v="0"/>
    <n v="54260"/>
    <n v="0"/>
    <s v="P"/>
    <m/>
    <m/>
    <s v=" "/>
    <s v="STL"/>
    <s v="YES"/>
    <s v="TBD"/>
    <d v="2024-10-09T00:00:00"/>
    <x v="19"/>
    <m/>
    <m/>
    <m/>
    <m/>
    <m/>
    <m/>
    <m/>
    <m/>
    <m/>
    <m/>
    <m/>
  </r>
  <r>
    <n v="2111"/>
    <n v="57375"/>
    <n v="57325"/>
    <s v="Capitalized"/>
    <s v="(37) Drive Cameras"/>
    <m/>
    <m/>
    <n v="1"/>
    <m/>
    <n v="0"/>
    <s v="DriveCam"/>
    <m/>
    <s v="SHOP EQUIPMENT"/>
    <s v="TBA"/>
    <m/>
    <m/>
    <m/>
    <d v="2008-05-31T00:00:00"/>
    <d v="2008-05-31T00:00:00"/>
    <s v="2111-8-0028-1"/>
    <n v="500"/>
    <n v="14070"/>
    <n v="19635.47"/>
    <n v="14076"/>
    <n v="19635.47"/>
    <n v="0"/>
    <n v="0"/>
    <n v="51260"/>
    <n v="0"/>
    <s v="P"/>
    <m/>
    <m/>
    <s v=" "/>
    <s v="STL"/>
    <s v="YES"/>
    <s v="TBD"/>
    <d v="2024-10-09T00:00:00"/>
    <x v="19"/>
    <m/>
    <m/>
    <m/>
    <m/>
    <m/>
    <m/>
    <m/>
    <m/>
    <m/>
    <m/>
    <m/>
  </r>
  <r>
    <n v="2111"/>
    <n v="57325"/>
    <s v="P"/>
    <s v="Capitalized"/>
    <s v="Qty (1) Drive Cameras"/>
    <m/>
    <m/>
    <n v="1"/>
    <m/>
    <n v="0"/>
    <s v="DriveCam"/>
    <m/>
    <s v="SHOP EQUIPMENT"/>
    <s v="TBA"/>
    <m/>
    <m/>
    <m/>
    <d v="2008-05-31T00:00:00"/>
    <d v="2008-05-31T00:00:00"/>
    <s v="2111-8-0028-1"/>
    <n v="500"/>
    <n v="14070"/>
    <n v="538.6"/>
    <n v="14076"/>
    <n v="538.6"/>
    <n v="0"/>
    <n v="0"/>
    <n v="51260"/>
    <n v="0"/>
    <s v="P"/>
    <m/>
    <m/>
    <s v=" "/>
    <s v="STL"/>
    <s v="YES"/>
    <s v="TBD"/>
    <d v="2024-10-09T00:00:00"/>
    <x v="19"/>
    <m/>
    <m/>
    <m/>
    <m/>
    <m/>
    <m/>
    <m/>
    <m/>
    <m/>
    <m/>
    <m/>
  </r>
  <r>
    <n v="2111"/>
    <n v="56988"/>
    <s v="P"/>
    <s v="Capitalized"/>
    <s v="95 Gal Carts"/>
    <m/>
    <m/>
    <n v="427"/>
    <m/>
    <n v="0"/>
    <s v="SCHAEFER SYSTEMS INTERNAT"/>
    <m/>
    <s v="CONTAINERS"/>
    <s v="TBA"/>
    <m/>
    <m/>
    <m/>
    <d v="2008-01-02T00:00:00"/>
    <d v="2008-01-02T00:00:00"/>
    <s v="2111-8-0006-1"/>
    <n v="700"/>
    <n v="14050"/>
    <n v="22067.360000000001"/>
    <n v="14056"/>
    <n v="22067.360000000001"/>
    <n v="0"/>
    <n v="0"/>
    <n v="54260"/>
    <n v="0"/>
    <s v="P"/>
    <m/>
    <m/>
    <s v=" "/>
    <s v="STL"/>
    <s v="YES"/>
    <s v="TBD"/>
    <d v="2024-10-09T00:00:00"/>
    <x v="19"/>
    <m/>
    <m/>
    <m/>
    <m/>
    <m/>
    <m/>
    <m/>
    <m/>
    <m/>
    <m/>
    <m/>
  </r>
  <r>
    <n v="2111"/>
    <n v="56642"/>
    <s v="P"/>
    <s v="Capitalized"/>
    <s v="95 Gal Commingle Carts"/>
    <m/>
    <m/>
    <n v="486"/>
    <m/>
    <n v="0"/>
    <s v="REHRIG PACIFIC COMPANY"/>
    <m/>
    <s v="CONTAINERS"/>
    <s v="TBA"/>
    <m/>
    <m/>
    <m/>
    <d v="2008-04-08T00:00:00"/>
    <d v="2008-04-08T00:00:00"/>
    <s v="2111-8-0007-1"/>
    <n v="700"/>
    <n v="14050"/>
    <n v="29457.67"/>
    <n v="14056"/>
    <n v="29457.67"/>
    <n v="0"/>
    <n v="0"/>
    <n v="54260"/>
    <n v="0"/>
    <s v="P"/>
    <m/>
    <m/>
    <s v=" "/>
    <s v="STL"/>
    <s v="YES"/>
    <s v="TBD"/>
    <d v="2024-10-09T00:00:00"/>
    <x v="19"/>
    <m/>
    <m/>
    <m/>
    <m/>
    <m/>
    <m/>
    <m/>
    <m/>
    <m/>
    <m/>
    <m/>
  </r>
  <r>
    <n v="2111"/>
    <n v="56426"/>
    <s v="P"/>
    <s v="Capitalized"/>
    <s v="Murrey's Transfer Station -Paving"/>
    <m/>
    <m/>
    <n v="1"/>
    <m/>
    <n v="0"/>
    <m/>
    <m/>
    <s v="BUILDINGS"/>
    <s v="TBA"/>
    <m/>
    <m/>
    <m/>
    <d v="2008-01-01T00:00:00"/>
    <d v="2008-01-01T00:00:00"/>
    <m/>
    <n v="1000"/>
    <n v="14080"/>
    <n v="253974.7"/>
    <n v="14086"/>
    <n v="253974.7"/>
    <n v="0"/>
    <n v="0"/>
    <n v="57260"/>
    <n v="0"/>
    <s v="P"/>
    <n v="0"/>
    <m/>
    <s v=" "/>
    <s v="STL"/>
    <s v="YES"/>
    <s v="TBD"/>
    <d v="2024-10-09T00:00:00"/>
    <x v="19"/>
    <m/>
    <m/>
    <m/>
    <m/>
    <m/>
    <m/>
    <m/>
    <m/>
    <m/>
    <m/>
    <m/>
  </r>
  <r>
    <n v="2111"/>
    <n v="55944"/>
    <s v="P"/>
    <s v="Capitalized"/>
    <s v="6YD Front Load Containers"/>
    <m/>
    <m/>
    <n v="10"/>
    <m/>
    <n v="0"/>
    <s v="ENTERPRISE SALES, INC."/>
    <m/>
    <s v="CONTAINERS"/>
    <s v="TBA"/>
    <m/>
    <s v="6 YD"/>
    <s v="FEL/REL/SL Metal"/>
    <d v="2008-01-07T00:00:00"/>
    <d v="2008-01-07T00:00:00"/>
    <s v="2111-8-0027-1"/>
    <n v="1200"/>
    <n v="14050"/>
    <n v="8051"/>
    <n v="14056"/>
    <n v="8051"/>
    <n v="0"/>
    <n v="0"/>
    <n v="54260"/>
    <n v="0"/>
    <s v="P"/>
    <m/>
    <m/>
    <s v=" "/>
    <s v="STL"/>
    <s v="YES"/>
    <s v="TBD"/>
    <d v="2024-10-09T00:00:00"/>
    <x v="19"/>
    <m/>
    <m/>
    <m/>
    <m/>
    <m/>
    <m/>
    <m/>
    <m/>
    <m/>
    <m/>
    <m/>
  </r>
  <r>
    <n v="2111"/>
    <n v="54744"/>
    <s v="P"/>
    <s v="Capitalized"/>
    <s v="95 GAL Cart w/ Snap Wheel"/>
    <m/>
    <m/>
    <n v="427"/>
    <n v="0"/>
    <n v="0"/>
    <s v="SCHAEFER SYSTEMS INTERNAT"/>
    <m/>
    <s v="CONTAINERS"/>
    <s v="TBA"/>
    <m/>
    <m/>
    <m/>
    <d v="2007-12-27T00:00:00"/>
    <d v="2007-12-27T00:00:00"/>
    <s v="07-2111-018"/>
    <n v="700"/>
    <n v="14050"/>
    <n v="25797.360000000001"/>
    <n v="14056"/>
    <n v="25797.360000000001"/>
    <n v="0"/>
    <n v="0"/>
    <n v="54260"/>
    <n v="0"/>
    <s v="P"/>
    <m/>
    <m/>
    <s v=" "/>
    <s v="STL"/>
    <s v="YES"/>
    <s v="TBD"/>
    <d v="2024-10-09T00:00:00"/>
    <x v="19"/>
    <m/>
    <m/>
    <m/>
    <m/>
    <m/>
    <m/>
    <m/>
    <m/>
    <m/>
    <m/>
    <m/>
  </r>
  <r>
    <n v="2111"/>
    <n v="54694"/>
    <s v="P"/>
    <s v="Capitalized"/>
    <s v="1.5YD REL"/>
    <m/>
    <m/>
    <n v="10"/>
    <n v="0"/>
    <n v="0"/>
    <s v="ENTERPRISE SALES, INC."/>
    <m/>
    <s v="CONTAINERS"/>
    <s v="TBA"/>
    <m/>
    <s v="1.5 YD"/>
    <s v="FEL/REL/SL Metal"/>
    <d v="2007-12-20T00:00:00"/>
    <d v="2007-12-20T00:00:00"/>
    <s v="07-2111-022"/>
    <n v="1200"/>
    <n v="14050"/>
    <n v="4580.4799999999996"/>
    <n v="14056"/>
    <n v="4580.4799999999996"/>
    <n v="0"/>
    <n v="0"/>
    <n v="54260"/>
    <n v="0"/>
    <s v="P"/>
    <m/>
    <m/>
    <s v=" "/>
    <s v="STL"/>
    <s v="YES"/>
    <s v="TBD"/>
    <d v="2024-10-09T00:00:00"/>
    <x v="19"/>
    <m/>
    <m/>
    <m/>
    <m/>
    <m/>
    <m/>
    <m/>
    <m/>
    <m/>
    <m/>
    <m/>
  </r>
  <r>
    <n v="2111"/>
    <n v="54079"/>
    <s v="P"/>
    <s v="Capitalized"/>
    <s v="2007 REL Truck VIN# 461473 (body)"/>
    <m/>
    <m/>
    <n v="1"/>
    <s v="1HTWCAZR07J461473"/>
    <n v="2007"/>
    <m/>
    <m/>
    <s v="TRUCKS AND TRAILERS"/>
    <s v="TBA"/>
    <s v="Rear Loader"/>
    <m/>
    <m/>
    <d v="2007-11-10T00:00:00"/>
    <d v="2007-11-10T00:00:00"/>
    <s v="07-2111-026"/>
    <n v="1000"/>
    <n v="14040"/>
    <n v="61630.89"/>
    <n v="14046"/>
    <n v="61630.89"/>
    <n v="0"/>
    <n v="0"/>
    <n v="51260"/>
    <n v="0"/>
    <s v="P"/>
    <n v="0"/>
    <m/>
    <s v=" "/>
    <s v="STL"/>
    <s v="YES"/>
    <s v="TBD"/>
    <d v="2024-10-09T00:00:00"/>
    <x v="19"/>
    <m/>
    <m/>
    <m/>
    <m/>
    <m/>
    <m/>
    <m/>
    <m/>
    <m/>
    <m/>
    <m/>
  </r>
  <r>
    <n v="2111"/>
    <n v="53724"/>
    <n v="6680"/>
    <s v="Capitalized"/>
    <s v="NEW TORCH DOWN ROOF"/>
    <m/>
    <m/>
    <n v="1"/>
    <n v="0"/>
    <n v="0"/>
    <s v="ROGER BRATSCH"/>
    <m/>
    <s v="BUILDINGS"/>
    <s v="TBA"/>
    <m/>
    <m/>
    <m/>
    <d v="2007-10-12T00:00:00"/>
    <d v="2007-10-12T00:00:00"/>
    <s v="07-2111-422"/>
    <n v="500"/>
    <n v="14080"/>
    <n v="4068.5"/>
    <n v="14086"/>
    <n v="4068.5"/>
    <n v="0"/>
    <n v="0"/>
    <n v="57260"/>
    <n v="0"/>
    <s v="P"/>
    <m/>
    <m/>
    <s v=" "/>
    <s v="STL"/>
    <s v="YES"/>
    <s v="TBD"/>
    <d v="2024-10-09T00:00:00"/>
    <x v="19"/>
    <m/>
    <m/>
    <m/>
    <m/>
    <m/>
    <m/>
    <m/>
    <m/>
    <m/>
    <m/>
    <m/>
  </r>
  <r>
    <n v="2111"/>
    <n v="53367"/>
    <s v="P"/>
    <s v="Capitalized"/>
    <s v="95 GA Carts"/>
    <m/>
    <m/>
    <n v="486"/>
    <n v="0"/>
    <n v="0"/>
    <s v="REHRIG PACIFIC COMPANY"/>
    <m/>
    <s v="CONTAINERS"/>
    <s v="TBA"/>
    <m/>
    <m/>
    <m/>
    <d v="2007-10-23T00:00:00"/>
    <d v="2007-10-23T00:00:00"/>
    <s v="07-2111-012"/>
    <n v="700"/>
    <n v="14050"/>
    <n v="28267.94"/>
    <n v="14056"/>
    <n v="28267.94"/>
    <n v="0"/>
    <n v="0"/>
    <n v="54260"/>
    <n v="0"/>
    <s v="P"/>
    <m/>
    <m/>
    <s v=" "/>
    <s v="STL"/>
    <s v="YES"/>
    <s v="TBD"/>
    <d v="2024-10-09T00:00:00"/>
    <x v="19"/>
    <m/>
    <m/>
    <m/>
    <m/>
    <m/>
    <m/>
    <m/>
    <m/>
    <m/>
    <m/>
    <m/>
  </r>
  <r>
    <n v="2111"/>
    <n v="53224"/>
    <n v="6677"/>
    <s v="Capitalized"/>
    <s v="Building Improvements"/>
    <m/>
    <m/>
    <n v="1"/>
    <m/>
    <n v="0"/>
    <m/>
    <m/>
    <s v="BUILDINGS"/>
    <s v="TBA"/>
    <m/>
    <m/>
    <m/>
    <d v="2007-07-31T00:00:00"/>
    <d v="2007-07-31T00:00:00"/>
    <s v="07-2111-005"/>
    <n v="1000"/>
    <n v="14080"/>
    <n v="33494.5"/>
    <n v="14086"/>
    <n v="33494.5"/>
    <n v="0"/>
    <n v="0"/>
    <n v="57260"/>
    <n v="0"/>
    <s v="P"/>
    <n v="0"/>
    <m/>
    <s v=" "/>
    <s v="STL"/>
    <s v="YES"/>
    <s v="TBD"/>
    <d v="2024-10-09T00:00:00"/>
    <x v="19"/>
    <m/>
    <m/>
    <m/>
    <m/>
    <m/>
    <m/>
    <m/>
    <m/>
    <m/>
    <m/>
    <m/>
  </r>
  <r>
    <n v="2111"/>
    <n v="53209"/>
    <s v="P"/>
    <s v="Capitalized"/>
    <s v="95 GA Carts"/>
    <m/>
    <m/>
    <n v="486"/>
    <n v="0"/>
    <n v="0"/>
    <s v="REHRIG PACIFIC COMPANY"/>
    <m/>
    <s v="CONTAINERS"/>
    <s v="TBA"/>
    <m/>
    <m/>
    <m/>
    <d v="2007-09-28T00:00:00"/>
    <d v="2007-09-28T00:00:00"/>
    <s v="07-2111-012"/>
    <n v="700"/>
    <n v="14050"/>
    <n v="27210.400000000001"/>
    <n v="14056"/>
    <n v="27210.400000000001"/>
    <n v="0"/>
    <n v="0"/>
    <n v="54260"/>
    <n v="0"/>
    <s v="P"/>
    <m/>
    <m/>
    <s v=" "/>
    <s v="STL"/>
    <s v="YES"/>
    <s v="TBD"/>
    <d v="2024-10-09T00:00:00"/>
    <x v="19"/>
    <m/>
    <m/>
    <m/>
    <m/>
    <m/>
    <m/>
    <m/>
    <m/>
    <m/>
    <m/>
    <m/>
  </r>
  <r>
    <n v="2111"/>
    <n v="53208"/>
    <s v="P"/>
    <s v="Capitalized"/>
    <s v="95 GA Carts"/>
    <m/>
    <m/>
    <n v="486"/>
    <n v="0"/>
    <n v="0"/>
    <s v="REHRIG PACIFIC COMPANY"/>
    <m/>
    <s v="CONTAINERS"/>
    <s v="TBA"/>
    <m/>
    <m/>
    <m/>
    <d v="2007-09-28T00:00:00"/>
    <d v="2007-09-28T00:00:00"/>
    <s v="07-2111-012"/>
    <n v="700"/>
    <n v="14050"/>
    <n v="27210.400000000001"/>
    <n v="14056"/>
    <n v="27210.400000000001"/>
    <n v="0"/>
    <n v="0"/>
    <n v="54260"/>
    <n v="0"/>
    <s v="P"/>
    <m/>
    <m/>
    <s v=" "/>
    <s v="STL"/>
    <s v="YES"/>
    <s v="TBD"/>
    <d v="2024-10-09T00:00:00"/>
    <x v="19"/>
    <m/>
    <m/>
    <m/>
    <m/>
    <m/>
    <m/>
    <m/>
    <m/>
    <m/>
    <m/>
    <m/>
  </r>
  <r>
    <n v="2111"/>
    <n v="52692"/>
    <s v="P"/>
    <s v="Capitalized"/>
    <s v="Murrey's Retention Pond"/>
    <m/>
    <m/>
    <n v="1"/>
    <m/>
    <n v="0"/>
    <m/>
    <m/>
    <s v="LAND IMPROVEMENTS"/>
    <s v="TBA"/>
    <m/>
    <m/>
    <m/>
    <d v="2007-07-01T00:00:00"/>
    <d v="2007-07-01T00:00:00"/>
    <m/>
    <n v="1000"/>
    <n v="14010"/>
    <n v="869261.59"/>
    <n v="14016"/>
    <n v="869261.59"/>
    <n v="0"/>
    <n v="0"/>
    <n v="57260"/>
    <n v="0"/>
    <s v="P"/>
    <n v="0"/>
    <m/>
    <s v=" "/>
    <s v="STL"/>
    <s v="YES"/>
    <s v="TBD"/>
    <d v="2024-10-09T00:00:00"/>
    <x v="19"/>
    <m/>
    <m/>
    <m/>
    <m/>
    <m/>
    <m/>
    <m/>
    <m/>
    <m/>
    <m/>
    <m/>
  </r>
  <r>
    <n v="2111"/>
    <n v="52691"/>
    <n v="6685"/>
    <s v="Capitalized"/>
    <s v="Murrey's Transfer Station"/>
    <m/>
    <m/>
    <n v="1"/>
    <m/>
    <n v="0"/>
    <m/>
    <m/>
    <s v="BUILDINGS"/>
    <s v="TBA"/>
    <m/>
    <m/>
    <m/>
    <d v="2007-07-01T00:00:00"/>
    <d v="2007-07-01T00:00:00"/>
    <m/>
    <n v="2000"/>
    <n v="14080"/>
    <n v="1462717.52"/>
    <n v="14086"/>
    <n v="1261593.96"/>
    <n v="201123.56000000006"/>
    <n v="54851.94"/>
    <n v="57260"/>
    <n v="6094.66"/>
    <s v="P"/>
    <n v="0"/>
    <m/>
    <s v=" "/>
    <s v="STL"/>
    <s v="YES"/>
    <s v="TBD"/>
    <d v="2024-10-09T00:00:00"/>
    <x v="19"/>
    <m/>
    <m/>
    <m/>
    <m/>
    <m/>
    <m/>
    <m/>
    <m/>
    <m/>
    <m/>
    <m/>
  </r>
  <r>
    <n v="2111"/>
    <n v="52506"/>
    <n v="6677"/>
    <s v="Capitalized"/>
    <s v="Labor and Material - Garage Door and Wall"/>
    <m/>
    <m/>
    <n v="1"/>
    <m/>
    <n v="0"/>
    <m/>
    <m/>
    <s v="BUILDINGS"/>
    <s v="TBA"/>
    <m/>
    <m/>
    <m/>
    <d v="2007-07-31T00:00:00"/>
    <d v="2007-07-31T00:00:00"/>
    <s v="07-2111-005"/>
    <n v="1000"/>
    <n v="14080"/>
    <n v="3465.19"/>
    <n v="14086"/>
    <n v="3465.19"/>
    <n v="0"/>
    <n v="0"/>
    <n v="57260"/>
    <n v="0"/>
    <s v="P"/>
    <n v="0"/>
    <m/>
    <s v=" "/>
    <s v="STL"/>
    <s v="YES"/>
    <s v="TBD"/>
    <d v="2024-10-09T00:00:00"/>
    <x v="19"/>
    <m/>
    <m/>
    <m/>
    <m/>
    <m/>
    <m/>
    <m/>
    <m/>
    <m/>
    <m/>
    <m/>
  </r>
  <r>
    <n v="2111"/>
    <n v="52247"/>
    <s v="P"/>
    <s v="Capitalized"/>
    <s v="Internal Conversion Costs"/>
    <m/>
    <m/>
    <n v="1"/>
    <m/>
    <n v="0"/>
    <m/>
    <m/>
    <s v="HARDWARE AND SOFTWARE"/>
    <s v="TBA"/>
    <m/>
    <m/>
    <m/>
    <d v="2002-09-01T00:00:00"/>
    <d v="2002-09-01T00:00:00"/>
    <s v="02-1010-024"/>
    <n v="500"/>
    <n v="14110"/>
    <n v="3000"/>
    <n v="14116"/>
    <n v="3000"/>
    <n v="0"/>
    <n v="0"/>
    <n v="70260"/>
    <n v="0"/>
    <s v="P"/>
    <m/>
    <m/>
    <s v=" "/>
    <s v="STL"/>
    <s v="YES"/>
    <s v="TBD"/>
    <d v="2024-10-09T00:00:00"/>
    <x v="19"/>
    <m/>
    <m/>
    <m/>
    <m/>
    <m/>
    <m/>
    <m/>
    <m/>
    <m/>
    <m/>
    <m/>
  </r>
  <r>
    <n v="2111"/>
    <n v="52240"/>
    <s v="P"/>
    <s v="Capitalized"/>
    <s v="Internal Conversion Costs"/>
    <m/>
    <m/>
    <n v="1"/>
    <m/>
    <n v="0"/>
    <m/>
    <m/>
    <s v="HARDWARE AND SOFTWARE"/>
    <s v="TBA"/>
    <m/>
    <m/>
    <m/>
    <d v="2002-09-01T00:00:00"/>
    <d v="2002-09-01T00:00:00"/>
    <s v="02-1010-017"/>
    <n v="500"/>
    <n v="14110"/>
    <n v="15000"/>
    <n v="14116"/>
    <n v="15000"/>
    <n v="0"/>
    <n v="0"/>
    <n v="70260"/>
    <n v="0"/>
    <s v="P"/>
    <m/>
    <m/>
    <s v=" "/>
    <s v="STL"/>
    <s v="YES"/>
    <s v="TBD"/>
    <d v="2024-10-09T00:00:00"/>
    <x v="19"/>
    <m/>
    <m/>
    <m/>
    <m/>
    <m/>
    <m/>
    <m/>
    <m/>
    <m/>
    <m/>
    <m/>
  </r>
  <r>
    <n v="2111"/>
    <n v="52122"/>
    <s v="P"/>
    <s v="Capitalized"/>
    <s v="95 GA Carts"/>
    <m/>
    <m/>
    <n v="427"/>
    <n v="0"/>
    <n v="0"/>
    <s v="WESTERN SYSTEMS &amp; FABRICA"/>
    <m/>
    <s v="CONTAINERS"/>
    <s v="TBA"/>
    <m/>
    <m/>
    <m/>
    <d v="2007-07-26T00:00:00"/>
    <d v="2007-07-26T00:00:00"/>
    <s v="07-2111-012"/>
    <n v="700"/>
    <n v="14050"/>
    <n v="21898.65"/>
    <n v="14056"/>
    <n v="21898.65"/>
    <n v="0"/>
    <n v="0"/>
    <n v="54260"/>
    <n v="0"/>
    <s v="P"/>
    <m/>
    <m/>
    <s v=" "/>
    <s v="STL"/>
    <s v="YES"/>
    <s v="TBD"/>
    <d v="2024-10-09T00:00:00"/>
    <x v="19"/>
    <m/>
    <m/>
    <m/>
    <m/>
    <m/>
    <m/>
    <m/>
    <m/>
    <m/>
    <m/>
    <m/>
  </r>
  <r>
    <n v="2111"/>
    <n v="52121"/>
    <s v="P"/>
    <s v="Capitalized"/>
    <s v="2YD REL"/>
    <m/>
    <m/>
    <n v="35"/>
    <n v="0"/>
    <n v="0"/>
    <s v="ENTERPRISE SALES, INC."/>
    <m/>
    <s v="CONTAINERS"/>
    <s v="TBA"/>
    <m/>
    <s v="2 YD"/>
    <s v="FEL/REL/SL Metal"/>
    <d v="2007-09-04T00:00:00"/>
    <d v="2007-09-04T00:00:00"/>
    <s v="07-2111-010"/>
    <n v="1200"/>
    <n v="14050"/>
    <n v="16450.560000000001"/>
    <n v="14056"/>
    <n v="16450.560000000001"/>
    <n v="0"/>
    <n v="0"/>
    <n v="54260"/>
    <n v="0"/>
    <s v="P"/>
    <m/>
    <m/>
    <s v=" "/>
    <s v="STL"/>
    <s v="YES"/>
    <s v="TBD"/>
    <d v="2024-10-09T00:00:00"/>
    <x v="19"/>
    <m/>
    <m/>
    <m/>
    <m/>
    <m/>
    <m/>
    <m/>
    <m/>
    <m/>
    <m/>
    <m/>
  </r>
  <r>
    <n v="2111"/>
    <n v="52045"/>
    <n v="6677"/>
    <s v="Capitalized"/>
    <s v="Roofing Materials"/>
    <m/>
    <m/>
    <n v="1"/>
    <m/>
    <n v="0"/>
    <m/>
    <m/>
    <s v="BUILDINGS"/>
    <s v="TBA"/>
    <m/>
    <m/>
    <m/>
    <d v="2007-07-31T00:00:00"/>
    <d v="2007-07-31T00:00:00"/>
    <s v="07-2111-005"/>
    <n v="1000"/>
    <n v="14080"/>
    <n v="3564.49"/>
    <n v="14086"/>
    <n v="3564.49"/>
    <n v="0"/>
    <n v="0"/>
    <n v="57260"/>
    <n v="0"/>
    <s v="P"/>
    <n v="0"/>
    <m/>
    <s v=" "/>
    <s v="STL"/>
    <s v="YES"/>
    <s v="TBD"/>
    <d v="2024-10-09T00:00:00"/>
    <x v="19"/>
    <m/>
    <m/>
    <m/>
    <m/>
    <m/>
    <m/>
    <m/>
    <m/>
    <m/>
    <m/>
    <m/>
  </r>
  <r>
    <n v="2111"/>
    <n v="51546"/>
    <n v="6677"/>
    <s v="Capitalized"/>
    <s v="Shop &amp; Building Improvements"/>
    <m/>
    <m/>
    <n v="1"/>
    <m/>
    <n v="0"/>
    <m/>
    <m/>
    <s v="BUILDINGS"/>
    <s v="TBA"/>
    <m/>
    <m/>
    <m/>
    <d v="2007-07-31T00:00:00"/>
    <d v="2007-07-31T00:00:00"/>
    <s v="07-2111-005"/>
    <n v="1000"/>
    <n v="14080"/>
    <n v="28205.23"/>
    <n v="14086"/>
    <n v="28205.23"/>
    <n v="0"/>
    <n v="0"/>
    <n v="57260"/>
    <n v="0"/>
    <s v="P"/>
    <n v="0"/>
    <m/>
    <s v=" "/>
    <s v="STL"/>
    <s v="YES"/>
    <s v="TBD"/>
    <d v="2024-10-09T00:00:00"/>
    <x v="19"/>
    <m/>
    <m/>
    <m/>
    <m/>
    <m/>
    <m/>
    <m/>
    <m/>
    <m/>
    <m/>
    <m/>
  </r>
  <r>
    <n v="2111"/>
    <n v="51497"/>
    <s v="P"/>
    <s v="Capitalized"/>
    <s v="HP LAPTOP &amp; DOCKING STATION"/>
    <m/>
    <m/>
    <n v="1"/>
    <n v="0"/>
    <n v="0"/>
    <m/>
    <m/>
    <s v="HARDWARE AND SOFTWARE"/>
    <s v="TBA"/>
    <m/>
    <m/>
    <m/>
    <d v="2007-07-22T00:00:00"/>
    <d v="2007-07-22T00:00:00"/>
    <s v="07-2111-421"/>
    <n v="300"/>
    <n v="14110"/>
    <n v="1338.74"/>
    <n v="14116"/>
    <n v="1338.74"/>
    <n v="0"/>
    <n v="0"/>
    <n v="70260"/>
    <n v="0"/>
    <s v="P"/>
    <m/>
    <m/>
    <s v=" "/>
    <s v="STL"/>
    <s v="YES"/>
    <s v="TBD"/>
    <d v="2024-10-09T00:00:00"/>
    <x v="19"/>
    <m/>
    <m/>
    <m/>
    <m/>
    <m/>
    <m/>
    <m/>
    <m/>
    <m/>
    <m/>
    <m/>
  </r>
  <r>
    <n v="2111"/>
    <n v="51122"/>
    <n v="50359"/>
    <s v="Capitalized"/>
    <s v="SIGNAGE FOR RECEPTION AREA"/>
    <m/>
    <m/>
    <n v="1"/>
    <n v="0"/>
    <n v="0"/>
    <s v="PLUMB SIGNS INC"/>
    <m/>
    <s v="LEASEHOLD IMPROVEMENTS"/>
    <s v="LEASEHOLD IMPROVEMENTS"/>
    <m/>
    <m/>
    <m/>
    <d v="2007-05-15T00:00:00"/>
    <d v="2007-05-15T00:00:00"/>
    <s v="07-2111-417"/>
    <n v="300"/>
    <n v="14090"/>
    <n v="1872.72"/>
    <n v="14096"/>
    <n v="1872.72"/>
    <n v="0"/>
    <n v="0"/>
    <n v="57260"/>
    <n v="0"/>
    <s v="P"/>
    <m/>
    <m/>
    <s v=" "/>
    <s v="STL"/>
    <s v="YES"/>
    <s v="TBD"/>
    <d v="2024-10-09T00:00:00"/>
    <x v="19"/>
    <m/>
    <m/>
    <m/>
    <m/>
    <m/>
    <m/>
    <m/>
    <m/>
    <m/>
    <m/>
    <m/>
  </r>
  <r>
    <n v="2111"/>
    <n v="50490"/>
    <s v="P"/>
    <s v="Capitalized"/>
    <s v="6YD FEL"/>
    <m/>
    <m/>
    <n v="4"/>
    <n v="0"/>
    <n v="0"/>
    <s v="CAPITAL INDUSTRIES, INC."/>
    <m/>
    <s v="CONTAINERS"/>
    <s v="TBA"/>
    <m/>
    <s v="6 YD"/>
    <s v="FEL/REL/SL Metal"/>
    <d v="2007-05-31T00:00:00"/>
    <d v="2007-05-31T00:00:00"/>
    <s v="07-2111-001"/>
    <n v="1200"/>
    <n v="14050"/>
    <n v="3245.22"/>
    <n v="14056"/>
    <n v="3245.22"/>
    <n v="0"/>
    <n v="0"/>
    <n v="54260"/>
    <n v="0"/>
    <s v="P"/>
    <m/>
    <m/>
    <s v=" "/>
    <s v="STL"/>
    <s v="YES"/>
    <s v="TBD"/>
    <d v="2024-10-09T00:00:00"/>
    <x v="19"/>
    <m/>
    <m/>
    <m/>
    <m/>
    <m/>
    <m/>
    <m/>
    <m/>
    <m/>
    <m/>
    <m/>
  </r>
  <r>
    <n v="2111"/>
    <n v="50359"/>
    <s v="P"/>
    <s v="Capitalized"/>
    <s v="SIGNAGE FOR RECEPTION AREA"/>
    <m/>
    <m/>
    <n v="1"/>
    <n v="0"/>
    <n v="0"/>
    <s v="PLUMB SIGNS INC"/>
    <m/>
    <s v="LEASEHOLD IMPROVEMENTS"/>
    <s v="LEASEHOLD IMPROVEMENTS"/>
    <m/>
    <m/>
    <m/>
    <d v="2007-05-15T00:00:00"/>
    <d v="2007-05-15T00:00:00"/>
    <s v="07-2111-417"/>
    <n v="107"/>
    <n v="14090"/>
    <n v="1872.72"/>
    <n v="14096"/>
    <n v="1872.72"/>
    <n v="0"/>
    <n v="0"/>
    <n v="57260"/>
    <n v="0"/>
    <s v="P"/>
    <m/>
    <m/>
    <s v=" "/>
    <s v="STL"/>
    <s v="YES"/>
    <s v="TBD"/>
    <d v="2024-10-09T00:00:00"/>
    <x v="19"/>
    <m/>
    <m/>
    <m/>
    <m/>
    <m/>
    <m/>
    <m/>
    <m/>
    <m/>
    <m/>
    <m/>
  </r>
  <r>
    <n v="2111"/>
    <n v="50276"/>
    <s v="P"/>
    <s v="Capitalized"/>
    <s v="2YD REL"/>
    <m/>
    <m/>
    <n v="8"/>
    <n v="0"/>
    <n v="0"/>
    <s v="CAPITAL INDUSTRIES, INC."/>
    <m/>
    <s v="CONTAINERS"/>
    <s v="TBA"/>
    <m/>
    <s v="2 YD"/>
    <s v="FEL/REL/SL Metal"/>
    <d v="2007-05-18T00:00:00"/>
    <d v="2007-05-18T00:00:00"/>
    <s v="07-2111-003"/>
    <n v="1200"/>
    <n v="14050"/>
    <n v="3789.72"/>
    <n v="14056"/>
    <n v="3789.72"/>
    <n v="0"/>
    <n v="0"/>
    <n v="54260"/>
    <n v="0"/>
    <s v="P"/>
    <m/>
    <m/>
    <s v=" "/>
    <s v="STL"/>
    <s v="YES"/>
    <s v="TBD"/>
    <d v="2024-10-09T00:00:00"/>
    <x v="19"/>
    <m/>
    <m/>
    <m/>
    <m/>
    <m/>
    <m/>
    <m/>
    <m/>
    <m/>
    <m/>
    <m/>
  </r>
  <r>
    <n v="2111"/>
    <n v="50275"/>
    <s v="P"/>
    <s v="Capitalized"/>
    <s v="2YD REL"/>
    <m/>
    <m/>
    <n v="12"/>
    <n v="0"/>
    <n v="0"/>
    <s v="CAPITAL INDUSTRIES, INC."/>
    <m/>
    <s v="CONTAINERS"/>
    <s v="TBA"/>
    <m/>
    <s v="2 YD"/>
    <s v="FEL/REL/SL Metal"/>
    <d v="2007-05-17T00:00:00"/>
    <d v="2007-05-17T00:00:00"/>
    <s v="07-2111-003"/>
    <n v="1200"/>
    <n v="14050"/>
    <n v="5684.58"/>
    <n v="14056"/>
    <n v="5684.58"/>
    <n v="0"/>
    <n v="0"/>
    <n v="54260"/>
    <n v="0"/>
    <s v="P"/>
    <m/>
    <m/>
    <s v=" "/>
    <s v="STL"/>
    <s v="YES"/>
    <s v="TBD"/>
    <d v="2024-10-09T00:00:00"/>
    <x v="19"/>
    <m/>
    <m/>
    <m/>
    <m/>
    <m/>
    <m/>
    <m/>
    <m/>
    <m/>
    <m/>
    <m/>
  </r>
  <r>
    <n v="2111"/>
    <n v="50274"/>
    <s v="P"/>
    <s v="Capitalized"/>
    <s v="1YD REL"/>
    <m/>
    <m/>
    <n v="20"/>
    <n v="0"/>
    <n v="0"/>
    <s v="CAPITAL INDUSTRIES, INC."/>
    <m/>
    <s v="CONTAINERS"/>
    <s v="TBA"/>
    <m/>
    <s v="1 YD"/>
    <s v="FEL/REL/SL Metal"/>
    <d v="2007-05-17T00:00:00"/>
    <d v="2007-05-17T00:00:00"/>
    <s v="07-2111-002"/>
    <n v="1200"/>
    <n v="14050"/>
    <n v="8820.9"/>
    <n v="14056"/>
    <n v="8820.9"/>
    <n v="0"/>
    <n v="0"/>
    <n v="54260"/>
    <n v="0"/>
    <s v="P"/>
    <m/>
    <m/>
    <s v=" "/>
    <s v="STL"/>
    <s v="YES"/>
    <s v="TBD"/>
    <d v="2024-10-09T00:00:00"/>
    <x v="19"/>
    <m/>
    <m/>
    <m/>
    <m/>
    <m/>
    <m/>
    <m/>
    <m/>
    <m/>
    <m/>
    <m/>
  </r>
  <r>
    <n v="2111"/>
    <n v="50150"/>
    <s v="P"/>
    <s v="Capitalized"/>
    <s v="95 GA Carts"/>
    <m/>
    <m/>
    <n v="486"/>
    <n v="0"/>
    <n v="0"/>
    <s v="REHRIG PACIFIC COMPANY"/>
    <m/>
    <s v="CONTAINERS"/>
    <s v="TBA"/>
    <m/>
    <m/>
    <m/>
    <d v="2007-05-14T00:00:00"/>
    <d v="2007-05-14T00:00:00"/>
    <s v="07-2111-017"/>
    <n v="700"/>
    <n v="14050"/>
    <n v="26554.73"/>
    <n v="14056"/>
    <n v="26554.73"/>
    <n v="0"/>
    <n v="0"/>
    <n v="54260"/>
    <n v="0"/>
    <s v="P"/>
    <m/>
    <m/>
    <s v=" "/>
    <s v="STL"/>
    <s v="YES"/>
    <s v="TBD"/>
    <d v="2024-10-09T00:00:00"/>
    <x v="19"/>
    <m/>
    <m/>
    <m/>
    <m/>
    <m/>
    <m/>
    <m/>
    <m/>
    <m/>
    <m/>
    <m/>
  </r>
  <r>
    <n v="2111"/>
    <n v="50136"/>
    <s v="P"/>
    <s v="Capitalized"/>
    <s v="95 GA Carts"/>
    <m/>
    <m/>
    <n v="427"/>
    <n v="0"/>
    <n v="0"/>
    <s v="WESTERN SYSTEMS &amp; FABRICA"/>
    <m/>
    <s v="CONTAINERS"/>
    <s v="TBA"/>
    <m/>
    <m/>
    <m/>
    <d v="2007-05-03T00:00:00"/>
    <d v="2007-05-03T00:00:00"/>
    <s v="07-2111-007"/>
    <n v="700"/>
    <n v="14050"/>
    <n v="20171.91"/>
    <n v="14056"/>
    <n v="20171.91"/>
    <n v="0"/>
    <n v="0"/>
    <n v="54260"/>
    <n v="0"/>
    <s v="P"/>
    <m/>
    <m/>
    <s v=" "/>
    <s v="STL"/>
    <s v="YES"/>
    <s v="TBD"/>
    <d v="2024-10-09T00:00:00"/>
    <x v="19"/>
    <m/>
    <m/>
    <m/>
    <m/>
    <m/>
    <m/>
    <m/>
    <m/>
    <m/>
    <m/>
    <m/>
  </r>
  <r>
    <n v="2111"/>
    <n v="50135"/>
    <s v="P"/>
    <s v="Capitalized"/>
    <s v="95 GA Carts"/>
    <m/>
    <m/>
    <n v="427"/>
    <n v="0"/>
    <n v="0"/>
    <s v="WESTERN SYSTEMS &amp; FABRICA"/>
    <m/>
    <s v="CONTAINERS"/>
    <s v="TBA"/>
    <m/>
    <m/>
    <m/>
    <d v="2007-05-01T00:00:00"/>
    <d v="2007-05-01T00:00:00"/>
    <s v="07-2111-007"/>
    <n v="700"/>
    <n v="14050"/>
    <n v="23353.89"/>
    <n v="14056"/>
    <n v="23353.89"/>
    <n v="0"/>
    <n v="0"/>
    <n v="54260"/>
    <n v="0"/>
    <s v="P"/>
    <m/>
    <m/>
    <s v=" "/>
    <s v="STL"/>
    <s v="YES"/>
    <s v="TBD"/>
    <d v="2024-10-09T00:00:00"/>
    <x v="19"/>
    <m/>
    <m/>
    <m/>
    <m/>
    <m/>
    <m/>
    <m/>
    <m/>
    <m/>
    <m/>
    <m/>
  </r>
  <r>
    <n v="2111"/>
    <n v="50085"/>
    <s v="P"/>
    <s v="Capitalized"/>
    <s v="96 GA Carts"/>
    <m/>
    <m/>
    <n v="300"/>
    <n v="0"/>
    <n v="0"/>
    <s v="TOTER INCORPORATED"/>
    <m/>
    <s v="CONTAINERS"/>
    <s v="TBA"/>
    <m/>
    <m/>
    <m/>
    <d v="2007-01-01T00:00:00"/>
    <d v="2007-01-01T00:00:00"/>
    <s v="06-2111-015"/>
    <n v="611"/>
    <n v="14050"/>
    <n v="18278.400000000001"/>
    <n v="14056"/>
    <n v="18278.400000000001"/>
    <n v="0"/>
    <n v="0"/>
    <n v="54260"/>
    <n v="0"/>
    <s v="P"/>
    <m/>
    <m/>
    <s v=" "/>
    <s v="STL"/>
    <s v="YES"/>
    <s v="TBD"/>
    <d v="2024-10-09T00:00:00"/>
    <x v="19"/>
    <m/>
    <m/>
    <m/>
    <m/>
    <m/>
    <m/>
    <m/>
    <m/>
    <m/>
    <m/>
    <m/>
  </r>
  <r>
    <n v="2111"/>
    <n v="49173"/>
    <s v="P"/>
    <s v="Capitalized"/>
    <s v="( 0) Carts OTHER"/>
    <m/>
    <m/>
    <n v="1"/>
    <n v="0"/>
    <n v="0"/>
    <s v="TOTER INCORPORATED"/>
    <m/>
    <s v="CONTAINERS"/>
    <s v="TBA"/>
    <m/>
    <m/>
    <m/>
    <d v="2007-03-28T00:00:00"/>
    <d v="2007-03-28T00:00:00"/>
    <s v="07-2111-011"/>
    <n v="700"/>
    <n v="14050"/>
    <n v="1599.36"/>
    <n v="14056"/>
    <n v="1599.36"/>
    <n v="0"/>
    <n v="0"/>
    <n v="54260"/>
    <n v="0"/>
    <s v="P"/>
    <m/>
    <m/>
    <s v=" "/>
    <s v="STL"/>
    <s v="YES"/>
    <s v="TBD"/>
    <d v="2024-10-09T00:00:00"/>
    <x v="19"/>
    <m/>
    <m/>
    <m/>
    <m/>
    <m/>
    <m/>
    <m/>
    <m/>
    <m/>
    <m/>
    <m/>
  </r>
  <r>
    <n v="2111"/>
    <n v="49172"/>
    <s v="P"/>
    <s v="Capitalized"/>
    <s v="96 GA Carts"/>
    <m/>
    <m/>
    <n v="588"/>
    <n v="0"/>
    <n v="0"/>
    <s v="TOTER INCORPORATED"/>
    <m/>
    <s v="CONTAINERS"/>
    <s v="TBA"/>
    <m/>
    <m/>
    <m/>
    <d v="2007-03-27T00:00:00"/>
    <d v="2007-03-27T00:00:00"/>
    <s v="07-2111-011"/>
    <n v="700"/>
    <n v="14050"/>
    <n v="33421.18"/>
    <n v="14056"/>
    <n v="33421.18"/>
    <n v="0"/>
    <n v="0"/>
    <n v="54260"/>
    <n v="0"/>
    <s v="P"/>
    <m/>
    <m/>
    <s v=" "/>
    <s v="STL"/>
    <s v="YES"/>
    <s v="TBD"/>
    <d v="2024-10-09T00:00:00"/>
    <x v="19"/>
    <m/>
    <m/>
    <m/>
    <m/>
    <m/>
    <m/>
    <m/>
    <m/>
    <m/>
    <m/>
    <m/>
  </r>
  <r>
    <n v="2111"/>
    <n v="49075"/>
    <s v="P"/>
    <s v="Capitalized"/>
    <s v="30YD Roll Off"/>
    <m/>
    <m/>
    <n v="10"/>
    <n v="0"/>
    <n v="0"/>
    <s v="ENTERPRISE SALES, INC."/>
    <m/>
    <s v="CONTAINERS"/>
    <s v="TBA"/>
    <m/>
    <s v="30 YD"/>
    <s v="RO Box"/>
    <d v="2007-03-22T00:00:00"/>
    <d v="2007-03-22T00:00:00"/>
    <s v="07-2111-008"/>
    <n v="1200"/>
    <n v="14050"/>
    <n v="51408"/>
    <n v="14056"/>
    <n v="51408"/>
    <n v="0"/>
    <n v="0"/>
    <n v="54260"/>
    <n v="0"/>
    <s v="P"/>
    <m/>
    <m/>
    <s v=" "/>
    <s v="STL"/>
    <s v="YES"/>
    <s v="TBD"/>
    <d v="2024-10-09T00:00:00"/>
    <x v="19"/>
    <m/>
    <m/>
    <m/>
    <m/>
    <m/>
    <m/>
    <m/>
    <m/>
    <m/>
    <m/>
    <m/>
  </r>
  <r>
    <n v="2111"/>
    <n v="48905"/>
    <s v="P"/>
    <s v="Capitalized"/>
    <s v="96 GA Carts"/>
    <m/>
    <m/>
    <n v="588"/>
    <n v="0"/>
    <n v="0"/>
    <s v="TOTER INCORPORATED"/>
    <m/>
    <s v="CONTAINERS"/>
    <s v="TBA"/>
    <m/>
    <m/>
    <m/>
    <d v="2007-02-23T00:00:00"/>
    <d v="2007-02-23T00:00:00"/>
    <s v="07-2111-004"/>
    <n v="700"/>
    <n v="14050"/>
    <n v="35020.54"/>
    <n v="14056"/>
    <n v="35020.54"/>
    <n v="0"/>
    <n v="0"/>
    <n v="54260"/>
    <n v="0"/>
    <s v="P"/>
    <m/>
    <m/>
    <s v=" "/>
    <s v="STL"/>
    <s v="YES"/>
    <s v="TBD"/>
    <d v="2024-10-09T00:00:00"/>
    <x v="19"/>
    <m/>
    <m/>
    <m/>
    <m/>
    <m/>
    <m/>
    <m/>
    <m/>
    <m/>
    <m/>
    <m/>
  </r>
  <r>
    <n v="2111"/>
    <n v="48345"/>
    <s v="P"/>
    <s v="Capitalized"/>
    <s v="2006 FORD F150 PICKUP  #5"/>
    <m/>
    <m/>
    <n v="1"/>
    <s v="1FTRF12256NB00309"/>
    <n v="2006"/>
    <s v="Ford F150"/>
    <s v="Pickup"/>
    <s v="TRUCKS AND TRAILERS"/>
    <s v="TBA"/>
    <s v="Pickup Truck"/>
    <m/>
    <m/>
    <d v="2006-03-16T00:00:00"/>
    <d v="2006-03-16T00:00:00"/>
    <s v="06-2132-003"/>
    <n v="500"/>
    <n v="14040"/>
    <n v="19775.939999999999"/>
    <n v="14046"/>
    <n v="19775.939999999999"/>
    <n v="0"/>
    <n v="0"/>
    <n v="51260"/>
    <n v="0"/>
    <s v="P"/>
    <m/>
    <n v="5"/>
    <s v=" "/>
    <s v="STL"/>
    <s v="YES"/>
    <s v="TBD"/>
    <d v="2024-10-09T00:00:00"/>
    <x v="19"/>
    <m/>
    <m/>
    <m/>
    <m/>
    <m/>
    <m/>
    <m/>
    <m/>
    <m/>
    <m/>
    <m/>
  </r>
  <r>
    <n v="2111"/>
    <n v="47682"/>
    <n v="45086"/>
    <s v="Capitalized"/>
    <s v="RECEPTION AREA FURNITURE"/>
    <m/>
    <m/>
    <n v="1"/>
    <n v="0"/>
    <n v="0"/>
    <m/>
    <m/>
    <s v="LEASEHOLD IMPROVEMENTS"/>
    <s v="LEASEHOLD IMPROVEMENTS"/>
    <m/>
    <m/>
    <m/>
    <d v="2006-12-04T00:00:00"/>
    <d v="2006-12-04T00:00:00"/>
    <s v="06-2111-410"/>
    <n v="108"/>
    <n v="14090"/>
    <n v="2496.96"/>
    <n v="14096"/>
    <n v="2496.96"/>
    <n v="0"/>
    <n v="0"/>
    <n v="57260"/>
    <n v="0"/>
    <s v="P"/>
    <m/>
    <m/>
    <s v=" "/>
    <s v="STL"/>
    <s v="YES"/>
    <s v="TBD"/>
    <d v="2024-10-09T00:00:00"/>
    <x v="19"/>
    <m/>
    <m/>
    <m/>
    <m/>
    <m/>
    <m/>
    <m/>
    <m/>
    <m/>
    <m/>
    <m/>
  </r>
  <r>
    <n v="2111"/>
    <n v="47425"/>
    <n v="6681"/>
    <s v="Capitalized"/>
    <s v="ASPHALT PATCH OVER NEW SEPTIC"/>
    <m/>
    <m/>
    <n v="1"/>
    <n v="0"/>
    <n v="0"/>
    <s v="KEITH KOVALENKO"/>
    <m/>
    <s v="BUILDINGS"/>
    <s v="TBA"/>
    <m/>
    <m/>
    <m/>
    <d v="2006-12-09T00:00:00"/>
    <d v="2006-12-09T00:00:00"/>
    <s v="06-2111-411"/>
    <n v="1000"/>
    <n v="14080"/>
    <n v="1632"/>
    <n v="14086"/>
    <n v="1632"/>
    <n v="0"/>
    <n v="0"/>
    <n v="57260"/>
    <n v="0"/>
    <s v="P"/>
    <m/>
    <m/>
    <s v=" "/>
    <s v="STL"/>
    <s v="YES"/>
    <s v="TBD"/>
    <d v="2024-10-09T00:00:00"/>
    <x v="19"/>
    <m/>
    <m/>
    <m/>
    <m/>
    <m/>
    <m/>
    <m/>
    <m/>
    <m/>
    <m/>
    <m/>
  </r>
  <r>
    <n v="2111"/>
    <n v="47399"/>
    <s v="P"/>
    <s v="Capitalized"/>
    <s v="2YD REL"/>
    <m/>
    <m/>
    <n v="15"/>
    <n v="0"/>
    <n v="0"/>
    <s v="ENTERPRISE SALES, INC."/>
    <m/>
    <s v="CONTAINERS"/>
    <s v="TBA"/>
    <m/>
    <s v="2 YD"/>
    <s v="FEL/REL/SL Metal"/>
    <d v="2006-12-12T00:00:00"/>
    <d v="2006-12-12T00:00:00"/>
    <s v="06-2111-018"/>
    <n v="1200"/>
    <n v="14050"/>
    <n v="7050.24"/>
    <n v="14056"/>
    <n v="7050.24"/>
    <n v="0"/>
    <n v="0"/>
    <n v="54260"/>
    <n v="0"/>
    <s v="P"/>
    <m/>
    <m/>
    <s v=" "/>
    <s v="STL"/>
    <s v="YES"/>
    <s v="TBD"/>
    <d v="2024-10-09T00:00:00"/>
    <x v="19"/>
    <m/>
    <m/>
    <m/>
    <m/>
    <m/>
    <m/>
    <m/>
    <m/>
    <m/>
    <m/>
    <m/>
  </r>
  <r>
    <n v="2111"/>
    <n v="47398"/>
    <s v="P"/>
    <s v="Capitalized"/>
    <s v="2YD FEL"/>
    <m/>
    <m/>
    <n v="15"/>
    <n v="0"/>
    <n v="0"/>
    <s v="ENTERPRISE SALES, INC."/>
    <m/>
    <s v="CONTAINERS"/>
    <s v="TBA"/>
    <m/>
    <s v="2 YD"/>
    <s v="FEL/REL/SL Metal"/>
    <d v="2006-12-12T00:00:00"/>
    <d v="2006-12-12T00:00:00"/>
    <s v="06-2111-014"/>
    <n v="1200"/>
    <n v="14050"/>
    <n v="7539.84"/>
    <n v="14056"/>
    <n v="7539.84"/>
    <n v="0"/>
    <n v="0"/>
    <n v="54260"/>
    <n v="0"/>
    <s v="P"/>
    <m/>
    <m/>
    <s v=" "/>
    <s v="STL"/>
    <s v="YES"/>
    <s v="TBD"/>
    <d v="2024-10-09T00:00:00"/>
    <x v="19"/>
    <m/>
    <m/>
    <m/>
    <m/>
    <m/>
    <m/>
    <m/>
    <m/>
    <m/>
    <m/>
    <m/>
  </r>
  <r>
    <n v="2111"/>
    <n v="47397"/>
    <s v="P"/>
    <s v="Capitalized"/>
    <s v="4YD FEL"/>
    <m/>
    <m/>
    <n v="10"/>
    <n v="0"/>
    <n v="0"/>
    <s v="ENTERPRISE SALES, INC."/>
    <m/>
    <s v="CONTAINERS"/>
    <s v="TBA"/>
    <m/>
    <s v="4 YD"/>
    <s v="FEL/REL/SL Metal"/>
    <d v="2006-12-12T00:00:00"/>
    <d v="2006-12-12T00:00:00"/>
    <s v="06-2111-012"/>
    <n v="1200"/>
    <n v="14050"/>
    <n v="6299.52"/>
    <n v="14056"/>
    <n v="6299.52"/>
    <n v="0"/>
    <n v="0"/>
    <n v="54260"/>
    <n v="0"/>
    <s v="P"/>
    <m/>
    <m/>
    <s v=" "/>
    <s v="STL"/>
    <s v="YES"/>
    <s v="TBD"/>
    <d v="2024-10-09T00:00:00"/>
    <x v="19"/>
    <m/>
    <m/>
    <m/>
    <m/>
    <m/>
    <m/>
    <m/>
    <m/>
    <m/>
    <m/>
    <m/>
  </r>
  <r>
    <n v="2111"/>
    <n v="46677"/>
    <s v="P"/>
    <s v="Capitalized"/>
    <s v="FURNITURE -  50% DOWN PAYMENT"/>
    <m/>
    <m/>
    <n v="1"/>
    <n v="0"/>
    <n v="0"/>
    <s v="ACTION BUSINESS FURNITRUE"/>
    <m/>
    <s v="LEASEHOLD IMPROVEMENTS"/>
    <s v="LEASEHOLD IMPROVEMENTS"/>
    <m/>
    <m/>
    <m/>
    <d v="2006-11-08T00:00:00"/>
    <d v="2006-11-08T00:00:00"/>
    <s v="06-2111-410"/>
    <n v="110"/>
    <n v="14090"/>
    <n v="2496.96"/>
    <n v="14096"/>
    <n v="2496.96"/>
    <n v="0"/>
    <n v="0"/>
    <n v="57260"/>
    <n v="0"/>
    <s v="P"/>
    <m/>
    <m/>
    <s v=" "/>
    <s v="STL"/>
    <s v="YES"/>
    <s v="TBD"/>
    <d v="2024-10-09T00:00:00"/>
    <x v="19"/>
    <m/>
    <m/>
    <m/>
    <m/>
    <m/>
    <m/>
    <m/>
    <m/>
    <m/>
    <m/>
    <m/>
  </r>
  <r>
    <n v="2111"/>
    <n v="46610"/>
    <s v="P"/>
    <s v="Capitalized"/>
    <s v="96 Gallon Carts"/>
    <m/>
    <m/>
    <n v="580"/>
    <n v="0"/>
    <n v="0"/>
    <s v="TOTER INCORPORATED"/>
    <m/>
    <s v="CONTAINERS"/>
    <s v="TBA"/>
    <m/>
    <m/>
    <m/>
    <d v="2006-10-23T00:00:00"/>
    <d v="2006-10-23T00:00:00"/>
    <s v="06-2111-011"/>
    <n v="700"/>
    <n v="14050"/>
    <n v="34359.040000000001"/>
    <n v="14056"/>
    <n v="34359.040000000001"/>
    <n v="0"/>
    <n v="0"/>
    <n v="54260"/>
    <n v="0"/>
    <s v="P"/>
    <m/>
    <m/>
    <s v=" "/>
    <s v="STL"/>
    <s v="YES"/>
    <s v="TBD"/>
    <d v="2024-10-09T00:00:00"/>
    <x v="19"/>
    <m/>
    <m/>
    <m/>
    <m/>
    <m/>
    <m/>
    <m/>
    <m/>
    <m/>
    <m/>
    <m/>
  </r>
  <r>
    <n v="2111"/>
    <n v="46588"/>
    <n v="6681"/>
    <s v="Capitalized"/>
    <s v="1700 GAL SEPTIC HOLDING TANK"/>
    <m/>
    <m/>
    <n v="1"/>
    <n v="0"/>
    <n v="0"/>
    <s v="ACCLAIM PLUMBING &amp; DRAIN,"/>
    <m/>
    <s v="BUILDINGS"/>
    <s v="TBA"/>
    <m/>
    <m/>
    <m/>
    <d v="2006-10-13T00:00:00"/>
    <d v="2006-10-13T00:00:00"/>
    <s v="06-2111-411"/>
    <n v="1000"/>
    <n v="14080"/>
    <n v="8129.63"/>
    <n v="14086"/>
    <n v="8129.63"/>
    <n v="0"/>
    <n v="0"/>
    <n v="57260"/>
    <n v="0"/>
    <s v="P"/>
    <m/>
    <m/>
    <s v=" "/>
    <s v="STL"/>
    <s v="YES"/>
    <s v="TBD"/>
    <d v="2024-10-09T00:00:00"/>
    <x v="19"/>
    <m/>
    <m/>
    <m/>
    <m/>
    <m/>
    <m/>
    <m/>
    <m/>
    <m/>
    <m/>
    <m/>
  </r>
  <r>
    <n v="2111"/>
    <n v="46260"/>
    <s v="P"/>
    <s v="Capitalized"/>
    <s v="1YD REL"/>
    <m/>
    <m/>
    <n v="10"/>
    <n v="0"/>
    <n v="0"/>
    <s v="CAPITAL INDUSTRIES, INC."/>
    <m/>
    <s v="CONTAINERS"/>
    <s v="TBA"/>
    <m/>
    <s v="1 YD"/>
    <s v="FEL/REL/SL Metal"/>
    <d v="2006-10-19T00:00:00"/>
    <d v="2006-10-19T00:00:00"/>
    <s v="06-2111-007"/>
    <n v="1200"/>
    <n v="14050"/>
    <n v="4406.3999999999996"/>
    <n v="14056"/>
    <n v="4406.3999999999996"/>
    <n v="0"/>
    <n v="0"/>
    <n v="54260"/>
    <n v="0"/>
    <s v="P"/>
    <m/>
    <m/>
    <s v=" "/>
    <s v="STL"/>
    <s v="YES"/>
    <s v="TBD"/>
    <d v="2024-10-09T00:00:00"/>
    <x v="19"/>
    <m/>
    <m/>
    <m/>
    <m/>
    <m/>
    <m/>
    <m/>
    <m/>
    <m/>
    <m/>
    <m/>
  </r>
  <r>
    <n v="2111"/>
    <n v="46190"/>
    <s v="P"/>
    <s v="Capitalized"/>
    <s v="95 Gallon Schaffer Carts"/>
    <m/>
    <m/>
    <n v="427"/>
    <n v="0"/>
    <n v="0"/>
    <s v="WESTERN SYSTEMS &amp; FABRICA"/>
    <m/>
    <s v="CONTAINERS"/>
    <s v="TBA"/>
    <m/>
    <m/>
    <m/>
    <d v="2006-10-11T00:00:00"/>
    <d v="2006-10-11T00:00:00"/>
    <s v="06-2111-020"/>
    <n v="700"/>
    <n v="14050"/>
    <n v="23341.42"/>
    <n v="14056"/>
    <n v="23341.42"/>
    <n v="0"/>
    <n v="0"/>
    <n v="54260"/>
    <n v="0"/>
    <s v="P"/>
    <m/>
    <m/>
    <s v=" "/>
    <s v="STL"/>
    <s v="YES"/>
    <s v="TBD"/>
    <d v="2024-10-09T00:00:00"/>
    <x v="19"/>
    <m/>
    <m/>
    <m/>
    <m/>
    <m/>
    <m/>
    <m/>
    <m/>
    <m/>
    <m/>
    <m/>
  </r>
  <r>
    <n v="2111"/>
    <n v="46101"/>
    <n v="45086"/>
    <s v="Capitalized"/>
    <s v="FINAL BILL FOR TENANT IMPROVEMENTS"/>
    <m/>
    <m/>
    <n v="1"/>
    <n v="0"/>
    <n v="0"/>
    <s v="SUPERIOR BUILDERS INC"/>
    <m/>
    <s v="LEASEHOLD IMPROVEMENTS"/>
    <s v="LEASEHOLD IMPROVEMENTS"/>
    <m/>
    <m/>
    <m/>
    <d v="2006-09-08T00:00:00"/>
    <d v="2006-09-08T00:00:00"/>
    <s v="06-2111-410"/>
    <n v="200"/>
    <n v="14090"/>
    <n v="18641.509999999998"/>
    <n v="14096"/>
    <n v="18641.509999999998"/>
    <n v="0"/>
    <n v="0"/>
    <n v="57260"/>
    <n v="0"/>
    <s v="P"/>
    <m/>
    <m/>
    <s v=" "/>
    <s v="STL"/>
    <s v="YES"/>
    <s v="TBD"/>
    <d v="2024-10-09T00:00:00"/>
    <x v="19"/>
    <m/>
    <m/>
    <m/>
    <m/>
    <m/>
    <m/>
    <m/>
    <m/>
    <m/>
    <m/>
    <m/>
  </r>
  <r>
    <n v="2111"/>
    <n v="45151"/>
    <s v="P"/>
    <s v="Capitalized"/>
    <s v="95 GA Carts"/>
    <m/>
    <m/>
    <n v="854"/>
    <n v="0"/>
    <n v="0"/>
    <s v="WESTERN SYSTEMS &amp; FABRICA"/>
    <m/>
    <s v="CONTAINERS"/>
    <s v="TBA"/>
    <m/>
    <m/>
    <m/>
    <d v="2006-08-01T00:00:00"/>
    <d v="2006-08-01T00:00:00"/>
    <s v="06-2111-010"/>
    <n v="700"/>
    <n v="14050"/>
    <n v="45629.59"/>
    <n v="14056"/>
    <n v="45629.59"/>
    <n v="0"/>
    <n v="0"/>
    <n v="54260"/>
    <n v="0"/>
    <s v="P"/>
    <m/>
    <m/>
    <s v=" "/>
    <s v="STL"/>
    <s v="YES"/>
    <s v="TBD"/>
    <d v="2024-10-09T00:00:00"/>
    <x v="19"/>
    <m/>
    <m/>
    <m/>
    <m/>
    <m/>
    <m/>
    <m/>
    <m/>
    <m/>
    <m/>
    <m/>
  </r>
  <r>
    <n v="2111"/>
    <n v="45086"/>
    <s v="P"/>
    <s v="Capitalized"/>
    <s v="TENANT IMPROVEMENTS"/>
    <m/>
    <m/>
    <n v="1"/>
    <n v="0"/>
    <n v="0"/>
    <s v="SUPERIOR BUILDERS INC"/>
    <m/>
    <s v="LEASEHOLD IMPROVEMENTS"/>
    <s v="LEASEHOLD IMPROVEMENTS"/>
    <m/>
    <m/>
    <m/>
    <d v="2006-08-08T00:00:00"/>
    <d v="2006-08-08T00:00:00"/>
    <s v="06-2111-410"/>
    <n v="201"/>
    <n v="14090"/>
    <n v="15109.06"/>
    <n v="14096"/>
    <n v="15109.06"/>
    <n v="0"/>
    <n v="0"/>
    <n v="57260"/>
    <n v="0"/>
    <s v="P"/>
    <m/>
    <m/>
    <s v=" "/>
    <s v="STL"/>
    <s v="YES"/>
    <s v="TBD"/>
    <d v="2024-10-09T00:00:00"/>
    <x v="19"/>
    <m/>
    <m/>
    <m/>
    <m/>
    <m/>
    <m/>
    <m/>
    <m/>
    <m/>
    <m/>
    <m/>
  </r>
  <r>
    <n v="2111"/>
    <n v="44884"/>
    <s v="P"/>
    <s v="Capitalized"/>
    <s v="PAINT BOOTH REPAIRS"/>
    <m/>
    <m/>
    <n v="1"/>
    <n v="0"/>
    <n v="0"/>
    <s v="MC CLOSKEY CONSTRUCTION"/>
    <m/>
    <s v="BUILDINGS"/>
    <s v="TBA"/>
    <m/>
    <m/>
    <m/>
    <d v="2006-06-29T00:00:00"/>
    <d v="2006-06-29T00:00:00"/>
    <s v="06-2111-405"/>
    <n v="500"/>
    <n v="14080"/>
    <n v="5578.4"/>
    <n v="14086"/>
    <n v="5578.4"/>
    <n v="0"/>
    <n v="0"/>
    <n v="57260"/>
    <n v="0"/>
    <s v="P"/>
    <m/>
    <m/>
    <s v=" "/>
    <s v="STL"/>
    <s v="YES"/>
    <s v="TBD"/>
    <d v="2024-10-09T00:00:00"/>
    <x v="19"/>
    <m/>
    <m/>
    <m/>
    <m/>
    <m/>
    <m/>
    <m/>
    <m/>
    <m/>
    <m/>
    <m/>
  </r>
  <r>
    <n v="2111"/>
    <n v="44646"/>
    <s v="P"/>
    <s v="Capitalized"/>
    <s v="96 GA Carts"/>
    <m/>
    <m/>
    <n v="588"/>
    <n v="0"/>
    <n v="0"/>
    <s v="TOTER INCORPORATED"/>
    <m/>
    <s v="CONTAINERS"/>
    <s v="TBA"/>
    <m/>
    <m/>
    <m/>
    <d v="2006-07-12T00:00:00"/>
    <d v="2006-07-12T00:00:00"/>
    <s v="06-2111-019"/>
    <n v="700"/>
    <n v="14050"/>
    <n v="35666.82"/>
    <n v="14056"/>
    <n v="35666.82"/>
    <n v="0"/>
    <n v="0"/>
    <n v="54260"/>
    <n v="0"/>
    <s v="P"/>
    <m/>
    <m/>
    <s v=" "/>
    <s v="STL"/>
    <s v="YES"/>
    <s v="TBD"/>
    <d v="2024-10-09T00:00:00"/>
    <x v="19"/>
    <m/>
    <m/>
    <m/>
    <m/>
    <m/>
    <m/>
    <m/>
    <m/>
    <m/>
    <m/>
    <m/>
  </r>
  <r>
    <n v="2111"/>
    <n v="44542"/>
    <s v="P"/>
    <s v="Capitalized"/>
    <s v="1.5 Yard RL Waste Containers"/>
    <m/>
    <m/>
    <n v="3"/>
    <n v="0"/>
    <n v="0"/>
    <s v="CAPITAL INDUSTRIES, INC."/>
    <m/>
    <s v="CONTAINERS"/>
    <s v="TBA"/>
    <m/>
    <s v="1.5 YD"/>
    <s v="FEL/REL/SL Metal"/>
    <d v="2006-05-17T00:00:00"/>
    <d v="2006-05-17T00:00:00"/>
    <s v="06-2112-005"/>
    <n v="1200"/>
    <n v="14050"/>
    <n v="1344.77"/>
    <n v="14056"/>
    <n v="1344.77"/>
    <n v="0"/>
    <n v="0"/>
    <n v="54260"/>
    <n v="0"/>
    <s v="P"/>
    <m/>
    <m/>
    <s v=" "/>
    <s v="STL"/>
    <s v="YES"/>
    <s v="TBD"/>
    <d v="2024-10-09T00:00:00"/>
    <x v="19"/>
    <m/>
    <m/>
    <m/>
    <m/>
    <m/>
    <m/>
    <m/>
    <m/>
    <m/>
    <m/>
    <m/>
  </r>
  <r>
    <n v="2111"/>
    <n v="43885"/>
    <s v="P"/>
    <s v="Capitalized"/>
    <s v="95gal Toters (N)"/>
    <m/>
    <m/>
    <n v="432"/>
    <s v="UNKNOWN"/>
    <n v="1997"/>
    <s v="OTHER"/>
    <s v="Other"/>
    <s v="CONTAINERS"/>
    <s v="TBA"/>
    <m/>
    <m/>
    <s v="Carts/Toters"/>
    <d v="1997-05-02T00:00:00"/>
    <d v="1997-05-02T00:00:00"/>
    <m/>
    <n v="500"/>
    <n v="14050"/>
    <n v="22477.83"/>
    <n v="14056"/>
    <n v="22477.83"/>
    <n v="0"/>
    <n v="0"/>
    <n v="54260"/>
    <n v="0"/>
    <s v="A"/>
    <s v="Murreys Disposal"/>
    <s v="NA"/>
    <s v=" "/>
    <s v="STL"/>
    <s v="YES"/>
    <s v="TBD"/>
    <d v="2024-10-09T00:00:00"/>
    <x v="19"/>
    <m/>
    <m/>
    <m/>
    <m/>
    <m/>
    <m/>
    <m/>
    <m/>
    <m/>
    <m/>
    <m/>
  </r>
  <r>
    <n v="2111"/>
    <n v="43215"/>
    <s v="P"/>
    <s v="Capitalized"/>
    <s v="96 GA Carts - Assembly &amp; Delivery"/>
    <m/>
    <m/>
    <n v="3300"/>
    <n v="0"/>
    <n v="0"/>
    <s v="TOTER INCORPORATED"/>
    <m/>
    <s v="CONTAINERS"/>
    <s v="TBA"/>
    <m/>
    <m/>
    <m/>
    <d v="2006-02-08T00:00:00"/>
    <d v="2006-02-08T00:00:00"/>
    <s v="06-2140-401"/>
    <n v="700"/>
    <n v="14050"/>
    <n v="9873.6"/>
    <n v="14056"/>
    <n v="9873.6"/>
    <n v="0"/>
    <n v="0"/>
    <n v="54260"/>
    <n v="0"/>
    <s v="P"/>
    <n v="0"/>
    <m/>
    <s v=" "/>
    <s v="STL"/>
    <s v="YES"/>
    <s v="TBD"/>
    <d v="2024-10-09T00:00:00"/>
    <x v="19"/>
    <m/>
    <m/>
    <m/>
    <m/>
    <m/>
    <m/>
    <m/>
    <m/>
    <m/>
    <m/>
    <m/>
  </r>
  <r>
    <n v="2111"/>
    <n v="43214"/>
    <s v="P"/>
    <s v="Capitalized"/>
    <s v="96 GA Carts"/>
    <m/>
    <m/>
    <n v="91"/>
    <n v="0"/>
    <n v="0"/>
    <s v="TOTER INCORPORATED"/>
    <m/>
    <s v="CONTAINERS"/>
    <s v="TBA"/>
    <m/>
    <m/>
    <m/>
    <d v="2006-01-30T00:00:00"/>
    <d v="2006-01-30T00:00:00"/>
    <s v="06-2140-401"/>
    <n v="700"/>
    <n v="14050"/>
    <n v="7350.9"/>
    <n v="14056"/>
    <n v="7350.9"/>
    <n v="0"/>
    <n v="0"/>
    <n v="54260"/>
    <n v="0"/>
    <s v="P"/>
    <n v="0"/>
    <m/>
    <s v=" "/>
    <s v="STL"/>
    <s v="YES"/>
    <s v="TBD"/>
    <d v="2024-10-09T00:00:00"/>
    <x v="19"/>
    <m/>
    <m/>
    <m/>
    <m/>
    <m/>
    <m/>
    <m/>
    <m/>
    <m/>
    <m/>
    <m/>
  </r>
  <r>
    <n v="2111"/>
    <n v="43213"/>
    <s v="P"/>
    <s v="Capitalized"/>
    <s v="96 GA EVR II Univ Carts-Seahawk Granite"/>
    <m/>
    <m/>
    <n v="720"/>
    <n v="0"/>
    <n v="0"/>
    <s v="TOTER INCORPORATED"/>
    <m/>
    <s v="CONTAINERS"/>
    <s v="TBA"/>
    <m/>
    <m/>
    <m/>
    <d v="2006-01-19T00:00:00"/>
    <d v="2006-01-19T00:00:00"/>
    <s v="06-2140-401"/>
    <n v="700"/>
    <n v="14050"/>
    <n v="41441.919999999998"/>
    <n v="14056"/>
    <n v="41441.919999999998"/>
    <n v="0"/>
    <n v="0"/>
    <n v="54260"/>
    <n v="0"/>
    <s v="P"/>
    <n v="0"/>
    <m/>
    <s v=" "/>
    <s v="STL"/>
    <s v="YES"/>
    <s v="TBD"/>
    <d v="2024-10-09T00:00:00"/>
    <x v="19"/>
    <m/>
    <m/>
    <m/>
    <m/>
    <m/>
    <m/>
    <m/>
    <m/>
    <m/>
    <m/>
    <m/>
  </r>
  <r>
    <n v="2111"/>
    <n v="43212"/>
    <s v="P"/>
    <s v="Capitalized"/>
    <s v="96 GA EVR II Univ Carts w/ Lids-Seahawk Granite"/>
    <m/>
    <m/>
    <n v="720"/>
    <n v="0"/>
    <n v="0"/>
    <s v="TOTER INCORPORATED"/>
    <m/>
    <s v="CONTAINERS"/>
    <s v="TBA"/>
    <m/>
    <m/>
    <m/>
    <d v="2006-01-24T00:00:00"/>
    <d v="2006-01-24T00:00:00"/>
    <s v="06-2140-401"/>
    <n v="700"/>
    <n v="14050"/>
    <n v="41441.919999999998"/>
    <n v="14056"/>
    <n v="41441.919999999998"/>
    <n v="0"/>
    <n v="0"/>
    <n v="54260"/>
    <n v="0"/>
    <s v="P"/>
    <n v="0"/>
    <m/>
    <s v=" "/>
    <s v="STL"/>
    <s v="YES"/>
    <s v="TBD"/>
    <d v="2024-10-09T00:00:00"/>
    <x v="19"/>
    <m/>
    <m/>
    <m/>
    <m/>
    <m/>
    <m/>
    <m/>
    <m/>
    <m/>
    <m/>
    <m/>
  </r>
  <r>
    <n v="2111"/>
    <n v="43211"/>
    <s v="P"/>
    <s v="Capitalized"/>
    <s v="96 GA EVR II Univ Carts w/ Lids-Seahawk Granite"/>
    <m/>
    <m/>
    <n v="720"/>
    <n v="0"/>
    <n v="0"/>
    <s v="TOTER INCORPORATED"/>
    <m/>
    <s v="CONTAINERS"/>
    <s v="TBA"/>
    <m/>
    <m/>
    <m/>
    <d v="2006-01-23T00:00:00"/>
    <d v="2006-01-23T00:00:00"/>
    <s v="06-2140-401"/>
    <n v="700"/>
    <n v="14050"/>
    <n v="41441.919999999998"/>
    <n v="14056"/>
    <n v="41441.919999999998"/>
    <n v="0"/>
    <n v="0"/>
    <n v="54260"/>
    <n v="0"/>
    <s v="P"/>
    <n v="0"/>
    <m/>
    <s v=" "/>
    <s v="STL"/>
    <s v="YES"/>
    <s v="TBD"/>
    <d v="2024-10-09T00:00:00"/>
    <x v="19"/>
    <m/>
    <m/>
    <m/>
    <m/>
    <m/>
    <m/>
    <m/>
    <m/>
    <m/>
    <m/>
    <m/>
  </r>
  <r>
    <n v="2111"/>
    <n v="43210"/>
    <s v="P"/>
    <s v="Capitalized"/>
    <s v="96 GA EVR II Univ Carts-Seahawk Granite"/>
    <m/>
    <m/>
    <n v="720"/>
    <n v="0"/>
    <n v="0"/>
    <s v="TOTER INCORPORATED"/>
    <m/>
    <s v="CONTAINERS"/>
    <s v="TBA"/>
    <m/>
    <m/>
    <m/>
    <d v="2006-01-20T00:00:00"/>
    <d v="2006-01-20T00:00:00"/>
    <s v="06-2140-401"/>
    <n v="700"/>
    <n v="14050"/>
    <n v="38554.18"/>
    <n v="14056"/>
    <n v="38554.18"/>
    <n v="0"/>
    <n v="0"/>
    <n v="54260"/>
    <n v="0"/>
    <s v="P"/>
    <n v="0"/>
    <m/>
    <s v=" "/>
    <s v="STL"/>
    <s v="YES"/>
    <s v="TBD"/>
    <d v="2024-10-09T00:00:00"/>
    <x v="19"/>
    <m/>
    <m/>
    <m/>
    <m/>
    <m/>
    <m/>
    <m/>
    <m/>
    <m/>
    <m/>
    <m/>
  </r>
  <r>
    <n v="2111"/>
    <n v="43209"/>
    <s v="P"/>
    <s v="Capitalized"/>
    <s v="96 GA EVR II Univ Carts w/ Lids-Seahawk Granite"/>
    <m/>
    <m/>
    <n v="720"/>
    <n v="0"/>
    <n v="0"/>
    <s v="TOTER INCORPORATED"/>
    <m/>
    <s v="CONTAINERS"/>
    <s v="TBA"/>
    <m/>
    <m/>
    <m/>
    <d v="2006-01-26T00:00:00"/>
    <d v="2006-01-26T00:00:00"/>
    <s v="06-2140-401"/>
    <n v="700"/>
    <n v="14050"/>
    <n v="41226.32"/>
    <n v="14056"/>
    <n v="41226.32"/>
    <n v="0"/>
    <n v="0"/>
    <n v="54260"/>
    <n v="0"/>
    <s v="P"/>
    <n v="0"/>
    <m/>
    <s v=" "/>
    <s v="STL"/>
    <s v="YES"/>
    <s v="TBD"/>
    <d v="2024-10-09T00:00:00"/>
    <x v="19"/>
    <m/>
    <m/>
    <m/>
    <m/>
    <m/>
    <m/>
    <m/>
    <m/>
    <m/>
    <m/>
    <m/>
  </r>
  <r>
    <n v="2111"/>
    <n v="43208"/>
    <s v="P"/>
    <s v="Capitalized"/>
    <s v="96 GA EVR II Univ Carts w/ Lids-Seahawk Granite"/>
    <m/>
    <m/>
    <n v="720"/>
    <n v="0"/>
    <n v="0"/>
    <s v="TOTER INCORPORATED"/>
    <m/>
    <s v="CONTAINERS"/>
    <s v="TBA"/>
    <m/>
    <m/>
    <m/>
    <d v="2006-01-23T00:00:00"/>
    <d v="2006-01-23T00:00:00"/>
    <s v="06-2140-401"/>
    <n v="700"/>
    <n v="14050"/>
    <n v="41226.32"/>
    <n v="14056"/>
    <n v="41226.32"/>
    <n v="0"/>
    <n v="0"/>
    <n v="54260"/>
    <n v="0"/>
    <s v="P"/>
    <n v="0"/>
    <m/>
    <s v=" "/>
    <s v="STL"/>
    <s v="YES"/>
    <s v="TBD"/>
    <d v="2024-10-09T00:00:00"/>
    <x v="19"/>
    <m/>
    <m/>
    <m/>
    <m/>
    <m/>
    <m/>
    <m/>
    <m/>
    <m/>
    <m/>
    <m/>
  </r>
  <r>
    <n v="2111"/>
    <n v="43207"/>
    <s v="P"/>
    <s v="Capitalized"/>
    <s v="96 GA EVR II Univ Carts w/ Lids-Seahawk Granite"/>
    <m/>
    <m/>
    <n v="56"/>
    <n v="0"/>
    <n v="0"/>
    <s v="TOTER INCORPORATED"/>
    <m/>
    <s v="CONTAINERS"/>
    <s v="TBA"/>
    <m/>
    <m/>
    <m/>
    <d v="2006-01-30T00:00:00"/>
    <d v="2006-01-30T00:00:00"/>
    <s v="06-2140-401"/>
    <n v="700"/>
    <n v="14050"/>
    <n v="5344.08"/>
    <n v="14056"/>
    <n v="5344.08"/>
    <n v="0"/>
    <n v="0"/>
    <n v="54260"/>
    <n v="0"/>
    <s v="P"/>
    <n v="0"/>
    <m/>
    <s v=" "/>
    <s v="STL"/>
    <s v="YES"/>
    <s v="TBD"/>
    <d v="2024-10-09T00:00:00"/>
    <x v="19"/>
    <m/>
    <m/>
    <m/>
    <m/>
    <m/>
    <m/>
    <m/>
    <m/>
    <m/>
    <m/>
    <m/>
  </r>
  <r>
    <n v="2111"/>
    <n v="43206"/>
    <s v="P"/>
    <s v="Capitalized"/>
    <s v="96 GA EVR II Univ Carts w/ Lids-Seahawk Granite"/>
    <m/>
    <m/>
    <n v="720"/>
    <n v="0"/>
    <n v="0"/>
    <s v="TOTER INCORPORATED"/>
    <m/>
    <s v="CONTAINERS"/>
    <s v="TBA"/>
    <m/>
    <m/>
    <m/>
    <d v="2006-01-25T00:00:00"/>
    <d v="2006-01-25T00:00:00"/>
    <s v="06-2140-401"/>
    <n v="700"/>
    <n v="14050"/>
    <n v="41441.919999999998"/>
    <n v="14056"/>
    <n v="41441.919999999998"/>
    <n v="0"/>
    <n v="0"/>
    <n v="54260"/>
    <n v="0"/>
    <s v="P"/>
    <n v="0"/>
    <m/>
    <s v=" "/>
    <s v="STL"/>
    <s v="YES"/>
    <s v="TBD"/>
    <d v="2024-10-09T00:00:00"/>
    <x v="19"/>
    <m/>
    <m/>
    <m/>
    <m/>
    <m/>
    <m/>
    <m/>
    <m/>
    <m/>
    <m/>
    <m/>
  </r>
  <r>
    <n v="2111"/>
    <n v="43205"/>
    <s v="P"/>
    <s v="Capitalized"/>
    <s v="Sales Tax 96 Gal Carts on Inv KB 176265, KB 176286, KB 176287"/>
    <m/>
    <m/>
    <n v="1"/>
    <n v="0"/>
    <n v="0"/>
    <s v="TOTER INCORPORATED"/>
    <m/>
    <s v="CONTAINERS"/>
    <s v="TBA"/>
    <m/>
    <m/>
    <m/>
    <d v="2006-02-09T00:00:00"/>
    <d v="2006-02-09T00:00:00"/>
    <s v="06-2140-401"/>
    <n v="700"/>
    <n v="14050"/>
    <n v="648.79999999999995"/>
    <n v="14056"/>
    <n v="648.79999999999995"/>
    <n v="0"/>
    <n v="0"/>
    <n v="54260"/>
    <n v="0"/>
    <s v="P"/>
    <n v="0"/>
    <m/>
    <s v=" "/>
    <s v="STL"/>
    <s v="YES"/>
    <s v="TBD"/>
    <d v="2024-10-09T00:00:00"/>
    <x v="19"/>
    <m/>
    <m/>
    <m/>
    <m/>
    <m/>
    <m/>
    <m/>
    <m/>
    <m/>
    <m/>
    <m/>
  </r>
  <r>
    <n v="2111"/>
    <n v="43204"/>
    <s v="P"/>
    <s v="Capitalized"/>
    <s v="96 GA EVR II Univ Carts w/ Lids-Seahawk Granite"/>
    <m/>
    <m/>
    <n v="720"/>
    <n v="0"/>
    <n v="0"/>
    <s v="TOTER INCORPORATED"/>
    <m/>
    <s v="CONTAINERS"/>
    <s v="TBA"/>
    <m/>
    <m/>
    <m/>
    <d v="2006-01-20T00:00:00"/>
    <d v="2006-01-20T00:00:00"/>
    <s v="06-2140-401"/>
    <n v="700"/>
    <n v="14050"/>
    <n v="41226.32"/>
    <n v="14056"/>
    <n v="41226.32"/>
    <n v="0"/>
    <n v="0"/>
    <n v="54260"/>
    <n v="0"/>
    <s v="P"/>
    <n v="0"/>
    <m/>
    <s v=" "/>
    <s v="STL"/>
    <s v="YES"/>
    <s v="TBD"/>
    <d v="2024-10-09T00:00:00"/>
    <x v="19"/>
    <m/>
    <m/>
    <m/>
    <m/>
    <m/>
    <m/>
    <m/>
    <m/>
    <m/>
    <m/>
    <m/>
  </r>
  <r>
    <n v="2111"/>
    <n v="43052"/>
    <s v="P"/>
    <s v="Capitalized"/>
    <s v="2YD REL"/>
    <m/>
    <m/>
    <n v="12"/>
    <n v="0"/>
    <n v="0"/>
    <s v="CAPITAL INDUSTRIES, INC."/>
    <m/>
    <s v="CONTAINERS"/>
    <s v="TBA"/>
    <m/>
    <s v="2 YD"/>
    <s v="FEL/REL/SL Metal"/>
    <d v="2006-04-28T00:00:00"/>
    <d v="2006-04-28T00:00:00"/>
    <s v="06-2111-016"/>
    <n v="1200"/>
    <n v="14050"/>
    <n v="5679.36"/>
    <n v="14056"/>
    <n v="5679.36"/>
    <n v="0"/>
    <n v="0"/>
    <n v="54260"/>
    <n v="0"/>
    <s v="P"/>
    <m/>
    <m/>
    <s v=" "/>
    <s v="STL"/>
    <s v="YES"/>
    <s v="TBD"/>
    <d v="2024-10-09T00:00:00"/>
    <x v="19"/>
    <m/>
    <m/>
    <m/>
    <m/>
    <m/>
    <m/>
    <m/>
    <m/>
    <m/>
    <m/>
    <m/>
  </r>
  <r>
    <n v="2111"/>
    <n v="43051"/>
    <s v="P"/>
    <s v="Capitalized"/>
    <s v="2YD REL"/>
    <m/>
    <m/>
    <n v="13"/>
    <n v="0"/>
    <n v="0"/>
    <s v="CAPITAL INDUSTRIES, INC."/>
    <m/>
    <s v="CONTAINERS"/>
    <s v="TBA"/>
    <m/>
    <s v="2 YD"/>
    <s v="FEL/REL/SL Metal"/>
    <d v="2006-04-28T00:00:00"/>
    <d v="2006-04-28T00:00:00"/>
    <s v="06-2111-016"/>
    <n v="1200"/>
    <n v="14050"/>
    <n v="6152.64"/>
    <n v="14056"/>
    <n v="6152.64"/>
    <n v="0"/>
    <n v="0"/>
    <n v="54260"/>
    <n v="0"/>
    <s v="P"/>
    <m/>
    <m/>
    <s v=" "/>
    <s v="STL"/>
    <s v="YES"/>
    <s v="TBD"/>
    <d v="2024-10-09T00:00:00"/>
    <x v="19"/>
    <m/>
    <m/>
    <m/>
    <m/>
    <m/>
    <m/>
    <m/>
    <m/>
    <m/>
    <m/>
    <m/>
  </r>
  <r>
    <n v="2111"/>
    <n v="43050"/>
    <s v="P"/>
    <s v="Capitalized"/>
    <s v="2YD REL"/>
    <m/>
    <m/>
    <n v="5"/>
    <n v="0"/>
    <n v="0"/>
    <s v="CAPITAL INDUSTRIES, INC."/>
    <m/>
    <s v="CONTAINERS"/>
    <s v="TBA"/>
    <m/>
    <s v="2 YD"/>
    <s v="FEL/REL/SL Metal"/>
    <d v="2006-04-28T00:00:00"/>
    <d v="2006-04-28T00:00:00"/>
    <s v="06-2111-016"/>
    <n v="1200"/>
    <n v="14050"/>
    <n v="2366.4"/>
    <n v="14056"/>
    <n v="2366.4"/>
    <n v="0"/>
    <n v="0"/>
    <n v="54260"/>
    <n v="0"/>
    <s v="P"/>
    <m/>
    <m/>
    <s v=" "/>
    <s v="STL"/>
    <s v="YES"/>
    <s v="TBD"/>
    <d v="2024-10-09T00:00:00"/>
    <x v="19"/>
    <m/>
    <m/>
    <m/>
    <m/>
    <m/>
    <m/>
    <m/>
    <m/>
    <m/>
    <m/>
    <m/>
  </r>
  <r>
    <n v="2111"/>
    <n v="43049"/>
    <s v="P"/>
    <s v="Capitalized"/>
    <s v="2YD REL"/>
    <m/>
    <m/>
    <n v="5"/>
    <n v="0"/>
    <n v="0"/>
    <s v="CAPITAL INDUSTRIES, INC."/>
    <m/>
    <s v="CONTAINERS"/>
    <s v="TBA"/>
    <m/>
    <s v="2 YD"/>
    <s v="FEL/REL/SL Metal"/>
    <d v="2006-04-28T00:00:00"/>
    <d v="2006-04-28T00:00:00"/>
    <s v="06-2111-016"/>
    <n v="1200"/>
    <n v="14050"/>
    <n v="2366.4"/>
    <n v="14056"/>
    <n v="2366.4"/>
    <n v="0"/>
    <n v="0"/>
    <n v="54260"/>
    <n v="0"/>
    <s v="P"/>
    <m/>
    <m/>
    <s v=" "/>
    <s v="STL"/>
    <s v="YES"/>
    <s v="TBD"/>
    <d v="2024-10-09T00:00:00"/>
    <x v="19"/>
    <m/>
    <m/>
    <m/>
    <m/>
    <m/>
    <m/>
    <m/>
    <m/>
    <m/>
    <m/>
    <m/>
  </r>
  <r>
    <n v="2111"/>
    <n v="43048"/>
    <s v="P"/>
    <s v="Capitalized"/>
    <s v="30 YD Green"/>
    <m/>
    <m/>
    <n v="1"/>
    <n v="0"/>
    <n v="0"/>
    <s v="CAPITAL INDUSTRIES, INC."/>
    <m/>
    <s v="CONTAINERS"/>
    <s v="TBA"/>
    <m/>
    <s v="30 YD"/>
    <s v="RO Box"/>
    <d v="2006-04-28T00:00:00"/>
    <d v="2006-04-28T00:00:00"/>
    <s v="06-2111-008"/>
    <n v="1200"/>
    <n v="14050"/>
    <n v="4950.3999999999996"/>
    <n v="14056"/>
    <n v="4950.3999999999996"/>
    <n v="0"/>
    <n v="0"/>
    <n v="54260"/>
    <n v="0"/>
    <s v="P"/>
    <m/>
    <m/>
    <s v=" "/>
    <s v="STL"/>
    <s v="YES"/>
    <s v="TBD"/>
    <d v="2024-10-09T00:00:00"/>
    <x v="19"/>
    <m/>
    <m/>
    <m/>
    <m/>
    <m/>
    <m/>
    <m/>
    <m/>
    <m/>
    <m/>
    <m/>
  </r>
  <r>
    <n v="2111"/>
    <n v="43047"/>
    <s v="P"/>
    <s v="Capitalized"/>
    <s v="30 YD Green"/>
    <m/>
    <m/>
    <n v="2"/>
    <n v="0"/>
    <n v="0"/>
    <s v="CAPITAL INDUSTRIES, INC."/>
    <m/>
    <s v="CONTAINERS"/>
    <s v="TBA"/>
    <m/>
    <s v="30 YD"/>
    <s v="RO Box"/>
    <d v="2006-04-28T00:00:00"/>
    <d v="2006-04-28T00:00:00"/>
    <s v="06-2111-008"/>
    <n v="1200"/>
    <n v="14050"/>
    <n v="9900.7999999999993"/>
    <n v="14056"/>
    <n v="9900.7999999999993"/>
    <n v="0"/>
    <n v="0"/>
    <n v="54260"/>
    <n v="0"/>
    <s v="P"/>
    <m/>
    <m/>
    <s v=" "/>
    <s v="STL"/>
    <s v="YES"/>
    <s v="TBD"/>
    <d v="2024-10-09T00:00:00"/>
    <x v="19"/>
    <m/>
    <m/>
    <m/>
    <m/>
    <m/>
    <m/>
    <m/>
    <m/>
    <m/>
    <m/>
    <m/>
  </r>
  <r>
    <n v="2111"/>
    <n v="43046"/>
    <s v="P"/>
    <s v="Capitalized"/>
    <s v="30 YD Green"/>
    <m/>
    <m/>
    <n v="2"/>
    <n v="0"/>
    <n v="0"/>
    <s v="CAPITAL INDUSTRIES, INC."/>
    <m/>
    <s v="CONTAINERS"/>
    <s v="TBA"/>
    <m/>
    <s v="30 YD"/>
    <s v="RO Box"/>
    <d v="2006-04-28T00:00:00"/>
    <d v="2006-04-28T00:00:00"/>
    <s v="06-2111-008"/>
    <n v="1200"/>
    <n v="14050"/>
    <n v="9900.7999999999993"/>
    <n v="14056"/>
    <n v="9900.7999999999993"/>
    <n v="0"/>
    <n v="0"/>
    <n v="54260"/>
    <n v="0"/>
    <s v="P"/>
    <m/>
    <m/>
    <s v=" "/>
    <s v="STL"/>
    <s v="YES"/>
    <s v="TBD"/>
    <d v="2024-10-09T00:00:00"/>
    <x v="19"/>
    <m/>
    <m/>
    <m/>
    <m/>
    <m/>
    <m/>
    <m/>
    <m/>
    <m/>
    <m/>
    <m/>
  </r>
  <r>
    <n v="2111"/>
    <n v="42254"/>
    <s v="P"/>
    <s v="Capitalized"/>
    <s v="30% DOWN ON PAINT ROOM REPAIR"/>
    <m/>
    <m/>
    <n v="1"/>
    <n v="0"/>
    <n v="0"/>
    <s v="MC CLOSKEY CONSTRUCTION"/>
    <m/>
    <s v="BUILDINGS"/>
    <s v="TBA"/>
    <m/>
    <m/>
    <m/>
    <d v="2006-01-01T00:00:00"/>
    <d v="2006-01-01T00:00:00"/>
    <s v="06-2111-405"/>
    <n v="406"/>
    <n v="14080"/>
    <n v="2500"/>
    <n v="14086"/>
    <n v="2500"/>
    <n v="0"/>
    <n v="0"/>
    <n v="57260"/>
    <n v="0"/>
    <s v="P"/>
    <m/>
    <m/>
    <s v=" "/>
    <s v="STL"/>
    <s v="YES"/>
    <s v="TBD"/>
    <d v="2024-10-09T00:00:00"/>
    <x v="19"/>
    <m/>
    <m/>
    <m/>
    <m/>
    <m/>
    <m/>
    <m/>
    <m/>
    <m/>
    <m/>
    <m/>
  </r>
  <r>
    <n v="2111"/>
    <n v="42174"/>
    <n v="42173"/>
    <s v="Capitalized"/>
    <s v="LIDS FOR 96G EVR II"/>
    <m/>
    <m/>
    <n v="77"/>
    <n v="0"/>
    <n v="0"/>
    <s v="TOTER INCORPORATED"/>
    <m/>
    <s v="CONTAINERS"/>
    <s v="TBA"/>
    <m/>
    <m/>
    <m/>
    <d v="2006-01-27T00:00:00"/>
    <d v="2006-01-27T00:00:00"/>
    <s v="06-2111-404"/>
    <n v="700"/>
    <n v="14050"/>
    <n v="167.55"/>
    <n v="14056"/>
    <n v="167.55"/>
    <n v="0"/>
    <n v="0"/>
    <n v="54260"/>
    <n v="0"/>
    <s v="P"/>
    <m/>
    <m/>
    <s v=" "/>
    <s v="STL"/>
    <s v="YES"/>
    <s v="TBD"/>
    <d v="2024-10-09T00:00:00"/>
    <x v="19"/>
    <m/>
    <m/>
    <m/>
    <m/>
    <m/>
    <m/>
    <m/>
    <m/>
    <m/>
    <m/>
    <m/>
  </r>
  <r>
    <n v="2111"/>
    <n v="42173"/>
    <s v="P"/>
    <s v="Capitalized"/>
    <s v="96 GAL EVR II UNIV CART-SEAHAWK GRANITE"/>
    <m/>
    <m/>
    <n v="720"/>
    <n v="0"/>
    <n v="0"/>
    <s v="TOTER INCORPORATED"/>
    <m/>
    <s v="CONTAINERS"/>
    <s v="TBA"/>
    <m/>
    <m/>
    <m/>
    <d v="2006-01-27T00:00:00"/>
    <d v="2006-01-27T00:00:00"/>
    <s v="06-2111-404"/>
    <n v="700"/>
    <n v="14050"/>
    <n v="41226.32"/>
    <n v="14056"/>
    <n v="41226.32"/>
    <n v="0"/>
    <n v="0"/>
    <n v="54260"/>
    <n v="0"/>
    <s v="P"/>
    <m/>
    <m/>
    <s v=" "/>
    <s v="STL"/>
    <s v="YES"/>
    <s v="TBD"/>
    <d v="2024-10-09T00:00:00"/>
    <x v="19"/>
    <m/>
    <m/>
    <m/>
    <m/>
    <m/>
    <m/>
    <m/>
    <m/>
    <m/>
    <m/>
    <m/>
  </r>
  <r>
    <n v="2111"/>
    <n v="41661"/>
    <s v="P"/>
    <s v="Capitalized"/>
    <s v="Schaefer USD-95B Blue Carts w/wheels"/>
    <m/>
    <m/>
    <n v="854"/>
    <n v="0"/>
    <n v="0"/>
    <s v="WESTERN SYSTEMS &amp; FABRICA"/>
    <m/>
    <s v="CONTAINERS"/>
    <s v="TBA"/>
    <m/>
    <m/>
    <m/>
    <d v="2006-03-06T00:00:00"/>
    <d v="2006-03-06T00:00:00"/>
    <s v="06-2111-005"/>
    <n v="700"/>
    <n v="14050"/>
    <n v="47348.1"/>
    <n v="14056"/>
    <n v="47348.1"/>
    <n v="0"/>
    <n v="0"/>
    <n v="54260"/>
    <n v="0"/>
    <s v="P"/>
    <m/>
    <m/>
    <s v=" "/>
    <s v="STL"/>
    <s v="YES"/>
    <s v="TBD"/>
    <d v="2024-10-09T00:00:00"/>
    <x v="19"/>
    <m/>
    <m/>
    <m/>
    <m/>
    <m/>
    <m/>
    <m/>
    <m/>
    <m/>
    <m/>
    <m/>
  </r>
  <r>
    <n v="2111"/>
    <n v="41464"/>
    <s v="P"/>
    <s v="Capitalized"/>
    <s v="2 YD REL Containers w/ Lids &amp; Wheels/Skid Plates"/>
    <m/>
    <m/>
    <n v="10"/>
    <n v="0"/>
    <n v="0"/>
    <s v="ENTERPRISE SALES, INC."/>
    <m/>
    <s v="CONTAINERS"/>
    <s v="TBA"/>
    <m/>
    <s v="2 YD"/>
    <s v="FEL/REL/SL Metal"/>
    <d v="2006-03-07T00:00:00"/>
    <d v="2006-03-07T00:00:00"/>
    <s v="06-2111-004"/>
    <n v="1200"/>
    <n v="14050"/>
    <n v="4591.3599999999997"/>
    <n v="14056"/>
    <n v="4591.3599999999997"/>
    <n v="0"/>
    <n v="0"/>
    <n v="54260"/>
    <n v="0"/>
    <s v="P"/>
    <n v="0"/>
    <m/>
    <s v=" "/>
    <s v="STL"/>
    <s v="YES"/>
    <s v="TBD"/>
    <d v="2024-10-09T00:00:00"/>
    <x v="19"/>
    <m/>
    <m/>
    <m/>
    <m/>
    <m/>
    <m/>
    <m/>
    <m/>
    <m/>
    <m/>
    <m/>
  </r>
  <r>
    <n v="2111"/>
    <n v="41299"/>
    <s v="P"/>
    <s v="Capitalized"/>
    <s v="96 GA EVR II Univ Carts w/ Lids-Seahawk Granite"/>
    <m/>
    <m/>
    <n v="713"/>
    <n v="0"/>
    <n v="0"/>
    <s v="TOTER INCORPORATED"/>
    <m/>
    <s v="CONTAINERS"/>
    <s v="TBA"/>
    <m/>
    <m/>
    <m/>
    <d v="2006-01-28T00:00:00"/>
    <d v="2006-01-28T00:00:00"/>
    <s v="06-2111-404"/>
    <n v="700"/>
    <n v="14050"/>
    <n v="41064.93"/>
    <n v="14056"/>
    <n v="41064.93"/>
    <n v="0"/>
    <n v="0"/>
    <n v="54260"/>
    <n v="0"/>
    <s v="P"/>
    <n v="0"/>
    <m/>
    <s v=" "/>
    <s v="STL"/>
    <s v="YES"/>
    <s v="TBD"/>
    <d v="2024-10-09T00:00:00"/>
    <x v="19"/>
    <m/>
    <m/>
    <m/>
    <m/>
    <m/>
    <m/>
    <m/>
    <m/>
    <m/>
    <m/>
    <m/>
  </r>
  <r>
    <n v="2111"/>
    <n v="41298"/>
    <s v="P"/>
    <s v="Capitalized"/>
    <s v="96 GA EVR II Univ Carts w/ Lids-Seahawk Granite"/>
    <m/>
    <m/>
    <n v="720"/>
    <n v="0"/>
    <n v="0"/>
    <s v="TOTER INCORPORATED"/>
    <m/>
    <s v="CONTAINERS"/>
    <s v="TBA"/>
    <m/>
    <m/>
    <m/>
    <d v="2006-01-28T00:00:00"/>
    <d v="2006-01-28T00:00:00"/>
    <s v="06-2111-404"/>
    <n v="700"/>
    <n v="14050"/>
    <n v="41226.32"/>
    <n v="14056"/>
    <n v="41226.32"/>
    <n v="0"/>
    <n v="0"/>
    <n v="54260"/>
    <n v="0"/>
    <s v="P"/>
    <n v="0"/>
    <m/>
    <s v=" "/>
    <s v="STL"/>
    <s v="YES"/>
    <s v="TBD"/>
    <d v="2024-10-09T00:00:00"/>
    <x v="19"/>
    <m/>
    <m/>
    <m/>
    <m/>
    <m/>
    <m/>
    <m/>
    <m/>
    <m/>
    <m/>
    <m/>
  </r>
  <r>
    <n v="2111"/>
    <n v="41297"/>
    <s v="P"/>
    <s v="Capitalized"/>
    <s v="96 GA EVR II Univ Carts w/ Lids-Seahawk Granite"/>
    <m/>
    <m/>
    <n v="720"/>
    <n v="0"/>
    <n v="0"/>
    <s v="TOTER INCORPORATED"/>
    <m/>
    <s v="CONTAINERS"/>
    <s v="TBA"/>
    <m/>
    <m/>
    <m/>
    <d v="2006-01-28T00:00:00"/>
    <d v="2006-01-28T00:00:00"/>
    <s v="06-2111-404"/>
    <n v="700"/>
    <n v="14050"/>
    <n v="41226.32"/>
    <n v="14056"/>
    <n v="41226.32"/>
    <n v="0"/>
    <n v="0"/>
    <n v="54260"/>
    <n v="0"/>
    <s v="P"/>
    <n v="0"/>
    <m/>
    <s v=" "/>
    <s v="STL"/>
    <s v="YES"/>
    <s v="TBD"/>
    <d v="2024-10-09T00:00:00"/>
    <x v="19"/>
    <m/>
    <m/>
    <m/>
    <m/>
    <m/>
    <m/>
    <m/>
    <m/>
    <m/>
    <m/>
    <m/>
  </r>
  <r>
    <n v="2111"/>
    <n v="41296"/>
    <s v="P"/>
    <s v="Capitalized"/>
    <s v="96 GA Carts - Assembly &amp; Delivery"/>
    <m/>
    <m/>
    <n v="776"/>
    <n v="0"/>
    <n v="0"/>
    <s v="TOTER INCORPORATED"/>
    <m/>
    <s v="CONTAINERS"/>
    <s v="TBA"/>
    <m/>
    <m/>
    <m/>
    <d v="2006-02-16T00:00:00"/>
    <d v="2006-02-16T00:00:00"/>
    <s v="06-2111-404"/>
    <n v="700"/>
    <n v="14050"/>
    <n v="2321.79"/>
    <n v="14056"/>
    <n v="2321.79"/>
    <n v="0"/>
    <n v="0"/>
    <n v="54260"/>
    <n v="0"/>
    <s v="P"/>
    <n v="0"/>
    <m/>
    <s v=" "/>
    <s v="STL"/>
    <s v="YES"/>
    <s v="TBD"/>
    <d v="2024-10-09T00:00:00"/>
    <x v="19"/>
    <m/>
    <m/>
    <m/>
    <m/>
    <m/>
    <m/>
    <m/>
    <m/>
    <m/>
    <m/>
    <m/>
  </r>
  <r>
    <n v="2111"/>
    <n v="41295"/>
    <s v="P"/>
    <s v="Capitalized"/>
    <s v="96 GA Carts - Assembly &amp; Delivery"/>
    <m/>
    <m/>
    <n v="2022"/>
    <n v="0"/>
    <n v="0"/>
    <s v="TOTER INCORPORATED"/>
    <m/>
    <s v="CONTAINERS"/>
    <s v="TBA"/>
    <m/>
    <m/>
    <m/>
    <d v="2006-02-16T00:00:00"/>
    <d v="2006-02-16T00:00:00"/>
    <s v="06-2111-404"/>
    <n v="700"/>
    <n v="14050"/>
    <n v="6049.93"/>
    <n v="14056"/>
    <n v="6049.93"/>
    <n v="0"/>
    <n v="0"/>
    <n v="54260"/>
    <n v="0"/>
    <s v="P"/>
    <n v="0"/>
    <m/>
    <s v=" "/>
    <s v="STL"/>
    <s v="YES"/>
    <s v="TBD"/>
    <d v="2024-10-09T00:00:00"/>
    <x v="19"/>
    <m/>
    <m/>
    <m/>
    <m/>
    <m/>
    <m/>
    <m/>
    <m/>
    <m/>
    <m/>
    <m/>
  </r>
  <r>
    <n v="2111"/>
    <n v="37663"/>
    <s v="P"/>
    <s v="Capitalized"/>
    <s v="95 Gal. NB Cart w/lids"/>
    <m/>
    <m/>
    <n v="432"/>
    <s v="270737-271168"/>
    <n v="0"/>
    <s v="Rehrig Pacific Company"/>
    <m/>
    <s v="CONTAINERS"/>
    <s v="TBA"/>
    <m/>
    <m/>
    <m/>
    <d v="2005-10-13T00:00:00"/>
    <d v="2005-10-13T00:00:00"/>
    <m/>
    <n v="700"/>
    <n v="14050"/>
    <n v="21738.23"/>
    <n v="14056"/>
    <n v="21738.23"/>
    <n v="0"/>
    <n v="0"/>
    <n v="54260"/>
    <n v="0"/>
    <s v="P"/>
    <n v="0"/>
    <m/>
    <s v=" "/>
    <s v="STL"/>
    <s v="YES"/>
    <s v="TBD"/>
    <d v="2024-10-09T00:00:00"/>
    <x v="19"/>
    <m/>
    <m/>
    <m/>
    <m/>
    <m/>
    <m/>
    <m/>
    <m/>
    <m/>
    <m/>
    <m/>
  </r>
  <r>
    <n v="2111"/>
    <n v="37481"/>
    <s v="P"/>
    <s v="Capitalized"/>
    <s v="1 Yd FEL Containers"/>
    <m/>
    <m/>
    <n v="5"/>
    <m/>
    <n v="0"/>
    <s v="Capital Industries, Inc."/>
    <m/>
    <s v="CONTAINERS"/>
    <s v="TBA"/>
    <m/>
    <s v="1 YD"/>
    <s v="FEL/REL/SL Metal"/>
    <d v="2005-10-25T00:00:00"/>
    <d v="2005-10-25T00:00:00"/>
    <n v="52111017"/>
    <n v="1200"/>
    <n v="14050"/>
    <n v="2148.8000000000002"/>
    <n v="14056"/>
    <n v="2148.8000000000002"/>
    <n v="0"/>
    <n v="0"/>
    <n v="54260"/>
    <n v="0"/>
    <s v="P"/>
    <n v="0"/>
    <m/>
    <s v=" "/>
    <s v="STL"/>
    <s v="YES"/>
    <s v="TBD"/>
    <d v="2024-10-09T00:00:00"/>
    <x v="19"/>
    <m/>
    <m/>
    <m/>
    <m/>
    <m/>
    <m/>
    <m/>
    <m/>
    <m/>
    <m/>
    <m/>
  </r>
  <r>
    <n v="2111"/>
    <n v="37480"/>
    <s v="P"/>
    <s v="Capitalized"/>
    <s v="30 Yd Structual Dropbox w/ Door-18' Screen Lid"/>
    <m/>
    <m/>
    <n v="2"/>
    <m/>
    <n v="0"/>
    <s v="Capital Industries, Inc."/>
    <m/>
    <s v="CONTAINERS"/>
    <s v="TBA"/>
    <m/>
    <s v="30 YD"/>
    <s v="RO Box"/>
    <d v="2005-09-30T00:00:00"/>
    <d v="2005-09-30T00:00:00"/>
    <n v="52111015"/>
    <n v="1200"/>
    <n v="14050"/>
    <n v="10183.68"/>
    <n v="14056"/>
    <n v="10183.68"/>
    <n v="0"/>
    <n v="0"/>
    <n v="54260"/>
    <n v="0"/>
    <s v="P"/>
    <n v="0"/>
    <m/>
    <s v=" "/>
    <s v="STL"/>
    <s v="YES"/>
    <s v="TBD"/>
    <d v="2024-10-09T00:00:00"/>
    <x v="19"/>
    <m/>
    <m/>
    <m/>
    <m/>
    <m/>
    <m/>
    <m/>
    <m/>
    <m/>
    <m/>
    <m/>
  </r>
  <r>
    <n v="2111"/>
    <n v="37479"/>
    <s v="P"/>
    <s v="Capitalized"/>
    <s v="30 Yd Structual Dropbox w/ Door-18' ScreenLid"/>
    <m/>
    <m/>
    <n v="3"/>
    <m/>
    <n v="0"/>
    <s v="Capital Industries, Inc."/>
    <m/>
    <s v="CONTAINERS"/>
    <s v="TBA"/>
    <m/>
    <s v="30 YD"/>
    <s v="RO Box"/>
    <d v="2005-09-30T00:00:00"/>
    <d v="2005-09-30T00:00:00"/>
    <n v="52111015"/>
    <n v="1200"/>
    <n v="14050"/>
    <n v="15275.52"/>
    <n v="14056"/>
    <n v="15275.52"/>
    <n v="0"/>
    <n v="0"/>
    <n v="54260"/>
    <n v="0"/>
    <s v="P"/>
    <n v="0"/>
    <m/>
    <s v=" "/>
    <s v="STL"/>
    <s v="YES"/>
    <s v="TBD"/>
    <d v="2024-10-09T00:00:00"/>
    <x v="19"/>
    <m/>
    <m/>
    <m/>
    <m/>
    <m/>
    <m/>
    <m/>
    <m/>
    <m/>
    <m/>
    <m/>
  </r>
  <r>
    <n v="2111"/>
    <n v="37258"/>
    <n v="17353"/>
    <s v="Capitalized"/>
    <s v="2001-2004 B&amp;O AUDIT-HP Laserjet Printer"/>
    <m/>
    <m/>
    <n v="1"/>
    <m/>
    <n v="0"/>
    <s v="Department of Revenue"/>
    <m/>
    <s v="HARDWARE AND SOFTWARE"/>
    <s v="TBA"/>
    <m/>
    <m/>
    <m/>
    <d v="2005-06-15T00:00:00"/>
    <d v="2005-06-15T00:00:00"/>
    <m/>
    <n v="300"/>
    <n v="14110"/>
    <n v="434.57"/>
    <n v="14116"/>
    <n v="434.57"/>
    <n v="0"/>
    <n v="0"/>
    <n v="70260"/>
    <n v="0"/>
    <s v="P"/>
    <n v="0"/>
    <m/>
    <s v=" "/>
    <s v="STL"/>
    <s v="YES"/>
    <s v="TBD"/>
    <d v="2024-10-09T00:00:00"/>
    <x v="19"/>
    <m/>
    <m/>
    <m/>
    <m/>
    <m/>
    <m/>
    <m/>
    <m/>
    <m/>
    <m/>
    <m/>
  </r>
  <r>
    <n v="2111"/>
    <n v="37256"/>
    <n v="26946"/>
    <s v="Capitalized"/>
    <s v="2001-2004 B&amp;O AUDIT-RM Conversion"/>
    <m/>
    <m/>
    <n v="1"/>
    <m/>
    <n v="0"/>
    <s v="Department of Revenue"/>
    <m/>
    <s v="HARDWARE AND SOFTWARE"/>
    <s v="TBA"/>
    <m/>
    <m/>
    <m/>
    <d v="2005-06-15T00:00:00"/>
    <d v="2005-06-15T00:00:00"/>
    <m/>
    <n v="300"/>
    <n v="14110"/>
    <n v="177.68"/>
    <n v="14116"/>
    <n v="177.68"/>
    <n v="0"/>
    <n v="0"/>
    <n v="70260"/>
    <n v="0"/>
    <s v="P"/>
    <n v="0"/>
    <m/>
    <s v=" "/>
    <s v="STL"/>
    <s v="YES"/>
    <s v="TBD"/>
    <d v="2024-10-09T00:00:00"/>
    <x v="19"/>
    <m/>
    <m/>
    <m/>
    <m/>
    <m/>
    <m/>
    <m/>
    <m/>
    <m/>
    <m/>
    <m/>
  </r>
  <r>
    <n v="2111"/>
    <n v="37255"/>
    <n v="24899"/>
    <s v="Capitalized"/>
    <s v="2001-2004 B&amp;O AUDIT-(13) Winterms"/>
    <m/>
    <m/>
    <n v="1"/>
    <m/>
    <n v="0"/>
    <s v="Department of Revenue"/>
    <m/>
    <s v="HARDWARE AND SOFTWARE"/>
    <s v="TBA"/>
    <m/>
    <m/>
    <m/>
    <d v="2005-06-15T00:00:00"/>
    <d v="2005-06-15T00:00:00"/>
    <m/>
    <n v="300"/>
    <n v="14110"/>
    <n v="310.88"/>
    <n v="14116"/>
    <n v="310.88"/>
    <n v="0"/>
    <n v="0"/>
    <n v="70260"/>
    <n v="0"/>
    <s v="P"/>
    <n v="0"/>
    <m/>
    <s v=" "/>
    <s v="STL"/>
    <s v="YES"/>
    <s v="TBD"/>
    <d v="2024-10-09T00:00:00"/>
    <x v="19"/>
    <m/>
    <m/>
    <m/>
    <m/>
    <m/>
    <m/>
    <m/>
    <m/>
    <m/>
    <m/>
    <m/>
  </r>
  <r>
    <n v="2111"/>
    <n v="37254"/>
    <n v="23391"/>
    <s v="Capitalized"/>
    <s v="2001-2004 B&amp;O AUDIT-Hardware for PA"/>
    <m/>
    <m/>
    <n v="1"/>
    <m/>
    <n v="0"/>
    <s v="Department of Revenue"/>
    <m/>
    <s v="HARDWARE AND SOFTWARE"/>
    <s v="TBA"/>
    <m/>
    <m/>
    <m/>
    <d v="2005-06-15T00:00:00"/>
    <d v="2005-06-15T00:00:00"/>
    <m/>
    <n v="300"/>
    <n v="14110"/>
    <n v="284.91000000000003"/>
    <n v="14116"/>
    <n v="284.91000000000003"/>
    <n v="0"/>
    <n v="0"/>
    <n v="70260"/>
    <n v="0"/>
    <s v="P"/>
    <n v="0"/>
    <m/>
    <s v=" "/>
    <s v="STL"/>
    <s v="YES"/>
    <s v="TBD"/>
    <d v="2024-10-09T00:00:00"/>
    <x v="19"/>
    <m/>
    <m/>
    <m/>
    <m/>
    <m/>
    <m/>
    <m/>
    <m/>
    <m/>
    <m/>
    <m/>
  </r>
  <r>
    <n v="2111"/>
    <n v="37253"/>
    <n v="23536"/>
    <s v="Capitalized"/>
    <s v="2001-2004 B&amp;O AUDIT-Phone for PARM Conv."/>
    <m/>
    <m/>
    <n v="1"/>
    <m/>
    <n v="0"/>
    <s v="Department of Revenue"/>
    <m/>
    <s v="HARDWARE AND SOFTWARE"/>
    <s v="TBA"/>
    <m/>
    <m/>
    <m/>
    <d v="2005-06-15T00:00:00"/>
    <d v="2005-06-15T00:00:00"/>
    <m/>
    <n v="300"/>
    <n v="14110"/>
    <n v="424.36"/>
    <n v="14116"/>
    <n v="424.36"/>
    <n v="0"/>
    <n v="0"/>
    <n v="70260"/>
    <n v="0"/>
    <s v="P"/>
    <n v="0"/>
    <m/>
    <s v=" "/>
    <s v="STL"/>
    <s v="YES"/>
    <s v="TBD"/>
    <d v="2024-10-09T00:00:00"/>
    <x v="19"/>
    <m/>
    <m/>
    <m/>
    <m/>
    <m/>
    <m/>
    <m/>
    <m/>
    <m/>
    <m/>
    <m/>
  </r>
  <r>
    <n v="2111"/>
    <n v="37252"/>
    <n v="26944"/>
    <s v="Capitalized"/>
    <s v="2001-2004 B&amp;O AUDIT-RM Conversion"/>
    <m/>
    <m/>
    <n v="1"/>
    <m/>
    <n v="0"/>
    <s v="Department of Revenue"/>
    <m/>
    <s v="HARDWARE AND SOFTWARE"/>
    <s v="TBA"/>
    <m/>
    <m/>
    <m/>
    <d v="2005-06-15T00:00:00"/>
    <d v="2005-06-15T00:00:00"/>
    <m/>
    <n v="300"/>
    <n v="14110"/>
    <n v="352.8"/>
    <n v="14116"/>
    <n v="352.8"/>
    <n v="0"/>
    <n v="0"/>
    <n v="70260"/>
    <n v="0"/>
    <s v="P"/>
    <n v="0"/>
    <m/>
    <s v=" "/>
    <s v="STL"/>
    <s v="YES"/>
    <s v="TBD"/>
    <d v="2024-10-09T00:00:00"/>
    <x v="19"/>
    <m/>
    <m/>
    <m/>
    <m/>
    <m/>
    <m/>
    <m/>
    <m/>
    <m/>
    <m/>
    <m/>
  </r>
  <r>
    <n v="2111"/>
    <n v="37251"/>
    <n v="26945"/>
    <s v="Capitalized"/>
    <s v="2001-2004 B&amp;O AUDIT-RM Conversion"/>
    <m/>
    <m/>
    <n v="1"/>
    <m/>
    <n v="0"/>
    <s v="Department of Revenue"/>
    <m/>
    <s v="HARDWARE AND SOFTWARE"/>
    <s v="TBA"/>
    <m/>
    <m/>
    <m/>
    <d v="2005-06-15T00:00:00"/>
    <d v="2005-06-15T00:00:00"/>
    <m/>
    <n v="300"/>
    <n v="14110"/>
    <n v="352.8"/>
    <n v="14116"/>
    <n v="352.8"/>
    <n v="0"/>
    <n v="0"/>
    <n v="70260"/>
    <n v="0"/>
    <s v="P"/>
    <n v="0"/>
    <m/>
    <s v=" "/>
    <s v="STL"/>
    <s v="YES"/>
    <s v="TBD"/>
    <d v="2024-10-09T00:00:00"/>
    <x v="19"/>
    <m/>
    <m/>
    <m/>
    <m/>
    <m/>
    <m/>
    <m/>
    <m/>
    <m/>
    <m/>
    <m/>
  </r>
  <r>
    <n v="2111"/>
    <n v="37250"/>
    <n v="10766"/>
    <s v="Capitalized"/>
    <s v="2001-2004 B&amp;O AUDIT-CFA Software"/>
    <m/>
    <m/>
    <n v="1"/>
    <m/>
    <n v="0"/>
    <s v="Department of Revenue"/>
    <m/>
    <s v="HARDWARE AND SOFTWARE"/>
    <s v="TBA"/>
    <m/>
    <m/>
    <m/>
    <d v="2005-06-15T00:00:00"/>
    <d v="2005-06-15T00:00:00"/>
    <m/>
    <n v="300"/>
    <n v="14110"/>
    <n v="880.88"/>
    <n v="14116"/>
    <n v="880.88"/>
    <n v="0"/>
    <n v="0"/>
    <n v="70260"/>
    <n v="0"/>
    <s v="P"/>
    <n v="0"/>
    <m/>
    <s v=" "/>
    <s v="STL"/>
    <s v="YES"/>
    <s v="TBD"/>
    <d v="2024-10-09T00:00:00"/>
    <x v="19"/>
    <m/>
    <m/>
    <m/>
    <m/>
    <m/>
    <m/>
    <m/>
    <m/>
    <m/>
    <m/>
    <m/>
  </r>
  <r>
    <n v="2111"/>
    <n v="37249"/>
    <n v="24896"/>
    <s v="Capitalized"/>
    <s v="2001-2004 B&amp;O AUDIT-Software RM Convrsn"/>
    <m/>
    <m/>
    <n v="1"/>
    <m/>
    <n v="0"/>
    <s v="Department of Revenue"/>
    <m/>
    <s v="HARDWARE AND SOFTWARE"/>
    <s v="TBA"/>
    <m/>
    <m/>
    <m/>
    <d v="2005-06-15T00:00:00"/>
    <d v="2005-06-15T00:00:00"/>
    <m/>
    <n v="300"/>
    <n v="14110"/>
    <n v="299.24"/>
    <n v="14116"/>
    <n v="299.24"/>
    <n v="0"/>
    <n v="0"/>
    <n v="70260"/>
    <n v="0"/>
    <s v="P"/>
    <n v="0"/>
    <m/>
    <s v=" "/>
    <s v="STL"/>
    <s v="YES"/>
    <s v="TBD"/>
    <d v="2024-10-09T00:00:00"/>
    <x v="19"/>
    <m/>
    <m/>
    <m/>
    <m/>
    <m/>
    <m/>
    <m/>
    <m/>
    <m/>
    <m/>
    <m/>
  </r>
  <r>
    <n v="2111"/>
    <n v="37240"/>
    <n v="24894"/>
    <s v="Capitalized"/>
    <s v="2001-2004 B&amp;O AUDIT-RM Conversion"/>
    <m/>
    <m/>
    <n v="1"/>
    <m/>
    <n v="0"/>
    <s v="Department of Revenue"/>
    <m/>
    <s v="HARDWARE AND SOFTWARE"/>
    <s v="TBA"/>
    <m/>
    <m/>
    <m/>
    <d v="2005-06-15T00:00:00"/>
    <d v="2005-06-15T00:00:00"/>
    <m/>
    <n v="300"/>
    <n v="14110"/>
    <n v="1789.2"/>
    <n v="14116"/>
    <n v="1789.2"/>
    <n v="0"/>
    <n v="0"/>
    <n v="70260"/>
    <n v="0"/>
    <s v="P"/>
    <n v="0"/>
    <m/>
    <s v=" "/>
    <s v="STL"/>
    <s v="YES"/>
    <s v="TBD"/>
    <d v="2024-10-09T00:00:00"/>
    <x v="19"/>
    <m/>
    <m/>
    <m/>
    <m/>
    <m/>
    <m/>
    <m/>
    <m/>
    <m/>
    <m/>
    <m/>
  </r>
  <r>
    <n v="2111"/>
    <n v="36399"/>
    <s v="P"/>
    <s v="Capitalized"/>
    <s v="95 Gallon Yard Waste Carts"/>
    <m/>
    <m/>
    <n v="52"/>
    <m/>
    <n v="0"/>
    <s v="Western Systems &amp; Fabrica"/>
    <m/>
    <s v="CONTAINERS"/>
    <s v="TBA"/>
    <m/>
    <m/>
    <m/>
    <d v="2005-08-29T00:00:00"/>
    <d v="2005-08-29T00:00:00"/>
    <n v="52111014"/>
    <n v="700"/>
    <n v="14050"/>
    <n v="2540.39"/>
    <n v="14056"/>
    <n v="2540.39"/>
    <n v="0"/>
    <n v="0"/>
    <n v="54260"/>
    <n v="0"/>
    <s v="P"/>
    <n v="0"/>
    <m/>
    <s v=" "/>
    <s v="STL"/>
    <s v="YES"/>
    <s v="TBD"/>
    <d v="2024-10-09T00:00:00"/>
    <x v="19"/>
    <m/>
    <m/>
    <m/>
    <m/>
    <m/>
    <m/>
    <m/>
    <m/>
    <m/>
    <m/>
    <m/>
  </r>
  <r>
    <n v="2111"/>
    <n v="35610"/>
    <s v="P"/>
    <s v="Capitalized"/>
    <s v="25 YD ROL Drop Boxes-Endless Chain Style-Green"/>
    <m/>
    <m/>
    <n v="1"/>
    <m/>
    <n v="0"/>
    <s v="Enterprise Sales, Inc"/>
    <m/>
    <s v="CONTAINERS"/>
    <s v="TBA"/>
    <m/>
    <s v="25 YD"/>
    <s v="RO Box"/>
    <d v="2005-07-25T00:00:00"/>
    <d v="2005-07-25T00:00:00"/>
    <n v="52111012"/>
    <n v="1200"/>
    <n v="14050"/>
    <n v="5206.08"/>
    <n v="14056"/>
    <n v="5206.08"/>
    <n v="0"/>
    <n v="0"/>
    <n v="54260"/>
    <n v="0"/>
    <s v="P"/>
    <n v="0"/>
    <m/>
    <s v=" "/>
    <s v="STL"/>
    <s v="YES"/>
    <s v="TBD"/>
    <d v="2024-10-09T00:00:00"/>
    <x v="19"/>
    <m/>
    <m/>
    <m/>
    <m/>
    <m/>
    <m/>
    <m/>
    <m/>
    <m/>
    <m/>
    <m/>
  </r>
  <r>
    <n v="2111"/>
    <n v="35608"/>
    <s v="P"/>
    <s v="Capitalized"/>
    <s v="ASSEMBLY AND DELIVERY OF 96 GAL CARTS"/>
    <m/>
    <m/>
    <n v="1380"/>
    <m/>
    <n v="0"/>
    <s v="Toter Incorporated"/>
    <m/>
    <s v="CONTAINERS"/>
    <s v="TBA"/>
    <m/>
    <m/>
    <m/>
    <d v="2005-05-09T00:00:00"/>
    <d v="2005-05-09T00:00:00"/>
    <n v="52111002"/>
    <n v="700"/>
    <n v="14050"/>
    <n v="2627.52"/>
    <n v="14056"/>
    <n v="2627.52"/>
    <n v="0"/>
    <n v="0"/>
    <n v="54260"/>
    <n v="0"/>
    <s v="P"/>
    <n v="0"/>
    <m/>
    <s v=" "/>
    <s v="STL"/>
    <s v="YES"/>
    <s v="TBD"/>
    <d v="2024-10-09T00:00:00"/>
    <x v="19"/>
    <m/>
    <m/>
    <m/>
    <m/>
    <m/>
    <m/>
    <m/>
    <m/>
    <m/>
    <m/>
    <m/>
  </r>
  <r>
    <n v="2111"/>
    <n v="35607"/>
    <s v="P"/>
    <s v="Capitalized"/>
    <s v="CREDIT FOR OVERPAYMENT OF SALES TAX"/>
    <m/>
    <m/>
    <n v="1"/>
    <m/>
    <n v="0"/>
    <s v="Toter Incorporated"/>
    <m/>
    <s v="CONTAINERS"/>
    <s v="TBA"/>
    <m/>
    <m/>
    <m/>
    <d v="2005-08-08T00:00:00"/>
    <d v="2005-08-08T00:00:00"/>
    <n v="52111002"/>
    <n v="700"/>
    <n v="14050"/>
    <n v="-1261.44"/>
    <n v="14056"/>
    <n v="-1261.44"/>
    <n v="0"/>
    <n v="0"/>
    <n v="54260"/>
    <n v="0"/>
    <s v="P"/>
    <n v="0"/>
    <m/>
    <s v=" "/>
    <s v="STL"/>
    <s v="YES"/>
    <s v="TBD"/>
    <d v="2024-10-09T00:00:00"/>
    <x v="19"/>
    <m/>
    <m/>
    <m/>
    <m/>
    <m/>
    <m/>
    <m/>
    <m/>
    <m/>
    <m/>
    <m/>
  </r>
  <r>
    <n v="2111"/>
    <n v="35606"/>
    <s v="P"/>
    <s v="Capitalized"/>
    <s v="96 GAL EVR II UNIV/NE0201 - SEAHAWK GRANITE"/>
    <m/>
    <m/>
    <n v="5153"/>
    <m/>
    <n v="0"/>
    <s v="Toter Incorporated"/>
    <m/>
    <s v="CONTAINERS"/>
    <s v="TBA"/>
    <m/>
    <m/>
    <m/>
    <d v="2005-05-23T00:00:00"/>
    <d v="2005-05-23T00:00:00"/>
    <n v="52111002"/>
    <n v="700"/>
    <n v="14050"/>
    <n v="7008.08"/>
    <n v="14056"/>
    <n v="7008.08"/>
    <n v="0"/>
    <n v="0"/>
    <n v="54260"/>
    <n v="0"/>
    <s v="P"/>
    <n v="0"/>
    <m/>
    <s v=" "/>
    <s v="STL"/>
    <s v="YES"/>
    <s v="TBD"/>
    <d v="2024-10-09T00:00:00"/>
    <x v="19"/>
    <m/>
    <m/>
    <m/>
    <m/>
    <m/>
    <m/>
    <m/>
    <m/>
    <m/>
    <m/>
    <m/>
  </r>
  <r>
    <n v="2111"/>
    <n v="35605"/>
    <s v="P"/>
    <s v="Capitalized"/>
    <s v="ASSEMBLY AND DELIVERY OF 96 GAL CARTS"/>
    <m/>
    <m/>
    <n v="1175"/>
    <m/>
    <n v="0"/>
    <s v="Toter Incorporated"/>
    <m/>
    <s v="CONTAINERS"/>
    <s v="TBA"/>
    <m/>
    <m/>
    <m/>
    <d v="2005-05-23T00:00:00"/>
    <d v="2005-05-23T00:00:00"/>
    <n v="52111002"/>
    <n v="700"/>
    <n v="14050"/>
    <n v="2237.1999999999998"/>
    <n v="14056"/>
    <n v="2237.1999999999998"/>
    <n v="0"/>
    <n v="0"/>
    <n v="54260"/>
    <n v="0"/>
    <s v="P"/>
    <n v="0"/>
    <m/>
    <s v=" "/>
    <s v="STL"/>
    <s v="YES"/>
    <s v="TBD"/>
    <d v="2024-10-09T00:00:00"/>
    <x v="19"/>
    <m/>
    <m/>
    <m/>
    <m/>
    <m/>
    <m/>
    <m/>
    <m/>
    <m/>
    <m/>
    <m/>
  </r>
  <r>
    <n v="2111"/>
    <n v="35604"/>
    <s v="P"/>
    <s v="Capitalized"/>
    <s v="ASSEMBLY AND DELIVERY OF 96 GAL CARTS"/>
    <m/>
    <m/>
    <n v="2620"/>
    <m/>
    <n v="0"/>
    <s v="Toter Incorporated"/>
    <m/>
    <s v="CONTAINERS"/>
    <s v="TBA"/>
    <m/>
    <m/>
    <m/>
    <d v="2005-04-28T00:00:00"/>
    <d v="2005-04-28T00:00:00"/>
    <n v="52111002"/>
    <n v="700"/>
    <n v="14050"/>
    <n v="4988.4799999999996"/>
    <n v="14056"/>
    <n v="4988.4799999999996"/>
    <n v="0"/>
    <n v="0"/>
    <n v="54260"/>
    <n v="0"/>
    <s v="P"/>
    <n v="0"/>
    <m/>
    <s v=" "/>
    <s v="STL"/>
    <s v="YES"/>
    <s v="TBD"/>
    <d v="2024-10-09T00:00:00"/>
    <x v="19"/>
    <m/>
    <m/>
    <m/>
    <m/>
    <m/>
    <m/>
    <m/>
    <m/>
    <m/>
    <m/>
    <m/>
  </r>
  <r>
    <n v="2111"/>
    <n v="35603"/>
    <s v="P"/>
    <s v="Capitalized"/>
    <s v="ASSEMBLY AND DELIVERY OF 96 GAL CARTS"/>
    <m/>
    <m/>
    <n v="3000"/>
    <m/>
    <n v="0"/>
    <s v="Toter Incorporated"/>
    <m/>
    <s v="CONTAINERS"/>
    <s v="TBA"/>
    <m/>
    <m/>
    <m/>
    <d v="2005-05-13T00:00:00"/>
    <d v="2005-05-13T00:00:00"/>
    <n v="52111002"/>
    <n v="700"/>
    <n v="14050"/>
    <n v="4080"/>
    <n v="14056"/>
    <n v="4080"/>
    <n v="0"/>
    <n v="0"/>
    <n v="54260"/>
    <n v="0"/>
    <s v="P"/>
    <n v="0"/>
    <m/>
    <s v=" "/>
    <s v="STL"/>
    <s v="YES"/>
    <s v="TBD"/>
    <d v="2024-10-09T00:00:00"/>
    <x v="19"/>
    <m/>
    <m/>
    <m/>
    <m/>
    <m/>
    <m/>
    <m/>
    <m/>
    <m/>
    <m/>
    <m/>
  </r>
  <r>
    <n v="2111"/>
    <n v="35602"/>
    <s v="P"/>
    <s v="Capitalized"/>
    <s v="ASSEMBLY AND DELIVERY OF 96 GAL CARTS"/>
    <m/>
    <m/>
    <n v="2325"/>
    <m/>
    <n v="0"/>
    <s v="Toter Incorporated"/>
    <m/>
    <s v="CONTAINERS"/>
    <s v="TBA"/>
    <m/>
    <m/>
    <m/>
    <d v="2005-05-09T00:00:00"/>
    <d v="2005-05-09T00:00:00"/>
    <n v="52111002"/>
    <n v="700"/>
    <n v="14050"/>
    <n v="4426.8"/>
    <n v="14056"/>
    <n v="4426.8"/>
    <n v="0"/>
    <n v="0"/>
    <n v="54260"/>
    <n v="0"/>
    <s v="P"/>
    <n v="0"/>
    <m/>
    <s v=" "/>
    <s v="STL"/>
    <s v="YES"/>
    <s v="TBD"/>
    <d v="2024-10-09T00:00:00"/>
    <x v="19"/>
    <m/>
    <m/>
    <m/>
    <m/>
    <m/>
    <m/>
    <m/>
    <m/>
    <m/>
    <m/>
    <m/>
  </r>
  <r>
    <n v="2111"/>
    <n v="35601"/>
    <s v="P"/>
    <s v="Capitalized"/>
    <s v="96 GAL EVR II UNIV/NE0201-SEAHAWK GRANITE"/>
    <m/>
    <m/>
    <n v="10470"/>
    <m/>
    <n v="0"/>
    <s v="Toter Incorporated"/>
    <m/>
    <s v="CONTAINERS"/>
    <s v="TBA"/>
    <m/>
    <m/>
    <m/>
    <d v="2005-05-13T00:00:00"/>
    <d v="2005-05-13T00:00:00"/>
    <n v="52111002"/>
    <n v="700"/>
    <n v="14050"/>
    <n v="14239.2"/>
    <n v="14056"/>
    <n v="14239.2"/>
    <n v="0"/>
    <n v="0"/>
    <n v="54260"/>
    <n v="0"/>
    <s v="P"/>
    <n v="0"/>
    <m/>
    <s v=" "/>
    <s v="STL"/>
    <s v="YES"/>
    <s v="TBD"/>
    <d v="2024-10-09T00:00:00"/>
    <x v="19"/>
    <m/>
    <m/>
    <m/>
    <m/>
    <m/>
    <m/>
    <m/>
    <m/>
    <m/>
    <m/>
    <m/>
  </r>
  <r>
    <n v="2111"/>
    <n v="35210"/>
    <s v="P"/>
    <s v="Capitalized"/>
    <s v="Fuel Pump-Dispensers; Diesel Nozzle; Hoses"/>
    <m/>
    <m/>
    <n v="1"/>
    <m/>
    <n v="0"/>
    <s v="REO Technology, LLC"/>
    <m/>
    <s v="SHOP EQUIPMENT"/>
    <s v="TBA"/>
    <m/>
    <m/>
    <m/>
    <d v="2005-06-28T00:00:00"/>
    <d v="2005-06-28T00:00:00"/>
    <n v="52111003"/>
    <n v="1000"/>
    <n v="14070"/>
    <n v="8268.9699999999993"/>
    <n v="14076"/>
    <n v="8268.9699999999993"/>
    <n v="0"/>
    <n v="0"/>
    <n v="51260"/>
    <n v="0"/>
    <s v="P"/>
    <n v="0"/>
    <m/>
    <s v=" "/>
    <s v="STL"/>
    <s v="YES"/>
    <s v="TBD"/>
    <d v="2024-10-09T00:00:00"/>
    <x v="19"/>
    <m/>
    <m/>
    <m/>
    <m/>
    <m/>
    <m/>
    <m/>
    <m/>
    <m/>
    <m/>
    <m/>
  </r>
  <r>
    <n v="2111"/>
    <n v="35105"/>
    <s v="P"/>
    <s v="Capitalized"/>
    <s v="2 Yard REL Containers w/ Lids &amp; Casters"/>
    <m/>
    <m/>
    <n v="28"/>
    <m/>
    <n v="0"/>
    <s v="Capital Industries, Inc."/>
    <m/>
    <s v="CONTAINERS"/>
    <s v="TBA"/>
    <m/>
    <s v="2 YD"/>
    <s v="FEL/REL/SL Metal"/>
    <d v="2005-06-30T00:00:00"/>
    <d v="2005-06-30T00:00:00"/>
    <n v="52111008"/>
    <n v="1200"/>
    <n v="14050"/>
    <n v="12855.81"/>
    <n v="14056"/>
    <n v="12855.81"/>
    <n v="0"/>
    <n v="0"/>
    <n v="54260"/>
    <n v="0"/>
    <s v="P"/>
    <n v="0"/>
    <m/>
    <s v=" "/>
    <s v="STL"/>
    <s v="YES"/>
    <s v="TBD"/>
    <d v="2024-10-09T00:00:00"/>
    <x v="19"/>
    <m/>
    <m/>
    <m/>
    <m/>
    <m/>
    <m/>
    <m/>
    <m/>
    <m/>
    <m/>
    <m/>
  </r>
  <r>
    <n v="2111"/>
    <n v="34689"/>
    <s v="P"/>
    <s v="Capitalized"/>
    <s v="96 GAL EVR II UNIV/NE0201 - SEAHAWK GRANITE"/>
    <m/>
    <m/>
    <n v="720"/>
    <s v="A9049961 THRU A905000"/>
    <n v="0"/>
    <s v="Toter Incorporated"/>
    <m/>
    <s v="CONTAINERS"/>
    <s v="TBA"/>
    <m/>
    <m/>
    <m/>
    <d v="2005-02-23T00:00:00"/>
    <d v="2005-02-23T00:00:00"/>
    <n v="52111002"/>
    <n v="700"/>
    <n v="14050"/>
    <n v="1588.48"/>
    <n v="14056"/>
    <n v="1588.48"/>
    <n v="0"/>
    <n v="0"/>
    <n v="54260"/>
    <n v="0"/>
    <s v="P"/>
    <n v="0"/>
    <m/>
    <s v=" "/>
    <s v="STL"/>
    <s v="YES"/>
    <s v="TBD"/>
    <d v="2024-10-09T00:00:00"/>
    <x v="19"/>
    <m/>
    <m/>
    <m/>
    <m/>
    <m/>
    <m/>
    <m/>
    <m/>
    <m/>
    <m/>
    <m/>
  </r>
  <r>
    <n v="2111"/>
    <n v="34611"/>
    <s v="P"/>
    <s v="Capitalized"/>
    <s v="(1) Route Manager License for Murrey's Disposal"/>
    <m/>
    <m/>
    <n v="1"/>
    <m/>
    <n v="0"/>
    <s v="DesertMicro"/>
    <m/>
    <s v="HARDWARE AND SOFTWARE"/>
    <s v="TBA"/>
    <m/>
    <m/>
    <m/>
    <d v="2005-05-27T00:00:00"/>
    <d v="2005-05-27T00:00:00"/>
    <m/>
    <n v="300"/>
    <n v="14110"/>
    <n v="850"/>
    <n v="14116"/>
    <n v="850"/>
    <n v="0"/>
    <n v="0"/>
    <n v="70260"/>
    <n v="0"/>
    <s v="P"/>
    <n v="0"/>
    <m/>
    <s v=" "/>
    <s v="STL"/>
    <s v="YES"/>
    <s v="TBD"/>
    <d v="2024-10-09T00:00:00"/>
    <x v="19"/>
    <m/>
    <m/>
    <m/>
    <m/>
    <m/>
    <m/>
    <m/>
    <m/>
    <m/>
    <m/>
    <m/>
  </r>
  <r>
    <n v="2111"/>
    <n v="34376"/>
    <s v="P"/>
    <s v="Capitalized"/>
    <s v="64 GAL EVR II UNIV/NE0201 - SEAHAWK GRANITE"/>
    <m/>
    <m/>
    <n v="960"/>
    <s v="A6004001 THRU A6004960"/>
    <n v="0"/>
    <s v="Toter Incorporated"/>
    <m/>
    <s v="CONTAINERS"/>
    <s v="TBA"/>
    <m/>
    <m/>
    <m/>
    <d v="2005-03-02T00:00:00"/>
    <d v="2005-03-02T00:00:00"/>
    <n v="52111002"/>
    <n v="700"/>
    <n v="14050"/>
    <n v="33945.599999999999"/>
    <n v="14056"/>
    <n v="33945.599999999999"/>
    <n v="0"/>
    <n v="0"/>
    <n v="54260"/>
    <n v="0"/>
    <s v="P"/>
    <n v="0"/>
    <m/>
    <s v=" "/>
    <s v="STL"/>
    <s v="YES"/>
    <s v="TBD"/>
    <d v="2024-10-09T00:00:00"/>
    <x v="19"/>
    <m/>
    <m/>
    <m/>
    <m/>
    <m/>
    <m/>
    <m/>
    <m/>
    <m/>
    <m/>
    <m/>
  </r>
  <r>
    <n v="2111"/>
    <n v="34375"/>
    <s v="P"/>
    <s v="Capitalized"/>
    <s v="64 GAL EVR II UNIV/NE0201 - SEAHAWK GRANITE"/>
    <m/>
    <m/>
    <n v="40"/>
    <s v="A6004961 THRU A6005000"/>
    <n v="0"/>
    <s v="Toter Incorporated"/>
    <m/>
    <s v="CONTAINERS"/>
    <s v="TBA"/>
    <m/>
    <m/>
    <m/>
    <d v="2005-03-10T00:00:00"/>
    <d v="2005-03-10T00:00:00"/>
    <n v="52111002"/>
    <n v="700"/>
    <n v="14050"/>
    <n v="1414.4"/>
    <n v="14056"/>
    <n v="1414.4"/>
    <n v="0"/>
    <n v="0"/>
    <n v="54260"/>
    <n v="0"/>
    <s v="P"/>
    <n v="0"/>
    <m/>
    <s v=" "/>
    <s v="STL"/>
    <s v="YES"/>
    <s v="TBD"/>
    <d v="2024-10-09T00:00:00"/>
    <x v="19"/>
    <m/>
    <m/>
    <m/>
    <m/>
    <m/>
    <m/>
    <m/>
    <m/>
    <m/>
    <m/>
    <m/>
  </r>
  <r>
    <n v="2111"/>
    <n v="34374"/>
    <s v="P"/>
    <s v="Capitalized"/>
    <s v="96 GAL EVR II UNIV/NE0201 - SEAHAWK GRANITE"/>
    <m/>
    <m/>
    <n v="100"/>
    <s v="A9039001 THRU A9039100"/>
    <n v="0"/>
    <s v="Toter Incorporated"/>
    <m/>
    <s v="CONTAINERS"/>
    <s v="TBA"/>
    <m/>
    <m/>
    <m/>
    <d v="2005-03-23T00:00:00"/>
    <d v="2005-03-23T00:00:00"/>
    <n v="52111002"/>
    <n v="700"/>
    <n v="14050"/>
    <n v="3971.2"/>
    <n v="14056"/>
    <n v="3971.2"/>
    <n v="0"/>
    <n v="0"/>
    <n v="54260"/>
    <n v="0"/>
    <s v="P"/>
    <n v="0"/>
    <m/>
    <s v=" "/>
    <s v="STL"/>
    <s v="YES"/>
    <s v="TBD"/>
    <d v="2024-10-09T00:00:00"/>
    <x v="19"/>
    <m/>
    <m/>
    <m/>
    <m/>
    <m/>
    <m/>
    <m/>
    <m/>
    <m/>
    <m/>
    <m/>
  </r>
  <r>
    <n v="2111"/>
    <n v="34373"/>
    <s v="P"/>
    <s v="Capitalized"/>
    <s v="96 GAL EVR II UNIV/NE0201 - SEAHAWK GRANITE"/>
    <m/>
    <m/>
    <n v="720"/>
    <s v="A9037561 THRU A9038280"/>
    <n v="0"/>
    <s v="Toter Incorporated"/>
    <m/>
    <s v="CONTAINERS"/>
    <s v="TBA"/>
    <m/>
    <m/>
    <m/>
    <d v="2005-03-21T00:00:00"/>
    <d v="2005-03-21T00:00:00"/>
    <n v="52111002"/>
    <n v="700"/>
    <n v="14050"/>
    <n v="28592.639999999999"/>
    <n v="14056"/>
    <n v="28592.639999999999"/>
    <n v="0"/>
    <n v="0"/>
    <n v="54260"/>
    <n v="0"/>
    <s v="P"/>
    <n v="0"/>
    <m/>
    <s v=" "/>
    <s v="STL"/>
    <s v="YES"/>
    <s v="TBD"/>
    <d v="2024-10-09T00:00:00"/>
    <x v="19"/>
    <m/>
    <m/>
    <m/>
    <m/>
    <m/>
    <m/>
    <m/>
    <m/>
    <m/>
    <m/>
    <m/>
  </r>
  <r>
    <n v="2111"/>
    <n v="34372"/>
    <s v="P"/>
    <s v="Capitalized"/>
    <s v="96 GAL EVR II UNIV/NE0201 - SEAHAWK GRANITE"/>
    <m/>
    <m/>
    <n v="620"/>
    <s v="A9052881 THRU A9053500"/>
    <n v="0"/>
    <s v="Toter Incorporated"/>
    <m/>
    <s v="CONTAINERS"/>
    <s v="TBA"/>
    <m/>
    <m/>
    <m/>
    <d v="2005-05-04T00:00:00"/>
    <d v="2005-05-04T00:00:00"/>
    <n v="52111002"/>
    <n v="700"/>
    <n v="14050"/>
    <n v="24621.439999999999"/>
    <n v="14056"/>
    <n v="24621.439999999999"/>
    <n v="0"/>
    <n v="0"/>
    <n v="54260"/>
    <n v="0"/>
    <s v="P"/>
    <n v="0"/>
    <m/>
    <s v=" "/>
    <s v="STL"/>
    <s v="YES"/>
    <s v="TBD"/>
    <d v="2024-10-09T00:00:00"/>
    <x v="19"/>
    <m/>
    <m/>
    <m/>
    <m/>
    <m/>
    <m/>
    <m/>
    <m/>
    <m/>
    <m/>
    <m/>
  </r>
  <r>
    <n v="2111"/>
    <n v="34371"/>
    <s v="P"/>
    <s v="Capitalized"/>
    <s v="96 GAL EVR II UNIV/NE0201 - SEAHAWK GRANITE"/>
    <m/>
    <m/>
    <n v="720"/>
    <s v="A9052161 THRU A9052880"/>
    <n v="0"/>
    <s v="Toter Incorporated"/>
    <m/>
    <s v="CONTAINERS"/>
    <s v="TBA"/>
    <m/>
    <m/>
    <m/>
    <d v="2005-05-03T00:00:00"/>
    <d v="2005-05-03T00:00:00"/>
    <n v="52111002"/>
    <n v="700"/>
    <n v="14050"/>
    <n v="28592.639999999999"/>
    <n v="14056"/>
    <n v="28592.639999999999"/>
    <n v="0"/>
    <n v="0"/>
    <n v="54260"/>
    <n v="0"/>
    <s v="P"/>
    <n v="0"/>
    <m/>
    <s v=" "/>
    <s v="STL"/>
    <s v="YES"/>
    <s v="TBD"/>
    <d v="2024-10-09T00:00:00"/>
    <x v="19"/>
    <m/>
    <m/>
    <m/>
    <m/>
    <m/>
    <m/>
    <m/>
    <m/>
    <m/>
    <m/>
    <m/>
  </r>
  <r>
    <n v="2111"/>
    <n v="34370"/>
    <s v="P"/>
    <s v="Capitalized"/>
    <s v="96 GAL EVR II UNIV/NE0201 - SEAHAWK GRANITE"/>
    <m/>
    <m/>
    <n v="720"/>
    <s v="A9031081 THRU A9032520"/>
    <n v="0"/>
    <s v="Toter Incorporated"/>
    <m/>
    <s v="CONTAINERS"/>
    <s v="TBA"/>
    <m/>
    <m/>
    <m/>
    <d v="2005-03-14T00:00:00"/>
    <d v="2005-03-14T00:00:00"/>
    <n v="52111002"/>
    <n v="700"/>
    <n v="14050"/>
    <n v="28592.639999999999"/>
    <n v="14056"/>
    <n v="28592.639999999999"/>
    <n v="0"/>
    <n v="0"/>
    <n v="54260"/>
    <n v="0"/>
    <s v="P"/>
    <n v="0"/>
    <m/>
    <s v=" "/>
    <s v="STL"/>
    <s v="YES"/>
    <s v="TBD"/>
    <d v="2024-10-09T00:00:00"/>
    <x v="19"/>
    <m/>
    <m/>
    <m/>
    <m/>
    <m/>
    <m/>
    <m/>
    <m/>
    <m/>
    <m/>
    <m/>
  </r>
  <r>
    <n v="2111"/>
    <n v="34369"/>
    <s v="P"/>
    <s v="Capitalized"/>
    <s v="96 GAL EVR II UNIV/NE0201 - SEAHAWK GRANITE"/>
    <m/>
    <m/>
    <n v="720"/>
    <s v="A9031081 THRU A9031800"/>
    <n v="0"/>
    <s v="Toter Incorporated"/>
    <m/>
    <s v="CONTAINERS"/>
    <s v="TBA"/>
    <m/>
    <m/>
    <m/>
    <d v="2005-03-11T00:00:00"/>
    <d v="2005-03-11T00:00:00"/>
    <n v="52111002"/>
    <n v="700"/>
    <n v="14050"/>
    <n v="28592.639999999999"/>
    <n v="14056"/>
    <n v="28592.639999999999"/>
    <n v="0"/>
    <n v="0"/>
    <n v="54260"/>
    <n v="0"/>
    <s v="P"/>
    <n v="0"/>
    <m/>
    <s v=" "/>
    <s v="STL"/>
    <s v="YES"/>
    <s v="TBD"/>
    <d v="2024-10-09T00:00:00"/>
    <x v="19"/>
    <m/>
    <m/>
    <m/>
    <m/>
    <m/>
    <m/>
    <m/>
    <m/>
    <m/>
    <m/>
    <m/>
  </r>
  <r>
    <n v="2111"/>
    <n v="34368"/>
    <s v="P"/>
    <s v="Capitalized"/>
    <s v="96 GAL EVR II UNIV/NE0201 - SEAHAWK GRANITE"/>
    <m/>
    <m/>
    <n v="720"/>
    <s v="A9050001 THRU A9050720"/>
    <n v="0"/>
    <s v="Toter Incorporated"/>
    <m/>
    <s v="CONTAINERS"/>
    <s v="TBA"/>
    <m/>
    <m/>
    <m/>
    <d v="2005-04-29T00:00:00"/>
    <d v="2005-04-29T00:00:00"/>
    <n v="52111002"/>
    <n v="700"/>
    <n v="14050"/>
    <n v="28592.639999999999"/>
    <n v="14056"/>
    <n v="28592.639999999999"/>
    <n v="0"/>
    <n v="0"/>
    <n v="54260"/>
    <n v="0"/>
    <s v="P"/>
    <n v="0"/>
    <m/>
    <s v=" "/>
    <s v="STL"/>
    <s v="YES"/>
    <s v="TBD"/>
    <d v="2024-10-09T00:00:00"/>
    <x v="19"/>
    <m/>
    <m/>
    <m/>
    <m/>
    <m/>
    <m/>
    <m/>
    <m/>
    <m/>
    <m/>
    <m/>
  </r>
  <r>
    <n v="2111"/>
    <n v="34367"/>
    <s v="P"/>
    <s v="Capitalized"/>
    <s v="96 GAL EVR II UNIV/NE0201 - SEAHAWK GRANITE"/>
    <m/>
    <m/>
    <n v="720"/>
    <s v="A9050721 THRU A9051440"/>
    <n v="0"/>
    <s v="Toter Incorporated"/>
    <m/>
    <s v="CONTAINERS"/>
    <s v="TBA"/>
    <m/>
    <m/>
    <m/>
    <d v="2005-04-29T00:00:00"/>
    <d v="2005-04-29T00:00:00"/>
    <n v="52111002"/>
    <n v="700"/>
    <n v="14050"/>
    <n v="28592.639999999999"/>
    <n v="14056"/>
    <n v="28592.639999999999"/>
    <n v="0"/>
    <n v="0"/>
    <n v="54260"/>
    <n v="0"/>
    <s v="P"/>
    <n v="0"/>
    <m/>
    <s v=" "/>
    <s v="STL"/>
    <s v="YES"/>
    <s v="TBD"/>
    <d v="2024-10-09T00:00:00"/>
    <x v="19"/>
    <m/>
    <m/>
    <m/>
    <m/>
    <m/>
    <m/>
    <m/>
    <m/>
    <m/>
    <m/>
    <m/>
  </r>
  <r>
    <n v="2111"/>
    <n v="34366"/>
    <s v="P"/>
    <s v="Capitalized"/>
    <s v="96 GAL EVR II UNIV/NE0201 - SEAHAWK GRANITE"/>
    <m/>
    <m/>
    <n v="720"/>
    <s v="A9051441 THRU A9052160"/>
    <n v="0"/>
    <s v="Toter Incorporated"/>
    <m/>
    <s v="CONTAINERS"/>
    <s v="TBA"/>
    <m/>
    <m/>
    <m/>
    <d v="2005-05-02T00:00:00"/>
    <d v="2005-05-02T00:00:00"/>
    <n v="52111002"/>
    <n v="700"/>
    <n v="14050"/>
    <n v="28592.639999999999"/>
    <n v="14056"/>
    <n v="28592.639999999999"/>
    <n v="0"/>
    <n v="0"/>
    <n v="54260"/>
    <n v="0"/>
    <s v="P"/>
    <n v="0"/>
    <m/>
    <s v=" "/>
    <s v="STL"/>
    <s v="YES"/>
    <s v="TBD"/>
    <d v="2024-10-09T00:00:00"/>
    <x v="19"/>
    <m/>
    <m/>
    <m/>
    <m/>
    <m/>
    <m/>
    <m/>
    <m/>
    <m/>
    <m/>
    <m/>
  </r>
  <r>
    <n v="2111"/>
    <n v="34365"/>
    <s v="P"/>
    <s v="Capitalized"/>
    <s v="96 GAL EVR II UNIV/NE0201 - SEAHAWK GRANITE"/>
    <m/>
    <m/>
    <n v="720"/>
    <s v="A9036841 THRU A9037560"/>
    <n v="0"/>
    <s v="Toter Incorporated"/>
    <m/>
    <s v="CONTAINERS"/>
    <s v="TBA"/>
    <m/>
    <m/>
    <m/>
    <d v="2005-03-21T00:00:00"/>
    <d v="2005-03-21T00:00:00"/>
    <n v="52111002"/>
    <n v="700"/>
    <n v="14050"/>
    <n v="28592.639999999999"/>
    <n v="14056"/>
    <n v="28592.639999999999"/>
    <n v="0"/>
    <n v="0"/>
    <n v="54260"/>
    <n v="0"/>
    <s v="P"/>
    <n v="0"/>
    <m/>
    <s v=" "/>
    <s v="STL"/>
    <s v="YES"/>
    <s v="TBD"/>
    <d v="2024-10-09T00:00:00"/>
    <x v="19"/>
    <m/>
    <m/>
    <m/>
    <m/>
    <m/>
    <m/>
    <m/>
    <m/>
    <m/>
    <m/>
    <m/>
  </r>
  <r>
    <n v="2111"/>
    <n v="34364"/>
    <s v="P"/>
    <s v="Capitalized"/>
    <s v="96 GAL EVR II UNIV/NE0201 - SEAHAWK GRANITE"/>
    <m/>
    <m/>
    <n v="720"/>
    <s v="A9036121 THRU A9036840"/>
    <n v="0"/>
    <s v="Toter Incorporated"/>
    <m/>
    <s v="CONTAINERS"/>
    <s v="TBA"/>
    <m/>
    <m/>
    <m/>
    <d v="2005-03-18T00:00:00"/>
    <d v="2005-03-18T00:00:00"/>
    <n v="52111002"/>
    <n v="700"/>
    <n v="14050"/>
    <n v="28592.639999999999"/>
    <n v="14056"/>
    <n v="28592.639999999999"/>
    <n v="0"/>
    <n v="0"/>
    <n v="54260"/>
    <n v="0"/>
    <s v="P"/>
    <n v="0"/>
    <m/>
    <s v=" "/>
    <s v="STL"/>
    <s v="YES"/>
    <s v="TBD"/>
    <d v="2024-10-09T00:00:00"/>
    <x v="19"/>
    <m/>
    <m/>
    <m/>
    <m/>
    <m/>
    <m/>
    <m/>
    <m/>
    <m/>
    <m/>
    <m/>
  </r>
  <r>
    <n v="2111"/>
    <n v="34363"/>
    <s v="P"/>
    <s v="Capitalized"/>
    <s v="96 GAL EVR II UNIV/NE0201 - SEAHAWK GRANITE"/>
    <m/>
    <m/>
    <n v="720"/>
    <s v="A9033961 THRU A9034680"/>
    <n v="0"/>
    <s v="Toter Incorporated"/>
    <m/>
    <s v="CONTAINERS"/>
    <s v="TBA"/>
    <m/>
    <m/>
    <m/>
    <d v="2005-03-17T00:00:00"/>
    <d v="2005-03-17T00:00:00"/>
    <n v="52111002"/>
    <n v="700"/>
    <n v="14050"/>
    <n v="28592.639999999999"/>
    <n v="14056"/>
    <n v="28592.639999999999"/>
    <n v="0"/>
    <n v="0"/>
    <n v="54260"/>
    <n v="0"/>
    <s v="P"/>
    <n v="0"/>
    <m/>
    <s v=" "/>
    <s v="STL"/>
    <s v="YES"/>
    <s v="TBD"/>
    <d v="2024-10-09T00:00:00"/>
    <x v="19"/>
    <m/>
    <m/>
    <m/>
    <m/>
    <m/>
    <m/>
    <m/>
    <m/>
    <m/>
    <m/>
    <m/>
  </r>
  <r>
    <n v="2111"/>
    <n v="34362"/>
    <s v="P"/>
    <s v="Capitalized"/>
    <s v="96 GAL EVR II UNIV/NE0201 - SEAHAWK GRANITE"/>
    <m/>
    <m/>
    <n v="720"/>
    <s v="A9038281 THRU A9039000"/>
    <n v="0"/>
    <s v="Toter Incorporated"/>
    <m/>
    <s v="CONTAINERS"/>
    <s v="TBA"/>
    <m/>
    <m/>
    <m/>
    <d v="2005-03-22T00:00:00"/>
    <d v="2005-03-22T00:00:00"/>
    <n v="52111002"/>
    <n v="700"/>
    <n v="14050"/>
    <n v="28592.639999999999"/>
    <n v="14056"/>
    <n v="28592.639999999999"/>
    <n v="0"/>
    <n v="0"/>
    <n v="54260"/>
    <n v="0"/>
    <s v="P"/>
    <n v="0"/>
    <m/>
    <s v=" "/>
    <s v="STL"/>
    <s v="YES"/>
    <s v="TBD"/>
    <d v="2024-10-09T00:00:00"/>
    <x v="19"/>
    <m/>
    <m/>
    <m/>
    <m/>
    <m/>
    <m/>
    <m/>
    <m/>
    <m/>
    <m/>
    <m/>
  </r>
  <r>
    <n v="2111"/>
    <n v="34361"/>
    <s v="P"/>
    <s v="Capitalized"/>
    <s v="96 GAL EVR II UNIV/NE0201 - SEAHAWK GRANITE"/>
    <m/>
    <m/>
    <n v="720"/>
    <s v="A9035401 THRU A9036120"/>
    <n v="0"/>
    <s v="Toter Incorporated"/>
    <m/>
    <s v="CONTAINERS"/>
    <s v="TBA"/>
    <m/>
    <m/>
    <m/>
    <d v="2005-03-18T00:00:00"/>
    <d v="2005-03-18T00:00:00"/>
    <n v="52111002"/>
    <n v="700"/>
    <n v="14050"/>
    <n v="28592.639999999999"/>
    <n v="14056"/>
    <n v="28592.639999999999"/>
    <n v="0"/>
    <n v="0"/>
    <n v="54260"/>
    <n v="0"/>
    <s v="P"/>
    <n v="0"/>
    <m/>
    <s v=" "/>
    <s v="STL"/>
    <s v="YES"/>
    <s v="TBD"/>
    <d v="2024-10-09T00:00:00"/>
    <x v="19"/>
    <m/>
    <m/>
    <m/>
    <m/>
    <m/>
    <m/>
    <m/>
    <m/>
    <m/>
    <m/>
    <m/>
  </r>
  <r>
    <n v="2111"/>
    <n v="34360"/>
    <s v="P"/>
    <s v="Capitalized"/>
    <s v="96 GAL EVR II UNIV/NE0201 - SEAHAWK GRANITE"/>
    <m/>
    <m/>
    <n v="720"/>
    <s v="A9034681 THRU A9035400"/>
    <n v="0"/>
    <s v="Toter Incorporated"/>
    <m/>
    <s v="CONTAINERS"/>
    <s v="TBA"/>
    <m/>
    <m/>
    <m/>
    <d v="2005-03-18T00:00:00"/>
    <d v="2005-03-18T00:00:00"/>
    <n v="52111002"/>
    <n v="700"/>
    <n v="14050"/>
    <n v="28592.639999999999"/>
    <n v="14056"/>
    <n v="28592.639999999999"/>
    <n v="0"/>
    <n v="0"/>
    <n v="54260"/>
    <n v="0"/>
    <s v="P"/>
    <n v="0"/>
    <m/>
    <s v=" "/>
    <s v="STL"/>
    <s v="YES"/>
    <s v="TBD"/>
    <d v="2024-10-09T00:00:00"/>
    <x v="19"/>
    <m/>
    <m/>
    <m/>
    <m/>
    <m/>
    <m/>
    <m/>
    <m/>
    <m/>
    <m/>
    <m/>
  </r>
  <r>
    <n v="2111"/>
    <n v="34359"/>
    <s v="P"/>
    <s v="Capitalized"/>
    <s v="96 GAL EVR II UNIV/NE0201 - SEAHAWK GRANITE"/>
    <m/>
    <m/>
    <n v="720"/>
    <s v="A9032521 THRU A9033240"/>
    <n v="0"/>
    <s v="Toter Incorporated"/>
    <m/>
    <s v="CONTAINERS"/>
    <s v="TBA"/>
    <m/>
    <m/>
    <m/>
    <d v="2005-03-16T00:00:00"/>
    <d v="2005-03-16T00:00:00"/>
    <n v="52111002"/>
    <n v="700"/>
    <n v="14050"/>
    <n v="28592.639999999999"/>
    <n v="14056"/>
    <n v="28592.639999999999"/>
    <n v="0"/>
    <n v="0"/>
    <n v="54260"/>
    <n v="0"/>
    <s v="P"/>
    <n v="0"/>
    <m/>
    <s v=" "/>
    <s v="STL"/>
    <s v="YES"/>
    <s v="TBD"/>
    <d v="2024-10-09T00:00:00"/>
    <x v="19"/>
    <m/>
    <m/>
    <m/>
    <m/>
    <m/>
    <m/>
    <m/>
    <m/>
    <m/>
    <m/>
    <m/>
  </r>
  <r>
    <n v="2111"/>
    <n v="34358"/>
    <s v="P"/>
    <s v="Capitalized"/>
    <s v="96 GAL EVR II UNIV/NE0201 - SEAHAWK GRANITE"/>
    <m/>
    <m/>
    <n v="720"/>
    <s v="A9033241 THRU A9033960"/>
    <n v="0"/>
    <s v="Toter Incorporated"/>
    <m/>
    <s v="CONTAINERS"/>
    <s v="TBA"/>
    <m/>
    <m/>
    <m/>
    <d v="2005-03-16T00:00:00"/>
    <d v="2005-03-16T00:00:00"/>
    <n v="52111002"/>
    <n v="700"/>
    <n v="14050"/>
    <n v="28592.639999999999"/>
    <n v="14056"/>
    <n v="28592.639999999999"/>
    <n v="0"/>
    <n v="0"/>
    <n v="54260"/>
    <n v="0"/>
    <s v="P"/>
    <n v="0"/>
    <m/>
    <s v=" "/>
    <s v="STL"/>
    <s v="YES"/>
    <s v="TBD"/>
    <d v="2024-10-09T00:00:00"/>
    <x v="19"/>
    <m/>
    <m/>
    <m/>
    <m/>
    <m/>
    <m/>
    <m/>
    <m/>
    <m/>
    <m/>
    <m/>
  </r>
  <r>
    <n v="2111"/>
    <n v="34357"/>
    <s v="P"/>
    <s v="Capitalized"/>
    <s v="96 GAL EVR II UNIV/NE0201 - SEAHAWK GRANITE"/>
    <m/>
    <m/>
    <n v="660"/>
    <s v="A9048641 THRU A9049300"/>
    <n v="0"/>
    <s v="Toter Incorporated"/>
    <m/>
    <s v="CONTAINERS"/>
    <s v="TBA"/>
    <m/>
    <m/>
    <m/>
    <d v="2005-02-11T00:00:00"/>
    <d v="2005-02-11T00:00:00"/>
    <n v="52111002"/>
    <n v="700"/>
    <n v="14050"/>
    <n v="26209.919999999998"/>
    <n v="14056"/>
    <n v="26209.919999999998"/>
    <n v="0"/>
    <n v="0"/>
    <n v="54260"/>
    <n v="0"/>
    <s v="P"/>
    <n v="0"/>
    <m/>
    <s v=" "/>
    <s v="STL"/>
    <s v="YES"/>
    <s v="TBD"/>
    <d v="2024-10-09T00:00:00"/>
    <x v="19"/>
    <m/>
    <m/>
    <m/>
    <m/>
    <m/>
    <m/>
    <m/>
    <m/>
    <m/>
    <m/>
    <m/>
  </r>
  <r>
    <n v="2111"/>
    <n v="34356"/>
    <s v="P"/>
    <s v="Capitalized"/>
    <s v="96 GAL EVR II UNIV/NE0201 - SEAHAWK GRANITE"/>
    <m/>
    <m/>
    <n v="660"/>
    <s v="A9047981 THRU A9048640"/>
    <n v="0"/>
    <s v="Toter Incorporated"/>
    <m/>
    <s v="CONTAINERS"/>
    <s v="TBA"/>
    <m/>
    <m/>
    <m/>
    <d v="2005-02-11T00:00:00"/>
    <d v="2005-02-11T00:00:00"/>
    <n v="52111002"/>
    <n v="700"/>
    <n v="14050"/>
    <n v="26209.919999999998"/>
    <n v="14056"/>
    <n v="26209.919999999998"/>
    <n v="0"/>
    <n v="0"/>
    <n v="54260"/>
    <n v="0"/>
    <s v="P"/>
    <n v="0"/>
    <m/>
    <s v=" "/>
    <s v="STL"/>
    <s v="YES"/>
    <s v="TBD"/>
    <d v="2024-10-09T00:00:00"/>
    <x v="19"/>
    <m/>
    <m/>
    <m/>
    <m/>
    <m/>
    <m/>
    <m/>
    <m/>
    <m/>
    <m/>
    <m/>
  </r>
  <r>
    <n v="2111"/>
    <n v="34355"/>
    <s v="P"/>
    <s v="Capitalized"/>
    <s v="96 GAL EVR II UNIV/NE0201 - SEAHAWK GRANITE"/>
    <m/>
    <m/>
    <n v="660"/>
    <s v="A9049301 THRU A9049960"/>
    <n v="0"/>
    <s v="Toter Incorporated"/>
    <m/>
    <s v="CONTAINERS"/>
    <s v="TBA"/>
    <m/>
    <m/>
    <m/>
    <d v="2005-02-14T00:00:00"/>
    <d v="2005-02-14T00:00:00"/>
    <n v="52111002"/>
    <n v="700"/>
    <n v="14050"/>
    <n v="26209.919999999998"/>
    <n v="14056"/>
    <n v="26209.919999999998"/>
    <n v="0"/>
    <n v="0"/>
    <n v="54260"/>
    <n v="0"/>
    <s v="P"/>
    <n v="0"/>
    <m/>
    <s v=" "/>
    <s v="STL"/>
    <s v="YES"/>
    <s v="TBD"/>
    <d v="2024-10-09T00:00:00"/>
    <x v="19"/>
    <m/>
    <m/>
    <m/>
    <m/>
    <m/>
    <m/>
    <m/>
    <m/>
    <m/>
    <m/>
    <m/>
  </r>
  <r>
    <n v="2111"/>
    <n v="32737"/>
    <s v="P"/>
    <s v="Capitalized"/>
    <s v="95 Gal Univ Cart - Assy 045u - Drk Aqua Blue"/>
    <m/>
    <m/>
    <n v="432"/>
    <s v="267713 THRU 268144"/>
    <n v="0"/>
    <s v="Rehrig Pacific Company"/>
    <m/>
    <s v="CONTAINERS"/>
    <s v="TBA"/>
    <m/>
    <m/>
    <m/>
    <d v="2005-03-28T00:00:00"/>
    <d v="2005-03-28T00:00:00"/>
    <n v="52111004"/>
    <n v="700"/>
    <n v="14050"/>
    <n v="19270.66"/>
    <n v="14056"/>
    <n v="19270.66"/>
    <n v="0"/>
    <n v="0"/>
    <n v="54260"/>
    <n v="0"/>
    <s v="P"/>
    <n v="0"/>
    <m/>
    <s v=" "/>
    <s v="STL"/>
    <s v="YES"/>
    <s v="TBD"/>
    <d v="2024-10-09T00:00:00"/>
    <x v="19"/>
    <m/>
    <m/>
    <m/>
    <m/>
    <m/>
    <m/>
    <m/>
    <m/>
    <m/>
    <m/>
    <m/>
  </r>
  <r>
    <n v="2111"/>
    <n v="32736"/>
    <s v="P"/>
    <s v="Capitalized"/>
    <s v="95 Gal Univ Cart - Assy 045u - Drk Aqua Blue"/>
    <m/>
    <m/>
    <n v="432"/>
    <s v="267281 THRU 267712"/>
    <n v="0"/>
    <s v="Rehrig Pacific Company"/>
    <m/>
    <s v="CONTAINERS"/>
    <s v="TBA"/>
    <m/>
    <m/>
    <m/>
    <d v="2005-03-28T00:00:00"/>
    <d v="2005-03-28T00:00:00"/>
    <n v="52111004"/>
    <n v="700"/>
    <n v="14050"/>
    <n v="19270.66"/>
    <n v="14056"/>
    <n v="19270.66"/>
    <n v="0"/>
    <n v="0"/>
    <n v="54260"/>
    <n v="0"/>
    <s v="P"/>
    <n v="0"/>
    <m/>
    <s v=" "/>
    <s v="STL"/>
    <s v="YES"/>
    <s v="TBD"/>
    <d v="2024-10-09T00:00:00"/>
    <x v="19"/>
    <m/>
    <m/>
    <m/>
    <m/>
    <m/>
    <m/>
    <m/>
    <m/>
    <m/>
    <m/>
    <m/>
  </r>
  <r>
    <n v="2111"/>
    <n v="32735"/>
    <s v="P"/>
    <s v="Capitalized"/>
    <s v="1 YD Frontload Containers, Coffin Style-Green"/>
    <m/>
    <m/>
    <n v="12"/>
    <m/>
    <n v="0"/>
    <s v="Enterprise Sales, Inc"/>
    <m/>
    <s v="CONTAINERS"/>
    <s v="TBA"/>
    <m/>
    <s v="1 YD"/>
    <s v="FEL/REL/SL Metal"/>
    <d v="2005-03-28T00:00:00"/>
    <d v="2005-03-28T00:00:00"/>
    <n v="52111005"/>
    <n v="1200"/>
    <n v="14050"/>
    <n v="5379.07"/>
    <n v="14056"/>
    <n v="5379.07"/>
    <n v="0"/>
    <n v="0"/>
    <n v="54260"/>
    <n v="0"/>
    <s v="P"/>
    <n v="0"/>
    <m/>
    <s v=" "/>
    <s v="STL"/>
    <s v="YES"/>
    <s v="TBD"/>
    <d v="2024-10-09T00:00:00"/>
    <x v="19"/>
    <m/>
    <m/>
    <m/>
    <m/>
    <m/>
    <m/>
    <m/>
    <m/>
    <m/>
    <m/>
    <m/>
  </r>
  <r>
    <n v="2111"/>
    <n v="32653"/>
    <n v="30478"/>
    <s v="Capitalized"/>
    <s v="Sales Tax-Used 2003 Helm Trailer Chassis &amp; Cont."/>
    <m/>
    <m/>
    <n v="1"/>
    <s v="1H9CC534H3T347060"/>
    <n v="2003"/>
    <m/>
    <m/>
    <s v="TRUCKS AND TRAILERS"/>
    <s v="TBA"/>
    <s v="Non-Rolling Stock"/>
    <m/>
    <m/>
    <d v="2005-03-24T00:00:00"/>
    <d v="2005-03-24T00:00:00"/>
    <s v="052111011C"/>
    <n v="1000"/>
    <n v="14040"/>
    <n v="3036"/>
    <n v="14046"/>
    <n v="3036"/>
    <n v="0"/>
    <n v="0"/>
    <n v="51260"/>
    <n v="0"/>
    <s v="P"/>
    <n v="0"/>
    <m/>
    <s v=" "/>
    <s v="STL"/>
    <s v="YES"/>
    <s v="TBD"/>
    <d v="2024-10-09T00:00:00"/>
    <x v="19"/>
    <m/>
    <m/>
    <m/>
    <m/>
    <m/>
    <m/>
    <m/>
    <m/>
    <m/>
    <m/>
    <m/>
  </r>
  <r>
    <n v="2111"/>
    <n v="32652"/>
    <n v="30477"/>
    <s v="Capitalized"/>
    <s v="Sales Tax-Used 2003 Helm Trailer Chassis &amp; Cont."/>
    <m/>
    <m/>
    <n v="1"/>
    <s v="1H9CCS3433T347059"/>
    <n v="2003"/>
    <m/>
    <m/>
    <s v="TRUCKS AND TRAILERS"/>
    <s v="TBA"/>
    <s v="Non-Rolling Stock"/>
    <m/>
    <m/>
    <d v="2005-03-24T00:00:00"/>
    <d v="2005-03-24T00:00:00"/>
    <s v="052111011B"/>
    <n v="1000"/>
    <n v="14040"/>
    <n v="3124"/>
    <n v="14046"/>
    <n v="3124"/>
    <n v="0"/>
    <n v="0"/>
    <n v="51260"/>
    <n v="0"/>
    <s v="P"/>
    <n v="0"/>
    <m/>
    <s v=" "/>
    <s v="STL"/>
    <s v="YES"/>
    <s v="TBD"/>
    <d v="2024-10-09T00:00:00"/>
    <x v="19"/>
    <m/>
    <m/>
    <m/>
    <m/>
    <m/>
    <m/>
    <m/>
    <m/>
    <m/>
    <m/>
    <m/>
  </r>
  <r>
    <n v="2111"/>
    <n v="32126"/>
    <s v="P"/>
    <s v="Capitalized"/>
    <s v="(1) HP LaserJet 4350DTN Printer for Fife"/>
    <m/>
    <m/>
    <n v="1"/>
    <s v="USBXM18373"/>
    <n v="0"/>
    <s v="Quest"/>
    <m/>
    <s v="HARDWARE AND SOFTWARE"/>
    <s v="TBA"/>
    <m/>
    <m/>
    <m/>
    <d v="2005-03-01T00:00:00"/>
    <d v="2005-03-01T00:00:00"/>
    <m/>
    <n v="300"/>
    <n v="14110"/>
    <n v="2085"/>
    <n v="14116"/>
    <n v="2085"/>
    <n v="0"/>
    <n v="0"/>
    <n v="70260"/>
    <n v="0"/>
    <s v="P"/>
    <n v="0"/>
    <m/>
    <s v=" "/>
    <s v="STL"/>
    <s v="YES"/>
    <s v="TBD"/>
    <d v="2024-10-09T00:00:00"/>
    <x v="19"/>
    <m/>
    <m/>
    <m/>
    <m/>
    <m/>
    <m/>
    <m/>
    <m/>
    <m/>
    <m/>
    <m/>
  </r>
  <r>
    <n v="2111"/>
    <n v="31918"/>
    <s v="P"/>
    <s v="Capitalized"/>
    <s v="96 GAL EVR II UNIV/NE0201 - SEAHAWK GRANITE"/>
    <m/>
    <m/>
    <n v="660"/>
    <s v="A9026461 THRU A9027120"/>
    <n v="0"/>
    <s v="Toter Incorporated"/>
    <m/>
    <s v="CONTAINERS"/>
    <s v="TBA"/>
    <m/>
    <m/>
    <m/>
    <d v="2005-02-03T00:00:00"/>
    <d v="2005-02-03T00:00:00"/>
    <n v="52111002"/>
    <n v="700"/>
    <n v="14050"/>
    <n v="26209.919999999998"/>
    <n v="14056"/>
    <n v="26209.919999999998"/>
    <n v="0"/>
    <n v="0"/>
    <n v="54260"/>
    <n v="0"/>
    <s v="P"/>
    <n v="0"/>
    <m/>
    <s v=" "/>
    <s v="STL"/>
    <s v="YES"/>
    <s v="TBD"/>
    <d v="2024-10-09T00:00:00"/>
    <x v="19"/>
    <m/>
    <m/>
    <m/>
    <m/>
    <m/>
    <m/>
    <m/>
    <m/>
    <m/>
    <m/>
    <m/>
  </r>
  <r>
    <n v="2111"/>
    <n v="31917"/>
    <s v="P"/>
    <s v="Capitalized"/>
    <s v="96 GAL EVR II UNIV/NE0201 - SEAHAWK GRANITE"/>
    <m/>
    <m/>
    <n v="660"/>
    <s v="A9025801 THRU A9026460"/>
    <n v="0"/>
    <s v="Toter Incorporated"/>
    <m/>
    <s v="CONTAINERS"/>
    <s v="TBA"/>
    <m/>
    <m/>
    <m/>
    <d v="2005-02-03T00:00:00"/>
    <d v="2005-02-03T00:00:00"/>
    <n v="52111002"/>
    <n v="700"/>
    <n v="14050"/>
    <n v="26209.919999999998"/>
    <n v="14056"/>
    <n v="26209.919999999998"/>
    <n v="0"/>
    <n v="0"/>
    <n v="54260"/>
    <n v="0"/>
    <s v="P"/>
    <n v="0"/>
    <m/>
    <s v=" "/>
    <s v="STL"/>
    <s v="YES"/>
    <s v="TBD"/>
    <d v="2024-10-09T00:00:00"/>
    <x v="19"/>
    <m/>
    <m/>
    <m/>
    <m/>
    <m/>
    <m/>
    <m/>
    <m/>
    <m/>
    <m/>
    <m/>
  </r>
  <r>
    <n v="2111"/>
    <n v="31916"/>
    <s v="P"/>
    <s v="Capitalized"/>
    <s v="96 GAL EVR II UNIV/NE0201 - SEAHAWK GRANITE"/>
    <m/>
    <m/>
    <n v="660"/>
    <s v="A9027121 THRU A9027780"/>
    <n v="0"/>
    <s v="Toter Incorporated"/>
    <m/>
    <s v="CONTAINERS"/>
    <s v="TBA"/>
    <m/>
    <m/>
    <m/>
    <d v="2005-02-04T00:00:00"/>
    <d v="2005-02-04T00:00:00"/>
    <n v="52111002"/>
    <n v="700"/>
    <n v="14050"/>
    <n v="26209.919999999998"/>
    <n v="14056"/>
    <n v="26209.919999999998"/>
    <n v="0"/>
    <n v="0"/>
    <n v="54260"/>
    <n v="0"/>
    <s v="P"/>
    <n v="0"/>
    <m/>
    <s v=" "/>
    <s v="STL"/>
    <s v="YES"/>
    <s v="TBD"/>
    <d v="2024-10-09T00:00:00"/>
    <x v="19"/>
    <m/>
    <m/>
    <m/>
    <m/>
    <m/>
    <m/>
    <m/>
    <m/>
    <m/>
    <m/>
    <m/>
  </r>
  <r>
    <n v="2111"/>
    <n v="31915"/>
    <s v="P"/>
    <s v="Capitalized"/>
    <s v="96 GAL EVR II UNIV/NE0201 - SEAHAWK GRANITE"/>
    <m/>
    <m/>
    <n v="660"/>
    <s v="A9027781 THRU A9028440"/>
    <n v="0"/>
    <s v="Toter Incorporated"/>
    <m/>
    <s v="CONTAINERS"/>
    <s v="TBA"/>
    <m/>
    <m/>
    <m/>
    <d v="2005-02-04T00:00:00"/>
    <d v="2005-02-04T00:00:00"/>
    <n v="52111002"/>
    <n v="700"/>
    <n v="14050"/>
    <n v="26209.919999999998"/>
    <n v="14056"/>
    <n v="26209.919999999998"/>
    <n v="0"/>
    <n v="0"/>
    <n v="54260"/>
    <n v="0"/>
    <s v="P"/>
    <n v="0"/>
    <m/>
    <s v=" "/>
    <s v="STL"/>
    <s v="YES"/>
    <s v="TBD"/>
    <d v="2024-10-09T00:00:00"/>
    <x v="19"/>
    <m/>
    <m/>
    <m/>
    <m/>
    <m/>
    <m/>
    <m/>
    <m/>
    <m/>
    <m/>
    <m/>
  </r>
  <r>
    <n v="2111"/>
    <n v="31914"/>
    <s v="P"/>
    <s v="Capitalized"/>
    <s v="96 GAL EVR II UNIV/NE0201 - SEAHAWK GRANITE"/>
    <m/>
    <m/>
    <n v="660"/>
    <s v="A9029761 THRU A9030420"/>
    <n v="0"/>
    <s v="Toter Incorporated"/>
    <m/>
    <s v="CONTAINERS"/>
    <s v="TBA"/>
    <m/>
    <m/>
    <m/>
    <d v="2005-02-08T00:00:00"/>
    <d v="2005-02-08T00:00:00"/>
    <n v="52111002"/>
    <n v="700"/>
    <n v="14050"/>
    <n v="26209.919999999998"/>
    <n v="14056"/>
    <n v="26209.919999999998"/>
    <n v="0"/>
    <n v="0"/>
    <n v="54260"/>
    <n v="0"/>
    <s v="P"/>
    <n v="0"/>
    <m/>
    <s v=" "/>
    <s v="STL"/>
    <s v="YES"/>
    <s v="TBD"/>
    <d v="2024-10-09T00:00:00"/>
    <x v="19"/>
    <m/>
    <m/>
    <m/>
    <m/>
    <m/>
    <m/>
    <m/>
    <m/>
    <m/>
    <m/>
    <m/>
  </r>
  <r>
    <n v="2111"/>
    <n v="31913"/>
    <s v="P"/>
    <s v="Capitalized"/>
    <s v="96 GAL EVR II UNIV/NE0201 - SEAHAWK GRANITE"/>
    <m/>
    <m/>
    <n v="660"/>
    <s v="A9029101 THRU A9029760"/>
    <n v="0"/>
    <s v="Toter Incorporated"/>
    <m/>
    <s v="CONTAINERS"/>
    <s v="TBA"/>
    <m/>
    <m/>
    <m/>
    <d v="2005-02-08T00:00:00"/>
    <d v="2005-02-08T00:00:00"/>
    <n v="52111002"/>
    <n v="700"/>
    <n v="14050"/>
    <n v="26209.919999999998"/>
    <n v="14056"/>
    <n v="26209.919999999998"/>
    <n v="0"/>
    <n v="0"/>
    <n v="54260"/>
    <n v="0"/>
    <s v="P"/>
    <n v="0"/>
    <m/>
    <s v=" "/>
    <s v="STL"/>
    <s v="YES"/>
    <s v="TBD"/>
    <d v="2024-10-09T00:00:00"/>
    <x v="19"/>
    <m/>
    <m/>
    <m/>
    <m/>
    <m/>
    <m/>
    <m/>
    <m/>
    <m/>
    <m/>
    <m/>
  </r>
  <r>
    <n v="2111"/>
    <n v="31912"/>
    <s v="P"/>
    <s v="Capitalized"/>
    <s v="96 GAL EVR II UNIV/NE0201 - SEAHAWK GRANITE"/>
    <m/>
    <m/>
    <n v="660"/>
    <s v="A9028441 THRU A9029100"/>
    <n v="0"/>
    <s v="Toter Incorporated"/>
    <m/>
    <s v="CONTAINERS"/>
    <s v="TBA"/>
    <m/>
    <m/>
    <m/>
    <d v="2005-02-07T00:00:00"/>
    <d v="2005-02-07T00:00:00"/>
    <n v="52111002"/>
    <n v="700"/>
    <n v="14050"/>
    <n v="26209.919999999998"/>
    <n v="14056"/>
    <n v="26209.919999999998"/>
    <n v="0"/>
    <n v="0"/>
    <n v="54260"/>
    <n v="0"/>
    <s v="P"/>
    <n v="0"/>
    <m/>
    <s v=" "/>
    <s v="STL"/>
    <s v="YES"/>
    <s v="TBD"/>
    <d v="2024-10-09T00:00:00"/>
    <x v="19"/>
    <m/>
    <m/>
    <m/>
    <m/>
    <m/>
    <m/>
    <m/>
    <m/>
    <m/>
    <m/>
    <m/>
  </r>
  <r>
    <n v="2111"/>
    <n v="31911"/>
    <s v="P"/>
    <s v="Capitalized"/>
    <s v="96 GAL EVR II UNIV/NE0201 - SEAHAWK GRANITE"/>
    <m/>
    <m/>
    <n v="660"/>
    <s v="A9030421 THRU A9031080"/>
    <n v="0"/>
    <s v="Toter Incorporated"/>
    <m/>
    <s v="CONTAINERS"/>
    <s v="TBA"/>
    <m/>
    <m/>
    <m/>
    <d v="2005-02-09T00:00:00"/>
    <d v="2005-02-09T00:00:00"/>
    <n v="52111002"/>
    <n v="700"/>
    <n v="14050"/>
    <n v="26209.919999999998"/>
    <n v="14056"/>
    <n v="26209.919999999998"/>
    <n v="0"/>
    <n v="0"/>
    <n v="54260"/>
    <n v="0"/>
    <s v="P"/>
    <n v="0"/>
    <m/>
    <s v=" "/>
    <s v="STL"/>
    <s v="YES"/>
    <s v="TBD"/>
    <d v="2024-10-09T00:00:00"/>
    <x v="19"/>
    <m/>
    <m/>
    <m/>
    <m/>
    <m/>
    <m/>
    <m/>
    <m/>
    <m/>
    <m/>
    <m/>
  </r>
  <r>
    <n v="2111"/>
    <n v="31406"/>
    <s v="P"/>
    <s v="Capitalized"/>
    <s v="96 GAL EVR II UNIV/NE0201 - SEAHAWK GRANITE"/>
    <m/>
    <m/>
    <n v="660"/>
    <s v="A9020501 THRU A9021160"/>
    <n v="0"/>
    <s v="Toter Incorporated"/>
    <m/>
    <s v="CONTAINERS"/>
    <s v="TBA"/>
    <m/>
    <m/>
    <m/>
    <d v="2005-01-12T00:00:00"/>
    <d v="2005-01-12T00:00:00"/>
    <n v="52111002"/>
    <n v="700"/>
    <n v="14050"/>
    <n v="26209.919999999998"/>
    <n v="14056"/>
    <n v="26209.919999999998"/>
    <n v="0"/>
    <n v="0"/>
    <n v="54260"/>
    <n v="0"/>
    <s v="P"/>
    <n v="0"/>
    <m/>
    <s v=" "/>
    <s v="STL"/>
    <s v="YES"/>
    <s v="TBD"/>
    <d v="2024-10-09T00:00:00"/>
    <x v="19"/>
    <m/>
    <m/>
    <m/>
    <m/>
    <m/>
    <m/>
    <m/>
    <m/>
    <m/>
    <m/>
    <m/>
  </r>
  <r>
    <n v="2111"/>
    <n v="31405"/>
    <s v="P"/>
    <s v="Capitalized"/>
    <s v="96 GAL EVR II UNIV/NE0201 - SEAHAWK GRANITE"/>
    <m/>
    <m/>
    <n v="660"/>
    <s v="A9021161 THRU A9021820"/>
    <n v="0"/>
    <s v="Toter Incorporated"/>
    <m/>
    <s v="CONTAINERS"/>
    <s v="TBA"/>
    <m/>
    <m/>
    <m/>
    <d v="2005-01-12T00:00:00"/>
    <d v="2005-01-12T00:00:00"/>
    <n v="52111002"/>
    <n v="700"/>
    <n v="14050"/>
    <n v="26209.919999999998"/>
    <n v="14056"/>
    <n v="26209.919999999998"/>
    <n v="0"/>
    <n v="0"/>
    <n v="54260"/>
    <n v="0"/>
    <s v="P"/>
    <n v="0"/>
    <m/>
    <s v=" "/>
    <s v="STL"/>
    <s v="YES"/>
    <s v="TBD"/>
    <d v="2024-10-09T00:00:00"/>
    <x v="19"/>
    <m/>
    <m/>
    <m/>
    <m/>
    <m/>
    <m/>
    <m/>
    <m/>
    <m/>
    <m/>
    <m/>
  </r>
  <r>
    <n v="2111"/>
    <n v="31404"/>
    <s v="P"/>
    <s v="Capitalized"/>
    <s v="96 GAL EVR II UNIV/NE0201 - SEAHAWK GRANITE"/>
    <m/>
    <m/>
    <n v="660"/>
    <s v="A9025141 THRU A9025800"/>
    <n v="0"/>
    <s v="Toter Incorporated"/>
    <m/>
    <s v="CONTAINERS"/>
    <s v="TBA"/>
    <m/>
    <m/>
    <m/>
    <d v="2005-01-18T00:00:00"/>
    <d v="2005-01-18T00:00:00"/>
    <n v="52111002"/>
    <n v="700"/>
    <n v="14050"/>
    <n v="26209.919999999998"/>
    <n v="14056"/>
    <n v="26209.919999999998"/>
    <n v="0"/>
    <n v="0"/>
    <n v="54260"/>
    <n v="0"/>
    <s v="P"/>
    <n v="0"/>
    <m/>
    <s v=" "/>
    <s v="STL"/>
    <s v="YES"/>
    <s v="TBD"/>
    <d v="2024-10-09T00:00:00"/>
    <x v="19"/>
    <m/>
    <m/>
    <m/>
    <m/>
    <m/>
    <m/>
    <m/>
    <m/>
    <m/>
    <m/>
    <m/>
  </r>
  <r>
    <n v="2111"/>
    <n v="31403"/>
    <s v="P"/>
    <s v="Capitalized"/>
    <s v="96 GAL EVR II UNIV/NE0201 - SEAHAWK GRANITE"/>
    <m/>
    <m/>
    <n v="660"/>
    <s v="A9023821 THRU A9024480"/>
    <n v="0"/>
    <s v="Toter Incorporated"/>
    <m/>
    <s v="CONTAINERS"/>
    <s v="TBA"/>
    <m/>
    <m/>
    <m/>
    <d v="2005-01-17T00:00:00"/>
    <d v="2005-01-17T00:00:00"/>
    <n v="52111002"/>
    <n v="700"/>
    <n v="14050"/>
    <n v="26209.919999999998"/>
    <n v="14056"/>
    <n v="26209.919999999998"/>
    <n v="0"/>
    <n v="0"/>
    <n v="54260"/>
    <n v="0"/>
    <s v="P"/>
    <n v="0"/>
    <m/>
    <s v=" "/>
    <s v="STL"/>
    <s v="YES"/>
    <s v="TBD"/>
    <d v="2024-10-09T00:00:00"/>
    <x v="19"/>
    <m/>
    <m/>
    <m/>
    <m/>
    <m/>
    <m/>
    <m/>
    <m/>
    <m/>
    <m/>
    <m/>
  </r>
  <r>
    <n v="2111"/>
    <n v="31402"/>
    <s v="P"/>
    <s v="Capitalized"/>
    <s v="96 GAL EVR II UNIV/NE0201 - SEAHAWK GRANITE"/>
    <m/>
    <m/>
    <n v="660"/>
    <s v="A9023161 THRU A9023820"/>
    <n v="0"/>
    <s v="Toter Incorporated"/>
    <m/>
    <s v="CONTAINERS"/>
    <s v="TBA"/>
    <m/>
    <m/>
    <m/>
    <d v="2005-01-17T00:00:00"/>
    <d v="2005-01-17T00:00:00"/>
    <n v="52111002"/>
    <n v="700"/>
    <n v="14050"/>
    <n v="26209.919999999998"/>
    <n v="14056"/>
    <n v="26209.919999999998"/>
    <n v="0"/>
    <n v="0"/>
    <n v="54260"/>
    <n v="0"/>
    <s v="P"/>
    <n v="0"/>
    <m/>
    <s v=" "/>
    <s v="STL"/>
    <s v="YES"/>
    <s v="TBD"/>
    <d v="2024-10-09T00:00:00"/>
    <x v="19"/>
    <m/>
    <m/>
    <m/>
    <m/>
    <m/>
    <m/>
    <m/>
    <m/>
    <m/>
    <m/>
    <m/>
  </r>
  <r>
    <n v="2111"/>
    <n v="31401"/>
    <s v="P"/>
    <s v="Capitalized"/>
    <s v="96 GAL EVR II UNIV/NE0201 - SEAHAWK GRANITE"/>
    <m/>
    <m/>
    <n v="660"/>
    <s v="A9024481 THRU A9025140"/>
    <n v="0"/>
    <s v="Toter Incorporated"/>
    <m/>
    <s v="CONTAINERS"/>
    <s v="TBA"/>
    <m/>
    <m/>
    <m/>
    <d v="2005-01-18T00:00:00"/>
    <d v="2005-01-18T00:00:00"/>
    <n v="52111002"/>
    <n v="700"/>
    <n v="14050"/>
    <n v="26209.919999999998"/>
    <n v="14056"/>
    <n v="26209.919999999998"/>
    <n v="0"/>
    <n v="0"/>
    <n v="54260"/>
    <n v="0"/>
    <s v="P"/>
    <n v="0"/>
    <m/>
    <s v=" "/>
    <s v="STL"/>
    <s v="YES"/>
    <s v="TBD"/>
    <d v="2024-10-09T00:00:00"/>
    <x v="19"/>
    <m/>
    <m/>
    <m/>
    <m/>
    <m/>
    <m/>
    <m/>
    <m/>
    <m/>
    <m/>
    <m/>
  </r>
  <r>
    <n v="2111"/>
    <n v="31400"/>
    <s v="P"/>
    <s v="Capitalized"/>
    <s v="96 GAL EVR II UNIV/NE0201 - SEAHAWK GRANITE"/>
    <m/>
    <m/>
    <n v="660"/>
    <s v="A9022501 THRU A9023160"/>
    <n v="0"/>
    <s v="Toter Incorporated"/>
    <m/>
    <s v="CONTAINERS"/>
    <s v="TBA"/>
    <m/>
    <m/>
    <m/>
    <d v="2005-01-14T00:00:00"/>
    <d v="2005-01-14T00:00:00"/>
    <n v="52111002"/>
    <n v="700"/>
    <n v="14050"/>
    <n v="26209.919999999998"/>
    <n v="14056"/>
    <n v="26209.919999999998"/>
    <n v="0"/>
    <n v="0"/>
    <n v="54260"/>
    <n v="0"/>
    <s v="P"/>
    <n v="0"/>
    <m/>
    <s v=" "/>
    <s v="STL"/>
    <s v="YES"/>
    <s v="TBD"/>
    <d v="2024-10-09T00:00:00"/>
    <x v="19"/>
    <m/>
    <m/>
    <m/>
    <m/>
    <m/>
    <m/>
    <m/>
    <m/>
    <m/>
    <m/>
    <m/>
  </r>
  <r>
    <n v="2111"/>
    <n v="31399"/>
    <s v="P"/>
    <s v="Capitalized"/>
    <s v="96 GAL EVR II UNIV/NE0201 - SEAHAWK GRANITE"/>
    <m/>
    <m/>
    <n v="660"/>
    <s v="A9021821 THRU A9022480"/>
    <n v="0"/>
    <s v="Toter Incorporated"/>
    <m/>
    <s v="CONTAINERS"/>
    <s v="TBA"/>
    <m/>
    <m/>
    <m/>
    <d v="2005-01-13T00:00:00"/>
    <d v="2005-01-13T00:00:00"/>
    <n v="52111002"/>
    <n v="700"/>
    <n v="14050"/>
    <n v="26209.919999999998"/>
    <n v="14056"/>
    <n v="26209.919999999998"/>
    <n v="0"/>
    <n v="0"/>
    <n v="54260"/>
    <n v="0"/>
    <s v="P"/>
    <n v="0"/>
    <m/>
    <s v=" "/>
    <s v="STL"/>
    <s v="YES"/>
    <s v="TBD"/>
    <d v="2024-10-09T00:00:00"/>
    <x v="19"/>
    <m/>
    <m/>
    <m/>
    <m/>
    <m/>
    <m/>
    <m/>
    <m/>
    <m/>
    <m/>
    <m/>
  </r>
  <r>
    <n v="2111"/>
    <n v="31398"/>
    <s v="P"/>
    <s v="Capitalized"/>
    <s v="96 GAL EVR II UNIV/NE0201 - SEAHAWK GRANITE"/>
    <m/>
    <m/>
    <n v="20"/>
    <s v="A9022481 THRU A9022500"/>
    <n v="0"/>
    <s v="Toter Incorporated"/>
    <m/>
    <s v="CONTAINERS"/>
    <s v="TBA"/>
    <m/>
    <m/>
    <m/>
    <d v="2005-01-26T00:00:00"/>
    <d v="2005-01-26T00:00:00"/>
    <n v="52111002"/>
    <n v="700"/>
    <n v="14050"/>
    <n v="794.24"/>
    <n v="14056"/>
    <n v="794.24"/>
    <n v="0"/>
    <n v="0"/>
    <n v="54260"/>
    <n v="0"/>
    <s v="P"/>
    <n v="0"/>
    <m/>
    <s v=" "/>
    <s v="STL"/>
    <s v="YES"/>
    <s v="TBD"/>
    <d v="2024-10-09T00:00:00"/>
    <x v="19"/>
    <m/>
    <m/>
    <m/>
    <m/>
    <m/>
    <m/>
    <m/>
    <m/>
    <m/>
    <m/>
    <m/>
  </r>
  <r>
    <n v="2111"/>
    <n v="31397"/>
    <s v="P"/>
    <s v="Capitalized"/>
    <s v="96 GAL EVR II UNIV/NE0201 - SEAHAWK GRANITE"/>
    <m/>
    <m/>
    <n v="660"/>
    <s v="A9046001 THRU A9046660"/>
    <n v="0"/>
    <s v="Toter Incorporated"/>
    <m/>
    <s v="CONTAINERS"/>
    <s v="TBA"/>
    <m/>
    <m/>
    <m/>
    <d v="2005-02-10T00:00:00"/>
    <d v="2005-02-10T00:00:00"/>
    <n v="52111002"/>
    <n v="700"/>
    <n v="14050"/>
    <n v="26209.919999999998"/>
    <n v="14056"/>
    <n v="26209.919999999998"/>
    <n v="0"/>
    <n v="0"/>
    <n v="54260"/>
    <n v="0"/>
    <s v="P"/>
    <n v="0"/>
    <m/>
    <s v=" "/>
    <s v="STL"/>
    <s v="YES"/>
    <s v="TBD"/>
    <d v="2024-10-09T00:00:00"/>
    <x v="19"/>
    <m/>
    <m/>
    <m/>
    <m/>
    <m/>
    <m/>
    <m/>
    <m/>
    <m/>
    <m/>
    <m/>
  </r>
  <r>
    <n v="2111"/>
    <n v="31396"/>
    <s v="P"/>
    <s v="Capitalized"/>
    <s v="96 GAL EVR II UNIV/NE0201 - SEAHAWK GRANITE"/>
    <m/>
    <m/>
    <n v="660"/>
    <s v="A9046661 THRU A9047320"/>
    <n v="0"/>
    <s v="Toter Incorporated"/>
    <m/>
    <s v="CONTAINERS"/>
    <s v="TBA"/>
    <m/>
    <m/>
    <m/>
    <d v="2005-02-10T00:00:00"/>
    <d v="2005-02-10T00:00:00"/>
    <n v="52111002"/>
    <n v="700"/>
    <n v="14050"/>
    <n v="26209.919999999998"/>
    <n v="14056"/>
    <n v="26209.919999999998"/>
    <n v="0"/>
    <n v="0"/>
    <n v="54260"/>
    <n v="0"/>
    <s v="P"/>
    <n v="0"/>
    <m/>
    <s v=" "/>
    <s v="STL"/>
    <s v="YES"/>
    <s v="TBD"/>
    <d v="2024-10-09T00:00:00"/>
    <x v="19"/>
    <m/>
    <m/>
    <m/>
    <m/>
    <m/>
    <m/>
    <m/>
    <m/>
    <m/>
    <m/>
    <m/>
  </r>
  <r>
    <n v="2111"/>
    <n v="31395"/>
    <s v="P"/>
    <s v="Capitalized"/>
    <s v="96 GAL EVR II UNIV/NE0201 - SEAHAWK GRANITE"/>
    <m/>
    <m/>
    <n v="660"/>
    <s v="A9047321 THRU A9047980"/>
    <n v="0"/>
    <s v="Toter Incorporated"/>
    <m/>
    <s v="CONTAINERS"/>
    <s v="TBA"/>
    <m/>
    <m/>
    <m/>
    <d v="2005-02-10T00:00:00"/>
    <d v="2005-02-10T00:00:00"/>
    <n v="52111002"/>
    <n v="700"/>
    <n v="14050"/>
    <n v="26209.919999999998"/>
    <n v="14056"/>
    <n v="26209.919999999998"/>
    <n v="0"/>
    <n v="0"/>
    <n v="54260"/>
    <n v="0"/>
    <s v="P"/>
    <n v="0"/>
    <m/>
    <s v=" "/>
    <s v="STL"/>
    <s v="YES"/>
    <s v="TBD"/>
    <d v="2024-10-09T00:00:00"/>
    <x v="19"/>
    <m/>
    <m/>
    <m/>
    <m/>
    <m/>
    <m/>
    <m/>
    <m/>
    <m/>
    <m/>
    <m/>
  </r>
  <r>
    <n v="2111"/>
    <n v="31294"/>
    <n v="31293"/>
    <s v="Capitalized"/>
    <s v="966 Loader &amp; Freighter"/>
    <m/>
    <m/>
    <n v="735"/>
    <m/>
    <n v="0"/>
    <m/>
    <m/>
    <s v="HEAVY EQUIPMENT"/>
    <s v="TBA"/>
    <s v="Non-Rolling Stock"/>
    <m/>
    <m/>
    <d v="2001-01-31T00:00:00"/>
    <d v="2001-01-31T00:00:00"/>
    <m/>
    <n v="1000"/>
    <n v="14030"/>
    <n v="0"/>
    <n v="14036"/>
    <n v="0"/>
    <n v="0"/>
    <n v="0"/>
    <n v="51260"/>
    <n v="0"/>
    <s v="A"/>
    <s v="LRI"/>
    <n v="51"/>
    <s v=" "/>
    <s v="STL"/>
    <s v="YES"/>
    <s v="TBD"/>
    <d v="2024-10-09T00:00:00"/>
    <x v="19"/>
    <m/>
    <m/>
    <m/>
    <m/>
    <m/>
    <m/>
    <m/>
    <m/>
    <m/>
    <m/>
    <m/>
  </r>
  <r>
    <n v="2111"/>
    <n v="31293"/>
    <s v="P"/>
    <s v="Capitalized"/>
    <s v="HV-966F Loader"/>
    <m/>
    <m/>
    <n v="735"/>
    <s v="4YG00643"/>
    <n v="1992"/>
    <s v="Other"/>
    <s v="Other"/>
    <s v="HEAVY EQUIPMENT"/>
    <s v="TBA"/>
    <s v="Bucket Loader"/>
    <m/>
    <m/>
    <d v="2001-01-31T00:00:00"/>
    <d v="2001-01-31T00:00:00"/>
    <m/>
    <n v="1000"/>
    <n v="14030"/>
    <n v="0"/>
    <n v="14036"/>
    <n v="0"/>
    <n v="0"/>
    <n v="0"/>
    <n v="51260"/>
    <n v="0"/>
    <s v="A"/>
    <s v="LRI"/>
    <s v="735-01"/>
    <s v=" "/>
    <s v="STL"/>
    <s v="YES"/>
    <s v="TBD"/>
    <d v="2024-10-09T00:00:00"/>
    <x v="19"/>
    <m/>
    <m/>
    <m/>
    <m/>
    <m/>
    <m/>
    <m/>
    <m/>
    <m/>
    <m/>
    <m/>
  </r>
  <r>
    <n v="2111"/>
    <n v="30780"/>
    <n v="31293"/>
    <s v="Capitalized"/>
    <s v="Yard Bucket"/>
    <m/>
    <m/>
    <n v="735"/>
    <m/>
    <n v="0"/>
    <m/>
    <m/>
    <s v="HEAVY EQUIPMENT"/>
    <s v="TBA"/>
    <s v="Bucket Loader"/>
    <m/>
    <m/>
    <d v="2001-01-31T00:00:00"/>
    <d v="2001-01-31T00:00:00"/>
    <m/>
    <n v="500"/>
    <n v="14030"/>
    <n v="11927"/>
    <n v="14036"/>
    <n v="11927"/>
    <n v="0"/>
    <n v="0"/>
    <n v="51260"/>
    <n v="0"/>
    <s v="A"/>
    <s v="LRI"/>
    <s v="735-01"/>
    <s v=" "/>
    <s v="STL"/>
    <s v="YES"/>
    <s v="TBD"/>
    <d v="2024-10-09T00:00:00"/>
    <x v="19"/>
    <m/>
    <m/>
    <m/>
    <m/>
    <m/>
    <m/>
    <m/>
    <m/>
    <m/>
    <m/>
    <m/>
  </r>
  <r>
    <n v="2111"/>
    <n v="30500"/>
    <s v="P"/>
    <s v="Capitalized"/>
    <s v="(4) 256 MB 40 GB HP PCs for Lakewood"/>
    <m/>
    <m/>
    <n v="1"/>
    <s v="MXD42207W9; MXD42207Z6; M"/>
    <n v="0"/>
    <s v="Quest"/>
    <m/>
    <s v="HARDWARE AND SOFTWARE"/>
    <s v="TBA"/>
    <m/>
    <m/>
    <m/>
    <d v="2005-01-06T00:00:00"/>
    <d v="2005-01-06T00:00:00"/>
    <m/>
    <n v="300"/>
    <n v="14110"/>
    <n v="2508"/>
    <n v="14116"/>
    <n v="2508"/>
    <n v="0"/>
    <n v="0"/>
    <n v="70260"/>
    <n v="0"/>
    <s v="P"/>
    <n v="0"/>
    <m/>
    <s v=" "/>
    <s v="STL"/>
    <s v="YES"/>
    <s v="TBD"/>
    <d v="2024-10-09T00:00:00"/>
    <x v="19"/>
    <m/>
    <m/>
    <m/>
    <m/>
    <m/>
    <m/>
    <m/>
    <m/>
    <m/>
    <m/>
    <m/>
  </r>
  <r>
    <n v="2111"/>
    <n v="30478"/>
    <s v="P"/>
    <s v="Capitalized"/>
    <s v="2003 Used Helm 4 Axle Trailer Chassis &amp; Container"/>
    <m/>
    <m/>
    <n v="1"/>
    <s v="1H9CC534X3T347060"/>
    <n v="2003"/>
    <s v="T &amp; S Investments"/>
    <s v="HELM"/>
    <s v="TRUCKS AND TRAILERS"/>
    <s v="TBA"/>
    <s v="Container Chassis"/>
    <m/>
    <m/>
    <d v="2005-01-10T00:00:00"/>
    <d v="2005-01-10T00:00:00"/>
    <s v="052111011C"/>
    <n v="1000"/>
    <n v="14040"/>
    <n v="35500"/>
    <n v="14046"/>
    <n v="35500"/>
    <n v="0"/>
    <n v="0"/>
    <n v="51260"/>
    <n v="0"/>
    <s v="P"/>
    <n v="0"/>
    <s v="LEX-15"/>
    <s v=" "/>
    <s v="STL"/>
    <s v="YES"/>
    <s v="TBD"/>
    <d v="2024-10-09T00:00:00"/>
    <x v="19"/>
    <m/>
    <m/>
    <m/>
    <m/>
    <m/>
    <m/>
    <m/>
    <m/>
    <m/>
    <m/>
    <m/>
  </r>
  <r>
    <n v="2111"/>
    <n v="30477"/>
    <s v="P"/>
    <s v="Capitalized"/>
    <s v="2003 Used Helm 4 Axle Trailer Chassis &amp; Container"/>
    <m/>
    <m/>
    <n v="1"/>
    <s v="1H9CC53433T347059"/>
    <n v="2003"/>
    <s v="T &amp; S Investments"/>
    <s v="HELM"/>
    <s v="TRUCKS AND TRAILERS"/>
    <s v="TBA"/>
    <s v="Container Chassis"/>
    <m/>
    <m/>
    <d v="2005-01-10T00:00:00"/>
    <d v="2005-01-10T00:00:00"/>
    <s v="052111011B"/>
    <n v="1000"/>
    <n v="14040"/>
    <n v="34500"/>
    <n v="14046"/>
    <n v="34500"/>
    <n v="0"/>
    <n v="0"/>
    <n v="51260"/>
    <n v="0"/>
    <s v="P"/>
    <n v="0"/>
    <s v="LEX-14"/>
    <s v=" "/>
    <s v="STL"/>
    <s v="YES"/>
    <s v="TBD"/>
    <d v="2024-10-09T00:00:00"/>
    <x v="19"/>
    <m/>
    <m/>
    <m/>
    <m/>
    <m/>
    <m/>
    <m/>
    <m/>
    <m/>
    <m/>
    <m/>
  </r>
  <r>
    <n v="2111"/>
    <n v="30295"/>
    <s v="P"/>
    <s v="Capitalized"/>
    <s v="Desert Micro"/>
    <m/>
    <m/>
    <n v="1"/>
    <m/>
    <n v="0"/>
    <s v="DesertMicro"/>
    <m/>
    <s v="HARDWARE AND SOFTWARE"/>
    <s v="TBA"/>
    <m/>
    <m/>
    <m/>
    <d v="2004-09-30T00:00:00"/>
    <d v="2004-09-30T00:00:00"/>
    <m/>
    <n v="300"/>
    <n v="14110"/>
    <n v="5285"/>
    <n v="14116"/>
    <n v="5285"/>
    <n v="0"/>
    <n v="0"/>
    <n v="70260"/>
    <n v="0"/>
    <s v="P"/>
    <n v="0"/>
    <m/>
    <s v=" "/>
    <s v="STL"/>
    <s v="YES"/>
    <s v="TBD"/>
    <d v="2024-10-09T00:00:00"/>
    <x v="19"/>
    <m/>
    <m/>
    <m/>
    <m/>
    <m/>
    <m/>
    <m/>
    <m/>
    <m/>
    <m/>
    <m/>
  </r>
  <r>
    <n v="2111"/>
    <n v="29758"/>
    <s v="P"/>
    <s v="Capitalized"/>
    <s v="95 Gal Univ Yard Waste Cart w/ Metal Bar"/>
    <m/>
    <m/>
    <n v="432"/>
    <s v="266849 THRU 267280"/>
    <n v="0"/>
    <s v="Rehrig Pacific Company"/>
    <m/>
    <s v="CONTAINERS"/>
    <s v="TBA"/>
    <m/>
    <m/>
    <m/>
    <d v="2004-12-22T00:00:00"/>
    <d v="2004-12-22T00:00:00"/>
    <m/>
    <n v="700"/>
    <n v="14050"/>
    <n v="18330.63"/>
    <n v="14056"/>
    <n v="18330.63"/>
    <n v="0"/>
    <n v="0"/>
    <n v="54260"/>
    <n v="0"/>
    <s v="P"/>
    <n v="0"/>
    <m/>
    <s v=" "/>
    <s v="STL"/>
    <s v="YES"/>
    <s v="TBD"/>
    <d v="2024-10-09T00:00:00"/>
    <x v="19"/>
    <m/>
    <m/>
    <m/>
    <m/>
    <m/>
    <m/>
    <m/>
    <m/>
    <m/>
    <m/>
    <m/>
  </r>
  <r>
    <n v="2111"/>
    <n v="27467"/>
    <s v="P"/>
    <s v="Capitalized"/>
    <s v="2 YD REL Containers w/ Plastic Lids"/>
    <m/>
    <m/>
    <n v="12"/>
    <m/>
    <n v="0"/>
    <s v="Capital Industries, inc."/>
    <m/>
    <s v="CONTAINERS"/>
    <s v="TBA"/>
    <m/>
    <s v="2 YD"/>
    <s v="FEL/REL/SL Metal"/>
    <d v="2004-08-26T00:00:00"/>
    <d v="2004-08-26T00:00:00"/>
    <n v="42111006"/>
    <n v="1200"/>
    <n v="14050"/>
    <n v="7259.14"/>
    <n v="14056"/>
    <n v="7259.14"/>
    <n v="0"/>
    <n v="0"/>
    <n v="54260"/>
    <n v="0"/>
    <s v="P"/>
    <n v="0"/>
    <m/>
    <s v=" "/>
    <s v="STL"/>
    <s v="YES"/>
    <s v="TBD"/>
    <d v="2024-10-09T00:00:00"/>
    <x v="19"/>
    <m/>
    <m/>
    <m/>
    <m/>
    <m/>
    <m/>
    <m/>
    <m/>
    <m/>
    <m/>
    <m/>
  </r>
  <r>
    <n v="2111"/>
    <n v="26946"/>
    <s v="P"/>
    <s v="Capitalized"/>
    <s v="Software/Hardware for Conversion-Site Lic.-Lakesid"/>
    <m/>
    <m/>
    <n v="1"/>
    <m/>
    <n v="0"/>
    <s v="DesertMicro"/>
    <m/>
    <s v="HARDWARE AND SOFTWARE"/>
    <s v="TBA"/>
    <m/>
    <m/>
    <m/>
    <d v="2004-06-11T00:00:00"/>
    <d v="2004-06-11T00:00:00"/>
    <m/>
    <n v="300"/>
    <n v="14110"/>
    <n v="2115.35"/>
    <n v="14116"/>
    <n v="2115.35"/>
    <n v="0"/>
    <n v="0"/>
    <n v="70260"/>
    <n v="0"/>
    <s v="P"/>
    <n v="0"/>
    <m/>
    <s v=" "/>
    <s v="STL"/>
    <s v="YES"/>
    <s v="TBD"/>
    <d v="2024-10-09T00:00:00"/>
    <x v="19"/>
    <m/>
    <m/>
    <m/>
    <m/>
    <m/>
    <m/>
    <m/>
    <m/>
    <m/>
    <m/>
    <m/>
  </r>
  <r>
    <n v="2111"/>
    <n v="26945"/>
    <s v="P"/>
    <s v="Capitalized"/>
    <s v="Software/Hardware for Conversion-Site Lic.-Yakima"/>
    <m/>
    <m/>
    <n v="1"/>
    <m/>
    <n v="0"/>
    <s v="DesertMicro"/>
    <m/>
    <s v="HARDWARE AND SOFTWARE"/>
    <s v="TBA"/>
    <m/>
    <m/>
    <m/>
    <d v="2004-06-11T00:00:00"/>
    <d v="2004-06-11T00:00:00"/>
    <m/>
    <n v="300"/>
    <n v="14110"/>
    <n v="4200"/>
    <n v="14116"/>
    <n v="4200"/>
    <n v="0"/>
    <n v="0"/>
    <n v="70260"/>
    <n v="0"/>
    <s v="P"/>
    <n v="0"/>
    <m/>
    <s v=" "/>
    <s v="STL"/>
    <s v="YES"/>
    <s v="TBD"/>
    <d v="2024-10-09T00:00:00"/>
    <x v="19"/>
    <m/>
    <m/>
    <m/>
    <m/>
    <m/>
    <m/>
    <m/>
    <m/>
    <m/>
    <m/>
    <m/>
  </r>
  <r>
    <n v="2111"/>
    <n v="26944"/>
    <s v="P"/>
    <s v="Capitalized"/>
    <s v="Software/Hardware for Conversion-Site Lic.-Angeles"/>
    <m/>
    <m/>
    <n v="1"/>
    <m/>
    <n v="0"/>
    <s v="DesertMicro"/>
    <m/>
    <s v="HARDWARE AND SOFTWARE"/>
    <s v="TBA"/>
    <m/>
    <m/>
    <m/>
    <d v="2004-06-11T00:00:00"/>
    <d v="2004-06-11T00:00:00"/>
    <m/>
    <n v="300"/>
    <n v="14110"/>
    <n v="4200"/>
    <n v="14116"/>
    <n v="4200"/>
    <n v="0"/>
    <n v="0"/>
    <n v="70260"/>
    <n v="0"/>
    <s v="P"/>
    <n v="0"/>
    <m/>
    <s v=" "/>
    <s v="STL"/>
    <s v="YES"/>
    <s v="TBD"/>
    <d v="2024-10-09T00:00:00"/>
    <x v="19"/>
    <m/>
    <m/>
    <m/>
    <m/>
    <m/>
    <m/>
    <m/>
    <m/>
    <m/>
    <m/>
    <m/>
  </r>
  <r>
    <n v="2111"/>
    <n v="26812"/>
    <s v="P"/>
    <s v="Capitalized"/>
    <s v="4 YD F/L Containers w/ Plastic Lids &amp; Skids"/>
    <m/>
    <m/>
    <n v="3"/>
    <m/>
    <n v="0"/>
    <s v="Capital In"/>
    <m/>
    <s v="CONTAINERS"/>
    <s v="TBA"/>
    <m/>
    <s v="4 YD"/>
    <s v="FEL/REL/SL Metal"/>
    <d v="2004-07-28T00:00:00"/>
    <d v="2004-07-28T00:00:00"/>
    <n v="42111006"/>
    <n v="1200"/>
    <n v="14050"/>
    <n v="1870.27"/>
    <n v="14056"/>
    <n v="1870.27"/>
    <n v="0"/>
    <n v="0"/>
    <n v="54260"/>
    <n v="0"/>
    <s v="P"/>
    <n v="0"/>
    <m/>
    <s v=" "/>
    <s v="STL"/>
    <s v="YES"/>
    <s v="TBD"/>
    <d v="2024-10-09T00:00:00"/>
    <x v="19"/>
    <m/>
    <m/>
    <m/>
    <m/>
    <m/>
    <m/>
    <m/>
    <m/>
    <m/>
    <m/>
    <m/>
  </r>
  <r>
    <n v="2111"/>
    <n v="26298"/>
    <s v="P"/>
    <s v="Capitalized"/>
    <s v="YD Waste Carts"/>
    <m/>
    <m/>
    <n v="432"/>
    <s v="265553 - 265984"/>
    <n v="0"/>
    <s v="Rehrig Pacific Company"/>
    <m/>
    <s v="CONTAINERS"/>
    <s v="TBA"/>
    <m/>
    <m/>
    <m/>
    <d v="2004-07-02T00:00:00"/>
    <d v="2004-07-02T00:00:00"/>
    <n v="42111008"/>
    <n v="700"/>
    <n v="14050"/>
    <n v="18213.12"/>
    <n v="14056"/>
    <n v="18213.12"/>
    <n v="0"/>
    <n v="0"/>
    <n v="54260"/>
    <n v="0"/>
    <s v="P"/>
    <n v="0"/>
    <m/>
    <s v=" "/>
    <s v="STL"/>
    <s v="YES"/>
    <s v="TBD"/>
    <d v="2024-10-09T00:00:00"/>
    <x v="19"/>
    <m/>
    <m/>
    <m/>
    <m/>
    <m/>
    <m/>
    <m/>
    <m/>
    <m/>
    <m/>
    <m/>
  </r>
  <r>
    <n v="2111"/>
    <n v="25766"/>
    <n v="25019"/>
    <s v="Capitalized"/>
    <s v="Cascon Powerlift Roll-Off on 2004 Peterbilt"/>
    <m/>
    <m/>
    <n v="1"/>
    <s v="2NPNLZ0X35M842218"/>
    <n v="2004"/>
    <m/>
    <m/>
    <s v="TRUCKS AND TRAILERS"/>
    <s v="TBA"/>
    <s v="Non-Rolling Stock"/>
    <m/>
    <m/>
    <d v="2004-04-30T00:00:00"/>
    <d v="2004-04-30T00:00:00"/>
    <n v="42111003"/>
    <n v="1000"/>
    <n v="14040"/>
    <n v="32990.49"/>
    <n v="14046"/>
    <n v="32990.49"/>
    <n v="0"/>
    <n v="0"/>
    <n v="51260"/>
    <n v="0"/>
    <s v="P"/>
    <n v="0"/>
    <m/>
    <s v=" "/>
    <s v="STL"/>
    <s v="YES"/>
    <s v="TBD"/>
    <d v="2024-10-09T00:00:00"/>
    <x v="19"/>
    <m/>
    <m/>
    <m/>
    <m/>
    <m/>
    <m/>
    <m/>
    <m/>
    <m/>
    <m/>
    <m/>
  </r>
  <r>
    <n v="2111"/>
    <n v="25765"/>
    <n v="25020"/>
    <s v="Capitalized"/>
    <s v="Cascon Powerlift Roll-Off on 2004 Peterbilt"/>
    <m/>
    <m/>
    <n v="1"/>
    <s v="2NPNLZ0X55M842219"/>
    <n v="2004"/>
    <m/>
    <m/>
    <s v="TRUCKS AND TRAILERS"/>
    <s v="TBA"/>
    <s v="Non-Rolling Stock"/>
    <m/>
    <m/>
    <d v="2004-04-30T00:00:00"/>
    <d v="2004-04-30T00:00:00"/>
    <n v="42111003"/>
    <n v="1000"/>
    <n v="14040"/>
    <n v="32990.49"/>
    <n v="14046"/>
    <n v="32990.49"/>
    <n v="0"/>
    <n v="0"/>
    <n v="51260"/>
    <n v="0"/>
    <s v="P"/>
    <n v="0"/>
    <m/>
    <s v=" "/>
    <s v="STL"/>
    <s v="YES"/>
    <s v="TBD"/>
    <d v="2024-10-09T00:00:00"/>
    <x v="19"/>
    <m/>
    <m/>
    <m/>
    <m/>
    <m/>
    <m/>
    <m/>
    <m/>
    <m/>
    <m/>
    <m/>
  </r>
  <r>
    <n v="2111"/>
    <n v="25363"/>
    <s v="P"/>
    <s v="Capitalized"/>
    <s v="2005 Peterbilt 330 Roll Off Chassis"/>
    <m/>
    <m/>
    <n v="1"/>
    <s v="2NPNLZ0XX5M849859"/>
    <n v="2005"/>
    <s v="Peterbilt 330"/>
    <s v="Cascon"/>
    <s v="TRUCKS AND TRAILERS"/>
    <s v="TBA"/>
    <s v="Roll Off"/>
    <m/>
    <m/>
    <d v="2004-05-26T00:00:00"/>
    <d v="2004-05-26T00:00:00"/>
    <n v="42111005"/>
    <n v="1000"/>
    <n v="14040"/>
    <n v="86270.65"/>
    <n v="14046"/>
    <n v="86270.65"/>
    <n v="0"/>
    <n v="0"/>
    <n v="51260"/>
    <n v="0"/>
    <s v="P"/>
    <n v="0"/>
    <n v="408"/>
    <s v=" "/>
    <s v="STL"/>
    <s v="YES"/>
    <s v="TBD"/>
    <d v="2024-10-09T00:00:00"/>
    <x v="19"/>
    <m/>
    <m/>
    <m/>
    <m/>
    <m/>
    <m/>
    <m/>
    <m/>
    <m/>
    <m/>
    <m/>
  </r>
  <r>
    <n v="2111"/>
    <n v="25362"/>
    <s v="P"/>
    <s v="Capitalized"/>
    <s v="Cascon Powerlift Roll-Off Hoist System 2004 Peter"/>
    <m/>
    <m/>
    <n v="1"/>
    <s v="CCPG240"/>
    <n v="2004"/>
    <s v="Peterbilt"/>
    <s v="Cascon"/>
    <s v="TRUCKS AND TRAILERS"/>
    <s v="TBA"/>
    <s v="Non-Rolling Stock"/>
    <m/>
    <m/>
    <d v="2004-06-18T00:00:00"/>
    <d v="2004-06-18T00:00:00"/>
    <n v="42111005"/>
    <n v="1000"/>
    <n v="14040"/>
    <n v="32990.49"/>
    <n v="14046"/>
    <n v="32990.49"/>
    <n v="0"/>
    <n v="0"/>
    <n v="51260"/>
    <n v="0"/>
    <s v="P"/>
    <n v="0"/>
    <m/>
    <s v=" "/>
    <s v="STL"/>
    <s v="YES"/>
    <s v="TBD"/>
    <d v="2024-10-09T00:00:00"/>
    <x v="19"/>
    <m/>
    <m/>
    <m/>
    <m/>
    <m/>
    <m/>
    <m/>
    <m/>
    <m/>
    <m/>
    <m/>
  </r>
  <r>
    <n v="2111"/>
    <n v="25020"/>
    <s v="P"/>
    <s v="Capitalized"/>
    <s v="2005 Peterbilt 330 Truck"/>
    <m/>
    <m/>
    <n v="1"/>
    <s v="2NPNLZ0X55M842219"/>
    <n v="2005"/>
    <s v="Peterbilt 330"/>
    <s v="Cascon"/>
    <s v="TRUCKS AND TRAILERS"/>
    <s v="TBA"/>
    <s v="Roll Off"/>
    <m/>
    <m/>
    <d v="2004-04-12T00:00:00"/>
    <d v="2004-04-12T00:00:00"/>
    <n v="42111003"/>
    <n v="1000"/>
    <n v="14040"/>
    <n v="86998.71"/>
    <n v="14046"/>
    <n v="86998.71"/>
    <n v="0"/>
    <n v="0"/>
    <n v="51260"/>
    <n v="0"/>
    <s v="P"/>
    <n v="0"/>
    <n v="406"/>
    <s v=" "/>
    <s v="STL"/>
    <s v="YES"/>
    <s v="TBD"/>
    <d v="2024-10-09T00:00:00"/>
    <x v="19"/>
    <m/>
    <m/>
    <m/>
    <m/>
    <m/>
    <m/>
    <m/>
    <m/>
    <m/>
    <m/>
    <m/>
  </r>
  <r>
    <n v="2111"/>
    <n v="25019"/>
    <s v="P"/>
    <s v="Capitalized"/>
    <s v="2005 Peterbilt 330 Truck"/>
    <m/>
    <m/>
    <n v="1"/>
    <s v="2NPNLZ0X35M842218"/>
    <n v="2005"/>
    <s v="Peterbilt 330"/>
    <s v="Cascon"/>
    <s v="TRUCKS AND TRAILERS"/>
    <s v="TBA"/>
    <s v="Roll Off"/>
    <m/>
    <m/>
    <d v="2004-04-12T00:00:00"/>
    <d v="2004-04-12T00:00:00"/>
    <n v="42111003"/>
    <n v="1000"/>
    <n v="14040"/>
    <n v="86998.71"/>
    <n v="14046"/>
    <n v="86998.71"/>
    <n v="0"/>
    <n v="0"/>
    <n v="51260"/>
    <n v="0"/>
    <s v="P"/>
    <n v="0"/>
    <n v="407"/>
    <s v=" "/>
    <s v="STL"/>
    <s v="YES"/>
    <s v="TBD"/>
    <d v="2024-10-09T00:00:00"/>
    <x v="19"/>
    <m/>
    <m/>
    <m/>
    <m/>
    <m/>
    <m/>
    <m/>
    <m/>
    <m/>
    <m/>
    <m/>
  </r>
  <r>
    <n v="2111"/>
    <n v="24899"/>
    <s v="P"/>
    <s v="Capitalized"/>
    <s v="(13) Winterms for RM Conversion"/>
    <m/>
    <m/>
    <n v="1"/>
    <m/>
    <n v="0"/>
    <s v="Quest"/>
    <m/>
    <s v="HARDWARE AND SOFTWARE"/>
    <s v="TBA"/>
    <m/>
    <m/>
    <m/>
    <d v="2004-03-23T00:00:00"/>
    <d v="2004-03-23T00:00:00"/>
    <m/>
    <n v="300"/>
    <n v="14110"/>
    <n v="3701"/>
    <n v="14116"/>
    <n v="3701"/>
    <n v="0"/>
    <n v="0"/>
    <n v="70260"/>
    <n v="0"/>
    <s v="P"/>
    <n v="0"/>
    <m/>
    <s v=" "/>
    <s v="STL"/>
    <s v="YES"/>
    <s v="TBD"/>
    <d v="2024-10-09T00:00:00"/>
    <x v="19"/>
    <m/>
    <m/>
    <m/>
    <m/>
    <m/>
    <m/>
    <m/>
    <m/>
    <m/>
    <m/>
    <m/>
  </r>
  <r>
    <n v="2111"/>
    <n v="24898"/>
    <s v="P"/>
    <s v="Capitalized"/>
    <s v="Software/Hardware for RM Conversion"/>
    <m/>
    <m/>
    <n v="1"/>
    <m/>
    <n v="0"/>
    <s v="Quest"/>
    <m/>
    <s v="HARDWARE AND SOFTWARE"/>
    <s v="TBA"/>
    <m/>
    <m/>
    <m/>
    <d v="2004-03-15T00:00:00"/>
    <d v="2004-03-15T00:00:00"/>
    <m/>
    <n v="300"/>
    <n v="14110"/>
    <n v="1709.45"/>
    <n v="14116"/>
    <n v="1709.45"/>
    <n v="0"/>
    <n v="0"/>
    <n v="70260"/>
    <n v="0"/>
    <s v="P"/>
    <n v="0"/>
    <m/>
    <s v=" "/>
    <s v="STL"/>
    <s v="YES"/>
    <s v="TBD"/>
    <d v="2024-10-09T00:00:00"/>
    <x v="19"/>
    <m/>
    <m/>
    <m/>
    <m/>
    <m/>
    <m/>
    <m/>
    <m/>
    <m/>
    <m/>
    <m/>
  </r>
  <r>
    <n v="2111"/>
    <n v="24897"/>
    <s v="P"/>
    <s v="Capitalized"/>
    <s v="Software/Hardware for RM Conversion"/>
    <m/>
    <m/>
    <n v="1"/>
    <m/>
    <n v="0"/>
    <s v="Quest"/>
    <m/>
    <s v="HARDWARE AND SOFTWARE"/>
    <s v="TBA"/>
    <m/>
    <m/>
    <m/>
    <d v="2004-03-05T00:00:00"/>
    <d v="2004-03-05T00:00:00"/>
    <m/>
    <n v="300"/>
    <n v="14110"/>
    <n v="1867"/>
    <n v="14116"/>
    <n v="1867"/>
    <n v="0"/>
    <n v="0"/>
    <n v="70260"/>
    <n v="0"/>
    <s v="P"/>
    <n v="0"/>
    <m/>
    <s v=" "/>
    <s v="STL"/>
    <s v="YES"/>
    <s v="TBD"/>
    <d v="2024-10-09T00:00:00"/>
    <x v="19"/>
    <m/>
    <m/>
    <m/>
    <m/>
    <m/>
    <m/>
    <m/>
    <m/>
    <m/>
    <m/>
    <m/>
  </r>
  <r>
    <n v="2111"/>
    <n v="24896"/>
    <s v="P"/>
    <s v="Capitalized"/>
    <s v="Software/Hardware for RM Conversion"/>
    <m/>
    <m/>
    <n v="1"/>
    <m/>
    <n v="0"/>
    <s v="Quest"/>
    <m/>
    <s v="HARDWARE AND SOFTWARE"/>
    <s v="TBA"/>
    <m/>
    <m/>
    <m/>
    <d v="2004-02-25T00:00:00"/>
    <d v="2004-02-25T00:00:00"/>
    <m/>
    <n v="300"/>
    <n v="14110"/>
    <n v="3562.41"/>
    <n v="14116"/>
    <n v="3562.41"/>
    <n v="0"/>
    <n v="0"/>
    <n v="70260"/>
    <n v="0"/>
    <s v="P"/>
    <n v="0"/>
    <m/>
    <s v=" "/>
    <s v="STL"/>
    <s v="YES"/>
    <s v="TBD"/>
    <d v="2024-10-09T00:00:00"/>
    <x v="19"/>
    <m/>
    <m/>
    <m/>
    <m/>
    <m/>
    <m/>
    <m/>
    <m/>
    <m/>
    <m/>
    <m/>
  </r>
  <r>
    <n v="2111"/>
    <n v="24895"/>
    <s v="P"/>
    <s v="Capitalized"/>
    <s v="Software/Hardware for RM Conversion"/>
    <m/>
    <m/>
    <n v="1"/>
    <m/>
    <n v="0"/>
    <s v="Lighthouse Systems Inc."/>
    <m/>
    <s v="HARDWARE AND SOFTWARE"/>
    <s v="TBA"/>
    <m/>
    <m/>
    <m/>
    <d v="2004-03-22T00:00:00"/>
    <d v="2004-03-22T00:00:00"/>
    <m/>
    <n v="300"/>
    <n v="14110"/>
    <n v="1287.6099999999999"/>
    <n v="14116"/>
    <n v="1287.6099999999999"/>
    <n v="0"/>
    <n v="0"/>
    <n v="70260"/>
    <n v="0"/>
    <s v="P"/>
    <n v="0"/>
    <m/>
    <s v=" "/>
    <s v="STL"/>
    <s v="YES"/>
    <s v="TBD"/>
    <d v="2024-10-09T00:00:00"/>
    <x v="19"/>
    <m/>
    <m/>
    <m/>
    <m/>
    <m/>
    <m/>
    <m/>
    <m/>
    <m/>
    <m/>
    <m/>
  </r>
  <r>
    <n v="2111"/>
    <n v="24894"/>
    <s v="P"/>
    <s v="Capitalized"/>
    <s v="Software/Hardware for RM Conversion"/>
    <m/>
    <m/>
    <n v="1"/>
    <m/>
    <n v="0"/>
    <s v="DesertMicro"/>
    <m/>
    <s v="HARDWARE AND SOFTWARE"/>
    <s v="TBA"/>
    <m/>
    <m/>
    <m/>
    <d v="2004-03-31T00:00:00"/>
    <d v="2004-03-31T00:00:00"/>
    <m/>
    <n v="300"/>
    <n v="14110"/>
    <n v="21300"/>
    <n v="14116"/>
    <n v="21300"/>
    <n v="0"/>
    <n v="0"/>
    <n v="70260"/>
    <n v="0"/>
    <s v="P"/>
    <n v="0"/>
    <m/>
    <s v=" "/>
    <s v="STL"/>
    <s v="YES"/>
    <s v="TBD"/>
    <d v="2024-10-09T00:00:00"/>
    <x v="19"/>
    <m/>
    <m/>
    <m/>
    <m/>
    <m/>
    <m/>
    <m/>
    <m/>
    <m/>
    <m/>
    <m/>
  </r>
  <r>
    <n v="2111"/>
    <n v="24185"/>
    <s v="P"/>
    <s v="Capitalized"/>
    <s v="Repairs to Rental Property (4805 70th Ave.)"/>
    <m/>
    <m/>
    <n v="1"/>
    <m/>
    <n v="0"/>
    <s v="J.V. Kitchen Construction"/>
    <m/>
    <s v="BUILDINGS"/>
    <s v="TBA"/>
    <m/>
    <m/>
    <m/>
    <d v="2004-02-02T00:00:00"/>
    <d v="2004-02-02T00:00:00"/>
    <m/>
    <n v="500"/>
    <n v="14080"/>
    <n v="5190.8500000000004"/>
    <n v="14086"/>
    <n v="5190.8500000000004"/>
    <n v="0"/>
    <n v="0"/>
    <n v="57260"/>
    <n v="0"/>
    <s v="A"/>
    <n v="0"/>
    <s v="NA"/>
    <s v=" "/>
    <s v="STL"/>
    <s v="YES"/>
    <s v="TBD"/>
    <d v="2024-10-09T00:00:00"/>
    <x v="19"/>
    <m/>
    <m/>
    <m/>
    <m/>
    <m/>
    <m/>
    <m/>
    <m/>
    <m/>
    <m/>
    <m/>
  </r>
  <r>
    <n v="2111"/>
    <n v="23479"/>
    <s v="P"/>
    <s v="Capitalized"/>
    <s v="Shop &amp; Office Building Design"/>
    <m/>
    <m/>
    <n v="1"/>
    <m/>
    <n v="0"/>
    <s v="AHR Civil Engineers &amp; Lan"/>
    <m/>
    <s v="BUILDINGS"/>
    <s v="TBA"/>
    <m/>
    <m/>
    <m/>
    <d v="2004-01-13T00:00:00"/>
    <d v="2004-01-13T00:00:00"/>
    <s v="032111012a"/>
    <n v="2000"/>
    <n v="14080"/>
    <n v="5000"/>
    <n v="14086"/>
    <n v="5000"/>
    <n v="0"/>
    <n v="0"/>
    <n v="57260"/>
    <n v="0"/>
    <s v="P"/>
    <m/>
    <m/>
    <s v=" "/>
    <s v="STL"/>
    <s v="YES"/>
    <s v="TBD"/>
    <d v="2024-10-09T00:00:00"/>
    <x v="19"/>
    <m/>
    <m/>
    <m/>
    <m/>
    <m/>
    <m/>
    <m/>
    <m/>
    <m/>
    <m/>
    <m/>
  </r>
  <r>
    <n v="2111"/>
    <n v="23476"/>
    <s v="P"/>
    <s v="Capitalized"/>
    <s v="Building Architect"/>
    <m/>
    <m/>
    <n v="1"/>
    <m/>
    <n v="0"/>
    <s v="AHR"/>
    <m/>
    <s v="BUILDINGS"/>
    <s v="TBA"/>
    <m/>
    <m/>
    <m/>
    <d v="2004-01-31T00:00:00"/>
    <d v="2004-01-31T00:00:00"/>
    <m/>
    <n v="2000"/>
    <n v="14080"/>
    <n v="15000"/>
    <n v="14086"/>
    <n v="15000"/>
    <n v="0"/>
    <n v="62.34"/>
    <n v="57260"/>
    <n v="62.34"/>
    <s v="P"/>
    <m/>
    <m/>
    <s v=" "/>
    <s v="STL"/>
    <s v="YES"/>
    <s v="TBD"/>
    <d v="2024-10-09T00:00:00"/>
    <x v="19"/>
    <m/>
    <m/>
    <m/>
    <m/>
    <m/>
    <m/>
    <m/>
    <m/>
    <m/>
    <m/>
    <m/>
  </r>
  <r>
    <n v="2111"/>
    <n v="22937"/>
    <s v="P"/>
    <s v="Capitalized"/>
    <s v="1.5YD REL Containers"/>
    <m/>
    <m/>
    <n v="10"/>
    <m/>
    <n v="0"/>
    <s v="Enterprise Sales"/>
    <m/>
    <s v="CONTAINERS"/>
    <s v="TBA"/>
    <m/>
    <s v="1.5 YD"/>
    <s v="FEL/REL/SL Metal"/>
    <d v="2003-12-31T00:00:00"/>
    <d v="2003-12-31T00:00:00"/>
    <s v="03-2111-019"/>
    <n v="1200"/>
    <n v="14050"/>
    <n v="3452.58"/>
    <n v="14056"/>
    <n v="3452.58"/>
    <n v="0"/>
    <n v="0"/>
    <n v="54260"/>
    <n v="0"/>
    <s v="P"/>
    <m/>
    <m/>
    <s v=" "/>
    <s v="STL"/>
    <s v="YES"/>
    <s v="TBD"/>
    <d v="2024-10-09T00:00:00"/>
    <x v="19"/>
    <m/>
    <m/>
    <m/>
    <m/>
    <m/>
    <m/>
    <m/>
    <m/>
    <m/>
    <m/>
    <m/>
  </r>
  <r>
    <n v="2111"/>
    <n v="22936"/>
    <s v="P"/>
    <s v="Capitalized"/>
    <s v="2YD REL Containers"/>
    <m/>
    <m/>
    <n v="12"/>
    <m/>
    <n v="0"/>
    <s v="Enterprise Sales"/>
    <m/>
    <s v="CONTAINERS"/>
    <s v="TBA"/>
    <m/>
    <s v="2 YD"/>
    <s v="FEL/REL/SL Metal"/>
    <d v="2003-12-31T00:00:00"/>
    <d v="2003-12-31T00:00:00"/>
    <s v="03-2111-018"/>
    <n v="1200"/>
    <n v="14050"/>
    <n v="4454.2700000000004"/>
    <n v="14056"/>
    <n v="4454.2700000000004"/>
    <n v="0"/>
    <n v="0"/>
    <n v="54260"/>
    <n v="0"/>
    <s v="P"/>
    <m/>
    <m/>
    <s v=" "/>
    <s v="STL"/>
    <s v="YES"/>
    <s v="TBD"/>
    <d v="2024-10-09T00:00:00"/>
    <x v="19"/>
    <m/>
    <m/>
    <m/>
    <m/>
    <m/>
    <m/>
    <m/>
    <m/>
    <m/>
    <m/>
    <m/>
  </r>
  <r>
    <n v="2111"/>
    <n v="22935"/>
    <s v="P"/>
    <s v="Capitalized"/>
    <s v="4YD FEL Containers"/>
    <m/>
    <m/>
    <n v="10"/>
    <m/>
    <n v="0"/>
    <s v="Enterprise Sales"/>
    <m/>
    <s v="CONTAINERS"/>
    <s v="TBA"/>
    <m/>
    <s v="4 YD"/>
    <s v="FEL/REL/SL Metal"/>
    <d v="2003-12-31T00:00:00"/>
    <d v="2003-12-31T00:00:00"/>
    <s v="03-2111-016"/>
    <n v="1200"/>
    <n v="14050"/>
    <n v="4769.07"/>
    <n v="14056"/>
    <n v="4769.07"/>
    <n v="0"/>
    <n v="0"/>
    <n v="54260"/>
    <n v="0"/>
    <s v="P"/>
    <m/>
    <m/>
    <s v=" "/>
    <s v="STL"/>
    <s v="YES"/>
    <s v="TBD"/>
    <d v="2024-10-09T00:00:00"/>
    <x v="19"/>
    <m/>
    <m/>
    <m/>
    <m/>
    <m/>
    <m/>
    <m/>
    <m/>
    <m/>
    <m/>
    <m/>
  </r>
  <r>
    <n v="2111"/>
    <n v="22869"/>
    <s v="P"/>
    <s v="Capitalized"/>
    <s v="HARVARD F EBERS"/>
    <m/>
    <m/>
    <n v="1"/>
    <m/>
    <n v="0"/>
    <m/>
    <m/>
    <s v="BUILDINGS"/>
    <s v="TBA"/>
    <m/>
    <m/>
    <m/>
    <d v="2003-12-31T00:00:00"/>
    <d v="2003-12-31T00:00:00"/>
    <m/>
    <n v="2000"/>
    <n v="14080"/>
    <n v="2768.8"/>
    <n v="14086"/>
    <n v="2768.8"/>
    <n v="0"/>
    <n v="0"/>
    <n v="57260"/>
    <n v="0"/>
    <s v="P"/>
    <m/>
    <m/>
    <s v=" "/>
    <s v="STL"/>
    <s v="YES"/>
    <s v="TBD"/>
    <d v="2024-10-09T00:00:00"/>
    <x v="19"/>
    <m/>
    <m/>
    <m/>
    <m/>
    <m/>
    <m/>
    <m/>
    <m/>
    <m/>
    <m/>
    <m/>
  </r>
  <r>
    <n v="2111"/>
    <n v="22817"/>
    <s v="P"/>
    <s v="Capitalized"/>
    <s v="Harv Ebers Recurring"/>
    <m/>
    <m/>
    <n v="1"/>
    <m/>
    <n v="0"/>
    <m/>
    <m/>
    <s v="BUILDINGS"/>
    <s v="TBA"/>
    <m/>
    <m/>
    <m/>
    <d v="2003-12-31T00:00:00"/>
    <d v="2003-12-31T00:00:00"/>
    <s v="03-2111-012"/>
    <n v="2000"/>
    <n v="14080"/>
    <n v="5830"/>
    <n v="14086"/>
    <n v="5830"/>
    <n v="0"/>
    <n v="0"/>
    <n v="57260"/>
    <n v="0"/>
    <s v="P"/>
    <m/>
    <m/>
    <s v=" "/>
    <s v="STL"/>
    <s v="YES"/>
    <s v="TBD"/>
    <d v="2024-10-09T00:00:00"/>
    <x v="19"/>
    <m/>
    <m/>
    <m/>
    <m/>
    <m/>
    <m/>
    <m/>
    <m/>
    <m/>
    <m/>
    <m/>
  </r>
  <r>
    <n v="2111"/>
    <n v="22540"/>
    <s v="P"/>
    <s v="Capitalized"/>
    <s v="Harv Ebers Recurring"/>
    <m/>
    <m/>
    <n v="1"/>
    <m/>
    <n v="0"/>
    <m/>
    <m/>
    <s v="BUILDINGS"/>
    <s v="TBA"/>
    <m/>
    <m/>
    <m/>
    <d v="2003-12-31T00:00:00"/>
    <d v="2003-12-31T00:00:00"/>
    <s v="03-2111-012a"/>
    <n v="2000"/>
    <n v="14080"/>
    <n v="5830"/>
    <n v="14086"/>
    <n v="5830"/>
    <n v="0"/>
    <n v="0"/>
    <n v="57260"/>
    <n v="0"/>
    <s v="P"/>
    <m/>
    <m/>
    <s v=" "/>
    <s v="STL"/>
    <s v="YES"/>
    <s v="TBD"/>
    <d v="2024-10-09T00:00:00"/>
    <x v="19"/>
    <m/>
    <m/>
    <m/>
    <m/>
    <m/>
    <m/>
    <m/>
    <m/>
    <m/>
    <m/>
    <m/>
  </r>
  <r>
    <n v="2111"/>
    <n v="22314"/>
    <s v="P"/>
    <s v="Capitalized"/>
    <s v="Harv Ebers Recurring"/>
    <m/>
    <m/>
    <n v="1"/>
    <m/>
    <n v="0"/>
    <m/>
    <m/>
    <s v="BUILDINGS"/>
    <s v="TBA"/>
    <m/>
    <m/>
    <m/>
    <d v="2003-12-31T00:00:00"/>
    <d v="2003-12-31T00:00:00"/>
    <s v="03-2111-012a"/>
    <n v="700"/>
    <n v="14080"/>
    <n v="5830"/>
    <n v="14086"/>
    <n v="5830"/>
    <n v="0"/>
    <n v="0"/>
    <n v="57260"/>
    <n v="0"/>
    <s v="P"/>
    <m/>
    <m/>
    <s v=" "/>
    <s v="STL"/>
    <s v="YES"/>
    <s v="TBD"/>
    <d v="2024-10-09T00:00:00"/>
    <x v="19"/>
    <m/>
    <m/>
    <m/>
    <m/>
    <m/>
    <m/>
    <m/>
    <m/>
    <m/>
    <m/>
    <m/>
  </r>
  <r>
    <n v="2111"/>
    <n v="21064"/>
    <s v="P"/>
    <s v="Capitalized"/>
    <s v="Harv Ebers Recurring"/>
    <m/>
    <m/>
    <n v="1"/>
    <m/>
    <n v="0"/>
    <m/>
    <m/>
    <s v="BUILDINGS"/>
    <s v="TBA"/>
    <m/>
    <m/>
    <m/>
    <d v="2003-09-30T00:00:00"/>
    <d v="2003-09-30T00:00:00"/>
    <s v="03-2111-012a"/>
    <n v="2000"/>
    <n v="14080"/>
    <n v="5830"/>
    <n v="14086"/>
    <n v="5830"/>
    <n v="0"/>
    <n v="0"/>
    <n v="57260"/>
    <n v="0"/>
    <s v="P"/>
    <m/>
    <m/>
    <s v=" "/>
    <s v="STL"/>
    <s v="YES"/>
    <s v="TBD"/>
    <d v="2024-10-09T00:00:00"/>
    <x v="19"/>
    <m/>
    <m/>
    <m/>
    <m/>
    <m/>
    <m/>
    <m/>
    <m/>
    <m/>
    <m/>
    <m/>
  </r>
  <r>
    <n v="2111"/>
    <n v="20883"/>
    <s v="P"/>
    <s v="Capitalized"/>
    <s v="30 Yd Roll Off Drop Boxes"/>
    <m/>
    <m/>
    <n v="6"/>
    <m/>
    <n v="0"/>
    <s v="Enterprise Sales"/>
    <m/>
    <s v="CONTAINERS"/>
    <s v="TBA"/>
    <m/>
    <s v="30 YD"/>
    <s v="RO Box"/>
    <d v="2003-08-31T00:00:00"/>
    <d v="2003-08-31T00:00:00"/>
    <s v="03-2111-011"/>
    <n v="1200"/>
    <n v="14050"/>
    <n v="20816.64"/>
    <n v="14056"/>
    <n v="20816.64"/>
    <n v="0"/>
    <n v="0"/>
    <n v="54260"/>
    <n v="0"/>
    <s v="P"/>
    <m/>
    <m/>
    <s v=" "/>
    <s v="STL"/>
    <s v="YES"/>
    <s v="TBD"/>
    <d v="2024-10-09T00:00:00"/>
    <x v="19"/>
    <m/>
    <m/>
    <m/>
    <m/>
    <m/>
    <m/>
    <m/>
    <m/>
    <m/>
    <m/>
    <m/>
  </r>
  <r>
    <n v="2111"/>
    <n v="20646"/>
    <s v="P"/>
    <s v="Capitalized"/>
    <s v="Building Project"/>
    <m/>
    <m/>
    <n v="1"/>
    <m/>
    <n v="0"/>
    <s v="Harv Ebers"/>
    <m/>
    <s v="BUILDINGS"/>
    <s v="TBA"/>
    <m/>
    <m/>
    <m/>
    <d v="2003-08-31T00:00:00"/>
    <d v="2003-08-31T00:00:00"/>
    <s v="03-2111-012a"/>
    <n v="2000"/>
    <n v="14080"/>
    <n v="2810.49"/>
    <n v="14086"/>
    <n v="2810.49"/>
    <n v="0"/>
    <n v="0"/>
    <n v="57260"/>
    <n v="0"/>
    <s v="P"/>
    <m/>
    <m/>
    <s v=" "/>
    <s v="STL"/>
    <s v="YES"/>
    <s v="TBD"/>
    <d v="2024-10-09T00:00:00"/>
    <x v="19"/>
    <m/>
    <m/>
    <m/>
    <m/>
    <m/>
    <m/>
    <m/>
    <m/>
    <m/>
    <m/>
    <m/>
  </r>
  <r>
    <n v="2111"/>
    <n v="20545"/>
    <s v="P"/>
    <s v="Capitalized"/>
    <s v="Engineering Design Work"/>
    <m/>
    <m/>
    <n v="1"/>
    <m/>
    <n v="0"/>
    <s v="Harv Ebers"/>
    <m/>
    <s v="BUILDINGS"/>
    <s v="TBA"/>
    <m/>
    <m/>
    <m/>
    <d v="2003-07-31T00:00:00"/>
    <d v="2003-07-31T00:00:00"/>
    <s v="03-2111-012a"/>
    <n v="2000"/>
    <n v="14080"/>
    <n v="5830"/>
    <n v="14086"/>
    <n v="5830"/>
    <n v="0"/>
    <n v="0"/>
    <n v="57260"/>
    <n v="0"/>
    <s v="P"/>
    <m/>
    <m/>
    <s v=" "/>
    <s v="STL"/>
    <s v="YES"/>
    <s v="TBD"/>
    <d v="2024-10-09T00:00:00"/>
    <x v="19"/>
    <m/>
    <m/>
    <m/>
    <m/>
    <m/>
    <m/>
    <m/>
    <m/>
    <m/>
    <m/>
    <m/>
  </r>
  <r>
    <n v="2111"/>
    <n v="20544"/>
    <s v="P"/>
    <s v="Capitalized"/>
    <s v="Engineering Design Work"/>
    <m/>
    <m/>
    <n v="1"/>
    <m/>
    <n v="0"/>
    <s v="Harv Ebers"/>
    <m/>
    <s v="BUILDINGS"/>
    <s v="TBA"/>
    <m/>
    <m/>
    <m/>
    <d v="2003-06-30T00:00:00"/>
    <d v="2003-06-30T00:00:00"/>
    <s v="03-2111-012a"/>
    <n v="2000"/>
    <n v="14080"/>
    <n v="5830"/>
    <n v="14086"/>
    <n v="5830"/>
    <n v="0"/>
    <n v="0"/>
    <n v="57260"/>
    <n v="0"/>
    <s v="P"/>
    <m/>
    <m/>
    <s v=" "/>
    <s v="STL"/>
    <s v="YES"/>
    <s v="TBD"/>
    <d v="2024-10-09T00:00:00"/>
    <x v="19"/>
    <m/>
    <m/>
    <m/>
    <m/>
    <m/>
    <m/>
    <m/>
    <m/>
    <m/>
    <m/>
    <m/>
  </r>
  <r>
    <n v="2111"/>
    <n v="19974"/>
    <s v="P"/>
    <s v="Capitalized"/>
    <s v="Civil &amp; Structural Engineering Services"/>
    <m/>
    <m/>
    <n v="1"/>
    <m/>
    <n v="0"/>
    <s v="Poe Engineering"/>
    <m/>
    <s v="BUILDINGS"/>
    <s v="TBA"/>
    <m/>
    <m/>
    <m/>
    <d v="2003-06-30T00:00:00"/>
    <d v="2003-06-30T00:00:00"/>
    <s v="03-2111-012a"/>
    <n v="2000"/>
    <n v="14080"/>
    <n v="3443"/>
    <n v="14086"/>
    <n v="3443"/>
    <n v="0"/>
    <n v="0"/>
    <n v="57260"/>
    <n v="0"/>
    <s v="P"/>
    <m/>
    <m/>
    <s v=" "/>
    <s v="STL"/>
    <s v="YES"/>
    <s v="TBD"/>
    <d v="2024-10-09T00:00:00"/>
    <x v="19"/>
    <m/>
    <m/>
    <m/>
    <m/>
    <m/>
    <m/>
    <m/>
    <m/>
    <m/>
    <m/>
    <m/>
  </r>
  <r>
    <n v="2111"/>
    <n v="19960"/>
    <s v="P"/>
    <s v="Capitalized"/>
    <s v="95 Gallon Roll Carts"/>
    <m/>
    <m/>
    <n v="1296"/>
    <s v="264665-262528"/>
    <n v="0"/>
    <s v="Rehrig Pacific"/>
    <m/>
    <s v="CONTAINERS"/>
    <s v="TBA"/>
    <m/>
    <m/>
    <m/>
    <d v="2003-06-30T00:00:00"/>
    <d v="2003-06-30T00:00:00"/>
    <s v="03-2111-010"/>
    <n v="700"/>
    <n v="14050"/>
    <n v="58417.83"/>
    <n v="14056"/>
    <n v="58417.83"/>
    <n v="0"/>
    <n v="0"/>
    <n v="54260"/>
    <n v="0"/>
    <s v="P"/>
    <m/>
    <m/>
    <s v=" "/>
    <s v="STL"/>
    <s v="YES"/>
    <s v="TBD"/>
    <d v="2024-10-09T00:00:00"/>
    <x v="19"/>
    <m/>
    <m/>
    <m/>
    <m/>
    <m/>
    <m/>
    <m/>
    <m/>
    <m/>
    <m/>
    <m/>
  </r>
  <r>
    <n v="2111"/>
    <n v="19647"/>
    <s v="P"/>
    <s v="Capitalized"/>
    <s v="2003 IHC 7400 Rear Loader"/>
    <m/>
    <m/>
    <n v="1"/>
    <s v="1HTWCAAN63J055474"/>
    <n v="2003"/>
    <s v="International 7400"/>
    <s v="McNeilus"/>
    <s v="TRUCKS AND TRAILERS"/>
    <s v="TBA"/>
    <s v="Rear Loader"/>
    <m/>
    <m/>
    <d v="2003-04-01T00:00:00"/>
    <d v="2003-01-31T00:00:00"/>
    <s v="03-2111-004"/>
    <n v="1000"/>
    <n v="14040"/>
    <n v="123452.02"/>
    <n v="14046"/>
    <n v="123452.02"/>
    <n v="0"/>
    <n v="0"/>
    <n v="51260"/>
    <n v="0"/>
    <s v="P"/>
    <m/>
    <n v="606"/>
    <s v=" "/>
    <s v="STL"/>
    <s v="YES"/>
    <s v="TBD"/>
    <d v="2024-10-09T00:00:00"/>
    <x v="19"/>
    <m/>
    <m/>
    <m/>
    <m/>
    <m/>
    <m/>
    <m/>
    <m/>
    <m/>
    <m/>
    <m/>
  </r>
  <r>
    <n v="2111"/>
    <n v="19427"/>
    <s v="P"/>
    <s v="Capitalized"/>
    <s v="Consulting Services, Boundary Survey, Composition of Maps &amp; Prints"/>
    <m/>
    <m/>
    <n v="1"/>
    <m/>
    <n v="0"/>
    <s v="Baseline Engineering"/>
    <m/>
    <s v="BUILDINGS"/>
    <s v="TBA"/>
    <m/>
    <m/>
    <m/>
    <d v="2003-05-31T00:00:00"/>
    <d v="2003-05-31T00:00:00"/>
    <s v="03-2111-012a"/>
    <n v="2000"/>
    <n v="14080"/>
    <n v="2955.23"/>
    <n v="14086"/>
    <n v="2955.23"/>
    <n v="0"/>
    <n v="0"/>
    <n v="57260"/>
    <n v="0"/>
    <s v="P"/>
    <m/>
    <m/>
    <s v=" "/>
    <s v="STL"/>
    <s v="YES"/>
    <s v="TBD"/>
    <d v="2024-10-09T00:00:00"/>
    <x v="19"/>
    <m/>
    <m/>
    <m/>
    <m/>
    <m/>
    <m/>
    <m/>
    <m/>
    <m/>
    <m/>
    <m/>
  </r>
  <r>
    <n v="2111"/>
    <n v="19426"/>
    <s v="P"/>
    <s v="Capitalized"/>
    <s v="Pre-Construction Phase of Upgrade - 2 Trips"/>
    <m/>
    <m/>
    <n v="1"/>
    <m/>
    <n v="0"/>
    <s v="Martin Construction"/>
    <m/>
    <s v="BUILDINGS"/>
    <s v="TBA"/>
    <m/>
    <m/>
    <m/>
    <d v="2003-05-15T00:00:00"/>
    <d v="2003-05-15T00:00:00"/>
    <s v="03-2111-012a"/>
    <n v="2000"/>
    <n v="14080"/>
    <n v="40733.519999999997"/>
    <n v="14086"/>
    <n v="40733.519999999997"/>
    <n v="0"/>
    <n v="0"/>
    <n v="57260"/>
    <n v="0"/>
    <s v="P"/>
    <m/>
    <m/>
    <s v=" "/>
    <s v="STL"/>
    <s v="YES"/>
    <s v="TBD"/>
    <d v="2024-10-09T00:00:00"/>
    <x v="19"/>
    <m/>
    <m/>
    <m/>
    <m/>
    <m/>
    <m/>
    <m/>
    <m/>
    <m/>
    <m/>
    <m/>
  </r>
  <r>
    <n v="2111"/>
    <n v="19280"/>
    <s v="P"/>
    <s v="Capitalized"/>
    <s v="Retainer for Civil &amp; Structural Engineering Consulting Services"/>
    <m/>
    <m/>
    <n v="1"/>
    <m/>
    <n v="0"/>
    <s v="Poe Engineering"/>
    <m/>
    <s v="BUILDINGS"/>
    <s v="TBA"/>
    <m/>
    <m/>
    <m/>
    <d v="2003-04-30T00:00:00"/>
    <d v="2003-04-30T00:00:00"/>
    <s v="03-2111-012a"/>
    <n v="2000"/>
    <n v="14080"/>
    <n v="4000"/>
    <n v="14086"/>
    <n v="4000"/>
    <n v="0"/>
    <n v="0"/>
    <n v="57260"/>
    <n v="0"/>
    <s v="P"/>
    <m/>
    <m/>
    <s v=" "/>
    <s v="STL"/>
    <s v="YES"/>
    <s v="TBD"/>
    <d v="2024-10-09T00:00:00"/>
    <x v="19"/>
    <m/>
    <m/>
    <m/>
    <m/>
    <m/>
    <m/>
    <m/>
    <m/>
    <m/>
    <m/>
    <m/>
  </r>
  <r>
    <n v="2111"/>
    <n v="19270"/>
    <s v="P"/>
    <s v="Capitalized"/>
    <s v="95 Gallon Carts"/>
    <m/>
    <m/>
    <n v="768"/>
    <s v="WC001465-WC002232"/>
    <n v="0"/>
    <s v="Otto Waste Systems"/>
    <m/>
    <s v="CONTAINERS"/>
    <s v="TBA"/>
    <m/>
    <m/>
    <m/>
    <d v="2003-03-31T00:00:00"/>
    <d v="2003-03-31T00:00:00"/>
    <s v="03-2111-007b"/>
    <n v="700"/>
    <n v="14050"/>
    <n v="33423.360000000001"/>
    <n v="14056"/>
    <n v="33423.360000000001"/>
    <n v="0"/>
    <n v="0"/>
    <n v="54260"/>
    <n v="0"/>
    <s v="P"/>
    <m/>
    <m/>
    <s v=" "/>
    <s v="STL"/>
    <s v="YES"/>
    <s v="TBD"/>
    <d v="2024-10-09T00:00:00"/>
    <x v="19"/>
    <m/>
    <m/>
    <m/>
    <m/>
    <m/>
    <m/>
    <m/>
    <m/>
    <m/>
    <m/>
    <m/>
  </r>
  <r>
    <n v="2111"/>
    <n v="19228"/>
    <s v="P"/>
    <s v="Capitalized"/>
    <s v="Parcel Purchase at 6803 N Levee Rd E"/>
    <m/>
    <m/>
    <n v="1"/>
    <m/>
    <n v="0"/>
    <s v="Jeffrey S Dean, Attorney"/>
    <m/>
    <s v="LAND"/>
    <s v="LAND"/>
    <m/>
    <m/>
    <m/>
    <d v="2003-04-30T00:00:00"/>
    <d v="2003-04-30T00:00:00"/>
    <s v="03-2111-009"/>
    <n v="0"/>
    <n v="14000"/>
    <n v="178988.17"/>
    <n v="14016"/>
    <n v="0"/>
    <n v="178988.17"/>
    <n v="0"/>
    <n v="57260"/>
    <n v="0"/>
    <s v="P"/>
    <m/>
    <m/>
    <s v=" "/>
    <s v="STL"/>
    <s v="NO"/>
    <s v="TBD"/>
    <d v="2024-10-09T00:00:00"/>
    <x v="19"/>
    <m/>
    <m/>
    <m/>
    <m/>
    <m/>
    <m/>
    <m/>
    <m/>
    <m/>
    <m/>
    <m/>
  </r>
  <r>
    <n v="2111"/>
    <n v="19079"/>
    <s v="P"/>
    <s v="Capitalized"/>
    <s v="Retainer for Development Services"/>
    <m/>
    <m/>
    <n v="1"/>
    <m/>
    <n v="0"/>
    <s v="Baseline Engineering"/>
    <m/>
    <s v="BUILDINGS"/>
    <s v="TBA"/>
    <m/>
    <m/>
    <m/>
    <d v="2003-04-30T00:00:00"/>
    <d v="2003-04-30T00:00:00"/>
    <s v="03-2111-012A"/>
    <n v="2000"/>
    <n v="14080"/>
    <n v="3000"/>
    <n v="14086"/>
    <n v="3000"/>
    <n v="0"/>
    <n v="0"/>
    <n v="57260"/>
    <n v="0"/>
    <s v="P"/>
    <m/>
    <m/>
    <s v=" "/>
    <s v="STL"/>
    <s v="YES"/>
    <s v="TBD"/>
    <d v="2024-10-09T00:00:00"/>
    <x v="19"/>
    <m/>
    <m/>
    <m/>
    <m/>
    <m/>
    <m/>
    <m/>
    <m/>
    <m/>
    <m/>
    <m/>
  </r>
  <r>
    <n v="2111"/>
    <n v="18963"/>
    <s v="P"/>
    <s v="Capitalized"/>
    <s v="Murrey's Building"/>
    <m/>
    <m/>
    <n v="1"/>
    <m/>
    <n v="0"/>
    <m/>
    <m/>
    <s v="BUILDINGS"/>
    <s v="TBA"/>
    <m/>
    <m/>
    <m/>
    <d v="2003-03-01T00:00:00"/>
    <d v="2003-03-01T00:00:00"/>
    <s v="03-2111-012a"/>
    <n v="2000"/>
    <n v="14080"/>
    <n v="2099.2800000000002"/>
    <n v="14086"/>
    <n v="2099.2800000000002"/>
    <n v="0"/>
    <n v="0"/>
    <n v="57260"/>
    <n v="0"/>
    <s v="P"/>
    <m/>
    <m/>
    <s v=" "/>
    <s v="STL"/>
    <s v="YES"/>
    <s v="TBD"/>
    <d v="2024-10-09T00:00:00"/>
    <x v="19"/>
    <m/>
    <m/>
    <m/>
    <m/>
    <m/>
    <m/>
    <m/>
    <m/>
    <m/>
    <m/>
    <m/>
  </r>
  <r>
    <n v="2111"/>
    <n v="18953"/>
    <s v="P"/>
    <s v="Capitalized"/>
    <s v="MSD 95 Carts w/ Metal Bar &amp; Snap on Wheel"/>
    <m/>
    <m/>
    <n v="384"/>
    <s v="WC0000385-WC0000696"/>
    <n v="0"/>
    <s v="Otto Waste Systems"/>
    <m/>
    <s v="CONTAINERS"/>
    <s v="TBA"/>
    <m/>
    <m/>
    <m/>
    <d v="2003-01-20T00:00:00"/>
    <d v="2003-01-20T00:00:00"/>
    <s v="03-2111-007a"/>
    <n v="700"/>
    <n v="14050"/>
    <n v="17146.400000000001"/>
    <n v="14056"/>
    <n v="17146.400000000001"/>
    <n v="0"/>
    <n v="0"/>
    <n v="54260"/>
    <n v="0"/>
    <s v="P"/>
    <m/>
    <m/>
    <s v=" "/>
    <s v="STL"/>
    <s v="YES"/>
    <s v="TBD"/>
    <d v="2024-10-09T00:00:00"/>
    <x v="19"/>
    <m/>
    <m/>
    <m/>
    <m/>
    <m/>
    <m/>
    <m/>
    <m/>
    <m/>
    <m/>
    <m/>
  </r>
  <r>
    <n v="2111"/>
    <n v="18434"/>
    <s v="P"/>
    <s v="Capitalized"/>
    <s v="Land/Yard Improvements"/>
    <m/>
    <m/>
    <n v="1"/>
    <m/>
    <n v="0"/>
    <m/>
    <m/>
    <s v="LAND IMPROVEMENTS"/>
    <s v="TBA"/>
    <m/>
    <m/>
    <m/>
    <d v="2004-09-30T00:00:00"/>
    <d v="2003-01-01T00:00:00"/>
    <m/>
    <n v="1000"/>
    <n v="14010"/>
    <n v="4548.99"/>
    <n v="14016"/>
    <n v="4548.99"/>
    <n v="0"/>
    <n v="0"/>
    <n v="57260"/>
    <n v="0"/>
    <s v="P"/>
    <m/>
    <m/>
    <s v=" "/>
    <s v="STL"/>
    <s v="YES"/>
    <s v="TBD"/>
    <d v="2024-10-09T00:00:00"/>
    <x v="19"/>
    <m/>
    <m/>
    <m/>
    <m/>
    <m/>
    <m/>
    <m/>
    <m/>
    <m/>
    <m/>
    <m/>
  </r>
  <r>
    <n v="2111"/>
    <n v="17900"/>
    <s v="P"/>
    <s v="Capitalized"/>
    <s v="2 Yd Rear Load Containers"/>
    <m/>
    <m/>
    <n v="1"/>
    <m/>
    <n v="0"/>
    <s v="Enterprise Sales"/>
    <m/>
    <s v="CONTAINERS"/>
    <s v="TBA"/>
    <m/>
    <s v="2 YD"/>
    <s v="FEL/REL/SL Metal"/>
    <d v="2002-12-31T00:00:00"/>
    <d v="2002-12-31T00:00:00"/>
    <s v="02-2111-008"/>
    <n v="1200"/>
    <n v="14050"/>
    <n v="345.03"/>
    <n v="14056"/>
    <n v="345.03"/>
    <n v="0"/>
    <n v="0"/>
    <n v="54260"/>
    <n v="0"/>
    <s v="P"/>
    <m/>
    <m/>
    <s v=" "/>
    <s v="STL"/>
    <s v="YES"/>
    <s v="TBD"/>
    <d v="2024-10-09T00:00:00"/>
    <x v="19"/>
    <m/>
    <m/>
    <m/>
    <m/>
    <m/>
    <m/>
    <m/>
    <m/>
    <m/>
    <m/>
    <m/>
  </r>
  <r>
    <n v="2111"/>
    <n v="17899"/>
    <s v="P"/>
    <s v="Capitalized"/>
    <s v="1.5 Yd Rear Load Containers"/>
    <m/>
    <m/>
    <n v="15"/>
    <m/>
    <n v="0"/>
    <s v="Enterprise Sales"/>
    <m/>
    <s v="CONTAINERS"/>
    <s v="TBA"/>
    <m/>
    <s v="1.5 YD"/>
    <s v="FEL/REL/SL Metal"/>
    <d v="2002-12-31T00:00:00"/>
    <d v="2002-12-31T00:00:00"/>
    <s v="02-2111-008"/>
    <n v="1200"/>
    <n v="14050"/>
    <n v="4849.95"/>
    <n v="14056"/>
    <n v="4849.95"/>
    <n v="0"/>
    <n v="0"/>
    <n v="54260"/>
    <n v="0"/>
    <s v="P"/>
    <m/>
    <m/>
    <s v=" "/>
    <s v="STL"/>
    <s v="YES"/>
    <s v="TBD"/>
    <d v="2024-10-09T00:00:00"/>
    <x v="19"/>
    <m/>
    <m/>
    <m/>
    <m/>
    <m/>
    <m/>
    <m/>
    <m/>
    <m/>
    <m/>
    <m/>
  </r>
  <r>
    <n v="2111"/>
    <n v="17898"/>
    <s v="P"/>
    <s v="Capitalized"/>
    <s v="1 Yd Rear Load Containers"/>
    <m/>
    <m/>
    <n v="15"/>
    <m/>
    <n v="0"/>
    <s v="Enterprise Sales"/>
    <m/>
    <s v="CONTAINERS"/>
    <s v="TBA"/>
    <m/>
    <s v="1 YD"/>
    <s v="FEL/REL/SL Metal"/>
    <d v="2002-12-31T00:00:00"/>
    <d v="2002-12-31T00:00:00"/>
    <s v="02-2111-008"/>
    <n v="1200"/>
    <n v="14050"/>
    <n v="4540.7299999999996"/>
    <n v="14056"/>
    <n v="4540.7299999999996"/>
    <n v="0"/>
    <n v="0"/>
    <n v="54260"/>
    <n v="0"/>
    <s v="P"/>
    <m/>
    <m/>
    <s v=" "/>
    <s v="STL"/>
    <s v="YES"/>
    <s v="TBD"/>
    <d v="2024-10-09T00:00:00"/>
    <x v="19"/>
    <m/>
    <m/>
    <m/>
    <m/>
    <m/>
    <m/>
    <m/>
    <m/>
    <m/>
    <m/>
    <m/>
  </r>
  <r>
    <n v="2111"/>
    <n v="17353"/>
    <s v="P"/>
    <s v="Capitalized"/>
    <s v="HP Laserjet 8150N Printer"/>
    <m/>
    <m/>
    <n v="1"/>
    <s v="JPBBB49556"/>
    <n v="0"/>
    <s v="Quest"/>
    <m/>
    <s v="HARDWARE AND SOFTWARE"/>
    <s v="TBA"/>
    <m/>
    <m/>
    <m/>
    <d v="2002-09-23T00:00:00"/>
    <d v="2002-09-23T00:00:00"/>
    <m/>
    <n v="500"/>
    <n v="14110"/>
    <n v="5173.42"/>
    <n v="14116"/>
    <n v="5173.42"/>
    <n v="0"/>
    <n v="0"/>
    <n v="70260"/>
    <n v="0"/>
    <s v="P"/>
    <m/>
    <m/>
    <s v=" "/>
    <s v="STL"/>
    <s v="YES"/>
    <s v="TBD"/>
    <d v="2024-10-09T00:00:00"/>
    <x v="19"/>
    <m/>
    <m/>
    <m/>
    <m/>
    <m/>
    <m/>
    <m/>
    <m/>
    <m/>
    <m/>
    <m/>
  </r>
  <r>
    <n v="2111"/>
    <n v="16546"/>
    <s v="P"/>
    <s v="Capitalized"/>
    <s v="MSD95 w/ Metal Bar &amp; Snap On Wheels"/>
    <m/>
    <m/>
    <n v="384"/>
    <s v="92650000001-92650000768"/>
    <n v="0"/>
    <s v="Otto Industries"/>
    <m/>
    <s v="CONTAINERS"/>
    <s v="TBA"/>
    <m/>
    <m/>
    <m/>
    <d v="2002-07-29T00:00:00"/>
    <d v="2002-07-29T00:00:00"/>
    <s v="02-2111-010"/>
    <n v="700"/>
    <n v="14050"/>
    <n v="19621.41"/>
    <n v="14056"/>
    <n v="19621.41"/>
    <n v="0"/>
    <n v="0"/>
    <n v="54260"/>
    <n v="0"/>
    <s v="P"/>
    <m/>
    <m/>
    <s v=" "/>
    <s v="STL"/>
    <s v="YES"/>
    <s v="TBD"/>
    <d v="2024-10-09T00:00:00"/>
    <x v="19"/>
    <m/>
    <m/>
    <m/>
    <m/>
    <m/>
    <m/>
    <m/>
    <m/>
    <m/>
    <m/>
    <m/>
  </r>
  <r>
    <n v="2111"/>
    <n v="16544"/>
    <s v="P"/>
    <s v="Capitalized"/>
    <s v="30 Yd Drop Box w/ Screen Lid"/>
    <m/>
    <m/>
    <n v="3"/>
    <s v="110611 110624 110693"/>
    <n v="0"/>
    <s v="Capital Industries"/>
    <m/>
    <s v="CONTAINERS"/>
    <s v="TBA"/>
    <m/>
    <s v="30 YD"/>
    <s v="RO Box"/>
    <d v="2002-07-15T00:00:00"/>
    <d v="2002-07-15T00:00:00"/>
    <s v="02-2111-007"/>
    <n v="1200"/>
    <n v="14050"/>
    <n v="10118.4"/>
    <n v="14056"/>
    <n v="10118.4"/>
    <n v="0"/>
    <n v="0"/>
    <n v="54260"/>
    <n v="0"/>
    <s v="P"/>
    <m/>
    <m/>
    <s v=" "/>
    <s v="STL"/>
    <s v="YES"/>
    <s v="TBD"/>
    <d v="2024-10-09T00:00:00"/>
    <x v="19"/>
    <m/>
    <m/>
    <m/>
    <m/>
    <m/>
    <m/>
    <m/>
    <m/>
    <m/>
    <m/>
    <m/>
  </r>
  <r>
    <n v="2111"/>
    <n v="16111"/>
    <s v="P"/>
    <s v="Capitalized"/>
    <s v="Light in Maint. Shop &amp; Parking Lot"/>
    <m/>
    <m/>
    <n v="1"/>
    <m/>
    <n v="0"/>
    <s v="D&amp;S Electric"/>
    <m/>
    <s v="BUILDINGS"/>
    <s v="TBA"/>
    <m/>
    <m/>
    <m/>
    <d v="2002-06-07T00:00:00"/>
    <d v="2002-06-07T00:00:00"/>
    <s v="02-2111-013"/>
    <n v="1000"/>
    <n v="14080"/>
    <n v="22862.04"/>
    <n v="14086"/>
    <n v="22862.04"/>
    <n v="0"/>
    <n v="0"/>
    <n v="57260"/>
    <n v="0"/>
    <s v="P"/>
    <m/>
    <m/>
    <s v=" "/>
    <s v="STL"/>
    <s v="YES"/>
    <s v="TBD"/>
    <d v="2024-10-09T00:00:00"/>
    <x v="19"/>
    <m/>
    <m/>
    <m/>
    <m/>
    <m/>
    <m/>
    <m/>
    <m/>
    <m/>
    <m/>
    <m/>
  </r>
  <r>
    <n v="2111"/>
    <n v="16100"/>
    <s v="P"/>
    <s v="Capitalized"/>
    <s v="95 Gallon Universal Carts"/>
    <m/>
    <m/>
    <n v="864"/>
    <s v="SEE NOTES"/>
    <n v="0"/>
    <s v="Rehrig Pacific"/>
    <m/>
    <s v="CONTAINERS"/>
    <s v="TBA"/>
    <m/>
    <m/>
    <m/>
    <d v="2002-02-21T00:00:00"/>
    <d v="2002-02-21T00:00:00"/>
    <s v="02-2160-004"/>
    <n v="700"/>
    <n v="14050"/>
    <n v="39988.76"/>
    <n v="14056"/>
    <n v="39988.76"/>
    <n v="0"/>
    <n v="0"/>
    <n v="54260"/>
    <n v="0"/>
    <s v="P"/>
    <m/>
    <m/>
    <s v=" "/>
    <s v="STL"/>
    <s v="YES"/>
    <s v="TBD"/>
    <d v="2024-10-09T00:00:00"/>
    <x v="19"/>
    <m/>
    <m/>
    <m/>
    <m/>
    <m/>
    <m/>
    <m/>
    <m/>
    <m/>
    <m/>
    <m/>
  </r>
  <r>
    <n v="2111"/>
    <n v="16080"/>
    <s v="P"/>
    <s v="Capitalized"/>
    <s v="1 Yd FEL Containers w/ Wheels"/>
    <m/>
    <m/>
    <n v="10"/>
    <m/>
    <n v="0"/>
    <s v="Capital Industries"/>
    <m/>
    <s v="CONTAINERS"/>
    <s v="TBA"/>
    <m/>
    <s v="1 YD"/>
    <s v="FEL/REL/SL Metal"/>
    <d v="2002-06-29T00:00:00"/>
    <d v="2002-06-29T00:00:00"/>
    <m/>
    <n v="1200"/>
    <n v="14050"/>
    <n v="3073.6"/>
    <n v="14056"/>
    <n v="3073.6"/>
    <n v="0"/>
    <n v="0"/>
    <n v="54260"/>
    <n v="0"/>
    <s v="P"/>
    <m/>
    <m/>
    <s v=" "/>
    <s v="STL"/>
    <s v="YES"/>
    <s v="TBD"/>
    <d v="2024-10-09T00:00:00"/>
    <x v="19"/>
    <m/>
    <m/>
    <m/>
    <m/>
    <m/>
    <m/>
    <m/>
    <m/>
    <m/>
    <m/>
    <m/>
  </r>
  <r>
    <n v="2111"/>
    <n v="15442"/>
    <s v="P"/>
    <s v="Capitalized"/>
    <s v="HP 1200N Printer"/>
    <m/>
    <m/>
    <n v="1"/>
    <s v="SCNDL079577"/>
    <n v="0"/>
    <s v="Quest"/>
    <m/>
    <s v="HARDWARE AND SOFTWARE"/>
    <s v="TBA"/>
    <m/>
    <m/>
    <m/>
    <d v="2002-06-27T00:00:00"/>
    <d v="2002-06-27T00:00:00"/>
    <m/>
    <n v="500"/>
    <n v="14110"/>
    <n v="659.75"/>
    <n v="14116"/>
    <n v="659.75"/>
    <n v="0"/>
    <n v="0"/>
    <n v="70260"/>
    <n v="0"/>
    <s v="P"/>
    <m/>
    <m/>
    <s v=" "/>
    <s v="STL"/>
    <s v="YES"/>
    <s v="TBD"/>
    <d v="2024-10-09T00:00:00"/>
    <x v="19"/>
    <m/>
    <m/>
    <m/>
    <m/>
    <m/>
    <m/>
    <m/>
    <m/>
    <m/>
    <m/>
    <m/>
  </r>
  <r>
    <n v="2111"/>
    <n v="15130"/>
    <s v="P"/>
    <s v="Capitalized"/>
    <s v="Ramteq Pressure Washer BV0750-81"/>
    <m/>
    <m/>
    <n v="1"/>
    <n v="200214000000"/>
    <n v="2002"/>
    <s v="B&amp;M Enterprises, Inc."/>
    <s v="Other"/>
    <s v="SHOP EQUIPMENT"/>
    <s v="TBA"/>
    <m/>
    <m/>
    <m/>
    <d v="2002-04-18T00:00:00"/>
    <d v="2002-04-18T00:00:00"/>
    <n v="22140005"/>
    <n v="300"/>
    <n v="14070"/>
    <n v="6348.86"/>
    <n v="14076"/>
    <n v="6348.86"/>
    <n v="0"/>
    <n v="0"/>
    <n v="51260"/>
    <n v="0"/>
    <s v="P"/>
    <m/>
    <m/>
    <s v=" "/>
    <s v="STL"/>
    <s v="YES"/>
    <s v="TBD"/>
    <d v="2024-10-09T00:00:00"/>
    <x v="19"/>
    <m/>
    <m/>
    <m/>
    <m/>
    <m/>
    <m/>
    <m/>
    <m/>
    <m/>
    <m/>
    <m/>
  </r>
  <r>
    <n v="2111"/>
    <n v="14734"/>
    <s v="P"/>
    <s v="Capitalized"/>
    <s v="Roc - 95 Gallon Containers"/>
    <m/>
    <m/>
    <n v="432"/>
    <s v="259505-259936"/>
    <n v="0"/>
    <s v="Rehrig Pacific"/>
    <m/>
    <s v="CONTAINERS"/>
    <s v="TBA"/>
    <m/>
    <m/>
    <m/>
    <d v="2002-04-03T00:00:00"/>
    <d v="2002-04-03T00:00:00"/>
    <s v="02-2111-009"/>
    <n v="700"/>
    <n v="14050"/>
    <n v="19284.79"/>
    <n v="14056"/>
    <n v="19284.79"/>
    <n v="0"/>
    <n v="0"/>
    <n v="54260"/>
    <n v="0"/>
    <s v="P"/>
    <m/>
    <m/>
    <s v=" "/>
    <s v="STL"/>
    <s v="YES"/>
    <s v="TBD"/>
    <d v="2024-10-09T00:00:00"/>
    <x v="19"/>
    <m/>
    <m/>
    <m/>
    <m/>
    <m/>
    <m/>
    <m/>
    <m/>
    <m/>
    <m/>
    <m/>
  </r>
  <r>
    <n v="2111"/>
    <n v="14431"/>
    <s v="P"/>
    <s v="Capitalized"/>
    <s v="WinTerm"/>
    <m/>
    <m/>
    <n v="1"/>
    <s v="S1CF10400201"/>
    <n v="0"/>
    <s v="Insight"/>
    <m/>
    <s v="HARDWARE AND SOFTWARE"/>
    <s v="TBA"/>
    <m/>
    <m/>
    <m/>
    <d v="2002-02-25T00:00:00"/>
    <d v="2002-02-25T00:00:00"/>
    <s v="02-2111-001"/>
    <n v="300"/>
    <n v="14110"/>
    <n v="449.84"/>
    <n v="14116"/>
    <n v="449.84"/>
    <n v="0"/>
    <n v="0"/>
    <n v="70260"/>
    <n v="0"/>
    <s v="P"/>
    <m/>
    <m/>
    <s v=" "/>
    <s v="STL"/>
    <s v="YES"/>
    <s v="TBD"/>
    <d v="2024-10-09T00:00:00"/>
    <x v="19"/>
    <m/>
    <m/>
    <m/>
    <m/>
    <m/>
    <m/>
    <m/>
    <m/>
    <m/>
    <m/>
    <m/>
  </r>
  <r>
    <n v="2111"/>
    <n v="14430"/>
    <s v="P"/>
    <s v="Capitalized"/>
    <s v="17 Proview Monitor"/>
    <m/>
    <m/>
    <n v="1"/>
    <s v="FUDU1B295656U"/>
    <n v="0"/>
    <s v="Quest"/>
    <m/>
    <s v="HARDWARE AND SOFTWARE"/>
    <s v="TBA"/>
    <m/>
    <m/>
    <m/>
    <d v="2002-04-11T00:00:00"/>
    <d v="2002-04-11T00:00:00"/>
    <s v="02-2111-001"/>
    <n v="300"/>
    <n v="14110"/>
    <n v="195.11"/>
    <n v="14116"/>
    <n v="195.11"/>
    <n v="0"/>
    <n v="0"/>
    <n v="70260"/>
    <n v="0"/>
    <s v="P"/>
    <m/>
    <m/>
    <s v=" "/>
    <s v="STL"/>
    <s v="YES"/>
    <s v="TBD"/>
    <d v="2024-10-09T00:00:00"/>
    <x v="19"/>
    <m/>
    <m/>
    <m/>
    <m/>
    <m/>
    <m/>
    <m/>
    <m/>
    <m/>
    <m/>
    <m/>
  </r>
  <r>
    <n v="2111"/>
    <n v="13281"/>
    <s v="P"/>
    <s v="Capitalized"/>
    <s v="1 Yd Rear Load Containers"/>
    <m/>
    <m/>
    <n v="5"/>
    <m/>
    <n v="0"/>
    <s v="Capital Industries"/>
    <m/>
    <s v="CONTAINERS"/>
    <s v="TBA"/>
    <m/>
    <s v="1 YD"/>
    <s v="FEL/REL/SL Metal"/>
    <d v="2002-01-01T00:00:00"/>
    <d v="2002-01-01T00:00:00"/>
    <s v="01-2111-004"/>
    <n v="1200"/>
    <n v="14050"/>
    <n v="1599.36"/>
    <n v="14056"/>
    <n v="1599.36"/>
    <n v="0"/>
    <n v="0"/>
    <n v="54260"/>
    <n v="0"/>
    <s v="P"/>
    <m/>
    <m/>
    <s v=" "/>
    <s v="STL"/>
    <s v="YES"/>
    <s v="TBD"/>
    <d v="2024-10-09T00:00:00"/>
    <x v="19"/>
    <m/>
    <m/>
    <m/>
    <m/>
    <m/>
    <m/>
    <m/>
    <m/>
    <m/>
    <m/>
    <m/>
  </r>
  <r>
    <n v="2111"/>
    <n v="12580"/>
    <s v="P"/>
    <s v="Capitalized"/>
    <s v="IPDS-COAX/TWINAX MES"/>
    <m/>
    <m/>
    <n v="1"/>
    <s v="07971/001"/>
    <n v="0"/>
    <s v="Mint Computer Resources"/>
    <m/>
    <s v="HARDWARE AND SOFTWARE"/>
    <s v="TBA"/>
    <m/>
    <m/>
    <m/>
    <d v="2001-12-31T00:00:00"/>
    <d v="2001-12-31T00:00:00"/>
    <s v="01-2111-014"/>
    <n v="500"/>
    <n v="14110"/>
    <n v="1224.95"/>
    <n v="14116"/>
    <n v="1224.95"/>
    <n v="0"/>
    <n v="0"/>
    <n v="70260"/>
    <n v="0"/>
    <s v="P"/>
    <m/>
    <m/>
    <s v=" "/>
    <s v="STL"/>
    <s v="YES"/>
    <s v="TBD"/>
    <d v="2024-10-09T00:00:00"/>
    <x v="19"/>
    <m/>
    <m/>
    <m/>
    <m/>
    <m/>
    <m/>
    <m/>
    <m/>
    <m/>
    <m/>
    <m/>
  </r>
  <r>
    <n v="2111"/>
    <n v="12540"/>
    <s v="P"/>
    <s v="Capitalized"/>
    <s v="Compaq DL 580 SACDB3 File Server"/>
    <m/>
    <m/>
    <n v="1"/>
    <s v="D139DYV3K000"/>
    <n v="0"/>
    <s v="Insight"/>
    <m/>
    <s v="HARDWARE AND SOFTWARE"/>
    <s v="TBA"/>
    <m/>
    <m/>
    <m/>
    <d v="2001-12-31T00:00:00"/>
    <d v="2001-12-31T00:00:00"/>
    <s v="01-2111-014"/>
    <n v="500"/>
    <n v="14110"/>
    <n v="24089.53"/>
    <n v="14116"/>
    <n v="24089.53"/>
    <n v="0"/>
    <n v="0"/>
    <n v="70260"/>
    <n v="0"/>
    <s v="P"/>
    <m/>
    <m/>
    <s v=" "/>
    <s v="STL"/>
    <s v="YES"/>
    <s v="TBD"/>
    <d v="2024-10-09T00:00:00"/>
    <x v="19"/>
    <m/>
    <m/>
    <m/>
    <m/>
    <m/>
    <m/>
    <m/>
    <m/>
    <m/>
    <m/>
    <m/>
  </r>
  <r>
    <n v="2111"/>
    <n v="12337"/>
    <s v="P"/>
    <s v="Capitalized"/>
    <s v="Transmission Rebuild (3) Units"/>
    <m/>
    <m/>
    <n v="1"/>
    <s v="HT740RS"/>
    <n v="2001"/>
    <s v="PACIFIC TORQUE INC."/>
    <s v="Other"/>
    <s v="TRUCKS AND TRAILERS"/>
    <s v="TBA"/>
    <s v="Non-Rolling Stock"/>
    <m/>
    <m/>
    <d v="2001-12-01T00:00:00"/>
    <d v="2001-11-01T00:00:00"/>
    <m/>
    <n v="300"/>
    <n v="14040"/>
    <n v="9139.2000000000007"/>
    <n v="14046"/>
    <n v="9139.2000000000007"/>
    <n v="0"/>
    <n v="0"/>
    <n v="51260"/>
    <n v="0"/>
    <s v="P"/>
    <m/>
    <m/>
    <s v=" "/>
    <s v="STL"/>
    <s v="YES"/>
    <s v="TBD"/>
    <d v="2024-10-09T00:00:00"/>
    <x v="19"/>
    <m/>
    <m/>
    <m/>
    <m/>
    <m/>
    <m/>
    <m/>
    <m/>
    <m/>
    <m/>
    <m/>
  </r>
  <r>
    <n v="2111"/>
    <n v="11505"/>
    <s v="P"/>
    <s v="Capitalized"/>
    <s v="95 Gallon Universal Carts w/ Lids"/>
    <m/>
    <m/>
    <n v="432"/>
    <s v="258209-258640"/>
    <n v="0"/>
    <s v="Rehrig Pacific Co."/>
    <m/>
    <s v="CONTAINERS"/>
    <s v="TBA"/>
    <m/>
    <m/>
    <m/>
    <d v="2001-08-17T00:00:00"/>
    <d v="2001-08-17T00:00:00"/>
    <m/>
    <n v="700"/>
    <n v="14050"/>
    <n v="18514.439999999999"/>
    <n v="14056"/>
    <n v="18514.439999999999"/>
    <n v="0"/>
    <n v="0"/>
    <n v="54260"/>
    <n v="0"/>
    <s v="P"/>
    <m/>
    <m/>
    <s v=" "/>
    <s v="STL"/>
    <s v="YES"/>
    <s v="TBD"/>
    <d v="2024-10-09T00:00:00"/>
    <x v="19"/>
    <m/>
    <m/>
    <m/>
    <m/>
    <m/>
    <m/>
    <m/>
    <m/>
    <m/>
    <m/>
    <m/>
  </r>
  <r>
    <n v="2111"/>
    <n v="11411"/>
    <s v="P"/>
    <s v="Capitalized"/>
    <s v="Additional Tax on (10) 30 Yd Drop Boxes w/ Lids"/>
    <m/>
    <m/>
    <n v="10"/>
    <m/>
    <n v="0"/>
    <s v="Capital Industries"/>
    <m/>
    <s v="CONTAINERS"/>
    <s v="TBA"/>
    <m/>
    <m/>
    <m/>
    <d v="2001-05-17T00:00:00"/>
    <d v="2001-05-17T00:00:00"/>
    <s v="01-2111-010"/>
    <n v="1200"/>
    <n v="14050"/>
    <n v="464.1"/>
    <n v="14056"/>
    <n v="464.1"/>
    <n v="0"/>
    <n v="0"/>
    <n v="54260"/>
    <n v="0"/>
    <s v="P"/>
    <m/>
    <m/>
    <s v=" "/>
    <s v="STL"/>
    <s v="YES"/>
    <s v="TBD"/>
    <d v="2024-10-09T00:00:00"/>
    <x v="19"/>
    <m/>
    <m/>
    <m/>
    <m/>
    <m/>
    <m/>
    <m/>
    <m/>
    <m/>
    <m/>
    <m/>
  </r>
  <r>
    <n v="2111"/>
    <n v="11410"/>
    <s v="P"/>
    <s v="Capitalized"/>
    <s v="Additional Tax on (5) 4 Yd FL Containers"/>
    <m/>
    <m/>
    <n v="5"/>
    <m/>
    <n v="0"/>
    <s v="Capital Industries"/>
    <m/>
    <s v="CONTAINERS"/>
    <s v="TBA"/>
    <m/>
    <m/>
    <m/>
    <d v="2001-05-16T00:00:00"/>
    <d v="2001-05-16T00:00:00"/>
    <s v="01-2111-008"/>
    <n v="1200"/>
    <n v="14050"/>
    <n v="29.25"/>
    <n v="14056"/>
    <n v="29.25"/>
    <n v="0"/>
    <n v="0"/>
    <n v="54260"/>
    <n v="0"/>
    <s v="P"/>
    <m/>
    <m/>
    <s v=" "/>
    <s v="STL"/>
    <s v="YES"/>
    <s v="TBD"/>
    <d v="2024-10-09T00:00:00"/>
    <x v="19"/>
    <m/>
    <m/>
    <m/>
    <m/>
    <m/>
    <m/>
    <m/>
    <m/>
    <m/>
    <m/>
    <m/>
  </r>
  <r>
    <n v="2111"/>
    <n v="11409"/>
    <s v="P"/>
    <s v="Capitalized"/>
    <s v="Additional tax on (12) 2 Yd RL Containers"/>
    <m/>
    <m/>
    <n v="12"/>
    <m/>
    <n v="0"/>
    <s v="Capital Industries"/>
    <m/>
    <s v="CONTAINERS"/>
    <s v="TBA"/>
    <m/>
    <m/>
    <m/>
    <d v="2001-05-15T00:00:00"/>
    <d v="2001-05-15T00:00:00"/>
    <s v="01-2111-006"/>
    <n v="1200"/>
    <n v="14050"/>
    <n v="54.91"/>
    <n v="14056"/>
    <n v="54.91"/>
    <n v="0"/>
    <n v="0"/>
    <n v="54260"/>
    <n v="0"/>
    <s v="P"/>
    <m/>
    <m/>
    <s v=" "/>
    <s v="STL"/>
    <s v="YES"/>
    <s v="TBD"/>
    <d v="2024-10-09T00:00:00"/>
    <x v="19"/>
    <m/>
    <m/>
    <m/>
    <m/>
    <m/>
    <m/>
    <m/>
    <m/>
    <m/>
    <m/>
    <m/>
  </r>
  <r>
    <n v="2111"/>
    <n v="11294"/>
    <s v="P"/>
    <s v="Capitalized"/>
    <s v="Computer Upgrade"/>
    <m/>
    <m/>
    <n v="1"/>
    <s v="9402-6607/9402-3172"/>
    <n v="0"/>
    <s v="Mint Computer Resources"/>
    <m/>
    <s v="HARDWARE AND SOFTWARE"/>
    <s v="TBA"/>
    <m/>
    <m/>
    <m/>
    <d v="2001-08-14T00:00:00"/>
    <d v="2001-08-14T00:00:00"/>
    <s v="01-2111-014"/>
    <n v="500"/>
    <n v="14110"/>
    <n v="4376.91"/>
    <n v="14116"/>
    <n v="4376.91"/>
    <n v="0"/>
    <n v="0"/>
    <n v="70260"/>
    <n v="0"/>
    <s v="P"/>
    <m/>
    <m/>
    <s v=" "/>
    <s v="STL"/>
    <s v="YES"/>
    <s v="TBD"/>
    <d v="2024-10-09T00:00:00"/>
    <x v="19"/>
    <m/>
    <m/>
    <m/>
    <m/>
    <m/>
    <m/>
    <m/>
    <m/>
    <m/>
    <m/>
    <m/>
  </r>
  <r>
    <n v="2111"/>
    <n v="11293"/>
    <s v="P"/>
    <s v="Capitalized"/>
    <s v="Zip Drive"/>
    <m/>
    <m/>
    <n v="1"/>
    <m/>
    <n v="0"/>
    <s v="Insight"/>
    <m/>
    <s v="HARDWARE AND SOFTWARE"/>
    <s v="TBA"/>
    <m/>
    <m/>
    <m/>
    <d v="2001-07-14T00:00:00"/>
    <d v="2001-07-14T00:00:00"/>
    <m/>
    <n v="300"/>
    <n v="14110"/>
    <n v="158.82"/>
    <n v="14116"/>
    <n v="158.82"/>
    <n v="0"/>
    <n v="0"/>
    <n v="70260"/>
    <n v="0"/>
    <s v="P"/>
    <m/>
    <m/>
    <s v=" "/>
    <s v="STL"/>
    <s v="YES"/>
    <s v="TBD"/>
    <d v="2024-10-09T00:00:00"/>
    <x v="19"/>
    <m/>
    <m/>
    <m/>
    <m/>
    <m/>
    <m/>
    <m/>
    <m/>
    <m/>
    <m/>
    <m/>
  </r>
  <r>
    <n v="2111"/>
    <n v="11280"/>
    <s v="P"/>
    <s v="Capitalized"/>
    <s v="95 Gallon Totes"/>
    <m/>
    <m/>
    <n v="1296"/>
    <s v="253913-258208"/>
    <n v="0"/>
    <s v="Rehrig Pacific"/>
    <m/>
    <s v="CONTAINERS"/>
    <s v="TBA"/>
    <m/>
    <m/>
    <m/>
    <d v="2001-06-15T00:00:00"/>
    <d v="2001-06-15T00:00:00"/>
    <s v="01-2111-009"/>
    <n v="700"/>
    <n v="14050"/>
    <n v="55543.32"/>
    <n v="14056"/>
    <n v="55543.32"/>
    <n v="0"/>
    <n v="0"/>
    <n v="54260"/>
    <n v="0"/>
    <s v="P"/>
    <m/>
    <m/>
    <s v=" "/>
    <s v="STL"/>
    <s v="YES"/>
    <s v="TBD"/>
    <d v="2024-10-09T00:00:00"/>
    <x v="19"/>
    <m/>
    <m/>
    <m/>
    <m/>
    <m/>
    <m/>
    <m/>
    <m/>
    <m/>
    <m/>
    <m/>
  </r>
  <r>
    <n v="2111"/>
    <n v="11258"/>
    <s v="P"/>
    <s v="Capitalized"/>
    <s v="Installation of Dumpster Tipper on Truck #9"/>
    <m/>
    <m/>
    <n v="1"/>
    <n v="713217"/>
    <n v="2001"/>
    <s v="North American Crane"/>
    <s v="Other"/>
    <s v="TRUCKS AND TRAILERS"/>
    <s v="TBA"/>
    <s v="Non-Rolling Stock"/>
    <m/>
    <m/>
    <d v="2001-03-22T00:00:00"/>
    <d v="2001-03-22T00:00:00"/>
    <m/>
    <n v="1000"/>
    <n v="14040"/>
    <n v="3209.43"/>
    <n v="14046"/>
    <n v="3209.43"/>
    <n v="0"/>
    <n v="0"/>
    <n v="51260"/>
    <n v="0"/>
    <s v="P"/>
    <m/>
    <m/>
    <s v=" "/>
    <s v="STL"/>
    <s v="YES"/>
    <s v="TBD"/>
    <d v="2024-10-09T00:00:00"/>
    <x v="19"/>
    <m/>
    <m/>
    <m/>
    <m/>
    <m/>
    <m/>
    <m/>
    <m/>
    <m/>
    <m/>
    <m/>
  </r>
  <r>
    <n v="2111"/>
    <n v="11252"/>
    <s v="P"/>
    <s v="Capitalized"/>
    <s v="Operation Office Floor Covering"/>
    <m/>
    <m/>
    <n v="1"/>
    <m/>
    <n v="0"/>
    <s v="Campbell-Cox Floor"/>
    <m/>
    <s v="OFFICE EQUIPMENT"/>
    <s v="TBA"/>
    <m/>
    <m/>
    <m/>
    <d v="2001-07-13T00:00:00"/>
    <d v="2001-07-13T00:00:00"/>
    <s v="01-2111-015"/>
    <n v="500"/>
    <n v="14100"/>
    <n v="4232.59"/>
    <n v="14106"/>
    <n v="4232.59"/>
    <n v="0"/>
    <n v="0"/>
    <n v="70260"/>
    <n v="0"/>
    <s v="P"/>
    <m/>
    <m/>
    <s v=" "/>
    <s v="STL"/>
    <s v="YES"/>
    <s v="TBD"/>
    <d v="2024-10-09T00:00:00"/>
    <x v="19"/>
    <m/>
    <m/>
    <m/>
    <m/>
    <m/>
    <m/>
    <m/>
    <m/>
    <m/>
    <m/>
    <m/>
  </r>
  <r>
    <n v="2111"/>
    <n v="10829"/>
    <s v="P"/>
    <s v="Capitalized"/>
    <s v="Fleet Upgrade"/>
    <m/>
    <m/>
    <n v="1"/>
    <s v="UNKNOWN"/>
    <n v="2001"/>
    <s v="OTHER"/>
    <s v="Other"/>
    <s v="TRUCKS AND TRAILERS"/>
    <s v="TBA"/>
    <s v="Non-Rolling Stock"/>
    <m/>
    <m/>
    <d v="2001-06-30T00:00:00"/>
    <d v="2001-06-30T00:00:00"/>
    <m/>
    <n v="300"/>
    <n v="14040"/>
    <n v="26077"/>
    <n v="14046"/>
    <n v="26077"/>
    <n v="0"/>
    <n v="0"/>
    <n v="51260"/>
    <n v="0"/>
    <s v="P"/>
    <m/>
    <m/>
    <s v=" "/>
    <s v="STL"/>
    <s v="YES"/>
    <s v="TBD"/>
    <d v="2024-10-09T00:00:00"/>
    <x v="19"/>
    <m/>
    <m/>
    <m/>
    <m/>
    <m/>
    <m/>
    <m/>
    <m/>
    <m/>
    <m/>
    <m/>
  </r>
  <r>
    <n v="2111"/>
    <n v="10766"/>
    <s v="P"/>
    <s v="Capitalized"/>
    <s v="CFA Software Phase 2"/>
    <m/>
    <m/>
    <n v="1"/>
    <m/>
    <n v="0"/>
    <s v="Computerized Fleet Analys"/>
    <m/>
    <s v="HARDWARE AND SOFTWARE"/>
    <s v="TBA"/>
    <m/>
    <m/>
    <m/>
    <d v="2001-06-18T00:00:00"/>
    <d v="2001-06-18T00:00:00"/>
    <m/>
    <n v="300"/>
    <n v="14110"/>
    <n v="2718.75"/>
    <n v="14116"/>
    <n v="2718.75"/>
    <n v="0"/>
    <n v="0"/>
    <n v="70260"/>
    <n v="0"/>
    <s v="P"/>
    <m/>
    <m/>
    <s v=" "/>
    <s v="STL"/>
    <s v="YES"/>
    <s v="TBD"/>
    <d v="2024-10-09T00:00:00"/>
    <x v="19"/>
    <m/>
    <m/>
    <m/>
    <m/>
    <m/>
    <m/>
    <m/>
    <m/>
    <m/>
    <m/>
    <m/>
  </r>
  <r>
    <n v="2111"/>
    <n v="10753"/>
    <s v="P"/>
    <s v="Capitalized"/>
    <s v="1 Yd RL Containers"/>
    <m/>
    <m/>
    <n v="10"/>
    <s v="171229-171238"/>
    <n v="0"/>
    <s v="DeWald Northwest"/>
    <m/>
    <s v="CONTAINERS"/>
    <s v="TBA"/>
    <m/>
    <s v="1 YD"/>
    <s v="FEL/REL/SL Metal"/>
    <d v="2001-05-24T00:00:00"/>
    <d v="2001-05-24T00:00:00"/>
    <s v="01-2111-005"/>
    <n v="1200"/>
    <n v="14050"/>
    <n v="3078.58"/>
    <n v="14056"/>
    <n v="3078.58"/>
    <n v="0"/>
    <n v="0"/>
    <n v="54260"/>
    <n v="0"/>
    <s v="P"/>
    <m/>
    <m/>
    <s v=" "/>
    <s v="STL"/>
    <s v="YES"/>
    <s v="TBD"/>
    <d v="2024-10-09T00:00:00"/>
    <x v="19"/>
    <m/>
    <m/>
    <m/>
    <m/>
    <m/>
    <m/>
    <m/>
    <m/>
    <m/>
    <m/>
    <m/>
  </r>
  <r>
    <n v="2111"/>
    <n v="10751"/>
    <s v="P"/>
    <s v="Capitalized"/>
    <s v="2 Yd RL Containers"/>
    <m/>
    <m/>
    <n v="1"/>
    <m/>
    <n v="0"/>
    <s v="Capital Industries, Inc."/>
    <m/>
    <s v="CONTAINERS"/>
    <s v="TBA"/>
    <m/>
    <s v="2 YD"/>
    <s v="FEL/REL/SL Metal"/>
    <d v="2001-05-15T00:00:00"/>
    <d v="2001-05-15T00:00:00"/>
    <s v="01-2111-006"/>
    <n v="1200"/>
    <n v="14050"/>
    <n v="378.4"/>
    <n v="14056"/>
    <n v="378.4"/>
    <n v="0"/>
    <n v="0"/>
    <n v="54260"/>
    <n v="0"/>
    <s v="P"/>
    <m/>
    <m/>
    <s v=" "/>
    <s v="STL"/>
    <s v="YES"/>
    <s v="TBD"/>
    <d v="2024-10-09T00:00:00"/>
    <x v="19"/>
    <m/>
    <m/>
    <m/>
    <m/>
    <m/>
    <m/>
    <m/>
    <m/>
    <m/>
    <m/>
    <m/>
  </r>
  <r>
    <n v="2111"/>
    <n v="10750"/>
    <s v="P"/>
    <s v="Capitalized"/>
    <s v="30 Yd Drop Boxes w/ Lids"/>
    <m/>
    <m/>
    <n v="10"/>
    <m/>
    <n v="0"/>
    <s v="Capital Industries, Inc."/>
    <m/>
    <s v="CONTAINERS"/>
    <s v="TBA"/>
    <m/>
    <s v="30 YD"/>
    <s v="RO Box"/>
    <d v="2001-05-17T00:00:00"/>
    <d v="2001-05-17T00:00:00"/>
    <s v="01-2111-010"/>
    <n v="1200"/>
    <n v="14050"/>
    <n v="38377.5"/>
    <n v="14056"/>
    <n v="38377.5"/>
    <n v="0"/>
    <n v="0"/>
    <n v="54260"/>
    <n v="0"/>
    <s v="P"/>
    <m/>
    <m/>
    <s v=" "/>
    <s v="STL"/>
    <s v="YES"/>
    <s v="TBD"/>
    <d v="2024-10-09T00:00:00"/>
    <x v="19"/>
    <m/>
    <m/>
    <m/>
    <m/>
    <m/>
    <m/>
    <m/>
    <m/>
    <m/>
    <m/>
    <m/>
  </r>
  <r>
    <n v="2111"/>
    <n v="10322"/>
    <s v="P"/>
    <s v="Capitalized"/>
    <s v="1 YD Rear Load Containers"/>
    <m/>
    <m/>
    <n v="10"/>
    <s v="170270-170279"/>
    <n v="0"/>
    <s v="DeWald Northwest"/>
    <m/>
    <s v="CONTAINERS"/>
    <s v="TBA"/>
    <m/>
    <s v="1 YD"/>
    <s v="FEL/REL/SL Metal"/>
    <d v="2001-02-21T00:00:00"/>
    <d v="2001-02-26T00:00:00"/>
    <n v="12132001"/>
    <n v="1200"/>
    <n v="14050"/>
    <n v="3003.33"/>
    <n v="14056"/>
    <n v="3003.33"/>
    <n v="0"/>
    <n v="0"/>
    <n v="54260"/>
    <n v="0"/>
    <s v="P"/>
    <m/>
    <m/>
    <s v=" "/>
    <s v="STL"/>
    <s v="YES"/>
    <s v="TBD"/>
    <d v="2024-10-09T00:00:00"/>
    <x v="19"/>
    <m/>
    <m/>
    <m/>
    <m/>
    <m/>
    <m/>
    <m/>
    <m/>
    <m/>
    <m/>
    <m/>
  </r>
  <r>
    <n v="2111"/>
    <n v="9971"/>
    <s v="P"/>
    <s v="Capitalized"/>
    <s v="Second Story Addition"/>
    <m/>
    <m/>
    <n v="1"/>
    <m/>
    <n v="0"/>
    <s v="Mike Schwartz Const, Inc."/>
    <m/>
    <s v="BUILDINGS"/>
    <s v="TBA"/>
    <m/>
    <m/>
    <m/>
    <d v="2001-01-25T00:00:00"/>
    <d v="2001-01-25T00:00:00"/>
    <s v="01-2111-011"/>
    <n v="1500"/>
    <n v="14080"/>
    <n v="8108.27"/>
    <n v="14086"/>
    <n v="8108.27"/>
    <n v="0"/>
    <n v="0"/>
    <n v="57260"/>
    <n v="0"/>
    <s v="P"/>
    <m/>
    <m/>
    <s v=" "/>
    <s v="STL"/>
    <s v="YES"/>
    <s v="TBD"/>
    <d v="2024-10-09T00:00:00"/>
    <x v="19"/>
    <m/>
    <m/>
    <m/>
    <m/>
    <m/>
    <m/>
    <m/>
    <m/>
    <m/>
    <m/>
    <m/>
  </r>
  <r>
    <n v="2111"/>
    <n v="9537"/>
    <s v="P"/>
    <s v="Capitalized"/>
    <s v="Peterbilt 378 Road Tractor"/>
    <m/>
    <m/>
    <n v="1"/>
    <s v="1XP5DB9X8VD429892"/>
    <n v="1996"/>
    <s v="PETERBILT"/>
    <s v="Other"/>
    <s v="HEAVY EQUIPMENT"/>
    <s v="TBA"/>
    <s v="Road Tractor"/>
    <m/>
    <m/>
    <d v="1998-11-01T00:00:00"/>
    <d v="1998-11-01T00:00:00"/>
    <m/>
    <n v="800"/>
    <n v="14030"/>
    <n v="52500"/>
    <n v="14036"/>
    <n v="52500"/>
    <n v="0"/>
    <n v="0"/>
    <n v="51260"/>
    <n v="0"/>
    <s v="A"/>
    <s v="Amador Disposal"/>
    <n v="168"/>
    <s v=" "/>
    <s v="STL"/>
    <s v="YES"/>
    <s v="TBD"/>
    <d v="2024-10-09T00:00:00"/>
    <x v="19"/>
    <m/>
    <m/>
    <m/>
    <m/>
    <m/>
    <m/>
    <m/>
    <m/>
    <m/>
    <m/>
    <m/>
  </r>
  <r>
    <n v="2111"/>
    <n v="9536"/>
    <s v="P"/>
    <s v="Capitalized"/>
    <s v="Peterbilt 378 Road Tractor"/>
    <m/>
    <m/>
    <n v="1"/>
    <s v="1XP5DB9X6VD429891"/>
    <n v="1996"/>
    <s v="PETERBULT"/>
    <s v="Other"/>
    <s v="HEAVY EQUIPMENT"/>
    <s v="TBA"/>
    <s v="Road Tractor"/>
    <m/>
    <m/>
    <d v="1998-11-01T00:00:00"/>
    <d v="1998-11-01T00:00:00"/>
    <m/>
    <n v="800"/>
    <n v="14030"/>
    <n v="52500"/>
    <n v="14036"/>
    <n v="52500"/>
    <n v="0"/>
    <n v="0"/>
    <n v="51260"/>
    <n v="0"/>
    <s v="A"/>
    <s v="Amador Disposal"/>
    <n v="169"/>
    <s v=" "/>
    <s v="STL"/>
    <s v="YES"/>
    <s v="TBD"/>
    <d v="2024-10-09T00:00:00"/>
    <x v="19"/>
    <m/>
    <m/>
    <m/>
    <m/>
    <m/>
    <m/>
    <m/>
    <m/>
    <m/>
    <m/>
    <m/>
  </r>
  <r>
    <n v="2111"/>
    <n v="9464"/>
    <s v="P"/>
    <s v="Capitalized"/>
    <s v="Shartsis, Friese Legal"/>
    <m/>
    <m/>
    <n v="1"/>
    <m/>
    <n v="0"/>
    <m/>
    <m/>
    <s v="LAND"/>
    <s v="LAND"/>
    <m/>
    <m/>
    <m/>
    <d v="2000-11-01T00:00:00"/>
    <d v="2000-11-01T00:00:00"/>
    <m/>
    <n v="0"/>
    <n v="14000"/>
    <n v="2855.89"/>
    <n v="14016"/>
    <n v="0"/>
    <n v="2855.89"/>
    <n v="0"/>
    <n v="57260"/>
    <n v="0"/>
    <s v="P"/>
    <m/>
    <m/>
    <s v=" "/>
    <s v="STL"/>
    <s v="NO"/>
    <s v="TBD"/>
    <d v="2024-10-09T00:00:00"/>
    <x v="19"/>
    <m/>
    <m/>
    <m/>
    <m/>
    <m/>
    <m/>
    <m/>
    <m/>
    <m/>
    <m/>
    <m/>
  </r>
  <r>
    <n v="2111"/>
    <n v="9326"/>
    <s v="P"/>
    <s v="Capitalized"/>
    <s v="Orting Exchange - Legal Fees"/>
    <m/>
    <m/>
    <n v="1"/>
    <m/>
    <n v="0"/>
    <m/>
    <m/>
    <s v="LAND"/>
    <s v="LAND"/>
    <m/>
    <m/>
    <m/>
    <d v="2000-10-01T00:00:00"/>
    <d v="2000-10-01T00:00:00"/>
    <m/>
    <n v="0"/>
    <n v="14000"/>
    <n v="5696.8"/>
    <n v="14016"/>
    <n v="0"/>
    <n v="5696.8"/>
    <n v="0"/>
    <n v="57260"/>
    <n v="0"/>
    <s v="P"/>
    <m/>
    <m/>
    <s v=" "/>
    <s v="STL"/>
    <s v="NO"/>
    <s v="TBD"/>
    <d v="2024-10-09T00:00:00"/>
    <x v="19"/>
    <m/>
    <m/>
    <m/>
    <m/>
    <m/>
    <m/>
    <m/>
    <m/>
    <m/>
    <m/>
    <m/>
  </r>
  <r>
    <n v="2111"/>
    <n v="8868"/>
    <s v="P"/>
    <s v="Capitalized"/>
    <s v="Orting Farm Land Swap"/>
    <m/>
    <m/>
    <n v="1"/>
    <m/>
    <n v="0"/>
    <m/>
    <m/>
    <s v="LAND"/>
    <s v="LAND"/>
    <m/>
    <m/>
    <m/>
    <d v="2000-09-01T00:00:00"/>
    <d v="2000-09-01T00:00:00"/>
    <m/>
    <n v="0"/>
    <n v="14000"/>
    <n v="16450"/>
    <n v="14016"/>
    <n v="0"/>
    <n v="16450"/>
    <n v="0"/>
    <n v="57260"/>
    <n v="0"/>
    <s v="P"/>
    <m/>
    <m/>
    <s v=" "/>
    <s v="STL"/>
    <s v="NO"/>
    <s v="TBD"/>
    <d v="2024-10-09T00:00:00"/>
    <x v="19"/>
    <m/>
    <m/>
    <m/>
    <m/>
    <m/>
    <m/>
    <m/>
    <m/>
    <m/>
    <m/>
    <m/>
  </r>
  <r>
    <n v="2111"/>
    <n v="8788"/>
    <s v="P"/>
    <s v="Capitalized"/>
    <s v="95 Gallon Toters"/>
    <m/>
    <m/>
    <n v="432"/>
    <s v="255617-256048"/>
    <n v="0"/>
    <s v="Rehrig Pacific"/>
    <m/>
    <s v="CONTAINERS"/>
    <s v="TBA"/>
    <m/>
    <m/>
    <m/>
    <d v="2000-09-25T00:00:00"/>
    <d v="2000-09-25T00:00:00"/>
    <s v="00-2111-006"/>
    <n v="700"/>
    <n v="14050"/>
    <n v="19902.240000000002"/>
    <n v="14056"/>
    <n v="19902.240000000002"/>
    <n v="0"/>
    <n v="0"/>
    <n v="54260"/>
    <n v="0"/>
    <s v="P"/>
    <m/>
    <m/>
    <s v=" "/>
    <s v="STL"/>
    <s v="YES"/>
    <s v="TBD"/>
    <d v="2024-10-09T00:00:00"/>
    <x v="19"/>
    <m/>
    <m/>
    <m/>
    <m/>
    <m/>
    <m/>
    <m/>
    <m/>
    <m/>
    <m/>
    <m/>
  </r>
  <r>
    <n v="2111"/>
    <n v="8262"/>
    <s v="P"/>
    <s v="Capitalized"/>
    <s v="Transformer"/>
    <m/>
    <m/>
    <n v="1"/>
    <m/>
    <n v="0"/>
    <s v="Meridian Center Electric"/>
    <m/>
    <s v="BUILDINGS"/>
    <s v="TBA"/>
    <m/>
    <m/>
    <m/>
    <d v="2000-07-07T00:00:00"/>
    <d v="2000-07-07T00:00:00"/>
    <s v="00-2111-005"/>
    <n v="2000"/>
    <n v="14080"/>
    <n v="5273.66"/>
    <n v="14086"/>
    <n v="5273.66"/>
    <n v="0"/>
    <n v="0"/>
    <n v="57260"/>
    <n v="0"/>
    <s v="P"/>
    <m/>
    <m/>
    <s v=" "/>
    <s v="STL"/>
    <s v="YES"/>
    <s v="TBD"/>
    <d v="2024-10-09T00:00:00"/>
    <x v="19"/>
    <m/>
    <m/>
    <m/>
    <m/>
    <m/>
    <m/>
    <m/>
    <m/>
    <m/>
    <m/>
    <m/>
  </r>
  <r>
    <n v="2111"/>
    <n v="8170"/>
    <s v="P"/>
    <s v="Capitalized"/>
    <s v="1 - Cannon CFX L4500IF Fax"/>
    <m/>
    <m/>
    <n v="1"/>
    <s v="H12-0852-211"/>
    <n v="0"/>
    <s v="Ikon"/>
    <m/>
    <s v="OFFICE EQUIPMENT"/>
    <s v="TBA"/>
    <m/>
    <m/>
    <m/>
    <d v="1999-07-01T00:00:00"/>
    <d v="1999-07-01T00:00:00"/>
    <s v="99-2111-0735"/>
    <n v="700"/>
    <n v="14100"/>
    <n v="1007.04"/>
    <n v="14106"/>
    <n v="1007.04"/>
    <n v="0"/>
    <n v="0"/>
    <n v="70260"/>
    <n v="0"/>
    <s v="P"/>
    <m/>
    <m/>
    <s v=" "/>
    <s v="STL"/>
    <s v="YES"/>
    <s v="TBD"/>
    <d v="2024-10-09T00:00:00"/>
    <x v="19"/>
    <m/>
    <m/>
    <m/>
    <m/>
    <m/>
    <m/>
    <m/>
    <m/>
    <m/>
    <m/>
    <m/>
  </r>
  <r>
    <n v="2111"/>
    <n v="8141"/>
    <s v="P"/>
    <s v="Capitalized"/>
    <s v="95 Gallon Carts"/>
    <m/>
    <m/>
    <n v="431"/>
    <m/>
    <n v="0"/>
    <s v="Rehrig Pacific Company"/>
    <m/>
    <s v="CONTAINERS"/>
    <s v="TBA"/>
    <m/>
    <m/>
    <m/>
    <d v="2000-05-27T00:00:00"/>
    <d v="2000-05-27T00:00:00"/>
    <s v="00-2111-003"/>
    <n v="1000"/>
    <n v="14050"/>
    <n v="20412.259999999998"/>
    <n v="14056"/>
    <n v="20412.259999999998"/>
    <n v="0"/>
    <n v="0"/>
    <n v="54260"/>
    <n v="0"/>
    <s v="P"/>
    <m/>
    <m/>
    <s v=" "/>
    <s v="STL"/>
    <s v="YES"/>
    <s v="TBD"/>
    <d v="2024-10-09T00:00:00"/>
    <x v="19"/>
    <m/>
    <m/>
    <m/>
    <m/>
    <m/>
    <m/>
    <m/>
    <m/>
    <m/>
    <m/>
    <m/>
  </r>
  <r>
    <n v="2111"/>
    <n v="8015"/>
    <s v="P"/>
    <s v="Capitalized"/>
    <s v="10- 30 Yard Drop Boxes"/>
    <m/>
    <m/>
    <n v="10"/>
    <s v="11577-11586"/>
    <n v="0"/>
    <s v="DeWald Northwest Co."/>
    <m/>
    <s v="CONTAINERS"/>
    <s v="TBA"/>
    <m/>
    <s v="30 YD"/>
    <s v="RO Box"/>
    <d v="2000-06-08T00:00:00"/>
    <d v="2000-06-08T00:00:00"/>
    <s v="00-2112-004"/>
    <n v="1200"/>
    <n v="14050"/>
    <n v="40685.279999999999"/>
    <n v="14056"/>
    <n v="40685.279999999999"/>
    <n v="0"/>
    <n v="0"/>
    <n v="54260"/>
    <n v="0"/>
    <s v="P"/>
    <m/>
    <m/>
    <s v=" "/>
    <s v="STL"/>
    <s v="YES"/>
    <s v="TBD"/>
    <d v="2024-10-09T00:00:00"/>
    <x v="19"/>
    <m/>
    <m/>
    <m/>
    <m/>
    <m/>
    <m/>
    <m/>
    <m/>
    <m/>
    <m/>
    <m/>
  </r>
  <r>
    <n v="2111"/>
    <n v="6771"/>
    <s v="P"/>
    <s v="Capitalized"/>
    <s v="8 - 15 Monitors"/>
    <m/>
    <m/>
    <n v="1"/>
    <m/>
    <n v="0"/>
    <s v="Insight"/>
    <m/>
    <s v="HARDWARE AND SOFTWARE"/>
    <s v="TBA"/>
    <m/>
    <m/>
    <m/>
    <d v="2000-01-01T00:00:00"/>
    <d v="2000-01-01T00:00:00"/>
    <m/>
    <n v="500"/>
    <n v="14110"/>
    <n v="1372.02"/>
    <n v="14116"/>
    <n v="1372.02"/>
    <n v="0"/>
    <n v="0"/>
    <n v="70260"/>
    <n v="0"/>
    <s v="P"/>
    <s v="Murreys Disposal"/>
    <m/>
    <s v=" "/>
    <s v="STL"/>
    <s v="YES"/>
    <s v="TBD"/>
    <d v="2024-10-09T00:00:00"/>
    <x v="19"/>
    <m/>
    <m/>
    <m/>
    <m/>
    <m/>
    <m/>
    <m/>
    <m/>
    <m/>
    <m/>
    <m/>
  </r>
  <r>
    <n v="2111"/>
    <n v="6768"/>
    <s v="P"/>
    <s v="Capitalized"/>
    <s v="Exchange Client V.5 Software"/>
    <m/>
    <m/>
    <n v="1"/>
    <m/>
    <n v="0"/>
    <s v="Insight"/>
    <m/>
    <s v="HARDWARE AND SOFTWARE"/>
    <s v="TBA"/>
    <m/>
    <m/>
    <m/>
    <d v="1999-06-15T00:00:00"/>
    <d v="1999-06-15T00:00:00"/>
    <m/>
    <n v="300"/>
    <n v="14110"/>
    <n v="552.84"/>
    <n v="14116"/>
    <n v="552.84"/>
    <n v="0"/>
    <n v="0"/>
    <n v="70260"/>
    <n v="0"/>
    <s v="P"/>
    <s v="Murreys Disposal"/>
    <m/>
    <s v=" "/>
    <s v="STL"/>
    <s v="YES"/>
    <s v="TBD"/>
    <d v="2024-10-09T00:00:00"/>
    <x v="19"/>
    <m/>
    <m/>
    <m/>
    <m/>
    <m/>
    <m/>
    <m/>
    <m/>
    <m/>
    <m/>
    <m/>
  </r>
  <r>
    <n v="2111"/>
    <n v="6765"/>
    <s v="P"/>
    <s v="Capitalized"/>
    <s v="5 - Princeton Ultra 52 15 Monitor"/>
    <m/>
    <m/>
    <n v="1"/>
    <m/>
    <n v="0"/>
    <s v="Insight"/>
    <m/>
    <s v="HARDWARE AND SOFTWARE"/>
    <s v="TBA"/>
    <m/>
    <m/>
    <m/>
    <d v="1999-06-10T00:00:00"/>
    <d v="1999-06-10T00:00:00"/>
    <s v="99-2111-0734"/>
    <n v="300"/>
    <n v="14110"/>
    <n v="864.05"/>
    <n v="14116"/>
    <n v="864.05"/>
    <n v="0"/>
    <n v="0"/>
    <n v="70260"/>
    <n v="0"/>
    <s v="P"/>
    <s v="Murreys Disposal"/>
    <m/>
    <s v=" "/>
    <s v="STL"/>
    <s v="YES"/>
    <s v="TBD"/>
    <d v="2024-10-09T00:00:00"/>
    <x v="19"/>
    <m/>
    <m/>
    <m/>
    <m/>
    <m/>
    <m/>
    <m/>
    <m/>
    <m/>
    <m/>
    <m/>
  </r>
  <r>
    <n v="2111"/>
    <n v="6762"/>
    <s v="P"/>
    <s v="Capitalized"/>
    <s v="APC Smart UPS"/>
    <m/>
    <m/>
    <n v="1"/>
    <m/>
    <n v="0"/>
    <s v="Insight"/>
    <m/>
    <s v="HARDWARE AND SOFTWARE"/>
    <s v="TBA"/>
    <m/>
    <m/>
    <m/>
    <d v="1999-05-19T00:00:00"/>
    <d v="1999-05-19T00:00:00"/>
    <s v="99-2111-0708"/>
    <n v="300"/>
    <n v="14110"/>
    <n v="413.56"/>
    <n v="14116"/>
    <n v="413.56"/>
    <n v="0"/>
    <n v="0"/>
    <n v="70260"/>
    <n v="0"/>
    <s v="P"/>
    <s v="Murreys Disposal"/>
    <m/>
    <s v=" "/>
    <s v="STL"/>
    <s v="YES"/>
    <s v="TBD"/>
    <d v="2024-10-09T00:00:00"/>
    <x v="19"/>
    <m/>
    <m/>
    <m/>
    <m/>
    <m/>
    <m/>
    <m/>
    <m/>
    <m/>
    <m/>
    <m/>
  </r>
  <r>
    <n v="2111"/>
    <n v="6761"/>
    <s v="P"/>
    <s v="Capitalized"/>
    <s v="1 - Proliant 800 Compaq Server"/>
    <m/>
    <m/>
    <n v="1"/>
    <s v="D917CDG10292"/>
    <n v="0"/>
    <s v="Insight"/>
    <m/>
    <s v="HARDWARE AND SOFTWARE"/>
    <s v="TBA"/>
    <m/>
    <m/>
    <m/>
    <d v="1999-05-19T00:00:00"/>
    <d v="1999-05-19T00:00:00"/>
    <s v="99-2111-0708"/>
    <n v="500"/>
    <n v="14110"/>
    <n v="1572.89"/>
    <n v="14116"/>
    <n v="1572.89"/>
    <n v="0"/>
    <n v="0"/>
    <n v="70260"/>
    <n v="0"/>
    <s v="P"/>
    <s v="Murreys Disposal"/>
    <m/>
    <s v=" "/>
    <s v="STL"/>
    <s v="YES"/>
    <s v="TBD"/>
    <d v="2024-10-09T00:00:00"/>
    <x v="19"/>
    <m/>
    <m/>
    <m/>
    <m/>
    <m/>
    <m/>
    <m/>
    <m/>
    <m/>
    <m/>
    <m/>
  </r>
  <r>
    <n v="2111"/>
    <n v="6759"/>
    <s v="P"/>
    <s v="Capitalized"/>
    <s v="Back-up Exec"/>
    <m/>
    <m/>
    <n v="1"/>
    <m/>
    <n v="0"/>
    <s v="Insight"/>
    <m/>
    <s v="HARDWARE AND SOFTWARE"/>
    <s v="TBA"/>
    <m/>
    <m/>
    <m/>
    <d v="1999-05-19T00:00:00"/>
    <d v="1999-05-19T00:00:00"/>
    <s v="99-2111-0708"/>
    <n v="500"/>
    <n v="14110"/>
    <n v="455.27"/>
    <n v="14116"/>
    <n v="455.27"/>
    <n v="0"/>
    <n v="0"/>
    <n v="70260"/>
    <n v="0"/>
    <s v="P"/>
    <s v="Murreys Disposal"/>
    <m/>
    <s v=" "/>
    <s v="STL"/>
    <s v="YES"/>
    <s v="TBD"/>
    <d v="2024-10-09T00:00:00"/>
    <x v="19"/>
    <m/>
    <m/>
    <m/>
    <m/>
    <m/>
    <m/>
    <m/>
    <m/>
    <m/>
    <m/>
    <m/>
  </r>
  <r>
    <n v="2111"/>
    <n v="6758"/>
    <s v="P"/>
    <s v="Capitalized"/>
    <s v="Server License &amp; Software"/>
    <m/>
    <m/>
    <n v="1"/>
    <m/>
    <n v="0"/>
    <s v="Insight"/>
    <m/>
    <s v="HARDWARE AND SOFTWARE"/>
    <s v="TBA"/>
    <m/>
    <m/>
    <m/>
    <d v="1999-05-19T00:00:00"/>
    <d v="1999-05-19T00:00:00"/>
    <s v="99-2111-0708"/>
    <n v="500"/>
    <n v="14110"/>
    <n v="2260.63"/>
    <n v="14116"/>
    <n v="2260.63"/>
    <n v="0"/>
    <n v="0"/>
    <n v="70260"/>
    <n v="0"/>
    <s v="P"/>
    <s v="Murreys Disposal"/>
    <m/>
    <s v=" "/>
    <s v="STL"/>
    <s v="YES"/>
    <s v="TBD"/>
    <d v="2024-10-09T00:00:00"/>
    <x v="19"/>
    <m/>
    <m/>
    <m/>
    <m/>
    <m/>
    <m/>
    <m/>
    <m/>
    <m/>
    <m/>
    <m/>
  </r>
  <r>
    <n v="2111"/>
    <n v="6751"/>
    <s v="P"/>
    <s v="Capitalized"/>
    <s v="Ethernet 24-Port Hub"/>
    <m/>
    <m/>
    <n v="1"/>
    <m/>
    <n v="0"/>
    <s v="Insight"/>
    <m/>
    <s v="HARDWARE AND SOFTWARE"/>
    <s v="TBA"/>
    <m/>
    <m/>
    <m/>
    <d v="1999-05-16T00:00:00"/>
    <d v="1999-05-16T00:00:00"/>
    <s v="99-2111-0708"/>
    <n v="300"/>
    <n v="14110"/>
    <n v="789.64"/>
    <n v="14116"/>
    <n v="789.64"/>
    <n v="0"/>
    <n v="0"/>
    <n v="70260"/>
    <n v="0"/>
    <s v="P"/>
    <s v="Murreys Disposal"/>
    <m/>
    <s v=" "/>
    <s v="STL"/>
    <s v="YES"/>
    <s v="TBD"/>
    <d v="2024-10-09T00:00:00"/>
    <x v="19"/>
    <m/>
    <m/>
    <m/>
    <m/>
    <m/>
    <m/>
    <m/>
    <m/>
    <m/>
    <m/>
    <m/>
  </r>
  <r>
    <n v="2111"/>
    <n v="6750"/>
    <s v="P"/>
    <s v="Capitalized"/>
    <s v="Compaq DDS DAT Drive &amp; 10k RPM HDD for Server"/>
    <m/>
    <m/>
    <n v="1"/>
    <s v="GB00892724 LJ628316"/>
    <n v="0"/>
    <s v="Insight"/>
    <m/>
    <s v="HARDWARE AND SOFTWARE"/>
    <s v="TBA"/>
    <m/>
    <m/>
    <m/>
    <d v="1999-05-16T00:00:00"/>
    <d v="1999-05-16T00:00:00"/>
    <s v="99-2111-0708"/>
    <n v="500"/>
    <n v="14110"/>
    <n v="1779.93"/>
    <n v="14116"/>
    <n v="1779.93"/>
    <n v="0"/>
    <n v="0"/>
    <n v="70260"/>
    <n v="0"/>
    <s v="P"/>
    <s v="Murreys Disposal"/>
    <m/>
    <s v=" "/>
    <s v="STL"/>
    <s v="YES"/>
    <s v="TBD"/>
    <d v="2024-10-09T00:00:00"/>
    <x v="19"/>
    <m/>
    <m/>
    <m/>
    <m/>
    <m/>
    <m/>
    <m/>
    <m/>
    <m/>
    <m/>
    <m/>
  </r>
  <r>
    <n v="2111"/>
    <n v="6749"/>
    <s v="P"/>
    <s v="Capitalized"/>
    <s v="1- Cannon 9000S Fax3"/>
    <m/>
    <m/>
    <n v="1"/>
    <s v="H12-1242-210"/>
    <n v="0"/>
    <s v="Ikon"/>
    <m/>
    <s v="OFFICE EQUIPMENT"/>
    <s v="TBA"/>
    <m/>
    <m/>
    <m/>
    <d v="1999-07-01T00:00:00"/>
    <d v="1999-07-01T00:00:00"/>
    <s v="99-2111-0735"/>
    <n v="700"/>
    <n v="14100"/>
    <n v="2329.52"/>
    <n v="14106"/>
    <n v="2329.52"/>
    <n v="0"/>
    <n v="0"/>
    <n v="70260"/>
    <n v="0"/>
    <s v="P"/>
    <s v="Murreys Disposal"/>
    <m/>
    <s v=" "/>
    <s v="STL"/>
    <s v="YES"/>
    <s v="TBD"/>
    <d v="2024-10-09T00:00:00"/>
    <x v="19"/>
    <m/>
    <m/>
    <m/>
    <m/>
    <m/>
    <m/>
    <m/>
    <m/>
    <m/>
    <m/>
    <m/>
  </r>
  <r>
    <n v="2111"/>
    <n v="6748"/>
    <s v="P"/>
    <s v="Capitalized"/>
    <s v="1 - Aficio 200 Digital Copier, Feeder, Duplex Unit"/>
    <m/>
    <m/>
    <n v="1"/>
    <s v="R200 90290305011"/>
    <n v="0"/>
    <s v="Ikon"/>
    <m/>
    <s v="OFFICE EQUIPMENT"/>
    <s v="TBA"/>
    <m/>
    <m/>
    <m/>
    <d v="1999-07-01T00:00:00"/>
    <d v="1999-07-01T00:00:00"/>
    <s v="99-2111-0735"/>
    <n v="700"/>
    <n v="14100"/>
    <n v="7544.64"/>
    <n v="14106"/>
    <n v="7544.64"/>
    <n v="0"/>
    <n v="0"/>
    <n v="70260"/>
    <n v="0"/>
    <s v="P"/>
    <s v="Murreys Disposal"/>
    <m/>
    <s v=" "/>
    <s v="STL"/>
    <s v="YES"/>
    <s v="TBD"/>
    <d v="2024-10-09T00:00:00"/>
    <x v="19"/>
    <m/>
    <m/>
    <m/>
    <m/>
    <m/>
    <m/>
    <m/>
    <m/>
    <m/>
    <m/>
    <m/>
  </r>
  <r>
    <n v="2111"/>
    <n v="6747"/>
    <s v="P"/>
    <s v="Capitalized"/>
    <s v="1 - Cannon NP3412F Copier"/>
    <m/>
    <m/>
    <n v="1"/>
    <s v="F13-6134-501"/>
    <n v="0"/>
    <s v="Ikon"/>
    <m/>
    <s v="OFFICE EQUIPMENT"/>
    <s v="TBA"/>
    <m/>
    <m/>
    <m/>
    <d v="1999-07-01T00:00:00"/>
    <d v="1999-07-01T00:00:00"/>
    <s v="99-2111-0735"/>
    <n v="700"/>
    <n v="14100"/>
    <n v="2439"/>
    <n v="14106"/>
    <n v="2439"/>
    <n v="0"/>
    <n v="0"/>
    <n v="70260"/>
    <n v="0"/>
    <s v="P"/>
    <s v="Murreys Disposal"/>
    <m/>
    <s v=" "/>
    <s v="STL"/>
    <s v="YES"/>
    <s v="TBD"/>
    <d v="2024-10-09T00:00:00"/>
    <x v="19"/>
    <m/>
    <m/>
    <m/>
    <m/>
    <m/>
    <m/>
    <m/>
    <m/>
    <m/>
    <m/>
    <m/>
  </r>
  <r>
    <n v="2111"/>
    <n v="6746"/>
    <s v="P"/>
    <s v="Capitalized"/>
    <s v="1  - Cannon CFX L4500IF Fax"/>
    <m/>
    <m/>
    <n v="1"/>
    <s v="H12-0852-210"/>
    <n v="0"/>
    <s v="Ikon"/>
    <m/>
    <s v="OFFICE EQUIPMENT"/>
    <s v="TBA"/>
    <m/>
    <m/>
    <m/>
    <d v="1999-07-01T00:00:00"/>
    <d v="1999-07-01T00:00:00"/>
    <s v="99-2111-0735"/>
    <n v="700"/>
    <n v="14100"/>
    <n v="1007.04"/>
    <n v="14106"/>
    <n v="1007.04"/>
    <n v="0"/>
    <n v="0"/>
    <n v="70260"/>
    <n v="0"/>
    <s v="P"/>
    <m/>
    <m/>
    <s v=" "/>
    <s v="STL"/>
    <s v="YES"/>
    <s v="TBD"/>
    <d v="2024-10-09T00:00:00"/>
    <x v="19"/>
    <m/>
    <m/>
    <m/>
    <m/>
    <m/>
    <m/>
    <m/>
    <m/>
    <m/>
    <m/>
    <m/>
  </r>
  <r>
    <n v="2111"/>
    <n v="6744"/>
    <s v="P"/>
    <s v="Capitalized"/>
    <s v="1 - Ricoh PS330 Paperdeck Tray- 8MB Memory - Cabinet"/>
    <m/>
    <m/>
    <n v="1"/>
    <s v="ZRPPD8039013012"/>
    <n v="0"/>
    <s v="Ikon"/>
    <m/>
    <s v="OFFICE EQUIPMENT"/>
    <s v="TBA"/>
    <m/>
    <m/>
    <m/>
    <d v="1999-07-01T00:00:00"/>
    <d v="1999-07-01T00:00:00"/>
    <s v="99-2111-0735"/>
    <n v="700"/>
    <n v="14100"/>
    <n v="2190.77"/>
    <n v="14106"/>
    <n v="2190.77"/>
    <n v="0"/>
    <n v="0"/>
    <n v="70260"/>
    <n v="0"/>
    <s v="P"/>
    <m/>
    <m/>
    <s v=" "/>
    <s v="STL"/>
    <s v="YES"/>
    <s v="TBD"/>
    <d v="2024-10-09T00:00:00"/>
    <x v="19"/>
    <m/>
    <m/>
    <m/>
    <m/>
    <m/>
    <m/>
    <m/>
    <m/>
    <m/>
    <m/>
    <m/>
  </r>
  <r>
    <n v="2111"/>
    <n v="6743"/>
    <s v="P"/>
    <s v="Capitalized"/>
    <s v="25 - Headsets"/>
    <m/>
    <m/>
    <n v="1"/>
    <m/>
    <n v="0"/>
    <s v="Business Telecom Products"/>
    <m/>
    <s v="OFFICE EQUIPMENT"/>
    <s v="TBA"/>
    <m/>
    <m/>
    <m/>
    <d v="1999-06-04T00:00:00"/>
    <d v="1999-06-04T00:00:00"/>
    <s v="99-2111-0865"/>
    <n v="500"/>
    <n v="14100"/>
    <n v="4598.5"/>
    <n v="14106"/>
    <n v="4598.5"/>
    <n v="0"/>
    <n v="0"/>
    <n v="70260"/>
    <n v="0"/>
    <s v="P"/>
    <m/>
    <m/>
    <s v=" "/>
    <s v="STL"/>
    <s v="YES"/>
    <s v="TBD"/>
    <d v="2024-10-09T00:00:00"/>
    <x v="19"/>
    <m/>
    <m/>
    <m/>
    <m/>
    <m/>
    <m/>
    <m/>
    <m/>
    <m/>
    <m/>
    <m/>
  </r>
  <r>
    <n v="2111"/>
    <n v="6742"/>
    <s v="P"/>
    <s v="Capitalized"/>
    <s v="Motorola Radio System &amp; Installation"/>
    <m/>
    <m/>
    <n v="1"/>
    <m/>
    <n v="0"/>
    <s v="Puget Sound Instr"/>
    <m/>
    <s v="OFFICE EQUIPMENT"/>
    <s v="TBA"/>
    <m/>
    <m/>
    <m/>
    <d v="1999-06-30T00:00:00"/>
    <d v="1999-06-30T00:00:00"/>
    <m/>
    <n v="700"/>
    <n v="14100"/>
    <n v="18132.259999999998"/>
    <n v="14106"/>
    <n v="18132.259999999998"/>
    <n v="0"/>
    <n v="0"/>
    <n v="70260"/>
    <n v="0"/>
    <s v="P"/>
    <s v="Murreys Disposal"/>
    <m/>
    <s v=" "/>
    <s v="STL"/>
    <s v="YES"/>
    <s v="TBD"/>
    <d v="2024-10-09T00:00:00"/>
    <x v="19"/>
    <m/>
    <m/>
    <m/>
    <m/>
    <m/>
    <m/>
    <m/>
    <m/>
    <m/>
    <m/>
    <m/>
  </r>
  <r>
    <n v="2111"/>
    <n v="6741"/>
    <s v="P"/>
    <s v="Capitalized"/>
    <s v="Expansion Cabinet"/>
    <m/>
    <m/>
    <n v="1"/>
    <m/>
    <n v="0"/>
    <m/>
    <m/>
    <s v="OFFICE EQUIPMENT"/>
    <s v="TBA"/>
    <m/>
    <m/>
    <m/>
    <d v="1999-03-03T00:00:00"/>
    <d v="1999-03-03T00:00:00"/>
    <m/>
    <n v="500"/>
    <n v="14100"/>
    <n v="5201.67"/>
    <n v="14106"/>
    <n v="5201.67"/>
    <n v="0"/>
    <n v="0"/>
    <n v="70260"/>
    <n v="0"/>
    <s v="P"/>
    <s v="Murreys Disposal"/>
    <m/>
    <s v=" "/>
    <s v="STL"/>
    <s v="YES"/>
    <s v="TBD"/>
    <d v="2024-10-09T00:00:00"/>
    <x v="19"/>
    <m/>
    <m/>
    <m/>
    <m/>
    <m/>
    <m/>
    <m/>
    <m/>
    <m/>
    <m/>
    <m/>
  </r>
  <r>
    <n v="2111"/>
    <n v="6739"/>
    <s v="P"/>
    <s v="Capitalized"/>
    <s v="Transfer Station Upgrade"/>
    <m/>
    <m/>
    <n v="1"/>
    <m/>
    <n v="0"/>
    <m/>
    <m/>
    <s v="BUILDINGS"/>
    <s v="TBA"/>
    <m/>
    <m/>
    <m/>
    <d v="2000-01-01T00:00:00"/>
    <d v="2000-01-01T00:00:00"/>
    <m/>
    <n v="2000"/>
    <n v="14080"/>
    <n v="16198.88"/>
    <n v="14086"/>
    <n v="16198.88"/>
    <n v="0"/>
    <n v="0"/>
    <n v="57260"/>
    <n v="0"/>
    <s v="P"/>
    <s v="Murreys Disposal"/>
    <m/>
    <s v=" "/>
    <s v="STL"/>
    <s v="YES"/>
    <s v="TBD"/>
    <d v="2024-10-09T00:00:00"/>
    <x v="19"/>
    <m/>
    <m/>
    <m/>
    <m/>
    <m/>
    <m/>
    <m/>
    <m/>
    <m/>
    <m/>
    <m/>
  </r>
  <r>
    <n v="2111"/>
    <n v="6737"/>
    <s v="P"/>
    <s v="Capitalized"/>
    <s v="A/P Reclass"/>
    <m/>
    <m/>
    <n v="1"/>
    <m/>
    <n v="1999"/>
    <s v="OTHER"/>
    <s v="Other"/>
    <s v="SHOP EQUIPMENT"/>
    <s v="TBA"/>
    <m/>
    <m/>
    <m/>
    <d v="1999-12-31T00:00:00"/>
    <d v="1999-12-31T00:00:00"/>
    <m/>
    <n v="700"/>
    <n v="14070"/>
    <n v="2618.94"/>
    <n v="14076"/>
    <n v="2618.94"/>
    <n v="0"/>
    <n v="0"/>
    <n v="51260"/>
    <n v="0"/>
    <s v="P"/>
    <s v="Murreys Disposal"/>
    <m/>
    <s v=" "/>
    <s v="STL"/>
    <s v="YES"/>
    <s v="TBD"/>
    <d v="2024-10-09T00:00:00"/>
    <x v="19"/>
    <m/>
    <m/>
    <m/>
    <m/>
    <m/>
    <m/>
    <m/>
    <m/>
    <m/>
    <m/>
    <m/>
  </r>
  <r>
    <n v="2111"/>
    <n v="6736"/>
    <s v="P"/>
    <s v="Capitalized"/>
    <s v="95gal Toters"/>
    <m/>
    <m/>
    <n v="432"/>
    <s v="253025-253456"/>
    <n v="0"/>
    <s v="Rehrig"/>
    <m/>
    <s v="CONTAINERS"/>
    <s v="TBA"/>
    <m/>
    <m/>
    <m/>
    <d v="2000-04-26T00:00:00"/>
    <d v="2000-04-26T00:00:00"/>
    <s v="00-2111-003"/>
    <n v="700"/>
    <n v="14050"/>
    <n v="21392.74"/>
    <n v="14056"/>
    <n v="21392.74"/>
    <n v="0"/>
    <n v="0"/>
    <n v="54260"/>
    <n v="0"/>
    <s v="P"/>
    <s v="Murreys Disposal"/>
    <m/>
    <s v=" "/>
    <s v="STL"/>
    <s v="YES"/>
    <s v="TBD"/>
    <d v="2024-10-09T00:00:00"/>
    <x v="19"/>
    <m/>
    <m/>
    <m/>
    <m/>
    <m/>
    <m/>
    <m/>
    <m/>
    <m/>
    <m/>
    <m/>
  </r>
  <r>
    <n v="2111"/>
    <n v="6734"/>
    <s v="P"/>
    <s v="Capitalized"/>
    <s v="95fgal Toters"/>
    <m/>
    <m/>
    <n v="432"/>
    <s v="253025-253456"/>
    <n v="0"/>
    <s v="Rehrig Pacific"/>
    <m/>
    <s v="CONTAINERS"/>
    <s v="TBA"/>
    <m/>
    <m/>
    <m/>
    <d v="2000-02-25T00:00:00"/>
    <d v="2000-02-25T00:00:00"/>
    <s v="00-2111-0216"/>
    <n v="700"/>
    <n v="14050"/>
    <n v="19902.240000000002"/>
    <n v="14056"/>
    <n v="19902.240000000002"/>
    <n v="0"/>
    <n v="0"/>
    <n v="54260"/>
    <n v="0"/>
    <s v="P"/>
    <s v="Murreys Disposal"/>
    <m/>
    <s v=" "/>
    <s v="STL"/>
    <s v="YES"/>
    <s v="TBD"/>
    <d v="2024-10-09T00:00:00"/>
    <x v="19"/>
    <m/>
    <m/>
    <m/>
    <m/>
    <m/>
    <m/>
    <m/>
    <m/>
    <m/>
    <m/>
    <m/>
  </r>
  <r>
    <n v="2111"/>
    <n v="6733"/>
    <s v="P"/>
    <s v="Capitalized"/>
    <s v="Freight on CER #0219"/>
    <m/>
    <m/>
    <n v="1"/>
    <m/>
    <n v="0"/>
    <s v="Dewalt Northwest"/>
    <m/>
    <s v="CONTAINERS"/>
    <s v="TBA"/>
    <m/>
    <m/>
    <m/>
    <d v="2000-03-02T00:00:00"/>
    <d v="2000-03-02T00:00:00"/>
    <n v="219"/>
    <n v="1200"/>
    <n v="14050"/>
    <n v="1903.5"/>
    <n v="14056"/>
    <n v="1903.5"/>
    <n v="0"/>
    <n v="0"/>
    <n v="54260"/>
    <n v="0"/>
    <s v="P"/>
    <s v="Murreys Disposal"/>
    <m/>
    <s v=" "/>
    <s v="STL"/>
    <s v="YES"/>
    <s v="TBD"/>
    <d v="2024-10-09T00:00:00"/>
    <x v="19"/>
    <m/>
    <m/>
    <m/>
    <m/>
    <m/>
    <m/>
    <m/>
    <m/>
    <m/>
    <m/>
    <m/>
  </r>
  <r>
    <n v="2111"/>
    <n v="6732"/>
    <s v="P"/>
    <s v="Capitalized"/>
    <s v="30yd Drop Boxes"/>
    <m/>
    <m/>
    <n v="10"/>
    <s v="11480-11489"/>
    <n v="0"/>
    <s v="Dewalt Northwest"/>
    <m/>
    <s v="CONTAINERS"/>
    <s v="TBA"/>
    <m/>
    <s v="30 YD"/>
    <s v="RO Box"/>
    <d v="2000-02-14T00:00:00"/>
    <d v="2000-02-14T00:00:00"/>
    <n v="219"/>
    <n v="1200"/>
    <n v="14050"/>
    <n v="39024"/>
    <n v="14056"/>
    <n v="39024"/>
    <n v="0"/>
    <n v="0"/>
    <n v="54260"/>
    <n v="0"/>
    <s v="P"/>
    <s v="Murreys Disposal"/>
    <m/>
    <s v=" "/>
    <s v="STL"/>
    <s v="YES"/>
    <s v="TBD"/>
    <d v="2024-10-09T00:00:00"/>
    <x v="19"/>
    <m/>
    <m/>
    <m/>
    <m/>
    <m/>
    <m/>
    <m/>
    <m/>
    <m/>
    <m/>
    <m/>
  </r>
  <r>
    <n v="2111"/>
    <n v="6730"/>
    <s v="P"/>
    <s v="Capitalized"/>
    <s v="1yd Conatiners"/>
    <m/>
    <m/>
    <n v="12"/>
    <s v="164702-164713"/>
    <n v="0"/>
    <s v="Dewald Northwest"/>
    <m/>
    <s v="CONTAINERS"/>
    <s v="TBA"/>
    <m/>
    <s v="1 YD"/>
    <s v="FEL/REL/SL Metal"/>
    <d v="2000-03-02T00:00:00"/>
    <d v="2000-03-02T00:00:00"/>
    <n v="219"/>
    <n v="1200"/>
    <n v="14050"/>
    <n v="3215.83"/>
    <n v="14056"/>
    <n v="3215.83"/>
    <n v="0"/>
    <n v="0"/>
    <n v="54260"/>
    <n v="0"/>
    <s v="P"/>
    <s v="Murreys Disposal"/>
    <m/>
    <s v=" "/>
    <s v="STL"/>
    <s v="YES"/>
    <s v="TBD"/>
    <d v="2024-10-09T00:00:00"/>
    <x v="19"/>
    <m/>
    <m/>
    <m/>
    <m/>
    <m/>
    <m/>
    <m/>
    <m/>
    <m/>
    <m/>
    <m/>
  </r>
  <r>
    <n v="2111"/>
    <n v="6728"/>
    <s v="P"/>
    <s v="Capitalized"/>
    <s v="90gal Carts"/>
    <m/>
    <m/>
    <n v="272"/>
    <m/>
    <n v="0"/>
    <s v="West Pak"/>
    <m/>
    <s v="CONTAINERS"/>
    <s v="TBA"/>
    <m/>
    <m/>
    <m/>
    <d v="1999-12-31T00:00:00"/>
    <d v="1999-12-31T00:00:00"/>
    <s v="99-2111-0212"/>
    <n v="700"/>
    <n v="14050"/>
    <n v="10866.4"/>
    <n v="14056"/>
    <n v="10866.4"/>
    <n v="0"/>
    <n v="0"/>
    <n v="54260"/>
    <n v="0"/>
    <s v="P"/>
    <s v="Murreys Disposal"/>
    <m/>
    <s v=" "/>
    <s v="STL"/>
    <s v="YES"/>
    <s v="TBD"/>
    <d v="2024-10-09T00:00:00"/>
    <x v="19"/>
    <m/>
    <m/>
    <m/>
    <m/>
    <m/>
    <m/>
    <m/>
    <m/>
    <m/>
    <m/>
    <m/>
  </r>
  <r>
    <n v="2111"/>
    <n v="6726"/>
    <s v="P"/>
    <s v="Capitalized"/>
    <s v="95gal Carts"/>
    <m/>
    <m/>
    <n v="432"/>
    <m/>
    <n v="0"/>
    <s v="Rehrig Pacific"/>
    <m/>
    <s v="CONTAINERS"/>
    <s v="TBA"/>
    <m/>
    <m/>
    <m/>
    <d v="1999-08-01T00:00:00"/>
    <d v="1999-08-01T00:00:00"/>
    <s v="99-2111-0204"/>
    <n v="700"/>
    <n v="14050"/>
    <n v="19902.240000000002"/>
    <n v="14056"/>
    <n v="19902.240000000002"/>
    <n v="0"/>
    <n v="0"/>
    <n v="54260"/>
    <n v="0"/>
    <s v="P"/>
    <s v="Murreys Disposal"/>
    <m/>
    <s v=" "/>
    <s v="STL"/>
    <s v="YES"/>
    <s v="TBD"/>
    <d v="2024-10-09T00:00:00"/>
    <x v="19"/>
    <m/>
    <m/>
    <m/>
    <m/>
    <m/>
    <m/>
    <m/>
    <m/>
    <m/>
    <m/>
    <m/>
  </r>
  <r>
    <n v="2111"/>
    <n v="6725"/>
    <s v="P"/>
    <s v="Capitalized"/>
    <s v="95gal Univeral Carts"/>
    <m/>
    <m/>
    <n v="432"/>
    <s v="252161-252592"/>
    <n v="0"/>
    <s v="Rehrig Pacific"/>
    <m/>
    <s v="CONTAINERS"/>
    <s v="TBA"/>
    <m/>
    <m/>
    <m/>
    <d v="1999-06-29T00:00:00"/>
    <d v="1999-06-29T00:00:00"/>
    <m/>
    <n v="700"/>
    <n v="14050"/>
    <n v="20370.53"/>
    <n v="14056"/>
    <n v="20370.53"/>
    <n v="0"/>
    <n v="0"/>
    <n v="54260"/>
    <n v="0"/>
    <s v="P"/>
    <s v="Murreys Disposal"/>
    <m/>
    <s v=" "/>
    <s v="STL"/>
    <s v="YES"/>
    <s v="TBD"/>
    <d v="2024-10-09T00:00:00"/>
    <x v="19"/>
    <m/>
    <m/>
    <m/>
    <m/>
    <m/>
    <m/>
    <m/>
    <m/>
    <m/>
    <m/>
    <m/>
  </r>
  <r>
    <n v="2111"/>
    <n v="6724"/>
    <s v="P"/>
    <s v="Capitalized"/>
    <s v="95gal Universal Carts w/Lids"/>
    <m/>
    <m/>
    <n v="76"/>
    <s v="251729-252160"/>
    <n v="0"/>
    <s v="Rehrig Pacific"/>
    <m/>
    <s v="CONTAINERS"/>
    <s v="TBA"/>
    <m/>
    <m/>
    <m/>
    <d v="1999-05-11T00:00:00"/>
    <d v="1999-05-11T00:00:00"/>
    <s v="99-2111-0854"/>
    <n v="700"/>
    <n v="14050"/>
    <n v="3583.18"/>
    <n v="14056"/>
    <n v="3583.18"/>
    <n v="0"/>
    <n v="0"/>
    <n v="54260"/>
    <n v="0"/>
    <s v="P"/>
    <s v="Murreys Disposal"/>
    <m/>
    <s v=" "/>
    <s v="STL"/>
    <s v="YES"/>
    <s v="TBD"/>
    <d v="2024-10-09T00:00:00"/>
    <x v="19"/>
    <m/>
    <m/>
    <m/>
    <m/>
    <m/>
    <m/>
    <m/>
    <m/>
    <m/>
    <m/>
    <m/>
  </r>
  <r>
    <n v="2111"/>
    <n v="6723"/>
    <s v="P"/>
    <s v="Capitalized"/>
    <s v="95gal Universal Carts w/Lids"/>
    <m/>
    <m/>
    <n v="864"/>
    <s v="251297-251728"/>
    <n v="0"/>
    <s v="Rehrig Pacific"/>
    <m/>
    <s v="CONTAINERS"/>
    <s v="TBA"/>
    <m/>
    <m/>
    <m/>
    <d v="1999-04-29T00:00:00"/>
    <d v="1999-04-29T00:00:00"/>
    <s v="99-2111-0854"/>
    <n v="700"/>
    <n v="14050"/>
    <n v="40741.06"/>
    <n v="14056"/>
    <n v="40741.06"/>
    <n v="0"/>
    <n v="0"/>
    <n v="54260"/>
    <n v="0"/>
    <s v="P"/>
    <s v="Murreys Disposal"/>
    <m/>
    <s v=" "/>
    <s v="STL"/>
    <s v="YES"/>
    <s v="TBD"/>
    <d v="2024-10-09T00:00:00"/>
    <x v="19"/>
    <m/>
    <m/>
    <m/>
    <m/>
    <m/>
    <m/>
    <m/>
    <m/>
    <m/>
    <m/>
    <m/>
  </r>
  <r>
    <n v="2111"/>
    <n v="6719"/>
    <n v="9536"/>
    <s v="Capitalized"/>
    <s v="1 - Flex Master Axel"/>
    <m/>
    <m/>
    <n v="1"/>
    <s v="1XP-5DB9X-6-VD429891"/>
    <n v="1999"/>
    <m/>
    <m/>
    <s v="TRUCKS AND TRAILERS"/>
    <s v="TBA"/>
    <s v="Non-Rolling Stock"/>
    <m/>
    <m/>
    <d v="2000-01-31T00:00:00"/>
    <d v="2000-01-31T00:00:00"/>
    <s v="2000-2111-0213"/>
    <n v="500"/>
    <n v="14040"/>
    <n v="7094.84"/>
    <n v="14046"/>
    <n v="7094.84"/>
    <n v="0"/>
    <n v="0"/>
    <n v="51260"/>
    <n v="0"/>
    <s v="P"/>
    <s v="Murreys Disposal"/>
    <m/>
    <s v=" "/>
    <s v="STL"/>
    <s v="YES"/>
    <s v="TBD"/>
    <d v="2024-10-09T00:00:00"/>
    <x v="19"/>
    <m/>
    <m/>
    <m/>
    <m/>
    <m/>
    <m/>
    <m/>
    <m/>
    <m/>
    <m/>
    <m/>
  </r>
  <r>
    <n v="2111"/>
    <n v="6718"/>
    <n v="9537"/>
    <s v="Capitalized"/>
    <s v="1 - Flex Master Lift Axel"/>
    <m/>
    <m/>
    <n v="1"/>
    <s v="1XP-5DB9X-8-VD429892"/>
    <n v="1999"/>
    <m/>
    <m/>
    <s v="TRUCKS AND TRAILERS"/>
    <s v="TBA"/>
    <s v="Road Tractor"/>
    <m/>
    <m/>
    <d v="2000-01-31T00:00:00"/>
    <d v="2000-01-31T00:00:00"/>
    <s v="2000-2111-0213"/>
    <n v="500"/>
    <n v="14040"/>
    <n v="7094.84"/>
    <n v="14046"/>
    <n v="7094.84"/>
    <n v="0"/>
    <n v="0"/>
    <n v="51260"/>
    <n v="0"/>
    <s v="P"/>
    <s v="Murreys Disposal"/>
    <m/>
    <s v=" "/>
    <s v="STL"/>
    <s v="YES"/>
    <s v="TBD"/>
    <d v="2024-10-09T00:00:00"/>
    <x v="19"/>
    <m/>
    <m/>
    <m/>
    <m/>
    <m/>
    <m/>
    <m/>
    <m/>
    <m/>
    <m/>
    <m/>
  </r>
  <r>
    <n v="2111"/>
    <n v="6717"/>
    <s v="P"/>
    <s v="Capitalized"/>
    <s v="Truck #64 Rebuild"/>
    <m/>
    <m/>
    <n v="1"/>
    <s v="UNKNOWN"/>
    <n v="1981"/>
    <s v="Cummins- H&amp;H Diesel"/>
    <s v="Other"/>
    <s v="TRUCKS AND TRAILERS"/>
    <s v="TBA"/>
    <s v="Non-Rolling Stock"/>
    <m/>
    <m/>
    <d v="1999-07-01T00:00:00"/>
    <d v="1999-07-01T00:00:00"/>
    <s v="99-2111-0203"/>
    <n v="500"/>
    <n v="14040"/>
    <n v="11910.19"/>
    <n v="14046"/>
    <n v="11910.19"/>
    <n v="0"/>
    <n v="0"/>
    <n v="51260"/>
    <n v="0"/>
    <s v="P"/>
    <s v="Murreys Disposal"/>
    <n v="64"/>
    <s v=" "/>
    <s v="STL"/>
    <s v="YES"/>
    <s v="TBD"/>
    <d v="2024-10-09T00:00:00"/>
    <x v="19"/>
    <m/>
    <m/>
    <m/>
    <m/>
    <m/>
    <m/>
    <m/>
    <m/>
    <m/>
    <m/>
    <m/>
  </r>
  <r>
    <n v="2111"/>
    <n v="6714"/>
    <s v="P"/>
    <s v="Capitalized"/>
    <s v="Murrey Intangible"/>
    <m/>
    <m/>
    <n v="1"/>
    <m/>
    <n v="0"/>
    <m/>
    <m/>
    <s v="INDEFINITE LIVED INTANGIBLES"/>
    <s v="INDEFINITE LIVED INTANGIBLES"/>
    <m/>
    <m/>
    <m/>
    <d v="1971-01-31T00:00:00"/>
    <d v="1971-01-31T00:00:00"/>
    <m/>
    <n v="4000"/>
    <n v="15260"/>
    <n v="61091"/>
    <n v="15266"/>
    <n v="48745.68"/>
    <n v="12345.32"/>
    <n v="0"/>
    <n v="70264"/>
    <n v="0"/>
    <s v="A"/>
    <s v="Murreys Disposal"/>
    <s v="NA"/>
    <s v=" "/>
    <s v="STL"/>
    <s v="NO"/>
    <s v="TBD"/>
    <d v="2024-10-09T00:00:00"/>
    <x v="19"/>
    <m/>
    <m/>
    <m/>
    <m/>
    <m/>
    <m/>
    <m/>
    <m/>
    <m/>
    <m/>
    <m/>
  </r>
  <r>
    <n v="2111"/>
    <n v="6713"/>
    <s v="P"/>
    <s v="Capitalized"/>
    <s v="Murry Goodwill"/>
    <m/>
    <m/>
    <n v="1"/>
    <m/>
    <n v="0"/>
    <m/>
    <m/>
    <s v="GOODWILL"/>
    <s v="GOODWILL"/>
    <m/>
    <m/>
    <m/>
    <d v="1971-01-31T00:00:00"/>
    <d v="1971-01-31T00:00:00"/>
    <m/>
    <n v="0"/>
    <n v="15110"/>
    <n v="7860"/>
    <n v="15115"/>
    <n v="6075.13"/>
    <n v="1784.87"/>
    <n v="0"/>
    <n v="70264"/>
    <n v="0"/>
    <s v="A"/>
    <s v="Murreys Disposal"/>
    <s v="NA"/>
    <s v=" "/>
    <s v="STL"/>
    <s v="NO"/>
    <s v="TBD"/>
    <d v="2024-10-09T00:00:00"/>
    <x v="19"/>
    <m/>
    <m/>
    <m/>
    <m/>
    <m/>
    <m/>
    <m/>
    <m/>
    <m/>
    <m/>
    <m/>
  </r>
  <r>
    <n v="2111"/>
    <n v="6708"/>
    <s v="P"/>
    <s v="Capitalized"/>
    <s v="1993 Cannon T400 Fax (N)"/>
    <m/>
    <m/>
    <n v="1"/>
    <m/>
    <n v="0"/>
    <m/>
    <m/>
    <s v="OFFICE EQUIPMENT"/>
    <s v="TBA"/>
    <m/>
    <m/>
    <m/>
    <d v="1993-09-24T00:00:00"/>
    <d v="1993-09-24T00:00:00"/>
    <m/>
    <n v="300"/>
    <n v="14100"/>
    <n v="1389.22"/>
    <n v="14106"/>
    <n v="1389.22"/>
    <n v="0"/>
    <n v="0"/>
    <n v="70260"/>
    <n v="0"/>
    <s v="A"/>
    <s v="Murreys Disposal"/>
    <s v="NA"/>
    <s v=" "/>
    <s v="STL"/>
    <s v="YES"/>
    <s v="TBD"/>
    <d v="2024-10-09T00:00:00"/>
    <x v="19"/>
    <m/>
    <m/>
    <m/>
    <m/>
    <m/>
    <m/>
    <m/>
    <m/>
    <m/>
    <m/>
    <m/>
  </r>
  <r>
    <n v="2111"/>
    <n v="6705"/>
    <s v="P"/>
    <s v="Capitalized"/>
    <s v="Filing Cabinet"/>
    <m/>
    <m/>
    <n v="1"/>
    <m/>
    <n v="0"/>
    <m/>
    <m/>
    <s v="OFFICE EQUIPMENT"/>
    <s v="TBA"/>
    <m/>
    <m/>
    <m/>
    <d v="1990-06-11T00:00:00"/>
    <d v="1990-06-11T00:00:00"/>
    <m/>
    <n v="500"/>
    <n v="14100"/>
    <n v="1057.6500000000001"/>
    <n v="14106"/>
    <n v="1057.6500000000001"/>
    <n v="0"/>
    <n v="0"/>
    <n v="70260"/>
    <n v="0"/>
    <s v="A"/>
    <s v="Murreys Disposal"/>
    <s v="NA"/>
    <s v=" "/>
    <s v="STL"/>
    <s v="YES"/>
    <s v="TBD"/>
    <d v="2024-10-09T00:00:00"/>
    <x v="19"/>
    <m/>
    <m/>
    <m/>
    <m/>
    <m/>
    <m/>
    <m/>
    <m/>
    <m/>
    <m/>
    <m/>
  </r>
  <r>
    <n v="2111"/>
    <n v="6704"/>
    <s v="P"/>
    <s v="Capitalized"/>
    <s v="2 Chairs &amp; 2 Desks (U)"/>
    <m/>
    <m/>
    <n v="1"/>
    <m/>
    <n v="0"/>
    <m/>
    <m/>
    <s v="OFFICE EQUIPMENT"/>
    <s v="TBA"/>
    <m/>
    <m/>
    <m/>
    <d v="1990-04-09T00:00:00"/>
    <d v="1990-04-09T00:00:00"/>
    <m/>
    <n v="500"/>
    <n v="14100"/>
    <n v="1250"/>
    <n v="14106"/>
    <n v="1250"/>
    <n v="0"/>
    <n v="0"/>
    <n v="70260"/>
    <n v="0"/>
    <s v="A"/>
    <s v="Murreys Disposal"/>
    <s v="NA"/>
    <s v=" "/>
    <s v="STL"/>
    <s v="YES"/>
    <s v="TBD"/>
    <d v="2024-10-09T00:00:00"/>
    <x v="19"/>
    <m/>
    <m/>
    <m/>
    <m/>
    <m/>
    <m/>
    <m/>
    <m/>
    <m/>
    <m/>
    <m/>
  </r>
  <r>
    <n v="2111"/>
    <n v="6699"/>
    <s v="P"/>
    <s v="Capitalized"/>
    <s v="Desk &amp; Chair"/>
    <m/>
    <m/>
    <n v="1"/>
    <m/>
    <n v="0"/>
    <m/>
    <m/>
    <s v="OFFICE EQUIPMENT"/>
    <s v="TBA"/>
    <m/>
    <m/>
    <m/>
    <d v="1987-10-22T00:00:00"/>
    <d v="1987-10-22T00:00:00"/>
    <m/>
    <n v="500"/>
    <n v="14100"/>
    <n v="333.92"/>
    <n v="14106"/>
    <n v="333.92"/>
    <n v="0"/>
    <n v="0"/>
    <n v="70260"/>
    <n v="0"/>
    <s v="A"/>
    <s v="Murreys Disposal"/>
    <s v="NA"/>
    <s v=" "/>
    <s v="STL"/>
    <s v="YES"/>
    <s v="TBD"/>
    <d v="2024-10-09T00:00:00"/>
    <x v="19"/>
    <m/>
    <m/>
    <m/>
    <m/>
    <m/>
    <m/>
    <m/>
    <m/>
    <m/>
    <m/>
    <m/>
  </r>
  <r>
    <n v="2111"/>
    <n v="6698"/>
    <s v="P"/>
    <s v="Capitalized"/>
    <s v="Chairs"/>
    <m/>
    <m/>
    <n v="1"/>
    <m/>
    <n v="0"/>
    <m/>
    <m/>
    <s v="OFFICE EQUIPMENT"/>
    <s v="TBA"/>
    <m/>
    <m/>
    <m/>
    <d v="1987-03-12T00:00:00"/>
    <d v="1987-03-12T00:00:00"/>
    <m/>
    <n v="500"/>
    <n v="14100"/>
    <n v="473.8"/>
    <n v="14106"/>
    <n v="473.8"/>
    <n v="0"/>
    <n v="0"/>
    <n v="70260"/>
    <n v="0"/>
    <s v="A"/>
    <s v="Murreys Disposal"/>
    <s v="NA"/>
    <s v=" "/>
    <s v="STL"/>
    <s v="YES"/>
    <s v="TBD"/>
    <d v="2024-10-09T00:00:00"/>
    <x v="19"/>
    <m/>
    <m/>
    <m/>
    <m/>
    <m/>
    <m/>
    <m/>
    <m/>
    <m/>
    <m/>
    <m/>
  </r>
  <r>
    <n v="2111"/>
    <n v="6696"/>
    <s v="P"/>
    <s v="Capitalized"/>
    <s v="SW Fire Files"/>
    <m/>
    <m/>
    <n v="1"/>
    <m/>
    <n v="0"/>
    <m/>
    <m/>
    <s v="OFFICE EQUIPMENT"/>
    <s v="TBA"/>
    <m/>
    <m/>
    <m/>
    <d v="1986-01-21T00:00:00"/>
    <d v="1986-01-21T00:00:00"/>
    <m/>
    <n v="500"/>
    <n v="14100"/>
    <n v="1762"/>
    <n v="14106"/>
    <n v="1762"/>
    <n v="0"/>
    <n v="0"/>
    <n v="70260"/>
    <n v="0"/>
    <s v="A"/>
    <s v="Murreys Disposal"/>
    <s v="NA"/>
    <s v=" "/>
    <s v="STL"/>
    <s v="YES"/>
    <s v="TBD"/>
    <d v="2024-10-09T00:00:00"/>
    <x v="19"/>
    <m/>
    <m/>
    <m/>
    <m/>
    <m/>
    <m/>
    <m/>
    <m/>
    <m/>
    <m/>
    <m/>
  </r>
  <r>
    <n v="2111"/>
    <n v="6695"/>
    <s v="P"/>
    <s v="Capitalized"/>
    <s v="3 Crts- Computers"/>
    <m/>
    <m/>
    <n v="1"/>
    <m/>
    <n v="0"/>
    <m/>
    <m/>
    <s v="OFFICE EQUIPMENT"/>
    <s v="TBA"/>
    <m/>
    <m/>
    <m/>
    <d v="1981-08-01T00:00:00"/>
    <d v="1981-08-01T00:00:00"/>
    <m/>
    <n v="300"/>
    <n v="14100"/>
    <n v="6828"/>
    <n v="14106"/>
    <n v="6828"/>
    <n v="0"/>
    <n v="0"/>
    <n v="70260"/>
    <n v="0"/>
    <s v="A"/>
    <s v="Murreys Disposal"/>
    <s v="NA"/>
    <s v=" "/>
    <s v="STL"/>
    <s v="YES"/>
    <s v="TBD"/>
    <d v="2024-10-09T00:00:00"/>
    <x v="19"/>
    <m/>
    <m/>
    <m/>
    <m/>
    <m/>
    <m/>
    <m/>
    <m/>
    <m/>
    <m/>
    <m/>
  </r>
  <r>
    <n v="2111"/>
    <n v="6692"/>
    <s v="P"/>
    <s v="Capitalized"/>
    <s v="File Cabinets"/>
    <m/>
    <m/>
    <n v="1"/>
    <m/>
    <n v="0"/>
    <m/>
    <m/>
    <s v="OFFICE EQUIPMENT"/>
    <s v="TBA"/>
    <m/>
    <m/>
    <m/>
    <d v="1983-10-14T00:00:00"/>
    <d v="1983-10-14T00:00:00"/>
    <m/>
    <n v="500"/>
    <n v="14100"/>
    <n v="919"/>
    <n v="14106"/>
    <n v="919"/>
    <n v="0"/>
    <n v="0"/>
    <n v="70260"/>
    <n v="0"/>
    <s v="A"/>
    <s v="Murreys Disposal"/>
    <s v="NA"/>
    <s v=" "/>
    <s v="STL"/>
    <s v="YES"/>
    <s v="TBD"/>
    <d v="2024-10-09T00:00:00"/>
    <x v="19"/>
    <m/>
    <m/>
    <m/>
    <m/>
    <m/>
    <m/>
    <m/>
    <m/>
    <m/>
    <m/>
    <m/>
  </r>
  <r>
    <n v="2111"/>
    <n v="6691"/>
    <s v="P"/>
    <s v="Capitalized"/>
    <s v="Chairs"/>
    <m/>
    <m/>
    <n v="1"/>
    <m/>
    <n v="0"/>
    <m/>
    <m/>
    <s v="OFFICE EQUIPMENT"/>
    <s v="TBA"/>
    <m/>
    <m/>
    <m/>
    <d v="1983-01-19T00:00:00"/>
    <d v="1983-01-19T00:00:00"/>
    <m/>
    <n v="500"/>
    <n v="14100"/>
    <n v="507"/>
    <n v="14106"/>
    <n v="507"/>
    <n v="0"/>
    <n v="0"/>
    <n v="70260"/>
    <n v="0"/>
    <s v="A"/>
    <s v="Murreys Disposal"/>
    <s v="NA"/>
    <s v=" "/>
    <s v="STL"/>
    <s v="YES"/>
    <s v="TBD"/>
    <d v="2024-10-09T00:00:00"/>
    <x v="19"/>
    <m/>
    <m/>
    <m/>
    <m/>
    <m/>
    <m/>
    <m/>
    <m/>
    <m/>
    <m/>
    <m/>
  </r>
  <r>
    <n v="2111"/>
    <n v="6690"/>
    <s v="P"/>
    <s v="Capitalized"/>
    <s v="Desk &amp; Credenza (#800)"/>
    <m/>
    <m/>
    <n v="1"/>
    <m/>
    <n v="0"/>
    <m/>
    <m/>
    <s v="OFFICE EQUIPMENT"/>
    <s v="TBA"/>
    <m/>
    <m/>
    <m/>
    <d v="1982-09-26T00:00:00"/>
    <d v="1982-09-26T00:00:00"/>
    <m/>
    <n v="500"/>
    <n v="14100"/>
    <n v="1785"/>
    <n v="14106"/>
    <n v="1785"/>
    <n v="0"/>
    <n v="0"/>
    <n v="70260"/>
    <n v="0"/>
    <s v="A"/>
    <s v="Murreys Disposal"/>
    <s v="NA"/>
    <s v=" "/>
    <s v="STL"/>
    <s v="YES"/>
    <s v="TBD"/>
    <d v="2024-10-09T00:00:00"/>
    <x v="19"/>
    <m/>
    <m/>
    <m/>
    <m/>
    <m/>
    <m/>
    <m/>
    <m/>
    <m/>
    <m/>
    <m/>
  </r>
  <r>
    <n v="2111"/>
    <n v="6689"/>
    <s v="P"/>
    <s v="Capitalized"/>
    <s v="Furniture"/>
    <m/>
    <m/>
    <n v="1"/>
    <m/>
    <n v="0"/>
    <m/>
    <m/>
    <s v="OFFICE EQUIPMENT"/>
    <s v="TBA"/>
    <m/>
    <m/>
    <m/>
    <d v="1981-07-01T00:00:00"/>
    <d v="1981-07-01T00:00:00"/>
    <m/>
    <n v="500"/>
    <n v="14100"/>
    <n v="485"/>
    <n v="14106"/>
    <n v="485"/>
    <n v="0"/>
    <n v="0"/>
    <n v="70260"/>
    <n v="0"/>
    <s v="A"/>
    <s v="Murreys Disposal"/>
    <s v="NA"/>
    <s v=" "/>
    <s v="STL"/>
    <s v="YES"/>
    <s v="TBD"/>
    <d v="2024-10-09T00:00:00"/>
    <x v="19"/>
    <m/>
    <m/>
    <m/>
    <m/>
    <m/>
    <m/>
    <m/>
    <m/>
    <m/>
    <m/>
    <m/>
  </r>
  <r>
    <n v="2111"/>
    <n v="6688"/>
    <s v="P"/>
    <s v="Capitalized"/>
    <s v="Pre- 1981 Equipment"/>
    <m/>
    <m/>
    <n v="1"/>
    <m/>
    <n v="0"/>
    <m/>
    <m/>
    <s v="OFFICE EQUIPMENT"/>
    <s v="TBA"/>
    <m/>
    <m/>
    <m/>
    <d v="1981-01-01T00:00:00"/>
    <d v="1981-01-01T00:00:00"/>
    <m/>
    <n v="100"/>
    <n v="14100"/>
    <n v="3190.25"/>
    <n v="14106"/>
    <n v="3190.25"/>
    <n v="0"/>
    <n v="0"/>
    <n v="70260"/>
    <n v="0"/>
    <s v="A"/>
    <s v="Murreys Disposal"/>
    <s v="NA"/>
    <s v=" "/>
    <s v="STL"/>
    <s v="YES"/>
    <s v="TBD"/>
    <d v="2024-10-09T00:00:00"/>
    <x v="19"/>
    <m/>
    <m/>
    <m/>
    <m/>
    <m/>
    <m/>
    <m/>
    <m/>
    <m/>
    <m/>
    <m/>
  </r>
  <r>
    <n v="2111"/>
    <n v="6687"/>
    <s v="P"/>
    <s v="Capitalized"/>
    <s v="Fence"/>
    <m/>
    <m/>
    <n v="1"/>
    <m/>
    <n v="0"/>
    <m/>
    <m/>
    <s v="BUILDINGS"/>
    <s v="TBA"/>
    <m/>
    <m/>
    <m/>
    <d v="1986-12-31T00:00:00"/>
    <d v="1986-12-31T00:00:00"/>
    <m/>
    <n v="2000"/>
    <n v="14080"/>
    <n v="2888.33"/>
    <n v="14086"/>
    <n v="2888.33"/>
    <n v="0"/>
    <n v="0"/>
    <n v="57260"/>
    <n v="0"/>
    <s v="A"/>
    <s v="Murreys Disposal"/>
    <s v="NA"/>
    <s v=" "/>
    <s v="STL"/>
    <s v="YES"/>
    <s v="TBD"/>
    <d v="2024-10-09T00:00:00"/>
    <x v="19"/>
    <m/>
    <m/>
    <m/>
    <m/>
    <m/>
    <m/>
    <m/>
    <m/>
    <m/>
    <m/>
    <m/>
  </r>
  <r>
    <n v="2111"/>
    <n v="6685"/>
    <s v="P"/>
    <s v="Capitalized"/>
    <s v="Building - Connell"/>
    <m/>
    <m/>
    <n v="1"/>
    <m/>
    <n v="0"/>
    <m/>
    <m/>
    <s v="BUILDINGS"/>
    <s v="TBA"/>
    <m/>
    <m/>
    <m/>
    <d v="1995-09-26T00:00:00"/>
    <d v="1995-09-26T00:00:00"/>
    <m/>
    <n v="2000"/>
    <n v="14080"/>
    <n v="107850"/>
    <n v="14086"/>
    <n v="107850"/>
    <n v="0"/>
    <n v="0"/>
    <n v="57260"/>
    <n v="0"/>
    <s v="A"/>
    <s v="Murreys Disposal"/>
    <s v="NA"/>
    <s v=" "/>
    <s v="STL"/>
    <s v="YES"/>
    <s v="TBD"/>
    <d v="2024-10-09T00:00:00"/>
    <x v="19"/>
    <m/>
    <m/>
    <m/>
    <m/>
    <m/>
    <m/>
    <m/>
    <m/>
    <m/>
    <m/>
    <m/>
  </r>
  <r>
    <n v="2111"/>
    <n v="6684"/>
    <s v="P"/>
    <s v="Capitalized"/>
    <s v="Ground Improvements (E)"/>
    <m/>
    <m/>
    <n v="1"/>
    <m/>
    <n v="0"/>
    <m/>
    <m/>
    <s v="BUILDINGS"/>
    <s v="TBA"/>
    <m/>
    <m/>
    <m/>
    <d v="1994-03-10T00:00:00"/>
    <d v="1994-03-10T00:00:00"/>
    <m/>
    <n v="2000"/>
    <n v="14080"/>
    <n v="76426.509999999995"/>
    <n v="14086"/>
    <n v="76426.509999999995"/>
    <n v="0"/>
    <n v="0"/>
    <n v="57260"/>
    <n v="0"/>
    <s v="A"/>
    <s v="Murreys Disposal"/>
    <s v="NA"/>
    <s v=" "/>
    <s v="STL"/>
    <s v="YES"/>
    <s v="TBD"/>
    <d v="2024-10-09T00:00:00"/>
    <x v="19"/>
    <m/>
    <m/>
    <m/>
    <m/>
    <m/>
    <m/>
    <m/>
    <m/>
    <m/>
    <m/>
    <m/>
  </r>
  <r>
    <n v="2111"/>
    <n v="6683"/>
    <s v="P"/>
    <s v="Capitalized"/>
    <s v="Ground Improvements (E)"/>
    <m/>
    <m/>
    <n v="1"/>
    <m/>
    <n v="0"/>
    <m/>
    <m/>
    <s v="BUILDINGS"/>
    <s v="TBA"/>
    <m/>
    <m/>
    <m/>
    <d v="1993-12-20T00:00:00"/>
    <d v="1993-12-20T00:00:00"/>
    <m/>
    <n v="2000"/>
    <n v="14080"/>
    <n v="67459.83"/>
    <n v="14086"/>
    <n v="67459.83"/>
    <n v="0"/>
    <n v="0"/>
    <n v="57260"/>
    <n v="0"/>
    <s v="A"/>
    <s v="Murreys Disposal"/>
    <s v="NA"/>
    <s v=" "/>
    <s v="STL"/>
    <s v="YES"/>
    <s v="TBD"/>
    <d v="2024-10-09T00:00:00"/>
    <x v="19"/>
    <m/>
    <m/>
    <m/>
    <m/>
    <m/>
    <m/>
    <m/>
    <m/>
    <m/>
    <m/>
    <m/>
  </r>
  <r>
    <n v="2111"/>
    <n v="6682"/>
    <s v="P"/>
    <s v="Capitalized"/>
    <s v="Ground Improvements (W)"/>
    <m/>
    <m/>
    <n v="1"/>
    <m/>
    <n v="0"/>
    <m/>
    <m/>
    <s v="BUILDINGS"/>
    <s v="TBA"/>
    <m/>
    <m/>
    <m/>
    <d v="1993-11-15T00:00:00"/>
    <d v="1993-11-15T00:00:00"/>
    <m/>
    <n v="2000"/>
    <n v="14080"/>
    <n v="26211.87"/>
    <n v="14086"/>
    <n v="26211.87"/>
    <n v="0"/>
    <n v="0"/>
    <n v="57260"/>
    <n v="0"/>
    <s v="A"/>
    <s v="Murreys Disposal"/>
    <s v="NA"/>
    <s v=" "/>
    <s v="STL"/>
    <s v="YES"/>
    <s v="TBD"/>
    <d v="2024-10-09T00:00:00"/>
    <x v="19"/>
    <m/>
    <m/>
    <m/>
    <m/>
    <m/>
    <m/>
    <m/>
    <m/>
    <m/>
    <m/>
    <m/>
  </r>
  <r>
    <n v="2111"/>
    <n v="6681"/>
    <s v="P"/>
    <s v="Capitalized"/>
    <s v="Buildings"/>
    <m/>
    <m/>
    <n v="1"/>
    <m/>
    <n v="0"/>
    <m/>
    <m/>
    <s v="BUILDINGS"/>
    <s v="TBA"/>
    <m/>
    <m/>
    <m/>
    <d v="1993-10-15T00:00:00"/>
    <d v="1993-10-15T00:00:00"/>
    <m/>
    <n v="2000"/>
    <n v="14080"/>
    <n v="20700"/>
    <n v="14086"/>
    <n v="20700"/>
    <n v="0"/>
    <n v="0"/>
    <n v="57260"/>
    <n v="0"/>
    <s v="A"/>
    <s v="Murreys Disposal"/>
    <s v="NA"/>
    <s v=" "/>
    <s v="STL"/>
    <s v="YES"/>
    <s v="TBD"/>
    <d v="2024-10-09T00:00:00"/>
    <x v="19"/>
    <m/>
    <m/>
    <m/>
    <m/>
    <m/>
    <m/>
    <m/>
    <m/>
    <m/>
    <m/>
    <m/>
  </r>
  <r>
    <n v="2111"/>
    <n v="6680"/>
    <s v="P"/>
    <s v="Capitalized"/>
    <s v="Building - Hukee"/>
    <m/>
    <m/>
    <n v="1"/>
    <m/>
    <n v="0"/>
    <m/>
    <m/>
    <s v="BUILDINGS"/>
    <s v="TBA"/>
    <m/>
    <m/>
    <m/>
    <d v="1993-01-10T00:00:00"/>
    <d v="1993-01-10T00:00:00"/>
    <m/>
    <n v="2000"/>
    <n v="14080"/>
    <n v="45000"/>
    <n v="14086"/>
    <n v="45000"/>
    <n v="0"/>
    <n v="0"/>
    <n v="57260"/>
    <n v="0"/>
    <s v="A"/>
    <s v="Murreys Disposal"/>
    <s v="NA"/>
    <s v=" "/>
    <s v="STL"/>
    <s v="YES"/>
    <s v="TBD"/>
    <d v="2024-10-09T00:00:00"/>
    <x v="19"/>
    <m/>
    <m/>
    <m/>
    <m/>
    <m/>
    <m/>
    <m/>
    <m/>
    <m/>
    <m/>
    <m/>
  </r>
  <r>
    <n v="2111"/>
    <n v="6679"/>
    <s v="P"/>
    <s v="Capitalized"/>
    <s v="Building -  Wargo"/>
    <m/>
    <m/>
    <n v="1"/>
    <m/>
    <n v="0"/>
    <m/>
    <m/>
    <s v="BUILDINGS"/>
    <s v="TBA"/>
    <m/>
    <m/>
    <m/>
    <d v="1989-12-10T00:00:00"/>
    <d v="1989-12-10T00:00:00"/>
    <m/>
    <n v="2000"/>
    <n v="14080"/>
    <n v="85260"/>
    <n v="14086"/>
    <n v="85260"/>
    <n v="0"/>
    <n v="0"/>
    <n v="57260"/>
    <n v="0"/>
    <s v="A"/>
    <s v="Murreys Disposal"/>
    <s v="NA"/>
    <s v=" "/>
    <s v="STL"/>
    <s v="YES"/>
    <s v="TBD"/>
    <d v="2024-10-09T00:00:00"/>
    <x v="19"/>
    <m/>
    <m/>
    <m/>
    <m/>
    <m/>
    <m/>
    <m/>
    <m/>
    <m/>
    <m/>
    <m/>
  </r>
  <r>
    <n v="2111"/>
    <n v="6678"/>
    <s v="P"/>
    <s v="Capitalized"/>
    <s v="Buildings"/>
    <m/>
    <m/>
    <n v="1"/>
    <m/>
    <n v="0"/>
    <m/>
    <m/>
    <s v="BUILDINGS"/>
    <s v="TBA"/>
    <m/>
    <m/>
    <m/>
    <d v="1983-01-02T00:00:00"/>
    <d v="1983-01-02T00:00:00"/>
    <m/>
    <n v="2000"/>
    <n v="14080"/>
    <n v="13821.47"/>
    <n v="14086"/>
    <n v="13821.47"/>
    <n v="0"/>
    <n v="0"/>
    <n v="57260"/>
    <n v="0"/>
    <s v="A"/>
    <s v="Murreys Disposal"/>
    <s v="NA"/>
    <s v=" "/>
    <s v="STL"/>
    <s v="YES"/>
    <s v="TBD"/>
    <d v="2024-10-09T00:00:00"/>
    <x v="19"/>
    <m/>
    <m/>
    <m/>
    <m/>
    <m/>
    <m/>
    <m/>
    <m/>
    <m/>
    <m/>
    <m/>
  </r>
  <r>
    <n v="2111"/>
    <n v="6677"/>
    <s v="P"/>
    <s v="Capitalized"/>
    <s v="Building Improvements"/>
    <m/>
    <m/>
    <n v="1"/>
    <m/>
    <n v="0"/>
    <m/>
    <m/>
    <s v="BUILDINGS"/>
    <s v="TBA"/>
    <m/>
    <m/>
    <m/>
    <d v="1980-06-01T00:00:00"/>
    <d v="1980-06-01T00:00:00"/>
    <m/>
    <n v="2000"/>
    <n v="14080"/>
    <n v="20500"/>
    <n v="14086"/>
    <n v="20500"/>
    <n v="0"/>
    <n v="0"/>
    <n v="57260"/>
    <n v="0"/>
    <s v="A"/>
    <s v="Murreys Disposal"/>
    <s v="NA"/>
    <s v=" "/>
    <s v="STL"/>
    <s v="YES"/>
    <s v="TBD"/>
    <d v="2024-10-09T00:00:00"/>
    <x v="19"/>
    <m/>
    <m/>
    <m/>
    <m/>
    <m/>
    <m/>
    <m/>
    <m/>
    <m/>
    <m/>
    <m/>
  </r>
  <r>
    <n v="2111"/>
    <n v="6676"/>
    <s v="P"/>
    <s v="Capitalized"/>
    <s v="Building Improvements"/>
    <m/>
    <m/>
    <n v="1"/>
    <m/>
    <n v="0"/>
    <m/>
    <m/>
    <s v="BUILDINGS"/>
    <s v="TBA"/>
    <m/>
    <m/>
    <m/>
    <d v="1979-06-01T00:00:00"/>
    <d v="1979-06-01T00:00:00"/>
    <m/>
    <n v="2000"/>
    <n v="14080"/>
    <n v="4470.2"/>
    <n v="14086"/>
    <n v="4470.2"/>
    <n v="0"/>
    <n v="0"/>
    <n v="57260"/>
    <n v="0"/>
    <s v="A"/>
    <s v="Murreys Disposal"/>
    <s v="NA"/>
    <s v=" "/>
    <s v="STL"/>
    <s v="YES"/>
    <s v="TBD"/>
    <d v="2024-10-09T00:00:00"/>
    <x v="19"/>
    <m/>
    <m/>
    <m/>
    <m/>
    <m/>
    <m/>
    <m/>
    <m/>
    <m/>
    <m/>
    <m/>
  </r>
  <r>
    <n v="2111"/>
    <n v="6675"/>
    <s v="P"/>
    <s v="Capitalized"/>
    <s v="Timbers -  Transfer Station"/>
    <m/>
    <m/>
    <n v="1"/>
    <m/>
    <n v="0"/>
    <m/>
    <m/>
    <s v="BUILDINGS"/>
    <s v="TBA"/>
    <m/>
    <m/>
    <m/>
    <d v="1978-02-01T00:00:00"/>
    <d v="1978-02-01T00:00:00"/>
    <m/>
    <n v="2000"/>
    <n v="14080"/>
    <n v="6173.91"/>
    <n v="14086"/>
    <n v="6173.91"/>
    <n v="0"/>
    <n v="0"/>
    <n v="57260"/>
    <n v="0"/>
    <s v="A"/>
    <s v="Murreys Disposal"/>
    <s v="NA"/>
    <s v=" "/>
    <s v="STL"/>
    <s v="YES"/>
    <s v="TBD"/>
    <d v="2024-10-09T00:00:00"/>
    <x v="19"/>
    <m/>
    <m/>
    <m/>
    <m/>
    <m/>
    <m/>
    <m/>
    <m/>
    <m/>
    <m/>
    <m/>
  </r>
  <r>
    <n v="2111"/>
    <n v="6674"/>
    <s v="P"/>
    <s v="Capitalized"/>
    <s v="Concrete Slab"/>
    <m/>
    <m/>
    <n v="1"/>
    <m/>
    <n v="0"/>
    <m/>
    <m/>
    <s v="BUILDINGS"/>
    <s v="TBA"/>
    <m/>
    <m/>
    <m/>
    <d v="1977-10-01T00:00:00"/>
    <d v="1977-10-01T00:00:00"/>
    <m/>
    <n v="2000"/>
    <n v="14080"/>
    <n v="1010.54"/>
    <n v="14086"/>
    <n v="1010.54"/>
    <n v="0"/>
    <n v="0"/>
    <n v="57260"/>
    <n v="0"/>
    <s v="A"/>
    <s v="Murreys Disposal"/>
    <s v="NA"/>
    <s v=" "/>
    <s v="STL"/>
    <s v="YES"/>
    <s v="TBD"/>
    <d v="2024-10-09T00:00:00"/>
    <x v="19"/>
    <m/>
    <m/>
    <m/>
    <m/>
    <m/>
    <m/>
    <m/>
    <m/>
    <m/>
    <m/>
    <m/>
  </r>
  <r>
    <n v="2111"/>
    <n v="6673"/>
    <s v="P"/>
    <s v="Capitalized"/>
    <s v="Building Improvements"/>
    <m/>
    <m/>
    <n v="1"/>
    <m/>
    <n v="0"/>
    <m/>
    <m/>
    <s v="BUILDINGS"/>
    <s v="TBA"/>
    <m/>
    <m/>
    <m/>
    <d v="1974-08-01T00:00:00"/>
    <d v="1974-08-01T00:00:00"/>
    <m/>
    <n v="2000"/>
    <n v="14080"/>
    <n v="4145.8900000000003"/>
    <n v="14086"/>
    <n v="4145.8900000000003"/>
    <n v="0"/>
    <n v="0"/>
    <n v="57260"/>
    <n v="0"/>
    <s v="A"/>
    <s v="Murreys Disposal"/>
    <s v="NA"/>
    <s v=" "/>
    <s v="STL"/>
    <s v="YES"/>
    <s v="TBD"/>
    <d v="2024-10-09T00:00:00"/>
    <x v="19"/>
    <m/>
    <m/>
    <m/>
    <m/>
    <m/>
    <m/>
    <m/>
    <m/>
    <m/>
    <m/>
    <m/>
  </r>
  <r>
    <n v="2111"/>
    <n v="6672"/>
    <s v="P"/>
    <s v="Capitalized"/>
    <s v="Building Improvements"/>
    <m/>
    <m/>
    <n v="1"/>
    <m/>
    <n v="0"/>
    <m/>
    <m/>
    <s v="BUILDINGS"/>
    <s v="TBA"/>
    <m/>
    <m/>
    <m/>
    <d v="1973-03-01T00:00:00"/>
    <d v="1973-03-01T00:00:00"/>
    <m/>
    <n v="2000"/>
    <n v="14080"/>
    <n v="1251.5999999999999"/>
    <n v="14086"/>
    <n v="1251.5999999999999"/>
    <n v="0"/>
    <n v="0"/>
    <n v="57260"/>
    <n v="0"/>
    <s v="A"/>
    <s v="Murreys Disposal"/>
    <s v="NA"/>
    <s v=" "/>
    <s v="STL"/>
    <s v="YES"/>
    <s v="TBD"/>
    <d v="2024-10-09T00:00:00"/>
    <x v="19"/>
    <m/>
    <m/>
    <m/>
    <m/>
    <m/>
    <m/>
    <m/>
    <m/>
    <m/>
    <m/>
    <m/>
  </r>
  <r>
    <n v="2111"/>
    <n v="6671"/>
    <s v="P"/>
    <s v="Capitalized"/>
    <s v="Shop Building"/>
    <m/>
    <m/>
    <n v="1"/>
    <m/>
    <n v="0"/>
    <m/>
    <m/>
    <s v="BUILDINGS"/>
    <s v="TBA"/>
    <m/>
    <m/>
    <m/>
    <d v="1968-01-01T00:00:00"/>
    <d v="1968-01-01T00:00:00"/>
    <m/>
    <n v="2000"/>
    <n v="14080"/>
    <n v="2398.25"/>
    <n v="14086"/>
    <n v="2398.25"/>
    <n v="0"/>
    <n v="0"/>
    <n v="57260"/>
    <n v="0"/>
    <s v="A"/>
    <s v="Murreys Disposal"/>
    <s v="NA"/>
    <s v=" "/>
    <s v="STL"/>
    <s v="YES"/>
    <s v="TBD"/>
    <d v="2024-10-09T00:00:00"/>
    <x v="19"/>
    <m/>
    <m/>
    <m/>
    <m/>
    <m/>
    <m/>
    <m/>
    <m/>
    <m/>
    <m/>
    <m/>
  </r>
  <r>
    <n v="2111"/>
    <n v="6669"/>
    <s v="P"/>
    <s v="Capitalized"/>
    <s v="Hydro-Tek Washer"/>
    <m/>
    <m/>
    <n v="1"/>
    <m/>
    <n v="1997"/>
    <s v="OTHER"/>
    <s v="Other"/>
    <s v="SHOP EQUIPMENT"/>
    <s v="TBA"/>
    <m/>
    <m/>
    <m/>
    <d v="1997-03-13T00:00:00"/>
    <d v="1997-03-13T00:00:00"/>
    <m/>
    <n v="500"/>
    <n v="14070"/>
    <n v="3078"/>
    <n v="14076"/>
    <n v="3078"/>
    <n v="0"/>
    <n v="0"/>
    <n v="51260"/>
    <n v="0"/>
    <s v="A"/>
    <s v="Murreys Disposal"/>
    <s v="NA"/>
    <s v=" "/>
    <s v="STL"/>
    <s v="YES"/>
    <s v="TBD"/>
    <d v="2024-10-09T00:00:00"/>
    <x v="19"/>
    <m/>
    <m/>
    <m/>
    <m/>
    <m/>
    <m/>
    <m/>
    <m/>
    <m/>
    <m/>
    <m/>
  </r>
  <r>
    <n v="2111"/>
    <n v="6666"/>
    <s v="P"/>
    <s v="Capitalized"/>
    <s v="Adjustable Height Gantries"/>
    <m/>
    <m/>
    <n v="1"/>
    <m/>
    <n v="1993"/>
    <s v="OTHER"/>
    <s v="Other"/>
    <s v="SHOP EQUIPMENT"/>
    <s v="TBA"/>
    <m/>
    <m/>
    <m/>
    <d v="1993-07-09T00:00:00"/>
    <d v="1993-07-09T00:00:00"/>
    <m/>
    <n v="500"/>
    <n v="14070"/>
    <n v="3470.79"/>
    <n v="14076"/>
    <n v="3470.79"/>
    <n v="0"/>
    <n v="0"/>
    <n v="51260"/>
    <n v="0"/>
    <s v="A"/>
    <s v="Murreys Disposal"/>
    <s v="NA"/>
    <s v=" "/>
    <s v="STL"/>
    <s v="YES"/>
    <s v="TBD"/>
    <d v="2024-10-09T00:00:00"/>
    <x v="19"/>
    <m/>
    <m/>
    <m/>
    <m/>
    <m/>
    <m/>
    <m/>
    <m/>
    <m/>
    <m/>
    <m/>
  </r>
  <r>
    <n v="2111"/>
    <n v="6665"/>
    <s v="P"/>
    <s v="Capitalized"/>
    <s v="Hot Water Washer"/>
    <m/>
    <m/>
    <n v="1"/>
    <s v="UNKNOWN"/>
    <n v="1996"/>
    <s v="OTHER"/>
    <s v="Other"/>
    <s v="SHOP EQUIPMENT"/>
    <s v="TBA"/>
    <m/>
    <m/>
    <m/>
    <d v="1996-06-29T00:00:00"/>
    <d v="1996-06-29T00:00:00"/>
    <m/>
    <n v="500"/>
    <n v="14070"/>
    <n v="3480.97"/>
    <n v="14076"/>
    <n v="3480.97"/>
    <n v="0"/>
    <n v="0"/>
    <n v="51260"/>
    <n v="0"/>
    <s v="A"/>
    <s v="Murreys Disposal"/>
    <s v="NA"/>
    <s v=" "/>
    <s v="STL"/>
    <s v="YES"/>
    <s v="TBD"/>
    <d v="2024-10-09T00:00:00"/>
    <x v="19"/>
    <m/>
    <m/>
    <m/>
    <m/>
    <m/>
    <m/>
    <m/>
    <m/>
    <m/>
    <m/>
    <m/>
  </r>
  <r>
    <n v="2111"/>
    <n v="6664"/>
    <s v="P"/>
    <s v="Capitalized"/>
    <s v="Hydralic Pump"/>
    <m/>
    <m/>
    <n v="1"/>
    <n v="1"/>
    <n v="1991"/>
    <s v="Other"/>
    <s v="Other"/>
    <s v="SHOP EQUIPMENT"/>
    <s v="TBA"/>
    <m/>
    <m/>
    <m/>
    <d v="1991-02-18T00:00:00"/>
    <d v="1991-02-18T00:00:00"/>
    <m/>
    <n v="500"/>
    <n v="14070"/>
    <n v="5235.83"/>
    <n v="14076"/>
    <n v="5235.83"/>
    <n v="0"/>
    <n v="0"/>
    <n v="51260"/>
    <n v="0"/>
    <s v="A"/>
    <s v="Murreys Disposal"/>
    <s v="NA"/>
    <s v=" "/>
    <s v="STL"/>
    <s v="YES"/>
    <s v="TBD"/>
    <d v="2024-10-09T00:00:00"/>
    <x v="19"/>
    <m/>
    <m/>
    <m/>
    <m/>
    <m/>
    <m/>
    <m/>
    <m/>
    <m/>
    <m/>
    <m/>
  </r>
  <r>
    <n v="2111"/>
    <n v="6663"/>
    <s v="P"/>
    <s v="Capitalized"/>
    <s v="Air Jacks"/>
    <m/>
    <m/>
    <n v="1"/>
    <m/>
    <n v="1990"/>
    <s v="OTHER"/>
    <s v="Other"/>
    <s v="SHOP EQUIPMENT"/>
    <s v="TBA"/>
    <m/>
    <m/>
    <m/>
    <d v="1990-01-11T00:00:00"/>
    <d v="1990-01-11T00:00:00"/>
    <m/>
    <n v="500"/>
    <n v="14070"/>
    <n v="1750"/>
    <n v="14076"/>
    <n v="1750"/>
    <n v="0"/>
    <n v="0"/>
    <n v="51260"/>
    <n v="0"/>
    <s v="A"/>
    <s v="Murreys Disposal"/>
    <s v="NA"/>
    <s v=" "/>
    <s v="STL"/>
    <s v="YES"/>
    <s v="TBD"/>
    <d v="2024-10-09T00:00:00"/>
    <x v="19"/>
    <m/>
    <m/>
    <m/>
    <m/>
    <m/>
    <m/>
    <m/>
    <m/>
    <m/>
    <m/>
    <m/>
  </r>
  <r>
    <n v="2111"/>
    <n v="6659"/>
    <s v="P"/>
    <s v="Capitalized"/>
    <s v="Pressure System"/>
    <m/>
    <m/>
    <n v="1"/>
    <m/>
    <n v="1986"/>
    <s v="OTHER"/>
    <s v="Other"/>
    <s v="SHOP EQUIPMENT"/>
    <s v="TBA"/>
    <m/>
    <m/>
    <m/>
    <d v="1986-06-26T00:00:00"/>
    <d v="1986-06-26T00:00:00"/>
    <m/>
    <n v="500"/>
    <n v="14070"/>
    <n v="989"/>
    <n v="14076"/>
    <n v="989"/>
    <n v="0"/>
    <n v="0"/>
    <n v="51260"/>
    <n v="0"/>
    <s v="A"/>
    <s v="Murreys Disposal"/>
    <s v="NA"/>
    <s v=" "/>
    <s v="STL"/>
    <s v="YES"/>
    <s v="TBD"/>
    <d v="2024-10-09T00:00:00"/>
    <x v="19"/>
    <m/>
    <m/>
    <m/>
    <m/>
    <m/>
    <m/>
    <m/>
    <m/>
    <m/>
    <m/>
    <m/>
  </r>
  <r>
    <n v="2111"/>
    <n v="6656"/>
    <s v="P"/>
    <s v="Capitalized"/>
    <s v="Air Compressor"/>
    <m/>
    <m/>
    <n v="1"/>
    <m/>
    <n v="1985"/>
    <s v="OTHER"/>
    <s v="Other"/>
    <s v="SHOP EQUIPMENT"/>
    <s v="TBA"/>
    <m/>
    <m/>
    <m/>
    <d v="1985-08-01T00:00:00"/>
    <d v="1985-08-01T00:00:00"/>
    <m/>
    <n v="500"/>
    <n v="14070"/>
    <n v="2430.9499999999998"/>
    <n v="14076"/>
    <n v="2430.9499999999998"/>
    <n v="0"/>
    <n v="0"/>
    <n v="51260"/>
    <n v="0"/>
    <s v="A"/>
    <s v="Murreys Disposal"/>
    <s v="NA"/>
    <s v=" "/>
    <s v="STL"/>
    <s v="YES"/>
    <s v="TBD"/>
    <d v="2024-10-09T00:00:00"/>
    <x v="19"/>
    <m/>
    <m/>
    <m/>
    <m/>
    <m/>
    <m/>
    <m/>
    <m/>
    <m/>
    <m/>
    <m/>
  </r>
  <r>
    <n v="2111"/>
    <n v="6654"/>
    <s v="P"/>
    <s v="Capitalized"/>
    <s v="Fuel Pumps"/>
    <m/>
    <m/>
    <n v="1"/>
    <m/>
    <n v="1987"/>
    <s v="OTHER"/>
    <s v="Other"/>
    <s v="SHOP EQUIPMENT"/>
    <s v="TBA"/>
    <m/>
    <m/>
    <m/>
    <d v="1987-06-26T00:00:00"/>
    <d v="1987-06-26T00:00:00"/>
    <m/>
    <n v="2000"/>
    <n v="14070"/>
    <n v="2721.95"/>
    <n v="14076"/>
    <n v="2721.95"/>
    <n v="0"/>
    <n v="0"/>
    <n v="51260"/>
    <n v="0"/>
    <s v="A"/>
    <s v="Murreys Disposal"/>
    <s v="NA"/>
    <s v=" "/>
    <s v="STL"/>
    <s v="YES"/>
    <s v="TBD"/>
    <d v="2024-10-09T00:00:00"/>
    <x v="19"/>
    <m/>
    <m/>
    <m/>
    <m/>
    <m/>
    <m/>
    <m/>
    <m/>
    <m/>
    <m/>
    <m/>
  </r>
  <r>
    <n v="2111"/>
    <n v="6653"/>
    <s v="P"/>
    <s v="Capitalized"/>
    <s v="Fuel Pumps"/>
    <m/>
    <m/>
    <n v="1"/>
    <m/>
    <n v="1987"/>
    <s v="OTHER"/>
    <s v="Other"/>
    <s v="SHOP EQUIPMENT"/>
    <s v="TBA"/>
    <m/>
    <m/>
    <m/>
    <d v="1987-02-09T00:00:00"/>
    <d v="1987-02-09T00:00:00"/>
    <m/>
    <n v="2000"/>
    <n v="14070"/>
    <n v="1697.31"/>
    <n v="14076"/>
    <n v="1697.31"/>
    <n v="0"/>
    <n v="0"/>
    <n v="51260"/>
    <n v="0"/>
    <s v="A"/>
    <s v="Murreys Disposal"/>
    <s v="NA"/>
    <s v=" "/>
    <s v="STL"/>
    <s v="YES"/>
    <s v="TBD"/>
    <d v="2024-10-09T00:00:00"/>
    <x v="19"/>
    <m/>
    <m/>
    <m/>
    <m/>
    <m/>
    <m/>
    <m/>
    <m/>
    <m/>
    <m/>
    <m/>
  </r>
  <r>
    <n v="2111"/>
    <n v="6651"/>
    <s v="P"/>
    <s v="Capitalized"/>
    <s v="Oil Pump"/>
    <m/>
    <m/>
    <n v="1"/>
    <n v="1"/>
    <n v="1985"/>
    <s v="other"/>
    <s v="Other"/>
    <s v="SHOP EQUIPMENT"/>
    <s v="TBA"/>
    <m/>
    <m/>
    <m/>
    <d v="1985-08-15T00:00:00"/>
    <d v="1985-08-15T00:00:00"/>
    <m/>
    <n v="500"/>
    <n v="14070"/>
    <n v="1392.3"/>
    <n v="14076"/>
    <n v="1392.3"/>
    <n v="0"/>
    <n v="0"/>
    <n v="51260"/>
    <n v="0"/>
    <s v="A"/>
    <s v="Murreys Disposal"/>
    <s v="NA"/>
    <s v=" "/>
    <s v="STL"/>
    <s v="YES"/>
    <s v="TBD"/>
    <d v="2024-10-09T00:00:00"/>
    <x v="19"/>
    <m/>
    <m/>
    <m/>
    <m/>
    <m/>
    <m/>
    <m/>
    <m/>
    <m/>
    <m/>
    <m/>
  </r>
  <r>
    <n v="2111"/>
    <n v="6649"/>
    <s v="P"/>
    <s v="Capitalized"/>
    <s v="Scale"/>
    <m/>
    <m/>
    <n v="1"/>
    <m/>
    <n v="1987"/>
    <s v="OTHER"/>
    <s v="Other"/>
    <s v="SHOP EQUIPMENT"/>
    <s v="TBA"/>
    <m/>
    <m/>
    <m/>
    <d v="1987-05-01T00:00:00"/>
    <d v="1987-05-01T00:00:00"/>
    <m/>
    <n v="1500"/>
    <n v="14070"/>
    <n v="61406.18"/>
    <n v="14076"/>
    <n v="61406.18"/>
    <n v="0"/>
    <n v="0"/>
    <n v="51260"/>
    <n v="0"/>
    <s v="A"/>
    <s v="Murreys Disposal"/>
    <s v="NA"/>
    <s v=" "/>
    <s v="STL"/>
    <s v="YES"/>
    <s v="TBD"/>
    <d v="2024-10-09T00:00:00"/>
    <x v="19"/>
    <m/>
    <m/>
    <m/>
    <m/>
    <m/>
    <m/>
    <m/>
    <m/>
    <m/>
    <m/>
    <m/>
  </r>
  <r>
    <n v="2111"/>
    <n v="6648"/>
    <s v="P"/>
    <s v="Capitalized"/>
    <s v="Scale Yard"/>
    <m/>
    <m/>
    <n v="1"/>
    <m/>
    <n v="1987"/>
    <s v="OTHER"/>
    <s v="Other"/>
    <s v="SHOP EQUIPMENT"/>
    <s v="TBA"/>
    <m/>
    <m/>
    <m/>
    <d v="1987-04-01T00:00:00"/>
    <d v="1987-04-01T00:00:00"/>
    <m/>
    <n v="1500"/>
    <n v="14070"/>
    <n v="100211.75"/>
    <n v="14076"/>
    <n v="100211.75"/>
    <n v="0"/>
    <n v="0"/>
    <n v="51260"/>
    <n v="0"/>
    <s v="A"/>
    <s v="Murreys Disposal"/>
    <s v="NA"/>
    <s v=" "/>
    <s v="STL"/>
    <s v="YES"/>
    <s v="TBD"/>
    <d v="2024-10-09T00:00:00"/>
    <x v="19"/>
    <m/>
    <m/>
    <m/>
    <m/>
    <m/>
    <m/>
    <m/>
    <m/>
    <m/>
    <m/>
    <m/>
  </r>
  <r>
    <n v="2111"/>
    <n v="6647"/>
    <s v="P"/>
    <s v="Capitalized"/>
    <s v="95gal Toters (N)"/>
    <m/>
    <m/>
    <n v="864"/>
    <m/>
    <n v="0"/>
    <m/>
    <m/>
    <s v="CONTAINERS"/>
    <s v="TBA"/>
    <m/>
    <m/>
    <m/>
    <d v="1998-07-27T00:00:00"/>
    <d v="1998-07-27T00:00:00"/>
    <m/>
    <n v="500"/>
    <n v="14050"/>
    <n v="45423.94"/>
    <n v="14056"/>
    <n v="45423.94"/>
    <n v="0"/>
    <n v="0"/>
    <n v="54260"/>
    <n v="0"/>
    <s v="A"/>
    <s v="Murreys Disposal"/>
    <s v="NA"/>
    <s v=" "/>
    <s v="STL"/>
    <s v="YES"/>
    <s v="TBD"/>
    <d v="2024-10-09T00:00:00"/>
    <x v="19"/>
    <m/>
    <m/>
    <m/>
    <m/>
    <m/>
    <m/>
    <m/>
    <m/>
    <m/>
    <m/>
    <m/>
  </r>
  <r>
    <n v="2111"/>
    <n v="6644"/>
    <s v="P"/>
    <s v="Capitalized"/>
    <s v="1yd Containers w/Lids (N)"/>
    <m/>
    <m/>
    <n v="30"/>
    <m/>
    <n v="0"/>
    <m/>
    <m/>
    <s v="CONTAINERS"/>
    <s v="TBA"/>
    <m/>
    <s v="1 YD"/>
    <s v="FEL/REL/SL Metal"/>
    <d v="1998-05-12T00:00:00"/>
    <d v="1998-05-12T00:00:00"/>
    <m/>
    <n v="1200"/>
    <n v="14050"/>
    <n v="9452.48"/>
    <n v="14056"/>
    <n v="9452.48"/>
    <n v="0"/>
    <n v="0"/>
    <n v="54260"/>
    <n v="0"/>
    <s v="A"/>
    <s v="Murreys Disposal"/>
    <s v="NA"/>
    <s v=" "/>
    <s v="STL"/>
    <s v="YES"/>
    <s v="TBD"/>
    <d v="2024-10-09T00:00:00"/>
    <x v="19"/>
    <m/>
    <m/>
    <m/>
    <m/>
    <m/>
    <m/>
    <m/>
    <m/>
    <m/>
    <m/>
    <m/>
  </r>
  <r>
    <n v="2111"/>
    <n v="6642"/>
    <s v="P"/>
    <s v="Capitalized"/>
    <s v="95gal Toters (N)"/>
    <m/>
    <m/>
    <n v="432"/>
    <m/>
    <n v="0"/>
    <m/>
    <m/>
    <s v="CONTAINERS"/>
    <s v="TBA"/>
    <m/>
    <m/>
    <m/>
    <d v="1998-03-02T00:00:00"/>
    <d v="1998-03-02T00:00:00"/>
    <m/>
    <n v="500"/>
    <n v="14050"/>
    <n v="22711.97"/>
    <n v="14056"/>
    <n v="22711.97"/>
    <n v="0"/>
    <n v="0"/>
    <n v="54260"/>
    <n v="0"/>
    <s v="A"/>
    <s v="Murreys Disposal"/>
    <s v="NA"/>
    <s v=" "/>
    <s v="STL"/>
    <s v="YES"/>
    <s v="TBD"/>
    <d v="2024-10-09T00:00:00"/>
    <x v="19"/>
    <m/>
    <m/>
    <m/>
    <m/>
    <m/>
    <m/>
    <m/>
    <m/>
    <m/>
    <m/>
    <m/>
  </r>
  <r>
    <n v="2111"/>
    <n v="6640"/>
    <s v="P"/>
    <s v="Capitalized"/>
    <s v="30yd Drop Boxes w/Lids"/>
    <m/>
    <m/>
    <n v="4"/>
    <m/>
    <n v="0"/>
    <m/>
    <m/>
    <s v="CONTAINERS"/>
    <s v="TBA"/>
    <m/>
    <s v="30 YD"/>
    <s v="RO Box"/>
    <d v="1997-08-20T00:00:00"/>
    <d v="1997-08-20T00:00:00"/>
    <m/>
    <n v="1200"/>
    <n v="14050"/>
    <n v="16728.29"/>
    <n v="14056"/>
    <n v="16728.29"/>
    <n v="0"/>
    <n v="0"/>
    <n v="54260"/>
    <n v="0"/>
    <s v="A"/>
    <s v="Murreys Disposal"/>
    <s v="NA"/>
    <s v=" "/>
    <s v="STL"/>
    <s v="YES"/>
    <s v="TBD"/>
    <d v="2024-10-09T00:00:00"/>
    <x v="19"/>
    <m/>
    <m/>
    <m/>
    <m/>
    <m/>
    <m/>
    <m/>
    <m/>
    <m/>
    <m/>
    <m/>
  </r>
  <r>
    <n v="2111"/>
    <n v="6639"/>
    <s v="P"/>
    <s v="Capitalized"/>
    <s v="30yd Drop Boxes w/Lids (N)"/>
    <m/>
    <m/>
    <n v="6"/>
    <m/>
    <n v="0"/>
    <m/>
    <m/>
    <s v="CONTAINERS"/>
    <s v="TBA"/>
    <m/>
    <s v="30 YD"/>
    <s v="RO Box"/>
    <d v="1997-08-01T00:00:00"/>
    <d v="1997-08-01T00:00:00"/>
    <m/>
    <n v="1200"/>
    <n v="14050"/>
    <n v="25092.42"/>
    <n v="14056"/>
    <n v="25092.42"/>
    <n v="0"/>
    <n v="0"/>
    <n v="54260"/>
    <n v="0"/>
    <s v="A"/>
    <s v="Murreys Disposal"/>
    <s v="NA"/>
    <s v=" "/>
    <s v="STL"/>
    <s v="YES"/>
    <s v="TBD"/>
    <d v="2024-10-09T00:00:00"/>
    <x v="19"/>
    <m/>
    <m/>
    <m/>
    <m/>
    <m/>
    <m/>
    <m/>
    <m/>
    <m/>
    <m/>
    <m/>
  </r>
  <r>
    <n v="2111"/>
    <n v="6637"/>
    <s v="P"/>
    <s v="Capitalized"/>
    <s v="1yd Containers w/Lids (N)"/>
    <m/>
    <m/>
    <n v="12"/>
    <m/>
    <n v="0"/>
    <m/>
    <m/>
    <s v="CONTAINERS"/>
    <s v="TBA"/>
    <m/>
    <s v="1 YD"/>
    <s v="FEL/REL/SL Metal"/>
    <d v="1997-07-31T00:00:00"/>
    <d v="1997-07-31T00:00:00"/>
    <m/>
    <n v="1200"/>
    <n v="14050"/>
    <n v="3350.34"/>
    <n v="14056"/>
    <n v="3350.34"/>
    <n v="0"/>
    <n v="0"/>
    <n v="54260"/>
    <n v="0"/>
    <s v="A"/>
    <s v="Murreys Disposal"/>
    <s v="NA"/>
    <s v=" "/>
    <s v="STL"/>
    <s v="YES"/>
    <s v="TBD"/>
    <d v="2024-10-09T00:00:00"/>
    <x v="19"/>
    <m/>
    <m/>
    <m/>
    <m/>
    <m/>
    <m/>
    <m/>
    <m/>
    <m/>
    <m/>
    <m/>
  </r>
  <r>
    <n v="2111"/>
    <n v="6635"/>
    <s v="P"/>
    <s v="Capitalized"/>
    <s v="95gal Toters (N)"/>
    <m/>
    <m/>
    <n v="720"/>
    <m/>
    <n v="0"/>
    <m/>
    <m/>
    <s v="CONTAINERS"/>
    <s v="TBA"/>
    <m/>
    <m/>
    <m/>
    <d v="1997-06-25T00:00:00"/>
    <d v="1997-06-25T00:00:00"/>
    <m/>
    <n v="500"/>
    <n v="14050"/>
    <n v="17653.05"/>
    <n v="14056"/>
    <n v="17653.05"/>
    <n v="0"/>
    <n v="0"/>
    <n v="54260"/>
    <n v="0"/>
    <s v="A"/>
    <s v="Murreys Disposal"/>
    <s v="NA"/>
    <s v=" "/>
    <s v="STL"/>
    <s v="YES"/>
    <s v="TBD"/>
    <d v="2024-10-09T00:00:00"/>
    <x v="19"/>
    <m/>
    <m/>
    <m/>
    <m/>
    <m/>
    <m/>
    <m/>
    <m/>
    <m/>
    <m/>
    <m/>
  </r>
  <r>
    <n v="2111"/>
    <n v="6628"/>
    <s v="P"/>
    <s v="Capitalized"/>
    <s v="95gal Toters (N)"/>
    <m/>
    <m/>
    <n v="720"/>
    <m/>
    <n v="0"/>
    <m/>
    <m/>
    <s v="CONTAINERS"/>
    <s v="TBA"/>
    <m/>
    <m/>
    <m/>
    <d v="1997-02-19T00:00:00"/>
    <d v="1997-02-19T00:00:00"/>
    <m/>
    <n v="500"/>
    <n v="14050"/>
    <n v="40397.760000000002"/>
    <n v="14056"/>
    <n v="40397.760000000002"/>
    <n v="0"/>
    <n v="0"/>
    <n v="54260"/>
    <n v="0"/>
    <s v="A"/>
    <s v="Murreys Disposal"/>
    <s v="NA"/>
    <s v=" "/>
    <s v="STL"/>
    <s v="YES"/>
    <s v="TBD"/>
    <d v="2024-10-09T00:00:00"/>
    <x v="19"/>
    <m/>
    <m/>
    <m/>
    <m/>
    <m/>
    <m/>
    <m/>
    <m/>
    <m/>
    <m/>
    <m/>
  </r>
  <r>
    <n v="2111"/>
    <n v="6623"/>
    <s v="P"/>
    <s v="Capitalized"/>
    <s v="1yd Containers w/Lids"/>
    <m/>
    <m/>
    <n v="24"/>
    <m/>
    <n v="0"/>
    <m/>
    <m/>
    <s v="CONTAINERS"/>
    <s v="TBA"/>
    <m/>
    <s v="1 YD"/>
    <s v="FEL/REL/SL Metal"/>
    <d v="1996-08-22T00:00:00"/>
    <d v="1996-08-22T00:00:00"/>
    <m/>
    <n v="1200"/>
    <n v="14050"/>
    <n v="5988.99"/>
    <n v="14056"/>
    <n v="5988.99"/>
    <n v="0"/>
    <n v="0"/>
    <n v="54260"/>
    <n v="0"/>
    <s v="A"/>
    <s v="Murreys Disposal"/>
    <s v="NA"/>
    <s v=" "/>
    <s v="STL"/>
    <s v="YES"/>
    <s v="TBD"/>
    <d v="2024-10-09T00:00:00"/>
    <x v="19"/>
    <m/>
    <m/>
    <m/>
    <m/>
    <m/>
    <m/>
    <m/>
    <m/>
    <m/>
    <m/>
    <m/>
  </r>
  <r>
    <n v="2111"/>
    <n v="6622"/>
    <s v="P"/>
    <s v="Capitalized"/>
    <s v="95gal Toters (N)"/>
    <m/>
    <m/>
    <n v="360"/>
    <m/>
    <n v="0"/>
    <m/>
    <m/>
    <s v="CONTAINERS"/>
    <s v="TBA"/>
    <m/>
    <m/>
    <m/>
    <d v="1996-05-17T00:00:00"/>
    <d v="1996-05-17T00:00:00"/>
    <m/>
    <n v="500"/>
    <n v="14050"/>
    <n v="20041.740000000002"/>
    <n v="14056"/>
    <n v="20041.740000000002"/>
    <n v="0"/>
    <n v="0"/>
    <n v="54260"/>
    <n v="0"/>
    <s v="A"/>
    <s v="Murreys Disposal"/>
    <s v="NA"/>
    <s v=" "/>
    <s v="STL"/>
    <s v="YES"/>
    <s v="TBD"/>
    <d v="2024-10-09T00:00:00"/>
    <x v="19"/>
    <m/>
    <m/>
    <m/>
    <m/>
    <m/>
    <m/>
    <m/>
    <m/>
    <m/>
    <m/>
    <m/>
  </r>
  <r>
    <n v="2111"/>
    <n v="6620"/>
    <s v="P"/>
    <s v="Capitalized"/>
    <s v="95gal Toters (N)"/>
    <m/>
    <m/>
    <n v="360"/>
    <m/>
    <n v="0"/>
    <m/>
    <m/>
    <s v="CONTAINERS"/>
    <s v="TBA"/>
    <m/>
    <m/>
    <m/>
    <d v="1996-05-03T00:00:00"/>
    <d v="1996-05-03T00:00:00"/>
    <m/>
    <n v="500"/>
    <n v="14050"/>
    <n v="20004.66"/>
    <n v="14056"/>
    <n v="20004.66"/>
    <n v="0"/>
    <n v="0"/>
    <n v="54260"/>
    <n v="0"/>
    <s v="A"/>
    <s v="Murreys Disposal"/>
    <s v="NA"/>
    <s v=" "/>
    <s v="STL"/>
    <s v="YES"/>
    <s v="TBD"/>
    <d v="2024-10-09T00:00:00"/>
    <x v="19"/>
    <m/>
    <m/>
    <m/>
    <m/>
    <m/>
    <m/>
    <m/>
    <m/>
    <m/>
    <m/>
    <m/>
  </r>
  <r>
    <n v="2111"/>
    <n v="6619"/>
    <s v="P"/>
    <s v="Capitalized"/>
    <s v="95gal Toters (N)"/>
    <m/>
    <m/>
    <n v="360"/>
    <m/>
    <n v="0"/>
    <m/>
    <m/>
    <s v="CONTAINERS"/>
    <s v="TBA"/>
    <m/>
    <m/>
    <m/>
    <d v="1996-04-12T00:00:00"/>
    <d v="1996-04-12T00:00:00"/>
    <m/>
    <n v="500"/>
    <n v="14050"/>
    <n v="20004.66"/>
    <n v="14056"/>
    <n v="20004.66"/>
    <n v="0"/>
    <n v="0"/>
    <n v="54260"/>
    <n v="0"/>
    <s v="A"/>
    <s v="Murreys Disposal"/>
    <s v="NA"/>
    <s v=" "/>
    <s v="STL"/>
    <s v="YES"/>
    <s v="TBD"/>
    <d v="2024-10-09T00:00:00"/>
    <x v="19"/>
    <m/>
    <m/>
    <m/>
    <m/>
    <m/>
    <m/>
    <m/>
    <m/>
    <m/>
    <m/>
    <m/>
  </r>
  <r>
    <n v="2111"/>
    <n v="6618"/>
    <s v="P"/>
    <s v="Capitalized"/>
    <s v="95gal Toters (N)"/>
    <m/>
    <m/>
    <n v="360"/>
    <m/>
    <n v="0"/>
    <m/>
    <m/>
    <s v="CONTAINERS"/>
    <s v="TBA"/>
    <m/>
    <m/>
    <m/>
    <d v="1996-03-28T00:00:00"/>
    <d v="1996-03-28T00:00:00"/>
    <m/>
    <n v="500"/>
    <n v="14050"/>
    <n v="20004.66"/>
    <n v="14056"/>
    <n v="20004.66"/>
    <n v="0"/>
    <n v="0"/>
    <n v="54260"/>
    <n v="0"/>
    <s v="A"/>
    <s v="Murreys Disposal"/>
    <s v="NA"/>
    <s v=" "/>
    <s v="STL"/>
    <s v="YES"/>
    <s v="TBD"/>
    <d v="2024-10-09T00:00:00"/>
    <x v="19"/>
    <m/>
    <m/>
    <m/>
    <m/>
    <m/>
    <m/>
    <m/>
    <m/>
    <m/>
    <m/>
    <m/>
  </r>
  <r>
    <n v="2111"/>
    <n v="6617"/>
    <s v="P"/>
    <s v="Capitalized"/>
    <s v="95gal Toters (N)"/>
    <m/>
    <m/>
    <n v="360"/>
    <m/>
    <n v="0"/>
    <m/>
    <m/>
    <s v="CONTAINERS"/>
    <s v="TBA"/>
    <m/>
    <m/>
    <m/>
    <d v="1996-03-26T00:00:00"/>
    <d v="1996-03-26T00:00:00"/>
    <m/>
    <n v="500"/>
    <n v="14050"/>
    <n v="20004.66"/>
    <n v="14056"/>
    <n v="20004.66"/>
    <n v="0"/>
    <n v="0"/>
    <n v="54260"/>
    <n v="0"/>
    <s v="A"/>
    <s v="Murreys Disposal"/>
    <s v="NA"/>
    <s v=" "/>
    <s v="STL"/>
    <s v="YES"/>
    <s v="TBD"/>
    <d v="2024-10-09T00:00:00"/>
    <x v="19"/>
    <m/>
    <m/>
    <m/>
    <m/>
    <m/>
    <m/>
    <m/>
    <m/>
    <m/>
    <m/>
    <m/>
  </r>
  <r>
    <n v="2111"/>
    <n v="6616"/>
    <s v="P"/>
    <s v="Capitalized"/>
    <s v="30yd Drop Boxes (N)"/>
    <m/>
    <m/>
    <n v="3"/>
    <m/>
    <n v="0"/>
    <m/>
    <m/>
    <s v="CONTAINERS"/>
    <s v="TBA"/>
    <m/>
    <s v="30 YD"/>
    <s v="RO Box"/>
    <d v="1996-02-13T00:00:00"/>
    <d v="1996-02-13T00:00:00"/>
    <m/>
    <n v="1200"/>
    <n v="14050"/>
    <n v="11838.92"/>
    <n v="14056"/>
    <n v="11838.92"/>
    <n v="0"/>
    <n v="0"/>
    <n v="54260"/>
    <n v="0"/>
    <s v="A"/>
    <s v="Murreys Disposal"/>
    <s v="NA"/>
    <s v=" "/>
    <s v="STL"/>
    <s v="YES"/>
    <s v="TBD"/>
    <d v="2024-10-09T00:00:00"/>
    <x v="19"/>
    <m/>
    <m/>
    <m/>
    <m/>
    <m/>
    <m/>
    <m/>
    <m/>
    <m/>
    <m/>
    <m/>
  </r>
  <r>
    <n v="2111"/>
    <n v="6615"/>
    <s v="P"/>
    <s v="Capitalized"/>
    <s v="95gal Toters (N)"/>
    <m/>
    <m/>
    <n v="436"/>
    <m/>
    <n v="0"/>
    <m/>
    <m/>
    <s v="CONTAINERS"/>
    <s v="TBA"/>
    <m/>
    <m/>
    <m/>
    <d v="1995-10-09T00:00:00"/>
    <d v="1995-10-09T00:00:00"/>
    <m/>
    <n v="500"/>
    <n v="14050"/>
    <n v="24933.53"/>
    <n v="14056"/>
    <n v="24933.53"/>
    <n v="0"/>
    <n v="0"/>
    <n v="54260"/>
    <n v="0"/>
    <s v="A"/>
    <s v="Murreys Disposal"/>
    <s v="NA"/>
    <s v=" "/>
    <s v="STL"/>
    <s v="YES"/>
    <s v="TBD"/>
    <d v="2024-10-09T00:00:00"/>
    <x v="19"/>
    <m/>
    <m/>
    <m/>
    <m/>
    <m/>
    <m/>
    <m/>
    <m/>
    <m/>
    <m/>
    <m/>
  </r>
  <r>
    <n v="2111"/>
    <n v="6614"/>
    <s v="P"/>
    <s v="Capitalized"/>
    <s v="95gal Toters (U) (Resdl)"/>
    <m/>
    <m/>
    <n v="4106"/>
    <m/>
    <n v="0"/>
    <m/>
    <m/>
    <s v="CONTAINERS"/>
    <s v="TBA"/>
    <m/>
    <m/>
    <m/>
    <d v="1995-06-25T00:00:00"/>
    <d v="1995-06-25T00:00:00"/>
    <m/>
    <n v="500"/>
    <n v="14050"/>
    <n v="28204.3"/>
    <n v="14056"/>
    <n v="28204.3"/>
    <n v="0"/>
    <n v="0"/>
    <n v="54260"/>
    <n v="0"/>
    <s v="A"/>
    <s v="Murreys Disposal"/>
    <s v="NA"/>
    <s v=" "/>
    <s v="STL"/>
    <s v="YES"/>
    <s v="TBD"/>
    <d v="2024-10-09T00:00:00"/>
    <x v="19"/>
    <m/>
    <m/>
    <m/>
    <m/>
    <m/>
    <m/>
    <m/>
    <m/>
    <m/>
    <m/>
    <m/>
  </r>
  <r>
    <n v="2111"/>
    <n v="6611"/>
    <s v="P"/>
    <s v="Capitalized"/>
    <s v="1yd Containers w/Lids (N)"/>
    <m/>
    <m/>
    <n v="9"/>
    <m/>
    <n v="0"/>
    <m/>
    <m/>
    <s v="CONTAINERS"/>
    <s v="TBA"/>
    <m/>
    <s v="1 YD"/>
    <s v="FEL/REL/SL Metal"/>
    <d v="1995-06-03T00:00:00"/>
    <d v="1995-06-03T00:00:00"/>
    <m/>
    <n v="1200"/>
    <n v="14050"/>
    <n v="2330.64"/>
    <n v="14056"/>
    <n v="2330.64"/>
    <n v="0"/>
    <n v="0"/>
    <n v="54260"/>
    <n v="0"/>
    <s v="A"/>
    <s v="Murreys Disposal"/>
    <s v="NA"/>
    <s v=" "/>
    <s v="STL"/>
    <s v="YES"/>
    <s v="TBD"/>
    <d v="2024-10-09T00:00:00"/>
    <x v="19"/>
    <m/>
    <m/>
    <m/>
    <m/>
    <m/>
    <m/>
    <m/>
    <m/>
    <m/>
    <m/>
    <m/>
  </r>
  <r>
    <n v="2111"/>
    <n v="6609"/>
    <s v="P"/>
    <s v="Capitalized"/>
    <s v="95gal Toters (N)"/>
    <m/>
    <m/>
    <n v="40"/>
    <m/>
    <n v="0"/>
    <m/>
    <m/>
    <s v="CONTAINERS"/>
    <s v="TBA"/>
    <m/>
    <m/>
    <m/>
    <d v="1995-03-27T00:00:00"/>
    <d v="1995-03-27T00:00:00"/>
    <m/>
    <n v="500"/>
    <n v="14050"/>
    <n v="2287.48"/>
    <n v="14056"/>
    <n v="2287.48"/>
    <n v="0"/>
    <n v="0"/>
    <n v="54260"/>
    <n v="0"/>
    <s v="A"/>
    <s v="Murreys Disposal"/>
    <s v="NA"/>
    <s v=" "/>
    <s v="STL"/>
    <s v="YES"/>
    <s v="TBD"/>
    <d v="2024-10-09T00:00:00"/>
    <x v="19"/>
    <m/>
    <m/>
    <m/>
    <m/>
    <m/>
    <m/>
    <m/>
    <m/>
    <m/>
    <m/>
    <m/>
  </r>
  <r>
    <n v="2111"/>
    <n v="6608"/>
    <s v="P"/>
    <s v="Capitalized"/>
    <s v="95gal Toters (N)"/>
    <m/>
    <m/>
    <n v="170"/>
    <m/>
    <n v="0"/>
    <m/>
    <m/>
    <s v="CONTAINERS"/>
    <s v="TBA"/>
    <m/>
    <m/>
    <m/>
    <d v="1995-03-03T00:00:00"/>
    <d v="1995-03-03T00:00:00"/>
    <m/>
    <n v="500"/>
    <n v="14050"/>
    <n v="9721.7900000000009"/>
    <n v="14056"/>
    <n v="9721.7900000000009"/>
    <n v="0"/>
    <n v="0"/>
    <n v="54260"/>
    <n v="0"/>
    <s v="A"/>
    <s v="Murreys Disposal"/>
    <s v="NA"/>
    <s v=" "/>
    <s v="STL"/>
    <s v="YES"/>
    <s v="TBD"/>
    <d v="2024-10-09T00:00:00"/>
    <x v="19"/>
    <m/>
    <m/>
    <m/>
    <m/>
    <m/>
    <m/>
    <m/>
    <m/>
    <m/>
    <m/>
    <m/>
  </r>
  <r>
    <n v="2111"/>
    <n v="6598"/>
    <s v="P"/>
    <s v="Capitalized"/>
    <s v="95gal MF Toters (N)"/>
    <m/>
    <m/>
    <n v="100"/>
    <m/>
    <n v="0"/>
    <m/>
    <m/>
    <s v="CONTAINERS"/>
    <s v="TBA"/>
    <m/>
    <m/>
    <m/>
    <d v="1993-12-21T00:00:00"/>
    <d v="1993-12-21T00:00:00"/>
    <m/>
    <n v="500"/>
    <n v="14050"/>
    <n v="5497.8"/>
    <n v="14056"/>
    <n v="5497.8"/>
    <n v="0"/>
    <n v="0"/>
    <n v="54260"/>
    <n v="0"/>
    <s v="A"/>
    <s v="Murreys Disposal"/>
    <s v="NA"/>
    <s v=" "/>
    <s v="STL"/>
    <s v="YES"/>
    <s v="TBD"/>
    <d v="2024-10-09T00:00:00"/>
    <x v="19"/>
    <m/>
    <m/>
    <m/>
    <m/>
    <m/>
    <m/>
    <m/>
    <m/>
    <m/>
    <m/>
    <m/>
  </r>
  <r>
    <n v="2111"/>
    <n v="6595"/>
    <s v="P"/>
    <s v="Capitalized"/>
    <s v="95gal YW Toters (N)"/>
    <m/>
    <m/>
    <n v="25"/>
    <m/>
    <n v="0"/>
    <m/>
    <m/>
    <s v="CONTAINERS"/>
    <s v="TBA"/>
    <m/>
    <m/>
    <m/>
    <d v="1993-07-28T00:00:00"/>
    <d v="1993-07-28T00:00:00"/>
    <m/>
    <n v="500"/>
    <n v="14050"/>
    <n v="1391.75"/>
    <n v="14056"/>
    <n v="1391.75"/>
    <n v="0"/>
    <n v="0"/>
    <n v="54260"/>
    <n v="0"/>
    <s v="A"/>
    <s v="Murreys Disposal"/>
    <s v="NA"/>
    <s v=" "/>
    <s v="STL"/>
    <s v="YES"/>
    <s v="TBD"/>
    <d v="2024-10-09T00:00:00"/>
    <x v="19"/>
    <m/>
    <m/>
    <m/>
    <m/>
    <m/>
    <m/>
    <m/>
    <m/>
    <m/>
    <m/>
    <m/>
  </r>
  <r>
    <n v="2111"/>
    <n v="6561"/>
    <s v="P"/>
    <s v="Capitalized"/>
    <s v="Truck Rebuild (Pacific Torque)"/>
    <m/>
    <m/>
    <n v="1"/>
    <s v="UNKNOWN"/>
    <n v="1999"/>
    <s v="OTHER"/>
    <s v="Other"/>
    <s v="TRUCKS AND TRAILERS"/>
    <s v="TBA"/>
    <s v="Non-Rolling Stock"/>
    <m/>
    <m/>
    <d v="1999-01-28T00:00:00"/>
    <d v="1999-01-28T00:00:00"/>
    <m/>
    <n v="500"/>
    <n v="14040"/>
    <n v="12192.54"/>
    <n v="14046"/>
    <n v="12192.54"/>
    <n v="0"/>
    <n v="0"/>
    <n v="51260"/>
    <n v="0"/>
    <s v="A"/>
    <s v="Murreys Disposal"/>
    <s v="NA"/>
    <s v=" "/>
    <s v="STL"/>
    <s v="YES"/>
    <s v="TBD"/>
    <d v="2024-10-09T00:00:00"/>
    <x v="19"/>
    <m/>
    <m/>
    <m/>
    <m/>
    <m/>
    <m/>
    <m/>
    <m/>
    <m/>
    <m/>
    <m/>
  </r>
  <r>
    <n v="2111"/>
    <n v="6547"/>
    <s v="P"/>
    <s v="Capitalized"/>
    <s v="Container Lease Payoff D4816 (U)"/>
    <m/>
    <m/>
    <n v="1"/>
    <m/>
    <n v="0"/>
    <m/>
    <m/>
    <s v="CONTAINERS"/>
    <s v="TBA"/>
    <m/>
    <m/>
    <m/>
    <d v="1992-08-20T00:00:00"/>
    <d v="1992-08-20T00:00:00"/>
    <m/>
    <n v="1200"/>
    <n v="14050"/>
    <n v="1112.17"/>
    <n v="14056"/>
    <n v="1112.17"/>
    <n v="0"/>
    <n v="0"/>
    <n v="54260"/>
    <n v="0"/>
    <s v="A"/>
    <s v="Murreys Disposal"/>
    <s v="NA"/>
    <s v=" "/>
    <s v="STL"/>
    <s v="YES"/>
    <s v="TBD"/>
    <d v="2024-10-09T00:00:00"/>
    <x v="19"/>
    <m/>
    <m/>
    <m/>
    <m/>
    <m/>
    <m/>
    <m/>
    <m/>
    <m/>
    <m/>
    <m/>
  </r>
  <r>
    <n v="2111"/>
    <n v="6546"/>
    <s v="P"/>
    <s v="Capitalized"/>
    <s v="30yd Containers w/Lids"/>
    <m/>
    <m/>
    <n v="3"/>
    <m/>
    <n v="0"/>
    <m/>
    <m/>
    <s v="CONTAINERS"/>
    <s v="TBA"/>
    <m/>
    <s v="30 YD"/>
    <s v="RO Box"/>
    <d v="1992-08-06T00:00:00"/>
    <d v="1992-08-06T00:00:00"/>
    <m/>
    <n v="1200"/>
    <n v="14050"/>
    <n v="13129.82"/>
    <n v="14056"/>
    <n v="13129.82"/>
    <n v="0"/>
    <n v="0"/>
    <n v="54260"/>
    <n v="0"/>
    <s v="A"/>
    <s v="Murreys Disposal"/>
    <s v="NA"/>
    <s v=" "/>
    <s v="STL"/>
    <s v="YES"/>
    <s v="TBD"/>
    <d v="2024-10-09T00:00:00"/>
    <x v="19"/>
    <m/>
    <m/>
    <m/>
    <m/>
    <m/>
    <m/>
    <m/>
    <m/>
    <m/>
    <m/>
    <m/>
  </r>
  <r>
    <n v="2111"/>
    <n v="6534"/>
    <s v="P"/>
    <s v="Capitalized"/>
    <s v="Container- DB Lease Payoff D4293"/>
    <m/>
    <m/>
    <n v="1"/>
    <m/>
    <n v="0"/>
    <m/>
    <m/>
    <s v="CONTAINERS"/>
    <s v="TBA"/>
    <m/>
    <m/>
    <m/>
    <d v="1991-04-05T00:00:00"/>
    <d v="1991-04-05T00:00:00"/>
    <m/>
    <n v="1200"/>
    <n v="14050"/>
    <n v="1783.75"/>
    <n v="14056"/>
    <n v="1783.75"/>
    <n v="0"/>
    <n v="0"/>
    <n v="54260"/>
    <n v="0"/>
    <s v="A"/>
    <s v="Murreys Disposal"/>
    <s v="NA"/>
    <s v=" "/>
    <s v="STL"/>
    <s v="YES"/>
    <s v="TBD"/>
    <d v="2024-10-09T00:00:00"/>
    <x v="19"/>
    <m/>
    <m/>
    <m/>
    <m/>
    <m/>
    <m/>
    <m/>
    <m/>
    <m/>
    <m/>
    <m/>
  </r>
  <r>
    <n v="2111"/>
    <n v="6510"/>
    <s v="P"/>
    <s v="Capitalized"/>
    <s v="30yd Drop Box w/Lids"/>
    <m/>
    <m/>
    <n v="1"/>
    <m/>
    <n v="0"/>
    <m/>
    <m/>
    <s v="CONTAINERS"/>
    <s v="TBA"/>
    <m/>
    <s v="30 YD"/>
    <s v="RO Box"/>
    <d v="1989-04-19T00:00:00"/>
    <d v="1989-04-19T00:00:00"/>
    <m/>
    <n v="1200"/>
    <n v="14050"/>
    <n v="3412.3"/>
    <n v="14056"/>
    <n v="3412.3"/>
    <n v="0"/>
    <n v="0"/>
    <n v="54260"/>
    <n v="0"/>
    <s v="A"/>
    <s v="Murreys Disposal"/>
    <s v="NA"/>
    <s v=" "/>
    <s v="STL"/>
    <s v="YES"/>
    <s v="TBD"/>
    <d v="2024-10-09T00:00:00"/>
    <x v="19"/>
    <m/>
    <m/>
    <m/>
    <m/>
    <m/>
    <m/>
    <m/>
    <m/>
    <m/>
    <m/>
    <m/>
  </r>
  <r>
    <n v="2111"/>
    <n v="6475"/>
    <s v="P"/>
    <s v="Capitalized"/>
    <s v="Unitec Scale (N)"/>
    <m/>
    <m/>
    <n v="1"/>
    <s v="Scale"/>
    <n v="1994"/>
    <s v="OTHER"/>
    <s v="Other"/>
    <s v="TRUCKS AND TRAILERS"/>
    <s v="TBA"/>
    <s v="Non-Rolling Stock"/>
    <m/>
    <m/>
    <d v="1994-03-09T00:00:00"/>
    <d v="1994-03-09T00:00:00"/>
    <m/>
    <n v="500"/>
    <n v="14040"/>
    <n v="18461.689999999999"/>
    <n v="14046"/>
    <n v="18461.689999999999"/>
    <n v="0"/>
    <n v="0"/>
    <n v="51260"/>
    <n v="0"/>
    <s v="A"/>
    <s v="Murreys Disposal"/>
    <s v="N/A"/>
    <s v=" "/>
    <s v="STL"/>
    <s v="YES"/>
    <s v="TBD"/>
    <d v="2024-10-09T00:00:00"/>
    <x v="19"/>
    <m/>
    <m/>
    <m/>
    <m/>
    <m/>
    <m/>
    <m/>
    <m/>
    <m/>
    <m/>
    <m/>
  </r>
  <r>
    <n v="2111"/>
    <n v="6419"/>
    <s v="P"/>
    <s v="Capitalized"/>
    <s v="Murreys Land"/>
    <m/>
    <m/>
    <n v="1"/>
    <m/>
    <n v="0"/>
    <m/>
    <m/>
    <s v="LAND"/>
    <s v="LAND"/>
    <m/>
    <m/>
    <m/>
    <d v="1998-12-31T00:00:00"/>
    <d v="1998-12-31T00:00:00"/>
    <m/>
    <n v="0"/>
    <n v="14000"/>
    <n v="503582.97"/>
    <n v="14016"/>
    <n v="0"/>
    <n v="503582.97"/>
    <n v="0"/>
    <n v="57260"/>
    <n v="0"/>
    <s v="A"/>
    <s v="Murreys Disposal"/>
    <s v="NA"/>
    <s v=" "/>
    <s v="STL"/>
    <s v="NO"/>
    <s v="TBD"/>
    <d v="2024-10-09T00:00:00"/>
    <x v="19"/>
    <m/>
    <m/>
    <m/>
    <m/>
    <m/>
    <m/>
    <m/>
    <m/>
    <m/>
    <m/>
    <m/>
  </r>
  <r>
    <n v="2111"/>
    <n v="4235"/>
    <s v="P"/>
    <s v="Capitalized"/>
    <s v="Computer Components"/>
    <m/>
    <m/>
    <n v="1"/>
    <m/>
    <n v="0"/>
    <s v="Insight"/>
    <m/>
    <s v="HARDWARE AND SOFTWARE"/>
    <s v="TBA"/>
    <m/>
    <m/>
    <m/>
    <d v="1999-12-31T00:00:00"/>
    <d v="1999-12-31T00:00:00"/>
    <m/>
    <n v="700"/>
    <n v="14110"/>
    <n v="159.47"/>
    <n v="14116"/>
    <n v="159.47"/>
    <n v="0"/>
    <n v="0"/>
    <n v="70260"/>
    <n v="0"/>
    <s v="P"/>
    <m/>
    <m/>
    <s v=" "/>
    <s v="STL"/>
    <s v="YES"/>
    <s v="TBD"/>
    <d v="2024-10-09T00:00:00"/>
    <x v="19"/>
    <m/>
    <m/>
    <m/>
    <m/>
    <m/>
    <m/>
    <m/>
    <m/>
    <m/>
    <m/>
    <m/>
  </r>
  <r>
    <m/>
    <m/>
    <m/>
    <m/>
    <m/>
    <m/>
    <m/>
    <m/>
    <m/>
    <m/>
    <m/>
    <m/>
    <m/>
    <m/>
    <m/>
    <m/>
    <m/>
    <m/>
    <m/>
    <m/>
    <m/>
    <m/>
    <m/>
    <m/>
    <m/>
    <m/>
    <m/>
    <m/>
    <m/>
    <m/>
    <m/>
    <m/>
    <m/>
    <m/>
    <m/>
    <m/>
    <m/>
    <x v="19"/>
    <m/>
    <m/>
    <m/>
    <m/>
    <m/>
    <m/>
    <m/>
    <m/>
    <m/>
    <m/>
    <m/>
  </r>
  <r>
    <m/>
    <m/>
    <m/>
    <m/>
    <m/>
    <m/>
    <m/>
    <m/>
    <m/>
    <m/>
    <m/>
    <m/>
    <m/>
    <m/>
    <m/>
    <m/>
    <m/>
    <m/>
    <m/>
    <m/>
    <n v="300"/>
    <m/>
    <n v="20113.73"/>
    <m/>
    <m/>
    <m/>
    <m/>
    <m/>
    <m/>
    <m/>
    <m/>
    <m/>
    <m/>
    <m/>
    <m/>
    <m/>
    <m/>
    <x v="19"/>
    <m/>
    <m/>
    <m/>
    <m/>
    <m/>
    <m/>
    <m/>
    <m/>
    <m/>
    <m/>
    <m/>
  </r>
  <r>
    <m/>
    <m/>
    <m/>
    <m/>
    <m/>
    <m/>
    <m/>
    <m/>
    <m/>
    <m/>
    <m/>
    <m/>
    <m/>
    <m/>
    <m/>
    <m/>
    <m/>
    <m/>
    <m/>
    <m/>
    <n v="3"/>
    <m/>
    <n v="6704.5766666666668"/>
    <m/>
    <m/>
    <m/>
    <m/>
    <m/>
    <m/>
    <m/>
    <m/>
    <m/>
    <m/>
    <m/>
    <m/>
    <m/>
    <m/>
    <x v="19"/>
    <m/>
    <m/>
    <m/>
    <m/>
    <m/>
    <m/>
    <m/>
    <m/>
    <m/>
    <m/>
    <m/>
  </r>
  <r>
    <m/>
    <m/>
    <m/>
    <m/>
    <m/>
    <m/>
    <m/>
    <m/>
    <m/>
    <m/>
    <m/>
    <m/>
    <m/>
    <m/>
    <m/>
    <m/>
    <m/>
    <m/>
    <m/>
    <m/>
    <m/>
    <m/>
    <n v="6704.5766666666668"/>
    <m/>
    <m/>
    <m/>
    <m/>
    <m/>
    <m/>
    <m/>
    <m/>
    <m/>
    <m/>
    <m/>
    <m/>
    <m/>
    <m/>
    <x v="19"/>
    <m/>
    <m/>
    <m/>
    <m/>
    <m/>
    <m/>
    <m/>
    <m/>
    <m/>
    <m/>
    <m/>
  </r>
  <r>
    <m/>
    <m/>
    <m/>
    <m/>
    <m/>
    <m/>
    <m/>
    <m/>
    <m/>
    <m/>
    <m/>
    <m/>
    <m/>
    <m/>
    <m/>
    <m/>
    <m/>
    <m/>
    <m/>
    <m/>
    <m/>
    <m/>
    <n v="0"/>
    <m/>
    <m/>
    <m/>
    <m/>
    <m/>
    <m/>
    <m/>
    <m/>
    <m/>
    <m/>
    <m/>
    <m/>
    <m/>
    <m/>
    <x v="19"/>
    <m/>
    <m/>
    <m/>
    <m/>
    <m/>
    <m/>
    <m/>
    <m/>
    <m/>
    <m/>
    <m/>
  </r>
  <r>
    <m/>
    <m/>
    <m/>
    <m/>
    <m/>
    <m/>
    <m/>
    <m/>
    <m/>
    <m/>
    <m/>
    <m/>
    <m/>
    <m/>
    <m/>
    <m/>
    <m/>
    <m/>
    <m/>
    <m/>
    <m/>
    <m/>
    <m/>
    <m/>
    <m/>
    <m/>
    <m/>
    <m/>
    <m/>
    <m/>
    <m/>
    <m/>
    <m/>
    <m/>
    <m/>
    <m/>
    <m/>
    <x v="19"/>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FBE569B-0DD2-4333-BAEF-C82E2F9177EE}"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F22" firstHeaderRow="0" firstDataRow="1" firstDataCol="1"/>
  <pivotFields count="49">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1" showAll="0"/>
    <pivotField showAll="0"/>
    <pivotField showAll="0"/>
    <pivotField showAll="0"/>
    <pivotField showAll="0"/>
    <pivotField dataField="1" showAll="0"/>
    <pivotField showAll="0"/>
    <pivotField showAll="0"/>
    <pivotField numFmtId="43"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24">
        <item x="6"/>
        <item x="5"/>
        <item x="2"/>
        <item x="16"/>
        <item x="17"/>
        <item h="1" x="15"/>
        <item x="7"/>
        <item x="0"/>
        <item x="18"/>
        <item x="8"/>
        <item x="10"/>
        <item x="12"/>
        <item x="3"/>
        <item m="1" x="21"/>
        <item x="14"/>
        <item x="11"/>
        <item x="9"/>
        <item m="1" x="20"/>
        <item x="1"/>
        <item x="13"/>
        <item x="4"/>
        <item m="1" x="22"/>
        <item h="1" x="19"/>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showAll="0"/>
  </pivotFields>
  <rowFields count="1">
    <field x="37"/>
  </rowFields>
  <rowItems count="19">
    <i>
      <x/>
    </i>
    <i>
      <x v="1"/>
    </i>
    <i>
      <x v="2"/>
    </i>
    <i>
      <x v="3"/>
    </i>
    <i>
      <x v="4"/>
    </i>
    <i>
      <x v="6"/>
    </i>
    <i>
      <x v="7"/>
    </i>
    <i>
      <x v="8"/>
    </i>
    <i>
      <x v="9"/>
    </i>
    <i>
      <x v="10"/>
    </i>
    <i>
      <x v="11"/>
    </i>
    <i>
      <x v="12"/>
    </i>
    <i>
      <x v="14"/>
    </i>
    <i>
      <x v="15"/>
    </i>
    <i>
      <x v="16"/>
    </i>
    <i>
      <x v="18"/>
    </i>
    <i>
      <x v="19"/>
    </i>
    <i>
      <x v="20"/>
    </i>
    <i t="grand">
      <x/>
    </i>
  </rowItems>
  <colFields count="1">
    <field x="-2"/>
  </colFields>
  <colItems count="5">
    <i>
      <x/>
    </i>
    <i i="1">
      <x v="1"/>
    </i>
    <i i="2">
      <x v="2"/>
    </i>
    <i i="3">
      <x v="3"/>
    </i>
    <i i="4">
      <x v="4"/>
    </i>
  </colItems>
  <dataFields count="5">
    <dataField name="Sum of Asset Cost" fld="22" baseField="0" baseItem="0"/>
    <dataField name="Sum of Test Year Dep" fld="44" baseField="0" baseItem="0"/>
    <dataField name="Sum of BOY Accum" fld="45" baseField="0" baseItem="0"/>
    <dataField name="Sum of EOY Accum" fld="46" baseField="0" baseItem="0"/>
    <dataField name="Sum of EOY Average Investment" fld="47" baseField="0" baseItem="0"/>
  </dataFields>
  <formats count="2">
    <format dxfId="15">
      <pivotArea outline="0" collapsedLevelsAreSubtotals="1" fieldPosition="0"/>
    </format>
    <format dxfId="1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6C9ADCA-9621-4823-8257-4DD0373E2A8C}" name="PivotTable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H3:I22" firstHeaderRow="1" firstDataRow="1" firstDataCol="1"/>
  <pivotFields count="49">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2" showAll="0"/>
    <pivotField numFmtId="172" showAll="0"/>
    <pivotField showAll="0"/>
    <pivotField showAll="0"/>
    <pivotField showAll="0"/>
    <pivotField dataField="1" numFmtId="44" showAll="0"/>
    <pivotField showAll="0"/>
    <pivotField numFmtId="44" showAll="0"/>
    <pivotField numFmtId="44" showAll="0"/>
    <pivotField numFmtId="44" showAll="0"/>
    <pivotField showAll="0"/>
    <pivotField numFmtId="44" showAll="0"/>
    <pivotField showAll="0"/>
    <pivotField showAll="0"/>
    <pivotField showAll="0"/>
    <pivotField showAll="0"/>
    <pivotField showAll="0"/>
    <pivotField showAll="0"/>
    <pivotField showAll="0"/>
    <pivotField showAll="0"/>
    <pivotField axis="axisRow" showAll="0">
      <items count="19">
        <item x="11"/>
        <item x="1"/>
        <item x="3"/>
        <item x="13"/>
        <item x="14"/>
        <item x="0"/>
        <item x="2"/>
        <item x="17"/>
        <item x="6"/>
        <item x="5"/>
        <item x="8"/>
        <item x="9"/>
        <item x="12"/>
        <item x="7"/>
        <item x="15"/>
        <item x="10"/>
        <item x="16"/>
        <item x="4"/>
        <item t="default"/>
      </items>
    </pivotField>
    <pivotField showAll="0"/>
    <pivotField showAll="0"/>
    <pivotField numFmtId="1" showAll="0"/>
    <pivotField numFmtId="165" showAll="0"/>
    <pivotField numFmtId="164" showAll="0"/>
    <pivotField numFmtId="164" showAll="0"/>
    <pivotField numFmtId="164" showAll="0"/>
    <pivotField numFmtId="164" showAll="0"/>
    <pivotField numFmtId="164" showAll="0"/>
    <pivotField numFmtId="164" showAll="0"/>
    <pivotField showAll="0"/>
  </pivotFields>
  <rowFields count="1">
    <field x="37"/>
  </rowFields>
  <rowItems count="19">
    <i>
      <x/>
    </i>
    <i>
      <x v="1"/>
    </i>
    <i>
      <x v="2"/>
    </i>
    <i>
      <x v="3"/>
    </i>
    <i>
      <x v="4"/>
    </i>
    <i>
      <x v="5"/>
    </i>
    <i>
      <x v="6"/>
    </i>
    <i>
      <x v="7"/>
    </i>
    <i>
      <x v="8"/>
    </i>
    <i>
      <x v="9"/>
    </i>
    <i>
      <x v="10"/>
    </i>
    <i>
      <x v="11"/>
    </i>
    <i>
      <x v="12"/>
    </i>
    <i>
      <x v="13"/>
    </i>
    <i>
      <x v="14"/>
    </i>
    <i>
      <x v="15"/>
    </i>
    <i>
      <x v="16"/>
    </i>
    <i>
      <x v="17"/>
    </i>
    <i t="grand">
      <x/>
    </i>
  </rowItems>
  <colItems count="1">
    <i/>
  </colItems>
  <dataFields count="1">
    <dataField name="Sum of Asset Cost" fld="2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35" dT="2022-11-03T20:29:15.47" personId="{724AC85B-9397-4CA5-9C52-4CFE8D43F789}" id="{E8FF9895-A4F0-44F1-B556-70EF8B208258}">
    <text>transferred to 2211</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Q133"/>
  <sheetViews>
    <sheetView tabSelected="1" view="pageBreakPreview" zoomScale="60" zoomScaleNormal="100" workbookViewId="0">
      <selection activeCell="H4" sqref="H4:H6"/>
    </sheetView>
  </sheetViews>
  <sheetFormatPr defaultRowHeight="15"/>
  <cols>
    <col min="1" max="1" width="20" style="3" customWidth="1"/>
    <col min="2" max="2" width="12.77734375" style="3" customWidth="1"/>
    <col min="3" max="3" width="9.77734375" style="3" bestFit="1" customWidth="1"/>
    <col min="4" max="4" width="12.6640625" style="3" bestFit="1" customWidth="1"/>
    <col min="5" max="5" width="20.33203125" style="3" bestFit="1" customWidth="1"/>
    <col min="6" max="7" width="13.109375" style="3" bestFit="1" customWidth="1"/>
    <col min="8" max="8" width="12.6640625" style="3" bestFit="1" customWidth="1"/>
    <col min="9" max="9" width="2" style="3" customWidth="1"/>
    <col min="10" max="10" width="10.33203125" style="3" customWidth="1"/>
    <col min="11" max="11" width="12" style="3" bestFit="1" customWidth="1"/>
    <col min="12" max="12" width="10.6640625" style="3" bestFit="1" customWidth="1"/>
    <col min="13" max="13" width="8.109375" style="131" customWidth="1"/>
    <col min="14" max="16" width="10.44140625" style="3" customWidth="1"/>
    <col min="17" max="17" width="10.44140625" style="131" customWidth="1"/>
    <col min="18" max="18" width="2.5546875" style="3" customWidth="1"/>
    <col min="19" max="19" width="1.6640625" style="3" customWidth="1"/>
    <col min="20" max="20" width="12" style="3" bestFit="1" customWidth="1"/>
    <col min="21" max="21" width="12.6640625" style="3" bestFit="1" customWidth="1"/>
    <col min="22" max="23" width="1.21875" style="3" customWidth="1"/>
    <col min="24" max="24" width="11.5546875" style="3" bestFit="1" customWidth="1"/>
    <col min="25" max="25" width="12" style="3" bestFit="1" customWidth="1"/>
    <col min="26" max="26" width="1.21875" style="3" customWidth="1"/>
    <col min="27" max="27" width="15.44140625" style="3" customWidth="1"/>
    <col min="28" max="31" width="10.44140625" style="3" customWidth="1"/>
    <col min="32" max="32" width="1.21875" style="3" customWidth="1"/>
    <col min="33" max="33" width="17.109375" style="3" customWidth="1"/>
    <col min="34" max="35" width="12.33203125" style="3" customWidth="1"/>
    <col min="36" max="36" width="18.6640625" style="3" bestFit="1" customWidth="1"/>
    <col min="37" max="37" width="18.77734375" style="3" customWidth="1"/>
    <col min="38" max="41" width="11.33203125" style="3" customWidth="1"/>
    <col min="42" max="42" width="8.88671875" style="3" customWidth="1"/>
    <col min="43" max="263" width="8.88671875" style="3"/>
    <col min="264" max="264" width="16.44140625" style="3" customWidth="1"/>
    <col min="265" max="271" width="10.33203125" style="3" customWidth="1"/>
    <col min="272" max="272" width="4.6640625" style="3" customWidth="1"/>
    <col min="273" max="273" width="1.6640625" style="3" customWidth="1"/>
    <col min="274" max="275" width="10.44140625" style="3" customWidth="1"/>
    <col min="276" max="276" width="1.21875" style="3" customWidth="1"/>
    <col min="277" max="278" width="10.44140625" style="3" customWidth="1"/>
    <col min="279" max="279" width="1.21875" style="3" customWidth="1"/>
    <col min="280" max="281" width="10.44140625" style="3" customWidth="1"/>
    <col min="282" max="282" width="1.21875" style="3" customWidth="1"/>
    <col min="283" max="287" width="10.44140625" style="3" customWidth="1"/>
    <col min="288" max="288" width="1.21875" style="3" customWidth="1"/>
    <col min="289" max="289" width="17.109375" style="3" customWidth="1"/>
    <col min="290" max="291" width="12.33203125" style="3" customWidth="1"/>
    <col min="292" max="292" width="13.5546875" style="3" customWidth="1"/>
    <col min="293" max="297" width="11.33203125" style="3" customWidth="1"/>
    <col min="298" max="298" width="7.44140625" style="3" customWidth="1"/>
    <col min="299" max="519" width="8.88671875" style="3"/>
    <col min="520" max="520" width="16.44140625" style="3" customWidth="1"/>
    <col min="521" max="527" width="10.33203125" style="3" customWidth="1"/>
    <col min="528" max="528" width="4.6640625" style="3" customWidth="1"/>
    <col min="529" max="529" width="1.6640625" style="3" customWidth="1"/>
    <col min="530" max="531" width="10.44140625" style="3" customWidth="1"/>
    <col min="532" max="532" width="1.21875" style="3" customWidth="1"/>
    <col min="533" max="534" width="10.44140625" style="3" customWidth="1"/>
    <col min="535" max="535" width="1.21875" style="3" customWidth="1"/>
    <col min="536" max="537" width="10.44140625" style="3" customWidth="1"/>
    <col min="538" max="538" width="1.21875" style="3" customWidth="1"/>
    <col min="539" max="543" width="10.44140625" style="3" customWidth="1"/>
    <col min="544" max="544" width="1.21875" style="3" customWidth="1"/>
    <col min="545" max="545" width="17.109375" style="3" customWidth="1"/>
    <col min="546" max="547" width="12.33203125" style="3" customWidth="1"/>
    <col min="548" max="548" width="13.5546875" style="3" customWidth="1"/>
    <col min="549" max="553" width="11.33203125" style="3" customWidth="1"/>
    <col min="554" max="554" width="7.44140625" style="3" customWidth="1"/>
    <col min="555" max="775" width="8.88671875" style="3"/>
    <col min="776" max="776" width="16.44140625" style="3" customWidth="1"/>
    <col min="777" max="783" width="10.33203125" style="3" customWidth="1"/>
    <col min="784" max="784" width="4.6640625" style="3" customWidth="1"/>
    <col min="785" max="785" width="1.6640625" style="3" customWidth="1"/>
    <col min="786" max="787" width="10.44140625" style="3" customWidth="1"/>
    <col min="788" max="788" width="1.21875" style="3" customWidth="1"/>
    <col min="789" max="790" width="10.44140625" style="3" customWidth="1"/>
    <col min="791" max="791" width="1.21875" style="3" customWidth="1"/>
    <col min="792" max="793" width="10.44140625" style="3" customWidth="1"/>
    <col min="794" max="794" width="1.21875" style="3" customWidth="1"/>
    <col min="795" max="799" width="10.44140625" style="3" customWidth="1"/>
    <col min="800" max="800" width="1.21875" style="3" customWidth="1"/>
    <col min="801" max="801" width="17.109375" style="3" customWidth="1"/>
    <col min="802" max="803" width="12.33203125" style="3" customWidth="1"/>
    <col min="804" max="804" width="13.5546875" style="3" customWidth="1"/>
    <col min="805" max="809" width="11.33203125" style="3" customWidth="1"/>
    <col min="810" max="810" width="7.44140625" style="3" customWidth="1"/>
    <col min="811" max="1031" width="8.88671875" style="3"/>
    <col min="1032" max="1032" width="16.44140625" style="3" customWidth="1"/>
    <col min="1033" max="1039" width="10.33203125" style="3" customWidth="1"/>
    <col min="1040" max="1040" width="4.6640625" style="3" customWidth="1"/>
    <col min="1041" max="1041" width="1.6640625" style="3" customWidth="1"/>
    <col min="1042" max="1043" width="10.44140625" style="3" customWidth="1"/>
    <col min="1044" max="1044" width="1.21875" style="3" customWidth="1"/>
    <col min="1045" max="1046" width="10.44140625" style="3" customWidth="1"/>
    <col min="1047" max="1047" width="1.21875" style="3" customWidth="1"/>
    <col min="1048" max="1049" width="10.44140625" style="3" customWidth="1"/>
    <col min="1050" max="1050" width="1.21875" style="3" customWidth="1"/>
    <col min="1051" max="1055" width="10.44140625" style="3" customWidth="1"/>
    <col min="1056" max="1056" width="1.21875" style="3" customWidth="1"/>
    <col min="1057" max="1057" width="17.109375" style="3" customWidth="1"/>
    <col min="1058" max="1059" width="12.33203125" style="3" customWidth="1"/>
    <col min="1060" max="1060" width="13.5546875" style="3" customWidth="1"/>
    <col min="1061" max="1065" width="11.33203125" style="3" customWidth="1"/>
    <col min="1066" max="1066" width="7.44140625" style="3" customWidth="1"/>
    <col min="1067" max="1287" width="8.88671875" style="3"/>
    <col min="1288" max="1288" width="16.44140625" style="3" customWidth="1"/>
    <col min="1289" max="1295" width="10.33203125" style="3" customWidth="1"/>
    <col min="1296" max="1296" width="4.6640625" style="3" customWidth="1"/>
    <col min="1297" max="1297" width="1.6640625" style="3" customWidth="1"/>
    <col min="1298" max="1299" width="10.44140625" style="3" customWidth="1"/>
    <col min="1300" max="1300" width="1.21875" style="3" customWidth="1"/>
    <col min="1301" max="1302" width="10.44140625" style="3" customWidth="1"/>
    <col min="1303" max="1303" width="1.21875" style="3" customWidth="1"/>
    <col min="1304" max="1305" width="10.44140625" style="3" customWidth="1"/>
    <col min="1306" max="1306" width="1.21875" style="3" customWidth="1"/>
    <col min="1307" max="1311" width="10.44140625" style="3" customWidth="1"/>
    <col min="1312" max="1312" width="1.21875" style="3" customWidth="1"/>
    <col min="1313" max="1313" width="17.109375" style="3" customWidth="1"/>
    <col min="1314" max="1315" width="12.33203125" style="3" customWidth="1"/>
    <col min="1316" max="1316" width="13.5546875" style="3" customWidth="1"/>
    <col min="1317" max="1321" width="11.33203125" style="3" customWidth="1"/>
    <col min="1322" max="1322" width="7.44140625" style="3" customWidth="1"/>
    <col min="1323" max="1543" width="8.88671875" style="3"/>
    <col min="1544" max="1544" width="16.44140625" style="3" customWidth="1"/>
    <col min="1545" max="1551" width="10.33203125" style="3" customWidth="1"/>
    <col min="1552" max="1552" width="4.6640625" style="3" customWidth="1"/>
    <col min="1553" max="1553" width="1.6640625" style="3" customWidth="1"/>
    <col min="1554" max="1555" width="10.44140625" style="3" customWidth="1"/>
    <col min="1556" max="1556" width="1.21875" style="3" customWidth="1"/>
    <col min="1557" max="1558" width="10.44140625" style="3" customWidth="1"/>
    <col min="1559" max="1559" width="1.21875" style="3" customWidth="1"/>
    <col min="1560" max="1561" width="10.44140625" style="3" customWidth="1"/>
    <col min="1562" max="1562" width="1.21875" style="3" customWidth="1"/>
    <col min="1563" max="1567" width="10.44140625" style="3" customWidth="1"/>
    <col min="1568" max="1568" width="1.21875" style="3" customWidth="1"/>
    <col min="1569" max="1569" width="17.109375" style="3" customWidth="1"/>
    <col min="1570" max="1571" width="12.33203125" style="3" customWidth="1"/>
    <col min="1572" max="1572" width="13.5546875" style="3" customWidth="1"/>
    <col min="1573" max="1577" width="11.33203125" style="3" customWidth="1"/>
    <col min="1578" max="1578" width="7.44140625" style="3" customWidth="1"/>
    <col min="1579" max="1799" width="8.88671875" style="3"/>
    <col min="1800" max="1800" width="16.44140625" style="3" customWidth="1"/>
    <col min="1801" max="1807" width="10.33203125" style="3" customWidth="1"/>
    <col min="1808" max="1808" width="4.6640625" style="3" customWidth="1"/>
    <col min="1809" max="1809" width="1.6640625" style="3" customWidth="1"/>
    <col min="1810" max="1811" width="10.44140625" style="3" customWidth="1"/>
    <col min="1812" max="1812" width="1.21875" style="3" customWidth="1"/>
    <col min="1813" max="1814" width="10.44140625" style="3" customWidth="1"/>
    <col min="1815" max="1815" width="1.21875" style="3" customWidth="1"/>
    <col min="1816" max="1817" width="10.44140625" style="3" customWidth="1"/>
    <col min="1818" max="1818" width="1.21875" style="3" customWidth="1"/>
    <col min="1819" max="1823" width="10.44140625" style="3" customWidth="1"/>
    <col min="1824" max="1824" width="1.21875" style="3" customWidth="1"/>
    <col min="1825" max="1825" width="17.109375" style="3" customWidth="1"/>
    <col min="1826" max="1827" width="12.33203125" style="3" customWidth="1"/>
    <col min="1828" max="1828" width="13.5546875" style="3" customWidth="1"/>
    <col min="1829" max="1833" width="11.33203125" style="3" customWidth="1"/>
    <col min="1834" max="1834" width="7.44140625" style="3" customWidth="1"/>
    <col min="1835" max="2055" width="8.88671875" style="3"/>
    <col min="2056" max="2056" width="16.44140625" style="3" customWidth="1"/>
    <col min="2057" max="2063" width="10.33203125" style="3" customWidth="1"/>
    <col min="2064" max="2064" width="4.6640625" style="3" customWidth="1"/>
    <col min="2065" max="2065" width="1.6640625" style="3" customWidth="1"/>
    <col min="2066" max="2067" width="10.44140625" style="3" customWidth="1"/>
    <col min="2068" max="2068" width="1.21875" style="3" customWidth="1"/>
    <col min="2069" max="2070" width="10.44140625" style="3" customWidth="1"/>
    <col min="2071" max="2071" width="1.21875" style="3" customWidth="1"/>
    <col min="2072" max="2073" width="10.44140625" style="3" customWidth="1"/>
    <col min="2074" max="2074" width="1.21875" style="3" customWidth="1"/>
    <col min="2075" max="2079" width="10.44140625" style="3" customWidth="1"/>
    <col min="2080" max="2080" width="1.21875" style="3" customWidth="1"/>
    <col min="2081" max="2081" width="17.109375" style="3" customWidth="1"/>
    <col min="2082" max="2083" width="12.33203125" style="3" customWidth="1"/>
    <col min="2084" max="2084" width="13.5546875" style="3" customWidth="1"/>
    <col min="2085" max="2089" width="11.33203125" style="3" customWidth="1"/>
    <col min="2090" max="2090" width="7.44140625" style="3" customWidth="1"/>
    <col min="2091" max="2311" width="8.88671875" style="3"/>
    <col min="2312" max="2312" width="16.44140625" style="3" customWidth="1"/>
    <col min="2313" max="2319" width="10.33203125" style="3" customWidth="1"/>
    <col min="2320" max="2320" width="4.6640625" style="3" customWidth="1"/>
    <col min="2321" max="2321" width="1.6640625" style="3" customWidth="1"/>
    <col min="2322" max="2323" width="10.44140625" style="3" customWidth="1"/>
    <col min="2324" max="2324" width="1.21875" style="3" customWidth="1"/>
    <col min="2325" max="2326" width="10.44140625" style="3" customWidth="1"/>
    <col min="2327" max="2327" width="1.21875" style="3" customWidth="1"/>
    <col min="2328" max="2329" width="10.44140625" style="3" customWidth="1"/>
    <col min="2330" max="2330" width="1.21875" style="3" customWidth="1"/>
    <col min="2331" max="2335" width="10.44140625" style="3" customWidth="1"/>
    <col min="2336" max="2336" width="1.21875" style="3" customWidth="1"/>
    <col min="2337" max="2337" width="17.109375" style="3" customWidth="1"/>
    <col min="2338" max="2339" width="12.33203125" style="3" customWidth="1"/>
    <col min="2340" max="2340" width="13.5546875" style="3" customWidth="1"/>
    <col min="2341" max="2345" width="11.33203125" style="3" customWidth="1"/>
    <col min="2346" max="2346" width="7.44140625" style="3" customWidth="1"/>
    <col min="2347" max="2567" width="8.88671875" style="3"/>
    <col min="2568" max="2568" width="16.44140625" style="3" customWidth="1"/>
    <col min="2569" max="2575" width="10.33203125" style="3" customWidth="1"/>
    <col min="2576" max="2576" width="4.6640625" style="3" customWidth="1"/>
    <col min="2577" max="2577" width="1.6640625" style="3" customWidth="1"/>
    <col min="2578" max="2579" width="10.44140625" style="3" customWidth="1"/>
    <col min="2580" max="2580" width="1.21875" style="3" customWidth="1"/>
    <col min="2581" max="2582" width="10.44140625" style="3" customWidth="1"/>
    <col min="2583" max="2583" width="1.21875" style="3" customWidth="1"/>
    <col min="2584" max="2585" width="10.44140625" style="3" customWidth="1"/>
    <col min="2586" max="2586" width="1.21875" style="3" customWidth="1"/>
    <col min="2587" max="2591" width="10.44140625" style="3" customWidth="1"/>
    <col min="2592" max="2592" width="1.21875" style="3" customWidth="1"/>
    <col min="2593" max="2593" width="17.109375" style="3" customWidth="1"/>
    <col min="2594" max="2595" width="12.33203125" style="3" customWidth="1"/>
    <col min="2596" max="2596" width="13.5546875" style="3" customWidth="1"/>
    <col min="2597" max="2601" width="11.33203125" style="3" customWidth="1"/>
    <col min="2602" max="2602" width="7.44140625" style="3" customWidth="1"/>
    <col min="2603" max="2823" width="8.88671875" style="3"/>
    <col min="2824" max="2824" width="16.44140625" style="3" customWidth="1"/>
    <col min="2825" max="2831" width="10.33203125" style="3" customWidth="1"/>
    <col min="2832" max="2832" width="4.6640625" style="3" customWidth="1"/>
    <col min="2833" max="2833" width="1.6640625" style="3" customWidth="1"/>
    <col min="2834" max="2835" width="10.44140625" style="3" customWidth="1"/>
    <col min="2836" max="2836" width="1.21875" style="3" customWidth="1"/>
    <col min="2837" max="2838" width="10.44140625" style="3" customWidth="1"/>
    <col min="2839" max="2839" width="1.21875" style="3" customWidth="1"/>
    <col min="2840" max="2841" width="10.44140625" style="3" customWidth="1"/>
    <col min="2842" max="2842" width="1.21875" style="3" customWidth="1"/>
    <col min="2843" max="2847" width="10.44140625" style="3" customWidth="1"/>
    <col min="2848" max="2848" width="1.21875" style="3" customWidth="1"/>
    <col min="2849" max="2849" width="17.109375" style="3" customWidth="1"/>
    <col min="2850" max="2851" width="12.33203125" style="3" customWidth="1"/>
    <col min="2852" max="2852" width="13.5546875" style="3" customWidth="1"/>
    <col min="2853" max="2857" width="11.33203125" style="3" customWidth="1"/>
    <col min="2858" max="2858" width="7.44140625" style="3" customWidth="1"/>
    <col min="2859" max="3079" width="8.88671875" style="3"/>
    <col min="3080" max="3080" width="16.44140625" style="3" customWidth="1"/>
    <col min="3081" max="3087" width="10.33203125" style="3" customWidth="1"/>
    <col min="3088" max="3088" width="4.6640625" style="3" customWidth="1"/>
    <col min="3089" max="3089" width="1.6640625" style="3" customWidth="1"/>
    <col min="3090" max="3091" width="10.44140625" style="3" customWidth="1"/>
    <col min="3092" max="3092" width="1.21875" style="3" customWidth="1"/>
    <col min="3093" max="3094" width="10.44140625" style="3" customWidth="1"/>
    <col min="3095" max="3095" width="1.21875" style="3" customWidth="1"/>
    <col min="3096" max="3097" width="10.44140625" style="3" customWidth="1"/>
    <col min="3098" max="3098" width="1.21875" style="3" customWidth="1"/>
    <col min="3099" max="3103" width="10.44140625" style="3" customWidth="1"/>
    <col min="3104" max="3104" width="1.21875" style="3" customWidth="1"/>
    <col min="3105" max="3105" width="17.109375" style="3" customWidth="1"/>
    <col min="3106" max="3107" width="12.33203125" style="3" customWidth="1"/>
    <col min="3108" max="3108" width="13.5546875" style="3" customWidth="1"/>
    <col min="3109" max="3113" width="11.33203125" style="3" customWidth="1"/>
    <col min="3114" max="3114" width="7.44140625" style="3" customWidth="1"/>
    <col min="3115" max="3335" width="8.88671875" style="3"/>
    <col min="3336" max="3336" width="16.44140625" style="3" customWidth="1"/>
    <col min="3337" max="3343" width="10.33203125" style="3" customWidth="1"/>
    <col min="3344" max="3344" width="4.6640625" style="3" customWidth="1"/>
    <col min="3345" max="3345" width="1.6640625" style="3" customWidth="1"/>
    <col min="3346" max="3347" width="10.44140625" style="3" customWidth="1"/>
    <col min="3348" max="3348" width="1.21875" style="3" customWidth="1"/>
    <col min="3349" max="3350" width="10.44140625" style="3" customWidth="1"/>
    <col min="3351" max="3351" width="1.21875" style="3" customWidth="1"/>
    <col min="3352" max="3353" width="10.44140625" style="3" customWidth="1"/>
    <col min="3354" max="3354" width="1.21875" style="3" customWidth="1"/>
    <col min="3355" max="3359" width="10.44140625" style="3" customWidth="1"/>
    <col min="3360" max="3360" width="1.21875" style="3" customWidth="1"/>
    <col min="3361" max="3361" width="17.109375" style="3" customWidth="1"/>
    <col min="3362" max="3363" width="12.33203125" style="3" customWidth="1"/>
    <col min="3364" max="3364" width="13.5546875" style="3" customWidth="1"/>
    <col min="3365" max="3369" width="11.33203125" style="3" customWidth="1"/>
    <col min="3370" max="3370" width="7.44140625" style="3" customWidth="1"/>
    <col min="3371" max="3591" width="8.88671875" style="3"/>
    <col min="3592" max="3592" width="16.44140625" style="3" customWidth="1"/>
    <col min="3593" max="3599" width="10.33203125" style="3" customWidth="1"/>
    <col min="3600" max="3600" width="4.6640625" style="3" customWidth="1"/>
    <col min="3601" max="3601" width="1.6640625" style="3" customWidth="1"/>
    <col min="3602" max="3603" width="10.44140625" style="3" customWidth="1"/>
    <col min="3604" max="3604" width="1.21875" style="3" customWidth="1"/>
    <col min="3605" max="3606" width="10.44140625" style="3" customWidth="1"/>
    <col min="3607" max="3607" width="1.21875" style="3" customWidth="1"/>
    <col min="3608" max="3609" width="10.44140625" style="3" customWidth="1"/>
    <col min="3610" max="3610" width="1.21875" style="3" customWidth="1"/>
    <col min="3611" max="3615" width="10.44140625" style="3" customWidth="1"/>
    <col min="3616" max="3616" width="1.21875" style="3" customWidth="1"/>
    <col min="3617" max="3617" width="17.109375" style="3" customWidth="1"/>
    <col min="3618" max="3619" width="12.33203125" style="3" customWidth="1"/>
    <col min="3620" max="3620" width="13.5546875" style="3" customWidth="1"/>
    <col min="3621" max="3625" width="11.33203125" style="3" customWidth="1"/>
    <col min="3626" max="3626" width="7.44140625" style="3" customWidth="1"/>
    <col min="3627" max="3847" width="8.88671875" style="3"/>
    <col min="3848" max="3848" width="16.44140625" style="3" customWidth="1"/>
    <col min="3849" max="3855" width="10.33203125" style="3" customWidth="1"/>
    <col min="3856" max="3856" width="4.6640625" style="3" customWidth="1"/>
    <col min="3857" max="3857" width="1.6640625" style="3" customWidth="1"/>
    <col min="3858" max="3859" width="10.44140625" style="3" customWidth="1"/>
    <col min="3860" max="3860" width="1.21875" style="3" customWidth="1"/>
    <col min="3861" max="3862" width="10.44140625" style="3" customWidth="1"/>
    <col min="3863" max="3863" width="1.21875" style="3" customWidth="1"/>
    <col min="3864" max="3865" width="10.44140625" style="3" customWidth="1"/>
    <col min="3866" max="3866" width="1.21875" style="3" customWidth="1"/>
    <col min="3867" max="3871" width="10.44140625" style="3" customWidth="1"/>
    <col min="3872" max="3872" width="1.21875" style="3" customWidth="1"/>
    <col min="3873" max="3873" width="17.109375" style="3" customWidth="1"/>
    <col min="3874" max="3875" width="12.33203125" style="3" customWidth="1"/>
    <col min="3876" max="3876" width="13.5546875" style="3" customWidth="1"/>
    <col min="3877" max="3881" width="11.33203125" style="3" customWidth="1"/>
    <col min="3882" max="3882" width="7.44140625" style="3" customWidth="1"/>
    <col min="3883" max="4103" width="8.88671875" style="3"/>
    <col min="4104" max="4104" width="16.44140625" style="3" customWidth="1"/>
    <col min="4105" max="4111" width="10.33203125" style="3" customWidth="1"/>
    <col min="4112" max="4112" width="4.6640625" style="3" customWidth="1"/>
    <col min="4113" max="4113" width="1.6640625" style="3" customWidth="1"/>
    <col min="4114" max="4115" width="10.44140625" style="3" customWidth="1"/>
    <col min="4116" max="4116" width="1.21875" style="3" customWidth="1"/>
    <col min="4117" max="4118" width="10.44140625" style="3" customWidth="1"/>
    <col min="4119" max="4119" width="1.21875" style="3" customWidth="1"/>
    <col min="4120" max="4121" width="10.44140625" style="3" customWidth="1"/>
    <col min="4122" max="4122" width="1.21875" style="3" customWidth="1"/>
    <col min="4123" max="4127" width="10.44140625" style="3" customWidth="1"/>
    <col min="4128" max="4128" width="1.21875" style="3" customWidth="1"/>
    <col min="4129" max="4129" width="17.109375" style="3" customWidth="1"/>
    <col min="4130" max="4131" width="12.33203125" style="3" customWidth="1"/>
    <col min="4132" max="4132" width="13.5546875" style="3" customWidth="1"/>
    <col min="4133" max="4137" width="11.33203125" style="3" customWidth="1"/>
    <col min="4138" max="4138" width="7.44140625" style="3" customWidth="1"/>
    <col min="4139" max="4359" width="8.88671875" style="3"/>
    <col min="4360" max="4360" width="16.44140625" style="3" customWidth="1"/>
    <col min="4361" max="4367" width="10.33203125" style="3" customWidth="1"/>
    <col min="4368" max="4368" width="4.6640625" style="3" customWidth="1"/>
    <col min="4369" max="4369" width="1.6640625" style="3" customWidth="1"/>
    <col min="4370" max="4371" width="10.44140625" style="3" customWidth="1"/>
    <col min="4372" max="4372" width="1.21875" style="3" customWidth="1"/>
    <col min="4373" max="4374" width="10.44140625" style="3" customWidth="1"/>
    <col min="4375" max="4375" width="1.21875" style="3" customWidth="1"/>
    <col min="4376" max="4377" width="10.44140625" style="3" customWidth="1"/>
    <col min="4378" max="4378" width="1.21875" style="3" customWidth="1"/>
    <col min="4379" max="4383" width="10.44140625" style="3" customWidth="1"/>
    <col min="4384" max="4384" width="1.21875" style="3" customWidth="1"/>
    <col min="4385" max="4385" width="17.109375" style="3" customWidth="1"/>
    <col min="4386" max="4387" width="12.33203125" style="3" customWidth="1"/>
    <col min="4388" max="4388" width="13.5546875" style="3" customWidth="1"/>
    <col min="4389" max="4393" width="11.33203125" style="3" customWidth="1"/>
    <col min="4394" max="4394" width="7.44140625" style="3" customWidth="1"/>
    <col min="4395" max="4615" width="8.88671875" style="3"/>
    <col min="4616" max="4616" width="16.44140625" style="3" customWidth="1"/>
    <col min="4617" max="4623" width="10.33203125" style="3" customWidth="1"/>
    <col min="4624" max="4624" width="4.6640625" style="3" customWidth="1"/>
    <col min="4625" max="4625" width="1.6640625" style="3" customWidth="1"/>
    <col min="4626" max="4627" width="10.44140625" style="3" customWidth="1"/>
    <col min="4628" max="4628" width="1.21875" style="3" customWidth="1"/>
    <col min="4629" max="4630" width="10.44140625" style="3" customWidth="1"/>
    <col min="4631" max="4631" width="1.21875" style="3" customWidth="1"/>
    <col min="4632" max="4633" width="10.44140625" style="3" customWidth="1"/>
    <col min="4634" max="4634" width="1.21875" style="3" customWidth="1"/>
    <col min="4635" max="4639" width="10.44140625" style="3" customWidth="1"/>
    <col min="4640" max="4640" width="1.21875" style="3" customWidth="1"/>
    <col min="4641" max="4641" width="17.109375" style="3" customWidth="1"/>
    <col min="4642" max="4643" width="12.33203125" style="3" customWidth="1"/>
    <col min="4644" max="4644" width="13.5546875" style="3" customWidth="1"/>
    <col min="4645" max="4649" width="11.33203125" style="3" customWidth="1"/>
    <col min="4650" max="4650" width="7.44140625" style="3" customWidth="1"/>
    <col min="4651" max="4871" width="8.88671875" style="3"/>
    <col min="4872" max="4872" width="16.44140625" style="3" customWidth="1"/>
    <col min="4873" max="4879" width="10.33203125" style="3" customWidth="1"/>
    <col min="4880" max="4880" width="4.6640625" style="3" customWidth="1"/>
    <col min="4881" max="4881" width="1.6640625" style="3" customWidth="1"/>
    <col min="4882" max="4883" width="10.44140625" style="3" customWidth="1"/>
    <col min="4884" max="4884" width="1.21875" style="3" customWidth="1"/>
    <col min="4885" max="4886" width="10.44140625" style="3" customWidth="1"/>
    <col min="4887" max="4887" width="1.21875" style="3" customWidth="1"/>
    <col min="4888" max="4889" width="10.44140625" style="3" customWidth="1"/>
    <col min="4890" max="4890" width="1.21875" style="3" customWidth="1"/>
    <col min="4891" max="4895" width="10.44140625" style="3" customWidth="1"/>
    <col min="4896" max="4896" width="1.21875" style="3" customWidth="1"/>
    <col min="4897" max="4897" width="17.109375" style="3" customWidth="1"/>
    <col min="4898" max="4899" width="12.33203125" style="3" customWidth="1"/>
    <col min="4900" max="4900" width="13.5546875" style="3" customWidth="1"/>
    <col min="4901" max="4905" width="11.33203125" style="3" customWidth="1"/>
    <col min="4906" max="4906" width="7.44140625" style="3" customWidth="1"/>
    <col min="4907" max="5127" width="8.88671875" style="3"/>
    <col min="5128" max="5128" width="16.44140625" style="3" customWidth="1"/>
    <col min="5129" max="5135" width="10.33203125" style="3" customWidth="1"/>
    <col min="5136" max="5136" width="4.6640625" style="3" customWidth="1"/>
    <col min="5137" max="5137" width="1.6640625" style="3" customWidth="1"/>
    <col min="5138" max="5139" width="10.44140625" style="3" customWidth="1"/>
    <col min="5140" max="5140" width="1.21875" style="3" customWidth="1"/>
    <col min="5141" max="5142" width="10.44140625" style="3" customWidth="1"/>
    <col min="5143" max="5143" width="1.21875" style="3" customWidth="1"/>
    <col min="5144" max="5145" width="10.44140625" style="3" customWidth="1"/>
    <col min="5146" max="5146" width="1.21875" style="3" customWidth="1"/>
    <col min="5147" max="5151" width="10.44140625" style="3" customWidth="1"/>
    <col min="5152" max="5152" width="1.21875" style="3" customWidth="1"/>
    <col min="5153" max="5153" width="17.109375" style="3" customWidth="1"/>
    <col min="5154" max="5155" width="12.33203125" style="3" customWidth="1"/>
    <col min="5156" max="5156" width="13.5546875" style="3" customWidth="1"/>
    <col min="5157" max="5161" width="11.33203125" style="3" customWidth="1"/>
    <col min="5162" max="5162" width="7.44140625" style="3" customWidth="1"/>
    <col min="5163" max="5383" width="8.88671875" style="3"/>
    <col min="5384" max="5384" width="16.44140625" style="3" customWidth="1"/>
    <col min="5385" max="5391" width="10.33203125" style="3" customWidth="1"/>
    <col min="5392" max="5392" width="4.6640625" style="3" customWidth="1"/>
    <col min="5393" max="5393" width="1.6640625" style="3" customWidth="1"/>
    <col min="5394" max="5395" width="10.44140625" style="3" customWidth="1"/>
    <col min="5396" max="5396" width="1.21875" style="3" customWidth="1"/>
    <col min="5397" max="5398" width="10.44140625" style="3" customWidth="1"/>
    <col min="5399" max="5399" width="1.21875" style="3" customWidth="1"/>
    <col min="5400" max="5401" width="10.44140625" style="3" customWidth="1"/>
    <col min="5402" max="5402" width="1.21875" style="3" customWidth="1"/>
    <col min="5403" max="5407" width="10.44140625" style="3" customWidth="1"/>
    <col min="5408" max="5408" width="1.21875" style="3" customWidth="1"/>
    <col min="5409" max="5409" width="17.109375" style="3" customWidth="1"/>
    <col min="5410" max="5411" width="12.33203125" style="3" customWidth="1"/>
    <col min="5412" max="5412" width="13.5546875" style="3" customWidth="1"/>
    <col min="5413" max="5417" width="11.33203125" style="3" customWidth="1"/>
    <col min="5418" max="5418" width="7.44140625" style="3" customWidth="1"/>
    <col min="5419" max="5639" width="8.88671875" style="3"/>
    <col min="5640" max="5640" width="16.44140625" style="3" customWidth="1"/>
    <col min="5641" max="5647" width="10.33203125" style="3" customWidth="1"/>
    <col min="5648" max="5648" width="4.6640625" style="3" customWidth="1"/>
    <col min="5649" max="5649" width="1.6640625" style="3" customWidth="1"/>
    <col min="5650" max="5651" width="10.44140625" style="3" customWidth="1"/>
    <col min="5652" max="5652" width="1.21875" style="3" customWidth="1"/>
    <col min="5653" max="5654" width="10.44140625" style="3" customWidth="1"/>
    <col min="5655" max="5655" width="1.21875" style="3" customWidth="1"/>
    <col min="5656" max="5657" width="10.44140625" style="3" customWidth="1"/>
    <col min="5658" max="5658" width="1.21875" style="3" customWidth="1"/>
    <col min="5659" max="5663" width="10.44140625" style="3" customWidth="1"/>
    <col min="5664" max="5664" width="1.21875" style="3" customWidth="1"/>
    <col min="5665" max="5665" width="17.109375" style="3" customWidth="1"/>
    <col min="5666" max="5667" width="12.33203125" style="3" customWidth="1"/>
    <col min="5668" max="5668" width="13.5546875" style="3" customWidth="1"/>
    <col min="5669" max="5673" width="11.33203125" style="3" customWidth="1"/>
    <col min="5674" max="5674" width="7.44140625" style="3" customWidth="1"/>
    <col min="5675" max="5895" width="8.88671875" style="3"/>
    <col min="5896" max="5896" width="16.44140625" style="3" customWidth="1"/>
    <col min="5897" max="5903" width="10.33203125" style="3" customWidth="1"/>
    <col min="5904" max="5904" width="4.6640625" style="3" customWidth="1"/>
    <col min="5905" max="5905" width="1.6640625" style="3" customWidth="1"/>
    <col min="5906" max="5907" width="10.44140625" style="3" customWidth="1"/>
    <col min="5908" max="5908" width="1.21875" style="3" customWidth="1"/>
    <col min="5909" max="5910" width="10.44140625" style="3" customWidth="1"/>
    <col min="5911" max="5911" width="1.21875" style="3" customWidth="1"/>
    <col min="5912" max="5913" width="10.44140625" style="3" customWidth="1"/>
    <col min="5914" max="5914" width="1.21875" style="3" customWidth="1"/>
    <col min="5915" max="5919" width="10.44140625" style="3" customWidth="1"/>
    <col min="5920" max="5920" width="1.21875" style="3" customWidth="1"/>
    <col min="5921" max="5921" width="17.109375" style="3" customWidth="1"/>
    <col min="5922" max="5923" width="12.33203125" style="3" customWidth="1"/>
    <col min="5924" max="5924" width="13.5546875" style="3" customWidth="1"/>
    <col min="5925" max="5929" width="11.33203125" style="3" customWidth="1"/>
    <col min="5930" max="5930" width="7.44140625" style="3" customWidth="1"/>
    <col min="5931" max="6151" width="8.88671875" style="3"/>
    <col min="6152" max="6152" width="16.44140625" style="3" customWidth="1"/>
    <col min="6153" max="6159" width="10.33203125" style="3" customWidth="1"/>
    <col min="6160" max="6160" width="4.6640625" style="3" customWidth="1"/>
    <col min="6161" max="6161" width="1.6640625" style="3" customWidth="1"/>
    <col min="6162" max="6163" width="10.44140625" style="3" customWidth="1"/>
    <col min="6164" max="6164" width="1.21875" style="3" customWidth="1"/>
    <col min="6165" max="6166" width="10.44140625" style="3" customWidth="1"/>
    <col min="6167" max="6167" width="1.21875" style="3" customWidth="1"/>
    <col min="6168" max="6169" width="10.44140625" style="3" customWidth="1"/>
    <col min="6170" max="6170" width="1.21875" style="3" customWidth="1"/>
    <col min="6171" max="6175" width="10.44140625" style="3" customWidth="1"/>
    <col min="6176" max="6176" width="1.21875" style="3" customWidth="1"/>
    <col min="6177" max="6177" width="17.109375" style="3" customWidth="1"/>
    <col min="6178" max="6179" width="12.33203125" style="3" customWidth="1"/>
    <col min="6180" max="6180" width="13.5546875" style="3" customWidth="1"/>
    <col min="6181" max="6185" width="11.33203125" style="3" customWidth="1"/>
    <col min="6186" max="6186" width="7.44140625" style="3" customWidth="1"/>
    <col min="6187" max="6407" width="8.88671875" style="3"/>
    <col min="6408" max="6408" width="16.44140625" style="3" customWidth="1"/>
    <col min="6409" max="6415" width="10.33203125" style="3" customWidth="1"/>
    <col min="6416" max="6416" width="4.6640625" style="3" customWidth="1"/>
    <col min="6417" max="6417" width="1.6640625" style="3" customWidth="1"/>
    <col min="6418" max="6419" width="10.44140625" style="3" customWidth="1"/>
    <col min="6420" max="6420" width="1.21875" style="3" customWidth="1"/>
    <col min="6421" max="6422" width="10.44140625" style="3" customWidth="1"/>
    <col min="6423" max="6423" width="1.21875" style="3" customWidth="1"/>
    <col min="6424" max="6425" width="10.44140625" style="3" customWidth="1"/>
    <col min="6426" max="6426" width="1.21875" style="3" customWidth="1"/>
    <col min="6427" max="6431" width="10.44140625" style="3" customWidth="1"/>
    <col min="6432" max="6432" width="1.21875" style="3" customWidth="1"/>
    <col min="6433" max="6433" width="17.109375" style="3" customWidth="1"/>
    <col min="6434" max="6435" width="12.33203125" style="3" customWidth="1"/>
    <col min="6436" max="6436" width="13.5546875" style="3" customWidth="1"/>
    <col min="6437" max="6441" width="11.33203125" style="3" customWidth="1"/>
    <col min="6442" max="6442" width="7.44140625" style="3" customWidth="1"/>
    <col min="6443" max="6663" width="8.88671875" style="3"/>
    <col min="6664" max="6664" width="16.44140625" style="3" customWidth="1"/>
    <col min="6665" max="6671" width="10.33203125" style="3" customWidth="1"/>
    <col min="6672" max="6672" width="4.6640625" style="3" customWidth="1"/>
    <col min="6673" max="6673" width="1.6640625" style="3" customWidth="1"/>
    <col min="6674" max="6675" width="10.44140625" style="3" customWidth="1"/>
    <col min="6676" max="6676" width="1.21875" style="3" customWidth="1"/>
    <col min="6677" max="6678" width="10.44140625" style="3" customWidth="1"/>
    <col min="6679" max="6679" width="1.21875" style="3" customWidth="1"/>
    <col min="6680" max="6681" width="10.44140625" style="3" customWidth="1"/>
    <col min="6682" max="6682" width="1.21875" style="3" customWidth="1"/>
    <col min="6683" max="6687" width="10.44140625" style="3" customWidth="1"/>
    <col min="6688" max="6688" width="1.21875" style="3" customWidth="1"/>
    <col min="6689" max="6689" width="17.109375" style="3" customWidth="1"/>
    <col min="6690" max="6691" width="12.33203125" style="3" customWidth="1"/>
    <col min="6692" max="6692" width="13.5546875" style="3" customWidth="1"/>
    <col min="6693" max="6697" width="11.33203125" style="3" customWidth="1"/>
    <col min="6698" max="6698" width="7.44140625" style="3" customWidth="1"/>
    <col min="6699" max="6919" width="8.88671875" style="3"/>
    <col min="6920" max="6920" width="16.44140625" style="3" customWidth="1"/>
    <col min="6921" max="6927" width="10.33203125" style="3" customWidth="1"/>
    <col min="6928" max="6928" width="4.6640625" style="3" customWidth="1"/>
    <col min="6929" max="6929" width="1.6640625" style="3" customWidth="1"/>
    <col min="6930" max="6931" width="10.44140625" style="3" customWidth="1"/>
    <col min="6932" max="6932" width="1.21875" style="3" customWidth="1"/>
    <col min="6933" max="6934" width="10.44140625" style="3" customWidth="1"/>
    <col min="6935" max="6935" width="1.21875" style="3" customWidth="1"/>
    <col min="6936" max="6937" width="10.44140625" style="3" customWidth="1"/>
    <col min="6938" max="6938" width="1.21875" style="3" customWidth="1"/>
    <col min="6939" max="6943" width="10.44140625" style="3" customWidth="1"/>
    <col min="6944" max="6944" width="1.21875" style="3" customWidth="1"/>
    <col min="6945" max="6945" width="17.109375" style="3" customWidth="1"/>
    <col min="6946" max="6947" width="12.33203125" style="3" customWidth="1"/>
    <col min="6948" max="6948" width="13.5546875" style="3" customWidth="1"/>
    <col min="6949" max="6953" width="11.33203125" style="3" customWidth="1"/>
    <col min="6954" max="6954" width="7.44140625" style="3" customWidth="1"/>
    <col min="6955" max="7175" width="8.88671875" style="3"/>
    <col min="7176" max="7176" width="16.44140625" style="3" customWidth="1"/>
    <col min="7177" max="7183" width="10.33203125" style="3" customWidth="1"/>
    <col min="7184" max="7184" width="4.6640625" style="3" customWidth="1"/>
    <col min="7185" max="7185" width="1.6640625" style="3" customWidth="1"/>
    <col min="7186" max="7187" width="10.44140625" style="3" customWidth="1"/>
    <col min="7188" max="7188" width="1.21875" style="3" customWidth="1"/>
    <col min="7189" max="7190" width="10.44140625" style="3" customWidth="1"/>
    <col min="7191" max="7191" width="1.21875" style="3" customWidth="1"/>
    <col min="7192" max="7193" width="10.44140625" style="3" customWidth="1"/>
    <col min="7194" max="7194" width="1.21875" style="3" customWidth="1"/>
    <col min="7195" max="7199" width="10.44140625" style="3" customWidth="1"/>
    <col min="7200" max="7200" width="1.21875" style="3" customWidth="1"/>
    <col min="7201" max="7201" width="17.109375" style="3" customWidth="1"/>
    <col min="7202" max="7203" width="12.33203125" style="3" customWidth="1"/>
    <col min="7204" max="7204" width="13.5546875" style="3" customWidth="1"/>
    <col min="7205" max="7209" width="11.33203125" style="3" customWidth="1"/>
    <col min="7210" max="7210" width="7.44140625" style="3" customWidth="1"/>
    <col min="7211" max="7431" width="8.88671875" style="3"/>
    <col min="7432" max="7432" width="16.44140625" style="3" customWidth="1"/>
    <col min="7433" max="7439" width="10.33203125" style="3" customWidth="1"/>
    <col min="7440" max="7440" width="4.6640625" style="3" customWidth="1"/>
    <col min="7441" max="7441" width="1.6640625" style="3" customWidth="1"/>
    <col min="7442" max="7443" width="10.44140625" style="3" customWidth="1"/>
    <col min="7444" max="7444" width="1.21875" style="3" customWidth="1"/>
    <col min="7445" max="7446" width="10.44140625" style="3" customWidth="1"/>
    <col min="7447" max="7447" width="1.21875" style="3" customWidth="1"/>
    <col min="7448" max="7449" width="10.44140625" style="3" customWidth="1"/>
    <col min="7450" max="7450" width="1.21875" style="3" customWidth="1"/>
    <col min="7451" max="7455" width="10.44140625" style="3" customWidth="1"/>
    <col min="7456" max="7456" width="1.21875" style="3" customWidth="1"/>
    <col min="7457" max="7457" width="17.109375" style="3" customWidth="1"/>
    <col min="7458" max="7459" width="12.33203125" style="3" customWidth="1"/>
    <col min="7460" max="7460" width="13.5546875" style="3" customWidth="1"/>
    <col min="7461" max="7465" width="11.33203125" style="3" customWidth="1"/>
    <col min="7466" max="7466" width="7.44140625" style="3" customWidth="1"/>
    <col min="7467" max="7687" width="8.88671875" style="3"/>
    <col min="7688" max="7688" width="16.44140625" style="3" customWidth="1"/>
    <col min="7689" max="7695" width="10.33203125" style="3" customWidth="1"/>
    <col min="7696" max="7696" width="4.6640625" style="3" customWidth="1"/>
    <col min="7697" max="7697" width="1.6640625" style="3" customWidth="1"/>
    <col min="7698" max="7699" width="10.44140625" style="3" customWidth="1"/>
    <col min="7700" max="7700" width="1.21875" style="3" customWidth="1"/>
    <col min="7701" max="7702" width="10.44140625" style="3" customWidth="1"/>
    <col min="7703" max="7703" width="1.21875" style="3" customWidth="1"/>
    <col min="7704" max="7705" width="10.44140625" style="3" customWidth="1"/>
    <col min="7706" max="7706" width="1.21875" style="3" customWidth="1"/>
    <col min="7707" max="7711" width="10.44140625" style="3" customWidth="1"/>
    <col min="7712" max="7712" width="1.21875" style="3" customWidth="1"/>
    <col min="7713" max="7713" width="17.109375" style="3" customWidth="1"/>
    <col min="7714" max="7715" width="12.33203125" style="3" customWidth="1"/>
    <col min="7716" max="7716" width="13.5546875" style="3" customWidth="1"/>
    <col min="7717" max="7721" width="11.33203125" style="3" customWidth="1"/>
    <col min="7722" max="7722" width="7.44140625" style="3" customWidth="1"/>
    <col min="7723" max="7943" width="8.88671875" style="3"/>
    <col min="7944" max="7944" width="16.44140625" style="3" customWidth="1"/>
    <col min="7945" max="7951" width="10.33203125" style="3" customWidth="1"/>
    <col min="7952" max="7952" width="4.6640625" style="3" customWidth="1"/>
    <col min="7953" max="7953" width="1.6640625" style="3" customWidth="1"/>
    <col min="7954" max="7955" width="10.44140625" style="3" customWidth="1"/>
    <col min="7956" max="7956" width="1.21875" style="3" customWidth="1"/>
    <col min="7957" max="7958" width="10.44140625" style="3" customWidth="1"/>
    <col min="7959" max="7959" width="1.21875" style="3" customWidth="1"/>
    <col min="7960" max="7961" width="10.44140625" style="3" customWidth="1"/>
    <col min="7962" max="7962" width="1.21875" style="3" customWidth="1"/>
    <col min="7963" max="7967" width="10.44140625" style="3" customWidth="1"/>
    <col min="7968" max="7968" width="1.21875" style="3" customWidth="1"/>
    <col min="7969" max="7969" width="17.109375" style="3" customWidth="1"/>
    <col min="7970" max="7971" width="12.33203125" style="3" customWidth="1"/>
    <col min="7972" max="7972" width="13.5546875" style="3" customWidth="1"/>
    <col min="7973" max="7977" width="11.33203125" style="3" customWidth="1"/>
    <col min="7978" max="7978" width="7.44140625" style="3" customWidth="1"/>
    <col min="7979" max="8199" width="8.88671875" style="3"/>
    <col min="8200" max="8200" width="16.44140625" style="3" customWidth="1"/>
    <col min="8201" max="8207" width="10.33203125" style="3" customWidth="1"/>
    <col min="8208" max="8208" width="4.6640625" style="3" customWidth="1"/>
    <col min="8209" max="8209" width="1.6640625" style="3" customWidth="1"/>
    <col min="8210" max="8211" width="10.44140625" style="3" customWidth="1"/>
    <col min="8212" max="8212" width="1.21875" style="3" customWidth="1"/>
    <col min="8213" max="8214" width="10.44140625" style="3" customWidth="1"/>
    <col min="8215" max="8215" width="1.21875" style="3" customWidth="1"/>
    <col min="8216" max="8217" width="10.44140625" style="3" customWidth="1"/>
    <col min="8218" max="8218" width="1.21875" style="3" customWidth="1"/>
    <col min="8219" max="8223" width="10.44140625" style="3" customWidth="1"/>
    <col min="8224" max="8224" width="1.21875" style="3" customWidth="1"/>
    <col min="8225" max="8225" width="17.109375" style="3" customWidth="1"/>
    <col min="8226" max="8227" width="12.33203125" style="3" customWidth="1"/>
    <col min="8228" max="8228" width="13.5546875" style="3" customWidth="1"/>
    <col min="8229" max="8233" width="11.33203125" style="3" customWidth="1"/>
    <col min="8234" max="8234" width="7.44140625" style="3" customWidth="1"/>
    <col min="8235" max="8455" width="8.88671875" style="3"/>
    <col min="8456" max="8456" width="16.44140625" style="3" customWidth="1"/>
    <col min="8457" max="8463" width="10.33203125" style="3" customWidth="1"/>
    <col min="8464" max="8464" width="4.6640625" style="3" customWidth="1"/>
    <col min="8465" max="8465" width="1.6640625" style="3" customWidth="1"/>
    <col min="8466" max="8467" width="10.44140625" style="3" customWidth="1"/>
    <col min="8468" max="8468" width="1.21875" style="3" customWidth="1"/>
    <col min="8469" max="8470" width="10.44140625" style="3" customWidth="1"/>
    <col min="8471" max="8471" width="1.21875" style="3" customWidth="1"/>
    <col min="8472" max="8473" width="10.44140625" style="3" customWidth="1"/>
    <col min="8474" max="8474" width="1.21875" style="3" customWidth="1"/>
    <col min="8475" max="8479" width="10.44140625" style="3" customWidth="1"/>
    <col min="8480" max="8480" width="1.21875" style="3" customWidth="1"/>
    <col min="8481" max="8481" width="17.109375" style="3" customWidth="1"/>
    <col min="8482" max="8483" width="12.33203125" style="3" customWidth="1"/>
    <col min="8484" max="8484" width="13.5546875" style="3" customWidth="1"/>
    <col min="8485" max="8489" width="11.33203125" style="3" customWidth="1"/>
    <col min="8490" max="8490" width="7.44140625" style="3" customWidth="1"/>
    <col min="8491" max="8711" width="8.88671875" style="3"/>
    <col min="8712" max="8712" width="16.44140625" style="3" customWidth="1"/>
    <col min="8713" max="8719" width="10.33203125" style="3" customWidth="1"/>
    <col min="8720" max="8720" width="4.6640625" style="3" customWidth="1"/>
    <col min="8721" max="8721" width="1.6640625" style="3" customWidth="1"/>
    <col min="8722" max="8723" width="10.44140625" style="3" customWidth="1"/>
    <col min="8724" max="8724" width="1.21875" style="3" customWidth="1"/>
    <col min="8725" max="8726" width="10.44140625" style="3" customWidth="1"/>
    <col min="8727" max="8727" width="1.21875" style="3" customWidth="1"/>
    <col min="8728" max="8729" width="10.44140625" style="3" customWidth="1"/>
    <col min="8730" max="8730" width="1.21875" style="3" customWidth="1"/>
    <col min="8731" max="8735" width="10.44140625" style="3" customWidth="1"/>
    <col min="8736" max="8736" width="1.21875" style="3" customWidth="1"/>
    <col min="8737" max="8737" width="17.109375" style="3" customWidth="1"/>
    <col min="8738" max="8739" width="12.33203125" style="3" customWidth="1"/>
    <col min="8740" max="8740" width="13.5546875" style="3" customWidth="1"/>
    <col min="8741" max="8745" width="11.33203125" style="3" customWidth="1"/>
    <col min="8746" max="8746" width="7.44140625" style="3" customWidth="1"/>
    <col min="8747" max="8967" width="8.88671875" style="3"/>
    <col min="8968" max="8968" width="16.44140625" style="3" customWidth="1"/>
    <col min="8969" max="8975" width="10.33203125" style="3" customWidth="1"/>
    <col min="8976" max="8976" width="4.6640625" style="3" customWidth="1"/>
    <col min="8977" max="8977" width="1.6640625" style="3" customWidth="1"/>
    <col min="8978" max="8979" width="10.44140625" style="3" customWidth="1"/>
    <col min="8980" max="8980" width="1.21875" style="3" customWidth="1"/>
    <col min="8981" max="8982" width="10.44140625" style="3" customWidth="1"/>
    <col min="8983" max="8983" width="1.21875" style="3" customWidth="1"/>
    <col min="8984" max="8985" width="10.44140625" style="3" customWidth="1"/>
    <col min="8986" max="8986" width="1.21875" style="3" customWidth="1"/>
    <col min="8987" max="8991" width="10.44140625" style="3" customWidth="1"/>
    <col min="8992" max="8992" width="1.21875" style="3" customWidth="1"/>
    <col min="8993" max="8993" width="17.109375" style="3" customWidth="1"/>
    <col min="8994" max="8995" width="12.33203125" style="3" customWidth="1"/>
    <col min="8996" max="8996" width="13.5546875" style="3" customWidth="1"/>
    <col min="8997" max="9001" width="11.33203125" style="3" customWidth="1"/>
    <col min="9002" max="9002" width="7.44140625" style="3" customWidth="1"/>
    <col min="9003" max="9223" width="8.88671875" style="3"/>
    <col min="9224" max="9224" width="16.44140625" style="3" customWidth="1"/>
    <col min="9225" max="9231" width="10.33203125" style="3" customWidth="1"/>
    <col min="9232" max="9232" width="4.6640625" style="3" customWidth="1"/>
    <col min="9233" max="9233" width="1.6640625" style="3" customWidth="1"/>
    <col min="9234" max="9235" width="10.44140625" style="3" customWidth="1"/>
    <col min="9236" max="9236" width="1.21875" style="3" customWidth="1"/>
    <col min="9237" max="9238" width="10.44140625" style="3" customWidth="1"/>
    <col min="9239" max="9239" width="1.21875" style="3" customWidth="1"/>
    <col min="9240" max="9241" width="10.44140625" style="3" customWidth="1"/>
    <col min="9242" max="9242" width="1.21875" style="3" customWidth="1"/>
    <col min="9243" max="9247" width="10.44140625" style="3" customWidth="1"/>
    <col min="9248" max="9248" width="1.21875" style="3" customWidth="1"/>
    <col min="9249" max="9249" width="17.109375" style="3" customWidth="1"/>
    <col min="9250" max="9251" width="12.33203125" style="3" customWidth="1"/>
    <col min="9252" max="9252" width="13.5546875" style="3" customWidth="1"/>
    <col min="9253" max="9257" width="11.33203125" style="3" customWidth="1"/>
    <col min="9258" max="9258" width="7.44140625" style="3" customWidth="1"/>
    <col min="9259" max="9479" width="8.88671875" style="3"/>
    <col min="9480" max="9480" width="16.44140625" style="3" customWidth="1"/>
    <col min="9481" max="9487" width="10.33203125" style="3" customWidth="1"/>
    <col min="9488" max="9488" width="4.6640625" style="3" customWidth="1"/>
    <col min="9489" max="9489" width="1.6640625" style="3" customWidth="1"/>
    <col min="9490" max="9491" width="10.44140625" style="3" customWidth="1"/>
    <col min="9492" max="9492" width="1.21875" style="3" customWidth="1"/>
    <col min="9493" max="9494" width="10.44140625" style="3" customWidth="1"/>
    <col min="9495" max="9495" width="1.21875" style="3" customWidth="1"/>
    <col min="9496" max="9497" width="10.44140625" style="3" customWidth="1"/>
    <col min="9498" max="9498" width="1.21875" style="3" customWidth="1"/>
    <col min="9499" max="9503" width="10.44140625" style="3" customWidth="1"/>
    <col min="9504" max="9504" width="1.21875" style="3" customWidth="1"/>
    <col min="9505" max="9505" width="17.109375" style="3" customWidth="1"/>
    <col min="9506" max="9507" width="12.33203125" style="3" customWidth="1"/>
    <col min="9508" max="9508" width="13.5546875" style="3" customWidth="1"/>
    <col min="9509" max="9513" width="11.33203125" style="3" customWidth="1"/>
    <col min="9514" max="9514" width="7.44140625" style="3" customWidth="1"/>
    <col min="9515" max="9735" width="8.88671875" style="3"/>
    <col min="9736" max="9736" width="16.44140625" style="3" customWidth="1"/>
    <col min="9737" max="9743" width="10.33203125" style="3" customWidth="1"/>
    <col min="9744" max="9744" width="4.6640625" style="3" customWidth="1"/>
    <col min="9745" max="9745" width="1.6640625" style="3" customWidth="1"/>
    <col min="9746" max="9747" width="10.44140625" style="3" customWidth="1"/>
    <col min="9748" max="9748" width="1.21875" style="3" customWidth="1"/>
    <col min="9749" max="9750" width="10.44140625" style="3" customWidth="1"/>
    <col min="9751" max="9751" width="1.21875" style="3" customWidth="1"/>
    <col min="9752" max="9753" width="10.44140625" style="3" customWidth="1"/>
    <col min="9754" max="9754" width="1.21875" style="3" customWidth="1"/>
    <col min="9755" max="9759" width="10.44140625" style="3" customWidth="1"/>
    <col min="9760" max="9760" width="1.21875" style="3" customWidth="1"/>
    <col min="9761" max="9761" width="17.109375" style="3" customWidth="1"/>
    <col min="9762" max="9763" width="12.33203125" style="3" customWidth="1"/>
    <col min="9764" max="9764" width="13.5546875" style="3" customWidth="1"/>
    <col min="9765" max="9769" width="11.33203125" style="3" customWidth="1"/>
    <col min="9770" max="9770" width="7.44140625" style="3" customWidth="1"/>
    <col min="9771" max="9991" width="8.88671875" style="3"/>
    <col min="9992" max="9992" width="16.44140625" style="3" customWidth="1"/>
    <col min="9993" max="9999" width="10.33203125" style="3" customWidth="1"/>
    <col min="10000" max="10000" width="4.6640625" style="3" customWidth="1"/>
    <col min="10001" max="10001" width="1.6640625" style="3" customWidth="1"/>
    <col min="10002" max="10003" width="10.44140625" style="3" customWidth="1"/>
    <col min="10004" max="10004" width="1.21875" style="3" customWidth="1"/>
    <col min="10005" max="10006" width="10.44140625" style="3" customWidth="1"/>
    <col min="10007" max="10007" width="1.21875" style="3" customWidth="1"/>
    <col min="10008" max="10009" width="10.44140625" style="3" customWidth="1"/>
    <col min="10010" max="10010" width="1.21875" style="3" customWidth="1"/>
    <col min="10011" max="10015" width="10.44140625" style="3" customWidth="1"/>
    <col min="10016" max="10016" width="1.21875" style="3" customWidth="1"/>
    <col min="10017" max="10017" width="17.109375" style="3" customWidth="1"/>
    <col min="10018" max="10019" width="12.33203125" style="3" customWidth="1"/>
    <col min="10020" max="10020" width="13.5546875" style="3" customWidth="1"/>
    <col min="10021" max="10025" width="11.33203125" style="3" customWidth="1"/>
    <col min="10026" max="10026" width="7.44140625" style="3" customWidth="1"/>
    <col min="10027" max="10247" width="8.88671875" style="3"/>
    <col min="10248" max="10248" width="16.44140625" style="3" customWidth="1"/>
    <col min="10249" max="10255" width="10.33203125" style="3" customWidth="1"/>
    <col min="10256" max="10256" width="4.6640625" style="3" customWidth="1"/>
    <col min="10257" max="10257" width="1.6640625" style="3" customWidth="1"/>
    <col min="10258" max="10259" width="10.44140625" style="3" customWidth="1"/>
    <col min="10260" max="10260" width="1.21875" style="3" customWidth="1"/>
    <col min="10261" max="10262" width="10.44140625" style="3" customWidth="1"/>
    <col min="10263" max="10263" width="1.21875" style="3" customWidth="1"/>
    <col min="10264" max="10265" width="10.44140625" style="3" customWidth="1"/>
    <col min="10266" max="10266" width="1.21875" style="3" customWidth="1"/>
    <col min="10267" max="10271" width="10.44140625" style="3" customWidth="1"/>
    <col min="10272" max="10272" width="1.21875" style="3" customWidth="1"/>
    <col min="10273" max="10273" width="17.109375" style="3" customWidth="1"/>
    <col min="10274" max="10275" width="12.33203125" style="3" customWidth="1"/>
    <col min="10276" max="10276" width="13.5546875" style="3" customWidth="1"/>
    <col min="10277" max="10281" width="11.33203125" style="3" customWidth="1"/>
    <col min="10282" max="10282" width="7.44140625" style="3" customWidth="1"/>
    <col min="10283" max="10503" width="8.88671875" style="3"/>
    <col min="10504" max="10504" width="16.44140625" style="3" customWidth="1"/>
    <col min="10505" max="10511" width="10.33203125" style="3" customWidth="1"/>
    <col min="10512" max="10512" width="4.6640625" style="3" customWidth="1"/>
    <col min="10513" max="10513" width="1.6640625" style="3" customWidth="1"/>
    <col min="10514" max="10515" width="10.44140625" style="3" customWidth="1"/>
    <col min="10516" max="10516" width="1.21875" style="3" customWidth="1"/>
    <col min="10517" max="10518" width="10.44140625" style="3" customWidth="1"/>
    <col min="10519" max="10519" width="1.21875" style="3" customWidth="1"/>
    <col min="10520" max="10521" width="10.44140625" style="3" customWidth="1"/>
    <col min="10522" max="10522" width="1.21875" style="3" customWidth="1"/>
    <col min="10523" max="10527" width="10.44140625" style="3" customWidth="1"/>
    <col min="10528" max="10528" width="1.21875" style="3" customWidth="1"/>
    <col min="10529" max="10529" width="17.109375" style="3" customWidth="1"/>
    <col min="10530" max="10531" width="12.33203125" style="3" customWidth="1"/>
    <col min="10532" max="10532" width="13.5546875" style="3" customWidth="1"/>
    <col min="10533" max="10537" width="11.33203125" style="3" customWidth="1"/>
    <col min="10538" max="10538" width="7.44140625" style="3" customWidth="1"/>
    <col min="10539" max="10759" width="8.88671875" style="3"/>
    <col min="10760" max="10760" width="16.44140625" style="3" customWidth="1"/>
    <col min="10761" max="10767" width="10.33203125" style="3" customWidth="1"/>
    <col min="10768" max="10768" width="4.6640625" style="3" customWidth="1"/>
    <col min="10769" max="10769" width="1.6640625" style="3" customWidth="1"/>
    <col min="10770" max="10771" width="10.44140625" style="3" customWidth="1"/>
    <col min="10772" max="10772" width="1.21875" style="3" customWidth="1"/>
    <col min="10773" max="10774" width="10.44140625" style="3" customWidth="1"/>
    <col min="10775" max="10775" width="1.21875" style="3" customWidth="1"/>
    <col min="10776" max="10777" width="10.44140625" style="3" customWidth="1"/>
    <col min="10778" max="10778" width="1.21875" style="3" customWidth="1"/>
    <col min="10779" max="10783" width="10.44140625" style="3" customWidth="1"/>
    <col min="10784" max="10784" width="1.21875" style="3" customWidth="1"/>
    <col min="10785" max="10785" width="17.109375" style="3" customWidth="1"/>
    <col min="10786" max="10787" width="12.33203125" style="3" customWidth="1"/>
    <col min="10788" max="10788" width="13.5546875" style="3" customWidth="1"/>
    <col min="10789" max="10793" width="11.33203125" style="3" customWidth="1"/>
    <col min="10794" max="10794" width="7.44140625" style="3" customWidth="1"/>
    <col min="10795" max="11015" width="8.88671875" style="3"/>
    <col min="11016" max="11016" width="16.44140625" style="3" customWidth="1"/>
    <col min="11017" max="11023" width="10.33203125" style="3" customWidth="1"/>
    <col min="11024" max="11024" width="4.6640625" style="3" customWidth="1"/>
    <col min="11025" max="11025" width="1.6640625" style="3" customWidth="1"/>
    <col min="11026" max="11027" width="10.44140625" style="3" customWidth="1"/>
    <col min="11028" max="11028" width="1.21875" style="3" customWidth="1"/>
    <col min="11029" max="11030" width="10.44140625" style="3" customWidth="1"/>
    <col min="11031" max="11031" width="1.21875" style="3" customWidth="1"/>
    <col min="11032" max="11033" width="10.44140625" style="3" customWidth="1"/>
    <col min="11034" max="11034" width="1.21875" style="3" customWidth="1"/>
    <col min="11035" max="11039" width="10.44140625" style="3" customWidth="1"/>
    <col min="11040" max="11040" width="1.21875" style="3" customWidth="1"/>
    <col min="11041" max="11041" width="17.109375" style="3" customWidth="1"/>
    <col min="11042" max="11043" width="12.33203125" style="3" customWidth="1"/>
    <col min="11044" max="11044" width="13.5546875" style="3" customWidth="1"/>
    <col min="11045" max="11049" width="11.33203125" style="3" customWidth="1"/>
    <col min="11050" max="11050" width="7.44140625" style="3" customWidth="1"/>
    <col min="11051" max="11271" width="8.88671875" style="3"/>
    <col min="11272" max="11272" width="16.44140625" style="3" customWidth="1"/>
    <col min="11273" max="11279" width="10.33203125" style="3" customWidth="1"/>
    <col min="11280" max="11280" width="4.6640625" style="3" customWidth="1"/>
    <col min="11281" max="11281" width="1.6640625" style="3" customWidth="1"/>
    <col min="11282" max="11283" width="10.44140625" style="3" customWidth="1"/>
    <col min="11284" max="11284" width="1.21875" style="3" customWidth="1"/>
    <col min="11285" max="11286" width="10.44140625" style="3" customWidth="1"/>
    <col min="11287" max="11287" width="1.21875" style="3" customWidth="1"/>
    <col min="11288" max="11289" width="10.44140625" style="3" customWidth="1"/>
    <col min="11290" max="11290" width="1.21875" style="3" customWidth="1"/>
    <col min="11291" max="11295" width="10.44140625" style="3" customWidth="1"/>
    <col min="11296" max="11296" width="1.21875" style="3" customWidth="1"/>
    <col min="11297" max="11297" width="17.109375" style="3" customWidth="1"/>
    <col min="11298" max="11299" width="12.33203125" style="3" customWidth="1"/>
    <col min="11300" max="11300" width="13.5546875" style="3" customWidth="1"/>
    <col min="11301" max="11305" width="11.33203125" style="3" customWidth="1"/>
    <col min="11306" max="11306" width="7.44140625" style="3" customWidth="1"/>
    <col min="11307" max="11527" width="8.88671875" style="3"/>
    <col min="11528" max="11528" width="16.44140625" style="3" customWidth="1"/>
    <col min="11529" max="11535" width="10.33203125" style="3" customWidth="1"/>
    <col min="11536" max="11536" width="4.6640625" style="3" customWidth="1"/>
    <col min="11537" max="11537" width="1.6640625" style="3" customWidth="1"/>
    <col min="11538" max="11539" width="10.44140625" style="3" customWidth="1"/>
    <col min="11540" max="11540" width="1.21875" style="3" customWidth="1"/>
    <col min="11541" max="11542" width="10.44140625" style="3" customWidth="1"/>
    <col min="11543" max="11543" width="1.21875" style="3" customWidth="1"/>
    <col min="11544" max="11545" width="10.44140625" style="3" customWidth="1"/>
    <col min="11546" max="11546" width="1.21875" style="3" customWidth="1"/>
    <col min="11547" max="11551" width="10.44140625" style="3" customWidth="1"/>
    <col min="11552" max="11552" width="1.21875" style="3" customWidth="1"/>
    <col min="11553" max="11553" width="17.109375" style="3" customWidth="1"/>
    <col min="11554" max="11555" width="12.33203125" style="3" customWidth="1"/>
    <col min="11556" max="11556" width="13.5546875" style="3" customWidth="1"/>
    <col min="11557" max="11561" width="11.33203125" style="3" customWidth="1"/>
    <col min="11562" max="11562" width="7.44140625" style="3" customWidth="1"/>
    <col min="11563" max="11783" width="8.88671875" style="3"/>
    <col min="11784" max="11784" width="16.44140625" style="3" customWidth="1"/>
    <col min="11785" max="11791" width="10.33203125" style="3" customWidth="1"/>
    <col min="11792" max="11792" width="4.6640625" style="3" customWidth="1"/>
    <col min="11793" max="11793" width="1.6640625" style="3" customWidth="1"/>
    <col min="11794" max="11795" width="10.44140625" style="3" customWidth="1"/>
    <col min="11796" max="11796" width="1.21875" style="3" customWidth="1"/>
    <col min="11797" max="11798" width="10.44140625" style="3" customWidth="1"/>
    <col min="11799" max="11799" width="1.21875" style="3" customWidth="1"/>
    <col min="11800" max="11801" width="10.44140625" style="3" customWidth="1"/>
    <col min="11802" max="11802" width="1.21875" style="3" customWidth="1"/>
    <col min="11803" max="11807" width="10.44140625" style="3" customWidth="1"/>
    <col min="11808" max="11808" width="1.21875" style="3" customWidth="1"/>
    <col min="11809" max="11809" width="17.109375" style="3" customWidth="1"/>
    <col min="11810" max="11811" width="12.33203125" style="3" customWidth="1"/>
    <col min="11812" max="11812" width="13.5546875" style="3" customWidth="1"/>
    <col min="11813" max="11817" width="11.33203125" style="3" customWidth="1"/>
    <col min="11818" max="11818" width="7.44140625" style="3" customWidth="1"/>
    <col min="11819" max="12039" width="8.88671875" style="3"/>
    <col min="12040" max="12040" width="16.44140625" style="3" customWidth="1"/>
    <col min="12041" max="12047" width="10.33203125" style="3" customWidth="1"/>
    <col min="12048" max="12048" width="4.6640625" style="3" customWidth="1"/>
    <col min="12049" max="12049" width="1.6640625" style="3" customWidth="1"/>
    <col min="12050" max="12051" width="10.44140625" style="3" customWidth="1"/>
    <col min="12052" max="12052" width="1.21875" style="3" customWidth="1"/>
    <col min="12053" max="12054" width="10.44140625" style="3" customWidth="1"/>
    <col min="12055" max="12055" width="1.21875" style="3" customWidth="1"/>
    <col min="12056" max="12057" width="10.44140625" style="3" customWidth="1"/>
    <col min="12058" max="12058" width="1.21875" style="3" customWidth="1"/>
    <col min="12059" max="12063" width="10.44140625" style="3" customWidth="1"/>
    <col min="12064" max="12064" width="1.21875" style="3" customWidth="1"/>
    <col min="12065" max="12065" width="17.109375" style="3" customWidth="1"/>
    <col min="12066" max="12067" width="12.33203125" style="3" customWidth="1"/>
    <col min="12068" max="12068" width="13.5546875" style="3" customWidth="1"/>
    <col min="12069" max="12073" width="11.33203125" style="3" customWidth="1"/>
    <col min="12074" max="12074" width="7.44140625" style="3" customWidth="1"/>
    <col min="12075" max="12295" width="8.88671875" style="3"/>
    <col min="12296" max="12296" width="16.44140625" style="3" customWidth="1"/>
    <col min="12297" max="12303" width="10.33203125" style="3" customWidth="1"/>
    <col min="12304" max="12304" width="4.6640625" style="3" customWidth="1"/>
    <col min="12305" max="12305" width="1.6640625" style="3" customWidth="1"/>
    <col min="12306" max="12307" width="10.44140625" style="3" customWidth="1"/>
    <col min="12308" max="12308" width="1.21875" style="3" customWidth="1"/>
    <col min="12309" max="12310" width="10.44140625" style="3" customWidth="1"/>
    <col min="12311" max="12311" width="1.21875" style="3" customWidth="1"/>
    <col min="12312" max="12313" width="10.44140625" style="3" customWidth="1"/>
    <col min="12314" max="12314" width="1.21875" style="3" customWidth="1"/>
    <col min="12315" max="12319" width="10.44140625" style="3" customWidth="1"/>
    <col min="12320" max="12320" width="1.21875" style="3" customWidth="1"/>
    <col min="12321" max="12321" width="17.109375" style="3" customWidth="1"/>
    <col min="12322" max="12323" width="12.33203125" style="3" customWidth="1"/>
    <col min="12324" max="12324" width="13.5546875" style="3" customWidth="1"/>
    <col min="12325" max="12329" width="11.33203125" style="3" customWidth="1"/>
    <col min="12330" max="12330" width="7.44140625" style="3" customWidth="1"/>
    <col min="12331" max="12551" width="8.88671875" style="3"/>
    <col min="12552" max="12552" width="16.44140625" style="3" customWidth="1"/>
    <col min="12553" max="12559" width="10.33203125" style="3" customWidth="1"/>
    <col min="12560" max="12560" width="4.6640625" style="3" customWidth="1"/>
    <col min="12561" max="12561" width="1.6640625" style="3" customWidth="1"/>
    <col min="12562" max="12563" width="10.44140625" style="3" customWidth="1"/>
    <col min="12564" max="12564" width="1.21875" style="3" customWidth="1"/>
    <col min="12565" max="12566" width="10.44140625" style="3" customWidth="1"/>
    <col min="12567" max="12567" width="1.21875" style="3" customWidth="1"/>
    <col min="12568" max="12569" width="10.44140625" style="3" customWidth="1"/>
    <col min="12570" max="12570" width="1.21875" style="3" customWidth="1"/>
    <col min="12571" max="12575" width="10.44140625" style="3" customWidth="1"/>
    <col min="12576" max="12576" width="1.21875" style="3" customWidth="1"/>
    <col min="12577" max="12577" width="17.109375" style="3" customWidth="1"/>
    <col min="12578" max="12579" width="12.33203125" style="3" customWidth="1"/>
    <col min="12580" max="12580" width="13.5546875" style="3" customWidth="1"/>
    <col min="12581" max="12585" width="11.33203125" style="3" customWidth="1"/>
    <col min="12586" max="12586" width="7.44140625" style="3" customWidth="1"/>
    <col min="12587" max="12807" width="8.88671875" style="3"/>
    <col min="12808" max="12808" width="16.44140625" style="3" customWidth="1"/>
    <col min="12809" max="12815" width="10.33203125" style="3" customWidth="1"/>
    <col min="12816" max="12816" width="4.6640625" style="3" customWidth="1"/>
    <col min="12817" max="12817" width="1.6640625" style="3" customWidth="1"/>
    <col min="12818" max="12819" width="10.44140625" style="3" customWidth="1"/>
    <col min="12820" max="12820" width="1.21875" style="3" customWidth="1"/>
    <col min="12821" max="12822" width="10.44140625" style="3" customWidth="1"/>
    <col min="12823" max="12823" width="1.21875" style="3" customWidth="1"/>
    <col min="12824" max="12825" width="10.44140625" style="3" customWidth="1"/>
    <col min="12826" max="12826" width="1.21875" style="3" customWidth="1"/>
    <col min="12827" max="12831" width="10.44140625" style="3" customWidth="1"/>
    <col min="12832" max="12832" width="1.21875" style="3" customWidth="1"/>
    <col min="12833" max="12833" width="17.109375" style="3" customWidth="1"/>
    <col min="12834" max="12835" width="12.33203125" style="3" customWidth="1"/>
    <col min="12836" max="12836" width="13.5546875" style="3" customWidth="1"/>
    <col min="12837" max="12841" width="11.33203125" style="3" customWidth="1"/>
    <col min="12842" max="12842" width="7.44140625" style="3" customWidth="1"/>
    <col min="12843" max="13063" width="8.88671875" style="3"/>
    <col min="13064" max="13064" width="16.44140625" style="3" customWidth="1"/>
    <col min="13065" max="13071" width="10.33203125" style="3" customWidth="1"/>
    <col min="13072" max="13072" width="4.6640625" style="3" customWidth="1"/>
    <col min="13073" max="13073" width="1.6640625" style="3" customWidth="1"/>
    <col min="13074" max="13075" width="10.44140625" style="3" customWidth="1"/>
    <col min="13076" max="13076" width="1.21875" style="3" customWidth="1"/>
    <col min="13077" max="13078" width="10.44140625" style="3" customWidth="1"/>
    <col min="13079" max="13079" width="1.21875" style="3" customWidth="1"/>
    <col min="13080" max="13081" width="10.44140625" style="3" customWidth="1"/>
    <col min="13082" max="13082" width="1.21875" style="3" customWidth="1"/>
    <col min="13083" max="13087" width="10.44140625" style="3" customWidth="1"/>
    <col min="13088" max="13088" width="1.21875" style="3" customWidth="1"/>
    <col min="13089" max="13089" width="17.109375" style="3" customWidth="1"/>
    <col min="13090" max="13091" width="12.33203125" style="3" customWidth="1"/>
    <col min="13092" max="13092" width="13.5546875" style="3" customWidth="1"/>
    <col min="13093" max="13097" width="11.33203125" style="3" customWidth="1"/>
    <col min="13098" max="13098" width="7.44140625" style="3" customWidth="1"/>
    <col min="13099" max="13319" width="8.88671875" style="3"/>
    <col min="13320" max="13320" width="16.44140625" style="3" customWidth="1"/>
    <col min="13321" max="13327" width="10.33203125" style="3" customWidth="1"/>
    <col min="13328" max="13328" width="4.6640625" style="3" customWidth="1"/>
    <col min="13329" max="13329" width="1.6640625" style="3" customWidth="1"/>
    <col min="13330" max="13331" width="10.44140625" style="3" customWidth="1"/>
    <col min="13332" max="13332" width="1.21875" style="3" customWidth="1"/>
    <col min="13333" max="13334" width="10.44140625" style="3" customWidth="1"/>
    <col min="13335" max="13335" width="1.21875" style="3" customWidth="1"/>
    <col min="13336" max="13337" width="10.44140625" style="3" customWidth="1"/>
    <col min="13338" max="13338" width="1.21875" style="3" customWidth="1"/>
    <col min="13339" max="13343" width="10.44140625" style="3" customWidth="1"/>
    <col min="13344" max="13344" width="1.21875" style="3" customWidth="1"/>
    <col min="13345" max="13345" width="17.109375" style="3" customWidth="1"/>
    <col min="13346" max="13347" width="12.33203125" style="3" customWidth="1"/>
    <col min="13348" max="13348" width="13.5546875" style="3" customWidth="1"/>
    <col min="13349" max="13353" width="11.33203125" style="3" customWidth="1"/>
    <col min="13354" max="13354" width="7.44140625" style="3" customWidth="1"/>
    <col min="13355" max="13575" width="8.88671875" style="3"/>
    <col min="13576" max="13576" width="16.44140625" style="3" customWidth="1"/>
    <col min="13577" max="13583" width="10.33203125" style="3" customWidth="1"/>
    <col min="13584" max="13584" width="4.6640625" style="3" customWidth="1"/>
    <col min="13585" max="13585" width="1.6640625" style="3" customWidth="1"/>
    <col min="13586" max="13587" width="10.44140625" style="3" customWidth="1"/>
    <col min="13588" max="13588" width="1.21875" style="3" customWidth="1"/>
    <col min="13589" max="13590" width="10.44140625" style="3" customWidth="1"/>
    <col min="13591" max="13591" width="1.21875" style="3" customWidth="1"/>
    <col min="13592" max="13593" width="10.44140625" style="3" customWidth="1"/>
    <col min="13594" max="13594" width="1.21875" style="3" customWidth="1"/>
    <col min="13595" max="13599" width="10.44140625" style="3" customWidth="1"/>
    <col min="13600" max="13600" width="1.21875" style="3" customWidth="1"/>
    <col min="13601" max="13601" width="17.109375" style="3" customWidth="1"/>
    <col min="13602" max="13603" width="12.33203125" style="3" customWidth="1"/>
    <col min="13604" max="13604" width="13.5546875" style="3" customWidth="1"/>
    <col min="13605" max="13609" width="11.33203125" style="3" customWidth="1"/>
    <col min="13610" max="13610" width="7.44140625" style="3" customWidth="1"/>
    <col min="13611" max="13831" width="8.88671875" style="3"/>
    <col min="13832" max="13832" width="16.44140625" style="3" customWidth="1"/>
    <col min="13833" max="13839" width="10.33203125" style="3" customWidth="1"/>
    <col min="13840" max="13840" width="4.6640625" style="3" customWidth="1"/>
    <col min="13841" max="13841" width="1.6640625" style="3" customWidth="1"/>
    <col min="13842" max="13843" width="10.44140625" style="3" customWidth="1"/>
    <col min="13844" max="13844" width="1.21875" style="3" customWidth="1"/>
    <col min="13845" max="13846" width="10.44140625" style="3" customWidth="1"/>
    <col min="13847" max="13847" width="1.21875" style="3" customWidth="1"/>
    <col min="13848" max="13849" width="10.44140625" style="3" customWidth="1"/>
    <col min="13850" max="13850" width="1.21875" style="3" customWidth="1"/>
    <col min="13851" max="13855" width="10.44140625" style="3" customWidth="1"/>
    <col min="13856" max="13856" width="1.21875" style="3" customWidth="1"/>
    <col min="13857" max="13857" width="17.109375" style="3" customWidth="1"/>
    <col min="13858" max="13859" width="12.33203125" style="3" customWidth="1"/>
    <col min="13860" max="13860" width="13.5546875" style="3" customWidth="1"/>
    <col min="13861" max="13865" width="11.33203125" style="3" customWidth="1"/>
    <col min="13866" max="13866" width="7.44140625" style="3" customWidth="1"/>
    <col min="13867" max="14087" width="8.88671875" style="3"/>
    <col min="14088" max="14088" width="16.44140625" style="3" customWidth="1"/>
    <col min="14089" max="14095" width="10.33203125" style="3" customWidth="1"/>
    <col min="14096" max="14096" width="4.6640625" style="3" customWidth="1"/>
    <col min="14097" max="14097" width="1.6640625" style="3" customWidth="1"/>
    <col min="14098" max="14099" width="10.44140625" style="3" customWidth="1"/>
    <col min="14100" max="14100" width="1.21875" style="3" customWidth="1"/>
    <col min="14101" max="14102" width="10.44140625" style="3" customWidth="1"/>
    <col min="14103" max="14103" width="1.21875" style="3" customWidth="1"/>
    <col min="14104" max="14105" width="10.44140625" style="3" customWidth="1"/>
    <col min="14106" max="14106" width="1.21875" style="3" customWidth="1"/>
    <col min="14107" max="14111" width="10.44140625" style="3" customWidth="1"/>
    <col min="14112" max="14112" width="1.21875" style="3" customWidth="1"/>
    <col min="14113" max="14113" width="17.109375" style="3" customWidth="1"/>
    <col min="14114" max="14115" width="12.33203125" style="3" customWidth="1"/>
    <col min="14116" max="14116" width="13.5546875" style="3" customWidth="1"/>
    <col min="14117" max="14121" width="11.33203125" style="3" customWidth="1"/>
    <col min="14122" max="14122" width="7.44140625" style="3" customWidth="1"/>
    <col min="14123" max="14343" width="8.88671875" style="3"/>
    <col min="14344" max="14344" width="16.44140625" style="3" customWidth="1"/>
    <col min="14345" max="14351" width="10.33203125" style="3" customWidth="1"/>
    <col min="14352" max="14352" width="4.6640625" style="3" customWidth="1"/>
    <col min="14353" max="14353" width="1.6640625" style="3" customWidth="1"/>
    <col min="14354" max="14355" width="10.44140625" style="3" customWidth="1"/>
    <col min="14356" max="14356" width="1.21875" style="3" customWidth="1"/>
    <col min="14357" max="14358" width="10.44140625" style="3" customWidth="1"/>
    <col min="14359" max="14359" width="1.21875" style="3" customWidth="1"/>
    <col min="14360" max="14361" width="10.44140625" style="3" customWidth="1"/>
    <col min="14362" max="14362" width="1.21875" style="3" customWidth="1"/>
    <col min="14363" max="14367" width="10.44140625" style="3" customWidth="1"/>
    <col min="14368" max="14368" width="1.21875" style="3" customWidth="1"/>
    <col min="14369" max="14369" width="17.109375" style="3" customWidth="1"/>
    <col min="14370" max="14371" width="12.33203125" style="3" customWidth="1"/>
    <col min="14372" max="14372" width="13.5546875" style="3" customWidth="1"/>
    <col min="14373" max="14377" width="11.33203125" style="3" customWidth="1"/>
    <col min="14378" max="14378" width="7.44140625" style="3" customWidth="1"/>
    <col min="14379" max="14599" width="8.88671875" style="3"/>
    <col min="14600" max="14600" width="16.44140625" style="3" customWidth="1"/>
    <col min="14601" max="14607" width="10.33203125" style="3" customWidth="1"/>
    <col min="14608" max="14608" width="4.6640625" style="3" customWidth="1"/>
    <col min="14609" max="14609" width="1.6640625" style="3" customWidth="1"/>
    <col min="14610" max="14611" width="10.44140625" style="3" customWidth="1"/>
    <col min="14612" max="14612" width="1.21875" style="3" customWidth="1"/>
    <col min="14613" max="14614" width="10.44140625" style="3" customWidth="1"/>
    <col min="14615" max="14615" width="1.21875" style="3" customWidth="1"/>
    <col min="14616" max="14617" width="10.44140625" style="3" customWidth="1"/>
    <col min="14618" max="14618" width="1.21875" style="3" customWidth="1"/>
    <col min="14619" max="14623" width="10.44140625" style="3" customWidth="1"/>
    <col min="14624" max="14624" width="1.21875" style="3" customWidth="1"/>
    <col min="14625" max="14625" width="17.109375" style="3" customWidth="1"/>
    <col min="14626" max="14627" width="12.33203125" style="3" customWidth="1"/>
    <col min="14628" max="14628" width="13.5546875" style="3" customWidth="1"/>
    <col min="14629" max="14633" width="11.33203125" style="3" customWidth="1"/>
    <col min="14634" max="14634" width="7.44140625" style="3" customWidth="1"/>
    <col min="14635" max="14855" width="8.88671875" style="3"/>
    <col min="14856" max="14856" width="16.44140625" style="3" customWidth="1"/>
    <col min="14857" max="14863" width="10.33203125" style="3" customWidth="1"/>
    <col min="14864" max="14864" width="4.6640625" style="3" customWidth="1"/>
    <col min="14865" max="14865" width="1.6640625" style="3" customWidth="1"/>
    <col min="14866" max="14867" width="10.44140625" style="3" customWidth="1"/>
    <col min="14868" max="14868" width="1.21875" style="3" customWidth="1"/>
    <col min="14869" max="14870" width="10.44140625" style="3" customWidth="1"/>
    <col min="14871" max="14871" width="1.21875" style="3" customWidth="1"/>
    <col min="14872" max="14873" width="10.44140625" style="3" customWidth="1"/>
    <col min="14874" max="14874" width="1.21875" style="3" customWidth="1"/>
    <col min="14875" max="14879" width="10.44140625" style="3" customWidth="1"/>
    <col min="14880" max="14880" width="1.21875" style="3" customWidth="1"/>
    <col min="14881" max="14881" width="17.109375" style="3" customWidth="1"/>
    <col min="14882" max="14883" width="12.33203125" style="3" customWidth="1"/>
    <col min="14884" max="14884" width="13.5546875" style="3" customWidth="1"/>
    <col min="14885" max="14889" width="11.33203125" style="3" customWidth="1"/>
    <col min="14890" max="14890" width="7.44140625" style="3" customWidth="1"/>
    <col min="14891" max="15111" width="8.88671875" style="3"/>
    <col min="15112" max="15112" width="16.44140625" style="3" customWidth="1"/>
    <col min="15113" max="15119" width="10.33203125" style="3" customWidth="1"/>
    <col min="15120" max="15120" width="4.6640625" style="3" customWidth="1"/>
    <col min="15121" max="15121" width="1.6640625" style="3" customWidth="1"/>
    <col min="15122" max="15123" width="10.44140625" style="3" customWidth="1"/>
    <col min="15124" max="15124" width="1.21875" style="3" customWidth="1"/>
    <col min="15125" max="15126" width="10.44140625" style="3" customWidth="1"/>
    <col min="15127" max="15127" width="1.21875" style="3" customWidth="1"/>
    <col min="15128" max="15129" width="10.44140625" style="3" customWidth="1"/>
    <col min="15130" max="15130" width="1.21875" style="3" customWidth="1"/>
    <col min="15131" max="15135" width="10.44140625" style="3" customWidth="1"/>
    <col min="15136" max="15136" width="1.21875" style="3" customWidth="1"/>
    <col min="15137" max="15137" width="17.109375" style="3" customWidth="1"/>
    <col min="15138" max="15139" width="12.33203125" style="3" customWidth="1"/>
    <col min="15140" max="15140" width="13.5546875" style="3" customWidth="1"/>
    <col min="15141" max="15145" width="11.33203125" style="3" customWidth="1"/>
    <col min="15146" max="15146" width="7.44140625" style="3" customWidth="1"/>
    <col min="15147" max="15367" width="8.88671875" style="3"/>
    <col min="15368" max="15368" width="16.44140625" style="3" customWidth="1"/>
    <col min="15369" max="15375" width="10.33203125" style="3" customWidth="1"/>
    <col min="15376" max="15376" width="4.6640625" style="3" customWidth="1"/>
    <col min="15377" max="15377" width="1.6640625" style="3" customWidth="1"/>
    <col min="15378" max="15379" width="10.44140625" style="3" customWidth="1"/>
    <col min="15380" max="15380" width="1.21875" style="3" customWidth="1"/>
    <col min="15381" max="15382" width="10.44140625" style="3" customWidth="1"/>
    <col min="15383" max="15383" width="1.21875" style="3" customWidth="1"/>
    <col min="15384" max="15385" width="10.44140625" style="3" customWidth="1"/>
    <col min="15386" max="15386" width="1.21875" style="3" customWidth="1"/>
    <col min="15387" max="15391" width="10.44140625" style="3" customWidth="1"/>
    <col min="15392" max="15392" width="1.21875" style="3" customWidth="1"/>
    <col min="15393" max="15393" width="17.109375" style="3" customWidth="1"/>
    <col min="15394" max="15395" width="12.33203125" style="3" customWidth="1"/>
    <col min="15396" max="15396" width="13.5546875" style="3" customWidth="1"/>
    <col min="15397" max="15401" width="11.33203125" style="3" customWidth="1"/>
    <col min="15402" max="15402" width="7.44140625" style="3" customWidth="1"/>
    <col min="15403" max="15623" width="8.88671875" style="3"/>
    <col min="15624" max="15624" width="16.44140625" style="3" customWidth="1"/>
    <col min="15625" max="15631" width="10.33203125" style="3" customWidth="1"/>
    <col min="15632" max="15632" width="4.6640625" style="3" customWidth="1"/>
    <col min="15633" max="15633" width="1.6640625" style="3" customWidth="1"/>
    <col min="15634" max="15635" width="10.44140625" style="3" customWidth="1"/>
    <col min="15636" max="15636" width="1.21875" style="3" customWidth="1"/>
    <col min="15637" max="15638" width="10.44140625" style="3" customWidth="1"/>
    <col min="15639" max="15639" width="1.21875" style="3" customWidth="1"/>
    <col min="15640" max="15641" width="10.44140625" style="3" customWidth="1"/>
    <col min="15642" max="15642" width="1.21875" style="3" customWidth="1"/>
    <col min="15643" max="15647" width="10.44140625" style="3" customWidth="1"/>
    <col min="15648" max="15648" width="1.21875" style="3" customWidth="1"/>
    <col min="15649" max="15649" width="17.109375" style="3" customWidth="1"/>
    <col min="15650" max="15651" width="12.33203125" style="3" customWidth="1"/>
    <col min="15652" max="15652" width="13.5546875" style="3" customWidth="1"/>
    <col min="15653" max="15657" width="11.33203125" style="3" customWidth="1"/>
    <col min="15658" max="15658" width="7.44140625" style="3" customWidth="1"/>
    <col min="15659" max="15879" width="8.88671875" style="3"/>
    <col min="15880" max="15880" width="16.44140625" style="3" customWidth="1"/>
    <col min="15881" max="15887" width="10.33203125" style="3" customWidth="1"/>
    <col min="15888" max="15888" width="4.6640625" style="3" customWidth="1"/>
    <col min="15889" max="15889" width="1.6640625" style="3" customWidth="1"/>
    <col min="15890" max="15891" width="10.44140625" style="3" customWidth="1"/>
    <col min="15892" max="15892" width="1.21875" style="3" customWidth="1"/>
    <col min="15893" max="15894" width="10.44140625" style="3" customWidth="1"/>
    <col min="15895" max="15895" width="1.21875" style="3" customWidth="1"/>
    <col min="15896" max="15897" width="10.44140625" style="3" customWidth="1"/>
    <col min="15898" max="15898" width="1.21875" style="3" customWidth="1"/>
    <col min="15899" max="15903" width="10.44140625" style="3" customWidth="1"/>
    <col min="15904" max="15904" width="1.21875" style="3" customWidth="1"/>
    <col min="15905" max="15905" width="17.109375" style="3" customWidth="1"/>
    <col min="15906" max="15907" width="12.33203125" style="3" customWidth="1"/>
    <col min="15908" max="15908" width="13.5546875" style="3" customWidth="1"/>
    <col min="15909" max="15913" width="11.33203125" style="3" customWidth="1"/>
    <col min="15914" max="15914" width="7.44140625" style="3" customWidth="1"/>
    <col min="15915" max="16135" width="8.88671875" style="3"/>
    <col min="16136" max="16136" width="16.44140625" style="3" customWidth="1"/>
    <col min="16137" max="16143" width="10.33203125" style="3" customWidth="1"/>
    <col min="16144" max="16144" width="4.6640625" style="3" customWidth="1"/>
    <col min="16145" max="16145" width="1.6640625" style="3" customWidth="1"/>
    <col min="16146" max="16147" width="10.44140625" style="3" customWidth="1"/>
    <col min="16148" max="16148" width="1.21875" style="3" customWidth="1"/>
    <col min="16149" max="16150" width="10.44140625" style="3" customWidth="1"/>
    <col min="16151" max="16151" width="1.21875" style="3" customWidth="1"/>
    <col min="16152" max="16153" width="10.44140625" style="3" customWidth="1"/>
    <col min="16154" max="16154" width="1.21875" style="3" customWidth="1"/>
    <col min="16155" max="16159" width="10.44140625" style="3" customWidth="1"/>
    <col min="16160" max="16160" width="1.21875" style="3" customWidth="1"/>
    <col min="16161" max="16161" width="17.109375" style="3" customWidth="1"/>
    <col min="16162" max="16163" width="12.33203125" style="3" customWidth="1"/>
    <col min="16164" max="16164" width="13.5546875" style="3" customWidth="1"/>
    <col min="16165" max="16169" width="11.33203125" style="3" customWidth="1"/>
    <col min="16170" max="16170" width="7.44140625" style="3" customWidth="1"/>
    <col min="16171" max="16384" width="8.88671875" style="3"/>
  </cols>
  <sheetData>
    <row r="1" spans="1:39">
      <c r="A1" s="1" t="s">
        <v>1304</v>
      </c>
    </row>
    <row r="2" spans="1:39" ht="13.5" customHeight="1">
      <c r="A2" s="1" t="s">
        <v>242</v>
      </c>
      <c r="B2" s="2"/>
    </row>
    <row r="3" spans="1:39" ht="13.5" customHeight="1">
      <c r="A3" s="1"/>
      <c r="B3" s="4"/>
      <c r="J3" s="533" t="s">
        <v>1322</v>
      </c>
      <c r="K3" s="534"/>
      <c r="L3" s="5"/>
      <c r="M3" s="5"/>
      <c r="N3" s="533" t="s">
        <v>1323</v>
      </c>
      <c r="O3" s="534"/>
      <c r="P3" s="5"/>
      <c r="Q3" s="5"/>
      <c r="T3" s="533" t="s">
        <v>1313</v>
      </c>
      <c r="U3" s="534"/>
      <c r="V3" s="5"/>
      <c r="X3" s="533" t="s">
        <v>1314</v>
      </c>
      <c r="Y3" s="534"/>
      <c r="AB3" s="533" t="s">
        <v>908</v>
      </c>
      <c r="AC3" s="534"/>
      <c r="AD3" s="533" t="s">
        <v>261</v>
      </c>
      <c r="AE3" s="534"/>
      <c r="AG3" s="533" t="s">
        <v>1236</v>
      </c>
      <c r="AH3" s="538"/>
      <c r="AI3" s="534"/>
    </row>
    <row r="4" spans="1:39" ht="13.5" customHeight="1">
      <c r="F4" s="5" t="s">
        <v>18</v>
      </c>
      <c r="G4" s="5" t="s">
        <v>118</v>
      </c>
      <c r="H4" s="532" t="s">
        <v>4661</v>
      </c>
      <c r="I4" s="225"/>
      <c r="J4" s="535" t="s">
        <v>905</v>
      </c>
      <c r="K4" s="535" t="str">
        <f>U4</f>
        <v>Average Investment 03/31/2025</v>
      </c>
      <c r="L4" s="6"/>
      <c r="M4" s="6"/>
      <c r="N4" s="535" t="s">
        <v>905</v>
      </c>
      <c r="O4" s="535" t="str">
        <f>U4</f>
        <v>Average Investment 03/31/2025</v>
      </c>
      <c r="P4" s="6"/>
      <c r="Q4" s="6"/>
      <c r="T4" s="535" t="s">
        <v>905</v>
      </c>
      <c r="U4" s="535" t="str">
        <f>H4</f>
        <v>Average Investment 03/31/2025</v>
      </c>
      <c r="V4" s="6"/>
      <c r="X4" s="535" t="s">
        <v>905</v>
      </c>
      <c r="Y4" s="535" t="str">
        <f>U4</f>
        <v>Average Investment 03/31/2025</v>
      </c>
      <c r="AA4" s="535" t="s">
        <v>380</v>
      </c>
      <c r="AB4" s="535" t="s">
        <v>1313</v>
      </c>
      <c r="AC4" s="535" t="s">
        <v>1314</v>
      </c>
      <c r="AD4" s="535" t="s">
        <v>905</v>
      </c>
      <c r="AE4" s="535" t="str">
        <f>U4</f>
        <v>Average Investment 03/31/2025</v>
      </c>
      <c r="AG4" s="536" t="s">
        <v>993</v>
      </c>
      <c r="AH4" s="536" t="s">
        <v>35</v>
      </c>
      <c r="AI4" s="536" t="s">
        <v>992</v>
      </c>
    </row>
    <row r="5" spans="1:39" ht="13.5" customHeight="1">
      <c r="A5" s="5" t="s">
        <v>121</v>
      </c>
      <c r="B5" s="5" t="s">
        <v>42</v>
      </c>
      <c r="C5" s="5" t="s">
        <v>23</v>
      </c>
      <c r="D5" s="5" t="s">
        <v>67</v>
      </c>
      <c r="E5" s="5" t="s">
        <v>122</v>
      </c>
      <c r="F5" s="5" t="s">
        <v>123</v>
      </c>
      <c r="G5" s="5" t="s">
        <v>123</v>
      </c>
      <c r="H5" s="532"/>
      <c r="I5" s="225"/>
      <c r="J5" s="536"/>
      <c r="K5" s="536"/>
      <c r="L5" s="6"/>
      <c r="M5" s="6"/>
      <c r="N5" s="536"/>
      <c r="O5" s="536"/>
      <c r="P5" s="6"/>
      <c r="Q5" s="6"/>
      <c r="T5" s="536"/>
      <c r="U5" s="536"/>
      <c r="V5" s="6"/>
      <c r="X5" s="536"/>
      <c r="Y5" s="536"/>
      <c r="AA5" s="536"/>
      <c r="AB5" s="536"/>
      <c r="AC5" s="536"/>
      <c r="AD5" s="536"/>
      <c r="AE5" s="536"/>
      <c r="AG5" s="536"/>
      <c r="AH5" s="536"/>
      <c r="AI5" s="536"/>
    </row>
    <row r="6" spans="1:39" ht="22.5" customHeight="1">
      <c r="A6" s="5"/>
      <c r="B6" s="5"/>
      <c r="C6" s="5"/>
      <c r="D6" s="5" t="s">
        <v>42</v>
      </c>
      <c r="E6" s="5" t="s">
        <v>67</v>
      </c>
      <c r="F6" s="7">
        <v>45383</v>
      </c>
      <c r="G6" s="8">
        <v>45747</v>
      </c>
      <c r="H6" s="532"/>
      <c r="I6" s="225"/>
      <c r="J6" s="537"/>
      <c r="K6" s="537"/>
      <c r="L6" s="6"/>
      <c r="M6" s="6"/>
      <c r="N6" s="537"/>
      <c r="O6" s="537"/>
      <c r="P6" s="6"/>
      <c r="Q6" s="6"/>
      <c r="T6" s="537"/>
      <c r="U6" s="537"/>
      <c r="V6" s="6"/>
      <c r="X6" s="537"/>
      <c r="Y6" s="537"/>
      <c r="AA6" s="537"/>
      <c r="AB6" s="537"/>
      <c r="AC6" s="537"/>
      <c r="AD6" s="537"/>
      <c r="AE6" s="537"/>
      <c r="AG6" s="537"/>
      <c r="AH6" s="537" t="s">
        <v>35</v>
      </c>
      <c r="AI6" s="537" t="s">
        <v>991</v>
      </c>
    </row>
    <row r="7" spans="1:39" ht="13.5" customHeight="1" thickBot="1">
      <c r="A7" s="1" t="s">
        <v>124</v>
      </c>
      <c r="B7" s="4"/>
      <c r="AG7" s="9" t="s">
        <v>980</v>
      </c>
    </row>
    <row r="8" spans="1:39" ht="13.5" customHeight="1">
      <c r="A8" s="3" t="s">
        <v>125</v>
      </c>
      <c r="B8" s="10">
        <f>+'Summary Breakdown'!AD10</f>
        <v>24903911.034999989</v>
      </c>
      <c r="C8" s="10">
        <f ca="1">B8-D8</f>
        <v>0</v>
      </c>
      <c r="D8" s="10">
        <f ca="1">+'Summary Breakdown'!AF10</f>
        <v>24903911.034999989</v>
      </c>
      <c r="E8" s="10">
        <f ca="1">+'Summary Breakdown'!AG10</f>
        <v>2287933.0837182542</v>
      </c>
      <c r="F8" s="10">
        <f ca="1">+'Summary Breakdown'!AH10</f>
        <v>9421011.3538146857</v>
      </c>
      <c r="G8" s="10">
        <f ca="1">+'Summary Breakdown'!AI10</f>
        <v>11709011.84286627</v>
      </c>
      <c r="H8" s="10">
        <f ca="1">+'Summary Breakdown'!AJ10</f>
        <v>13092171.520300394</v>
      </c>
      <c r="I8" s="10"/>
      <c r="J8" s="10"/>
      <c r="K8" s="10"/>
      <c r="L8" s="10"/>
      <c r="M8" s="228"/>
      <c r="N8" s="10"/>
      <c r="O8" s="10"/>
      <c r="P8" s="10"/>
      <c r="Q8" s="228"/>
      <c r="R8" s="11"/>
      <c r="S8" s="11"/>
      <c r="T8" s="10">
        <f ca="1">E8*AB8</f>
        <v>1596558.6328376629</v>
      </c>
      <c r="U8" s="139">
        <f ca="1">H8*AB8</f>
        <v>9135940.0377904568</v>
      </c>
      <c r="V8" s="10"/>
      <c r="W8" s="11"/>
      <c r="X8" s="10">
        <f ca="1">E8*AC8</f>
        <v>691374.45088059094</v>
      </c>
      <c r="Y8" s="139">
        <f ca="1">H8*AC8</f>
        <v>3956231.4825099353</v>
      </c>
      <c r="Z8" s="11"/>
      <c r="AA8" s="97" t="s">
        <v>889</v>
      </c>
      <c r="AB8" s="221">
        <f>+'[3]Allocators (C)'!$H$89</f>
        <v>0.69781701405488739</v>
      </c>
      <c r="AC8" s="221">
        <f>+'[3]Allocators (C)'!$I$89</f>
        <v>0.30218298594511245</v>
      </c>
      <c r="AD8" s="14">
        <f ca="1">E8-T8-X8</f>
        <v>0</v>
      </c>
      <c r="AE8" s="11">
        <f ca="1">H8-U8-Y8</f>
        <v>0</v>
      </c>
      <c r="AG8" s="12" t="s">
        <v>981</v>
      </c>
      <c r="AH8" s="11">
        <f ca="1">T8</f>
        <v>1596558.6328376629</v>
      </c>
      <c r="AI8" s="11">
        <f ca="1">U8</f>
        <v>9135940.0377904568</v>
      </c>
      <c r="AK8" s="98" t="s">
        <v>997</v>
      </c>
      <c r="AL8" s="99"/>
      <c r="AM8" s="100"/>
    </row>
    <row r="9" spans="1:39" ht="13.5" customHeight="1">
      <c r="B9" s="10"/>
      <c r="C9" s="10"/>
      <c r="D9" s="10"/>
      <c r="E9" s="10"/>
      <c r="F9" s="10"/>
      <c r="G9" s="10"/>
      <c r="H9" s="10"/>
      <c r="I9" s="10"/>
      <c r="J9" s="10"/>
      <c r="K9" s="10"/>
      <c r="L9" s="10"/>
      <c r="M9" s="228"/>
      <c r="N9" s="10"/>
      <c r="O9" s="10"/>
      <c r="P9" s="10"/>
      <c r="Q9" s="228"/>
      <c r="R9" s="11"/>
      <c r="S9" s="11"/>
      <c r="T9" s="10"/>
      <c r="U9" s="139"/>
      <c r="V9" s="10"/>
      <c r="W9" s="11"/>
      <c r="X9" s="10"/>
      <c r="Y9" s="10"/>
      <c r="Z9" s="11"/>
      <c r="AA9" s="18"/>
      <c r="AB9" s="11"/>
      <c r="AC9" s="11"/>
      <c r="AD9" s="11"/>
      <c r="AE9" s="11"/>
      <c r="AG9" s="12" t="s">
        <v>411</v>
      </c>
      <c r="AH9" s="11">
        <f ca="1">SUM($T$12,$T$16)*AM9</f>
        <v>44300.924490821293</v>
      </c>
      <c r="AI9" s="11">
        <f ca="1">SUM(,$U$12,$U$16)*AM9</f>
        <v>223741.74184290369</v>
      </c>
      <c r="AJ9" s="13" t="s">
        <v>892</v>
      </c>
      <c r="AK9" s="101" t="s">
        <v>998</v>
      </c>
      <c r="AL9" s="188">
        <f>'[4]Hours+Tons'!C77</f>
        <v>28979.45</v>
      </c>
      <c r="AM9" s="102">
        <f>AL9/(AL10+AL9+AL11)</f>
        <v>0.46605726405362946</v>
      </c>
    </row>
    <row r="10" spans="1:39" ht="13.5" customHeight="1">
      <c r="A10" s="3" t="s">
        <v>582</v>
      </c>
      <c r="B10" s="10">
        <f ca="1">+'Summary Breakdown'!AD12</f>
        <v>1002756.58</v>
      </c>
      <c r="C10" s="10">
        <f ca="1">B10-D10</f>
        <v>0</v>
      </c>
      <c r="D10" s="10">
        <f ca="1">+'Summary Breakdown'!AF12</f>
        <v>1002756.58</v>
      </c>
      <c r="E10" s="10">
        <f ca="1">+'Summary Breakdown'!AG12</f>
        <v>78746.001513809519</v>
      </c>
      <c r="F10" s="10">
        <f ca="1">+'Summary Breakdown'!AH12</f>
        <v>516552.4658881732</v>
      </c>
      <c r="G10" s="10">
        <f ca="1">+'Summary Breakdown'!AI12</f>
        <v>595298.46740198275</v>
      </c>
      <c r="H10" s="10">
        <f ca="1">+'Summary Breakdown'!AJ12</f>
        <v>407458.11259801727</v>
      </c>
      <c r="I10" s="10"/>
      <c r="J10" s="10"/>
      <c r="K10" s="10"/>
      <c r="L10" s="10"/>
      <c r="M10" s="228"/>
      <c r="N10" s="10"/>
      <c r="O10" s="10"/>
      <c r="P10" s="10"/>
      <c r="Q10" s="228"/>
      <c r="R10" s="11"/>
      <c r="S10" s="11"/>
      <c r="T10" s="10">
        <f ca="1">E10*AB10</f>
        <v>55333.303740948759</v>
      </c>
      <c r="U10" s="139">
        <f ca="1">H10*AB10</f>
        <v>286312.99459879176</v>
      </c>
      <c r="V10" s="10"/>
      <c r="W10" s="14"/>
      <c r="X10" s="10">
        <f ca="1">E10*AC10</f>
        <v>23412.697772860753</v>
      </c>
      <c r="Y10" s="139">
        <f ca="1">H10*AC10</f>
        <v>121145.11799922551</v>
      </c>
      <c r="Z10" s="14"/>
      <c r="AA10" s="97" t="s">
        <v>1318</v>
      </c>
      <c r="AB10" s="221">
        <f>+'[3]Allocators (C)'!$H$93</f>
        <v>0.70268080508500586</v>
      </c>
      <c r="AC10" s="221">
        <f>+'[3]Allocators (C)'!$I$93</f>
        <v>0.29731919491499409</v>
      </c>
      <c r="AD10" s="14">
        <f ca="1">E10-T10-X10</f>
        <v>0</v>
      </c>
      <c r="AE10" s="11">
        <f ca="1">H10-U10-Y10</f>
        <v>0</v>
      </c>
      <c r="AG10" s="3" t="s">
        <v>1025</v>
      </c>
      <c r="AH10" s="21">
        <f ca="1">$T$10*AL48</f>
        <v>30696.882122402076</v>
      </c>
      <c r="AI10" s="21">
        <f ca="1">$U$10*AL48</f>
        <v>158835.92070442234</v>
      </c>
      <c r="AJ10" s="13" t="s">
        <v>889</v>
      </c>
      <c r="AK10" s="101" t="s">
        <v>999</v>
      </c>
      <c r="AL10" s="188">
        <f>'[4]Hours+Tons'!C78</f>
        <v>20805.900000000078</v>
      </c>
      <c r="AM10" s="102">
        <f>AL10/(AL11+AL10+AL9)</f>
        <v>0.33460748323979389</v>
      </c>
    </row>
    <row r="11" spans="1:39" ht="13.5" customHeight="1">
      <c r="B11" s="10"/>
      <c r="C11" s="10"/>
      <c r="D11" s="10"/>
      <c r="E11" s="10"/>
      <c r="F11" s="10"/>
      <c r="G11" s="10"/>
      <c r="H11" s="10"/>
      <c r="I11" s="10"/>
      <c r="J11" s="10"/>
      <c r="K11" s="10"/>
      <c r="L11" s="10"/>
      <c r="M11" s="228"/>
      <c r="N11" s="10"/>
      <c r="O11" s="10"/>
      <c r="P11" s="10"/>
      <c r="Q11" s="228"/>
      <c r="R11" s="11"/>
      <c r="S11" s="11"/>
      <c r="T11" s="10"/>
      <c r="U11" s="139"/>
      <c r="V11" s="10"/>
      <c r="W11" s="11"/>
      <c r="X11" s="10"/>
      <c r="Y11" s="139"/>
      <c r="Z11" s="11"/>
      <c r="AA11" s="18"/>
      <c r="AB11" s="160"/>
      <c r="AC11" s="160"/>
      <c r="AD11" s="11"/>
      <c r="AG11" s="12"/>
      <c r="AH11" s="11"/>
      <c r="AI11" s="11"/>
      <c r="AK11" s="101" t="s">
        <v>1000</v>
      </c>
      <c r="AL11" s="188">
        <f>'[4]Hours+Tons'!C79</f>
        <v>12394.670000000007</v>
      </c>
      <c r="AM11" s="102">
        <f>AL11/(AL9+AL11+AL10)</f>
        <v>0.19933525270657662</v>
      </c>
    </row>
    <row r="12" spans="1:39" s="1" customFormat="1" ht="13.5" customHeight="1" thickBot="1">
      <c r="A12" s="3" t="s">
        <v>1316</v>
      </c>
      <c r="B12" s="10">
        <f ca="1">+'Summary Breakdown'!AD14</f>
        <v>1119737.2</v>
      </c>
      <c r="C12" s="10">
        <f ca="1">B12-D12</f>
        <v>0</v>
      </c>
      <c r="D12" s="10">
        <f ca="1">+'Summary Breakdown'!AF14</f>
        <v>1119737.2</v>
      </c>
      <c r="E12" s="10">
        <f ca="1">+'Summary Breakdown'!AG14</f>
        <v>102339.69756132757</v>
      </c>
      <c r="F12" s="10">
        <f ca="1">+'Summary Breakdown'!AH14</f>
        <v>490197.57073712489</v>
      </c>
      <c r="G12" s="10">
        <f ca="1">+'Summary Breakdown'!AI14</f>
        <v>598904.37940956652</v>
      </c>
      <c r="H12" s="10">
        <f ca="1">+'Summary Breakdown'!AJ14</f>
        <v>520832.82059043343</v>
      </c>
      <c r="I12" s="10"/>
      <c r="J12" s="10"/>
      <c r="K12" s="10"/>
      <c r="L12" s="10"/>
      <c r="M12" s="228"/>
      <c r="N12" s="16"/>
      <c r="O12" s="16"/>
      <c r="P12" s="16"/>
      <c r="Q12" s="235"/>
      <c r="R12" s="14"/>
      <c r="S12" s="14"/>
      <c r="T12" s="10">
        <f ca="1">E12*AB12</f>
        <v>68918.980522108293</v>
      </c>
      <c r="U12" s="139">
        <f ca="1">H12*AB12</f>
        <v>350746.26828984317</v>
      </c>
      <c r="V12" s="16"/>
      <c r="W12" s="14"/>
      <c r="X12" s="10">
        <f ca="1">E12*AC12</f>
        <v>33420.717039219271</v>
      </c>
      <c r="Y12" s="139">
        <f ca="1">H12*AC12</f>
        <v>170086.55230059027</v>
      </c>
      <c r="Z12" s="14"/>
      <c r="AA12" s="97" t="s">
        <v>1315</v>
      </c>
      <c r="AB12" s="221">
        <f>+'[3]Allocators (C)'!$H$168</f>
        <v>0.67343349808912867</v>
      </c>
      <c r="AC12" s="221">
        <f>+'[3]Allocators (C)'!$I$168</f>
        <v>0.32656650191087128</v>
      </c>
      <c r="AD12" s="14">
        <f ca="1">E12-T12-X12</f>
        <v>0</v>
      </c>
      <c r="AE12" s="11">
        <f ca="1">H12-U12-Y12</f>
        <v>0</v>
      </c>
      <c r="AF12" s="17"/>
      <c r="AG12" s="143" t="s">
        <v>1027</v>
      </c>
      <c r="AH12" s="187">
        <f ca="1">SUM(AH8:AH11)</f>
        <v>1671556.4394508863</v>
      </c>
      <c r="AI12" s="187">
        <f ca="1">SUM(AI8:AI11)</f>
        <v>9518517.7003377825</v>
      </c>
      <c r="AK12" s="103" t="s">
        <v>1001</v>
      </c>
      <c r="AL12" s="104">
        <f>SUM(AL9:AL11)</f>
        <v>62180.020000000084</v>
      </c>
      <c r="AM12" s="105">
        <f>SUM(AM9:AM11)</f>
        <v>1</v>
      </c>
    </row>
    <row r="13" spans="1:39" ht="13.5" customHeight="1" thickBot="1">
      <c r="B13" s="10"/>
      <c r="C13" s="10"/>
      <c r="D13" s="10"/>
      <c r="E13" s="10"/>
      <c r="F13" s="10"/>
      <c r="G13" s="10"/>
      <c r="H13" s="10"/>
      <c r="I13" s="10"/>
      <c r="J13" s="10"/>
      <c r="K13" s="10"/>
      <c r="L13" s="10"/>
      <c r="M13" s="228"/>
      <c r="N13" s="10"/>
      <c r="O13" s="10"/>
      <c r="P13" s="10"/>
      <c r="Q13" s="228"/>
      <c r="R13" s="11"/>
      <c r="S13" s="11"/>
      <c r="T13" s="10"/>
      <c r="U13" s="139"/>
      <c r="V13" s="10"/>
      <c r="W13" s="11"/>
      <c r="X13" s="10"/>
      <c r="Y13" s="139"/>
      <c r="Z13" s="11"/>
      <c r="AA13" s="18"/>
      <c r="AB13" s="160"/>
      <c r="AC13" s="160"/>
      <c r="AD13" s="11"/>
      <c r="AE13" s="11"/>
      <c r="AF13" s="17"/>
      <c r="AK13" s="106"/>
      <c r="AL13" s="107"/>
      <c r="AM13" s="108"/>
    </row>
    <row r="14" spans="1:39" ht="13.5" customHeight="1">
      <c r="A14" s="3" t="s">
        <v>126</v>
      </c>
      <c r="B14" s="10">
        <f ca="1">+'Summary Breakdown'!AD16</f>
        <v>1580224.8599999999</v>
      </c>
      <c r="C14" s="10">
        <f ca="1">B14-D14</f>
        <v>1091.0127999996766</v>
      </c>
      <c r="D14" s="10">
        <f ca="1">+'Summary Breakdown'!AF16</f>
        <v>1579133.8472000002</v>
      </c>
      <c r="E14" s="10">
        <f ca="1">+'Summary Breakdown'!AG16</f>
        <v>95333.74040000001</v>
      </c>
      <c r="F14" s="10">
        <f ca="1">+'Summary Breakdown'!AH16</f>
        <v>105381.57999999999</v>
      </c>
      <c r="G14" s="10">
        <f ca="1">+'Summary Breakdown'!AI16</f>
        <v>116165.692</v>
      </c>
      <c r="H14" s="10">
        <f ca="1">+'Summary Breakdown'!AJ16</f>
        <v>377886.79741667374</v>
      </c>
      <c r="I14" s="10"/>
      <c r="J14" s="10"/>
      <c r="K14" s="10"/>
      <c r="L14" s="10"/>
      <c r="M14" s="228"/>
      <c r="N14" s="10"/>
      <c r="O14" s="10"/>
      <c r="P14" s="10"/>
      <c r="Q14" s="228"/>
      <c r="R14" s="11"/>
      <c r="S14" s="11"/>
      <c r="T14" s="10">
        <f ca="1">E14*AB14</f>
        <v>60936.482081384514</v>
      </c>
      <c r="U14" s="139">
        <f ca="1">H14*AB14</f>
        <v>241541.89233482457</v>
      </c>
      <c r="V14" s="16"/>
      <c r="W14" s="14"/>
      <c r="X14" s="10">
        <f ca="1">E14*AC14</f>
        <v>34397.258318615495</v>
      </c>
      <c r="Y14" s="139">
        <f ca="1">H14*AC14</f>
        <v>136344.90508184917</v>
      </c>
      <c r="Z14" s="11"/>
      <c r="AA14" s="97" t="s">
        <v>1317</v>
      </c>
      <c r="AB14" s="221">
        <f>+'[3]Allocators (C)'!$H$91</f>
        <v>0.63919113868508726</v>
      </c>
      <c r="AC14" s="221">
        <f>+'[3]Allocators (C)'!$I$91</f>
        <v>0.36080886131491274</v>
      </c>
      <c r="AD14" s="14">
        <f ca="1">E14-T14-X14</f>
        <v>0</v>
      </c>
      <c r="AE14" s="11">
        <f ca="1">H14-U14-Y14</f>
        <v>0</v>
      </c>
      <c r="AF14" s="14"/>
      <c r="AG14" s="12" t="s">
        <v>1021</v>
      </c>
      <c r="AH14" s="11">
        <f ca="1">T14</f>
        <v>60936.482081384514</v>
      </c>
      <c r="AI14" s="11">
        <f ca="1">U14</f>
        <v>241541.89233482457</v>
      </c>
    </row>
    <row r="15" spans="1:39" ht="13.5" customHeight="1">
      <c r="B15" s="10"/>
      <c r="C15" s="10"/>
      <c r="D15" s="10"/>
      <c r="E15" s="10"/>
      <c r="F15" s="10"/>
      <c r="G15" s="10"/>
      <c r="H15" s="10"/>
      <c r="I15" s="10"/>
      <c r="J15" s="10"/>
      <c r="K15" s="10"/>
      <c r="L15" s="10"/>
      <c r="M15" s="228"/>
      <c r="N15" s="10"/>
      <c r="O15" s="10"/>
      <c r="P15" s="10"/>
      <c r="Q15" s="228"/>
      <c r="R15" s="11"/>
      <c r="S15" s="11"/>
      <c r="T15" s="10"/>
      <c r="U15" s="139"/>
      <c r="V15" s="10"/>
      <c r="W15" s="11"/>
      <c r="X15" s="10"/>
      <c r="Y15" s="139"/>
      <c r="Z15" s="11"/>
      <c r="AA15" s="20"/>
      <c r="AB15" s="160"/>
      <c r="AC15" s="160"/>
      <c r="AD15" s="11"/>
      <c r="AE15" s="11"/>
      <c r="AF15" s="19"/>
      <c r="AG15" s="12" t="s">
        <v>411</v>
      </c>
      <c r="AH15" s="11">
        <f ca="1">SUM($T$12,$T$16)*AM10</f>
        <v>31806.007528216793</v>
      </c>
      <c r="AI15" s="11">
        <f ca="1">SUM(,$U$12,$U$16)*AM10</f>
        <v>160636.18552489049</v>
      </c>
      <c r="AJ15" s="13" t="s">
        <v>892</v>
      </c>
    </row>
    <row r="16" spans="1:39" ht="13.5" customHeight="1" thickBot="1">
      <c r="A16" s="3" t="s">
        <v>178</v>
      </c>
      <c r="B16" s="10">
        <f ca="1">+'Summary Breakdown'!AD18</f>
        <v>532374.92999999993</v>
      </c>
      <c r="C16" s="10">
        <f ca="1">B16-D16</f>
        <v>0</v>
      </c>
      <c r="D16" s="10">
        <f ca="1">+'Summary Breakdown'!AF18</f>
        <v>532374.92999999993</v>
      </c>
      <c r="E16" s="10">
        <f ca="1">+'Summary Breakdown'!AG18</f>
        <v>41528.329911111112</v>
      </c>
      <c r="F16" s="10">
        <f ca="1">+'Summary Breakdown'!AH18</f>
        <v>277640.05669999996</v>
      </c>
      <c r="G16" s="10">
        <f ca="1">+'Summary Breakdown'!AI18</f>
        <v>326880.38161111111</v>
      </c>
      <c r="H16" s="10">
        <f ca="1">+'Summary Breakdown'!AJ18</f>
        <v>205494.54838888888</v>
      </c>
      <c r="I16" s="10"/>
      <c r="J16" s="10"/>
      <c r="K16" s="10"/>
      <c r="L16" s="10"/>
      <c r="M16" s="228"/>
      <c r="N16" s="16"/>
      <c r="O16" s="16"/>
      <c r="P16" s="16"/>
      <c r="Q16" s="235"/>
      <c r="R16" s="14"/>
      <c r="S16" s="14"/>
      <c r="T16" s="10">
        <f ca="1">E16*AB16</f>
        <v>26135.700324414385</v>
      </c>
      <c r="U16" s="139">
        <f ca="1">H16*AB16</f>
        <v>129327.2314703872</v>
      </c>
      <c r="V16" s="16"/>
      <c r="W16" s="14"/>
      <c r="X16" s="10">
        <f ca="1">E16*AC16</f>
        <v>15392.629586696725</v>
      </c>
      <c r="Y16" s="139">
        <f ca="1">H16*AC16</f>
        <v>76167.316918501689</v>
      </c>
      <c r="Z16" s="14"/>
      <c r="AA16" s="97" t="s">
        <v>892</v>
      </c>
      <c r="AB16" s="221">
        <f>+'[3]Allocators (C)'!$H$170</f>
        <v>0.62934628915625257</v>
      </c>
      <c r="AC16" s="221">
        <f>+'[3]Allocators (C)'!$I$170</f>
        <v>0.37065371084374743</v>
      </c>
      <c r="AD16" s="14">
        <f ca="1">E16-T16-X16</f>
        <v>0</v>
      </c>
      <c r="AE16" s="11">
        <f ca="1">H16-U16-Y16</f>
        <v>0</v>
      </c>
      <c r="AF16" s="14"/>
      <c r="AG16" s="143" t="s">
        <v>1029</v>
      </c>
      <c r="AH16" s="144">
        <f ca="1">AH14+AH15</f>
        <v>92742.489609601311</v>
      </c>
      <c r="AI16" s="144">
        <f ca="1">AI14+AI15</f>
        <v>402178.07785971509</v>
      </c>
      <c r="AJ16" s="13"/>
    </row>
    <row r="17" spans="1:38" ht="13.5" customHeight="1">
      <c r="B17" s="10"/>
      <c r="C17" s="10"/>
      <c r="D17" s="10"/>
      <c r="E17" s="10"/>
      <c r="F17" s="10"/>
      <c r="G17" s="10"/>
      <c r="H17" s="10"/>
      <c r="I17" s="10"/>
      <c r="J17" s="10"/>
      <c r="K17" s="10"/>
      <c r="L17" s="10"/>
      <c r="M17" s="228"/>
      <c r="N17" s="10"/>
      <c r="O17" s="10"/>
      <c r="P17" s="10"/>
      <c r="Q17" s="228"/>
      <c r="R17" s="14"/>
      <c r="S17" s="14"/>
      <c r="T17" s="10"/>
      <c r="U17" s="139"/>
      <c r="V17" s="10"/>
      <c r="W17" s="14"/>
      <c r="X17" s="10"/>
      <c r="Y17" s="10"/>
      <c r="Z17" s="14"/>
      <c r="AA17" s="97"/>
      <c r="AB17" s="15"/>
      <c r="AC17" s="15"/>
      <c r="AD17" s="14"/>
      <c r="AE17" s="11"/>
      <c r="AF17" s="19"/>
      <c r="AG17" s="12"/>
      <c r="AH17" s="11"/>
    </row>
    <row r="18" spans="1:38" ht="13.5" customHeight="1">
      <c r="A18" s="3" t="s">
        <v>127</v>
      </c>
      <c r="B18" s="10">
        <f ca="1">+'Summary Breakdown'!AD20</f>
        <v>1274928.23</v>
      </c>
      <c r="C18" s="10">
        <f ca="1">B18-D18</f>
        <v>0</v>
      </c>
      <c r="D18" s="10">
        <f ca="1">+'Summary Breakdown'!AF20</f>
        <v>1274928.23</v>
      </c>
      <c r="E18" s="10">
        <f ca="1">+'Summary Breakdown'!AG20</f>
        <v>86443.209000000003</v>
      </c>
      <c r="F18" s="10">
        <f ca="1">+'Summary Breakdown'!AH20</f>
        <v>722832.43733332283</v>
      </c>
      <c r="G18" s="10">
        <f ca="1">+'Summary Breakdown'!AI20</f>
        <v>809275.64633332309</v>
      </c>
      <c r="H18" s="10">
        <f ca="1">+'Summary Breakdown'!AJ20</f>
        <v>465652.58366667706</v>
      </c>
      <c r="I18" s="10"/>
      <c r="J18" s="10"/>
      <c r="K18" s="10"/>
      <c r="L18" s="10"/>
      <c r="M18" s="228"/>
      <c r="N18" s="10"/>
      <c r="O18" s="10"/>
      <c r="P18" s="10"/>
      <c r="Q18" s="228"/>
      <c r="R18" s="11"/>
      <c r="S18" s="11"/>
      <c r="T18" s="10">
        <f ca="1">E18</f>
        <v>86443.209000000003</v>
      </c>
      <c r="U18" s="139">
        <f ca="1">H18</f>
        <v>465652.58366667706</v>
      </c>
      <c r="V18" s="10"/>
      <c r="W18" s="11"/>
      <c r="X18" s="10"/>
      <c r="Y18" s="10"/>
      <c r="Z18" s="11"/>
      <c r="AA18" s="97" t="s">
        <v>1013</v>
      </c>
      <c r="AB18" s="15"/>
      <c r="AC18" s="15"/>
      <c r="AD18" s="14">
        <f ca="1">E18-T18-X18</f>
        <v>0</v>
      </c>
      <c r="AE18" s="11">
        <f ca="1">H18-U18-Y18</f>
        <v>0</v>
      </c>
      <c r="AF18" s="14"/>
      <c r="AG18" s="12" t="s">
        <v>982</v>
      </c>
      <c r="AH18" s="11" t="e">
        <f>#REF!</f>
        <v>#REF!</v>
      </c>
      <c r="AI18" s="11" t="e">
        <f>#REF!</f>
        <v>#REF!</v>
      </c>
      <c r="AJ18" s="13"/>
    </row>
    <row r="19" spans="1:38" ht="13.5" customHeight="1">
      <c r="B19" s="10"/>
      <c r="C19" s="10"/>
      <c r="D19" s="10"/>
      <c r="E19" s="10"/>
      <c r="F19" s="10"/>
      <c r="G19" s="10"/>
      <c r="H19" s="10"/>
      <c r="I19" s="10"/>
      <c r="J19" s="10"/>
      <c r="K19" s="10"/>
      <c r="L19" s="10"/>
      <c r="M19" s="228"/>
      <c r="N19" s="10"/>
      <c r="O19" s="10"/>
      <c r="P19" s="10"/>
      <c r="Q19" s="228"/>
      <c r="R19" s="11"/>
      <c r="S19" s="11"/>
      <c r="T19" s="10"/>
      <c r="U19" s="139"/>
      <c r="V19" s="10"/>
      <c r="W19" s="11"/>
      <c r="X19" s="10"/>
      <c r="Y19" s="10"/>
      <c r="Z19" s="11"/>
      <c r="AA19" s="18"/>
      <c r="AB19" s="15"/>
      <c r="AC19" s="15"/>
      <c r="AD19" s="11"/>
      <c r="AE19" s="11"/>
      <c r="AF19" s="19"/>
      <c r="AG19" s="12" t="s">
        <v>411</v>
      </c>
      <c r="AH19" s="11">
        <f ca="1">SUM($T$12,$T$16)*AM11</f>
        <v>18947.748827484585</v>
      </c>
      <c r="AI19" s="11">
        <f ca="1">SUM($U$12,$U$16)*AM11</f>
        <v>95695.572392436166</v>
      </c>
      <c r="AJ19" s="13" t="s">
        <v>892</v>
      </c>
      <c r="AK19" s="20"/>
    </row>
    <row r="20" spans="1:38" ht="13.5" customHeight="1">
      <c r="A20" s="3" t="s">
        <v>1276</v>
      </c>
      <c r="B20" s="10">
        <f ca="1">+'Summary Breakdown'!AD22</f>
        <v>11455893.039772727</v>
      </c>
      <c r="C20" s="10">
        <f ca="1">B20-D20</f>
        <v>448.31199999898672</v>
      </c>
      <c r="D20" s="10">
        <f ca="1">+'Summary Breakdown'!AF22</f>
        <v>11455444.727772728</v>
      </c>
      <c r="E20" s="10">
        <f ca="1">+'Summary Breakdown'!AG22</f>
        <v>532146.31400259736</v>
      </c>
      <c r="F20" s="10">
        <f ca="1">+'Summary Breakdown'!AH22</f>
        <v>9629611.7335122637</v>
      </c>
      <c r="G20" s="10">
        <f ca="1">+'Summary Breakdown'!AI22</f>
        <v>10264111.039885245</v>
      </c>
      <c r="H20" s="10">
        <f ca="1">+'Summary Breakdown'!AJ22</f>
        <v>1191781.9998874816</v>
      </c>
      <c r="I20" s="10"/>
      <c r="J20" s="10"/>
      <c r="K20" s="10"/>
      <c r="L20" s="10"/>
      <c r="M20" s="228"/>
      <c r="N20" s="10"/>
      <c r="O20" s="10"/>
      <c r="P20" s="10"/>
      <c r="Q20" s="228"/>
      <c r="R20" s="11"/>
      <c r="S20" s="11"/>
      <c r="T20" s="10">
        <f ca="1">E20*AB20</f>
        <v>388650.7340043342</v>
      </c>
      <c r="U20" s="139">
        <f ca="1">H20*AB20</f>
        <v>870412.77340720675</v>
      </c>
      <c r="V20" s="16"/>
      <c r="W20" s="14"/>
      <c r="X20" s="10">
        <f ca="1">E20*AC20</f>
        <v>143495.57999826313</v>
      </c>
      <c r="Y20" s="139">
        <f ca="1">H20*AC20</f>
        <v>321369.22648027475</v>
      </c>
      <c r="Z20" s="11"/>
      <c r="AA20" s="97" t="s">
        <v>1320</v>
      </c>
      <c r="AB20" s="221">
        <f>+'[3]Allocators (C)'!$M$90</f>
        <v>0.73034562821840243</v>
      </c>
      <c r="AC20" s="221">
        <f>+'[3]Allocators (C)'!$N$90</f>
        <v>0.26965437178159751</v>
      </c>
      <c r="AD20" s="14">
        <f ca="1">E20-T20-X20</f>
        <v>0</v>
      </c>
      <c r="AE20" s="11">
        <f ca="1">H20-U20-Y20</f>
        <v>0</v>
      </c>
      <c r="AF20" s="14"/>
      <c r="AG20" s="12" t="s">
        <v>88</v>
      </c>
      <c r="AH20" s="11">
        <f ca="1">T18</f>
        <v>86443.209000000003</v>
      </c>
      <c r="AI20" s="11">
        <f ca="1">U18</f>
        <v>465652.58366667706</v>
      </c>
    </row>
    <row r="21" spans="1:38" ht="13.5" customHeight="1">
      <c r="B21" s="10"/>
      <c r="C21" s="10"/>
      <c r="D21" s="10"/>
      <c r="E21" s="10"/>
      <c r="F21" s="10"/>
      <c r="G21" s="10"/>
      <c r="H21" s="10"/>
      <c r="I21" s="10"/>
      <c r="J21" s="10"/>
      <c r="K21" s="10"/>
      <c r="L21" s="10"/>
      <c r="M21" s="228"/>
      <c r="N21" s="10"/>
      <c r="O21" s="10"/>
      <c r="P21" s="10"/>
      <c r="Q21" s="228"/>
      <c r="R21" s="11"/>
      <c r="S21" s="11"/>
      <c r="T21" s="10"/>
      <c r="U21" s="139"/>
      <c r="V21" s="10"/>
      <c r="W21" s="11"/>
      <c r="X21" s="10"/>
      <c r="Y21" s="10"/>
      <c r="Z21" s="11"/>
      <c r="AA21" s="18"/>
      <c r="AB21" s="15"/>
      <c r="AC21" s="15"/>
      <c r="AD21" s="11"/>
      <c r="AE21" s="11"/>
      <c r="AF21" s="19"/>
      <c r="AG21" s="3" t="s">
        <v>1025</v>
      </c>
      <c r="AH21" s="11">
        <f ca="1">$T$10*AM48</f>
        <v>18435.040006701667</v>
      </c>
      <c r="AI21" s="11">
        <f ca="1">$U$10*AM48</f>
        <v>95389.05420464206</v>
      </c>
      <c r="AJ21" s="13" t="s">
        <v>889</v>
      </c>
    </row>
    <row r="22" spans="1:38" ht="13.5" customHeight="1" thickBot="1">
      <c r="A22" s="3" t="s">
        <v>160</v>
      </c>
      <c r="B22" s="10">
        <f ca="1">+'Summary Breakdown'!AD24</f>
        <v>38686.662499999999</v>
      </c>
      <c r="C22" s="10">
        <f ca="1">B22-D22</f>
        <v>897.59999999999854</v>
      </c>
      <c r="D22" s="10">
        <f ca="1">+'Summary Breakdown'!AF24</f>
        <v>37789.0625</v>
      </c>
      <c r="E22" s="10">
        <f ca="1">+'Summary Breakdown'!AG24</f>
        <v>709.92000000000007</v>
      </c>
      <c r="F22" s="10">
        <f ca="1">+'Summary Breakdown'!AH24</f>
        <v>36201.942499999997</v>
      </c>
      <c r="G22" s="10">
        <f ca="1">+'Summary Breakdown'!AI24</f>
        <v>36911.862499999996</v>
      </c>
      <c r="H22" s="10">
        <f ca="1">+'Summary Breakdown'!AJ24</f>
        <v>1774.8000000000002</v>
      </c>
      <c r="I22" s="10"/>
      <c r="J22" s="10"/>
      <c r="K22" s="10"/>
      <c r="L22" s="10"/>
      <c r="M22" s="228"/>
      <c r="N22" s="10"/>
      <c r="O22" s="10"/>
      <c r="P22" s="10"/>
      <c r="Q22" s="228"/>
      <c r="R22" s="11"/>
      <c r="S22" s="11"/>
      <c r="T22" s="10">
        <f ca="1">E22</f>
        <v>709.92000000000007</v>
      </c>
      <c r="U22" s="139">
        <f ca="1">H22</f>
        <v>1774.8000000000002</v>
      </c>
      <c r="V22" s="10"/>
      <c r="W22" s="11"/>
      <c r="X22" s="10"/>
      <c r="Y22" s="10"/>
      <c r="Z22" s="11"/>
      <c r="AA22" s="97" t="s">
        <v>922</v>
      </c>
      <c r="AB22" s="15"/>
      <c r="AC22" s="15"/>
      <c r="AD22" s="14">
        <f ca="1">E22-T22-X22</f>
        <v>0</v>
      </c>
      <c r="AE22" s="11">
        <f ca="1">H22-U22-Y22</f>
        <v>0</v>
      </c>
      <c r="AF22" s="14"/>
      <c r="AG22" s="143" t="s">
        <v>1031</v>
      </c>
      <c r="AH22" s="144" t="e">
        <f>SUM(AH18:AH21)</f>
        <v>#REF!</v>
      </c>
      <c r="AI22" s="144" t="e">
        <f>SUM(AI18:AI21)</f>
        <v>#REF!</v>
      </c>
    </row>
    <row r="23" spans="1:38" ht="13.5" customHeight="1">
      <c r="B23" s="10"/>
      <c r="C23" s="10"/>
      <c r="D23" s="10"/>
      <c r="E23" s="10"/>
      <c r="G23" s="10"/>
      <c r="H23" s="10"/>
      <c r="I23" s="10"/>
      <c r="J23" s="10"/>
      <c r="K23" s="10"/>
      <c r="L23" s="10"/>
      <c r="M23" s="228"/>
      <c r="N23" s="10"/>
      <c r="O23" s="10"/>
      <c r="P23" s="10"/>
      <c r="Q23" s="228"/>
      <c r="R23" s="11"/>
      <c r="S23" s="11"/>
      <c r="T23" s="10"/>
      <c r="U23" s="139"/>
      <c r="V23" s="10"/>
      <c r="W23" s="11"/>
      <c r="X23" s="10"/>
      <c r="Y23" s="10"/>
      <c r="Z23" s="11"/>
      <c r="AA23" s="18"/>
      <c r="AB23" s="15"/>
      <c r="AC23" s="15"/>
      <c r="AD23" s="11"/>
      <c r="AE23" s="18"/>
      <c r="AF23" s="14"/>
      <c r="AG23" s="155"/>
      <c r="AH23" s="14"/>
      <c r="AI23" s="14"/>
    </row>
    <row r="24" spans="1:38" ht="13.5" customHeight="1">
      <c r="A24" s="3" t="s">
        <v>1234</v>
      </c>
      <c r="B24" s="10">
        <f ca="1">+'Summary Breakdown'!AD26</f>
        <v>46580</v>
      </c>
      <c r="C24" s="10">
        <f ca="1">B24-D24</f>
        <v>0</v>
      </c>
      <c r="D24" s="10">
        <f ca="1">+'Summary Breakdown'!AF26</f>
        <v>46580</v>
      </c>
      <c r="E24" s="10">
        <f ca="1">+'Summary Breakdown'!AG26</f>
        <v>1537.1399999999999</v>
      </c>
      <c r="F24" s="10">
        <f ca="1">+'Summary Breakdown'!AH26</f>
        <v>41200.01</v>
      </c>
      <c r="G24" s="10">
        <f ca="1">+'Summary Breakdown'!AI26</f>
        <v>42737.15</v>
      </c>
      <c r="H24" s="10">
        <f ca="1">+'Summary Breakdown'!AJ26</f>
        <v>3842.8500000000004</v>
      </c>
      <c r="I24" s="10"/>
      <c r="J24" s="10"/>
      <c r="K24" s="10"/>
      <c r="L24" s="10"/>
      <c r="M24" s="228"/>
      <c r="N24" s="10"/>
      <c r="O24" s="10"/>
      <c r="P24" s="10"/>
      <c r="Q24" s="228"/>
      <c r="R24" s="11"/>
      <c r="S24" s="11"/>
      <c r="T24" s="10">
        <f ca="1">E24*AB24</f>
        <v>1160.8158194109469</v>
      </c>
      <c r="U24" s="139">
        <f ca="1">H24*AB24</f>
        <v>2902.039548527368</v>
      </c>
      <c r="V24" s="10"/>
      <c r="W24" s="11"/>
      <c r="X24" s="10">
        <f ca="1">E24*AC24</f>
        <v>376.32418058905301</v>
      </c>
      <c r="Y24" s="139">
        <f ca="1">H24*AC24</f>
        <v>940.81045147263274</v>
      </c>
      <c r="Z24" s="11"/>
      <c r="AA24" s="97" t="s">
        <v>1319</v>
      </c>
      <c r="AB24" s="15">
        <f>+'[3]Allocators (C)'!$H$78</f>
        <v>0.75517898136210559</v>
      </c>
      <c r="AC24" s="15">
        <f>+'[3]Allocators (C)'!$I$78</f>
        <v>0.24482101863789443</v>
      </c>
      <c r="AD24" s="14">
        <f ca="1">E24-T24-X24</f>
        <v>0</v>
      </c>
      <c r="AE24" s="11">
        <f ca="1">H24-U24-Y24</f>
        <v>0</v>
      </c>
      <c r="AF24" s="19"/>
      <c r="AJ24" s="1"/>
    </row>
    <row r="25" spans="1:38" ht="13.5" customHeight="1">
      <c r="B25" s="10"/>
      <c r="C25" s="10"/>
      <c r="D25" s="10"/>
      <c r="E25" s="10"/>
      <c r="F25" s="10"/>
      <c r="G25" s="10"/>
      <c r="H25" s="10"/>
      <c r="I25" s="10"/>
      <c r="J25" s="10"/>
      <c r="K25" s="10"/>
      <c r="L25" s="10"/>
      <c r="M25" s="228"/>
      <c r="N25" s="10"/>
      <c r="O25" s="10"/>
      <c r="P25" s="10"/>
      <c r="Q25" s="228"/>
      <c r="R25" s="11"/>
      <c r="S25" s="11"/>
      <c r="T25" s="10"/>
      <c r="U25" s="10"/>
      <c r="V25" s="10"/>
      <c r="W25" s="11"/>
      <c r="X25" s="10"/>
      <c r="Y25" s="10"/>
      <c r="Z25" s="11"/>
      <c r="AA25" s="18"/>
      <c r="AB25" s="15"/>
      <c r="AC25" s="15"/>
      <c r="AD25" s="11"/>
      <c r="AE25" s="18"/>
      <c r="AF25" s="19"/>
      <c r="AJ25" s="1"/>
    </row>
    <row r="26" spans="1:38" ht="13.5" customHeight="1" thickBot="1">
      <c r="A26" s="24" t="s">
        <v>50</v>
      </c>
      <c r="B26" s="25">
        <f t="shared" ref="B26:H26" ca="1" si="0">SUM(B8:B25)</f>
        <v>41955092.537272714</v>
      </c>
      <c r="C26" s="25">
        <f t="shared" ca="1" si="0"/>
        <v>2436.9247999986619</v>
      </c>
      <c r="D26" s="25">
        <f t="shared" ca="1" si="0"/>
        <v>41952655.612472713</v>
      </c>
      <c r="E26" s="25">
        <f ca="1">SUM(E8:E25)</f>
        <v>3226717.4361070991</v>
      </c>
      <c r="F26" s="25">
        <f t="shared" ca="1" si="0"/>
        <v>21240629.150485571</v>
      </c>
      <c r="G26" s="25">
        <f t="shared" ca="1" si="0"/>
        <v>24499296.462007497</v>
      </c>
      <c r="H26" s="25">
        <f t="shared" ca="1" si="0"/>
        <v>16266896.032848565</v>
      </c>
      <c r="I26" s="226"/>
      <c r="J26" s="26">
        <f>SUM(J8:J24)</f>
        <v>0</v>
      </c>
      <c r="K26" s="26">
        <f>SUM(K8:K24)</f>
        <v>0</v>
      </c>
      <c r="L26" s="23"/>
      <c r="M26" s="229"/>
      <c r="N26" s="26">
        <f>SUM(N8:N24)</f>
        <v>0</v>
      </c>
      <c r="O26" s="25">
        <f>SUM(O8:O24)</f>
        <v>0</v>
      </c>
      <c r="P26" s="23"/>
      <c r="Q26" s="229"/>
      <c r="R26" s="32">
        <f ca="1">+B26-'2111 Trks'!M272</f>
        <v>18507234.169999994</v>
      </c>
      <c r="S26" s="11"/>
      <c r="T26" s="26">
        <f ca="1">SUM(T8:T24)</f>
        <v>2284847.7783302641</v>
      </c>
      <c r="U26" s="26">
        <f ca="1">SUM(U8:U24)</f>
        <v>11484610.621106714</v>
      </c>
      <c r="V26" s="23"/>
      <c r="W26" s="11"/>
      <c r="X26" s="26">
        <f ca="1">SUM(X8:X24)</f>
        <v>941869.65777683537</v>
      </c>
      <c r="Y26" s="26">
        <f ca="1">SUM(Y8:Y24)</f>
        <v>4782285.411741849</v>
      </c>
      <c r="Z26" s="11"/>
      <c r="AA26" s="18"/>
      <c r="AB26" s="15"/>
      <c r="AC26" s="15"/>
      <c r="AD26" s="11"/>
      <c r="AF26" s="11"/>
      <c r="AG26" s="12" t="s">
        <v>995</v>
      </c>
      <c r="AH26" s="11">
        <f ca="1">T22</f>
        <v>709.92000000000007</v>
      </c>
      <c r="AI26" s="11">
        <f ca="1">U22</f>
        <v>1774.8000000000002</v>
      </c>
      <c r="AL26" s="11"/>
    </row>
    <row r="27" spans="1:38" ht="13.5" customHeight="1">
      <c r="B27" s="27"/>
      <c r="C27" s="27"/>
      <c r="D27" s="27"/>
      <c r="E27" s="27">
        <f ca="1">+'Summary Breakdown'!AG28-Summary!E26</f>
        <v>0</v>
      </c>
      <c r="F27" s="27"/>
      <c r="G27" s="27"/>
      <c r="H27" s="27">
        <f ca="1">+'Summary Breakdown'!AJ28-Summary!H26</f>
        <v>0</v>
      </c>
      <c r="I27" s="10"/>
      <c r="J27" s="10"/>
      <c r="K27" s="10"/>
      <c r="L27" s="10"/>
      <c r="M27" s="228"/>
      <c r="N27" s="27"/>
      <c r="O27" s="27"/>
      <c r="P27" s="10"/>
      <c r="Q27" s="228"/>
      <c r="T27" s="10"/>
      <c r="U27" s="27"/>
      <c r="V27" s="10"/>
      <c r="X27" s="10"/>
      <c r="Y27" s="27"/>
      <c r="AA27" s="20"/>
      <c r="AB27" s="15"/>
      <c r="AC27" s="15"/>
      <c r="AF27" s="23"/>
      <c r="AG27" s="12"/>
      <c r="AH27" s="21"/>
    </row>
    <row r="28" spans="1:38" ht="13.5" customHeight="1">
      <c r="A28" s="1" t="s">
        <v>129</v>
      </c>
      <c r="B28" s="27"/>
      <c r="C28" s="27"/>
      <c r="D28" s="27"/>
      <c r="E28" s="27"/>
      <c r="F28" s="27"/>
      <c r="G28" s="27"/>
      <c r="H28" s="10"/>
      <c r="I28" s="10"/>
      <c r="J28" s="10"/>
      <c r="K28" s="10"/>
      <c r="L28" s="10"/>
      <c r="M28" s="228"/>
      <c r="N28" s="27"/>
      <c r="O28" s="27"/>
      <c r="P28" s="10"/>
      <c r="Q28" s="228"/>
      <c r="T28" s="10"/>
      <c r="U28" s="27"/>
      <c r="V28" s="10"/>
      <c r="X28" s="10"/>
      <c r="Y28" s="27"/>
      <c r="AA28" s="20"/>
      <c r="AB28" s="15"/>
      <c r="AC28" s="15"/>
      <c r="AF28" s="23"/>
      <c r="AG28" s="12"/>
      <c r="AH28" s="21"/>
    </row>
    <row r="29" spans="1:38" ht="13.5" customHeight="1">
      <c r="A29" s="1"/>
      <c r="B29" s="27"/>
      <c r="C29" s="27"/>
      <c r="D29" s="27"/>
      <c r="E29" s="27"/>
      <c r="F29" s="27"/>
      <c r="G29" s="27"/>
      <c r="H29" s="10"/>
      <c r="I29" s="10"/>
      <c r="J29" s="10"/>
      <c r="K29" s="10"/>
      <c r="L29" s="10"/>
      <c r="M29" s="228"/>
      <c r="N29" s="27"/>
      <c r="O29" s="27"/>
      <c r="P29" s="10"/>
      <c r="Q29" s="228"/>
      <c r="T29" s="10"/>
      <c r="U29" s="27"/>
      <c r="V29" s="10"/>
      <c r="X29" s="10"/>
      <c r="Y29" s="27"/>
      <c r="AA29" s="20"/>
      <c r="AB29" s="15"/>
      <c r="AC29" s="15"/>
      <c r="AF29" s="23"/>
      <c r="AG29" s="12"/>
      <c r="AH29" s="21"/>
    </row>
    <row r="30" spans="1:38" ht="13.5" customHeight="1">
      <c r="A30" s="3" t="s">
        <v>1341</v>
      </c>
      <c r="B30" s="10">
        <f ca="1">+'Summary Breakdown'!AD32</f>
        <v>3297452.5200000005</v>
      </c>
      <c r="C30" s="10">
        <f ca="1">B30-D30</f>
        <v>0</v>
      </c>
      <c r="D30" s="10">
        <f ca="1">+'Summary Breakdown'!AF32</f>
        <v>3297452.5200000005</v>
      </c>
      <c r="E30" s="10">
        <f ca="1">+'Summary Breakdown'!AG32</f>
        <v>182970.51749999993</v>
      </c>
      <c r="F30" s="10">
        <f ca="1">+'Summary Breakdown'!AH32</f>
        <v>1856600.3727360968</v>
      </c>
      <c r="G30" s="10">
        <f ca="1">+'Summary Breakdown'!AI32</f>
        <v>1953771.4612360969</v>
      </c>
      <c r="H30" s="10">
        <f ca="1">+'Summary Breakdown'!AJ32</f>
        <v>1255889.4101805682</v>
      </c>
      <c r="I30" s="10"/>
      <c r="J30" s="10"/>
      <c r="K30" s="10"/>
      <c r="L30" s="10"/>
      <c r="M30" s="228"/>
      <c r="N30" s="10"/>
      <c r="O30" s="10"/>
      <c r="P30" s="10"/>
      <c r="Q30" s="228"/>
      <c r="T30" s="10">
        <f ca="1">E30*AB30</f>
        <v>126986.14759426296</v>
      </c>
      <c r="U30" s="10">
        <f ca="1">H30*AB30</f>
        <v>871618.88255172898</v>
      </c>
      <c r="V30" s="10"/>
      <c r="W30" s="14"/>
      <c r="X30" s="139">
        <f ca="1">E30*AC30</f>
        <v>55984.369905736974</v>
      </c>
      <c r="Y30" s="139">
        <f ca="1">H30*AC30</f>
        <v>384270.52762883937</v>
      </c>
      <c r="Z30" s="14"/>
      <c r="AA30" s="97" t="s">
        <v>890</v>
      </c>
      <c r="AB30" s="221">
        <f>'[3]Allocators (C)'!$H$29</f>
        <v>0.6940251868406232</v>
      </c>
      <c r="AC30" s="221">
        <f>'[3]Allocators (C)'!$I$29</f>
        <v>0.30597481315937686</v>
      </c>
      <c r="AD30" s="14">
        <f ca="1">E30-T30-X30</f>
        <v>0</v>
      </c>
      <c r="AE30" s="11">
        <f ca="1">H30-U30-Y30</f>
        <v>0</v>
      </c>
      <c r="AF30" s="19"/>
      <c r="AG30" s="12" t="s">
        <v>387</v>
      </c>
      <c r="AH30" s="11" t="e">
        <f>#REF!</f>
        <v>#REF!</v>
      </c>
      <c r="AI30" s="11" t="e">
        <f>#REF!</f>
        <v>#REF!</v>
      </c>
    </row>
    <row r="31" spans="1:38" ht="13.5" customHeight="1">
      <c r="B31" s="10"/>
      <c r="C31" s="27"/>
      <c r="D31" s="27"/>
      <c r="E31" s="27"/>
      <c r="F31" s="27"/>
      <c r="G31" s="27"/>
      <c r="H31" s="10"/>
      <c r="I31" s="10"/>
      <c r="J31" s="10"/>
      <c r="K31" s="10"/>
      <c r="L31" s="10"/>
      <c r="M31" s="228"/>
      <c r="N31" s="10"/>
      <c r="O31" s="10"/>
      <c r="P31" s="10"/>
      <c r="Q31" s="228"/>
      <c r="T31" s="10"/>
      <c r="U31" s="10"/>
      <c r="V31" s="10"/>
      <c r="W31" s="14"/>
      <c r="X31" s="139"/>
      <c r="Y31" s="139"/>
      <c r="Z31" s="14"/>
      <c r="AA31" s="97"/>
      <c r="AB31" s="11"/>
      <c r="AC31" s="11"/>
      <c r="AD31" s="14"/>
      <c r="AE31" s="11"/>
      <c r="AG31" s="3" t="s">
        <v>1025</v>
      </c>
      <c r="AH31" s="11">
        <f ca="1">$T$10*AN48</f>
        <v>6201.3816118450113</v>
      </c>
      <c r="AI31" s="11">
        <f ca="1">$U$10*AN48</f>
        <v>32088.019689727338</v>
      </c>
      <c r="AJ31" s="13" t="s">
        <v>889</v>
      </c>
    </row>
    <row r="32" spans="1:38" ht="13.5" customHeight="1" thickBot="1">
      <c r="A32" s="3" t="s">
        <v>1019</v>
      </c>
      <c r="B32" s="10">
        <f ca="1">+'Summary Breakdown'!AD34</f>
        <v>3914747.0300000003</v>
      </c>
      <c r="C32" s="10">
        <f ca="1">B32-D32</f>
        <v>0</v>
      </c>
      <c r="D32" s="10">
        <f ca="1">+'Summary Breakdown'!AF34</f>
        <v>3914747.0300000003</v>
      </c>
      <c r="E32" s="10">
        <f ca="1">+'Summary Breakdown'!AG34</f>
        <v>320712.56571428571</v>
      </c>
      <c r="F32" s="10">
        <f ca="1">+'Summary Breakdown'!AH34</f>
        <v>2352140.7885714103</v>
      </c>
      <c r="G32" s="10">
        <f ca="1">+'Summary Breakdown'!AI34</f>
        <v>2686613.5419047461</v>
      </c>
      <c r="H32" s="10">
        <f ca="1">+'Summary Breakdown'!AJ34</f>
        <v>1228133.4880952537</v>
      </c>
      <c r="I32" s="10"/>
      <c r="J32" s="10"/>
      <c r="K32" s="10"/>
      <c r="L32" s="10"/>
      <c r="M32" s="228"/>
      <c r="N32" s="10"/>
      <c r="O32" s="10"/>
      <c r="P32" s="10"/>
      <c r="Q32" s="228"/>
      <c r="T32" s="10">
        <f ca="1">E32*AB32</f>
        <v>215419.84533510247</v>
      </c>
      <c r="U32" s="10">
        <f ca="1">H32*AB32</f>
        <v>824926.59889114788</v>
      </c>
      <c r="V32" s="10"/>
      <c r="W32" s="14"/>
      <c r="X32" s="139">
        <f ca="1">E32*AC32</f>
        <v>105292.72037918324</v>
      </c>
      <c r="Y32" s="139">
        <f ca="1">H32*AC32</f>
        <v>403206.88920410589</v>
      </c>
      <c r="Z32" s="14"/>
      <c r="AA32" s="97" t="s">
        <v>890</v>
      </c>
      <c r="AB32" s="221">
        <f>'[3]Allocators (C)'!$H$28</f>
        <v>0.67169131603971599</v>
      </c>
      <c r="AC32" s="221">
        <f>'[3]Allocators (C)'!$I$28</f>
        <v>0.32830868396028401</v>
      </c>
      <c r="AD32" s="14">
        <f ca="1">E32-T32-X32</f>
        <v>0</v>
      </c>
      <c r="AE32" s="11">
        <f ca="1">H32-U32-Y32</f>
        <v>0</v>
      </c>
      <c r="AG32" s="143" t="s">
        <v>1030</v>
      </c>
      <c r="AH32" s="144" t="e">
        <f>SUM(AH30:AH31)</f>
        <v>#REF!</v>
      </c>
      <c r="AI32" s="144" t="e">
        <f>SUM(AI30:AI31)</f>
        <v>#REF!</v>
      </c>
      <c r="AK32" s="11"/>
    </row>
    <row r="33" spans="1:42" ht="13.5" customHeight="1">
      <c r="B33" s="27"/>
      <c r="C33" s="27"/>
      <c r="D33" s="27"/>
      <c r="E33" s="27"/>
      <c r="F33" s="27"/>
      <c r="G33" s="27"/>
      <c r="H33" s="10"/>
      <c r="I33" s="10"/>
      <c r="J33" s="10"/>
      <c r="K33" s="10"/>
      <c r="L33" s="10"/>
      <c r="M33" s="228"/>
      <c r="N33" s="10"/>
      <c r="O33" s="10"/>
      <c r="P33" s="10"/>
      <c r="Q33" s="228"/>
      <c r="T33" s="10"/>
      <c r="U33" s="10"/>
      <c r="V33" s="10"/>
      <c r="X33" s="139"/>
      <c r="Y33" s="139"/>
      <c r="AA33" s="97"/>
      <c r="AB33" s="160"/>
      <c r="AC33" s="160"/>
    </row>
    <row r="34" spans="1:42" ht="13.5" customHeight="1">
      <c r="A34" s="3" t="s">
        <v>130</v>
      </c>
      <c r="B34" s="10">
        <f ca="1">+'Summary Breakdown'!AD36</f>
        <v>3646481.6499999985</v>
      </c>
      <c r="C34" s="10">
        <f ca="1">B34-D34</f>
        <v>0</v>
      </c>
      <c r="D34" s="10">
        <f ca="1">+'Summary Breakdown'!AF36</f>
        <v>3646481.6499999985</v>
      </c>
      <c r="E34" s="10">
        <f ca="1">+'Summary Breakdown'!AG36</f>
        <v>140485.25464285715</v>
      </c>
      <c r="F34" s="10">
        <f ca="1">+'Summary Breakdown'!AH36</f>
        <v>2920767.7753908625</v>
      </c>
      <c r="G34" s="10">
        <f ca="1">+'Summary Breakdown'!AI36</f>
        <v>3064985.5325099104</v>
      </c>
      <c r="H34" s="10">
        <f ca="1">+'Summary Breakdown'!AJ36</f>
        <v>581496.1174900888</v>
      </c>
      <c r="I34" s="10"/>
      <c r="J34" s="10"/>
      <c r="K34" s="10"/>
      <c r="L34" s="10"/>
      <c r="M34" s="228"/>
      <c r="N34" s="16"/>
      <c r="O34" s="16"/>
      <c r="P34" s="16"/>
      <c r="Q34" s="235"/>
      <c r="T34" s="10">
        <f ca="1">E34*AB34</f>
        <v>112150.92709486291</v>
      </c>
      <c r="U34" s="10">
        <f ca="1">H34*AB34</f>
        <v>464214.7593665098</v>
      </c>
      <c r="V34" s="16"/>
      <c r="W34" s="14"/>
      <c r="X34" s="139">
        <f ca="1">E34*AC34</f>
        <v>28334.327547994246</v>
      </c>
      <c r="Y34" s="139">
        <f ca="1">H34*AC34</f>
        <v>117281.35812357902</v>
      </c>
      <c r="Z34" s="14"/>
      <c r="AA34" s="97" t="s">
        <v>890</v>
      </c>
      <c r="AB34" s="221">
        <f>'[3]Allocators (C)'!$H$35</f>
        <v>0.79831102118136155</v>
      </c>
      <c r="AC34" s="221">
        <f>'[3]Allocators (C)'!$I$35</f>
        <v>0.20168897881863845</v>
      </c>
      <c r="AD34" s="14">
        <f ca="1">E34-T34-X34</f>
        <v>0</v>
      </c>
      <c r="AE34" s="11">
        <f ca="1">H34-U34-Y34</f>
        <v>0</v>
      </c>
      <c r="AF34" s="17"/>
      <c r="AG34" s="22" t="s">
        <v>50</v>
      </c>
      <c r="AH34" s="37" t="e">
        <f ca="1">AH12+AH16+AH22+AH32+AH26</f>
        <v>#REF!</v>
      </c>
      <c r="AI34" s="37" t="e">
        <f ca="1">AI12+AI16+AI22+AI32+AI26</f>
        <v>#REF!</v>
      </c>
    </row>
    <row r="35" spans="1:42" ht="13.5" customHeight="1">
      <c r="B35" s="27"/>
      <c r="C35" s="27"/>
      <c r="D35" s="27"/>
      <c r="E35" s="27"/>
      <c r="F35" s="27"/>
      <c r="G35" s="27"/>
      <c r="H35" s="10"/>
      <c r="I35" s="10"/>
      <c r="J35" s="10"/>
      <c r="K35" s="10"/>
      <c r="L35" s="10"/>
      <c r="M35" s="228"/>
      <c r="N35" s="10"/>
      <c r="O35" s="10"/>
      <c r="P35" s="10"/>
      <c r="Q35" s="228"/>
      <c r="T35" s="10"/>
      <c r="U35" s="10"/>
      <c r="V35" s="10"/>
      <c r="X35" s="139"/>
      <c r="Y35" s="139"/>
      <c r="AA35" s="97"/>
      <c r="AB35" s="160"/>
      <c r="AC35" s="160"/>
      <c r="AF35" s="17"/>
      <c r="AH35" s="11" t="e">
        <f ca="1">AH34-T26</f>
        <v>#REF!</v>
      </c>
      <c r="AI35" s="11" t="e">
        <f ca="1">AI34-U26</f>
        <v>#REF!</v>
      </c>
    </row>
    <row r="36" spans="1:42" ht="13.5" customHeight="1">
      <c r="A36" s="3" t="s">
        <v>1012</v>
      </c>
      <c r="B36" s="10">
        <f ca="1">+'Summary Breakdown'!AD38</f>
        <v>1292121.31</v>
      </c>
      <c r="C36" s="10">
        <f ca="1">B36-D36</f>
        <v>0</v>
      </c>
      <c r="D36" s="10">
        <f ca="1">+'Summary Breakdown'!AF38</f>
        <v>1292121.31</v>
      </c>
      <c r="E36" s="10">
        <f ca="1">+'Summary Breakdown'!AG38</f>
        <v>2793.7889999999998</v>
      </c>
      <c r="F36" s="10">
        <f ca="1">+'Summary Breakdown'!AH38</f>
        <v>1284519.5335833321</v>
      </c>
      <c r="G36" s="10">
        <f ca="1">+'Summary Breakdown'!AI38</f>
        <v>1291888.4942499998</v>
      </c>
      <c r="H36" s="10">
        <f ca="1">+'Summary Breakdown'!AJ38</f>
        <v>232.81575000042358</v>
      </c>
      <c r="I36" s="10"/>
      <c r="J36" s="10"/>
      <c r="K36" s="10"/>
      <c r="L36" s="10"/>
      <c r="M36" s="228"/>
      <c r="N36" s="10">
        <f>'[5]2132 Cont, DB'!$Q$45</f>
        <v>12735.399014778326</v>
      </c>
      <c r="O36" s="10">
        <f>'[5]2132 Cont, DB'!$U$45</f>
        <v>39352.382955665016</v>
      </c>
      <c r="P36" s="16"/>
      <c r="Q36" s="235"/>
      <c r="T36" s="10">
        <f ca="1">E36*AB36</f>
        <v>2793.7889999999998</v>
      </c>
      <c r="U36" s="10">
        <f ca="1">H36*AB36</f>
        <v>232.81575000042358</v>
      </c>
      <c r="V36" s="16"/>
      <c r="W36" s="14"/>
      <c r="X36" s="139">
        <f ca="1">E36*AC36</f>
        <v>0</v>
      </c>
      <c r="Y36" s="139">
        <f ca="1">H36*AC36</f>
        <v>0</v>
      </c>
      <c r="Z36" s="14"/>
      <c r="AA36" s="97" t="s">
        <v>1013</v>
      </c>
      <c r="AB36" s="221">
        <v>1</v>
      </c>
      <c r="AC36" s="221">
        <v>0</v>
      </c>
      <c r="AD36" s="14">
        <f ca="1">E36-T36-X36</f>
        <v>0</v>
      </c>
      <c r="AE36" s="11">
        <f ca="1">H36-U36-Y36</f>
        <v>0</v>
      </c>
      <c r="AF36" s="17"/>
      <c r="AG36" s="9" t="s">
        <v>129</v>
      </c>
    </row>
    <row r="37" spans="1:42" ht="13.5" customHeight="1">
      <c r="B37" s="27"/>
      <c r="C37" s="27"/>
      <c r="D37" s="27"/>
      <c r="E37" s="27"/>
      <c r="F37" s="27"/>
      <c r="G37" s="27"/>
      <c r="H37" s="10"/>
      <c r="I37" s="10"/>
      <c r="J37" s="10"/>
      <c r="K37" s="10"/>
      <c r="L37" s="10"/>
      <c r="M37" s="228"/>
      <c r="N37" s="16"/>
      <c r="O37" s="16"/>
      <c r="P37" s="16"/>
      <c r="Q37" s="235"/>
      <c r="T37" s="10"/>
      <c r="U37" s="10"/>
      <c r="V37" s="16"/>
      <c r="W37" s="14"/>
      <c r="X37" s="139"/>
      <c r="Y37" s="139"/>
      <c r="Z37" s="14"/>
      <c r="AA37" s="97"/>
      <c r="AB37" s="160"/>
      <c r="AC37" s="160"/>
      <c r="AD37" s="14"/>
      <c r="AE37" s="11"/>
      <c r="AF37" s="17"/>
      <c r="AG37" s="12" t="s">
        <v>996</v>
      </c>
      <c r="AH37" s="10">
        <f ca="1">T30</f>
        <v>126986.14759426296</v>
      </c>
      <c r="AI37" s="10">
        <f ca="1">U30</f>
        <v>871618.88255172898</v>
      </c>
    </row>
    <row r="38" spans="1:42" ht="13.5" customHeight="1">
      <c r="A38" s="3" t="s">
        <v>1011</v>
      </c>
      <c r="B38" s="10">
        <f ca="1">+'Summary Breakdown'!AD40</f>
        <v>1255121.537</v>
      </c>
      <c r="C38" s="10">
        <f ca="1">B38-D38</f>
        <v>0</v>
      </c>
      <c r="D38" s="10">
        <f ca="1">+'Summary Breakdown'!AF40</f>
        <v>1255121.537</v>
      </c>
      <c r="E38" s="10">
        <f ca="1">+'Summary Breakdown'!AG40</f>
        <v>113963.41100000001</v>
      </c>
      <c r="F38" s="10">
        <f ca="1">+'Summary Breakdown'!AH40</f>
        <v>821958.66369046806</v>
      </c>
      <c r="G38" s="10">
        <f ca="1">+'Summary Breakdown'!AI40</f>
        <v>946357.32492856472</v>
      </c>
      <c r="H38" s="10">
        <f ca="1">+'Summary Breakdown'!AJ40</f>
        <v>308764.21207143553</v>
      </c>
      <c r="I38" s="10"/>
      <c r="J38" s="10"/>
      <c r="K38" s="10"/>
      <c r="L38" s="10"/>
      <c r="M38" s="228"/>
      <c r="N38" s="16"/>
      <c r="O38" s="16"/>
      <c r="P38" s="16"/>
      <c r="Q38" s="235"/>
      <c r="T38" s="10">
        <f ca="1">E38*AB38</f>
        <v>76980.814576404751</v>
      </c>
      <c r="U38" s="10">
        <f ca="1">H38*AB38</f>
        <v>208566.24375082008</v>
      </c>
      <c r="V38" s="16"/>
      <c r="W38" s="14"/>
      <c r="X38" s="139">
        <f ca="1">E38*AC38</f>
        <v>36982.596423595263</v>
      </c>
      <c r="Y38" s="139">
        <f ca="1">H38*AC38</f>
        <v>100197.96832061547</v>
      </c>
      <c r="Z38" s="14"/>
      <c r="AA38" s="97" t="s">
        <v>890</v>
      </c>
      <c r="AB38" s="221">
        <f>'[3]Allocators (C)'!$H$31</f>
        <v>0.67548710503588516</v>
      </c>
      <c r="AC38" s="221">
        <f>'[3]Allocators (C)'!$I$31</f>
        <v>0.32451289496411495</v>
      </c>
      <c r="AD38" s="14"/>
      <c r="AE38" s="11"/>
      <c r="AF38" s="29"/>
      <c r="AG38" s="12" t="s">
        <v>1019</v>
      </c>
      <c r="AH38" s="11">
        <f ca="1">T32</f>
        <v>215419.84533510247</v>
      </c>
      <c r="AI38" s="11">
        <f ca="1">U32</f>
        <v>824926.59889114788</v>
      </c>
    </row>
    <row r="39" spans="1:42" ht="13.5" customHeight="1">
      <c r="B39" s="27"/>
      <c r="C39" s="27">
        <f>B39-D39</f>
        <v>0</v>
      </c>
      <c r="D39" s="27"/>
      <c r="E39" s="27"/>
      <c r="F39" s="27"/>
      <c r="G39" s="27"/>
      <c r="H39" s="10"/>
      <c r="I39" s="10"/>
      <c r="J39" s="10"/>
      <c r="K39" s="10"/>
      <c r="L39" s="10"/>
      <c r="M39" s="228"/>
      <c r="N39" s="10"/>
      <c r="O39" s="10"/>
      <c r="P39" s="10"/>
      <c r="Q39" s="228"/>
      <c r="T39" s="10"/>
      <c r="U39" s="10"/>
      <c r="V39" s="10"/>
      <c r="X39" s="139"/>
      <c r="Y39" s="139"/>
      <c r="AA39" s="97"/>
      <c r="AB39" s="222"/>
      <c r="AC39" s="222"/>
      <c r="AF39" s="19"/>
      <c r="AG39" s="12" t="s">
        <v>1010</v>
      </c>
      <c r="AH39" s="10">
        <f ca="1">T44</f>
        <v>0</v>
      </c>
      <c r="AI39" s="10">
        <f ca="1">U44</f>
        <v>0</v>
      </c>
    </row>
    <row r="40" spans="1:42" ht="13.5" customHeight="1" thickBot="1">
      <c r="A40" s="3" t="s">
        <v>131</v>
      </c>
      <c r="B40" s="10">
        <f ca="1">+'Summary Breakdown'!AD42</f>
        <v>73196.34</v>
      </c>
      <c r="C40" s="10">
        <f ca="1">B40-D40</f>
        <v>0</v>
      </c>
      <c r="D40" s="10">
        <f ca="1">+'Summary Breakdown'!AF42</f>
        <v>73196.34</v>
      </c>
      <c r="E40" s="10">
        <f ca="1">+'Summary Breakdown'!AG42</f>
        <v>2615.7575000000002</v>
      </c>
      <c r="F40" s="10">
        <f ca="1">+'Summary Breakdown'!AH42</f>
        <v>57283.815208332933</v>
      </c>
      <c r="G40" s="10">
        <f ca="1">+'Summary Breakdown'!AI42</f>
        <v>59899.57270833294</v>
      </c>
      <c r="H40" s="10">
        <f ca="1">+'Summary Breakdown'!AJ42</f>
        <v>13296.767291667064</v>
      </c>
      <c r="I40" s="10"/>
      <c r="J40" s="10"/>
      <c r="K40" s="10"/>
      <c r="L40" s="10"/>
      <c r="M40" s="228"/>
      <c r="N40" s="16"/>
      <c r="O40" s="16"/>
      <c r="P40" s="16"/>
      <c r="Q40" s="235"/>
      <c r="T40" s="10">
        <f ca="1">E40</f>
        <v>2615.7575000000002</v>
      </c>
      <c r="U40" s="139">
        <f ca="1">H40</f>
        <v>13296.767291667064</v>
      </c>
      <c r="V40" s="16"/>
      <c r="W40" s="14"/>
      <c r="X40" s="139"/>
      <c r="Y40" s="139"/>
      <c r="Z40" s="14"/>
      <c r="AA40" s="97" t="s">
        <v>1013</v>
      </c>
      <c r="AB40" s="223"/>
      <c r="AC40" s="223"/>
      <c r="AD40" s="14">
        <f ca="1">E40-T40-X40</f>
        <v>0</v>
      </c>
      <c r="AE40" s="11">
        <f ca="1">H40-U40-Y40</f>
        <v>0</v>
      </c>
      <c r="AG40" s="143" t="s">
        <v>1027</v>
      </c>
      <c r="AH40" s="187">
        <f ca="1">SUM(AH36:AH39)</f>
        <v>342405.99292936543</v>
      </c>
      <c r="AI40" s="187">
        <f ca="1">SUM(AI36:AI39)</f>
        <v>1696545.4814428769</v>
      </c>
      <c r="AP40" s="30"/>
    </row>
    <row r="41" spans="1:42" ht="13.5" customHeight="1">
      <c r="B41" s="27"/>
      <c r="C41" s="27"/>
      <c r="D41" s="27"/>
      <c r="E41" s="27"/>
      <c r="F41" s="27"/>
      <c r="G41" s="27"/>
      <c r="H41" s="10"/>
      <c r="I41" s="10"/>
      <c r="J41" s="10"/>
      <c r="K41" s="10"/>
      <c r="L41" s="10"/>
      <c r="M41" s="228"/>
      <c r="N41" s="10"/>
      <c r="O41" s="10"/>
      <c r="P41" s="10"/>
      <c r="Q41" s="228"/>
      <c r="T41" s="10"/>
      <c r="U41" s="10"/>
      <c r="V41" s="10"/>
      <c r="X41" s="139"/>
      <c r="Y41" s="139"/>
      <c r="AA41" s="97"/>
      <c r="AB41" s="222"/>
      <c r="AC41" s="222"/>
      <c r="AG41" s="12"/>
      <c r="AH41" s="10"/>
      <c r="AI41" s="10"/>
    </row>
    <row r="42" spans="1:42" ht="13.5" customHeight="1" thickBot="1">
      <c r="A42" s="3" t="s">
        <v>128</v>
      </c>
      <c r="B42" s="10">
        <f ca="1">+'Summary Breakdown'!AD44</f>
        <v>3754396.8699999996</v>
      </c>
      <c r="C42" s="10">
        <f ca="1">B42-D42</f>
        <v>0</v>
      </c>
      <c r="D42" s="10">
        <f ca="1">+'Summary Breakdown'!AF44</f>
        <v>3754396.8699999996</v>
      </c>
      <c r="E42" s="10">
        <f ca="1">+'Summary Breakdown'!AG44</f>
        <v>198030.82285714289</v>
      </c>
      <c r="F42" s="10">
        <f ca="1">+'Summary Breakdown'!AH44</f>
        <v>188424.51973213794</v>
      </c>
      <c r="G42" s="10">
        <f ca="1">+'Summary Breakdown'!AI44</f>
        <v>277270.3358035665</v>
      </c>
      <c r="H42" s="10">
        <f ca="1">+'Summary Breakdown'!AJ44</f>
        <v>399536.41419643356</v>
      </c>
      <c r="I42" s="10"/>
      <c r="J42" s="10"/>
      <c r="K42" s="10"/>
      <c r="L42" s="10"/>
      <c r="M42" s="228"/>
      <c r="N42" s="16"/>
      <c r="O42" s="16"/>
      <c r="P42" s="16"/>
      <c r="Q42" s="235"/>
      <c r="T42" s="10">
        <f ca="1">E42*AB42</f>
        <v>126579.54715680197</v>
      </c>
      <c r="U42" s="10">
        <f ca="1">H42*AB42</f>
        <v>255380.13553637502</v>
      </c>
      <c r="V42" s="16"/>
      <c r="W42" s="14"/>
      <c r="X42" s="139">
        <f ca="1">E42*AC42</f>
        <v>71451.275700340921</v>
      </c>
      <c r="Y42" s="139">
        <f ca="1">H42*AC42</f>
        <v>144156.27866005854</v>
      </c>
      <c r="Z42" s="14"/>
      <c r="AA42" s="97" t="s">
        <v>890</v>
      </c>
      <c r="AB42" s="224">
        <f>'[3]Allocators (C)'!$H$34</f>
        <v>0.63919113868508726</v>
      </c>
      <c r="AC42" s="224">
        <f>'[3]Allocators (C)'!$I$34</f>
        <v>0.36080886131491274</v>
      </c>
      <c r="AD42" s="14">
        <f ca="1">E42-T42-X42</f>
        <v>0</v>
      </c>
      <c r="AE42" s="11">
        <f ca="1">H42-U42-Y42</f>
        <v>0</v>
      </c>
      <c r="AG42" s="145" t="s">
        <v>983</v>
      </c>
      <c r="AH42" s="146">
        <f ca="1">T34</f>
        <v>112150.92709486291</v>
      </c>
      <c r="AI42" s="146">
        <f ca="1">U34</f>
        <v>464214.7593665098</v>
      </c>
      <c r="AP42" s="11"/>
    </row>
    <row r="43" spans="1:42" ht="13.5" customHeight="1">
      <c r="B43" s="27"/>
      <c r="C43" s="27"/>
      <c r="D43" s="27"/>
      <c r="E43" s="10"/>
      <c r="F43" s="27"/>
      <c r="G43" s="27"/>
      <c r="H43" s="10"/>
      <c r="I43" s="10"/>
      <c r="J43" s="10"/>
      <c r="K43" s="10"/>
      <c r="L43" s="10"/>
      <c r="M43" s="228"/>
      <c r="N43" s="10"/>
      <c r="O43" s="10"/>
      <c r="P43" s="10"/>
      <c r="Q43" s="228"/>
      <c r="T43" s="10"/>
      <c r="U43" s="10"/>
      <c r="V43" s="10"/>
      <c r="X43" s="10"/>
      <c r="Y43" s="10"/>
      <c r="AA43" s="97"/>
      <c r="AB43" s="28"/>
      <c r="AC43" s="28"/>
      <c r="AG43" s="12"/>
      <c r="AP43" s="11"/>
    </row>
    <row r="44" spans="1:42" ht="13.5" customHeight="1">
      <c r="A44" s="3" t="s">
        <v>1010</v>
      </c>
      <c r="B44" s="10">
        <f ca="1">+'Summary Breakdown'!AD46</f>
        <v>2389472.34</v>
      </c>
      <c r="C44" s="10">
        <f ca="1">B44-D44</f>
        <v>0</v>
      </c>
      <c r="D44" s="10">
        <f ca="1">+'Summary Breakdown'!AF46</f>
        <v>2389472.34</v>
      </c>
      <c r="E44" s="10">
        <f ca="1">+'Summary Breakdown'!AG46</f>
        <v>0</v>
      </c>
      <c r="F44" s="10">
        <f ca="1">+'Summary Breakdown'!AH46</f>
        <v>2361445.9277380439</v>
      </c>
      <c r="G44" s="10">
        <f ca="1">+'Summary Breakdown'!AI46</f>
        <v>2389472.34</v>
      </c>
      <c r="H44" s="10">
        <f ca="1">+'Summary Breakdown'!AJ46</f>
        <v>0</v>
      </c>
      <c r="I44" s="10"/>
      <c r="J44" s="10"/>
      <c r="K44" s="10"/>
      <c r="L44" s="10"/>
      <c r="M44" s="228"/>
      <c r="N44" s="16"/>
      <c r="O44" s="16"/>
      <c r="P44" s="16"/>
      <c r="Q44" s="235"/>
      <c r="T44" s="10">
        <f ca="1">E44*AB44</f>
        <v>0</v>
      </c>
      <c r="U44" s="10">
        <f ca="1">H44*AB44</f>
        <v>0</v>
      </c>
      <c r="V44" s="16"/>
      <c r="W44" s="14"/>
      <c r="X44" s="16">
        <f ca="1">E44*AC44</f>
        <v>0</v>
      </c>
      <c r="Y44" s="16">
        <f ca="1">H44*AC44</f>
        <v>0</v>
      </c>
      <c r="Z44" s="14"/>
      <c r="AA44" s="97" t="s">
        <v>1013</v>
      </c>
      <c r="AB44" s="224">
        <v>1</v>
      </c>
      <c r="AC44" s="224">
        <v>0</v>
      </c>
      <c r="AD44" s="14">
        <f ca="1">E44-T44-X44</f>
        <v>0</v>
      </c>
      <c r="AE44" s="11">
        <f ca="1">H44-U44-Y44</f>
        <v>0</v>
      </c>
      <c r="AF44" s="17"/>
      <c r="AG44" s="12" t="s">
        <v>1015</v>
      </c>
      <c r="AH44" s="10">
        <f ca="1">T36</f>
        <v>2793.7889999999998</v>
      </c>
      <c r="AI44" s="10">
        <f ca="1">U36</f>
        <v>232.81575000042358</v>
      </c>
      <c r="AP44" s="11"/>
    </row>
    <row r="45" spans="1:42" ht="13.5" customHeight="1">
      <c r="B45" s="27"/>
      <c r="C45" s="27"/>
      <c r="D45" s="27"/>
      <c r="E45" s="27"/>
      <c r="F45" s="27"/>
      <c r="G45" s="27"/>
      <c r="H45" s="10"/>
      <c r="I45" s="10"/>
      <c r="J45" s="10"/>
      <c r="K45" s="10"/>
      <c r="L45" s="10"/>
      <c r="M45" s="228"/>
      <c r="N45" s="10"/>
      <c r="O45" s="10"/>
      <c r="P45" s="10"/>
      <c r="Q45" s="228"/>
      <c r="T45" s="10"/>
      <c r="U45" s="10"/>
      <c r="V45" s="10"/>
      <c r="X45" s="10"/>
      <c r="Y45" s="10"/>
      <c r="AA45" s="13"/>
      <c r="AB45" s="28"/>
      <c r="AC45" s="28"/>
      <c r="AF45" s="17"/>
      <c r="AG45" s="12" t="s">
        <v>1014</v>
      </c>
      <c r="AH45" s="10">
        <f ca="1">T38</f>
        <v>76980.814576404751</v>
      </c>
      <c r="AI45" s="10">
        <f ca="1">U38</f>
        <v>208566.24375082008</v>
      </c>
      <c r="AJ45" s="109"/>
      <c r="AP45" s="11"/>
    </row>
    <row r="46" spans="1:42" ht="13.5" customHeight="1" thickBot="1">
      <c r="A46" s="24" t="s">
        <v>132</v>
      </c>
      <c r="B46" s="25">
        <f ca="1">SUM(B30:B45)</f>
        <v>19622989.596999999</v>
      </c>
      <c r="C46" s="25">
        <f ca="1">SUM(C30:C44)</f>
        <v>0</v>
      </c>
      <c r="D46" s="25">
        <f ca="1">SUM(D30:D45)</f>
        <v>19622989.596999999</v>
      </c>
      <c r="E46" s="25">
        <f ca="1">SUM(E30:E45)</f>
        <v>961572.11821428558</v>
      </c>
      <c r="F46" s="25">
        <f ca="1">SUM(F30:F45)</f>
        <v>11843141.396650685</v>
      </c>
      <c r="G46" s="25">
        <f ca="1">SUM(G30:G45)</f>
        <v>12670258.603341216</v>
      </c>
      <c r="H46" s="26">
        <f ca="1">SUM(H30:H45)</f>
        <v>3787349.2250754475</v>
      </c>
      <c r="I46" s="23"/>
      <c r="J46" s="26">
        <f>SUM(J28:J44)</f>
        <v>0</v>
      </c>
      <c r="K46" s="26">
        <f>SUM(K28:K44)</f>
        <v>0</v>
      </c>
      <c r="L46" s="23"/>
      <c r="M46" s="229"/>
      <c r="N46" s="26">
        <f>SUM(N30:N45)</f>
        <v>12735.399014778326</v>
      </c>
      <c r="O46" s="26">
        <f>SUM(O30:O45)</f>
        <v>39352.382955665016</v>
      </c>
      <c r="P46" s="23"/>
      <c r="Q46" s="229"/>
      <c r="R46" s="11">
        <f ca="1">+B46-'2111 Cont, DB'!M612-'2111 YW'!M123</f>
        <v>3838551.3400000012</v>
      </c>
      <c r="S46" s="11"/>
      <c r="T46" s="26">
        <f ca="1">SUM(T30:T45)</f>
        <v>663526.828257435</v>
      </c>
      <c r="U46" s="26">
        <f ca="1">SUM(U30:U45)</f>
        <v>2638236.203138249</v>
      </c>
      <c r="V46" s="23"/>
      <c r="W46" s="11"/>
      <c r="X46" s="26">
        <f ca="1">SUM(X30:X45)</f>
        <v>298045.28995685064</v>
      </c>
      <c r="Y46" s="26">
        <f ca="1">SUM(Y30:Y45)</f>
        <v>1149113.0219371985</v>
      </c>
      <c r="Z46" s="11"/>
      <c r="AA46" s="32"/>
      <c r="AB46" s="28"/>
      <c r="AC46" s="28"/>
      <c r="AD46" s="11"/>
      <c r="AF46" s="31"/>
      <c r="AG46" s="12" t="s">
        <v>387</v>
      </c>
      <c r="AH46" s="10">
        <f ca="1">T42</f>
        <v>126579.54715680197</v>
      </c>
      <c r="AI46" s="10">
        <f ca="1">U42</f>
        <v>255380.13553637502</v>
      </c>
      <c r="AJ46" s="189" t="s">
        <v>1038</v>
      </c>
      <c r="AK46" s="190">
        <f>'[4]Revenue+Cust'!$F$27</f>
        <v>7.9972694601259092E-4</v>
      </c>
      <c r="AL46" s="190">
        <v>0.40764301446800816</v>
      </c>
      <c r="AM46" s="190">
        <v>0.37954621636123226</v>
      </c>
      <c r="AN46" s="190">
        <f>'[4]Revenue+Cust'!$F$26</f>
        <v>0.21028172077893018</v>
      </c>
      <c r="AO46" s="190">
        <f>'[4]Revenue+Cust'!$F$32</f>
        <v>1.7293214458168318E-3</v>
      </c>
      <c r="AP46" s="11"/>
    </row>
    <row r="47" spans="1:42" ht="13.5" customHeight="1">
      <c r="B47" s="27">
        <f ca="1">B46-'2111 Cont, DB'!M612-'2111 YW'!M120</f>
        <v>3838551.3400000012</v>
      </c>
      <c r="C47" s="27"/>
      <c r="D47" s="27"/>
      <c r="E47" s="27">
        <f ca="1">+'Summary Breakdown'!AG48-Summary!E46</f>
        <v>0</v>
      </c>
      <c r="F47" s="27"/>
      <c r="G47" s="27"/>
      <c r="H47" s="27">
        <f ca="1">+'Summary Breakdown'!AJ48-Summary!H46</f>
        <v>0</v>
      </c>
      <c r="I47" s="34"/>
      <c r="J47" s="34"/>
      <c r="K47" s="34"/>
      <c r="L47" s="34"/>
      <c r="M47" s="230"/>
      <c r="N47" s="34"/>
      <c r="O47" s="34"/>
      <c r="P47" s="34"/>
      <c r="Q47" s="230"/>
      <c r="R47" s="11"/>
      <c r="S47" s="11"/>
      <c r="T47" s="34"/>
      <c r="U47" s="34"/>
      <c r="V47" s="34"/>
      <c r="W47" s="11"/>
      <c r="X47" s="34"/>
      <c r="Y47" s="34"/>
      <c r="Z47" s="11"/>
      <c r="AA47" s="32"/>
      <c r="AB47" s="28"/>
      <c r="AC47" s="28"/>
      <c r="AD47" s="11"/>
      <c r="AE47" s="11"/>
      <c r="AG47" s="12" t="s">
        <v>984</v>
      </c>
      <c r="AH47" s="10">
        <f ca="1">T40</f>
        <v>2615.7575000000002</v>
      </c>
      <c r="AI47" s="10">
        <f ca="1">U40</f>
        <v>13296.767291667064</v>
      </c>
      <c r="AJ47" s="189" t="s">
        <v>1037</v>
      </c>
      <c r="AK47" s="190">
        <f>'[4]Hours+Tons'!$D$31</f>
        <v>1.5331197013057766E-3</v>
      </c>
      <c r="AL47" s="190">
        <f>'[4]Hours+Tons'!$D$32</f>
        <v>0.62988351543325505</v>
      </c>
      <c r="AM47" s="190">
        <f>'[4]Hours+Tons'!$D$33</f>
        <v>0.22510999035417509</v>
      </c>
      <c r="AN47" s="190">
        <f>'[4]Hours+Tons'!$D$34</f>
        <v>2.4862896519915283E-2</v>
      </c>
      <c r="AO47" s="190">
        <f>'[4]Hours+Tons'!$D$35</f>
        <v>0.11861047799134868</v>
      </c>
      <c r="AP47" s="11"/>
    </row>
    <row r="48" spans="1:42" ht="13.5" customHeight="1" thickBot="1">
      <c r="A48" s="3" t="s">
        <v>133</v>
      </c>
      <c r="B48" s="10">
        <f ca="1">+'Summary Breakdown'!AD50</f>
        <v>725071.72</v>
      </c>
      <c r="C48" s="10">
        <f ca="1">B48-D48</f>
        <v>0</v>
      </c>
      <c r="D48" s="10">
        <f ca="1">+'Summary Breakdown'!AF50</f>
        <v>725071.72</v>
      </c>
      <c r="E48" s="10">
        <f ca="1">+'Summary Breakdown'!AG50</f>
        <v>58687.728100769265</v>
      </c>
      <c r="F48" s="10">
        <f ca="1">+'Summary Breakdown'!AH50</f>
        <v>419232.18057652126</v>
      </c>
      <c r="G48" s="10">
        <f ca="1">+'Summary Breakdown'!AI50</f>
        <v>530061.85117729404</v>
      </c>
      <c r="H48" s="10">
        <f ca="1">+'Summary Breakdown'!AJ50</f>
        <v>195009.86882270599</v>
      </c>
      <c r="I48" s="10"/>
      <c r="J48" s="10"/>
      <c r="K48" s="10"/>
      <c r="L48" s="10"/>
      <c r="M48" s="228"/>
      <c r="N48" s="139"/>
      <c r="O48" s="139"/>
      <c r="P48" s="139"/>
      <c r="Q48" s="237"/>
      <c r="R48" s="11"/>
      <c r="S48" s="11"/>
      <c r="T48" s="139">
        <f ca="1">E48*AB48</f>
        <v>40953.295184943912</v>
      </c>
      <c r="U48" s="139">
        <f ca="1">H48*AB48</f>
        <v>136081.20437309597</v>
      </c>
      <c r="V48" s="139"/>
      <c r="W48" s="140"/>
      <c r="X48" s="139">
        <f ca="1">E48*AC48</f>
        <v>17734.432915825339</v>
      </c>
      <c r="Y48" s="139">
        <f ca="1">H48*AC48</f>
        <v>58928.664449609983</v>
      </c>
      <c r="Z48" s="14"/>
      <c r="AA48" s="13" t="s">
        <v>889</v>
      </c>
      <c r="AB48" s="224">
        <f>+'[3]Allocators (C)'!$H$89</f>
        <v>0.69781701405488739</v>
      </c>
      <c r="AC48" s="224">
        <f>+'[3]Allocators (C)'!$I$89</f>
        <v>0.30218298594511245</v>
      </c>
      <c r="AD48" s="14">
        <f ca="1">E48-T48-X48</f>
        <v>0</v>
      </c>
      <c r="AE48" s="11">
        <f ca="1">H48-U48-Y48</f>
        <v>0</v>
      </c>
      <c r="AG48" s="143" t="s">
        <v>1031</v>
      </c>
      <c r="AH48" s="144">
        <f ca="1">SUM(AH44:AH47)</f>
        <v>208969.90823320672</v>
      </c>
      <c r="AI48" s="144">
        <f ca="1">SUM(AI44:AI47)</f>
        <v>477475.96232886257</v>
      </c>
      <c r="AJ48" s="189" t="s">
        <v>1026</v>
      </c>
      <c r="AK48" s="191"/>
      <c r="AL48" s="190">
        <f>AL49/SUM($AL$49:$AN$49)</f>
        <v>0.55476322661148481</v>
      </c>
      <c r="AM48" s="190">
        <f>AM49/SUM($AL$49:$AN$49)</f>
        <v>0.33316355179166779</v>
      </c>
      <c r="AN48" s="190">
        <f>AN49/SUM($AL$49:$AN$49)</f>
        <v>0.11207322159684732</v>
      </c>
      <c r="AO48" s="192"/>
    </row>
    <row r="49" spans="1:43" ht="13.5" customHeight="1">
      <c r="B49" s="27"/>
      <c r="C49" s="27"/>
      <c r="D49" s="27"/>
      <c r="E49" s="27"/>
      <c r="F49" s="27"/>
      <c r="G49" s="27"/>
      <c r="H49" s="10"/>
      <c r="I49" s="10"/>
      <c r="J49" s="10"/>
      <c r="K49" s="10"/>
      <c r="L49" s="10"/>
      <c r="M49" s="228"/>
      <c r="N49" s="139"/>
      <c r="O49" s="139"/>
      <c r="P49" s="139"/>
      <c r="Q49" s="237"/>
      <c r="R49" s="11"/>
      <c r="S49" s="11"/>
      <c r="T49" s="139"/>
      <c r="U49" s="139"/>
      <c r="V49" s="139"/>
      <c r="W49" s="139"/>
      <c r="X49" s="139"/>
      <c r="Y49" s="139"/>
      <c r="Z49" s="11"/>
      <c r="AA49" s="13"/>
      <c r="AB49" s="28"/>
      <c r="AC49" s="28"/>
      <c r="AD49" s="11"/>
      <c r="AE49" s="11"/>
      <c r="AJ49" s="189" t="s">
        <v>1005</v>
      </c>
      <c r="AK49" s="193">
        <f>'[4]Hours+Tons'!$D$61</f>
        <v>6.8141200010778417E-3</v>
      </c>
      <c r="AL49" s="193">
        <f>'[4]Hours+Tons'!$D$43+'[4]Hours+Tons'!$D$49</f>
        <v>0.48724407310007228</v>
      </c>
      <c r="AM49" s="193">
        <f>SUM('[4]Hours+Tons'!$D$50,'[4]Hours+Tons'!$D$53:$D$57)</f>
        <v>0.29261486377709101</v>
      </c>
      <c r="AN49" s="193">
        <f>'[4]Hours+Tons'!$D$59</f>
        <v>9.8433007735275857E-2</v>
      </c>
      <c r="AO49" s="193">
        <f>'[4]Hours+Tons'!$D$45</f>
        <v>0.11489393538648313</v>
      </c>
    </row>
    <row r="50" spans="1:43" ht="13.5" customHeight="1" thickBot="1">
      <c r="A50" s="3" t="s">
        <v>134</v>
      </c>
      <c r="B50" s="10">
        <f ca="1">+'Summary Breakdown'!AD52</f>
        <v>1362964.2999999998</v>
      </c>
      <c r="C50" s="10">
        <f ca="1">B50-D50</f>
        <v>0</v>
      </c>
      <c r="D50" s="10">
        <f ca="1">+'Summary Breakdown'!AF52</f>
        <v>1362964.2999999998</v>
      </c>
      <c r="E50" s="10">
        <f ca="1">+'Summary Breakdown'!AG52</f>
        <v>133025.36172587096</v>
      </c>
      <c r="F50" s="10">
        <f ca="1">+'Summary Breakdown'!AH52</f>
        <v>666051.78633394942</v>
      </c>
      <c r="G50" s="10">
        <f ca="1">+'Summary Breakdown'!AI52</f>
        <v>800147.39722648729</v>
      </c>
      <c r="H50" s="10">
        <f ca="1">+'Summary Breakdown'!AJ52</f>
        <v>562816.90277351264</v>
      </c>
      <c r="I50" s="10"/>
      <c r="J50" s="10">
        <f ca="1">$E50*M50</f>
        <v>48251.789180228952</v>
      </c>
      <c r="K50" s="10">
        <f ca="1">$H50*M50</f>
        <v>204148.45851470015</v>
      </c>
      <c r="L50" s="239" t="s">
        <v>889</v>
      </c>
      <c r="M50" s="238">
        <f>+'[3]Allocators (C)'!$E$89</f>
        <v>0.36272623922393649</v>
      </c>
      <c r="N50" s="10">
        <f ca="1">$E50*Q50</f>
        <v>2386.1011454072109</v>
      </c>
      <c r="O50" s="10">
        <f ca="1">$H50*Q50</f>
        <v>10095.353539649432</v>
      </c>
      <c r="P50" s="239" t="s">
        <v>889</v>
      </c>
      <c r="Q50" s="238">
        <f>+'[3]Allocators (C)'!$D$89</f>
        <v>1.7937189679095297E-2</v>
      </c>
      <c r="R50" s="11"/>
      <c r="S50" s="11"/>
      <c r="T50" s="139">
        <f ca="1">($E50-$J50-$N50)*AB50</f>
        <v>57491.379288044271</v>
      </c>
      <c r="U50" s="139">
        <f ca="1">($H50-$K50-$O50)*AB50</f>
        <v>243240.2333455297</v>
      </c>
      <c r="V50" s="139"/>
      <c r="W50" s="140"/>
      <c r="X50" s="139">
        <f ca="1">($E50-$J50-$N50)*AC50</f>
        <v>24896.092112190505</v>
      </c>
      <c r="Y50" s="139">
        <f ca="1">($H50-$K50-$O50)*AC50</f>
        <v>105332.85737363325</v>
      </c>
      <c r="Z50" s="14"/>
      <c r="AA50" s="13" t="s">
        <v>889</v>
      </c>
      <c r="AB50" s="224">
        <f>+'[3]Allocators (C)'!$H$89</f>
        <v>0.69781701405488739</v>
      </c>
      <c r="AC50" s="224">
        <f>+'[3]Allocators (C)'!$I$89</f>
        <v>0.30218298594511245</v>
      </c>
      <c r="AD50" s="14">
        <f ca="1">E50-T50-X50-J50-N50</f>
        <v>2.5011104298755527E-11</v>
      </c>
      <c r="AE50" s="14">
        <f ca="1">H50-U50-Y50-K50-O50</f>
        <v>1.1095835361629725E-10</v>
      </c>
      <c r="AG50" s="22" t="s">
        <v>105</v>
      </c>
      <c r="AH50" s="37">
        <f ca="1">AH40+AH42+AH48</f>
        <v>663526.828257435</v>
      </c>
      <c r="AI50" s="37">
        <f ca="1">AI40+AI42+AI48</f>
        <v>2638236.203138249</v>
      </c>
      <c r="AJ50" s="189" t="s">
        <v>1033</v>
      </c>
      <c r="AK50" s="192"/>
      <c r="AL50" s="194">
        <f>'[4]Hours+Tons'!$F$77+'[4]Hours+Tons'!$F$78</f>
        <v>0.80066474729342341</v>
      </c>
      <c r="AM50" s="194">
        <f>'[4]Hours+Tons'!$F$79</f>
        <v>0.19933525270657662</v>
      </c>
      <c r="AN50" s="192"/>
      <c r="AO50" s="192"/>
    </row>
    <row r="51" spans="1:43" ht="13.5" customHeight="1" thickBot="1">
      <c r="B51" s="27"/>
      <c r="C51" s="27"/>
      <c r="D51" s="27"/>
      <c r="E51" s="27"/>
      <c r="F51" s="27"/>
      <c r="G51" s="27"/>
      <c r="H51" s="10"/>
      <c r="I51" s="10"/>
      <c r="J51" s="10"/>
      <c r="K51" s="10"/>
      <c r="L51" s="10"/>
      <c r="M51" s="228"/>
      <c r="N51" s="139"/>
      <c r="O51" s="139"/>
      <c r="P51" s="139"/>
      <c r="Q51" s="237"/>
      <c r="R51" s="14"/>
      <c r="S51" s="14"/>
      <c r="T51" s="139"/>
      <c r="U51" s="139"/>
      <c r="V51" s="139"/>
      <c r="W51" s="140"/>
      <c r="X51" s="139"/>
      <c r="Y51" s="139"/>
      <c r="Z51" s="14"/>
      <c r="AA51" s="13"/>
      <c r="AB51" s="28"/>
      <c r="AC51" s="28"/>
      <c r="AD51" s="14"/>
      <c r="AE51" s="11"/>
      <c r="AH51" s="10">
        <f ca="1">AH50-T46</f>
        <v>0</v>
      </c>
      <c r="AI51" s="10">
        <f ca="1">AI50-U46</f>
        <v>0</v>
      </c>
      <c r="AJ51" s="110" t="s">
        <v>1035</v>
      </c>
      <c r="AK51" s="110" t="s">
        <v>160</v>
      </c>
      <c r="AL51" s="110" t="s">
        <v>1002</v>
      </c>
      <c r="AM51" s="110" t="s">
        <v>1003</v>
      </c>
      <c r="AN51" s="110" t="s">
        <v>99</v>
      </c>
      <c r="AO51" s="110" t="s">
        <v>1004</v>
      </c>
    </row>
    <row r="52" spans="1:43" ht="13.5" customHeight="1">
      <c r="A52" s="3" t="s">
        <v>135</v>
      </c>
      <c r="B52" s="10">
        <f ca="1">+'Summary Breakdown'!AD54</f>
        <v>184089.71000000011</v>
      </c>
      <c r="C52" s="10">
        <f ca="1">B52-D52</f>
        <v>0</v>
      </c>
      <c r="D52" s="10">
        <f ca="1">+'Summary Breakdown'!AF54</f>
        <v>184089.71000000011</v>
      </c>
      <c r="E52" s="10">
        <f ca="1">+'Summary Breakdown'!AG54</f>
        <v>4483.6099999999997</v>
      </c>
      <c r="F52" s="10">
        <f ca="1">+'Summary Breakdown'!AH54</f>
        <v>176400.24666666653</v>
      </c>
      <c r="G52" s="10">
        <f ca="1">+'Summary Breakdown'!AI54</f>
        <v>181487.61055555553</v>
      </c>
      <c r="H52" s="10">
        <f ca="1">+'Summary Breakdown'!AJ54</f>
        <v>2602.0994444445823</v>
      </c>
      <c r="I52" s="10"/>
      <c r="J52" s="10">
        <f ca="1">$E52*M52</f>
        <v>56.062157785719059</v>
      </c>
      <c r="K52" s="10">
        <f ca="1">$H52*M52</f>
        <v>32.536128170956907</v>
      </c>
      <c r="L52" s="239" t="s">
        <v>890</v>
      </c>
      <c r="M52" s="238">
        <f>'[3]Allocators (C)'!$E$40</f>
        <v>1.2503798899930873E-2</v>
      </c>
      <c r="N52" s="10">
        <f ca="1">$E52*Q52</f>
        <v>67.139377264997904</v>
      </c>
      <c r="O52" s="10">
        <f ca="1">$H52*Q52</f>
        <v>38.964882378620416</v>
      </c>
      <c r="P52" s="239" t="s">
        <v>890</v>
      </c>
      <c r="Q52" s="238">
        <f>'[3]Allocators (C)'!$D$40</f>
        <v>1.4974401713128017E-2</v>
      </c>
      <c r="R52" s="14"/>
      <c r="S52" s="14"/>
      <c r="T52" s="139">
        <f ca="1">($E52-$J52-$N52)*AB52</f>
        <v>2948.535012134183</v>
      </c>
      <c r="U52" s="139">
        <f ca="1">($H52-$K52-$O52)*AB52</f>
        <v>1711.2062193187537</v>
      </c>
      <c r="V52" s="139"/>
      <c r="W52" s="140"/>
      <c r="X52" s="139">
        <f ca="1">($E52-$J52-$N52)*AC52</f>
        <v>1411.8734528150994</v>
      </c>
      <c r="Y52" s="139">
        <f ca="1">($H52-$K52-$O52)*AC52</f>
        <v>819.39221457625092</v>
      </c>
      <c r="Z52" s="14"/>
      <c r="AA52" s="13" t="s">
        <v>890</v>
      </c>
      <c r="AB52" s="224">
        <f>'[3]Allocators (C)'!$H$40</f>
        <v>0.67620614807894575</v>
      </c>
      <c r="AC52" s="224">
        <f>'[3]Allocators (C)'!$I$40</f>
        <v>0.32379385192105425</v>
      </c>
      <c r="AD52" s="14">
        <f ca="1">E52-T52-X52-J52-N52</f>
        <v>2.5579538487363607E-13</v>
      </c>
      <c r="AE52" s="14">
        <f ca="1">H52-U52-Y52-K52-O52</f>
        <v>3.765876499528531E-13</v>
      </c>
      <c r="AG52" s="9" t="s">
        <v>985</v>
      </c>
      <c r="AH52" s="10"/>
      <c r="AI52" s="10"/>
    </row>
    <row r="53" spans="1:43" ht="13.5" customHeight="1">
      <c r="B53" s="27"/>
      <c r="C53" s="27"/>
      <c r="D53" s="27"/>
      <c r="E53" s="10"/>
      <c r="F53" s="10"/>
      <c r="G53" s="10"/>
      <c r="H53" s="10"/>
      <c r="I53" s="10"/>
      <c r="J53" s="10"/>
      <c r="K53" s="10"/>
      <c r="L53" s="10"/>
      <c r="M53" s="228"/>
      <c r="N53" s="10"/>
      <c r="O53" s="10"/>
      <c r="P53" s="10"/>
      <c r="Q53" s="228"/>
      <c r="R53" s="11"/>
      <c r="S53" s="11"/>
      <c r="T53" s="10"/>
      <c r="U53" s="10"/>
      <c r="V53" s="10"/>
      <c r="W53" s="11"/>
      <c r="X53" s="10"/>
      <c r="Y53" s="10"/>
      <c r="Z53" s="11"/>
      <c r="AA53" s="32"/>
      <c r="AB53" s="28"/>
      <c r="AC53" s="28"/>
      <c r="AD53" s="11"/>
      <c r="AE53" s="11"/>
      <c r="AG53" s="3" t="s">
        <v>986</v>
      </c>
      <c r="AH53" s="10">
        <f ca="1">T48</f>
        <v>40953.295184943912</v>
      </c>
      <c r="AI53" s="10">
        <f ca="1">U48</f>
        <v>136081.20437309597</v>
      </c>
      <c r="AJ53" s="3" t="s">
        <v>986</v>
      </c>
      <c r="AK53" s="27">
        <f ca="1">$AH53*AK$49</f>
        <v>279.06066782977121</v>
      </c>
      <c r="AL53" s="27">
        <f ca="1">$AH53*AL$49</f>
        <v>19954.250352781652</v>
      </c>
      <c r="AM53" s="27">
        <f ca="1">$AH53*AM$49</f>
        <v>11983.542891765361</v>
      </c>
      <c r="AN53" s="27">
        <f ca="1">$AH53*AN$49</f>
        <v>4031.1560217246197</v>
      </c>
      <c r="AO53" s="27">
        <f ca="1">$AH53*AO$49</f>
        <v>4705.2852508425167</v>
      </c>
      <c r="AP53" s="13" t="s">
        <v>889</v>
      </c>
      <c r="AQ53" s="11">
        <f ca="1">AH53-SUM(AK53:AO53)</f>
        <v>0</v>
      </c>
    </row>
    <row r="54" spans="1:43" ht="13.5" customHeight="1">
      <c r="A54" s="3" t="s">
        <v>136</v>
      </c>
      <c r="B54" s="10">
        <f ca="1">+'Summary Breakdown'!AD56</f>
        <v>15641742.539999999</v>
      </c>
      <c r="C54" s="10">
        <f ca="1">B54-D54</f>
        <v>0</v>
      </c>
      <c r="D54" s="10">
        <f ca="1">+'Summary Breakdown'!AF56</f>
        <v>15641742.539999999</v>
      </c>
      <c r="E54" s="10">
        <f ca="1">+'Summary Breakdown'!AG56</f>
        <v>819420.93877380958</v>
      </c>
      <c r="F54" s="10">
        <f ca="1">+'Summary Breakdown'!AH56</f>
        <v>4478133.916101126</v>
      </c>
      <c r="G54" s="10">
        <f ca="1">+'Summary Breakdown'!AI56</f>
        <v>5297554.8548749359</v>
      </c>
      <c r="H54" s="10">
        <f ca="1">+'Summary Breakdown'!AJ56</f>
        <v>10344187.685125062</v>
      </c>
      <c r="I54" s="10"/>
      <c r="J54" s="247">
        <f ca="1">J77+J78</f>
        <v>211798.21526247612</v>
      </c>
      <c r="K54" s="247">
        <f ca="1">K77+K78</f>
        <v>2673693.5638086456</v>
      </c>
      <c r="L54" s="10" t="s">
        <v>927</v>
      </c>
      <c r="M54" s="228"/>
      <c r="N54" s="247">
        <f ca="1">SUM(N77:N78)+'[5]2132 Other'!$Q$15</f>
        <v>14122.365828484317</v>
      </c>
      <c r="O54" s="247">
        <f ca="1">SUM(O77:O78)+'[5]2132 Other'!$U$15</f>
        <v>159815.23580313593</v>
      </c>
      <c r="P54" s="10" t="s">
        <v>927</v>
      </c>
      <c r="Q54" s="228"/>
      <c r="R54" s="14"/>
      <c r="S54" s="14"/>
      <c r="T54" s="36">
        <f ca="1">$T$79*((AB48+AB52)/2)</f>
        <v>409212.42020501022</v>
      </c>
      <c r="U54" s="36">
        <f ca="1">$U$79*((AB48+AB52)/2)</f>
        <v>5165806.5804605288</v>
      </c>
      <c r="V54" s="10"/>
      <c r="W54" s="36"/>
      <c r="X54" s="36">
        <f ca="1">$T$79*((AC48+AC52)/2)</f>
        <v>186428.80547783882</v>
      </c>
      <c r="Y54" s="36">
        <f ca="1">$U$79*((AC48+AC52)/2)</f>
        <v>2353435.7770527522</v>
      </c>
      <c r="Z54" s="14"/>
      <c r="AA54" s="13" t="s">
        <v>1326</v>
      </c>
      <c r="AB54" s="28"/>
      <c r="AC54" s="28"/>
      <c r="AD54" s="14">
        <f ca="1">E54-T54-X54-J54-N54</f>
        <v>-2140.8679999998913</v>
      </c>
      <c r="AE54" s="14">
        <f ca="1">H54-U54-Y54-K54-O54</f>
        <v>-8563.472000000329</v>
      </c>
      <c r="AG54" s="3" t="s">
        <v>301</v>
      </c>
      <c r="AH54" s="10">
        <f ca="1">T50</f>
        <v>57491.379288044271</v>
      </c>
      <c r="AI54" s="10">
        <f ca="1">U50</f>
        <v>243240.2333455297</v>
      </c>
      <c r="AJ54" s="3" t="s">
        <v>301</v>
      </c>
      <c r="AK54" s="35">
        <f ca="1">$AH54*AK$47</f>
        <v>88.141166241743548</v>
      </c>
      <c r="AL54" s="35">
        <f ca="1">$AH54*AL$47</f>
        <v>36212.872093059952</v>
      </c>
      <c r="AM54" s="35">
        <f ca="1">$AH54*AM$47</f>
        <v>12941.883836979867</v>
      </c>
      <c r="AN54" s="35">
        <f ca="1">$AH54*AN$47</f>
        <v>1429.4022140258455</v>
      </c>
      <c r="AO54" s="35">
        <f ca="1">$AH54*AO$47</f>
        <v>6819.0799777368538</v>
      </c>
      <c r="AP54" s="13" t="s">
        <v>382</v>
      </c>
      <c r="AQ54" s="11">
        <f t="shared" ref="AQ54:AQ67" ca="1" si="1">AH54-SUM(AK54:AO54)</f>
        <v>0</v>
      </c>
    </row>
    <row r="55" spans="1:43" ht="13.5" customHeight="1">
      <c r="B55" s="27"/>
      <c r="C55" s="27"/>
      <c r="D55" s="27"/>
      <c r="E55" s="10"/>
      <c r="F55" s="10"/>
      <c r="G55" s="10"/>
      <c r="H55" s="10"/>
      <c r="I55" s="10"/>
      <c r="J55" s="10"/>
      <c r="K55" s="10"/>
      <c r="L55" s="10"/>
      <c r="M55" s="228"/>
      <c r="N55" s="10"/>
      <c r="O55" s="10"/>
      <c r="P55" s="10"/>
      <c r="Q55" s="228"/>
      <c r="R55" s="11"/>
      <c r="S55" s="11"/>
      <c r="T55" s="10"/>
      <c r="U55" s="10"/>
      <c r="V55" s="10"/>
      <c r="W55" s="11"/>
      <c r="X55" s="10"/>
      <c r="Y55" s="10"/>
      <c r="Z55" s="11"/>
      <c r="AA55" s="32"/>
      <c r="AB55" s="28"/>
      <c r="AC55" s="28"/>
      <c r="AD55" s="14"/>
      <c r="AE55" s="11"/>
      <c r="AG55" s="3" t="s">
        <v>1034</v>
      </c>
      <c r="AH55" s="10">
        <f ca="1">T52</f>
        <v>2948.535012134183</v>
      </c>
      <c r="AI55" s="10">
        <f ca="1">U52</f>
        <v>1711.2062193187537</v>
      </c>
      <c r="AJ55" s="3" t="s">
        <v>1034</v>
      </c>
      <c r="AK55" s="35">
        <f ca="1">$AH55*AK$46</f>
        <v>2.3580229004652677</v>
      </c>
      <c r="AL55" s="35">
        <f t="shared" ref="AL55:AO56" ca="1" si="2">$AH55*AL$46</f>
        <v>1201.9497006108434</v>
      </c>
      <c r="AM55" s="35">
        <f t="shared" ca="1" si="2"/>
        <v>1119.1053076641492</v>
      </c>
      <c r="AN55" s="35">
        <f t="shared" ca="1" si="2"/>
        <v>620.02301612849976</v>
      </c>
      <c r="AO55" s="35">
        <f t="shared" ca="1" si="2"/>
        <v>5.0989648302254356</v>
      </c>
      <c r="AP55" s="13" t="s">
        <v>379</v>
      </c>
      <c r="AQ55" s="11">
        <f t="shared" ca="1" si="1"/>
        <v>0</v>
      </c>
    </row>
    <row r="56" spans="1:43" ht="13.5" customHeight="1">
      <c r="A56" s="3" t="s">
        <v>1082</v>
      </c>
      <c r="B56" s="10">
        <f ca="1">+'Summary Breakdown'!AD58</f>
        <v>379514.27</v>
      </c>
      <c r="C56" s="10">
        <f ca="1">B56-D56</f>
        <v>0</v>
      </c>
      <c r="D56" s="10">
        <f ca="1">+'Summary Breakdown'!AF58</f>
        <v>379514.27</v>
      </c>
      <c r="E56" s="10">
        <f ca="1">+'Summary Breakdown'!AG58</f>
        <v>37951.427000000003</v>
      </c>
      <c r="F56" s="10">
        <f ca="1">+'Summary Breakdown'!AH58</f>
        <v>0</v>
      </c>
      <c r="G56" s="10">
        <f ca="1">+'Summary Breakdown'!AI58</f>
        <v>37951.427000000003</v>
      </c>
      <c r="H56" s="10">
        <f ca="1">+'Summary Breakdown'!AJ58</f>
        <v>341562.84299999999</v>
      </c>
      <c r="I56" s="10"/>
      <c r="J56" s="245"/>
      <c r="K56" s="245"/>
      <c r="L56" s="10"/>
      <c r="M56" s="228"/>
      <c r="N56" s="246"/>
      <c r="O56" s="246"/>
      <c r="P56" s="16"/>
      <c r="Q56" s="235"/>
      <c r="R56" s="11"/>
      <c r="S56" s="11"/>
      <c r="T56" s="10">
        <f ca="1">E56*AB56</f>
        <v>25491.643947215212</v>
      </c>
      <c r="U56" s="10">
        <f ca="1">H56*AB56</f>
        <v>229424.7955249369</v>
      </c>
      <c r="V56" s="10"/>
      <c r="W56" s="14"/>
      <c r="X56" s="10">
        <f ca="1">E56*AC56</f>
        <v>12459.783052784791</v>
      </c>
      <c r="Y56" s="10">
        <f ca="1">H56*AC56</f>
        <v>112138.0474750631</v>
      </c>
      <c r="Z56" s="11"/>
      <c r="AA56" s="13" t="s">
        <v>1327</v>
      </c>
      <c r="AB56" s="224">
        <f>'[3]Allocators (C)'!$H$28</f>
        <v>0.67169131603971599</v>
      </c>
      <c r="AC56" s="224">
        <f>'[3]Allocators (C)'!$I$28</f>
        <v>0.32830868396028401</v>
      </c>
      <c r="AD56" s="14">
        <f ca="1">E56-T56-X56-J56-N56</f>
        <v>0</v>
      </c>
      <c r="AE56" s="14">
        <f ca="1">H56-U56-Y56-K56-O56</f>
        <v>0</v>
      </c>
      <c r="AG56" s="3" t="s">
        <v>987</v>
      </c>
      <c r="AH56" s="10">
        <f ca="1">T77</f>
        <v>328878.15189605503</v>
      </c>
      <c r="AI56" s="10">
        <f ca="1">U77</f>
        <v>4151684.6443301998</v>
      </c>
      <c r="AJ56" s="3" t="s">
        <v>987</v>
      </c>
      <c r="AK56" s="35">
        <f ca="1">$AH56*AK$46</f>
        <v>263.0127200260971</v>
      </c>
      <c r="AL56" s="35">
        <f t="shared" ca="1" si="2"/>
        <v>134064.88123157533</v>
      </c>
      <c r="AM56" s="35">
        <f t="shared" ca="1" si="2"/>
        <v>124824.45819602231</v>
      </c>
      <c r="AN56" s="35">
        <f t="shared" ca="1" si="2"/>
        <v>69157.063707296824</v>
      </c>
      <c r="AO56" s="35">
        <f t="shared" ca="1" si="2"/>
        <v>568.73604113445356</v>
      </c>
      <c r="AP56" s="13" t="s">
        <v>379</v>
      </c>
      <c r="AQ56" s="11">
        <f t="shared" ca="1" si="1"/>
        <v>0</v>
      </c>
    </row>
    <row r="57" spans="1:43" ht="13.5" customHeight="1">
      <c r="B57" s="10"/>
      <c r="C57" s="10"/>
      <c r="D57" s="10"/>
      <c r="E57" s="10"/>
      <c r="F57" s="10"/>
      <c r="G57" s="10"/>
      <c r="H57" s="10"/>
      <c r="I57" s="10"/>
      <c r="J57" s="10"/>
      <c r="K57" s="10"/>
      <c r="L57" s="10"/>
      <c r="M57" s="228"/>
      <c r="N57" s="16"/>
      <c r="O57" s="16"/>
      <c r="P57" s="16"/>
      <c r="Q57" s="235"/>
      <c r="R57" s="11"/>
      <c r="S57" s="11"/>
      <c r="T57" s="10"/>
      <c r="U57" s="10"/>
      <c r="V57" s="10"/>
      <c r="W57" s="14"/>
      <c r="X57" s="10"/>
      <c r="Y57" s="10"/>
      <c r="Z57" s="11"/>
      <c r="AA57" s="13"/>
      <c r="AB57" s="224"/>
      <c r="AC57" s="224"/>
      <c r="AD57" s="14"/>
      <c r="AE57" s="14"/>
      <c r="AH57" s="10"/>
      <c r="AI57" s="10"/>
      <c r="AK57" s="35"/>
      <c r="AL57" s="35"/>
      <c r="AM57" s="35"/>
      <c r="AN57" s="35"/>
      <c r="AO57" s="35"/>
      <c r="AP57" s="13"/>
      <c r="AQ57" s="11"/>
    </row>
    <row r="58" spans="1:43" ht="13.5" customHeight="1">
      <c r="A58" s="3" t="s">
        <v>1077</v>
      </c>
      <c r="B58" s="10">
        <f ca="1">+'Summary Breakdown'!AD60</f>
        <v>992087.34</v>
      </c>
      <c r="C58" s="10">
        <f ca="1">B58-D58</f>
        <v>0</v>
      </c>
      <c r="D58" s="10">
        <f ca="1">+'Summary Breakdown'!AF60</f>
        <v>992087.34</v>
      </c>
      <c r="E58" s="10">
        <f ca="1">+'Summary Breakdown'!AG60</f>
        <v>99208.733999999997</v>
      </c>
      <c r="F58" s="10">
        <f ca="1">+'Summary Breakdown'!AH60</f>
        <v>165779.94624998738</v>
      </c>
      <c r="G58" s="10">
        <f ca="1">+'Summary Breakdown'!AI60</f>
        <v>264988.68024998734</v>
      </c>
      <c r="H58" s="10">
        <f ca="1">+'Summary Breakdown'!AJ60</f>
        <v>727098.65975001268</v>
      </c>
      <c r="I58" s="10"/>
      <c r="J58" s="10"/>
      <c r="K58" s="10"/>
      <c r="L58" s="10" t="s">
        <v>1336</v>
      </c>
      <c r="M58" s="228"/>
      <c r="N58" s="10"/>
      <c r="O58" s="10">
        <f ca="1">$H$58*('[3]Consolidated IS'!$X$143/'[3]Consolidated IS'!$T$143)</f>
        <v>15554.37307206792</v>
      </c>
      <c r="P58" s="10" t="s">
        <v>1336</v>
      </c>
      <c r="Q58" s="235"/>
      <c r="R58" s="11"/>
      <c r="S58" s="11"/>
      <c r="T58" s="139">
        <f ca="1">($E58-$J58-$N58)*AB58</f>
        <v>69229.542528045582</v>
      </c>
      <c r="U58" s="139">
        <f ca="1">($H58-$K58-$O58)*AB58</f>
        <v>496527.70949741814</v>
      </c>
      <c r="V58" s="139"/>
      <c r="W58" s="140"/>
      <c r="X58" s="139">
        <f ca="1">($E58-$J58-$N58)*AC58</f>
        <v>29979.1914719544</v>
      </c>
      <c r="Y58" s="139">
        <f ca="1">($H58-$K58-$O58)*AC58</f>
        <v>215016.57718052642</v>
      </c>
      <c r="Z58" s="11"/>
      <c r="AA58" s="10" t="s">
        <v>1336</v>
      </c>
      <c r="AB58" s="224">
        <f>'[3]Allocators (C)'!$H$89</f>
        <v>0.69781701405488739</v>
      </c>
      <c r="AC58" s="224">
        <f>'[3]Allocators (C)'!$I$89</f>
        <v>0.30218298594511245</v>
      </c>
      <c r="AD58" s="14"/>
      <c r="AE58" s="14"/>
      <c r="AH58" s="10"/>
      <c r="AI58" s="10"/>
      <c r="AK58" s="35"/>
      <c r="AL58" s="35"/>
      <c r="AM58" s="35"/>
      <c r="AN58" s="35"/>
      <c r="AO58" s="35"/>
      <c r="AP58" s="13"/>
      <c r="AQ58" s="11"/>
    </row>
    <row r="59" spans="1:43" ht="13.5" customHeight="1">
      <c r="B59" s="27"/>
      <c r="C59" s="27"/>
      <c r="D59" s="27"/>
      <c r="E59" s="10"/>
      <c r="F59" s="10"/>
      <c r="G59" s="10"/>
      <c r="H59" s="10"/>
      <c r="I59" s="10"/>
      <c r="J59" s="10"/>
      <c r="K59" s="10"/>
      <c r="L59" s="10"/>
      <c r="M59" s="228"/>
      <c r="N59" s="10"/>
      <c r="O59" s="10"/>
      <c r="P59" s="10"/>
      <c r="Q59" s="228"/>
      <c r="R59" s="11"/>
      <c r="S59" s="11"/>
      <c r="T59" s="10"/>
      <c r="U59" s="10"/>
      <c r="V59" s="10"/>
      <c r="W59" s="11"/>
      <c r="X59" s="10"/>
      <c r="Y59" s="10"/>
      <c r="Z59" s="11"/>
      <c r="AA59" s="32"/>
      <c r="AB59" s="28"/>
      <c r="AC59" s="28"/>
      <c r="AD59" s="14"/>
      <c r="AE59" s="11"/>
      <c r="AF59" s="35"/>
      <c r="AG59" s="3" t="s">
        <v>988</v>
      </c>
      <c r="AH59" s="10">
        <f ca="1">T78</f>
        <v>266763.07378679409</v>
      </c>
      <c r="AI59" s="10">
        <f ca="1">U78</f>
        <v>3367557.7131830812</v>
      </c>
      <c r="AJ59" s="3" t="s">
        <v>988</v>
      </c>
      <c r="AK59" s="35">
        <f ca="1">$AH59*AK$47</f>
        <v>408.97972400342059</v>
      </c>
      <c r="AL59" s="35">
        <f ca="1">$AH59*AL$47</f>
        <v>168029.66270460666</v>
      </c>
      <c r="AM59" s="35">
        <f ca="1">$AH59*AM$47</f>
        <v>60051.032966995313</v>
      </c>
      <c r="AN59" s="35">
        <f ca="1">$AH59*AN$47</f>
        <v>6632.5026988955869</v>
      </c>
      <c r="AO59" s="35">
        <f ca="1">$AH59*AO$47</f>
        <v>31640.895692293063</v>
      </c>
      <c r="AP59" s="13" t="s">
        <v>382</v>
      </c>
      <c r="AQ59" s="11">
        <f t="shared" ca="1" si="1"/>
        <v>0</v>
      </c>
    </row>
    <row r="60" spans="1:43" ht="13.5" customHeight="1">
      <c r="A60" s="3" t="s">
        <v>250</v>
      </c>
      <c r="B60" s="10">
        <f ca="1">+'Summary Breakdown'!AD62</f>
        <v>3925487.6814285722</v>
      </c>
      <c r="C60" s="10">
        <f ca="1">B60-D60</f>
        <v>0</v>
      </c>
      <c r="D60" s="10">
        <f ca="1">+'Summary Breakdown'!AF62</f>
        <v>3925487.6814285722</v>
      </c>
      <c r="E60" s="10">
        <f ca="1">+'Summary Breakdown'!AG62</f>
        <v>212902.75683333335</v>
      </c>
      <c r="F60" s="10">
        <f ca="1">+'Summary Breakdown'!AH62</f>
        <v>2958119.1652480145</v>
      </c>
      <c r="G60" s="10">
        <f ca="1">+'Summary Breakdown'!AI62</f>
        <v>3171021.922081348</v>
      </c>
      <c r="H60" s="10">
        <f ca="1">+'Summary Breakdown'!AJ62</f>
        <v>754465.75934722368</v>
      </c>
      <c r="I60" s="10"/>
      <c r="J60" s="10">
        <f ca="1">$E60*M60</f>
        <v>11426.299634620103</v>
      </c>
      <c r="K60" s="10">
        <f ca="1">$H60*M60</f>
        <v>40491.499305061341</v>
      </c>
      <c r="L60" s="239" t="s">
        <v>1324</v>
      </c>
      <c r="M60" s="238">
        <f>+'[3]Allocators (C)'!$E$170</f>
        <v>5.3669101352055076E-2</v>
      </c>
      <c r="N60" s="16"/>
      <c r="O60" s="16"/>
      <c r="P60" s="16"/>
      <c r="Q60" s="235"/>
      <c r="R60" s="14"/>
      <c r="S60" s="14"/>
      <c r="T60" s="139">
        <f ca="1">($E60-$J60-$N60)*AB60</f>
        <v>126798.46069035873</v>
      </c>
      <c r="U60" s="139">
        <f ca="1">($H60-$K60-$O60)*AB60</f>
        <v>449337.05111061619</v>
      </c>
      <c r="V60" s="139"/>
      <c r="W60" s="140"/>
      <c r="X60" s="139">
        <f ca="1">($E60-$J60-$N60)*AC60</f>
        <v>74677.99650835451</v>
      </c>
      <c r="Y60" s="139">
        <f ca="1">($H60-$K60-$O60)*AC60</f>
        <v>264637.20893154619</v>
      </c>
      <c r="Z60" s="14"/>
      <c r="AA60" s="13" t="s">
        <v>891</v>
      </c>
      <c r="AB60" s="224">
        <f>+'[3]Allocators (C)'!$H$170</f>
        <v>0.62934628915625257</v>
      </c>
      <c r="AC60" s="224">
        <f>+'[3]Allocators (C)'!$I$170</f>
        <v>0.37065371084374743</v>
      </c>
      <c r="AD60" s="14">
        <f ca="1">E60-T60-X60-J60-N60</f>
        <v>7.2759576141834259E-12</v>
      </c>
      <c r="AE60" s="14">
        <f ca="1">H60-U60-Y60-K60-O60</f>
        <v>-4.3655745685100555E-11</v>
      </c>
      <c r="AF60" s="16"/>
      <c r="AG60" s="3" t="s">
        <v>989</v>
      </c>
      <c r="AH60" s="10">
        <f ca="1">T60</f>
        <v>126798.46069035873</v>
      </c>
      <c r="AI60" s="10">
        <f ca="1">U60</f>
        <v>449337.05111061619</v>
      </c>
      <c r="AJ60" s="3" t="s">
        <v>989</v>
      </c>
      <c r="AK60" s="65">
        <f ca="1">$AH60*AK$50</f>
        <v>0</v>
      </c>
      <c r="AL60" s="65">
        <f ca="1">$AH60*AL$50</f>
        <v>101523.05748584116</v>
      </c>
      <c r="AM60" s="65">
        <f ca="1">$AH60*AM$50</f>
        <v>25275.403204517577</v>
      </c>
      <c r="AN60" s="65">
        <f ca="1">$AH60*AN$50</f>
        <v>0</v>
      </c>
      <c r="AO60" s="65">
        <f ca="1">$AH60*AO$50</f>
        <v>0</v>
      </c>
      <c r="AP60" s="13" t="s">
        <v>892</v>
      </c>
      <c r="AQ60" s="11">
        <f t="shared" ca="1" si="1"/>
        <v>0</v>
      </c>
    </row>
    <row r="61" spans="1:43" ht="13.5" customHeight="1">
      <c r="A61" s="3" t="s">
        <v>1032</v>
      </c>
      <c r="B61" s="10">
        <f ca="1">+'Summary Breakdown'!AD63</f>
        <v>710636.12999999989</v>
      </c>
      <c r="C61" s="10">
        <f ca="1">B61-D61</f>
        <v>0</v>
      </c>
      <c r="D61" s="10">
        <f ca="1">+'Summary Breakdown'!AF63</f>
        <v>710636.12999999989</v>
      </c>
      <c r="E61" s="10">
        <f ca="1">+'Summary Breakdown'!AG63</f>
        <v>35531.806499999992</v>
      </c>
      <c r="F61" s="10">
        <f ca="1">+'Summary Breakdown'!AH63</f>
        <v>198385.9196249973</v>
      </c>
      <c r="G61" s="10">
        <f ca="1">+'Summary Breakdown'!AI63</f>
        <v>233917.72612499731</v>
      </c>
      <c r="H61" s="10">
        <f ca="1">+'Summary Breakdown'!AJ63</f>
        <v>476718.40387500258</v>
      </c>
      <c r="I61" s="10"/>
      <c r="J61" s="10">
        <f ca="1">$E61*M61</f>
        <v>10001.522435187981</v>
      </c>
      <c r="K61" s="10">
        <f ca="1">$H61*M61</f>
        <v>134187.09267210617</v>
      </c>
      <c r="L61" s="239" t="s">
        <v>1325</v>
      </c>
      <c r="M61" s="238">
        <f>+'[3]Allocators (C)'!$E$168</f>
        <v>0.28148083141193464</v>
      </c>
      <c r="N61" s="16"/>
      <c r="O61" s="16"/>
      <c r="P61" s="16"/>
      <c r="Q61" s="235"/>
      <c r="R61" s="11"/>
      <c r="S61" s="11"/>
      <c r="T61" s="139">
        <f ca="1">($E61-$J61-$N61)*AB61</f>
        <v>17192.948504975491</v>
      </c>
      <c r="U61" s="139">
        <f ca="1">($H61-$K61-$O61)*AB61</f>
        <v>230672.05910842249</v>
      </c>
      <c r="V61" s="139"/>
      <c r="W61" s="140"/>
      <c r="X61" s="139">
        <f ca="1">($E61-$J61-$N61)*AC61</f>
        <v>8337.3355598365179</v>
      </c>
      <c r="Y61" s="139">
        <f ca="1">($H61-$K61-$O61)*AC61</f>
        <v>111859.25209447391</v>
      </c>
      <c r="Z61" s="11"/>
      <c r="AA61" s="13" t="s">
        <v>1039</v>
      </c>
      <c r="AB61" s="224">
        <f>+'[3]Allocators (C)'!$H$168</f>
        <v>0.67343349808912867</v>
      </c>
      <c r="AC61" s="224">
        <f>+'[3]Allocators (C)'!$I$168</f>
        <v>0.32656650191087128</v>
      </c>
      <c r="AD61" s="14">
        <f ca="1">E61-T61-X61-J61-N61</f>
        <v>1.8189894035458565E-12</v>
      </c>
      <c r="AE61" s="14">
        <f ca="1">H61-U61-Y61-K61-O61</f>
        <v>0</v>
      </c>
      <c r="AF61" s="35"/>
      <c r="AG61" s="3" t="s">
        <v>1032</v>
      </c>
      <c r="AH61" s="11">
        <f ca="1">T61</f>
        <v>17192.948504975491</v>
      </c>
      <c r="AI61" s="11">
        <f ca="1">U61</f>
        <v>230672.05910842249</v>
      </c>
      <c r="AJ61" s="3" t="s">
        <v>1032</v>
      </c>
      <c r="AK61" s="148">
        <v>0</v>
      </c>
      <c r="AL61" s="148">
        <v>0</v>
      </c>
      <c r="AM61" s="148">
        <f ca="1">AH61</f>
        <v>17192.948504975491</v>
      </c>
      <c r="AN61" s="148">
        <v>0</v>
      </c>
      <c r="AO61" s="148">
        <v>0</v>
      </c>
      <c r="AP61" s="13" t="s">
        <v>922</v>
      </c>
      <c r="AQ61" s="11">
        <f t="shared" ca="1" si="1"/>
        <v>0</v>
      </c>
    </row>
    <row r="62" spans="1:43" ht="13.5" customHeight="1">
      <c r="A62" s="3" t="s">
        <v>373</v>
      </c>
      <c r="B62" s="10">
        <f ca="1">+'Summary Breakdown'!AD64</f>
        <v>724910</v>
      </c>
      <c r="C62" s="10">
        <f ca="1">B62-D62</f>
        <v>0</v>
      </c>
      <c r="D62" s="10">
        <f ca="1">+'Summary Breakdown'!AF64</f>
        <v>724910</v>
      </c>
      <c r="E62" s="10">
        <f ca="1">+'Summary Breakdown'!AG64</f>
        <v>0</v>
      </c>
      <c r="F62" s="10">
        <f ca="1">+'Summary Breakdown'!AH64</f>
        <v>0</v>
      </c>
      <c r="G62" s="10">
        <f ca="1">+'Summary Breakdown'!AI64</f>
        <v>0</v>
      </c>
      <c r="H62" s="10">
        <f ca="1">+'Summary Breakdown'!AJ64</f>
        <v>724910</v>
      </c>
      <c r="I62" s="10"/>
      <c r="J62" s="10"/>
      <c r="K62" s="247">
        <f ca="1">SUM(K82:K84)</f>
        <v>517339.86676580814</v>
      </c>
      <c r="L62" s="10" t="s">
        <v>927</v>
      </c>
      <c r="M62" s="228"/>
      <c r="N62" s="10">
        <f ca="1">SUM(N82:N84)</f>
        <v>0</v>
      </c>
      <c r="O62" s="247">
        <f ca="1">SUM(O82:O84)</f>
        <v>3245.9808977854814</v>
      </c>
      <c r="P62" s="10" t="s">
        <v>927</v>
      </c>
      <c r="Q62" s="228"/>
      <c r="T62" s="36">
        <f ca="1">SUM(T82:T84)</f>
        <v>0</v>
      </c>
      <c r="U62" s="36"/>
      <c r="V62" s="10"/>
      <c r="W62" s="37"/>
      <c r="X62" s="36"/>
      <c r="Y62" s="36"/>
      <c r="Z62" s="14"/>
      <c r="AA62" s="13" t="s">
        <v>927</v>
      </c>
      <c r="AB62" s="28">
        <f>SUM('[4]Hours+Tons'!$D$77:$D$79)</f>
        <v>0.56718209558666288</v>
      </c>
      <c r="AC62" s="28">
        <f>'[4]Hours+Tons'!$D$80</f>
        <v>0.32772506144090635</v>
      </c>
      <c r="AD62" s="14"/>
      <c r="AE62" s="14"/>
      <c r="AF62" s="35"/>
      <c r="AH62" s="11"/>
      <c r="AI62" s="11"/>
      <c r="AK62" s="148"/>
      <c r="AL62" s="148"/>
      <c r="AM62" s="148"/>
      <c r="AN62" s="148"/>
      <c r="AO62" s="148"/>
      <c r="AP62" s="13"/>
      <c r="AQ62" s="11"/>
    </row>
    <row r="63" spans="1:43" ht="13.5" customHeight="1">
      <c r="A63" s="3" t="s">
        <v>369</v>
      </c>
      <c r="B63" s="10">
        <f ca="1">+'Summary Breakdown'!AD65</f>
        <v>924900</v>
      </c>
      <c r="C63" s="10">
        <f ca="1">B63-D63</f>
        <v>0</v>
      </c>
      <c r="D63" s="10">
        <f ca="1">+'Summary Breakdown'!AF65</f>
        <v>924900</v>
      </c>
      <c r="E63" s="10">
        <f ca="1">+'Summary Breakdown'!AG65</f>
        <v>0</v>
      </c>
      <c r="F63" s="10">
        <f ca="1">+'Summary Breakdown'!AH65</f>
        <v>0</v>
      </c>
      <c r="G63" s="10">
        <f ca="1">+'Summary Breakdown'!AI65</f>
        <v>0</v>
      </c>
      <c r="H63" s="10">
        <f ca="1">+'Summary Breakdown'!AJ65</f>
        <v>924900</v>
      </c>
      <c r="I63" s="10"/>
      <c r="J63" s="10"/>
      <c r="K63" s="247">
        <f ca="1">K81</f>
        <v>52000.920078725794</v>
      </c>
      <c r="L63" s="10" t="s">
        <v>927</v>
      </c>
      <c r="M63" s="228"/>
      <c r="N63" s="10">
        <f ca="1">N81</f>
        <v>0</v>
      </c>
      <c r="O63" s="247">
        <f ca="1">O81</f>
        <v>3982.6796706837217</v>
      </c>
      <c r="P63" s="10" t="s">
        <v>927</v>
      </c>
      <c r="Q63" s="228"/>
      <c r="T63" s="36">
        <f ca="1">T81</f>
        <v>0</v>
      </c>
      <c r="U63" s="248">
        <f ca="1">($U$81*AB52)+(($U$82+$U$83)*AB50)+($U$84*AB60)</f>
        <v>734172.09640350321</v>
      </c>
      <c r="V63" s="10"/>
      <c r="W63" s="37"/>
      <c r="X63" s="36">
        <f ca="1">X81</f>
        <v>0</v>
      </c>
      <c r="Y63" s="248">
        <f ca="1">($U$81*AC52)+(($U$82+$U$83)*AC50)+($U$84*AC60)</f>
        <v>339068.45618349366</v>
      </c>
      <c r="Z63" s="14"/>
      <c r="AA63" s="13" t="s">
        <v>1328</v>
      </c>
      <c r="AB63" s="224">
        <f>'[3]Allocators (C)'!$H$40</f>
        <v>0.67620614807894575</v>
      </c>
      <c r="AC63" s="224">
        <f>'[3]Allocators (C)'!$I$40</f>
        <v>0.32379385192105425</v>
      </c>
      <c r="AD63" s="14">
        <f ca="1">E63-T63-X63-J63-N63</f>
        <v>0</v>
      </c>
      <c r="AE63" s="14">
        <f ca="1">H63+H62-U63-Y63-K63-O63-K62-O62</f>
        <v>-8.4128259913995862E-11</v>
      </c>
      <c r="AF63" s="35"/>
      <c r="AH63" s="11"/>
      <c r="AI63" s="11"/>
      <c r="AK63" s="148"/>
      <c r="AL63" s="148"/>
      <c r="AM63" s="148"/>
      <c r="AN63" s="148"/>
      <c r="AO63" s="148"/>
      <c r="AP63" s="13"/>
      <c r="AQ63" s="11"/>
    </row>
    <row r="64" spans="1:43" ht="13.5" customHeight="1">
      <c r="A64" s="20"/>
      <c r="B64" s="10"/>
      <c r="C64" s="27"/>
      <c r="D64" s="27"/>
      <c r="E64" s="27"/>
      <c r="F64" s="27"/>
      <c r="G64" s="27"/>
      <c r="H64" s="10"/>
      <c r="I64" s="10"/>
      <c r="J64" s="10"/>
      <c r="K64" s="10"/>
      <c r="L64" s="10"/>
      <c r="M64" s="228"/>
      <c r="N64" s="27"/>
      <c r="O64" s="27"/>
      <c r="P64" s="10"/>
      <c r="Q64" s="228"/>
      <c r="T64" s="10"/>
      <c r="U64" s="27"/>
      <c r="V64" s="10"/>
      <c r="X64" s="10"/>
      <c r="Y64" s="27"/>
      <c r="AB64" s="15"/>
      <c r="AC64" s="15"/>
      <c r="AE64" s="11"/>
      <c r="AF64" s="35"/>
      <c r="AG64" s="39" t="s">
        <v>372</v>
      </c>
      <c r="AH64" s="11">
        <f t="shared" ref="AH64:AI67" ca="1" si="3">T81</f>
        <v>0</v>
      </c>
      <c r="AI64" s="11">
        <f t="shared" ca="1" si="3"/>
        <v>307792.22060119017</v>
      </c>
      <c r="AJ64" s="39" t="s">
        <v>372</v>
      </c>
      <c r="AK64" s="148">
        <v>0</v>
      </c>
      <c r="AL64" s="148">
        <v>0</v>
      </c>
      <c r="AM64" s="148">
        <v>0</v>
      </c>
      <c r="AN64" s="148">
        <v>0</v>
      </c>
      <c r="AO64" s="148">
        <v>0</v>
      </c>
      <c r="AQ64" s="11">
        <f t="shared" ca="1" si="1"/>
        <v>0</v>
      </c>
    </row>
    <row r="65" spans="1:43" ht="13.5" customHeight="1" thickBot="1">
      <c r="A65" s="24" t="s">
        <v>893</v>
      </c>
      <c r="B65" s="25">
        <f t="shared" ref="B65:H65" ca="1" si="4">SUM(B48:B63)</f>
        <v>25571403.691428568</v>
      </c>
      <c r="C65" s="25">
        <f t="shared" ca="1" si="4"/>
        <v>0</v>
      </c>
      <c r="D65" s="25">
        <f t="shared" ca="1" si="4"/>
        <v>25571403.691428568</v>
      </c>
      <c r="E65" s="25">
        <f t="shared" ca="1" si="4"/>
        <v>1401212.3629337829</v>
      </c>
      <c r="F65" s="25">
        <f t="shared" ca="1" si="4"/>
        <v>9062103.1608012617</v>
      </c>
      <c r="G65" s="25">
        <f t="shared" ca="1" si="4"/>
        <v>10517131.469290607</v>
      </c>
      <c r="H65" s="26">
        <f t="shared" ca="1" si="4"/>
        <v>15054272.222137963</v>
      </c>
      <c r="I65" s="23"/>
      <c r="J65" s="26">
        <f ca="1">SUM(J45:J63)</f>
        <v>281533.88867029891</v>
      </c>
      <c r="K65" s="26">
        <f ca="1">SUM(K45:K63)</f>
        <v>3621893.9372732188</v>
      </c>
      <c r="L65" s="23"/>
      <c r="M65" s="229"/>
      <c r="N65" s="25">
        <f ca="1">SUM(N48:N63)</f>
        <v>16575.606351156526</v>
      </c>
      <c r="O65" s="25">
        <f ca="1">SUM(O48:O63)</f>
        <v>192732.58786570112</v>
      </c>
      <c r="P65" s="23"/>
      <c r="Q65" s="229"/>
      <c r="R65" s="11"/>
      <c r="S65" s="11"/>
      <c r="T65" s="26">
        <f ca="1">SUM(T48:T63)</f>
        <v>749318.22536072764</v>
      </c>
      <c r="U65" s="25">
        <f ca="1">SUM(U48:U63)</f>
        <v>7686972.9360433696</v>
      </c>
      <c r="V65" s="23"/>
      <c r="W65" s="11"/>
      <c r="X65" s="26">
        <f ca="1">SUM(X48:X63)</f>
        <v>355925.51055160002</v>
      </c>
      <c r="Y65" s="25">
        <f ca="1">SUM(Y48:Y63)</f>
        <v>3561236.2329556746</v>
      </c>
      <c r="Z65" s="11"/>
      <c r="AA65" s="11"/>
      <c r="AB65" s="38"/>
      <c r="AC65" s="38"/>
      <c r="AD65" s="11"/>
      <c r="AE65" s="11"/>
      <c r="AF65" s="35"/>
      <c r="AG65" s="39" t="s">
        <v>373</v>
      </c>
      <c r="AH65" s="11">
        <f t="shared" ca="1" si="3"/>
        <v>0</v>
      </c>
      <c r="AI65" s="11">
        <f t="shared" ca="1" si="3"/>
        <v>112077.46113225668</v>
      </c>
      <c r="AJ65" s="39" t="s">
        <v>373</v>
      </c>
      <c r="AK65" s="148">
        <v>0</v>
      </c>
      <c r="AL65" s="148">
        <v>0</v>
      </c>
      <c r="AM65" s="148">
        <v>0</v>
      </c>
      <c r="AN65" s="148">
        <v>0</v>
      </c>
      <c r="AO65" s="148">
        <v>0</v>
      </c>
      <c r="AQ65" s="11">
        <f t="shared" ca="1" si="1"/>
        <v>0</v>
      </c>
    </row>
    <row r="66" spans="1:43" ht="13.5" customHeight="1">
      <c r="B66" s="10"/>
      <c r="C66" s="10"/>
      <c r="D66" s="10"/>
      <c r="E66" s="27">
        <f ca="1">+'Summary Breakdown'!AG67-Summary!E65</f>
        <v>0</v>
      </c>
      <c r="F66" s="27"/>
      <c r="G66" s="27"/>
      <c r="H66" s="27">
        <f ca="1">+'Summary Breakdown'!AJ67-Summary!H65</f>
        <v>0</v>
      </c>
      <c r="I66" s="10"/>
      <c r="J66" s="10"/>
      <c r="K66" s="10"/>
      <c r="L66" s="10"/>
      <c r="M66" s="228"/>
      <c r="N66" s="27"/>
      <c r="O66" s="27"/>
      <c r="P66" s="10"/>
      <c r="Q66" s="228"/>
      <c r="R66" s="11"/>
      <c r="S66" s="11"/>
      <c r="T66" s="10"/>
      <c r="U66" s="27"/>
      <c r="V66" s="10"/>
      <c r="W66" s="11"/>
      <c r="X66" s="10"/>
      <c r="Y66" s="27"/>
      <c r="Z66" s="11"/>
      <c r="AA66" s="11"/>
      <c r="AB66" s="11"/>
      <c r="AC66" s="11"/>
      <c r="AD66" s="11"/>
      <c r="AE66" s="11"/>
      <c r="AF66" s="35"/>
      <c r="AG66" s="39" t="s">
        <v>374</v>
      </c>
      <c r="AH66" s="11">
        <f t="shared" ca="1" si="3"/>
        <v>0</v>
      </c>
      <c r="AI66" s="11">
        <f t="shared" ca="1" si="3"/>
        <v>535046.36137133581</v>
      </c>
      <c r="AJ66" s="39" t="s">
        <v>374</v>
      </c>
      <c r="AK66" s="148">
        <v>0</v>
      </c>
      <c r="AL66" s="148">
        <v>0</v>
      </c>
      <c r="AM66" s="148">
        <v>0</v>
      </c>
      <c r="AN66" s="148">
        <v>0</v>
      </c>
      <c r="AO66" s="148">
        <v>0</v>
      </c>
      <c r="AQ66" s="11">
        <f t="shared" ca="1" si="1"/>
        <v>0</v>
      </c>
    </row>
    <row r="67" spans="1:43" ht="13.5" customHeight="1" thickBot="1">
      <c r="A67" s="24" t="s">
        <v>115</v>
      </c>
      <c r="B67" s="25">
        <f ca="1">SUM(B65,B46,B26)</f>
        <v>87149485.825701281</v>
      </c>
      <c r="C67" s="25">
        <f t="shared" ref="C67:H67" ca="1" si="5">SUM(C65,C46,C26)</f>
        <v>2436.9247999986619</v>
      </c>
      <c r="D67" s="25">
        <f t="shared" ca="1" si="5"/>
        <v>87147048.900901288</v>
      </c>
      <c r="E67" s="25">
        <f t="shared" ca="1" si="5"/>
        <v>5589501.9172551669</v>
      </c>
      <c r="F67" s="25">
        <f t="shared" ca="1" si="5"/>
        <v>42145873.707937524</v>
      </c>
      <c r="G67" s="25">
        <f t="shared" ca="1" si="5"/>
        <v>47686686.534639314</v>
      </c>
      <c r="H67" s="26">
        <f t="shared" ca="1" si="5"/>
        <v>35108517.480061978</v>
      </c>
      <c r="I67" s="23"/>
      <c r="J67" s="26">
        <f ca="1">SUM(J47:J65)</f>
        <v>563067.77734059782</v>
      </c>
      <c r="K67" s="26">
        <f ca="1">SUM(K47:K65)</f>
        <v>7243787.8745464375</v>
      </c>
      <c r="L67" s="23"/>
      <c r="M67" s="229"/>
      <c r="N67" s="25">
        <f ca="1">SUM(N65,N46,N26)</f>
        <v>29311.005365934852</v>
      </c>
      <c r="O67" s="25">
        <f ca="1">SUM(O65,O46,O26)</f>
        <v>232084.97082136612</v>
      </c>
      <c r="P67" s="23"/>
      <c r="Q67" s="229"/>
      <c r="R67" s="11"/>
      <c r="S67" s="11"/>
      <c r="T67" s="26">
        <f ca="1">SUM(T65,T46,T26)</f>
        <v>3697692.8319484266</v>
      </c>
      <c r="U67" s="25">
        <f ca="1">SUM(U65,U46,U26)</f>
        <v>21809819.760288332</v>
      </c>
      <c r="V67" s="23"/>
      <c r="W67" s="11"/>
      <c r="X67" s="26">
        <f ca="1">SUM(X65,X46,X26)</f>
        <v>1595840.4582852861</v>
      </c>
      <c r="Y67" s="25">
        <f ca="1">SUM(Y65,Y46,Y26)</f>
        <v>9492634.6666347217</v>
      </c>
      <c r="Z67" s="11"/>
      <c r="AA67" s="11"/>
      <c r="AB67" s="11"/>
      <c r="AC67" s="11"/>
      <c r="AD67" s="11"/>
      <c r="AE67" s="11"/>
      <c r="AF67" s="35"/>
      <c r="AG67" s="39" t="s">
        <v>375</v>
      </c>
      <c r="AH67" s="11">
        <f t="shared" ca="1" si="3"/>
        <v>0</v>
      </c>
      <c r="AI67" s="11">
        <f t="shared" ca="1" si="3"/>
        <v>118324.50948221437</v>
      </c>
      <c r="AJ67" s="39" t="s">
        <v>375</v>
      </c>
      <c r="AK67" s="148">
        <v>0</v>
      </c>
      <c r="AL67" s="148">
        <v>0</v>
      </c>
      <c r="AM67" s="148">
        <v>0</v>
      </c>
      <c r="AN67" s="148">
        <v>0</v>
      </c>
      <c r="AO67" s="148">
        <v>0</v>
      </c>
      <c r="AQ67" s="11">
        <f t="shared" ca="1" si="1"/>
        <v>0</v>
      </c>
    </row>
    <row r="68" spans="1:43" ht="13.5" customHeight="1">
      <c r="B68" s="11">
        <f ca="1">+'Summary Breakdown'!AD69-Summary!B67</f>
        <v>0</v>
      </c>
      <c r="C68" s="11">
        <f ca="1">+'Summary Breakdown'!AE69-Summary!C67</f>
        <v>0</v>
      </c>
      <c r="D68" s="11">
        <f ca="1">+'Summary Breakdown'!AF69-Summary!D67</f>
        <v>0</v>
      </c>
      <c r="E68" s="11">
        <f ca="1">+'Summary Breakdown'!AG69-Summary!E67</f>
        <v>0</v>
      </c>
      <c r="F68" s="11">
        <f ca="1">+'Summary Breakdown'!AH69-Summary!F67</f>
        <v>0</v>
      </c>
      <c r="G68" s="11">
        <f ca="1">+'Summary Breakdown'!AI69-Summary!G67</f>
        <v>0</v>
      </c>
      <c r="H68" s="11">
        <f ca="1">+'Summary Breakdown'!AJ69-Summary!H67</f>
        <v>0</v>
      </c>
      <c r="I68" s="11"/>
      <c r="J68" s="11"/>
      <c r="K68" s="11"/>
      <c r="L68" s="11"/>
      <c r="M68" s="231"/>
      <c r="N68" s="11"/>
      <c r="O68" s="11"/>
      <c r="P68" s="11"/>
      <c r="Q68" s="231"/>
      <c r="R68" s="20"/>
      <c r="T68" s="11"/>
      <c r="U68" s="11"/>
      <c r="V68" s="11"/>
      <c r="X68" s="11"/>
      <c r="Y68" s="11"/>
      <c r="AE68" s="11"/>
      <c r="AJ68" s="149"/>
      <c r="AK68" s="149"/>
      <c r="AL68" s="149"/>
      <c r="AM68" s="149"/>
      <c r="AN68" s="149"/>
      <c r="AO68" s="149"/>
    </row>
    <row r="69" spans="1:43" ht="13.5" customHeight="1">
      <c r="B69" s="11"/>
      <c r="C69" s="11"/>
      <c r="D69" s="11"/>
      <c r="E69" s="11"/>
      <c r="F69" s="11"/>
      <c r="G69" s="11"/>
      <c r="H69" s="11"/>
      <c r="I69" s="11"/>
      <c r="J69" s="11"/>
      <c r="K69" s="11"/>
      <c r="L69" s="11"/>
      <c r="M69" s="231"/>
      <c r="N69" s="11"/>
      <c r="O69" s="11"/>
      <c r="P69" s="11"/>
      <c r="Q69" s="231"/>
      <c r="T69" s="11"/>
      <c r="U69" s="11"/>
      <c r="V69" s="11"/>
      <c r="X69" s="11"/>
      <c r="Y69" s="11"/>
      <c r="AE69" s="11"/>
      <c r="AF69" s="11"/>
      <c r="AG69" s="22" t="s">
        <v>994</v>
      </c>
      <c r="AH69" s="37">
        <f ca="1">SUM(AH52:AH67)</f>
        <v>841025.84436330583</v>
      </c>
      <c r="AI69" s="37">
        <f ca="1">SUM(AI52:AI67)</f>
        <v>9653524.6642572619</v>
      </c>
      <c r="AK69" s="14">
        <f ca="1">SUM(AK53:AK68)</f>
        <v>1041.5523010014977</v>
      </c>
      <c r="AL69" s="14">
        <f ca="1">SUM(AL53:AL68)</f>
        <v>460986.67356847558</v>
      </c>
      <c r="AM69" s="14">
        <f ca="1">SUM(AM53:AM68)</f>
        <v>253388.37490892009</v>
      </c>
      <c r="AN69" s="14">
        <f ca="1">SUM(AN53:AN68)</f>
        <v>81870.147658071364</v>
      </c>
      <c r="AO69" s="14">
        <f ca="1">SUM(AO53:AO68)</f>
        <v>43739.095926837115</v>
      </c>
      <c r="AP69" s="11">
        <f ca="1">SUM(AK69:AO69)-AH69</f>
        <v>0</v>
      </c>
    </row>
    <row r="70" spans="1:43" ht="13.5" customHeight="1">
      <c r="B70" s="11"/>
      <c r="C70" s="11"/>
      <c r="D70" s="11"/>
      <c r="E70" s="11"/>
      <c r="F70" s="11"/>
      <c r="G70" s="11"/>
      <c r="H70" s="11"/>
      <c r="I70" s="11"/>
      <c r="J70" s="11"/>
      <c r="K70" s="11"/>
      <c r="L70" s="11"/>
      <c r="M70" s="231"/>
      <c r="N70" s="11"/>
      <c r="O70" s="11"/>
      <c r="P70" s="11"/>
      <c r="Q70" s="231"/>
      <c r="T70" s="11"/>
      <c r="U70" s="11"/>
      <c r="V70" s="11"/>
      <c r="X70" s="11"/>
      <c r="Y70" s="11"/>
      <c r="AE70" s="11"/>
      <c r="AF70" s="11"/>
      <c r="AH70" s="10">
        <f ca="1">AH69-T65</f>
        <v>91707.619002578198</v>
      </c>
      <c r="AI70" s="10">
        <f ca="1">AI69-U65</f>
        <v>1966551.7282138923</v>
      </c>
    </row>
    <row r="71" spans="1:43" ht="13.5" customHeight="1" thickBot="1">
      <c r="A71" s="39"/>
      <c r="B71" s="39"/>
      <c r="C71" s="39"/>
      <c r="D71" s="39"/>
      <c r="E71" s="39"/>
      <c r="F71" s="39"/>
      <c r="G71" s="39"/>
      <c r="H71" s="39"/>
      <c r="I71" s="39"/>
      <c r="J71" s="39"/>
      <c r="K71" s="39"/>
      <c r="L71" s="39"/>
      <c r="M71" s="232"/>
      <c r="R71" s="39"/>
      <c r="S71" s="39"/>
      <c r="X71" s="11"/>
      <c r="Y71" s="11"/>
      <c r="AE71" s="11"/>
      <c r="AF71" s="11"/>
      <c r="AG71" s="33" t="s">
        <v>990</v>
      </c>
      <c r="AH71" s="37" t="e">
        <f ca="1">SUM(AH34,AH50,AH69)</f>
        <v>#REF!</v>
      </c>
      <c r="AI71" s="37" t="e">
        <f ca="1">SUM(AI34,AI50,AI69)</f>
        <v>#REF!</v>
      </c>
    </row>
    <row r="72" spans="1:43" ht="13.5" customHeight="1" thickBot="1">
      <c r="A72" s="39"/>
      <c r="B72" s="39"/>
      <c r="C72" s="39"/>
      <c r="D72" s="39"/>
      <c r="E72" s="39"/>
      <c r="F72" s="39"/>
      <c r="G72" s="39"/>
      <c r="H72" s="39"/>
      <c r="I72" s="39"/>
      <c r="J72" s="39"/>
      <c r="K72" s="39"/>
      <c r="L72" s="39"/>
      <c r="M72" s="232"/>
      <c r="R72" s="39"/>
      <c r="S72" s="39"/>
      <c r="X72" s="11"/>
      <c r="Y72" s="11"/>
      <c r="AE72" s="11"/>
      <c r="AF72" s="11"/>
      <c r="AJ72" s="110" t="s">
        <v>1036</v>
      </c>
      <c r="AK72" s="110" t="s">
        <v>160</v>
      </c>
      <c r="AL72" s="110" t="s">
        <v>1002</v>
      </c>
      <c r="AM72" s="110" t="s">
        <v>1003</v>
      </c>
      <c r="AN72" s="110" t="s">
        <v>99</v>
      </c>
      <c r="AO72" s="110" t="s">
        <v>1004</v>
      </c>
    </row>
    <row r="73" spans="1:43" ht="13.5" customHeight="1">
      <c r="A73" s="59" t="s">
        <v>381</v>
      </c>
      <c r="B73" s="39"/>
      <c r="C73" s="39"/>
      <c r="D73" s="39"/>
      <c r="E73" s="39"/>
      <c r="F73" s="39"/>
      <c r="G73" s="39"/>
      <c r="H73" s="39"/>
      <c r="I73" s="39"/>
      <c r="J73" s="39"/>
      <c r="K73" s="39"/>
      <c r="L73" s="39"/>
      <c r="M73" s="232"/>
      <c r="R73" s="39"/>
      <c r="S73" s="39"/>
      <c r="X73" s="11"/>
      <c r="Y73" s="11"/>
      <c r="AE73" s="11"/>
      <c r="AF73" s="11"/>
    </row>
    <row r="74" spans="1:43" ht="13.5" customHeight="1">
      <c r="A74" s="39"/>
      <c r="B74" s="39"/>
      <c r="C74" s="39"/>
      <c r="D74" s="39"/>
      <c r="E74" s="39"/>
      <c r="F74" s="39"/>
      <c r="G74" s="39"/>
      <c r="H74" s="39"/>
      <c r="I74" s="39"/>
      <c r="J74" s="39"/>
      <c r="K74" s="39"/>
      <c r="L74" s="39"/>
      <c r="M74" s="232"/>
      <c r="R74" s="39"/>
      <c r="S74" s="39"/>
      <c r="X74" s="11"/>
      <c r="Y74" s="11"/>
      <c r="AE74" s="11"/>
      <c r="AF74" s="11"/>
      <c r="AK74" s="27">
        <f>$AI68*AK$49</f>
        <v>0</v>
      </c>
      <c r="AL74" s="35">
        <f>$AI68*AL$49</f>
        <v>0</v>
      </c>
      <c r="AM74" s="27">
        <f>$AI68*AM$49</f>
        <v>0</v>
      </c>
      <c r="AN74" s="27">
        <f>$AI68*AN$49</f>
        <v>0</v>
      </c>
      <c r="AO74" s="27">
        <f>$AI68*AO$49</f>
        <v>0</v>
      </c>
    </row>
    <row r="75" spans="1:43" ht="13.5" customHeight="1">
      <c r="A75" s="39"/>
      <c r="B75" s="40"/>
      <c r="C75" s="40"/>
      <c r="D75" s="40"/>
      <c r="E75" s="40" t="s">
        <v>122</v>
      </c>
      <c r="F75" s="40" t="s">
        <v>18</v>
      </c>
      <c r="G75" s="40" t="s">
        <v>118</v>
      </c>
      <c r="H75" s="40" t="s">
        <v>38</v>
      </c>
      <c r="I75" s="40"/>
      <c r="J75" s="40"/>
      <c r="K75" s="40"/>
      <c r="L75" s="40"/>
      <c r="M75" s="40"/>
      <c r="R75" s="39"/>
      <c r="S75" s="39"/>
      <c r="X75" s="11"/>
      <c r="Y75" s="11"/>
      <c r="AE75" s="11"/>
      <c r="AF75" s="11"/>
      <c r="AJ75" s="3" t="s">
        <v>986</v>
      </c>
      <c r="AK75" s="27">
        <f ca="1">$AI53*AK$49</f>
        <v>927.27365648947466</v>
      </c>
      <c r="AL75" s="27">
        <f ca="1">$AI53*AL$49</f>
        <v>66304.760291110651</v>
      </c>
      <c r="AM75" s="27">
        <f ca="1">$AI53*AM$49</f>
        <v>39819.383080255961</v>
      </c>
      <c r="AN75" s="27">
        <f ca="1">$AI53*AN$49</f>
        <v>13394.88224268261</v>
      </c>
      <c r="AO75" s="27">
        <f ca="1">$AI53*AO$49</f>
        <v>15634.905102557294</v>
      </c>
      <c r="AP75" s="13" t="s">
        <v>889</v>
      </c>
      <c r="AQ75" s="11">
        <f ca="1">AI53-SUM(AK75:AO75)</f>
        <v>0</v>
      </c>
    </row>
    <row r="76" spans="1:43" ht="13.5" customHeight="1">
      <c r="A76" s="39"/>
      <c r="B76" s="41" t="s">
        <v>42</v>
      </c>
      <c r="C76" s="41" t="s">
        <v>23</v>
      </c>
      <c r="D76" s="41" t="s">
        <v>67</v>
      </c>
      <c r="E76" s="41" t="s">
        <v>67</v>
      </c>
      <c r="F76" s="41" t="s">
        <v>123</v>
      </c>
      <c r="G76" s="41" t="s">
        <v>123</v>
      </c>
      <c r="H76" s="41" t="s">
        <v>45</v>
      </c>
      <c r="I76" s="40"/>
      <c r="J76" s="40"/>
      <c r="K76" s="40"/>
      <c r="L76" s="40"/>
      <c r="M76" s="40"/>
      <c r="R76" s="39"/>
      <c r="S76" s="39"/>
      <c r="X76" s="11"/>
      <c r="Y76" s="11"/>
      <c r="AE76" s="11"/>
      <c r="AF76" s="11"/>
      <c r="AJ76" s="3" t="s">
        <v>301</v>
      </c>
      <c r="AK76" s="35">
        <f ca="1">$AI54*AK$47</f>
        <v>372.91639389224588</v>
      </c>
      <c r="AL76" s="35">
        <f ca="1">$AI54*AL$47</f>
        <v>153213.01327448752</v>
      </c>
      <c r="AM76" s="35">
        <f ca="1">$AI54*AM$47</f>
        <v>54755.806582159486</v>
      </c>
      <c r="AN76" s="35">
        <f ca="1">$AI54*AN$47</f>
        <v>6047.6567511499516</v>
      </c>
      <c r="AO76" s="35">
        <f ca="1">$AI54*AO$47</f>
        <v>28850.840343840468</v>
      </c>
      <c r="AP76" s="13" t="s">
        <v>382</v>
      </c>
      <c r="AQ76" s="11">
        <f ca="1">AI54-SUM(AK76:AO76)</f>
        <v>0</v>
      </c>
    </row>
    <row r="77" spans="1:43" ht="13.5" customHeight="1">
      <c r="A77" s="39" t="s">
        <v>384</v>
      </c>
      <c r="B77" s="42">
        <f ca="1">B54*$C$92</f>
        <v>7419750.2826806465</v>
      </c>
      <c r="C77" s="39"/>
      <c r="D77" s="42">
        <f ca="1">D54*$C$92</f>
        <v>7419750.2826806465</v>
      </c>
      <c r="E77" s="42">
        <f ca="1">E54*$C$92</f>
        <v>388697.02186655573</v>
      </c>
      <c r="F77" s="42">
        <f ca="1">F54*$C$92</f>
        <v>2124228.5061849076</v>
      </c>
      <c r="G77" s="42">
        <f ca="1">G54*$C$92</f>
        <v>2512925.5280514634</v>
      </c>
      <c r="H77" s="42">
        <f ca="1">H54*$C$92</f>
        <v>4906824.7546291826</v>
      </c>
      <c r="I77" s="42"/>
      <c r="J77" s="10">
        <f ca="1">$E77*$F$131</f>
        <v>55563.34873890465</v>
      </c>
      <c r="K77" s="10">
        <f ca="1">$H77*$F$131</f>
        <v>701419.35673423263</v>
      </c>
      <c r="L77" s="42"/>
      <c r="M77" s="233"/>
      <c r="N77" s="10">
        <f ca="1">$E77*$E$131</f>
        <v>4255.5212315960225</v>
      </c>
      <c r="O77" s="10">
        <f ca="1">H77*$E$131</f>
        <v>53720.753564749866</v>
      </c>
      <c r="P77" s="10"/>
      <c r="Q77" s="228"/>
      <c r="R77" s="43"/>
      <c r="S77" s="39"/>
      <c r="T77" s="10">
        <f ca="1">$E77*$C$131</f>
        <v>328878.15189605503</v>
      </c>
      <c r="U77" s="10">
        <f ca="1">H77*$C$131</f>
        <v>4151684.6443301998</v>
      </c>
      <c r="V77" s="10"/>
      <c r="W77" s="10"/>
      <c r="X77" s="10">
        <f ca="1">E77-J77-N77-T77</f>
        <v>0</v>
      </c>
      <c r="Y77" s="10">
        <f ca="1">H77-K77-O77-U77</f>
        <v>0</v>
      </c>
      <c r="AA77" s="1"/>
      <c r="AB77" s="11"/>
      <c r="AE77" s="11"/>
      <c r="AF77" s="11"/>
      <c r="AJ77" s="3" t="s">
        <v>1034</v>
      </c>
      <c r="AK77" s="35">
        <f t="shared" ref="AK77:AO78" ca="1" si="6">$AI55*AK$46</f>
        <v>1.3684977237735387</v>
      </c>
      <c r="AL77" s="35">
        <f t="shared" ca="1" si="6"/>
        <v>697.56126161950021</v>
      </c>
      <c r="AM77" s="35">
        <f t="shared" ca="1" si="6"/>
        <v>649.48184595624195</v>
      </c>
      <c r="AN77" s="35">
        <f t="shared" ca="1" si="6"/>
        <v>359.83538840595492</v>
      </c>
      <c r="AO77" s="35">
        <f t="shared" ca="1" si="6"/>
        <v>2.9592256132830617</v>
      </c>
      <c r="AP77" s="13" t="s">
        <v>379</v>
      </c>
      <c r="AQ77" s="11">
        <f ca="1">AI55-SUM(AK77:AO77)</f>
        <v>0</v>
      </c>
    </row>
    <row r="78" spans="1:43" ht="13.5" customHeight="1">
      <c r="A78" s="39" t="s">
        <v>385</v>
      </c>
      <c r="B78" s="44">
        <f ca="1">B54*$C$93</f>
        <v>8221992.2573193526</v>
      </c>
      <c r="C78" s="45"/>
      <c r="D78" s="44">
        <f ca="1">D54*$C$93</f>
        <v>8221992.2573193526</v>
      </c>
      <c r="E78" s="44">
        <f ca="1">E54*$C$93</f>
        <v>430723.91690725385</v>
      </c>
      <c r="F78" s="44">
        <f ca="1">F54*$C$93</f>
        <v>2353905.4099162184</v>
      </c>
      <c r="G78" s="44">
        <f ca="1">G54*$C$93</f>
        <v>2784629.3268234725</v>
      </c>
      <c r="H78" s="44">
        <f ca="1">H54*$C$93</f>
        <v>5437362.9304958796</v>
      </c>
      <c r="I78" s="42"/>
      <c r="J78" s="10">
        <f ca="1">$E78*$F$126</f>
        <v>156234.86652357149</v>
      </c>
      <c r="K78" s="10">
        <f ca="1">$H78*$F$126</f>
        <v>1972274.2070744128</v>
      </c>
      <c r="L78" s="42"/>
      <c r="M78" s="233"/>
      <c r="N78" s="10">
        <f ca="1">$E78*$E$126</f>
        <v>7725.9765968882939</v>
      </c>
      <c r="O78" s="10">
        <f ca="1">H78*$E$126</f>
        <v>97531.01023838605</v>
      </c>
      <c r="P78" s="10"/>
      <c r="Q78" s="228"/>
      <c r="R78" s="39"/>
      <c r="S78" s="39"/>
      <c r="T78" s="10">
        <f ca="1">$E78*$C$126</f>
        <v>266763.07378679409</v>
      </c>
      <c r="U78" s="10">
        <f ca="1">H78*$C$126</f>
        <v>3367557.7131830812</v>
      </c>
      <c r="V78" s="10"/>
      <c r="W78" s="10"/>
      <c r="X78" s="10">
        <f ca="1">E78-J78-N78-T78</f>
        <v>0</v>
      </c>
      <c r="Y78" s="10">
        <f ca="1">H78-K78-O78-U78</f>
        <v>0</v>
      </c>
      <c r="AA78" s="1"/>
      <c r="AB78" s="11"/>
      <c r="AE78" s="11"/>
      <c r="AF78" s="11"/>
      <c r="AJ78" s="3" t="s">
        <v>987</v>
      </c>
      <c r="AK78" s="35">
        <f t="shared" ca="1" si="6"/>
        <v>3320.2140814175605</v>
      </c>
      <c r="AL78" s="35">
        <f t="shared" ca="1" si="6"/>
        <v>1692405.243535303</v>
      </c>
      <c r="AM78" s="35">
        <f t="shared" ca="1" si="6"/>
        <v>1575756.1982805557</v>
      </c>
      <c r="AN78" s="35">
        <f t="shared" ca="1" si="6"/>
        <v>873023.39114121511</v>
      </c>
      <c r="AO78" s="35">
        <f t="shared" ca="1" si="6"/>
        <v>7179.5972917086401</v>
      </c>
      <c r="AP78" s="13" t="s">
        <v>379</v>
      </c>
      <c r="AQ78" s="11">
        <f ca="1">AI56-SUM(AK78:AO78)</f>
        <v>0</v>
      </c>
    </row>
    <row r="79" spans="1:43" ht="13.5" customHeight="1">
      <c r="A79" s="39"/>
      <c r="B79" s="46">
        <f ca="1">SUM(B77:B78)</f>
        <v>15641742.539999999</v>
      </c>
      <c r="C79" s="47"/>
      <c r="D79" s="46">
        <f ca="1">SUM(D77:D78)</f>
        <v>15641742.539999999</v>
      </c>
      <c r="E79" s="46">
        <f ca="1">SUM(E77:E78)</f>
        <v>819420.93877380958</v>
      </c>
      <c r="F79" s="46">
        <f ca="1">SUM(F77:F78)</f>
        <v>4478133.916101126</v>
      </c>
      <c r="G79" s="46">
        <f ca="1">SUM(G77:G78)</f>
        <v>5297554.8548749359</v>
      </c>
      <c r="H79" s="46">
        <f ca="1">SUM(H77:H78)</f>
        <v>10344187.685125062</v>
      </c>
      <c r="I79" s="46"/>
      <c r="J79" s="46">
        <f ca="1">SUM(J77:J78)</f>
        <v>211798.21526247612</v>
      </c>
      <c r="K79" s="46">
        <f ca="1">SUM(K77:K78)</f>
        <v>2673693.5638086456</v>
      </c>
      <c r="L79" s="46"/>
      <c r="M79" s="234"/>
      <c r="N79" s="46">
        <f ca="1">SUM(N77:N78)</f>
        <v>11981.497828484316</v>
      </c>
      <c r="O79" s="46">
        <f ca="1">SUM(O77:O78)</f>
        <v>151251.76380313592</v>
      </c>
      <c r="P79" s="10"/>
      <c r="Q79" s="228"/>
      <c r="R79" s="43"/>
      <c r="S79" s="39"/>
      <c r="T79" s="46">
        <f ca="1">SUM(T77:T78)</f>
        <v>595641.22568284906</v>
      </c>
      <c r="U79" s="46">
        <f ca="1">SUM(U77:U78)</f>
        <v>7519242.3575132806</v>
      </c>
      <c r="V79" s="10"/>
      <c r="W79" s="10"/>
      <c r="X79" s="46">
        <f ca="1">SUM(X77:X78)</f>
        <v>0</v>
      </c>
      <c r="Y79" s="46">
        <f ca="1">SUM(Y77:Y78)</f>
        <v>0</v>
      </c>
      <c r="AB79" s="11"/>
      <c r="AE79" s="11"/>
      <c r="AF79" s="11"/>
      <c r="AJ79" s="3" t="s">
        <v>988</v>
      </c>
      <c r="AK79" s="35">
        <f ca="1">$AI59*AK$47</f>
        <v>5162.8690753652099</v>
      </c>
      <c r="AL79" s="35">
        <f ca="1">$AI59*AL$47</f>
        <v>2121169.0908041326</v>
      </c>
      <c r="AM79" s="35">
        <f ca="1">$AI59*AM$47</f>
        <v>758070.88433177129</v>
      </c>
      <c r="AN79" s="35">
        <f ca="1">$AI59*AN$47</f>
        <v>83727.2389477135</v>
      </c>
      <c r="AO79" s="35">
        <f ca="1">$AI59*AO$47</f>
        <v>399427.63002409833</v>
      </c>
      <c r="AP79" s="13" t="s">
        <v>382</v>
      </c>
      <c r="AQ79" s="11">
        <f ca="1">AI59-SUM(AK79:AO79)</f>
        <v>0</v>
      </c>
    </row>
    <row r="80" spans="1:43" ht="13.5" customHeight="1">
      <c r="A80" s="39"/>
      <c r="B80" s="42">
        <f ca="1">B79-B54</f>
        <v>0</v>
      </c>
      <c r="C80" s="42"/>
      <c r="D80" s="39"/>
      <c r="E80" s="39"/>
      <c r="F80" s="39"/>
      <c r="G80" s="39"/>
      <c r="H80" s="39"/>
      <c r="I80" s="39"/>
      <c r="J80" s="10"/>
      <c r="K80" s="10"/>
      <c r="L80" s="39"/>
      <c r="M80" s="232"/>
      <c r="N80" s="10"/>
      <c r="O80" s="10"/>
      <c r="P80" s="10"/>
      <c r="Q80" s="228"/>
      <c r="R80" s="39"/>
      <c r="S80" s="39"/>
      <c r="T80" s="10"/>
      <c r="U80" s="10"/>
      <c r="V80" s="10"/>
      <c r="W80" s="10"/>
      <c r="X80" s="10"/>
      <c r="Y80" s="10"/>
      <c r="AB80" s="11"/>
      <c r="AE80" s="11"/>
      <c r="AF80" s="11"/>
      <c r="AJ80" s="3" t="s">
        <v>989</v>
      </c>
      <c r="AK80" s="65">
        <f ca="1">$AI60*AK$50</f>
        <v>0</v>
      </c>
      <c r="AL80" s="65">
        <f ca="1">$AI60*AL$50</f>
        <v>359768.33647705358</v>
      </c>
      <c r="AM80" s="65">
        <f ca="1">$AI60*AM$50</f>
        <v>89568.714633562617</v>
      </c>
      <c r="AN80" s="65">
        <f ca="1">$AI60*AN$50</f>
        <v>0</v>
      </c>
      <c r="AO80" s="65">
        <f ca="1">$AI60*AO$50</f>
        <v>0</v>
      </c>
      <c r="AP80" s="13" t="s">
        <v>892</v>
      </c>
      <c r="AQ80" s="11">
        <f ca="1">AI60-SUM(AK80:AO80)</f>
        <v>0</v>
      </c>
    </row>
    <row r="81" spans="1:43" ht="13.5" customHeight="1">
      <c r="A81" s="39" t="s">
        <v>372</v>
      </c>
      <c r="B81" s="42">
        <f ca="1">(B$62+B$63)*$C$100</f>
        <v>363775.82035059971</v>
      </c>
      <c r="C81" s="39"/>
      <c r="D81" s="42">
        <f ca="1">(D$62+D$63)*$C$100</f>
        <v>363775.82035059971</v>
      </c>
      <c r="E81" s="42">
        <f ca="1">(E$62+E$63)*$C$100</f>
        <v>0</v>
      </c>
      <c r="F81" s="42">
        <f ca="1">(F$62+F$63)*$C$100</f>
        <v>0</v>
      </c>
      <c r="G81" s="42">
        <f ca="1">(G$62+G$63)*$C$100</f>
        <v>0</v>
      </c>
      <c r="H81" s="42">
        <f ca="1">(H$62+H$63)*$C$100</f>
        <v>363775.82035059971</v>
      </c>
      <c r="I81" s="42"/>
      <c r="J81" s="10">
        <f ca="1">$E81*$F$131</f>
        <v>0</v>
      </c>
      <c r="K81" s="10">
        <f ca="1">$H81*$F$131</f>
        <v>52000.920078725794</v>
      </c>
      <c r="L81" s="42"/>
      <c r="M81" s="233"/>
      <c r="N81" s="10">
        <f ca="1">$E81*$F$131</f>
        <v>0</v>
      </c>
      <c r="O81" s="10">
        <f ca="1">$H81*$E$131</f>
        <v>3982.6796706837217</v>
      </c>
      <c r="P81" s="10"/>
      <c r="Q81" s="228"/>
      <c r="R81" s="39"/>
      <c r="S81" s="39"/>
      <c r="T81" s="10">
        <f ca="1">$E81*$F$131</f>
        <v>0</v>
      </c>
      <c r="U81" s="10">
        <f ca="1">$H81*$C$131</f>
        <v>307792.22060119017</v>
      </c>
      <c r="V81" s="10"/>
      <c r="W81" s="10"/>
      <c r="X81" s="10">
        <f ca="1">E81-J81-N81-T81</f>
        <v>0</v>
      </c>
      <c r="Y81" s="10">
        <f ca="1">H81-K81-O81-U81</f>
        <v>0</v>
      </c>
      <c r="AA81" s="1"/>
      <c r="AB81" s="11"/>
      <c r="AE81" s="11"/>
      <c r="AF81" s="11"/>
      <c r="AJ81" s="3" t="s">
        <v>1032</v>
      </c>
      <c r="AM81" s="11">
        <f ca="1">AI61</f>
        <v>230672.05910842249</v>
      </c>
      <c r="AP81" s="13" t="s">
        <v>922</v>
      </c>
      <c r="AQ81" s="11">
        <f ca="1">AI61-SUM(AK81:AO81)</f>
        <v>0</v>
      </c>
    </row>
    <row r="82" spans="1:43" ht="13.5" customHeight="1">
      <c r="A82" s="39" t="s">
        <v>373</v>
      </c>
      <c r="B82" s="42">
        <f ca="1">(B$62+B$63)*$C$102</f>
        <v>180963.73823645711</v>
      </c>
      <c r="C82" s="39"/>
      <c r="D82" s="42">
        <f ca="1">(D$62+D$63)*$C$102</f>
        <v>180963.73823645711</v>
      </c>
      <c r="E82" s="42">
        <f ca="1">(E$62+E$63)*$C$102</f>
        <v>0</v>
      </c>
      <c r="F82" s="42">
        <f ca="1">(F$62+F$63)*$C$102</f>
        <v>0</v>
      </c>
      <c r="G82" s="42">
        <f ca="1">(G$62+G$63)*$C$102</f>
        <v>0</v>
      </c>
      <c r="H82" s="42">
        <f ca="1">(H$62+H$63)*$C$102</f>
        <v>180963.73823645711</v>
      </c>
      <c r="I82" s="42"/>
      <c r="J82" s="10">
        <f ca="1">$E82*$F$126</f>
        <v>0</v>
      </c>
      <c r="K82" s="10">
        <f ca="1">$H82*$F$126</f>
        <v>65640.296206414961</v>
      </c>
      <c r="L82" s="42"/>
      <c r="M82" s="233"/>
      <c r="N82" s="10">
        <f ca="1">$E82*$F$131</f>
        <v>0</v>
      </c>
      <c r="O82" s="10">
        <f ca="1">$H82*$E$126</f>
        <v>3245.9808977854814</v>
      </c>
      <c r="P82" s="10"/>
      <c r="Q82" s="228"/>
      <c r="R82" s="39"/>
      <c r="S82" s="39"/>
      <c r="T82" s="10">
        <f ca="1">$E82*$F$131</f>
        <v>0</v>
      </c>
      <c r="U82" s="10">
        <f ca="1">$H82*$C$126</f>
        <v>112077.46113225668</v>
      </c>
      <c r="V82" s="10"/>
      <c r="W82" s="10"/>
      <c r="X82" s="10">
        <f ca="1">E82-J82-N82-T82</f>
        <v>0</v>
      </c>
      <c r="Y82" s="10">
        <f ca="1">H82-K82-O82-U82</f>
        <v>0</v>
      </c>
      <c r="AA82" s="1"/>
      <c r="AB82" s="11"/>
      <c r="AE82" s="11"/>
      <c r="AF82" s="11"/>
      <c r="AJ82" s="39" t="s">
        <v>372</v>
      </c>
      <c r="AK82" s="35">
        <f ca="1">$AI64*AK$46</f>
        <v>246.14973258782348</v>
      </c>
      <c r="AL82" s="35">
        <f ca="1">$AI64*AL$46</f>
        <v>125469.34863567133</v>
      </c>
      <c r="AM82" s="35">
        <f ca="1">$AI64*AM$46</f>
        <v>116821.37275460345</v>
      </c>
      <c r="AN82" s="35">
        <f ca="1">$AI64*AN$46</f>
        <v>64723.077790386349</v>
      </c>
      <c r="AO82" s="35">
        <f ca="1">$AI64*AO$46</f>
        <v>532.27168794122349</v>
      </c>
      <c r="AP82" s="13" t="s">
        <v>379</v>
      </c>
      <c r="AQ82" s="11">
        <f ca="1">AI64-SUM(AK82:AO82)</f>
        <v>0</v>
      </c>
    </row>
    <row r="83" spans="1:43" ht="13.5" customHeight="1">
      <c r="A83" s="39" t="s">
        <v>374</v>
      </c>
      <c r="B83" s="42">
        <f ca="1">(B$62+B$63)*$C$104</f>
        <v>980035.41439304082</v>
      </c>
      <c r="C83" s="39"/>
      <c r="D83" s="42">
        <f ca="1">(D$62+D$63)*$C$104</f>
        <v>980035.41439304082</v>
      </c>
      <c r="E83" s="42">
        <f ca="1">(E$62+E$63)*$C$104</f>
        <v>0</v>
      </c>
      <c r="F83" s="42">
        <f ca="1">(F$62+F$63)*$C$104</f>
        <v>0</v>
      </c>
      <c r="G83" s="42">
        <f ca="1">(G$62+G$63)*$C$104</f>
        <v>0</v>
      </c>
      <c r="H83" s="42">
        <f ca="1">(H$62+H$63)*$C$104</f>
        <v>980035.41439304082</v>
      </c>
      <c r="I83" s="42"/>
      <c r="J83" s="10">
        <f ca="1">$E83*$F$131</f>
        <v>0</v>
      </c>
      <c r="K83" s="10">
        <f ca="1">$H83*$G$94</f>
        <v>444989.05302170507</v>
      </c>
      <c r="L83" s="42"/>
      <c r="M83" s="233"/>
      <c r="R83" s="39"/>
      <c r="S83" s="39"/>
      <c r="T83" s="10">
        <f ca="1">$E83*$F$131</f>
        <v>0</v>
      </c>
      <c r="U83" s="10">
        <f ca="1">$H83*$G$92</f>
        <v>535046.36137133581</v>
      </c>
      <c r="X83" s="10">
        <f ca="1">E83-J83-N83-T83</f>
        <v>0</v>
      </c>
      <c r="Y83" s="10">
        <f ca="1">H83-K83-O83-U83</f>
        <v>0</v>
      </c>
      <c r="AA83" s="1"/>
      <c r="AB83" s="11"/>
      <c r="AE83" s="11"/>
      <c r="AF83" s="11"/>
      <c r="AJ83" s="39" t="s">
        <v>373</v>
      </c>
      <c r="AK83" s="35">
        <f ca="1">$AI65*AK$47</f>
        <v>171.82816373419513</v>
      </c>
      <c r="AL83" s="35">
        <f ca="1">$AI65*AL$47</f>
        <v>70595.745218819837</v>
      </c>
      <c r="AM83" s="35">
        <f ca="1">$AI65*AM$47</f>
        <v>25229.756194402733</v>
      </c>
      <c r="AN83" s="35">
        <f ca="1">$AI65*AN$47</f>
        <v>2786.5703183461251</v>
      </c>
      <c r="AO83" s="35">
        <f ca="1">$AI65*AO$47</f>
        <v>13293.561236953767</v>
      </c>
      <c r="AP83" s="13" t="s">
        <v>382</v>
      </c>
      <c r="AQ83" s="11">
        <f ca="1">AI65-SUM(AK83:AO83)</f>
        <v>0</v>
      </c>
    </row>
    <row r="84" spans="1:43" ht="13.5" customHeight="1">
      <c r="A84" s="39" t="s">
        <v>375</v>
      </c>
      <c r="B84" s="44">
        <f ca="1">(B$62+B$63)*$C$106</f>
        <v>125035.02701990247</v>
      </c>
      <c r="C84" s="45"/>
      <c r="D84" s="44">
        <f ca="1">(D$62+D$63)*$C$106</f>
        <v>125035.02701990247</v>
      </c>
      <c r="E84" s="44">
        <f ca="1">(E$62+E$63)*$C$106</f>
        <v>0</v>
      </c>
      <c r="F84" s="44">
        <f ca="1">(F$62+F$63)*$C$106</f>
        <v>0</v>
      </c>
      <c r="G84" s="44">
        <f ca="1">(G$62+G$63)*$C$106</f>
        <v>0</v>
      </c>
      <c r="H84" s="44">
        <f ca="1">(H$62+H$63)*$C$106</f>
        <v>125035.02701990247</v>
      </c>
      <c r="I84" s="42"/>
      <c r="J84" s="10">
        <f ca="1">$E84*$F$126</f>
        <v>0</v>
      </c>
      <c r="K84" s="10">
        <f ca="1">$H84*$F$120</f>
        <v>6710.5175376880907</v>
      </c>
      <c r="L84" s="42"/>
      <c r="M84" s="233"/>
      <c r="N84" s="46">
        <f ca="1">SUM(N80:N83)</f>
        <v>0</v>
      </c>
      <c r="O84" s="46"/>
      <c r="P84" s="10"/>
      <c r="Q84" s="228"/>
      <c r="R84" s="39"/>
      <c r="S84" s="39"/>
      <c r="T84" s="46">
        <f ca="1">SUM(T80:T83)</f>
        <v>0</v>
      </c>
      <c r="U84" s="10">
        <f ca="1">$H84*$C$120</f>
        <v>118324.50948221437</v>
      </c>
      <c r="V84" s="10"/>
      <c r="W84" s="27"/>
      <c r="X84" s="10">
        <f ca="1">E84-J84-N84-T84</f>
        <v>0</v>
      </c>
      <c r="Y84" s="10">
        <f ca="1">H84-K84-O84-U84</f>
        <v>0</v>
      </c>
      <c r="AA84" s="13"/>
      <c r="AB84" s="11"/>
      <c r="AE84" s="11"/>
      <c r="AF84" s="11"/>
      <c r="AJ84" s="39" t="s">
        <v>374</v>
      </c>
      <c r="AK84" s="27">
        <f ca="1">$AI66*AK$49</f>
        <v>3645.8701125243419</v>
      </c>
      <c r="AL84" s="27">
        <f ca="1">$AI66*AL$49</f>
        <v>260698.16841194284</v>
      </c>
      <c r="AM84" s="27">
        <f ca="1">$AI66*AM$49</f>
        <v>156562.51814710163</v>
      </c>
      <c r="AN84" s="27">
        <f ca="1">$AI66*AN$49</f>
        <v>52666.222627595896</v>
      </c>
      <c r="AO84" s="27">
        <f ca="1">$AI66*AO$49</f>
        <v>61473.582072171157</v>
      </c>
      <c r="AP84" s="13" t="s">
        <v>889</v>
      </c>
      <c r="AQ84" s="11">
        <f ca="1">AI66-SUM(AK84:AO84)</f>
        <v>0</v>
      </c>
    </row>
    <row r="85" spans="1:43" ht="13.5" customHeight="1">
      <c r="A85" s="39"/>
      <c r="B85" s="46">
        <f t="shared" ref="B85:K85" ca="1" si="7">SUM(B81:B84)</f>
        <v>1649810</v>
      </c>
      <c r="C85" s="46">
        <f t="shared" si="7"/>
        <v>0</v>
      </c>
      <c r="D85" s="46">
        <f t="shared" ca="1" si="7"/>
        <v>1649810</v>
      </c>
      <c r="E85" s="46">
        <f t="shared" ca="1" si="7"/>
        <v>0</v>
      </c>
      <c r="F85" s="46">
        <f t="shared" ca="1" si="7"/>
        <v>0</v>
      </c>
      <c r="G85" s="46">
        <f t="shared" ca="1" si="7"/>
        <v>0</v>
      </c>
      <c r="H85" s="46">
        <f t="shared" ca="1" si="7"/>
        <v>1649810</v>
      </c>
      <c r="I85" s="46"/>
      <c r="J85" s="46">
        <f t="shared" ca="1" si="7"/>
        <v>0</v>
      </c>
      <c r="K85" s="46">
        <f t="shared" ca="1" si="7"/>
        <v>569340.78684453398</v>
      </c>
      <c r="L85" s="46"/>
      <c r="M85" s="234"/>
      <c r="O85" s="46">
        <f ca="1">SUM(O81:O84)</f>
        <v>7228.6605684692031</v>
      </c>
      <c r="R85" s="39"/>
      <c r="S85" s="39"/>
      <c r="U85" s="46">
        <f ca="1">SUM(U81:U84)</f>
        <v>1073240.5525869972</v>
      </c>
      <c r="AE85" s="11"/>
      <c r="AF85" s="11"/>
      <c r="AJ85" s="39" t="s">
        <v>375</v>
      </c>
      <c r="AK85" s="65">
        <f ca="1">$AI67*AK$50</f>
        <v>0</v>
      </c>
      <c r="AL85" s="65">
        <f ca="1">$AI67*AL$50</f>
        <v>94738.263483195449</v>
      </c>
      <c r="AM85" s="65">
        <f ca="1">$AI67*AM$50</f>
        <v>23586.245999018924</v>
      </c>
      <c r="AN85" s="65">
        <f ca="1">$AI67*AN$50</f>
        <v>0</v>
      </c>
      <c r="AO85" s="65">
        <f ca="1">$AI67*AO$50</f>
        <v>0</v>
      </c>
      <c r="AP85" s="13" t="s">
        <v>892</v>
      </c>
      <c r="AQ85" s="11">
        <f ca="1">AI67-SUM(AK85:AO85)</f>
        <v>0</v>
      </c>
    </row>
    <row r="86" spans="1:43" ht="13.5" customHeight="1">
      <c r="A86" s="39"/>
      <c r="B86" s="42">
        <f ca="1">B85-B62-B63</f>
        <v>0</v>
      </c>
      <c r="C86" s="39"/>
      <c r="D86" s="39"/>
      <c r="E86" s="39"/>
      <c r="F86" s="39"/>
      <c r="G86" s="39"/>
      <c r="H86" s="39"/>
      <c r="I86" s="39"/>
      <c r="J86" s="39"/>
      <c r="K86" s="39"/>
      <c r="L86" s="39"/>
      <c r="M86" s="232"/>
      <c r="R86" s="39"/>
      <c r="S86" s="39"/>
      <c r="AE86" s="11"/>
      <c r="AF86" s="11"/>
      <c r="AJ86" s="149"/>
      <c r="AK86" s="149"/>
      <c r="AL86" s="149"/>
      <c r="AM86" s="149"/>
      <c r="AN86" s="149"/>
      <c r="AO86" s="149"/>
    </row>
    <row r="87" spans="1:43" ht="13.5" customHeight="1" thickBot="1">
      <c r="A87" s="48" t="s">
        <v>120</v>
      </c>
      <c r="B87" s="49">
        <f ca="1">B79+B85</f>
        <v>17291552.539999999</v>
      </c>
      <c r="C87" s="48"/>
      <c r="D87" s="49">
        <f ca="1">D79+D85</f>
        <v>17291552.539999999</v>
      </c>
      <c r="E87" s="49">
        <f ca="1">E79+E85</f>
        <v>819420.93877380958</v>
      </c>
      <c r="F87" s="49">
        <f ca="1">F79+F85</f>
        <v>4478133.916101126</v>
      </c>
      <c r="G87" s="49">
        <f ca="1">G79+G85</f>
        <v>5297554.8548749359</v>
      </c>
      <c r="H87" s="49">
        <f ca="1">H79+H85</f>
        <v>11993997.685125062</v>
      </c>
      <c r="I87" s="46"/>
      <c r="J87" s="49">
        <f ca="1">J79+J85</f>
        <v>211798.21526247612</v>
      </c>
      <c r="K87" s="49">
        <f ca="1">K79+K85</f>
        <v>3243034.3506531795</v>
      </c>
      <c r="L87" s="46"/>
      <c r="M87" s="234"/>
      <c r="N87" s="49">
        <f ca="1">N79+N85</f>
        <v>11981.497828484316</v>
      </c>
      <c r="O87" s="49">
        <f ca="1">O79+O85</f>
        <v>158480.42437160513</v>
      </c>
      <c r="R87" s="39"/>
      <c r="S87" s="39"/>
      <c r="T87" s="49">
        <f ca="1">T79+T85</f>
        <v>595641.22568284906</v>
      </c>
      <c r="U87" s="49">
        <f ca="1">U79+U85</f>
        <v>8592482.9101002775</v>
      </c>
      <c r="X87" s="49">
        <f ca="1">X79+X85</f>
        <v>0</v>
      </c>
      <c r="Y87" s="49">
        <f ca="1">Y79+Y85</f>
        <v>0</v>
      </c>
      <c r="AE87" s="11"/>
      <c r="AF87" s="11"/>
      <c r="AK87" s="14">
        <f ca="1">SUM(AK75:AK86)</f>
        <v>13848.489713734625</v>
      </c>
      <c r="AL87" s="14">
        <f ca="1">SUM(AL75:AL86)</f>
        <v>4945059.5313933371</v>
      </c>
      <c r="AM87" s="14">
        <f ca="1">SUM(AM75:AM86)</f>
        <v>3071492.4209578112</v>
      </c>
      <c r="AN87" s="14">
        <f ca="1">SUM(AN75:AN86)</f>
        <v>1096728.8752074956</v>
      </c>
      <c r="AO87" s="14">
        <f ca="1">SUM(AO75:AO86)</f>
        <v>526395.34698488412</v>
      </c>
      <c r="AP87" s="11">
        <f ca="1">SUM(AK87:AO87)-AI69</f>
        <v>0</v>
      </c>
    </row>
    <row r="88" spans="1:43" ht="13.5" customHeight="1" thickBot="1">
      <c r="A88" s="39"/>
      <c r="B88" s="42">
        <f ca="1">B87-B63-B62-B54</f>
        <v>0</v>
      </c>
      <c r="C88" s="39"/>
      <c r="D88" s="42">
        <f ca="1">D87-D63-D62-D54</f>
        <v>0</v>
      </c>
      <c r="E88" s="42">
        <f ca="1">E87-E63-E62-E54</f>
        <v>0</v>
      </c>
      <c r="F88" s="42">
        <f ca="1">F87-F63-F62-F54</f>
        <v>0</v>
      </c>
      <c r="G88" s="42">
        <f ca="1">G87-G63-G62-G54</f>
        <v>0</v>
      </c>
      <c r="H88" s="42">
        <f ca="1">H87-H63-H62-H54</f>
        <v>0</v>
      </c>
      <c r="I88" s="42"/>
      <c r="J88" s="42"/>
      <c r="K88" s="42"/>
      <c r="L88" s="42"/>
      <c r="M88" s="233"/>
      <c r="R88" s="39"/>
      <c r="S88" s="39"/>
      <c r="X88" s="11"/>
      <c r="Y88" s="11"/>
      <c r="AE88" s="11"/>
      <c r="AF88" s="11"/>
    </row>
    <row r="89" spans="1:43" ht="13.5" customHeight="1">
      <c r="A89" s="50" t="s">
        <v>926</v>
      </c>
      <c r="B89" s="51"/>
      <c r="C89" s="52"/>
      <c r="D89" s="53"/>
      <c r="E89" s="54"/>
      <c r="F89" s="54"/>
      <c r="G89" s="55"/>
      <c r="H89" s="39"/>
      <c r="I89" s="39"/>
      <c r="J89" s="39"/>
      <c r="K89" s="39"/>
      <c r="L89" s="39"/>
      <c r="M89" s="232"/>
      <c r="R89" s="39"/>
      <c r="S89" s="39"/>
      <c r="X89" s="11"/>
      <c r="Y89" s="11"/>
      <c r="AE89" s="11"/>
      <c r="AF89" s="11"/>
    </row>
    <row r="90" spans="1:43" ht="13.5" customHeight="1">
      <c r="A90" s="56"/>
      <c r="B90" s="39"/>
      <c r="C90" s="57"/>
      <c r="D90" s="56"/>
      <c r="E90" s="39"/>
      <c r="F90" s="39"/>
      <c r="G90" s="57"/>
      <c r="H90" s="39"/>
      <c r="I90" s="39"/>
      <c r="J90" s="39"/>
      <c r="K90" s="39"/>
      <c r="L90" s="39"/>
      <c r="M90" s="232"/>
      <c r="R90" s="39"/>
      <c r="S90" s="39"/>
      <c r="X90" s="11"/>
      <c r="Y90" s="11"/>
      <c r="AE90" s="11"/>
      <c r="AF90" s="11"/>
    </row>
    <row r="91" spans="1:43" ht="21.75" customHeight="1">
      <c r="A91" s="58" t="s">
        <v>371</v>
      </c>
      <c r="B91" s="59"/>
      <c r="C91" s="147"/>
      <c r="D91" s="60"/>
      <c r="E91" s="61" t="s">
        <v>979</v>
      </c>
      <c r="F91" s="62"/>
      <c r="G91" s="63"/>
      <c r="H91" s="11"/>
      <c r="I91" s="11"/>
      <c r="J91" s="11"/>
      <c r="K91" s="11"/>
      <c r="L91" s="11"/>
      <c r="M91" s="231"/>
      <c r="N91" s="11"/>
      <c r="O91" s="11"/>
      <c r="P91" s="11"/>
      <c r="Q91" s="231"/>
      <c r="T91" s="11"/>
      <c r="U91" s="11"/>
      <c r="V91" s="11"/>
      <c r="X91" s="11"/>
      <c r="Y91" s="11"/>
      <c r="AE91" s="11"/>
      <c r="AF91" s="11"/>
    </row>
    <row r="92" spans="1:43" ht="13.5" customHeight="1">
      <c r="A92" s="64" t="s">
        <v>370</v>
      </c>
      <c r="B92" s="65">
        <v>15020</v>
      </c>
      <c r="C92" s="147">
        <f>B92/$B$94</f>
        <v>0.47435573521980801</v>
      </c>
      <c r="D92" s="60"/>
      <c r="E92" s="243" t="s">
        <v>259</v>
      </c>
      <c r="F92" s="223">
        <f>'[6]Vehicle Cost Report'!$U$4+'[6]Vehicle Cost Report'!$U$7</f>
        <v>101</v>
      </c>
      <c r="G92" s="244">
        <f>F92/$F$95</f>
        <v>0.54594594594594592</v>
      </c>
      <c r="H92" s="11"/>
      <c r="I92" s="11"/>
      <c r="J92" s="11"/>
      <c r="K92" s="11"/>
      <c r="L92" s="11"/>
      <c r="M92" s="231"/>
      <c r="N92" s="11"/>
      <c r="O92" s="11"/>
      <c r="P92" s="11"/>
      <c r="Q92" s="231"/>
      <c r="T92" s="11"/>
      <c r="U92" s="11"/>
      <c r="V92" s="11"/>
      <c r="X92" s="11"/>
      <c r="Y92" s="11"/>
      <c r="AE92" s="11"/>
      <c r="AF92" s="11"/>
    </row>
    <row r="93" spans="1:43" ht="13.5" customHeight="1">
      <c r="A93" s="64" t="s">
        <v>301</v>
      </c>
      <c r="B93" s="65">
        <v>16644</v>
      </c>
      <c r="C93" s="147">
        <f>B93/$B$94</f>
        <v>0.52564426478019199</v>
      </c>
      <c r="D93" s="60"/>
      <c r="E93" s="243" t="s">
        <v>386</v>
      </c>
      <c r="F93" s="223"/>
      <c r="G93" s="244"/>
      <c r="H93" s="11"/>
      <c r="I93" s="11"/>
      <c r="J93" s="11"/>
      <c r="K93" s="11"/>
      <c r="L93" s="11"/>
      <c r="M93" s="231"/>
      <c r="N93" s="11"/>
      <c r="O93" s="11"/>
      <c r="P93" s="11"/>
      <c r="Q93" s="231"/>
      <c r="T93" s="11"/>
      <c r="U93" s="11"/>
      <c r="V93" s="11"/>
      <c r="X93" s="11"/>
      <c r="Y93" s="11"/>
      <c r="AE93" s="11"/>
      <c r="AF93" s="11"/>
    </row>
    <row r="94" spans="1:43" ht="13.5" customHeight="1">
      <c r="A94" s="56"/>
      <c r="B94" s="42">
        <f>SUM(B92:B93)</f>
        <v>31664</v>
      </c>
      <c r="C94" s="147"/>
      <c r="D94" s="60"/>
      <c r="E94" s="243" t="s">
        <v>1321</v>
      </c>
      <c r="F94" s="223">
        <f>'[6]Vehicle Cost Report'!$U$6+'[6]Vehicle Cost Report'!$U$8</f>
        <v>84</v>
      </c>
      <c r="G94" s="244">
        <f>F94/$F$95</f>
        <v>0.45405405405405408</v>
      </c>
      <c r="H94" s="11"/>
      <c r="I94" s="11"/>
      <c r="J94" s="11"/>
      <c r="K94" s="11"/>
      <c r="L94" s="11"/>
      <c r="M94" s="231"/>
      <c r="N94" s="11"/>
      <c r="O94" s="11"/>
      <c r="P94" s="11"/>
      <c r="Q94" s="231"/>
      <c r="T94" s="11"/>
      <c r="U94" s="11"/>
      <c r="V94" s="11"/>
      <c r="X94" s="11"/>
      <c r="Y94" s="11"/>
      <c r="AE94" s="11"/>
      <c r="AF94" s="11"/>
    </row>
    <row r="95" spans="1:43" ht="13.5" customHeight="1">
      <c r="A95" s="56"/>
      <c r="B95" s="39"/>
      <c r="C95" s="147"/>
      <c r="D95" s="60"/>
      <c r="E95" s="11"/>
      <c r="F95" s="66">
        <f>SUM(F92:F94)</f>
        <v>185</v>
      </c>
      <c r="G95" s="67">
        <f>F95/$F$95</f>
        <v>1</v>
      </c>
      <c r="H95" s="11"/>
      <c r="I95" s="11"/>
      <c r="J95" s="11"/>
      <c r="K95" s="11"/>
      <c r="L95" s="11"/>
      <c r="M95" s="231"/>
      <c r="N95" s="11"/>
      <c r="O95" s="11"/>
      <c r="P95" s="11"/>
      <c r="Q95" s="231"/>
      <c r="T95" s="11"/>
      <c r="U95" s="11"/>
      <c r="V95" s="11"/>
      <c r="X95" s="11"/>
      <c r="Y95" s="11"/>
      <c r="AE95" s="11"/>
      <c r="AF95" s="11"/>
    </row>
    <row r="96" spans="1:43" ht="13.5" customHeight="1" thickBot="1">
      <c r="A96" s="56"/>
      <c r="B96" s="39"/>
      <c r="C96" s="147"/>
      <c r="D96" s="68"/>
      <c r="E96" s="69"/>
      <c r="F96" s="69"/>
      <c r="G96" s="70"/>
      <c r="H96" s="11"/>
      <c r="I96" s="11"/>
      <c r="J96" s="11"/>
      <c r="K96" s="11"/>
      <c r="L96" s="11"/>
      <c r="M96" s="231"/>
      <c r="N96" s="11"/>
      <c r="O96" s="11"/>
      <c r="P96" s="11"/>
      <c r="Q96" s="231"/>
      <c r="T96" s="11"/>
      <c r="U96" s="11"/>
      <c r="V96" s="11"/>
      <c r="X96" s="11"/>
      <c r="Y96" s="11"/>
      <c r="AE96" s="11"/>
      <c r="AF96" s="11"/>
    </row>
    <row r="97" spans="1:32" ht="13.5" customHeight="1">
      <c r="A97" s="58" t="s">
        <v>376</v>
      </c>
      <c r="B97" s="39"/>
      <c r="C97" s="147"/>
      <c r="D97" s="11"/>
      <c r="E97" s="11"/>
      <c r="F97" s="11"/>
      <c r="G97" s="11"/>
      <c r="H97" s="11"/>
      <c r="I97" s="11"/>
      <c r="J97" s="11"/>
      <c r="K97" s="11"/>
      <c r="L97" s="11"/>
      <c r="M97" s="231"/>
      <c r="N97" s="11"/>
      <c r="O97" s="11"/>
      <c r="P97" s="11"/>
      <c r="Q97" s="231"/>
      <c r="T97" s="11"/>
      <c r="U97" s="11"/>
      <c r="V97" s="11"/>
      <c r="X97" s="11"/>
      <c r="Y97" s="11"/>
      <c r="AE97" s="11"/>
      <c r="AF97" s="11"/>
    </row>
    <row r="98" spans="1:32" ht="13.5" customHeight="1">
      <c r="A98" s="64" t="s">
        <v>370</v>
      </c>
      <c r="B98" s="65">
        <f>B92</f>
        <v>15020</v>
      </c>
      <c r="C98" s="147"/>
      <c r="D98" s="11"/>
      <c r="E98" s="11"/>
      <c r="F98" s="11"/>
      <c r="G98" s="11"/>
      <c r="H98" s="11"/>
      <c r="I98" s="11"/>
      <c r="J98" s="11"/>
      <c r="K98" s="11"/>
      <c r="L98" s="11"/>
      <c r="M98" s="231"/>
      <c r="N98" s="11"/>
      <c r="O98" s="11"/>
      <c r="P98" s="11"/>
      <c r="Q98" s="231"/>
      <c r="T98" s="11"/>
      <c r="U98" s="11"/>
      <c r="V98" s="11"/>
      <c r="X98" s="11"/>
      <c r="Y98" s="11"/>
      <c r="AE98" s="11"/>
      <c r="AF98" s="11"/>
    </row>
    <row r="99" spans="1:32" ht="13.5" customHeight="1">
      <c r="A99" s="64" t="s">
        <v>377</v>
      </c>
      <c r="B99" s="71">
        <v>18438</v>
      </c>
      <c r="C99" s="147"/>
      <c r="D99" s="11"/>
      <c r="E99" s="11"/>
      <c r="F99" s="11"/>
      <c r="G99" s="11"/>
      <c r="H99" s="11"/>
      <c r="I99" s="11"/>
      <c r="J99" s="11"/>
      <c r="K99" s="11"/>
      <c r="L99" s="11"/>
      <c r="M99" s="231"/>
      <c r="N99" s="11"/>
      <c r="O99" s="11"/>
      <c r="P99" s="11"/>
      <c r="Q99" s="231"/>
      <c r="T99" s="11"/>
      <c r="U99" s="11"/>
      <c r="V99" s="11"/>
      <c r="X99" s="11"/>
      <c r="Y99" s="11"/>
      <c r="AE99" s="11"/>
      <c r="AF99" s="11"/>
    </row>
    <row r="100" spans="1:32" ht="13.5" customHeight="1">
      <c r="A100" s="56"/>
      <c r="B100" s="42">
        <f>SUM(B98:B99)</f>
        <v>33458</v>
      </c>
      <c r="C100" s="147">
        <f>B100/$B$108</f>
        <v>0.22049558455252405</v>
      </c>
      <c r="D100" s="11"/>
      <c r="E100" s="11"/>
      <c r="F100" s="11"/>
      <c r="G100" s="11"/>
      <c r="H100" s="11"/>
      <c r="I100" s="11"/>
      <c r="J100" s="11"/>
      <c r="K100" s="11"/>
      <c r="L100" s="11"/>
      <c r="M100" s="231"/>
      <c r="N100" s="11"/>
      <c r="O100" s="11"/>
      <c r="P100" s="11"/>
      <c r="Q100" s="231"/>
      <c r="T100" s="11"/>
      <c r="U100" s="11"/>
      <c r="V100" s="11"/>
      <c r="X100" s="11"/>
      <c r="Y100" s="11"/>
      <c r="AE100" s="11"/>
      <c r="AF100" s="11"/>
    </row>
    <row r="101" spans="1:32" ht="13.5" customHeight="1">
      <c r="A101" s="56"/>
      <c r="B101" s="39"/>
      <c r="C101" s="147"/>
      <c r="D101" s="11"/>
      <c r="E101" s="11"/>
      <c r="F101" s="11"/>
      <c r="G101" s="11"/>
      <c r="H101" s="11"/>
      <c r="I101" s="11"/>
      <c r="J101" s="11"/>
      <c r="K101" s="11"/>
      <c r="L101" s="11"/>
      <c r="M101" s="231"/>
      <c r="N101" s="11"/>
      <c r="O101" s="11"/>
      <c r="P101" s="11"/>
      <c r="Q101" s="231"/>
      <c r="T101" s="11"/>
      <c r="U101" s="11"/>
      <c r="V101" s="11"/>
      <c r="X101" s="11"/>
      <c r="Y101" s="11"/>
      <c r="AE101" s="11"/>
      <c r="AF101" s="11"/>
    </row>
    <row r="102" spans="1:32" ht="13.5" customHeight="1">
      <c r="A102" s="64" t="s">
        <v>301</v>
      </c>
      <c r="B102" s="65">
        <f>B93</f>
        <v>16644</v>
      </c>
      <c r="C102" s="147">
        <f>B102/$B$108</f>
        <v>0.10968762356662713</v>
      </c>
      <c r="D102" s="11"/>
      <c r="E102" s="11"/>
      <c r="F102" s="11"/>
      <c r="G102" s="11"/>
      <c r="H102" s="11"/>
      <c r="I102" s="11"/>
      <c r="J102" s="11"/>
      <c r="K102" s="11"/>
      <c r="L102" s="11"/>
      <c r="M102" s="231"/>
      <c r="N102" s="11"/>
      <c r="O102" s="11"/>
      <c r="P102" s="11"/>
      <c r="Q102" s="231"/>
      <c r="T102" s="11"/>
      <c r="U102" s="11"/>
      <c r="V102" s="11"/>
      <c r="X102" s="11"/>
      <c r="Y102" s="11"/>
      <c r="AE102" s="11"/>
      <c r="AF102" s="11"/>
    </row>
    <row r="103" spans="1:32" ht="13.5" customHeight="1">
      <c r="A103" s="56"/>
      <c r="B103" s="39"/>
      <c r="C103" s="147"/>
      <c r="D103" s="11"/>
      <c r="E103" s="11"/>
      <c r="F103" s="11"/>
      <c r="G103" s="11"/>
      <c r="H103" s="11"/>
      <c r="I103" s="11"/>
      <c r="J103" s="11"/>
      <c r="K103" s="11"/>
      <c r="L103" s="11"/>
      <c r="M103" s="231"/>
      <c r="N103" s="11"/>
      <c r="O103" s="11"/>
      <c r="P103" s="11"/>
      <c r="Q103" s="231"/>
      <c r="T103" s="11"/>
      <c r="U103" s="11"/>
      <c r="V103" s="11"/>
      <c r="X103" s="11"/>
      <c r="Y103" s="11"/>
      <c r="AE103" s="11"/>
      <c r="AF103" s="11"/>
    </row>
    <row r="104" spans="1:32" ht="13.5" customHeight="1">
      <c r="A104" s="64" t="s">
        <v>378</v>
      </c>
      <c r="B104" s="65">
        <f>5175+73700+11263</f>
        <v>90138</v>
      </c>
      <c r="C104" s="147">
        <f>B104/$B$108</f>
        <v>0.59402926057730332</v>
      </c>
      <c r="D104" s="11"/>
      <c r="E104" s="11"/>
      <c r="F104" s="11"/>
      <c r="G104" s="11"/>
      <c r="H104" s="11"/>
      <c r="I104" s="11"/>
      <c r="J104" s="11"/>
      <c r="K104" s="11"/>
      <c r="L104" s="11"/>
      <c r="M104" s="231"/>
      <c r="N104" s="11"/>
      <c r="O104" s="11"/>
      <c r="P104" s="11"/>
      <c r="Q104" s="231"/>
      <c r="T104" s="11"/>
      <c r="U104" s="11"/>
      <c r="V104" s="11"/>
      <c r="X104" s="11"/>
      <c r="Y104" s="11"/>
      <c r="AE104" s="11"/>
      <c r="AF104" s="11"/>
    </row>
    <row r="105" spans="1:32" ht="13.5" customHeight="1">
      <c r="A105" s="56"/>
      <c r="B105" s="39"/>
      <c r="C105" s="147"/>
      <c r="D105" s="11"/>
      <c r="E105" s="11"/>
      <c r="F105" s="11"/>
      <c r="G105" s="11"/>
      <c r="H105" s="11"/>
      <c r="I105" s="11"/>
      <c r="J105" s="11"/>
      <c r="K105" s="11"/>
      <c r="L105" s="11"/>
      <c r="M105" s="231"/>
      <c r="N105" s="11"/>
      <c r="O105" s="11"/>
      <c r="P105" s="11"/>
      <c r="Q105" s="231"/>
      <c r="T105" s="11"/>
      <c r="U105" s="11"/>
      <c r="V105" s="11"/>
      <c r="X105" s="11"/>
      <c r="Y105" s="11"/>
      <c r="AE105" s="11"/>
      <c r="AF105" s="11"/>
    </row>
    <row r="106" spans="1:32" ht="13.5" customHeight="1">
      <c r="A106" s="64" t="s">
        <v>260</v>
      </c>
      <c r="B106" s="65">
        <v>11500</v>
      </c>
      <c r="C106" s="147">
        <f>B106/$B$108</f>
        <v>7.5787531303545541E-2</v>
      </c>
      <c r="D106" s="11"/>
      <c r="E106" s="11"/>
      <c r="F106" s="11"/>
      <c r="G106" s="11"/>
      <c r="H106" s="11"/>
      <c r="I106" s="11"/>
      <c r="J106" s="11"/>
      <c r="K106" s="11"/>
      <c r="L106" s="11"/>
      <c r="M106" s="231"/>
      <c r="N106" s="11"/>
      <c r="O106" s="11"/>
      <c r="P106" s="11"/>
      <c r="Q106" s="231"/>
      <c r="T106" s="11"/>
      <c r="U106" s="11"/>
      <c r="V106" s="11"/>
      <c r="X106" s="11"/>
      <c r="Y106" s="11"/>
      <c r="AE106" s="11"/>
      <c r="AF106" s="11"/>
    </row>
    <row r="107" spans="1:32" ht="13.5" customHeight="1">
      <c r="A107" s="56"/>
      <c r="B107" s="39"/>
      <c r="C107" s="57"/>
      <c r="D107" s="11"/>
      <c r="E107" s="11"/>
      <c r="F107" s="11"/>
      <c r="G107" s="11"/>
      <c r="H107" s="11"/>
      <c r="I107" s="11"/>
      <c r="J107" s="11"/>
      <c r="K107" s="11"/>
      <c r="L107" s="11"/>
      <c r="M107" s="231"/>
      <c r="N107" s="11"/>
      <c r="O107" s="11"/>
      <c r="P107" s="11"/>
      <c r="Q107" s="231"/>
      <c r="T107" s="11"/>
      <c r="U107" s="11"/>
      <c r="V107" s="11"/>
      <c r="X107" s="11"/>
      <c r="Y107" s="11"/>
      <c r="AE107" s="11"/>
      <c r="AF107" s="11"/>
    </row>
    <row r="108" spans="1:32" ht="13.5" customHeight="1" thickBot="1">
      <c r="A108" s="72" t="s">
        <v>17</v>
      </c>
      <c r="B108" s="49">
        <f>B100+B102+B104+B106</f>
        <v>151740</v>
      </c>
      <c r="C108" s="73"/>
      <c r="D108" s="11"/>
      <c r="E108" s="11"/>
      <c r="F108" s="11"/>
      <c r="G108" s="11"/>
      <c r="H108" s="11"/>
      <c r="I108" s="11"/>
      <c r="J108" s="11"/>
      <c r="K108" s="11"/>
      <c r="L108" s="11"/>
      <c r="M108" s="231"/>
      <c r="N108" s="11"/>
      <c r="O108" s="11"/>
      <c r="P108" s="11"/>
      <c r="Q108" s="231"/>
      <c r="T108" s="11"/>
      <c r="U108" s="11"/>
      <c r="V108" s="11"/>
      <c r="X108" s="11"/>
      <c r="Y108" s="11"/>
      <c r="AE108" s="11"/>
      <c r="AF108" s="11"/>
    </row>
    <row r="109" spans="1:32" ht="13.5" customHeight="1">
      <c r="B109" s="11"/>
      <c r="C109" s="11"/>
      <c r="D109" s="11"/>
      <c r="E109" s="11"/>
      <c r="F109" s="11"/>
      <c r="G109" s="11"/>
      <c r="H109" s="11"/>
      <c r="I109" s="11"/>
      <c r="J109" s="11"/>
      <c r="K109" s="11"/>
      <c r="L109" s="11"/>
      <c r="M109" s="231"/>
      <c r="N109" s="11"/>
      <c r="O109" s="11"/>
      <c r="P109" s="11"/>
      <c r="Q109" s="231"/>
      <c r="T109" s="11"/>
      <c r="U109" s="11"/>
      <c r="V109" s="11"/>
      <c r="X109" s="11"/>
      <c r="Y109" s="11"/>
      <c r="AE109" s="11"/>
      <c r="AF109" s="11"/>
    </row>
    <row r="110" spans="1:32" ht="13.5" customHeight="1" thickBot="1">
      <c r="B110" s="11"/>
      <c r="C110" s="11"/>
      <c r="D110" s="11"/>
      <c r="E110" s="11"/>
      <c r="F110" s="11"/>
      <c r="G110" s="11"/>
      <c r="H110" s="11"/>
      <c r="I110" s="11"/>
      <c r="J110" s="11"/>
      <c r="K110" s="11"/>
      <c r="L110" s="11"/>
      <c r="M110" s="231"/>
      <c r="N110" s="11"/>
      <c r="O110" s="11"/>
      <c r="P110" s="11"/>
      <c r="Q110" s="231"/>
      <c r="T110" s="11"/>
      <c r="U110" s="11"/>
      <c r="V110" s="11"/>
      <c r="X110" s="11"/>
      <c r="Y110" s="11"/>
      <c r="AE110" s="11"/>
      <c r="AF110" s="11"/>
    </row>
    <row r="111" spans="1:32" ht="13.5" customHeight="1">
      <c r="A111" s="214" t="s">
        <v>243</v>
      </c>
      <c r="B111" s="215"/>
      <c r="C111" s="215"/>
      <c r="D111" s="215"/>
      <c r="E111" s="215"/>
      <c r="F111" s="215"/>
      <c r="G111" s="74"/>
      <c r="H111" s="11"/>
      <c r="I111" s="11"/>
      <c r="J111" s="11"/>
      <c r="K111" s="11"/>
      <c r="L111" s="11"/>
      <c r="M111" s="231"/>
      <c r="N111" s="11"/>
      <c r="O111" s="11"/>
      <c r="P111" s="11"/>
      <c r="Q111" s="231"/>
      <c r="T111" s="11"/>
      <c r="U111" s="11"/>
      <c r="V111" s="11"/>
      <c r="X111" s="11"/>
      <c r="Y111" s="11"/>
      <c r="AE111" s="11"/>
      <c r="AF111" s="11"/>
    </row>
    <row r="112" spans="1:32" ht="13.5" customHeight="1">
      <c r="A112" s="216"/>
      <c r="B112" s="217"/>
      <c r="C112" s="217"/>
      <c r="D112" s="217"/>
      <c r="E112" s="217"/>
      <c r="F112" s="217"/>
      <c r="G112" s="75"/>
      <c r="H112" s="11"/>
      <c r="I112" s="11"/>
      <c r="J112" s="11"/>
      <c r="K112" s="11"/>
      <c r="L112" s="11"/>
      <c r="M112" s="231"/>
      <c r="N112" s="11"/>
      <c r="O112" s="11"/>
      <c r="P112" s="11"/>
      <c r="Q112" s="231"/>
      <c r="T112" s="11"/>
      <c r="U112" s="11"/>
      <c r="V112" s="11"/>
      <c r="X112" s="11"/>
      <c r="Y112" s="11"/>
      <c r="AE112" s="11"/>
      <c r="AF112" s="11"/>
    </row>
    <row r="113" spans="1:32" ht="13.5" customHeight="1">
      <c r="A113" s="240" t="s">
        <v>928</v>
      </c>
      <c r="B113" s="218"/>
      <c r="C113" s="218"/>
      <c r="D113" s="218"/>
      <c r="E113" s="218"/>
      <c r="F113" s="218"/>
      <c r="G113" s="75"/>
      <c r="H113" s="11"/>
      <c r="I113" s="11"/>
      <c r="J113" s="11"/>
      <c r="K113" s="11"/>
      <c r="L113" s="11"/>
      <c r="M113" s="231"/>
      <c r="N113" s="11"/>
      <c r="O113" s="11"/>
      <c r="P113" s="11"/>
      <c r="Q113" s="231"/>
      <c r="T113" s="11"/>
      <c r="U113" s="11"/>
      <c r="V113" s="11"/>
      <c r="X113" s="11"/>
      <c r="Y113" s="11"/>
      <c r="AE113" s="11"/>
      <c r="AF113" s="11"/>
    </row>
    <row r="114" spans="1:32" ht="13.5" customHeight="1">
      <c r="A114" s="212" t="s">
        <v>939</v>
      </c>
      <c r="B114" s="213"/>
      <c r="C114" s="213"/>
      <c r="D114" s="213"/>
      <c r="E114" s="213"/>
      <c r="F114" s="213"/>
      <c r="G114" s="76"/>
      <c r="AF114" s="11"/>
    </row>
    <row r="115" spans="1:32" ht="13.5" customHeight="1">
      <c r="A115" s="77"/>
      <c r="B115" s="78" t="s">
        <v>339</v>
      </c>
      <c r="C115" s="78" t="s">
        <v>259</v>
      </c>
      <c r="D115" s="78"/>
      <c r="E115" s="78" t="s">
        <v>386</v>
      </c>
      <c r="F115" s="78" t="s">
        <v>1321</v>
      </c>
      <c r="G115" s="79" t="s">
        <v>17</v>
      </c>
      <c r="H115" s="12" t="s">
        <v>261</v>
      </c>
      <c r="I115" s="12"/>
      <c r="J115" s="12"/>
      <c r="K115" s="12"/>
      <c r="L115" s="12"/>
      <c r="AF115" s="11"/>
    </row>
    <row r="116" spans="1:32" ht="13.5" customHeight="1">
      <c r="A116" s="80"/>
      <c r="B116" s="81" t="s">
        <v>410</v>
      </c>
      <c r="C116" s="81" t="s">
        <v>46</v>
      </c>
      <c r="D116" s="81" t="s">
        <v>12</v>
      </c>
      <c r="E116" s="81" t="s">
        <v>12</v>
      </c>
      <c r="F116" s="81" t="s">
        <v>673</v>
      </c>
      <c r="G116" s="82" t="s">
        <v>929</v>
      </c>
      <c r="H116" s="12"/>
      <c r="I116" s="12"/>
      <c r="J116" s="12"/>
      <c r="K116" s="12"/>
      <c r="L116" s="12"/>
      <c r="AF116" s="11"/>
    </row>
    <row r="117" spans="1:32" ht="13.5" customHeight="1">
      <c r="A117" s="111"/>
      <c r="B117" s="112" t="s">
        <v>930</v>
      </c>
      <c r="C117" s="112"/>
      <c r="D117" s="112"/>
      <c r="E117" s="112"/>
      <c r="F117" s="112"/>
      <c r="G117" s="113"/>
      <c r="H117" s="12"/>
      <c r="I117" s="12"/>
      <c r="J117" s="12"/>
      <c r="K117" s="12"/>
      <c r="L117" s="12"/>
      <c r="AF117" s="11"/>
    </row>
    <row r="118" spans="1:32" ht="13.5" customHeight="1">
      <c r="A118" s="111"/>
      <c r="B118" s="114"/>
      <c r="C118" s="114"/>
      <c r="D118" s="114"/>
      <c r="E118" s="114"/>
      <c r="F118" s="114"/>
      <c r="G118" s="115"/>
      <c r="H118" s="12"/>
      <c r="I118" s="12"/>
      <c r="J118" s="12"/>
      <c r="K118" s="12"/>
      <c r="L118" s="12"/>
    </row>
    <row r="119" spans="1:32" ht="13.5" customHeight="1">
      <c r="A119" s="111"/>
      <c r="B119" s="83" t="s">
        <v>383</v>
      </c>
      <c r="C119" s="116"/>
      <c r="D119" s="116"/>
      <c r="E119" s="116"/>
      <c r="F119" s="116"/>
      <c r="G119" s="117">
        <f>SUM(C119:F119)</f>
        <v>0</v>
      </c>
      <c r="H119" s="84">
        <f>G119-SUM(C119:F119)</f>
        <v>0</v>
      </c>
      <c r="I119" s="84"/>
      <c r="J119" s="84"/>
      <c r="K119" s="84"/>
      <c r="L119" s="227"/>
      <c r="M119" s="235"/>
    </row>
    <row r="120" spans="1:32" ht="13.5" customHeight="1" thickBot="1">
      <c r="A120" s="111"/>
      <c r="B120" s="118" t="s">
        <v>931</v>
      </c>
      <c r="C120" s="241">
        <f>+'[3]Allocators (C)'!$C$170</f>
        <v>0.94633089864794495</v>
      </c>
      <c r="D120" s="242"/>
      <c r="E120" s="241">
        <v>0</v>
      </c>
      <c r="F120" s="241">
        <f>+'[3]Allocators (C)'!$E$170</f>
        <v>5.3669101352055076E-2</v>
      </c>
      <c r="G120" s="119">
        <f>SUM(C120:F120)</f>
        <v>1</v>
      </c>
      <c r="H120" s="85">
        <f>G120-SUM(C120:F120)</f>
        <v>0</v>
      </c>
      <c r="I120" s="85"/>
      <c r="J120" s="85"/>
      <c r="K120" s="85"/>
      <c r="L120" s="85"/>
      <c r="M120" s="236"/>
    </row>
    <row r="121" spans="1:32" ht="13.5" customHeight="1" thickTop="1">
      <c r="A121" s="111"/>
      <c r="B121" s="118"/>
      <c r="C121" s="120"/>
      <c r="D121" s="120"/>
      <c r="E121" s="120"/>
      <c r="F121" s="120"/>
      <c r="G121" s="121"/>
      <c r="H121" s="12"/>
      <c r="I121" s="12"/>
      <c r="J121" s="12"/>
      <c r="K121" s="12"/>
      <c r="L121" s="12"/>
    </row>
    <row r="122" spans="1:32" ht="13.5" customHeight="1">
      <c r="A122" s="111"/>
      <c r="B122" s="86" t="s">
        <v>932</v>
      </c>
      <c r="C122" s="122"/>
      <c r="D122" s="122"/>
      <c r="E122" s="122"/>
      <c r="F122" s="122"/>
      <c r="G122" s="123"/>
      <c r="H122" s="84">
        <f>G122-SUM(C122:F122)</f>
        <v>0</v>
      </c>
      <c r="I122" s="84"/>
      <c r="J122" s="84"/>
      <c r="K122" s="84"/>
      <c r="L122" s="227"/>
      <c r="M122" s="235"/>
    </row>
    <row r="123" spans="1:32" ht="15.75" thickBot="1">
      <c r="A123" s="111"/>
      <c r="B123" s="86" t="s">
        <v>933</v>
      </c>
      <c r="C123" s="242">
        <f>'[3]Allocators (C)'!$C$39</f>
        <v>0.97264489228519369</v>
      </c>
      <c r="D123" s="242"/>
      <c r="E123" s="242">
        <f>'[3]Allocators (C)'!$D$39</f>
        <v>1.4907321538104043E-2</v>
      </c>
      <c r="F123" s="242">
        <f>'[3]Allocators (C)'!$E$39</f>
        <v>1.2447786176702232E-2</v>
      </c>
      <c r="G123" s="119">
        <f>SUM(C123:F123)</f>
        <v>1</v>
      </c>
      <c r="H123" s="85">
        <f>G123-SUM(C123:F123)</f>
        <v>0</v>
      </c>
      <c r="I123" s="85"/>
      <c r="J123" s="85"/>
      <c r="K123" s="85"/>
      <c r="L123" s="85"/>
      <c r="M123" s="236"/>
    </row>
    <row r="124" spans="1:32" ht="15.75" thickTop="1">
      <c r="A124" s="111"/>
      <c r="B124" s="118"/>
      <c r="C124" s="124"/>
      <c r="D124" s="124"/>
      <c r="E124" s="124"/>
      <c r="F124" s="124"/>
      <c r="G124" s="125"/>
      <c r="H124" s="12"/>
      <c r="I124" s="12"/>
      <c r="J124" s="12"/>
      <c r="K124" s="12"/>
      <c r="L124" s="12"/>
    </row>
    <row r="125" spans="1:32">
      <c r="A125" s="111"/>
      <c r="B125" s="83" t="s">
        <v>934</v>
      </c>
      <c r="C125" s="87"/>
      <c r="D125" s="87"/>
      <c r="E125" s="87"/>
      <c r="F125" s="87"/>
      <c r="G125" s="88">
        <f>SUM(C125:F125)</f>
        <v>0</v>
      </c>
      <c r="H125" s="84">
        <f>G125-SUM(C125:F125)</f>
        <v>0</v>
      </c>
      <c r="I125" s="84"/>
      <c r="J125" s="84"/>
      <c r="K125" s="84"/>
      <c r="L125" s="227"/>
      <c r="M125" s="235"/>
    </row>
    <row r="126" spans="1:32" ht="15.75" thickBot="1">
      <c r="A126" s="111"/>
      <c r="B126" s="118" t="s">
        <v>935</v>
      </c>
      <c r="C126" s="242">
        <f>+'[3]Allocators (C)'!C89</f>
        <v>0.61933657109696827</v>
      </c>
      <c r="D126" s="242"/>
      <c r="E126" s="242">
        <f>+'[3]Allocators (C)'!$D$89</f>
        <v>1.7937189679095297E-2</v>
      </c>
      <c r="F126" s="242">
        <f>+'[3]Allocators (C)'!$E$89</f>
        <v>0.36272623922393649</v>
      </c>
      <c r="G126" s="119">
        <f>SUM(C126:F126)</f>
        <v>1</v>
      </c>
      <c r="H126" s="85">
        <f>G126-SUM(C126:F126)</f>
        <v>0</v>
      </c>
      <c r="I126" s="85"/>
      <c r="J126" s="85"/>
      <c r="K126" s="85"/>
      <c r="L126" s="85"/>
      <c r="M126" s="236"/>
    </row>
    <row r="127" spans="1:32" ht="15.75" thickTop="1">
      <c r="A127" s="111"/>
      <c r="B127" s="118"/>
      <c r="C127" s="120"/>
      <c r="D127" s="120"/>
      <c r="E127" s="120"/>
      <c r="F127" s="120"/>
      <c r="G127" s="121"/>
      <c r="H127" s="12"/>
      <c r="I127" s="12"/>
      <c r="J127" s="12"/>
      <c r="K127" s="12"/>
      <c r="L127" s="12"/>
    </row>
    <row r="128" spans="1:32">
      <c r="A128" s="111"/>
      <c r="B128" s="124"/>
      <c r="C128" s="120"/>
      <c r="D128" s="120"/>
      <c r="E128" s="120"/>
      <c r="F128" s="120"/>
      <c r="G128" s="121"/>
    </row>
    <row r="129" spans="1:7">
      <c r="A129" s="111"/>
      <c r="B129" s="124"/>
      <c r="C129" s="124"/>
      <c r="D129" s="124"/>
      <c r="E129" s="124"/>
      <c r="F129" s="124"/>
      <c r="G129" s="125"/>
    </row>
    <row r="130" spans="1:7">
      <c r="A130" s="111"/>
      <c r="B130" s="124" t="s">
        <v>936</v>
      </c>
      <c r="C130" s="126">
        <f>C120+C123+C126</f>
        <v>2.5383123620301067</v>
      </c>
      <c r="D130" s="126">
        <f>D120+D123+D126</f>
        <v>0</v>
      </c>
      <c r="E130" s="126">
        <f>E120+E123+E126</f>
        <v>3.2844511217199342E-2</v>
      </c>
      <c r="F130" s="126">
        <f>F120+F123+F126</f>
        <v>0.42884312675269376</v>
      </c>
      <c r="G130" s="127">
        <f>G120+G123+G126</f>
        <v>3</v>
      </c>
    </row>
    <row r="131" spans="1:7" ht="15.75" thickBot="1">
      <c r="A131" s="111"/>
      <c r="B131" s="89" t="s">
        <v>937</v>
      </c>
      <c r="C131" s="90">
        <f>C130/3</f>
        <v>0.84610412067670226</v>
      </c>
      <c r="D131" s="90">
        <f>D130/4</f>
        <v>0</v>
      </c>
      <c r="E131" s="90">
        <f>E130/3</f>
        <v>1.0948170405733114E-2</v>
      </c>
      <c r="F131" s="90">
        <f>F130/3</f>
        <v>0.14294770891756459</v>
      </c>
      <c r="G131" s="91">
        <f>G130/3</f>
        <v>1</v>
      </c>
    </row>
    <row r="132" spans="1:7" ht="16.5" thickTop="1" thickBot="1">
      <c r="A132" s="111"/>
      <c r="B132" s="92" t="s">
        <v>938</v>
      </c>
      <c r="C132" s="93">
        <f>C131+D131</f>
        <v>0.84610412067670226</v>
      </c>
      <c r="D132" s="124"/>
      <c r="E132" s="124"/>
      <c r="F132" s="124"/>
      <c r="G132" s="125"/>
    </row>
    <row r="133" spans="1:7" ht="16.5" thickTop="1" thickBot="1">
      <c r="A133" s="94"/>
      <c r="B133" s="95"/>
      <c r="C133" s="95"/>
      <c r="D133" s="95"/>
      <c r="E133" s="95"/>
      <c r="F133" s="95"/>
      <c r="G133" s="96"/>
    </row>
  </sheetData>
  <mergeCells count="24">
    <mergeCell ref="AD3:AE3"/>
    <mergeCell ref="AH4:AH6"/>
    <mergeCell ref="AI4:AI6"/>
    <mergeCell ref="AG4:AG6"/>
    <mergeCell ref="AG3:AI3"/>
    <mergeCell ref="AD4:AD6"/>
    <mergeCell ref="AE4:AE6"/>
    <mergeCell ref="T3:U3"/>
    <mergeCell ref="T4:T6"/>
    <mergeCell ref="U4:U6"/>
    <mergeCell ref="X4:X6"/>
    <mergeCell ref="AB3:AC3"/>
    <mergeCell ref="Y4:Y6"/>
    <mergeCell ref="AA4:AA6"/>
    <mergeCell ref="AB4:AB6"/>
    <mergeCell ref="AC4:AC6"/>
    <mergeCell ref="X3:Y3"/>
    <mergeCell ref="H4:H6"/>
    <mergeCell ref="J3:K3"/>
    <mergeCell ref="J4:J6"/>
    <mergeCell ref="K4:K6"/>
    <mergeCell ref="N3:O3"/>
    <mergeCell ref="N4:N6"/>
    <mergeCell ref="O4:O6"/>
  </mergeCells>
  <phoneticPr fontId="0" type="noConversion"/>
  <pageMargins left="0.75" right="0.75" top="1" bottom="1" header="0.5" footer="0.5"/>
  <pageSetup scale="50" orientation="landscape" horizontalDpi="300" verticalDpi="300" r:id="rId1"/>
  <headerFooter alignWithMargins="0"/>
  <colBreaks count="1" manualBreakCount="1">
    <brk id="17" max="1048575"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7" tint="0.59999389629810485"/>
  </sheetPr>
  <dimension ref="A1:W277"/>
  <sheetViews>
    <sheetView tabSelected="1" view="pageBreakPreview" topLeftCell="A145" zoomScale="60" zoomScaleNormal="100" workbookViewId="0">
      <selection activeCell="H4" sqref="H4:H6"/>
    </sheetView>
  </sheetViews>
  <sheetFormatPr defaultColWidth="8.88671875" defaultRowHeight="15"/>
  <cols>
    <col min="1" max="1" width="6.44140625" style="3" customWidth="1"/>
    <col min="2" max="2" width="6.88671875" style="3" bestFit="1" customWidth="1"/>
    <col min="3" max="3" width="6.44140625" style="3" customWidth="1"/>
    <col min="4" max="4" width="3" style="3" customWidth="1"/>
    <col min="5" max="5" width="42.88671875" style="3" bestFit="1" customWidth="1"/>
    <col min="6" max="6" width="11.77734375" style="3" bestFit="1" customWidth="1"/>
    <col min="7" max="7" width="4.77734375" style="3" customWidth="1"/>
    <col min="8" max="8" width="5.5546875" style="3" bestFit="1" customWidth="1"/>
    <col min="9" max="9" width="5.44140625" style="3" bestFit="1" customWidth="1"/>
    <col min="10" max="10" width="4.44140625" style="3" bestFit="1" customWidth="1"/>
    <col min="11" max="11" width="10" style="3" customWidth="1"/>
    <col min="12" max="12" width="7.44140625" style="3" bestFit="1" customWidth="1"/>
    <col min="13" max="13" width="13.109375" style="3" customWidth="1"/>
    <col min="14" max="14" width="13.5546875" style="3" customWidth="1"/>
    <col min="15" max="17" width="11.33203125" style="3" customWidth="1"/>
    <col min="18" max="18" width="1.109375" style="3" customWidth="1"/>
    <col min="19" max="19" width="15.33203125" style="3" bestFit="1" customWidth="1"/>
    <col min="20" max="21" width="16.44140625" style="3" bestFit="1" customWidth="1"/>
    <col min="22" max="16384" width="8.88671875" style="3"/>
  </cols>
  <sheetData>
    <row r="1" spans="1:22" s="128" customFormat="1" ht="13.5" customHeight="1">
      <c r="E1" s="134" t="s">
        <v>101</v>
      </c>
      <c r="J1" s="134"/>
      <c r="K1" s="1"/>
      <c r="L1" s="1"/>
      <c r="M1" s="1"/>
      <c r="N1" s="134"/>
      <c r="O1" s="134"/>
      <c r="P1" s="134"/>
    </row>
    <row r="2" spans="1:22" s="128" customFormat="1" ht="13.5" customHeight="1">
      <c r="E2" s="134" t="s">
        <v>0</v>
      </c>
      <c r="J2" s="134"/>
      <c r="K2" s="134"/>
      <c r="L2" s="134"/>
      <c r="M2" s="1"/>
      <c r="N2" s="335">
        <f>+'2111 Trks'!N2</f>
        <v>4</v>
      </c>
      <c r="O2" s="339" t="s">
        <v>4166</v>
      </c>
      <c r="P2" s="134"/>
    </row>
    <row r="3" spans="1:22" s="128" customFormat="1" ht="13.5" customHeight="1">
      <c r="E3" s="250">
        <f>Summary!G6</f>
        <v>45747</v>
      </c>
      <c r="J3" s="134"/>
      <c r="K3" s="1"/>
      <c r="L3" s="1"/>
      <c r="M3" s="1"/>
      <c r="N3" s="335">
        <f>+'2111 Trks'!N3</f>
        <v>3</v>
      </c>
      <c r="O3" s="339" t="s">
        <v>4167</v>
      </c>
      <c r="P3" s="134"/>
    </row>
    <row r="4" spans="1:22" s="128" customFormat="1" ht="13.5" customHeight="1">
      <c r="J4" s="134"/>
      <c r="K4" s="1"/>
      <c r="L4" s="1"/>
      <c r="M4" s="1"/>
      <c r="N4" s="335">
        <f>+'2111 Trks'!N4</f>
        <v>2024</v>
      </c>
      <c r="O4" s="339" t="s">
        <v>888</v>
      </c>
      <c r="P4" s="134"/>
    </row>
    <row r="5" spans="1:22" s="128" customFormat="1" ht="13.5" customHeight="1">
      <c r="J5" s="134"/>
      <c r="K5" s="134"/>
      <c r="L5" s="134"/>
      <c r="M5" s="134"/>
      <c r="N5" s="335">
        <f>+'2111 Trks'!N5</f>
        <v>2025</v>
      </c>
      <c r="O5" s="339" t="s">
        <v>11</v>
      </c>
      <c r="P5" s="134"/>
    </row>
    <row r="6" spans="1:22" ht="13.5" customHeight="1">
      <c r="J6" s="1"/>
      <c r="K6" s="1"/>
      <c r="L6" s="1"/>
      <c r="M6" s="1"/>
      <c r="N6" s="337">
        <f>+N5+(N3/12)</f>
        <v>2025.25</v>
      </c>
      <c r="O6" s="339" t="s">
        <v>4168</v>
      </c>
      <c r="P6" s="1"/>
    </row>
    <row r="7" spans="1:22" ht="13.5" customHeight="1">
      <c r="N7" s="337">
        <f>+N4+(N2/12)</f>
        <v>2024.3333333333333</v>
      </c>
      <c r="O7" s="340" t="s">
        <v>4169</v>
      </c>
      <c r="P7" s="1"/>
      <c r="S7" s="150"/>
      <c r="T7" s="150"/>
      <c r="U7" s="150"/>
    </row>
    <row r="8" spans="1:22" s="1" customFormat="1" ht="13.5" customHeight="1">
      <c r="F8" s="5"/>
      <c r="G8" s="5"/>
      <c r="H8" s="5"/>
      <c r="I8" s="5"/>
      <c r="J8" s="5"/>
      <c r="K8" s="5"/>
      <c r="L8" s="5"/>
      <c r="M8" s="5"/>
      <c r="N8" s="5"/>
      <c r="O8" s="5"/>
      <c r="P8" s="5"/>
      <c r="Q8" s="5"/>
      <c r="S8" s="151" t="s">
        <v>18</v>
      </c>
      <c r="T8" s="151" t="s">
        <v>118</v>
      </c>
      <c r="U8" s="151"/>
    </row>
    <row r="9" spans="1:22" s="1" customFormat="1" ht="13.5" customHeight="1">
      <c r="C9" s="1" t="s">
        <v>57</v>
      </c>
      <c r="F9" s="558" t="s">
        <v>597</v>
      </c>
      <c r="G9" s="558"/>
      <c r="H9" s="5" t="s">
        <v>23</v>
      </c>
      <c r="I9" s="5" t="s">
        <v>57</v>
      </c>
      <c r="J9" s="5"/>
      <c r="K9" s="5" t="s">
        <v>24</v>
      </c>
      <c r="L9" s="5"/>
      <c r="M9" s="5" t="s">
        <v>57</v>
      </c>
      <c r="N9" s="5" t="s">
        <v>57</v>
      </c>
      <c r="O9" s="5"/>
      <c r="P9" s="5"/>
      <c r="Q9" s="5" t="s">
        <v>68</v>
      </c>
      <c r="S9" s="151" t="s">
        <v>117</v>
      </c>
      <c r="T9" s="151" t="s">
        <v>117</v>
      </c>
      <c r="U9" s="151" t="s">
        <v>38</v>
      </c>
    </row>
    <row r="10" spans="1:22" s="1" customFormat="1" ht="13.5" customHeight="1">
      <c r="E10" s="1" t="s">
        <v>248</v>
      </c>
      <c r="F10" s="5"/>
      <c r="G10" s="5"/>
      <c r="H10" s="5" t="s">
        <v>29</v>
      </c>
      <c r="I10" s="5" t="s">
        <v>30</v>
      </c>
      <c r="J10" s="5" t="s">
        <v>64</v>
      </c>
      <c r="K10" s="5" t="s">
        <v>65</v>
      </c>
      <c r="L10" s="5" t="s">
        <v>599</v>
      </c>
      <c r="M10" s="5" t="s">
        <v>31</v>
      </c>
      <c r="N10" s="5" t="s">
        <v>67</v>
      </c>
      <c r="O10" s="5" t="s">
        <v>69</v>
      </c>
      <c r="P10" s="5" t="s">
        <v>598</v>
      </c>
      <c r="Q10" s="5" t="s">
        <v>24</v>
      </c>
      <c r="S10" s="151" t="s">
        <v>67</v>
      </c>
      <c r="T10" s="151" t="s">
        <v>67</v>
      </c>
      <c r="U10" s="151" t="s">
        <v>45</v>
      </c>
    </row>
    <row r="11" spans="1:22" s="1" customFormat="1" ht="13.5" customHeight="1">
      <c r="A11" s="1" t="s">
        <v>835</v>
      </c>
      <c r="B11" s="1" t="s">
        <v>53</v>
      </c>
      <c r="C11" s="1" t="s">
        <v>62</v>
      </c>
      <c r="E11" s="1" t="s">
        <v>63</v>
      </c>
      <c r="F11" s="5" t="s">
        <v>24</v>
      </c>
      <c r="G11" s="5" t="s">
        <v>39</v>
      </c>
      <c r="H11" s="5" t="s">
        <v>34</v>
      </c>
      <c r="I11" s="5" t="s">
        <v>40</v>
      </c>
      <c r="J11" s="5" t="s">
        <v>66</v>
      </c>
      <c r="K11" s="5" t="s">
        <v>67</v>
      </c>
      <c r="L11" s="152" t="s">
        <v>600</v>
      </c>
      <c r="M11" s="5" t="s">
        <v>42</v>
      </c>
      <c r="N11" s="5" t="s">
        <v>42</v>
      </c>
      <c r="O11" s="5" t="s">
        <v>67</v>
      </c>
      <c r="P11" s="5" t="s">
        <v>67</v>
      </c>
      <c r="Q11" s="5" t="s">
        <v>67</v>
      </c>
      <c r="S11" s="8">
        <f>Summary!F6</f>
        <v>45383</v>
      </c>
      <c r="T11" s="8">
        <f>+E3</f>
        <v>45747</v>
      </c>
      <c r="U11" s="8">
        <f>T11</f>
        <v>45747</v>
      </c>
    </row>
    <row r="12" spans="1:22" ht="13.5" customHeight="1">
      <c r="A12" s="3" t="s">
        <v>40</v>
      </c>
      <c r="E12" s="3" t="s">
        <v>219</v>
      </c>
      <c r="F12" s="3">
        <v>2011</v>
      </c>
      <c r="G12" s="3">
        <v>12</v>
      </c>
      <c r="H12" s="3">
        <v>0</v>
      </c>
      <c r="I12" s="3" t="s">
        <v>52</v>
      </c>
      <c r="J12" s="3">
        <v>20</v>
      </c>
      <c r="K12" s="3">
        <f t="shared" ref="K12:K20" si="0">F12+J12</f>
        <v>2031</v>
      </c>
      <c r="L12" s="168">
        <f t="shared" ref="L12:L20" si="1">+K12+(G12/12)</f>
        <v>2032</v>
      </c>
      <c r="M12" s="139">
        <f>1664.5</f>
        <v>1664.5</v>
      </c>
      <c r="N12" s="139">
        <f t="shared" ref="N12:N19" si="2">M12-M12*H12</f>
        <v>1664.5</v>
      </c>
      <c r="O12" s="139">
        <f t="shared" ref="O12:O19" si="3">N12/J12/12</f>
        <v>6.9354166666666659</v>
      </c>
      <c r="P12" s="139">
        <f t="shared" ref="P12:P19" si="4">+O12*12</f>
        <v>83.224999999999994</v>
      </c>
      <c r="Q12" s="342">
        <f>IF(L12&lt;=$N$6,0,P12)</f>
        <v>83.224999999999994</v>
      </c>
      <c r="R12" s="341"/>
      <c r="S12" s="342">
        <f>+IF($L12&lt;=$N$7,$M12,IF(($F12+($G12/12))&gt;=$N$7,0,((($N12-((($L12-$N$7)*12)*$O12))))))</f>
        <v>1026.4416666666605</v>
      </c>
      <c r="T12" s="139">
        <f>IF(L12&lt;=$N$6,M12,Q12+S12)</f>
        <v>1109.6666666666604</v>
      </c>
      <c r="U12" s="139">
        <f>M12-T12</f>
        <v>554.83333333333962</v>
      </c>
      <c r="V12" s="11">
        <f>M12-T12</f>
        <v>554.83333333333962</v>
      </c>
    </row>
    <row r="13" spans="1:22" ht="13.5" customHeight="1">
      <c r="A13" s="3" t="s">
        <v>40</v>
      </c>
      <c r="B13" s="3">
        <v>98430</v>
      </c>
      <c r="E13" s="3" t="s">
        <v>245</v>
      </c>
      <c r="F13" s="3">
        <v>2012</v>
      </c>
      <c r="G13" s="3">
        <v>1</v>
      </c>
      <c r="H13" s="3">
        <v>0</v>
      </c>
      <c r="I13" s="3" t="s">
        <v>52</v>
      </c>
      <c r="J13" s="3">
        <v>30</v>
      </c>
      <c r="K13" s="3">
        <f t="shared" si="0"/>
        <v>2042</v>
      </c>
      <c r="L13" s="168">
        <f t="shared" si="1"/>
        <v>2042.0833333333333</v>
      </c>
      <c r="M13" s="139">
        <f>753818</f>
        <v>753818</v>
      </c>
      <c r="N13" s="139">
        <f t="shared" si="2"/>
        <v>753818</v>
      </c>
      <c r="O13" s="139">
        <f t="shared" si="3"/>
        <v>2093.9388888888889</v>
      </c>
      <c r="P13" s="139">
        <f t="shared" si="4"/>
        <v>25127.266666666666</v>
      </c>
      <c r="Q13" s="342">
        <f t="shared" ref="Q13:Q21" si="5">IF(L13&lt;=$N$6,0,P13)</f>
        <v>25127.266666666666</v>
      </c>
      <c r="R13" s="341"/>
      <c r="S13" s="342">
        <f t="shared" ref="S13:S21" si="6">+IF($L13&lt;=$N$7,$M13,IF(($F13+($G13/12))&gt;=$N$7,0,((($N13-((($L13-$N$7)*12)*$O13))))))</f>
        <v>307809.01666666666</v>
      </c>
      <c r="T13" s="139">
        <f t="shared" ref="T13:T21" si="7">IF(L13&lt;=$N$6,M13,Q13+S13)</f>
        <v>332936.28333333333</v>
      </c>
      <c r="U13" s="139">
        <f t="shared" ref="U13:U21" si="8">M13-T13</f>
        <v>420881.71666666667</v>
      </c>
      <c r="V13" s="11">
        <f t="shared" ref="V13:V85" si="9">M13-T13</f>
        <v>420881.71666666667</v>
      </c>
    </row>
    <row r="14" spans="1:22" ht="13.5" customHeight="1">
      <c r="A14" s="3" t="s">
        <v>40</v>
      </c>
      <c r="B14" s="3">
        <v>109566</v>
      </c>
      <c r="E14" s="3" t="s">
        <v>295</v>
      </c>
      <c r="F14" s="3">
        <v>2013</v>
      </c>
      <c r="G14" s="3">
        <v>12</v>
      </c>
      <c r="H14" s="3">
        <v>0</v>
      </c>
      <c r="I14" s="3" t="s">
        <v>52</v>
      </c>
      <c r="J14" s="3">
        <v>40</v>
      </c>
      <c r="K14" s="3">
        <f t="shared" si="0"/>
        <v>2053</v>
      </c>
      <c r="L14" s="168">
        <f t="shared" si="1"/>
        <v>2054</v>
      </c>
      <c r="M14" s="139">
        <f>5573344.73+1650.8+3969.58+42201.92+306599.73+1301.63+11814.1+29651.93+2520+742.58-1288.93+631.14</f>
        <v>5973139.209999999</v>
      </c>
      <c r="N14" s="139">
        <f t="shared" si="2"/>
        <v>5973139.209999999</v>
      </c>
      <c r="O14" s="139">
        <f t="shared" si="3"/>
        <v>12444.04002083333</v>
      </c>
      <c r="P14" s="139">
        <f t="shared" si="4"/>
        <v>149328.48024999996</v>
      </c>
      <c r="Q14" s="342">
        <f t="shared" si="5"/>
        <v>149328.48024999996</v>
      </c>
      <c r="R14" s="341"/>
      <c r="S14" s="342">
        <f t="shared" si="6"/>
        <v>1543060.9625833221</v>
      </c>
      <c r="T14" s="139">
        <f t="shared" si="7"/>
        <v>1692389.4428333221</v>
      </c>
      <c r="U14" s="139">
        <f t="shared" si="8"/>
        <v>4280749.7671666769</v>
      </c>
      <c r="V14" s="11">
        <f t="shared" si="9"/>
        <v>4280749.7671666769</v>
      </c>
    </row>
    <row r="15" spans="1:22" ht="13.5" customHeight="1">
      <c r="A15" s="3" t="s">
        <v>40</v>
      </c>
      <c r="B15" s="3">
        <v>170429</v>
      </c>
      <c r="E15" s="3" t="s">
        <v>409</v>
      </c>
      <c r="F15" s="3">
        <v>2016</v>
      </c>
      <c r="G15" s="3">
        <v>11</v>
      </c>
      <c r="H15" s="3">
        <v>0</v>
      </c>
      <c r="I15" s="3" t="s">
        <v>52</v>
      </c>
      <c r="J15" s="3">
        <v>10</v>
      </c>
      <c r="K15" s="3">
        <f t="shared" si="0"/>
        <v>2026</v>
      </c>
      <c r="L15" s="168">
        <f t="shared" si="1"/>
        <v>2026.9166666666667</v>
      </c>
      <c r="M15" s="139">
        <v>17748.240000000002</v>
      </c>
      <c r="N15" s="139">
        <f t="shared" si="2"/>
        <v>17748.240000000002</v>
      </c>
      <c r="O15" s="139">
        <f t="shared" si="3"/>
        <v>147.90200000000002</v>
      </c>
      <c r="P15" s="139">
        <f t="shared" si="4"/>
        <v>1774.8240000000001</v>
      </c>
      <c r="Q15" s="342">
        <f t="shared" si="5"/>
        <v>1774.8240000000001</v>
      </c>
      <c r="R15" s="341"/>
      <c r="S15" s="342">
        <f t="shared" si="6"/>
        <v>13163.277999999733</v>
      </c>
      <c r="T15" s="139">
        <f t="shared" si="7"/>
        <v>14938.101999999733</v>
      </c>
      <c r="U15" s="139">
        <f t="shared" si="8"/>
        <v>2810.1380000002682</v>
      </c>
      <c r="V15" s="11">
        <f t="shared" si="9"/>
        <v>2810.1380000002682</v>
      </c>
    </row>
    <row r="16" spans="1:22" ht="13.5" customHeight="1">
      <c r="E16" s="3" t="s">
        <v>1023</v>
      </c>
      <c r="F16" s="3">
        <v>2018</v>
      </c>
      <c r="G16" s="3">
        <v>9</v>
      </c>
      <c r="H16" s="3">
        <v>0</v>
      </c>
      <c r="I16" s="3" t="s">
        <v>52</v>
      </c>
      <c r="J16" s="3">
        <v>20</v>
      </c>
      <c r="K16" s="3">
        <f t="shared" si="0"/>
        <v>2038</v>
      </c>
      <c r="L16" s="168">
        <f t="shared" si="1"/>
        <v>2038.75</v>
      </c>
      <c r="M16" s="139">
        <f>[11]Summary!$D$1+[11]Summary!$D$5</f>
        <v>1782708.07</v>
      </c>
      <c r="N16" s="139">
        <f t="shared" si="2"/>
        <v>1782708.07</v>
      </c>
      <c r="O16" s="139">
        <f t="shared" si="3"/>
        <v>7427.950291666667</v>
      </c>
      <c r="P16" s="139">
        <f t="shared" si="4"/>
        <v>89135.4035</v>
      </c>
      <c r="Q16" s="342">
        <f t="shared" si="5"/>
        <v>89135.4035</v>
      </c>
      <c r="R16" s="341"/>
      <c r="S16" s="342">
        <f t="shared" si="6"/>
        <v>497672.66954166</v>
      </c>
      <c r="T16" s="139">
        <f t="shared" si="7"/>
        <v>586808.07304166001</v>
      </c>
      <c r="U16" s="139">
        <f t="shared" si="8"/>
        <v>1195899.9969583401</v>
      </c>
      <c r="V16" s="11">
        <f t="shared" si="9"/>
        <v>1195899.9969583401</v>
      </c>
    </row>
    <row r="17" spans="1:22" ht="13.5" customHeight="1">
      <c r="B17" s="3" t="s">
        <v>1069</v>
      </c>
      <c r="E17" s="3" t="s">
        <v>1070</v>
      </c>
      <c r="F17" s="3">
        <v>2018</v>
      </c>
      <c r="G17" s="3">
        <v>12</v>
      </c>
      <c r="H17" s="3">
        <v>0</v>
      </c>
      <c r="I17" s="3" t="s">
        <v>52</v>
      </c>
      <c r="J17" s="3">
        <v>20</v>
      </c>
      <c r="K17" s="3">
        <v>2038</v>
      </c>
      <c r="L17" s="168">
        <v>2039</v>
      </c>
      <c r="M17" s="139">
        <v>3636173.93</v>
      </c>
      <c r="N17" s="139">
        <f>M17-M17*H17</f>
        <v>3636173.93</v>
      </c>
      <c r="O17" s="139">
        <f>N17/J17/12</f>
        <v>15150.724708333335</v>
      </c>
      <c r="P17" s="139">
        <f>+O17*12</f>
        <v>181808.69650000002</v>
      </c>
      <c r="Q17" s="342">
        <f t="shared" si="5"/>
        <v>181808.69650000002</v>
      </c>
      <c r="R17" s="341"/>
      <c r="S17" s="342">
        <f t="shared" si="6"/>
        <v>969646.38133331947</v>
      </c>
      <c r="T17" s="139">
        <f t="shared" si="7"/>
        <v>1151455.0778333195</v>
      </c>
      <c r="U17" s="139">
        <f t="shared" si="8"/>
        <v>2484718.8521666806</v>
      </c>
      <c r="V17" s="139">
        <f t="shared" ref="V17:V22" si="10">M17-T17</f>
        <v>2484718.8521666806</v>
      </c>
    </row>
    <row r="18" spans="1:22" ht="13.5" customHeight="1">
      <c r="B18" s="3">
        <v>211105</v>
      </c>
      <c r="E18" s="3" t="s">
        <v>1061</v>
      </c>
      <c r="F18" s="3">
        <v>2019</v>
      </c>
      <c r="G18" s="3">
        <v>1</v>
      </c>
      <c r="H18" s="3">
        <v>0</v>
      </c>
      <c r="I18" s="3" t="s">
        <v>52</v>
      </c>
      <c r="J18" s="3">
        <v>20</v>
      </c>
      <c r="K18" s="3">
        <f t="shared" si="0"/>
        <v>2039</v>
      </c>
      <c r="L18" s="168">
        <f t="shared" si="1"/>
        <v>2039.0833333333333</v>
      </c>
      <c r="M18" s="139">
        <v>9590.25</v>
      </c>
      <c r="N18" s="139">
        <f t="shared" si="2"/>
        <v>9590.25</v>
      </c>
      <c r="O18" s="139">
        <f t="shared" si="3"/>
        <v>39.959375000000001</v>
      </c>
      <c r="P18" s="139">
        <f t="shared" si="4"/>
        <v>479.51250000000005</v>
      </c>
      <c r="Q18" s="342">
        <f t="shared" si="5"/>
        <v>479.51250000000005</v>
      </c>
      <c r="R18" s="341"/>
      <c r="S18" s="342">
        <f t="shared" si="6"/>
        <v>2517.4406250000002</v>
      </c>
      <c r="T18" s="139">
        <f t="shared" si="7"/>
        <v>2996.953125</v>
      </c>
      <c r="U18" s="139">
        <f t="shared" si="8"/>
        <v>6593.296875</v>
      </c>
      <c r="V18" s="11">
        <f t="shared" si="10"/>
        <v>6593.296875</v>
      </c>
    </row>
    <row r="19" spans="1:22" ht="13.5" customHeight="1">
      <c r="B19" s="3" t="s">
        <v>1062</v>
      </c>
      <c r="E19" s="3" t="s">
        <v>1063</v>
      </c>
      <c r="F19" s="3">
        <v>2019</v>
      </c>
      <c r="G19" s="3">
        <v>3</v>
      </c>
      <c r="H19" s="3">
        <v>0</v>
      </c>
      <c r="I19" s="3" t="s">
        <v>52</v>
      </c>
      <c r="J19" s="3">
        <v>20</v>
      </c>
      <c r="K19" s="3">
        <f t="shared" si="0"/>
        <v>2039</v>
      </c>
      <c r="L19" s="168">
        <f t="shared" si="1"/>
        <v>2039.25</v>
      </c>
      <c r="M19" s="139">
        <f>15428.17+1695.6</f>
        <v>17123.77</v>
      </c>
      <c r="N19" s="139">
        <f t="shared" si="2"/>
        <v>17123.77</v>
      </c>
      <c r="O19" s="139">
        <f t="shared" si="3"/>
        <v>71.349041666666665</v>
      </c>
      <c r="P19" s="139">
        <f t="shared" si="4"/>
        <v>856.18849999999998</v>
      </c>
      <c r="Q19" s="342">
        <f t="shared" si="5"/>
        <v>856.18849999999998</v>
      </c>
      <c r="R19" s="341"/>
      <c r="S19" s="342">
        <f t="shared" si="6"/>
        <v>4352.2915416666019</v>
      </c>
      <c r="T19" s="139">
        <f t="shared" si="7"/>
        <v>5208.4800416666021</v>
      </c>
      <c r="U19" s="139">
        <f t="shared" si="8"/>
        <v>11915.289958333398</v>
      </c>
      <c r="V19" s="11">
        <f t="shared" si="10"/>
        <v>11915.289958333398</v>
      </c>
    </row>
    <row r="20" spans="1:22" ht="13.5" customHeight="1">
      <c r="B20" s="3">
        <v>225662</v>
      </c>
      <c r="E20" s="3" t="s">
        <v>1064</v>
      </c>
      <c r="F20" s="3">
        <v>2020</v>
      </c>
      <c r="G20" s="3">
        <v>1</v>
      </c>
      <c r="H20" s="3">
        <v>0</v>
      </c>
      <c r="I20" s="3" t="s">
        <v>52</v>
      </c>
      <c r="J20" s="3">
        <v>7</v>
      </c>
      <c r="K20" s="3">
        <f t="shared" si="0"/>
        <v>2027</v>
      </c>
      <c r="L20" s="168">
        <f t="shared" si="1"/>
        <v>2027.0833333333333</v>
      </c>
      <c r="M20" s="139">
        <f>174948.48+2462.4+121+2659+6868.75+14885.1+35264.7+384635.57+3126.88+8935.75</f>
        <v>633907.63</v>
      </c>
      <c r="N20" s="139">
        <f>M20-M20*H20</f>
        <v>633907.63</v>
      </c>
      <c r="O20" s="139">
        <f>N20/J20/12</f>
        <v>7546.5194047619043</v>
      </c>
      <c r="P20" s="139">
        <f>+O20*12</f>
        <v>90558.232857142852</v>
      </c>
      <c r="Q20" s="342">
        <f t="shared" si="5"/>
        <v>90558.232857142852</v>
      </c>
      <c r="R20" s="341"/>
      <c r="S20" s="342">
        <f t="shared" si="6"/>
        <v>384872.48964285717</v>
      </c>
      <c r="T20" s="139">
        <f t="shared" si="7"/>
        <v>475430.72250000003</v>
      </c>
      <c r="U20" s="139">
        <f t="shared" si="8"/>
        <v>158476.90749999997</v>
      </c>
      <c r="V20" s="11">
        <f t="shared" si="10"/>
        <v>158476.90749999997</v>
      </c>
    </row>
    <row r="21" spans="1:22" ht="13.5" customHeight="1">
      <c r="B21" s="3">
        <v>232979</v>
      </c>
      <c r="E21" s="3" t="s">
        <v>1081</v>
      </c>
      <c r="F21" s="3">
        <v>2020</v>
      </c>
      <c r="G21" s="3">
        <v>5</v>
      </c>
      <c r="H21" s="3">
        <v>0</v>
      </c>
      <c r="I21" s="3" t="s">
        <v>52</v>
      </c>
      <c r="J21" s="3">
        <v>10</v>
      </c>
      <c r="K21" s="3">
        <f>F21+J21</f>
        <v>2030</v>
      </c>
      <c r="L21" s="168">
        <f>+K21+(G21/12)</f>
        <v>2030.4166666666667</v>
      </c>
      <c r="M21" s="139">
        <f>1213512.47+381+240504.3+1417.62+1148.5+226012.36</f>
        <v>1682976.25</v>
      </c>
      <c r="N21" s="139">
        <f>M21-M21*H21</f>
        <v>1682976.25</v>
      </c>
      <c r="O21" s="139">
        <f>N21/J21/12</f>
        <v>14024.802083333334</v>
      </c>
      <c r="P21" s="139">
        <f>+O21*12</f>
        <v>168297.625</v>
      </c>
      <c r="Q21" s="342">
        <f t="shared" si="5"/>
        <v>168297.625</v>
      </c>
      <c r="R21" s="341"/>
      <c r="S21" s="342">
        <f t="shared" si="6"/>
        <v>659165.69791664113</v>
      </c>
      <c r="T21" s="139">
        <f t="shared" si="7"/>
        <v>827463.32291664113</v>
      </c>
      <c r="U21" s="139">
        <f t="shared" si="8"/>
        <v>855512.92708335887</v>
      </c>
      <c r="V21" s="11">
        <f t="shared" si="10"/>
        <v>855512.92708335887</v>
      </c>
    </row>
    <row r="22" spans="1:22" ht="13.5" customHeight="1">
      <c r="B22" s="3" t="s">
        <v>1274</v>
      </c>
      <c r="E22" s="12" t="s">
        <v>1275</v>
      </c>
      <c r="F22" s="3">
        <v>2021</v>
      </c>
      <c r="G22" s="3">
        <v>1</v>
      </c>
      <c r="H22" s="3">
        <v>0</v>
      </c>
      <c r="I22" s="3" t="s">
        <v>52</v>
      </c>
      <c r="J22" s="3">
        <v>20</v>
      </c>
      <c r="K22" s="3">
        <f>F22+J22</f>
        <v>2041</v>
      </c>
      <c r="L22" s="168">
        <f>+K22+(G22/12)</f>
        <v>2041.0833333333333</v>
      </c>
      <c r="M22" s="139">
        <v>256</v>
      </c>
      <c r="N22" s="139">
        <f>M22-M22*H22</f>
        <v>256</v>
      </c>
      <c r="O22" s="139">
        <f>N22/J22/12</f>
        <v>1.0666666666666667</v>
      </c>
      <c r="P22" s="139">
        <f>+O22*12</f>
        <v>12.8</v>
      </c>
      <c r="Q22" s="342">
        <f>IF(L22&lt;=$N$6,0,P22)</f>
        <v>12.8</v>
      </c>
      <c r="R22" s="341"/>
      <c r="S22" s="342">
        <f>+IF($L22&lt;=$N$7,$M22,IF(($F22+($G22/12))&gt;=$N$7,0,((($N22-((($L22-$N$7)*12)*$O22))))))</f>
        <v>41.599999999999994</v>
      </c>
      <c r="T22" s="139">
        <f>IF(L22&lt;=$N$6,M22,Q22+S22)</f>
        <v>54.399999999999991</v>
      </c>
      <c r="U22" s="139">
        <f>M22-T22</f>
        <v>201.60000000000002</v>
      </c>
      <c r="V22" s="11">
        <f t="shared" si="10"/>
        <v>201.60000000000002</v>
      </c>
    </row>
    <row r="23" spans="1:22" ht="13.5" customHeight="1">
      <c r="L23" s="168"/>
      <c r="M23" s="139"/>
      <c r="N23" s="139"/>
      <c r="O23" s="139"/>
      <c r="P23" s="139"/>
      <c r="Q23" s="139"/>
      <c r="R23" s="139"/>
      <c r="S23" s="139"/>
      <c r="T23" s="139"/>
      <c r="U23" s="139"/>
      <c r="V23" s="11"/>
    </row>
    <row r="24" spans="1:22" ht="13.5" customHeight="1">
      <c r="E24" s="162" t="s">
        <v>249</v>
      </c>
      <c r="F24" s="162"/>
      <c r="G24" s="162"/>
      <c r="H24" s="162"/>
      <c r="I24" s="162"/>
      <c r="J24" s="162"/>
      <c r="K24" s="162"/>
      <c r="L24" s="176"/>
      <c r="M24" s="163">
        <f t="shared" ref="M24:V24" si="11">SUM(M12:M23)</f>
        <v>14509105.85</v>
      </c>
      <c r="N24" s="163">
        <f t="shared" si="11"/>
        <v>14509105.85</v>
      </c>
      <c r="O24" s="163">
        <f t="shared" si="11"/>
        <v>58955.187897817457</v>
      </c>
      <c r="P24" s="163">
        <f t="shared" si="11"/>
        <v>707462.25477380957</v>
      </c>
      <c r="Q24" s="163">
        <f t="shared" si="11"/>
        <v>707462.25477380957</v>
      </c>
      <c r="R24" s="163">
        <f t="shared" si="11"/>
        <v>0</v>
      </c>
      <c r="S24" s="163">
        <f t="shared" si="11"/>
        <v>4383328.2695177989</v>
      </c>
      <c r="T24" s="163">
        <f t="shared" si="11"/>
        <v>5090790.5242916094</v>
      </c>
      <c r="U24" s="163">
        <f t="shared" si="11"/>
        <v>9418315.3257083893</v>
      </c>
      <c r="V24" s="163">
        <f t="shared" si="11"/>
        <v>9418315.3257083893</v>
      </c>
    </row>
    <row r="25" spans="1:22" ht="13.5" customHeight="1">
      <c r="L25" s="168"/>
      <c r="M25" s="139"/>
      <c r="N25" s="139"/>
      <c r="O25" s="139"/>
      <c r="P25" s="139"/>
      <c r="Q25" s="139"/>
      <c r="R25" s="139"/>
      <c r="S25" s="139"/>
      <c r="T25" s="139"/>
      <c r="U25" s="139"/>
      <c r="V25" s="11"/>
    </row>
    <row r="26" spans="1:22" ht="13.5" customHeight="1">
      <c r="E26" s="134" t="s">
        <v>266</v>
      </c>
      <c r="L26" s="168"/>
      <c r="M26" s="139"/>
      <c r="N26" s="139"/>
      <c r="O26" s="139"/>
      <c r="P26" s="139"/>
      <c r="Q26" s="139"/>
      <c r="R26" s="139"/>
      <c r="S26" s="139"/>
      <c r="T26" s="139"/>
      <c r="U26" s="139"/>
      <c r="V26" s="11"/>
    </row>
    <row r="27" spans="1:22" ht="13.5" customHeight="1">
      <c r="A27" s="3" t="s">
        <v>40</v>
      </c>
      <c r="C27" s="3" t="s">
        <v>77</v>
      </c>
      <c r="E27" s="3" t="s">
        <v>137</v>
      </c>
      <c r="F27" s="3">
        <v>2000</v>
      </c>
      <c r="G27" s="3">
        <v>7</v>
      </c>
      <c r="H27" s="3">
        <v>0</v>
      </c>
      <c r="I27" s="3" t="s">
        <v>52</v>
      </c>
      <c r="J27" s="3">
        <v>15</v>
      </c>
      <c r="K27" s="3">
        <f t="shared" ref="K27:K35" si="12">F27+J27</f>
        <v>2015</v>
      </c>
      <c r="L27" s="168">
        <f t="shared" ref="L27:L35" si="13">+K27+(G27/12)</f>
        <v>2015.5833333333333</v>
      </c>
      <c r="M27" s="139">
        <v>5273.66</v>
      </c>
      <c r="N27" s="139">
        <f>M27-M27*H27</f>
        <v>5273.66</v>
      </c>
      <c r="O27" s="139">
        <f>N27/J27/12</f>
        <v>29.298111111111112</v>
      </c>
      <c r="P27" s="139">
        <f t="shared" ref="P27:P35" si="14">+O27*12</f>
        <v>351.57733333333334</v>
      </c>
      <c r="Q27" s="342">
        <f t="shared" ref="Q27:Q44" si="15">IF(L27&lt;=$N$6,0,P27)</f>
        <v>0</v>
      </c>
      <c r="R27" s="341"/>
      <c r="S27" s="342">
        <f t="shared" ref="S27:S44" si="16">+IF($L27&lt;=$N$7,$M27,IF(($F27+($G27/12))&gt;=$N$7,0,((($N27-((($L27-$N$7)*12)*$O27))))))</f>
        <v>5273.66</v>
      </c>
      <c r="T27" s="139">
        <f t="shared" ref="T27:T44" si="17">IF(L27&lt;=$N$6,M27,Q27+S27)</f>
        <v>5273.66</v>
      </c>
      <c r="U27" s="139">
        <f t="shared" ref="U27:U44" si="18">M27-T27</f>
        <v>0</v>
      </c>
      <c r="V27" s="11">
        <f t="shared" si="9"/>
        <v>0</v>
      </c>
    </row>
    <row r="28" spans="1:22" ht="13.5" customHeight="1">
      <c r="A28" s="3" t="s">
        <v>40</v>
      </c>
      <c r="C28" s="3" t="s">
        <v>77</v>
      </c>
      <c r="E28" s="3" t="s">
        <v>138</v>
      </c>
      <c r="F28" s="3">
        <v>2000</v>
      </c>
      <c r="G28" s="3">
        <v>7</v>
      </c>
      <c r="H28" s="3">
        <v>0</v>
      </c>
      <c r="I28" s="3" t="s">
        <v>52</v>
      </c>
      <c r="J28" s="3">
        <v>15</v>
      </c>
      <c r="K28" s="3">
        <f t="shared" si="12"/>
        <v>2015</v>
      </c>
      <c r="L28" s="168">
        <f t="shared" si="13"/>
        <v>2015.5833333333333</v>
      </c>
      <c r="M28" s="139">
        <v>16198.88</v>
      </c>
      <c r="N28" s="139">
        <f t="shared" ref="N28:N35" si="19">M28-M28*H28</f>
        <v>16198.88</v>
      </c>
      <c r="O28" s="139">
        <f t="shared" ref="O28:O35" si="20">N28/J28/12</f>
        <v>89.99377777777778</v>
      </c>
      <c r="P28" s="139">
        <f t="shared" si="14"/>
        <v>1079.9253333333334</v>
      </c>
      <c r="Q28" s="342">
        <f t="shared" si="15"/>
        <v>0</v>
      </c>
      <c r="R28" s="341"/>
      <c r="S28" s="342">
        <f t="shared" si="16"/>
        <v>16198.88</v>
      </c>
      <c r="T28" s="139">
        <f t="shared" si="17"/>
        <v>16198.88</v>
      </c>
      <c r="U28" s="139">
        <f t="shared" si="18"/>
        <v>0</v>
      </c>
      <c r="V28" s="11">
        <f t="shared" si="9"/>
        <v>0</v>
      </c>
    </row>
    <row r="29" spans="1:22" ht="13.5" customHeight="1">
      <c r="A29" s="3" t="s">
        <v>40</v>
      </c>
      <c r="E29" s="3" t="s">
        <v>139</v>
      </c>
      <c r="F29" s="3">
        <v>2007</v>
      </c>
      <c r="G29" s="3">
        <v>7</v>
      </c>
      <c r="H29" s="3">
        <v>0</v>
      </c>
      <c r="I29" s="3" t="s">
        <v>52</v>
      </c>
      <c r="J29" s="3">
        <v>20</v>
      </c>
      <c r="K29" s="3">
        <f t="shared" si="12"/>
        <v>2027</v>
      </c>
      <c r="L29" s="168">
        <f t="shared" si="13"/>
        <v>2027.5833333333333</v>
      </c>
      <c r="M29" s="139">
        <f>[12]Reconciliation!$F$8</f>
        <v>734487.29999999993</v>
      </c>
      <c r="N29" s="139">
        <f t="shared" si="19"/>
        <v>734487.29999999993</v>
      </c>
      <c r="O29" s="139">
        <f t="shared" si="20"/>
        <v>3060.36375</v>
      </c>
      <c r="P29" s="139">
        <f t="shared" si="14"/>
        <v>36724.364999999998</v>
      </c>
      <c r="Q29" s="342">
        <f t="shared" si="15"/>
        <v>36724.364999999998</v>
      </c>
      <c r="R29" s="341"/>
      <c r="S29" s="342">
        <f t="shared" si="16"/>
        <v>615133.1137499999</v>
      </c>
      <c r="T29" s="139">
        <f t="shared" si="17"/>
        <v>651857.47874999989</v>
      </c>
      <c r="U29" s="139">
        <f t="shared" si="18"/>
        <v>82629.821250000037</v>
      </c>
      <c r="V29" s="11">
        <f t="shared" si="9"/>
        <v>82629.821250000037</v>
      </c>
    </row>
    <row r="30" spans="1:22" ht="13.5" customHeight="1">
      <c r="A30" s="3" t="s">
        <v>40</v>
      </c>
      <c r="E30" s="3" t="s">
        <v>256</v>
      </c>
      <c r="F30" s="3">
        <v>2007</v>
      </c>
      <c r="G30" s="3">
        <v>7</v>
      </c>
      <c r="H30" s="3">
        <v>0</v>
      </c>
      <c r="I30" s="3" t="s">
        <v>52</v>
      </c>
      <c r="J30" s="3">
        <v>20</v>
      </c>
      <c r="K30" s="3">
        <f t="shared" si="12"/>
        <v>2027</v>
      </c>
      <c r="L30" s="168">
        <f t="shared" si="13"/>
        <v>2027.5833333333333</v>
      </c>
      <c r="M30" s="139">
        <f>[12]Reconciliation!$F$9</f>
        <v>1306485.8600000001</v>
      </c>
      <c r="N30" s="139">
        <f t="shared" si="19"/>
        <v>1306485.8600000001</v>
      </c>
      <c r="O30" s="139">
        <f t="shared" si="20"/>
        <v>5443.6910833333341</v>
      </c>
      <c r="P30" s="139">
        <f t="shared" si="14"/>
        <v>65324.293000000005</v>
      </c>
      <c r="Q30" s="342">
        <f t="shared" si="15"/>
        <v>65324.293000000005</v>
      </c>
      <c r="R30" s="341"/>
      <c r="S30" s="342">
        <f t="shared" si="16"/>
        <v>1094181.90775</v>
      </c>
      <c r="T30" s="139">
        <f t="shared" si="17"/>
        <v>1159506.2007500001</v>
      </c>
      <c r="U30" s="139">
        <f t="shared" si="18"/>
        <v>146979.65925000003</v>
      </c>
      <c r="V30" s="11">
        <f t="shared" si="9"/>
        <v>146979.65925000003</v>
      </c>
    </row>
    <row r="31" spans="1:22" ht="13.5" customHeight="1">
      <c r="A31" s="3" t="s">
        <v>40</v>
      </c>
      <c r="E31" s="3" t="s">
        <v>257</v>
      </c>
      <c r="F31" s="3">
        <v>2008</v>
      </c>
      <c r="G31" s="3">
        <v>1</v>
      </c>
      <c r="H31" s="3">
        <v>0</v>
      </c>
      <c r="I31" s="3" t="s">
        <v>52</v>
      </c>
      <c r="J31" s="3">
        <v>20</v>
      </c>
      <c r="K31" s="3">
        <f t="shared" si="12"/>
        <v>2028</v>
      </c>
      <c r="L31" s="168">
        <f t="shared" si="13"/>
        <v>2028.0833333333333</v>
      </c>
      <c r="M31" s="139">
        <f>[12]Reconciliation!$F$10</f>
        <v>226036.81</v>
      </c>
      <c r="N31" s="139">
        <f t="shared" si="19"/>
        <v>226036.81</v>
      </c>
      <c r="O31" s="139">
        <f t="shared" si="20"/>
        <v>941.82004166666673</v>
      </c>
      <c r="P31" s="139">
        <f t="shared" si="14"/>
        <v>11301.8405</v>
      </c>
      <c r="Q31" s="342">
        <f t="shared" si="15"/>
        <v>11301.8405</v>
      </c>
      <c r="R31" s="341"/>
      <c r="S31" s="342">
        <f t="shared" si="16"/>
        <v>183654.90812499999</v>
      </c>
      <c r="T31" s="139">
        <f t="shared" si="17"/>
        <v>194956.74862499998</v>
      </c>
      <c r="U31" s="139">
        <f t="shared" si="18"/>
        <v>31080.061375000019</v>
      </c>
      <c r="V31" s="11">
        <f t="shared" si="9"/>
        <v>31080.061375000019</v>
      </c>
    </row>
    <row r="32" spans="1:22" ht="13.5" customHeight="1">
      <c r="A32" s="3" t="s">
        <v>40</v>
      </c>
      <c r="C32" s="3" t="s">
        <v>77</v>
      </c>
      <c r="E32" s="3" t="s">
        <v>218</v>
      </c>
      <c r="F32" s="3">
        <v>2011</v>
      </c>
      <c r="G32" s="3">
        <v>12</v>
      </c>
      <c r="H32" s="3">
        <v>0</v>
      </c>
      <c r="I32" s="3" t="s">
        <v>52</v>
      </c>
      <c r="J32" s="3">
        <v>10</v>
      </c>
      <c r="K32" s="3">
        <f t="shared" si="12"/>
        <v>2021</v>
      </c>
      <c r="L32" s="168">
        <f t="shared" si="13"/>
        <v>2022</v>
      </c>
      <c r="M32" s="139">
        <v>458063.9</v>
      </c>
      <c r="N32" s="139">
        <f t="shared" si="19"/>
        <v>458063.9</v>
      </c>
      <c r="O32" s="139">
        <f t="shared" si="20"/>
        <v>3817.1991666666668</v>
      </c>
      <c r="P32" s="139">
        <f t="shared" si="14"/>
        <v>45806.39</v>
      </c>
      <c r="Q32" s="342">
        <f t="shared" si="15"/>
        <v>0</v>
      </c>
      <c r="R32" s="341"/>
      <c r="S32" s="342">
        <f t="shared" si="16"/>
        <v>458063.9</v>
      </c>
      <c r="T32" s="139">
        <f t="shared" si="17"/>
        <v>458063.9</v>
      </c>
      <c r="U32" s="139">
        <f t="shared" si="18"/>
        <v>0</v>
      </c>
      <c r="V32" s="11">
        <f t="shared" si="9"/>
        <v>0</v>
      </c>
    </row>
    <row r="33" spans="1:22" ht="13.5" customHeight="1">
      <c r="A33" s="3" t="s">
        <v>40</v>
      </c>
      <c r="E33" s="3" t="s">
        <v>251</v>
      </c>
      <c r="F33" s="3">
        <v>2012</v>
      </c>
      <c r="G33" s="3">
        <v>3</v>
      </c>
      <c r="H33" s="3">
        <v>0</v>
      </c>
      <c r="I33" s="3" t="s">
        <v>52</v>
      </c>
      <c r="J33" s="3">
        <v>20</v>
      </c>
      <c r="K33" s="3">
        <f t="shared" si="12"/>
        <v>2032</v>
      </c>
      <c r="L33" s="168">
        <f t="shared" si="13"/>
        <v>2032.25</v>
      </c>
      <c r="M33" s="139">
        <v>157686.68</v>
      </c>
      <c r="N33" s="139">
        <f t="shared" si="19"/>
        <v>157686.68</v>
      </c>
      <c r="O33" s="139">
        <f t="shared" si="20"/>
        <v>657.02783333333332</v>
      </c>
      <c r="P33" s="139">
        <f t="shared" si="14"/>
        <v>7884.3339999999998</v>
      </c>
      <c r="Q33" s="342">
        <f t="shared" si="15"/>
        <v>7884.3339999999998</v>
      </c>
      <c r="R33" s="341"/>
      <c r="S33" s="342">
        <f t="shared" si="16"/>
        <v>95269.035833332731</v>
      </c>
      <c r="T33" s="139">
        <f t="shared" si="17"/>
        <v>103153.36983333273</v>
      </c>
      <c r="U33" s="139">
        <f t="shared" si="18"/>
        <v>54533.310166667259</v>
      </c>
      <c r="V33" s="11">
        <f t="shared" si="9"/>
        <v>54533.310166667259</v>
      </c>
    </row>
    <row r="34" spans="1:22" ht="13.5" customHeight="1">
      <c r="A34" s="3" t="s">
        <v>40</v>
      </c>
      <c r="B34" s="3">
        <v>102874</v>
      </c>
      <c r="E34" s="3" t="s">
        <v>268</v>
      </c>
      <c r="F34" s="3">
        <v>2013</v>
      </c>
      <c r="G34" s="3">
        <v>3</v>
      </c>
      <c r="H34" s="3">
        <v>0</v>
      </c>
      <c r="I34" s="3" t="s">
        <v>52</v>
      </c>
      <c r="J34" s="3">
        <v>5</v>
      </c>
      <c r="K34" s="3">
        <f t="shared" si="12"/>
        <v>2018</v>
      </c>
      <c r="L34" s="168">
        <f t="shared" si="13"/>
        <v>2018.25</v>
      </c>
      <c r="M34" s="139">
        <v>34953.300000000003</v>
      </c>
      <c r="N34" s="139">
        <f t="shared" si="19"/>
        <v>34953.300000000003</v>
      </c>
      <c r="O34" s="139">
        <f t="shared" si="20"/>
        <v>582.55500000000006</v>
      </c>
      <c r="P34" s="139">
        <f t="shared" si="14"/>
        <v>6990.6600000000008</v>
      </c>
      <c r="Q34" s="342">
        <f t="shared" si="15"/>
        <v>0</v>
      </c>
      <c r="R34" s="341"/>
      <c r="S34" s="342">
        <f t="shared" si="16"/>
        <v>34953.300000000003</v>
      </c>
      <c r="T34" s="139">
        <f t="shared" si="17"/>
        <v>34953.300000000003</v>
      </c>
      <c r="U34" s="139">
        <f t="shared" si="18"/>
        <v>0</v>
      </c>
      <c r="V34" s="11">
        <f t="shared" si="9"/>
        <v>0</v>
      </c>
    </row>
    <row r="35" spans="1:22" ht="13.5" customHeight="1">
      <c r="A35" s="3" t="s">
        <v>40</v>
      </c>
      <c r="B35" s="3">
        <v>107185</v>
      </c>
      <c r="C35" s="3" t="s">
        <v>77</v>
      </c>
      <c r="E35" s="3" t="s">
        <v>302</v>
      </c>
      <c r="F35" s="3">
        <v>2013</v>
      </c>
      <c r="G35" s="3">
        <v>10</v>
      </c>
      <c r="H35" s="3">
        <v>0</v>
      </c>
      <c r="I35" s="3" t="s">
        <v>52</v>
      </c>
      <c r="J35" s="3">
        <v>5</v>
      </c>
      <c r="K35" s="3">
        <f t="shared" si="12"/>
        <v>2018</v>
      </c>
      <c r="L35" s="168">
        <f t="shared" si="13"/>
        <v>2018.8333333333333</v>
      </c>
      <c r="M35" s="139">
        <f>(42435.72/84)*59</f>
        <v>29806.041428571429</v>
      </c>
      <c r="N35" s="139">
        <f t="shared" si="19"/>
        <v>29806.041428571429</v>
      </c>
      <c r="O35" s="139">
        <f t="shared" si="20"/>
        <v>496.76735714285718</v>
      </c>
      <c r="P35" s="139">
        <f t="shared" si="14"/>
        <v>5961.2082857142859</v>
      </c>
      <c r="Q35" s="342">
        <f t="shared" si="15"/>
        <v>0</v>
      </c>
      <c r="R35" s="341"/>
      <c r="S35" s="342">
        <f t="shared" si="16"/>
        <v>29806.041428571429</v>
      </c>
      <c r="T35" s="139">
        <f t="shared" si="17"/>
        <v>29806.041428571429</v>
      </c>
      <c r="U35" s="139">
        <f t="shared" si="18"/>
        <v>0</v>
      </c>
      <c r="V35" s="11">
        <f t="shared" si="9"/>
        <v>0</v>
      </c>
    </row>
    <row r="36" spans="1:22" ht="13.5" customHeight="1">
      <c r="A36" s="3" t="s">
        <v>673</v>
      </c>
      <c r="B36" s="3">
        <v>7978</v>
      </c>
      <c r="C36" s="3" t="s">
        <v>77</v>
      </c>
      <c r="E36" s="3" t="s">
        <v>918</v>
      </c>
      <c r="F36" s="3">
        <v>1982</v>
      </c>
      <c r="G36" s="3">
        <v>4</v>
      </c>
      <c r="H36" s="3">
        <v>0</v>
      </c>
      <c r="I36" s="3" t="s">
        <v>52</v>
      </c>
      <c r="J36" s="3">
        <v>20</v>
      </c>
      <c r="K36" s="3">
        <f t="shared" ref="K36:K44" si="21">F36+J36</f>
        <v>2002</v>
      </c>
      <c r="L36" s="168">
        <f t="shared" ref="L36:L44" si="22">+K36+(G36/12)</f>
        <v>2002.3333333333333</v>
      </c>
      <c r="M36" s="139">
        <v>48950.36</v>
      </c>
      <c r="N36" s="139">
        <f t="shared" ref="N36:N41" si="23">M36-M36*H36</f>
        <v>48950.36</v>
      </c>
      <c r="O36" s="139">
        <f t="shared" ref="O36:O41" si="24">N36/J36/12</f>
        <v>203.95983333333334</v>
      </c>
      <c r="P36" s="139">
        <f t="shared" ref="P36:P41" si="25">+O36*12</f>
        <v>2447.518</v>
      </c>
      <c r="Q36" s="342">
        <f t="shared" si="15"/>
        <v>0</v>
      </c>
      <c r="R36" s="341"/>
      <c r="S36" s="342">
        <f t="shared" si="16"/>
        <v>48950.36</v>
      </c>
      <c r="T36" s="139">
        <f t="shared" si="17"/>
        <v>48950.36</v>
      </c>
      <c r="U36" s="139">
        <f t="shared" si="18"/>
        <v>0</v>
      </c>
      <c r="V36" s="11">
        <f t="shared" si="9"/>
        <v>0</v>
      </c>
    </row>
    <row r="37" spans="1:22" ht="13.5" customHeight="1">
      <c r="B37" s="3">
        <v>7957</v>
      </c>
      <c r="C37" s="3" t="s">
        <v>77</v>
      </c>
      <c r="E37" s="3" t="s">
        <v>260</v>
      </c>
      <c r="F37" s="3">
        <v>1983</v>
      </c>
      <c r="G37" s="3">
        <v>6</v>
      </c>
      <c r="H37" s="3">
        <v>0</v>
      </c>
      <c r="I37" s="3" t="s">
        <v>52</v>
      </c>
      <c r="J37" s="3">
        <v>20</v>
      </c>
      <c r="K37" s="3">
        <f t="shared" si="21"/>
        <v>2003</v>
      </c>
      <c r="L37" s="168">
        <f t="shared" si="22"/>
        <v>2003.5</v>
      </c>
      <c r="M37" s="139">
        <v>11994.75</v>
      </c>
      <c r="N37" s="139">
        <f t="shared" si="23"/>
        <v>11994.75</v>
      </c>
      <c r="O37" s="139">
        <f t="shared" si="24"/>
        <v>49.978124999999999</v>
      </c>
      <c r="P37" s="139">
        <f t="shared" si="25"/>
        <v>599.73749999999995</v>
      </c>
      <c r="Q37" s="342">
        <f t="shared" si="15"/>
        <v>0</v>
      </c>
      <c r="R37" s="341"/>
      <c r="S37" s="342">
        <f t="shared" si="16"/>
        <v>11994.75</v>
      </c>
      <c r="T37" s="139">
        <f t="shared" si="17"/>
        <v>11994.75</v>
      </c>
      <c r="U37" s="139">
        <f t="shared" si="18"/>
        <v>0</v>
      </c>
      <c r="V37" s="11">
        <f t="shared" si="9"/>
        <v>0</v>
      </c>
    </row>
    <row r="38" spans="1:22" ht="13.5" customHeight="1">
      <c r="B38" s="3">
        <v>7959</v>
      </c>
      <c r="C38" s="3" t="s">
        <v>77</v>
      </c>
      <c r="E38" s="3" t="s">
        <v>919</v>
      </c>
      <c r="F38" s="3">
        <v>1983</v>
      </c>
      <c r="G38" s="3">
        <v>9</v>
      </c>
      <c r="H38" s="3">
        <v>0</v>
      </c>
      <c r="I38" s="3" t="s">
        <v>52</v>
      </c>
      <c r="J38" s="3">
        <v>5</v>
      </c>
      <c r="K38" s="3">
        <f t="shared" si="21"/>
        <v>1988</v>
      </c>
      <c r="L38" s="168">
        <f t="shared" si="22"/>
        <v>1988.75</v>
      </c>
      <c r="M38" s="139">
        <v>7426</v>
      </c>
      <c r="N38" s="139">
        <f t="shared" si="23"/>
        <v>7426</v>
      </c>
      <c r="O38" s="139">
        <f t="shared" si="24"/>
        <v>123.76666666666667</v>
      </c>
      <c r="P38" s="139">
        <f t="shared" si="25"/>
        <v>1485.2</v>
      </c>
      <c r="Q38" s="342">
        <f t="shared" si="15"/>
        <v>0</v>
      </c>
      <c r="R38" s="341"/>
      <c r="S38" s="342">
        <f t="shared" si="16"/>
        <v>7426</v>
      </c>
      <c r="T38" s="139">
        <f t="shared" si="17"/>
        <v>7426</v>
      </c>
      <c r="U38" s="139">
        <f t="shared" si="18"/>
        <v>0</v>
      </c>
      <c r="V38" s="11">
        <f t="shared" si="9"/>
        <v>0</v>
      </c>
    </row>
    <row r="39" spans="1:22" ht="13.5" customHeight="1">
      <c r="B39" s="3" t="s">
        <v>917</v>
      </c>
      <c r="C39" s="3" t="s">
        <v>77</v>
      </c>
      <c r="E39" s="3" t="s">
        <v>920</v>
      </c>
      <c r="F39" s="3">
        <v>1985</v>
      </c>
      <c r="G39" s="3">
        <v>10</v>
      </c>
      <c r="H39" s="3">
        <v>0</v>
      </c>
      <c r="I39" s="3" t="s">
        <v>52</v>
      </c>
      <c r="J39" s="3">
        <v>20</v>
      </c>
      <c r="K39" s="3">
        <f t="shared" si="21"/>
        <v>2005</v>
      </c>
      <c r="L39" s="168">
        <f t="shared" si="22"/>
        <v>2005.8333333333333</v>
      </c>
      <c r="M39" s="139">
        <v>54559.86</v>
      </c>
      <c r="N39" s="139">
        <f t="shared" si="23"/>
        <v>54559.86</v>
      </c>
      <c r="O39" s="139">
        <f t="shared" si="24"/>
        <v>227.33275</v>
      </c>
      <c r="P39" s="139">
        <f t="shared" si="25"/>
        <v>2727.9929999999999</v>
      </c>
      <c r="Q39" s="342">
        <f t="shared" si="15"/>
        <v>0</v>
      </c>
      <c r="R39" s="341"/>
      <c r="S39" s="342">
        <f t="shared" si="16"/>
        <v>54559.86</v>
      </c>
      <c r="T39" s="139">
        <f t="shared" si="17"/>
        <v>54559.86</v>
      </c>
      <c r="U39" s="139">
        <f t="shared" si="18"/>
        <v>0</v>
      </c>
      <c r="V39" s="11">
        <f t="shared" si="9"/>
        <v>0</v>
      </c>
    </row>
    <row r="40" spans="1:22" ht="13.5" customHeight="1">
      <c r="B40" s="3">
        <v>7988</v>
      </c>
      <c r="C40" s="3" t="s">
        <v>77</v>
      </c>
      <c r="E40" s="3" t="s">
        <v>218</v>
      </c>
      <c r="F40" s="3">
        <v>2000</v>
      </c>
      <c r="G40" s="3">
        <v>1</v>
      </c>
      <c r="H40" s="3">
        <v>0</v>
      </c>
      <c r="I40" s="3" t="s">
        <v>52</v>
      </c>
      <c r="J40" s="3">
        <v>20</v>
      </c>
      <c r="K40" s="3">
        <f t="shared" si="21"/>
        <v>2020</v>
      </c>
      <c r="L40" s="168">
        <f t="shared" si="22"/>
        <v>2020.0833333333333</v>
      </c>
      <c r="M40" s="139">
        <v>10468.719999999999</v>
      </c>
      <c r="N40" s="139">
        <f t="shared" si="23"/>
        <v>10468.719999999999</v>
      </c>
      <c r="O40" s="139">
        <f t="shared" si="24"/>
        <v>43.61966666666666</v>
      </c>
      <c r="P40" s="139">
        <f t="shared" si="25"/>
        <v>523.43599999999992</v>
      </c>
      <c r="Q40" s="342">
        <f t="shared" si="15"/>
        <v>0</v>
      </c>
      <c r="R40" s="341"/>
      <c r="S40" s="342">
        <f t="shared" si="16"/>
        <v>10468.719999999999</v>
      </c>
      <c r="T40" s="139">
        <f t="shared" si="17"/>
        <v>10468.719999999999</v>
      </c>
      <c r="U40" s="139">
        <f t="shared" si="18"/>
        <v>0</v>
      </c>
      <c r="V40" s="11">
        <f t="shared" si="9"/>
        <v>0</v>
      </c>
    </row>
    <row r="41" spans="1:22" ht="13.5" customHeight="1">
      <c r="B41" s="3">
        <v>52046</v>
      </c>
      <c r="C41" s="3" t="s">
        <v>77</v>
      </c>
      <c r="E41" s="3" t="s">
        <v>921</v>
      </c>
      <c r="F41" s="3">
        <v>2007</v>
      </c>
      <c r="G41" s="3">
        <v>1</v>
      </c>
      <c r="H41" s="3">
        <v>0</v>
      </c>
      <c r="I41" s="3" t="s">
        <v>52</v>
      </c>
      <c r="J41" s="3">
        <v>20</v>
      </c>
      <c r="K41" s="3">
        <f t="shared" si="21"/>
        <v>2027</v>
      </c>
      <c r="L41" s="168">
        <f t="shared" si="22"/>
        <v>2027.0833333333333</v>
      </c>
      <c r="M41" s="139">
        <v>14783.47</v>
      </c>
      <c r="N41" s="139">
        <f t="shared" si="23"/>
        <v>14783.47</v>
      </c>
      <c r="O41" s="139">
        <f t="shared" si="24"/>
        <v>61.597791666666666</v>
      </c>
      <c r="P41" s="139">
        <f t="shared" si="25"/>
        <v>739.17349999999999</v>
      </c>
      <c r="Q41" s="342">
        <f t="shared" si="15"/>
        <v>739.17349999999999</v>
      </c>
      <c r="R41" s="341"/>
      <c r="S41" s="342">
        <f t="shared" si="16"/>
        <v>12750.742875</v>
      </c>
      <c r="T41" s="139">
        <f t="shared" si="17"/>
        <v>13489.916375000001</v>
      </c>
      <c r="U41" s="139">
        <f t="shared" si="18"/>
        <v>1293.5536249999986</v>
      </c>
      <c r="V41" s="11">
        <f t="shared" si="9"/>
        <v>1293.5536249999986</v>
      </c>
    </row>
    <row r="42" spans="1:22" ht="13.5" customHeight="1">
      <c r="C42" s="3" t="s">
        <v>77</v>
      </c>
      <c r="E42" s="3" t="s">
        <v>1022</v>
      </c>
      <c r="F42" s="3">
        <v>2018</v>
      </c>
      <c r="G42" s="3">
        <v>9</v>
      </c>
      <c r="H42" s="3">
        <v>0</v>
      </c>
      <c r="I42" s="3" t="s">
        <v>52</v>
      </c>
      <c r="J42" s="3">
        <v>20</v>
      </c>
      <c r="K42" s="3">
        <f t="shared" si="21"/>
        <v>2038</v>
      </c>
      <c r="L42" s="168">
        <f t="shared" si="22"/>
        <v>2038.75</v>
      </c>
      <c r="M42" s="139">
        <f>[11]Summary!$D$2</f>
        <v>710636.12999999989</v>
      </c>
      <c r="N42" s="139">
        <f>M42-M42*H42</f>
        <v>710636.12999999989</v>
      </c>
      <c r="O42" s="139">
        <f>N42/J42/12</f>
        <v>2960.9838749999994</v>
      </c>
      <c r="P42" s="139">
        <f>+O42*12</f>
        <v>35531.806499999992</v>
      </c>
      <c r="Q42" s="342">
        <f t="shared" si="15"/>
        <v>35531.806499999992</v>
      </c>
      <c r="R42" s="341"/>
      <c r="S42" s="342">
        <f t="shared" si="16"/>
        <v>198385.9196249973</v>
      </c>
      <c r="T42" s="139">
        <f t="shared" si="17"/>
        <v>233917.72612499731</v>
      </c>
      <c r="U42" s="139">
        <f t="shared" si="18"/>
        <v>476718.40387500258</v>
      </c>
      <c r="V42" s="11">
        <f t="shared" si="9"/>
        <v>476718.40387500258</v>
      </c>
    </row>
    <row r="43" spans="1:22" ht="13.5" customHeight="1">
      <c r="B43" s="3">
        <v>210037</v>
      </c>
      <c r="C43" s="3" t="s">
        <v>77</v>
      </c>
      <c r="E43" s="3" t="s">
        <v>1041</v>
      </c>
      <c r="F43" s="3">
        <v>2019</v>
      </c>
      <c r="G43" s="3">
        <v>1</v>
      </c>
      <c r="H43" s="3">
        <v>0</v>
      </c>
      <c r="I43" s="3" t="s">
        <v>1024</v>
      </c>
      <c r="J43" s="3">
        <v>12</v>
      </c>
      <c r="K43" s="3">
        <f t="shared" si="21"/>
        <v>2031</v>
      </c>
      <c r="L43" s="168">
        <f t="shared" si="22"/>
        <v>2031.0833333333333</v>
      </c>
      <c r="M43" s="139">
        <v>177868.05</v>
      </c>
      <c r="N43" s="139">
        <f>M43-M43*H43</f>
        <v>177868.05</v>
      </c>
      <c r="O43" s="139">
        <f>N43/J43/12</f>
        <v>1235.1947916666666</v>
      </c>
      <c r="P43" s="139">
        <f>+O43*12</f>
        <v>14822.337499999998</v>
      </c>
      <c r="Q43" s="342">
        <f t="shared" si="15"/>
        <v>14822.337499999998</v>
      </c>
      <c r="R43" s="341"/>
      <c r="S43" s="342">
        <f t="shared" si="16"/>
        <v>77817.271874999991</v>
      </c>
      <c r="T43" s="139">
        <f t="shared" si="17"/>
        <v>92639.609374999985</v>
      </c>
      <c r="U43" s="139">
        <f t="shared" si="18"/>
        <v>85228.440625000003</v>
      </c>
      <c r="V43" s="11">
        <f>M43-T43</f>
        <v>85228.440625000003</v>
      </c>
    </row>
    <row r="44" spans="1:22" ht="13.5" customHeight="1">
      <c r="B44" s="3" t="s">
        <v>1043</v>
      </c>
      <c r="E44" s="3" t="s">
        <v>1044</v>
      </c>
      <c r="F44" s="3">
        <v>2019</v>
      </c>
      <c r="G44" s="3">
        <v>4</v>
      </c>
      <c r="H44" s="3">
        <v>0</v>
      </c>
      <c r="I44" s="3" t="s">
        <v>52</v>
      </c>
      <c r="J44" s="3">
        <v>8</v>
      </c>
      <c r="K44" s="3">
        <f t="shared" si="21"/>
        <v>2027</v>
      </c>
      <c r="L44" s="168">
        <f t="shared" si="22"/>
        <v>2027.3333333333333</v>
      </c>
      <c r="M44" s="139">
        <v>246176</v>
      </c>
      <c r="N44" s="139">
        <f>M44-M44*H44</f>
        <v>246176</v>
      </c>
      <c r="O44" s="139">
        <f>N44/J44/12</f>
        <v>2564.3333333333335</v>
      </c>
      <c r="P44" s="139">
        <f>+O44*12</f>
        <v>30772</v>
      </c>
      <c r="Q44" s="342">
        <f t="shared" si="15"/>
        <v>30772</v>
      </c>
      <c r="R44" s="341"/>
      <c r="S44" s="342">
        <f t="shared" si="16"/>
        <v>153860</v>
      </c>
      <c r="T44" s="139">
        <f t="shared" si="17"/>
        <v>184632</v>
      </c>
      <c r="U44" s="139">
        <f t="shared" si="18"/>
        <v>61544</v>
      </c>
      <c r="V44" s="11">
        <f>M44-T44</f>
        <v>61544</v>
      </c>
    </row>
    <row r="45" spans="1:22" ht="13.5" customHeight="1">
      <c r="L45" s="168"/>
      <c r="M45" s="139"/>
      <c r="N45" s="139"/>
      <c r="O45" s="139"/>
      <c r="P45" s="139"/>
      <c r="Q45" s="139"/>
      <c r="R45" s="139"/>
      <c r="S45" s="139"/>
      <c r="T45" s="139"/>
      <c r="U45" s="139"/>
      <c r="V45" s="11">
        <f t="shared" si="9"/>
        <v>0</v>
      </c>
    </row>
    <row r="46" spans="1:22" ht="13.5" customHeight="1">
      <c r="E46" s="162" t="s">
        <v>267</v>
      </c>
      <c r="F46" s="162"/>
      <c r="G46" s="162"/>
      <c r="H46" s="162"/>
      <c r="I46" s="162"/>
      <c r="J46" s="162"/>
      <c r="K46" s="162"/>
      <c r="L46" s="176"/>
      <c r="M46" s="163">
        <f>SUM(M27:M45)</f>
        <v>4251855.771428572</v>
      </c>
      <c r="N46" s="163">
        <f>SUM(N27:N45)</f>
        <v>4251855.771428572</v>
      </c>
      <c r="O46" s="163">
        <f>SUM(O27:O45)</f>
        <v>22589.482954365078</v>
      </c>
      <c r="P46" s="163">
        <f>SUM(P27:P45)</f>
        <v>271073.7954523809</v>
      </c>
      <c r="Q46" s="163">
        <f>SUM(Q27:Q45)</f>
        <v>203100.15</v>
      </c>
      <c r="R46" s="163">
        <f>SUM(R12:R45)</f>
        <v>0</v>
      </c>
      <c r="S46" s="163">
        <f>SUM(S27:S45)</f>
        <v>3108748.3712619012</v>
      </c>
      <c r="T46" s="163">
        <f>SUM(T27:T45)</f>
        <v>3311848.5212619016</v>
      </c>
      <c r="U46" s="163">
        <f>SUM(U27:U45)</f>
        <v>940007.25016666995</v>
      </c>
      <c r="V46" s="163">
        <f>SUM(V27:V45)</f>
        <v>940007.25016666995</v>
      </c>
    </row>
    <row r="47" spans="1:22" ht="13.5" customHeight="1">
      <c r="E47" s="1"/>
      <c r="F47" s="1"/>
      <c r="G47" s="1"/>
      <c r="H47" s="1"/>
      <c r="I47" s="1"/>
      <c r="J47" s="1"/>
      <c r="K47" s="1"/>
      <c r="L47" s="177"/>
      <c r="M47" s="178"/>
      <c r="N47" s="178"/>
      <c r="O47" s="178"/>
      <c r="P47" s="178"/>
      <c r="Q47" s="178"/>
      <c r="R47" s="178"/>
      <c r="S47" s="178"/>
      <c r="T47" s="178"/>
      <c r="U47" s="178"/>
      <c r="V47" s="178"/>
    </row>
    <row r="48" spans="1:22" ht="13.5" customHeight="1">
      <c r="C48" s="3" t="s">
        <v>57</v>
      </c>
      <c r="L48" s="168"/>
      <c r="M48" s="139"/>
      <c r="N48" s="139"/>
      <c r="O48" s="139"/>
      <c r="P48" s="139"/>
      <c r="Q48" s="139"/>
      <c r="R48" s="139"/>
      <c r="S48" s="139"/>
      <c r="T48" s="139"/>
      <c r="U48" s="139"/>
      <c r="V48" s="11"/>
    </row>
    <row r="49" spans="1:22" ht="13.5" customHeight="1">
      <c r="E49" s="162" t="s">
        <v>1080</v>
      </c>
      <c r="F49" s="162">
        <v>2020</v>
      </c>
      <c r="G49" s="162">
        <v>5</v>
      </c>
      <c r="H49" s="162">
        <v>0</v>
      </c>
      <c r="I49" s="162" t="s">
        <v>52</v>
      </c>
      <c r="J49" s="162">
        <v>10</v>
      </c>
      <c r="K49" s="162">
        <f>F49+J49</f>
        <v>2030</v>
      </c>
      <c r="L49" s="179">
        <f>+K49+(G49/12)</f>
        <v>2030.4166666666667</v>
      </c>
      <c r="M49" s="163">
        <f>69420.51+7211+1700.62+702+6243.75+289762.48+2000.59+2473.32</f>
        <v>379514.27</v>
      </c>
      <c r="N49" s="163">
        <f>M49-M49*H49</f>
        <v>379514.27</v>
      </c>
      <c r="O49" s="163">
        <f>N49/J49/12</f>
        <v>3162.6189166666668</v>
      </c>
      <c r="P49" s="163">
        <f>+O49*12</f>
        <v>37951.427000000003</v>
      </c>
      <c r="Q49" s="163">
        <f>+IF(L49&lt;=$N$5,0,IF(K49&gt;$N$4,P49,(O49*G49)))</f>
        <v>37951.427000000003</v>
      </c>
      <c r="R49" s="163"/>
      <c r="S49" s="163">
        <f>+IF(Q49=0,M49,IF($N$3-F49&lt;1,0,(($N$3-F49)*P49)))</f>
        <v>0</v>
      </c>
      <c r="T49" s="163">
        <f>+IF(Q49=0,S49,S49+Q49)</f>
        <v>37951.427000000003</v>
      </c>
      <c r="U49" s="169">
        <f>M49-T49</f>
        <v>341562.84299999999</v>
      </c>
      <c r="V49" s="169">
        <f>M49-T49</f>
        <v>341562.84299999999</v>
      </c>
    </row>
    <row r="50" spans="1:22" ht="13.5" customHeight="1">
      <c r="E50" s="1"/>
      <c r="F50" s="1"/>
      <c r="G50" s="1"/>
      <c r="H50" s="1"/>
      <c r="I50" s="1"/>
      <c r="J50" s="1"/>
      <c r="K50" s="1"/>
      <c r="L50" s="165"/>
      <c r="M50" s="178"/>
      <c r="N50" s="178"/>
      <c r="O50" s="178"/>
      <c r="P50" s="178"/>
      <c r="Q50" s="178"/>
      <c r="R50" s="178"/>
      <c r="S50" s="178"/>
      <c r="T50" s="178"/>
      <c r="U50" s="14"/>
      <c r="V50" s="14"/>
    </row>
    <row r="51" spans="1:22" ht="13.5" customHeight="1">
      <c r="C51" s="3" t="s">
        <v>57</v>
      </c>
      <c r="L51" s="168"/>
      <c r="M51" s="139"/>
      <c r="N51" s="139"/>
      <c r="O51" s="139"/>
      <c r="P51" s="139"/>
      <c r="Q51" s="139"/>
      <c r="R51" s="139"/>
      <c r="S51" s="139"/>
      <c r="T51" s="139"/>
      <c r="U51" s="139"/>
      <c r="V51" s="11"/>
    </row>
    <row r="52" spans="1:22" ht="13.5" customHeight="1">
      <c r="E52" s="134" t="s">
        <v>141</v>
      </c>
      <c r="L52" s="168"/>
      <c r="M52" s="139"/>
      <c r="N52" s="139"/>
      <c r="O52" s="139"/>
      <c r="P52" s="139"/>
      <c r="Q52" s="139"/>
      <c r="R52" s="139"/>
      <c r="S52" s="139"/>
      <c r="T52" s="139"/>
      <c r="U52" s="139"/>
      <c r="V52" s="11"/>
    </row>
    <row r="53" spans="1:22" ht="13.5" customHeight="1">
      <c r="A53" s="3" t="s">
        <v>40</v>
      </c>
      <c r="B53" s="3">
        <v>75142</v>
      </c>
      <c r="C53" s="3">
        <v>3</v>
      </c>
      <c r="E53" s="3" t="s">
        <v>188</v>
      </c>
      <c r="F53" s="3">
        <v>2010</v>
      </c>
      <c r="G53" s="3">
        <v>6</v>
      </c>
      <c r="H53" s="3">
        <v>0</v>
      </c>
      <c r="I53" s="3" t="s">
        <v>52</v>
      </c>
      <c r="J53" s="3">
        <v>5</v>
      </c>
      <c r="K53" s="3">
        <f t="shared" ref="K53:K61" si="26">F53+J53</f>
        <v>2015</v>
      </c>
      <c r="L53" s="168">
        <f t="shared" ref="L53:L61" si="27">+K53+(G53/12)</f>
        <v>2015.5</v>
      </c>
      <c r="M53" s="139">
        <f>+'2111 Other - Orig'!O41</f>
        <v>16838.239000000001</v>
      </c>
      <c r="N53" s="139">
        <f t="shared" ref="N53:N61" si="28">M53-M53*H53</f>
        <v>16838.239000000001</v>
      </c>
      <c r="O53" s="139">
        <f t="shared" ref="O53:O61" si="29">N53/J53/12</f>
        <v>280.63731666666666</v>
      </c>
      <c r="P53" s="139">
        <f t="shared" ref="P53:P61" si="30">+O53*12</f>
        <v>3367.6477999999997</v>
      </c>
      <c r="Q53" s="342">
        <f t="shared" ref="Q53:Q61" si="31">IF(L53&lt;=$N$6,0,P53)</f>
        <v>0</v>
      </c>
      <c r="R53" s="341"/>
      <c r="S53" s="342">
        <f t="shared" ref="S53:S61" si="32">+IF($L53&lt;=$N$7,$M53,IF(($F53+($G53/12))&gt;=$N$7,0,((($N53-((($L53-$N$7)*12)*$O53))))))</f>
        <v>16838.239000000001</v>
      </c>
      <c r="T53" s="139">
        <f t="shared" ref="T53:T61" si="33">IF(L53&lt;=$N$6,M53,Q53+S53)</f>
        <v>16838.239000000001</v>
      </c>
      <c r="U53" s="139">
        <f t="shared" ref="U53:U61" si="34">M53-T53</f>
        <v>0</v>
      </c>
      <c r="V53" s="11">
        <f t="shared" si="9"/>
        <v>0</v>
      </c>
    </row>
    <row r="54" spans="1:22" s="268" customFormat="1" ht="13.5" customHeight="1">
      <c r="A54" s="255"/>
      <c r="B54" s="255"/>
      <c r="C54" s="255">
        <v>6</v>
      </c>
      <c r="D54" s="255"/>
      <c r="E54" s="255" t="s">
        <v>663</v>
      </c>
      <c r="F54" s="255">
        <v>2017</v>
      </c>
      <c r="G54" s="255">
        <v>10</v>
      </c>
      <c r="H54" s="255">
        <v>0</v>
      </c>
      <c r="I54" s="255" t="s">
        <v>52</v>
      </c>
      <c r="J54" s="255">
        <f>+IF(K53-$N$3&gt;=3,K53-$N$3,3)</f>
        <v>2012</v>
      </c>
      <c r="K54" s="255">
        <f t="shared" si="26"/>
        <v>4029</v>
      </c>
      <c r="L54" s="256">
        <f t="shared" si="27"/>
        <v>4029.8333333333335</v>
      </c>
      <c r="M54" s="257">
        <f>+'2111 Other - Orig'!M41-'2111 Other'!M53</f>
        <v>8293.4609999999993</v>
      </c>
      <c r="N54" s="257">
        <f t="shared" si="28"/>
        <v>8293.4609999999993</v>
      </c>
      <c r="O54" s="257">
        <f t="shared" si="29"/>
        <v>0.34349987574552682</v>
      </c>
      <c r="P54" s="257">
        <f t="shared" si="30"/>
        <v>4.121998508946322</v>
      </c>
      <c r="Q54" s="342">
        <f t="shared" si="31"/>
        <v>4.121998508946322</v>
      </c>
      <c r="R54" s="341"/>
      <c r="S54" s="342">
        <f t="shared" si="32"/>
        <v>26.792990308149456</v>
      </c>
      <c r="T54" s="139">
        <f t="shared" si="33"/>
        <v>30.914988817095779</v>
      </c>
      <c r="U54" s="258">
        <f t="shared" si="34"/>
        <v>8262.5460111829034</v>
      </c>
      <c r="V54" s="259">
        <f t="shared" si="9"/>
        <v>8262.5460111829034</v>
      </c>
    </row>
    <row r="55" spans="1:22" ht="13.5" customHeight="1">
      <c r="A55" s="3" t="s">
        <v>410</v>
      </c>
      <c r="B55" s="3">
        <v>173312</v>
      </c>
      <c r="C55" s="3">
        <v>2</v>
      </c>
      <c r="E55" s="3" t="s">
        <v>478</v>
      </c>
      <c r="F55" s="3">
        <v>2015</v>
      </c>
      <c r="G55" s="3">
        <v>10</v>
      </c>
      <c r="H55" s="3">
        <v>0</v>
      </c>
      <c r="I55" s="3" t="s">
        <v>52</v>
      </c>
      <c r="J55" s="3">
        <v>5</v>
      </c>
      <c r="K55" s="3">
        <f t="shared" si="26"/>
        <v>2020</v>
      </c>
      <c r="L55" s="168">
        <f t="shared" si="27"/>
        <v>2020.8333333333333</v>
      </c>
      <c r="M55" s="139">
        <f>+'2131 Other - Orig'!P15</f>
        <v>19714.080000000002</v>
      </c>
      <c r="N55" s="139">
        <f t="shared" si="28"/>
        <v>19714.080000000002</v>
      </c>
      <c r="O55" s="139">
        <f t="shared" si="29"/>
        <v>328.56800000000004</v>
      </c>
      <c r="P55" s="139">
        <f t="shared" si="30"/>
        <v>3942.8160000000007</v>
      </c>
      <c r="Q55" s="342">
        <f t="shared" si="31"/>
        <v>0</v>
      </c>
      <c r="R55" s="341"/>
      <c r="S55" s="342">
        <f t="shared" si="32"/>
        <v>19714.080000000002</v>
      </c>
      <c r="T55" s="139">
        <f t="shared" si="33"/>
        <v>19714.080000000002</v>
      </c>
      <c r="U55" s="139">
        <f t="shared" si="34"/>
        <v>0</v>
      </c>
      <c r="V55" s="11">
        <f t="shared" si="9"/>
        <v>0</v>
      </c>
    </row>
    <row r="56" spans="1:22" s="268" customFormat="1" ht="13.5" customHeight="1">
      <c r="A56" s="255"/>
      <c r="B56" s="255"/>
      <c r="C56" s="255">
        <v>2</v>
      </c>
      <c r="D56" s="255"/>
      <c r="E56" s="255" t="s">
        <v>666</v>
      </c>
      <c r="F56" s="255">
        <v>2017</v>
      </c>
      <c r="G56" s="255">
        <v>10</v>
      </c>
      <c r="H56" s="255">
        <v>0</v>
      </c>
      <c r="I56" s="255" t="s">
        <v>52</v>
      </c>
      <c r="J56" s="255">
        <f>+IF(K55-$N$3&gt;=3,K55-$N$3,3)</f>
        <v>2017</v>
      </c>
      <c r="K56" s="255">
        <f t="shared" si="26"/>
        <v>4034</v>
      </c>
      <c r="L56" s="256">
        <f t="shared" si="27"/>
        <v>4034.8333333333335</v>
      </c>
      <c r="M56" s="257">
        <f>+'2131 Other - Orig'!N15-'2111 Other'!M55</f>
        <v>9709.9199999999983</v>
      </c>
      <c r="N56" s="257">
        <f t="shared" si="28"/>
        <v>9709.9199999999983</v>
      </c>
      <c r="O56" s="257">
        <f t="shared" si="29"/>
        <v>0.40117005453644022</v>
      </c>
      <c r="P56" s="257">
        <f t="shared" si="30"/>
        <v>4.8140406544372825</v>
      </c>
      <c r="Q56" s="342">
        <f t="shared" si="31"/>
        <v>4.8140406544372825</v>
      </c>
      <c r="R56" s="341"/>
      <c r="S56" s="342">
        <f t="shared" si="32"/>
        <v>31.291264253839472</v>
      </c>
      <c r="T56" s="139">
        <f t="shared" si="33"/>
        <v>36.105304908276757</v>
      </c>
      <c r="U56" s="258">
        <f t="shared" si="34"/>
        <v>9673.8146950917217</v>
      </c>
      <c r="V56" s="259">
        <f t="shared" si="9"/>
        <v>9673.8146950917217</v>
      </c>
    </row>
    <row r="57" spans="1:22" ht="13.5" customHeight="1">
      <c r="B57" s="3">
        <v>204027</v>
      </c>
      <c r="C57" s="3" t="s">
        <v>944</v>
      </c>
      <c r="E57" s="3" t="s">
        <v>945</v>
      </c>
      <c r="F57" s="3">
        <v>2015</v>
      </c>
      <c r="G57" s="3">
        <v>6</v>
      </c>
      <c r="H57" s="3">
        <v>0</v>
      </c>
      <c r="I57" s="3" t="s">
        <v>52</v>
      </c>
      <c r="J57" s="3">
        <f>+IF(K56-$N$3&gt;=3,K56-$N$3,3)</f>
        <v>4031</v>
      </c>
      <c r="K57" s="3">
        <f t="shared" si="26"/>
        <v>6046</v>
      </c>
      <c r="L57" s="168">
        <f t="shared" si="27"/>
        <v>6046.5</v>
      </c>
      <c r="M57" s="139">
        <v>29540.76</v>
      </c>
      <c r="N57" s="139">
        <f t="shared" si="28"/>
        <v>29540.76</v>
      </c>
      <c r="O57" s="139">
        <f t="shared" si="29"/>
        <v>0.6106995782684197</v>
      </c>
      <c r="P57" s="139">
        <f t="shared" si="30"/>
        <v>7.3283949392210364</v>
      </c>
      <c r="Q57" s="342">
        <f t="shared" si="31"/>
        <v>7.3283949392210364</v>
      </c>
      <c r="R57" s="341"/>
      <c r="S57" s="342">
        <f t="shared" si="32"/>
        <v>64.734155296453537</v>
      </c>
      <c r="T57" s="139">
        <f t="shared" si="33"/>
        <v>72.062550235674578</v>
      </c>
      <c r="U57" s="139">
        <f t="shared" si="34"/>
        <v>29468.697449764324</v>
      </c>
      <c r="V57" s="11">
        <f t="shared" si="9"/>
        <v>29468.697449764324</v>
      </c>
    </row>
    <row r="58" spans="1:22" ht="13.5" customHeight="1">
      <c r="B58" s="3">
        <v>232809</v>
      </c>
      <c r="E58" s="3" t="s">
        <v>1122</v>
      </c>
      <c r="F58" s="3">
        <v>2020</v>
      </c>
      <c r="G58" s="3">
        <v>3</v>
      </c>
      <c r="H58" s="3">
        <v>0</v>
      </c>
      <c r="I58" s="3" t="s">
        <v>52</v>
      </c>
      <c r="J58" s="3">
        <v>5</v>
      </c>
      <c r="K58" s="3">
        <f t="shared" si="26"/>
        <v>2025</v>
      </c>
      <c r="L58" s="168">
        <f t="shared" si="27"/>
        <v>2025.25</v>
      </c>
      <c r="M58" s="139">
        <v>233040</v>
      </c>
      <c r="N58" s="139">
        <f t="shared" si="28"/>
        <v>233040</v>
      </c>
      <c r="O58" s="139">
        <f t="shared" si="29"/>
        <v>3884</v>
      </c>
      <c r="P58" s="139">
        <f t="shared" si="30"/>
        <v>46608</v>
      </c>
      <c r="Q58" s="342">
        <f t="shared" si="31"/>
        <v>0</v>
      </c>
      <c r="R58" s="341"/>
      <c r="S58" s="342">
        <f t="shared" si="32"/>
        <v>190315.99999999645</v>
      </c>
      <c r="T58" s="139">
        <f t="shared" si="33"/>
        <v>233040</v>
      </c>
      <c r="U58" s="139">
        <f t="shared" si="34"/>
        <v>0</v>
      </c>
      <c r="V58" s="11">
        <f>M58-T58</f>
        <v>0</v>
      </c>
    </row>
    <row r="59" spans="1:22" ht="13.5" customHeight="1">
      <c r="B59" s="3">
        <v>242372</v>
      </c>
      <c r="E59" s="3" t="s">
        <v>1114</v>
      </c>
      <c r="F59" s="3">
        <v>2020</v>
      </c>
      <c r="G59" s="3">
        <v>10</v>
      </c>
      <c r="H59" s="3">
        <v>0</v>
      </c>
      <c r="I59" s="3" t="s">
        <v>52</v>
      </c>
      <c r="J59" s="3">
        <v>5</v>
      </c>
      <c r="K59" s="3">
        <f t="shared" si="26"/>
        <v>2025</v>
      </c>
      <c r="L59" s="168">
        <f t="shared" si="27"/>
        <v>2025.8333333333333</v>
      </c>
      <c r="M59" s="139">
        <v>141491.31</v>
      </c>
      <c r="N59" s="139">
        <f t="shared" si="28"/>
        <v>141491.31</v>
      </c>
      <c r="O59" s="139">
        <f t="shared" si="29"/>
        <v>2358.1884999999997</v>
      </c>
      <c r="P59" s="139">
        <f t="shared" si="30"/>
        <v>28298.261999999995</v>
      </c>
      <c r="Q59" s="342">
        <f t="shared" si="31"/>
        <v>28298.261999999995</v>
      </c>
      <c r="R59" s="341"/>
      <c r="S59" s="342">
        <f t="shared" si="32"/>
        <v>99043.917000000001</v>
      </c>
      <c r="T59" s="139">
        <f t="shared" si="33"/>
        <v>127342.179</v>
      </c>
      <c r="U59" s="139">
        <f t="shared" si="34"/>
        <v>14149.130999999994</v>
      </c>
      <c r="V59" s="11">
        <f>M59-T59</f>
        <v>14149.130999999994</v>
      </c>
    </row>
    <row r="60" spans="1:22" ht="13.5" customHeight="1">
      <c r="B60" s="3">
        <v>245507</v>
      </c>
      <c r="E60" s="3" t="s">
        <v>1120</v>
      </c>
      <c r="F60" s="3">
        <v>2020</v>
      </c>
      <c r="G60" s="3">
        <v>10</v>
      </c>
      <c r="H60" s="3">
        <v>0</v>
      </c>
      <c r="I60" s="3" t="s">
        <v>52</v>
      </c>
      <c r="J60" s="3">
        <v>5</v>
      </c>
      <c r="K60" s="3">
        <f t="shared" si="26"/>
        <v>2025</v>
      </c>
      <c r="L60" s="168">
        <f t="shared" si="27"/>
        <v>2025.8333333333333</v>
      </c>
      <c r="M60" s="139">
        <v>894.06</v>
      </c>
      <c r="N60" s="139">
        <f t="shared" si="28"/>
        <v>894.06</v>
      </c>
      <c r="O60" s="139">
        <f t="shared" si="29"/>
        <v>14.900999999999998</v>
      </c>
      <c r="P60" s="139">
        <f t="shared" si="30"/>
        <v>178.81199999999998</v>
      </c>
      <c r="Q60" s="342">
        <f t="shared" si="31"/>
        <v>178.81199999999998</v>
      </c>
      <c r="R60" s="341"/>
      <c r="S60" s="342">
        <f t="shared" si="32"/>
        <v>625.84199999999998</v>
      </c>
      <c r="T60" s="139">
        <f t="shared" si="33"/>
        <v>804.654</v>
      </c>
      <c r="U60" s="139">
        <f t="shared" si="34"/>
        <v>89.405999999999949</v>
      </c>
      <c r="V60" s="11">
        <f>M60-T60</f>
        <v>89.405999999999949</v>
      </c>
    </row>
    <row r="61" spans="1:22" ht="13.5" customHeight="1">
      <c r="B61" s="3">
        <v>240360</v>
      </c>
      <c r="E61" s="3" t="s">
        <v>1101</v>
      </c>
      <c r="F61" s="3">
        <v>2020</v>
      </c>
      <c r="G61" s="3">
        <v>8</v>
      </c>
      <c r="H61" s="3">
        <v>0</v>
      </c>
      <c r="I61" s="3" t="s">
        <v>52</v>
      </c>
      <c r="J61" s="3">
        <v>1</v>
      </c>
      <c r="K61" s="3">
        <f t="shared" si="26"/>
        <v>2021</v>
      </c>
      <c r="L61" s="168">
        <f t="shared" si="27"/>
        <v>2021.6666666666667</v>
      </c>
      <c r="M61" s="139">
        <v>17843.14</v>
      </c>
      <c r="N61" s="139">
        <f t="shared" si="28"/>
        <v>17843.14</v>
      </c>
      <c r="O61" s="139">
        <f t="shared" si="29"/>
        <v>1486.9283333333333</v>
      </c>
      <c r="P61" s="139">
        <f t="shared" si="30"/>
        <v>17843.14</v>
      </c>
      <c r="Q61" s="342">
        <f t="shared" si="31"/>
        <v>0</v>
      </c>
      <c r="R61" s="341"/>
      <c r="S61" s="342">
        <f t="shared" si="32"/>
        <v>17843.14</v>
      </c>
      <c r="T61" s="139">
        <f t="shared" si="33"/>
        <v>17843.14</v>
      </c>
      <c r="U61" s="139">
        <f t="shared" si="34"/>
        <v>0</v>
      </c>
      <c r="V61" s="11">
        <f>M61-T61</f>
        <v>0</v>
      </c>
    </row>
    <row r="62" spans="1:22" ht="13.5" customHeight="1">
      <c r="E62" s="3" t="s">
        <v>57</v>
      </c>
      <c r="L62" s="168"/>
      <c r="M62" s="139"/>
      <c r="N62" s="139"/>
      <c r="O62" s="139"/>
      <c r="P62" s="139"/>
      <c r="Q62" s="139"/>
      <c r="R62" s="139"/>
      <c r="S62" s="139"/>
      <c r="T62" s="139"/>
      <c r="U62" s="139"/>
      <c r="V62" s="11"/>
    </row>
    <row r="63" spans="1:22" ht="13.5" customHeight="1">
      <c r="E63" s="162" t="s">
        <v>140</v>
      </c>
      <c r="F63" s="162"/>
      <c r="G63" s="162"/>
      <c r="H63" s="162"/>
      <c r="I63" s="162"/>
      <c r="J63" s="162"/>
      <c r="K63" s="162"/>
      <c r="L63" s="176"/>
      <c r="M63" s="163">
        <f t="shared" ref="M63:V63" si="35">SUM(M53:M62)</f>
        <v>477364.97</v>
      </c>
      <c r="N63" s="163">
        <f t="shared" si="35"/>
        <v>477364.97</v>
      </c>
      <c r="O63" s="163">
        <f t="shared" si="35"/>
        <v>8354.57851950855</v>
      </c>
      <c r="P63" s="163">
        <f t="shared" si="35"/>
        <v>100254.94223410261</v>
      </c>
      <c r="Q63" s="163">
        <f t="shared" si="35"/>
        <v>28493.338434102603</v>
      </c>
      <c r="R63" s="163">
        <f t="shared" si="35"/>
        <v>0</v>
      </c>
      <c r="S63" s="163">
        <f t="shared" si="35"/>
        <v>344504.03640985495</v>
      </c>
      <c r="T63" s="163">
        <f t="shared" si="35"/>
        <v>415721.37484396104</v>
      </c>
      <c r="U63" s="163">
        <f t="shared" si="35"/>
        <v>61643.595156038944</v>
      </c>
      <c r="V63" s="163">
        <f t="shared" si="35"/>
        <v>61643.595156038944</v>
      </c>
    </row>
    <row r="64" spans="1:22" ht="13.5" customHeight="1">
      <c r="L64" s="168"/>
      <c r="M64" s="139"/>
      <c r="N64" s="139"/>
      <c r="O64" s="139"/>
      <c r="P64" s="139"/>
      <c r="Q64" s="139"/>
      <c r="R64" s="139"/>
      <c r="S64" s="139"/>
      <c r="T64" s="139"/>
      <c r="U64" s="139"/>
      <c r="V64" s="11"/>
    </row>
    <row r="65" spans="1:22" ht="13.5" customHeight="1">
      <c r="E65" s="134" t="s">
        <v>134</v>
      </c>
      <c r="L65" s="168"/>
      <c r="M65" s="139"/>
      <c r="N65" s="139"/>
      <c r="O65" s="139"/>
      <c r="P65" s="139"/>
      <c r="Q65" s="342">
        <f t="shared" ref="Q65:Q114" si="36">IF(L65&lt;=$N$6,0,P65)</f>
        <v>0</v>
      </c>
      <c r="R65" s="341"/>
      <c r="S65" s="342">
        <f t="shared" ref="S65:S114" si="37">+IF($L65&lt;=$N$7,$M65,IF(($F65+($G65/12))&gt;=$N$7,0,((($N65-((($L65-$N$7)*12)*$O65))))))</f>
        <v>0</v>
      </c>
      <c r="T65" s="139">
        <f t="shared" ref="T65:T114" si="38">IF(L65&lt;=$N$6,M65,Q65+S65)</f>
        <v>0</v>
      </c>
      <c r="U65" s="139"/>
      <c r="V65" s="11"/>
    </row>
    <row r="66" spans="1:22" ht="13.5" customHeight="1">
      <c r="A66" s="3" t="s">
        <v>40</v>
      </c>
      <c r="B66" s="3" t="s">
        <v>290</v>
      </c>
      <c r="C66" s="3">
        <v>14</v>
      </c>
      <c r="E66" s="3" t="s">
        <v>291</v>
      </c>
      <c r="F66" s="3">
        <v>2001</v>
      </c>
      <c r="G66" s="3">
        <v>9</v>
      </c>
      <c r="H66" s="3">
        <v>0</v>
      </c>
      <c r="I66" s="3" t="s">
        <v>52</v>
      </c>
      <c r="J66" s="3">
        <v>5</v>
      </c>
      <c r="K66" s="3">
        <f t="shared" ref="K66:K100" si="39">F66+J66</f>
        <v>2006</v>
      </c>
      <c r="L66" s="168">
        <f t="shared" ref="L66:L100" si="40">+K66+(G66/12)</f>
        <v>2006.75</v>
      </c>
      <c r="M66" s="139">
        <f>+'2111 Other - Orig'!O51</f>
        <v>10868.3045</v>
      </c>
      <c r="N66" s="139">
        <f t="shared" ref="N66:N100" si="41">M66-M66*H66</f>
        <v>10868.3045</v>
      </c>
      <c r="O66" s="139">
        <f t="shared" ref="O66:O100" si="42">N66/J66/12</f>
        <v>181.13840833333333</v>
      </c>
      <c r="P66" s="139">
        <f t="shared" ref="P66:P100" si="43">+O66*12</f>
        <v>2173.6608999999999</v>
      </c>
      <c r="Q66" s="342">
        <f t="shared" si="36"/>
        <v>0</v>
      </c>
      <c r="R66" s="341"/>
      <c r="S66" s="342">
        <f t="shared" si="37"/>
        <v>10868.3045</v>
      </c>
      <c r="T66" s="139">
        <f t="shared" si="38"/>
        <v>10868.3045</v>
      </c>
      <c r="U66" s="139">
        <f t="shared" ref="U66:U103" si="44">M66-T66</f>
        <v>0</v>
      </c>
      <c r="V66" s="11">
        <f t="shared" si="9"/>
        <v>0</v>
      </c>
    </row>
    <row r="67" spans="1:22" ht="13.5" customHeight="1">
      <c r="A67" s="180"/>
      <c r="B67" s="180"/>
      <c r="C67" s="180">
        <v>14</v>
      </c>
      <c r="D67" s="180"/>
      <c r="E67" s="180" t="s">
        <v>667</v>
      </c>
      <c r="F67" s="180">
        <v>2017</v>
      </c>
      <c r="G67" s="180">
        <v>10</v>
      </c>
      <c r="H67" s="180">
        <v>0</v>
      </c>
      <c r="I67" s="180" t="s">
        <v>52</v>
      </c>
      <c r="J67" s="180">
        <f>+IF(K66-$N$3&gt;=3,K66-$N$3,3)</f>
        <v>2003</v>
      </c>
      <c r="K67" s="180">
        <f>F67+J67</f>
        <v>4020</v>
      </c>
      <c r="L67" s="181">
        <f>+K67+(G67/12)</f>
        <v>4020.8333333333335</v>
      </c>
      <c r="M67" s="182">
        <f>+'2111 Other - Orig'!M51-'2111 Other'!M66</f>
        <v>5353.0455000000002</v>
      </c>
      <c r="N67" s="182">
        <f t="shared" si="41"/>
        <v>5353.0455000000002</v>
      </c>
      <c r="O67" s="182">
        <f>N67/J67/12</f>
        <v>0.22270949825262107</v>
      </c>
      <c r="P67" s="182">
        <f>+O67*12</f>
        <v>2.6725139790314527</v>
      </c>
      <c r="Q67" s="342">
        <f t="shared" si="36"/>
        <v>2.6725139790314527</v>
      </c>
      <c r="R67" s="341"/>
      <c r="S67" s="342">
        <f t="shared" si="37"/>
        <v>17.371340863704063</v>
      </c>
      <c r="T67" s="139">
        <f t="shared" si="38"/>
        <v>20.043854842735517</v>
      </c>
      <c r="U67" s="139">
        <f t="shared" si="44"/>
        <v>5333.0016451572646</v>
      </c>
      <c r="V67" s="11">
        <f t="shared" si="9"/>
        <v>5333.0016451572646</v>
      </c>
    </row>
    <row r="68" spans="1:22" ht="13.5" customHeight="1">
      <c r="A68" s="3" t="s">
        <v>40</v>
      </c>
      <c r="E68" s="3" t="s">
        <v>142</v>
      </c>
      <c r="F68" s="3">
        <v>2002</v>
      </c>
      <c r="G68" s="3">
        <v>11</v>
      </c>
      <c r="H68" s="3">
        <v>0</v>
      </c>
      <c r="I68" s="3" t="s">
        <v>52</v>
      </c>
      <c r="J68" s="3">
        <v>7</v>
      </c>
      <c r="K68" s="3">
        <f t="shared" si="39"/>
        <v>2009</v>
      </c>
      <c r="L68" s="168">
        <f t="shared" si="40"/>
        <v>2009.9166666666667</v>
      </c>
      <c r="M68" s="139">
        <v>77235</v>
      </c>
      <c r="N68" s="139">
        <f t="shared" si="41"/>
        <v>77235</v>
      </c>
      <c r="O68" s="139">
        <f t="shared" si="42"/>
        <v>919.46428571428578</v>
      </c>
      <c r="P68" s="139">
        <f t="shared" si="43"/>
        <v>11033.571428571429</v>
      </c>
      <c r="Q68" s="342">
        <f t="shared" si="36"/>
        <v>0</v>
      </c>
      <c r="R68" s="341"/>
      <c r="S68" s="342">
        <f t="shared" si="37"/>
        <v>77235</v>
      </c>
      <c r="T68" s="139">
        <f t="shared" si="38"/>
        <v>77235</v>
      </c>
      <c r="U68" s="139">
        <f t="shared" si="44"/>
        <v>0</v>
      </c>
      <c r="V68" s="11">
        <f t="shared" si="9"/>
        <v>0</v>
      </c>
    </row>
    <row r="69" spans="1:22" ht="13.5" customHeight="1">
      <c r="A69" s="3" t="s">
        <v>40</v>
      </c>
      <c r="E69" s="3" t="s">
        <v>143</v>
      </c>
      <c r="F69" s="3">
        <v>2002</v>
      </c>
      <c r="G69" s="3">
        <v>11</v>
      </c>
      <c r="H69" s="3">
        <v>0</v>
      </c>
      <c r="I69" s="3" t="s">
        <v>52</v>
      </c>
      <c r="J69" s="3">
        <v>5</v>
      </c>
      <c r="K69" s="3">
        <f t="shared" si="39"/>
        <v>2007</v>
      </c>
      <c r="L69" s="168">
        <f t="shared" si="40"/>
        <v>2007.9166666666667</v>
      </c>
      <c r="M69" s="139">
        <v>6348.86</v>
      </c>
      <c r="N69" s="139">
        <f t="shared" si="41"/>
        <v>6348.86</v>
      </c>
      <c r="O69" s="139">
        <f t="shared" si="42"/>
        <v>105.81433333333332</v>
      </c>
      <c r="P69" s="139">
        <f t="shared" si="43"/>
        <v>1269.7719999999999</v>
      </c>
      <c r="Q69" s="342">
        <f t="shared" si="36"/>
        <v>0</v>
      </c>
      <c r="R69" s="341"/>
      <c r="S69" s="342">
        <f t="shared" si="37"/>
        <v>6348.86</v>
      </c>
      <c r="T69" s="139">
        <f t="shared" si="38"/>
        <v>6348.86</v>
      </c>
      <c r="U69" s="139">
        <f t="shared" si="44"/>
        <v>0</v>
      </c>
      <c r="V69" s="11">
        <f t="shared" si="9"/>
        <v>0</v>
      </c>
    </row>
    <row r="70" spans="1:22" ht="13.5" customHeight="1">
      <c r="A70" s="3" t="s">
        <v>40</v>
      </c>
      <c r="B70" s="3">
        <v>48345</v>
      </c>
      <c r="C70" s="3">
        <v>5</v>
      </c>
      <c r="E70" s="3" t="s">
        <v>154</v>
      </c>
      <c r="F70" s="3">
        <v>2006</v>
      </c>
      <c r="G70" s="3">
        <v>3</v>
      </c>
      <c r="H70" s="3">
        <v>0</v>
      </c>
      <c r="I70" s="3" t="s">
        <v>52</v>
      </c>
      <c r="J70" s="3">
        <v>7</v>
      </c>
      <c r="K70" s="3">
        <f t="shared" si="39"/>
        <v>2013</v>
      </c>
      <c r="L70" s="168">
        <f t="shared" si="40"/>
        <v>2013.25</v>
      </c>
      <c r="M70" s="139">
        <f>+'2111 Other - Orig'!O54</f>
        <v>15820.751999999999</v>
      </c>
      <c r="N70" s="139">
        <f t="shared" si="41"/>
        <v>15820.751999999999</v>
      </c>
      <c r="O70" s="139">
        <f t="shared" si="42"/>
        <v>188.34228571428571</v>
      </c>
      <c r="P70" s="139">
        <f t="shared" si="43"/>
        <v>2260.1074285714285</v>
      </c>
      <c r="Q70" s="342">
        <f t="shared" si="36"/>
        <v>0</v>
      </c>
      <c r="R70" s="341"/>
      <c r="S70" s="342">
        <f t="shared" si="37"/>
        <v>15820.751999999999</v>
      </c>
      <c r="T70" s="139">
        <f t="shared" si="38"/>
        <v>15820.751999999999</v>
      </c>
      <c r="U70" s="139">
        <f t="shared" si="44"/>
        <v>0</v>
      </c>
      <c r="V70" s="11">
        <f t="shared" si="9"/>
        <v>0</v>
      </c>
    </row>
    <row r="71" spans="1:22" ht="13.5" customHeight="1">
      <c r="A71" s="180"/>
      <c r="B71" s="180"/>
      <c r="C71" s="180">
        <v>5</v>
      </c>
      <c r="D71" s="180"/>
      <c r="E71" s="180" t="s">
        <v>668</v>
      </c>
      <c r="F71" s="180">
        <v>2017</v>
      </c>
      <c r="G71" s="180">
        <v>10</v>
      </c>
      <c r="H71" s="180">
        <v>0</v>
      </c>
      <c r="I71" s="180" t="s">
        <v>52</v>
      </c>
      <c r="J71" s="180">
        <f>+IF(K70-$N$3&gt;=3,K70-$N$3,3)</f>
        <v>2010</v>
      </c>
      <c r="K71" s="180">
        <f>F71+J71</f>
        <v>4027</v>
      </c>
      <c r="L71" s="181">
        <f>+K71+(G71/12)</f>
        <v>4027.8333333333335</v>
      </c>
      <c r="M71" s="182">
        <f>+'2111 Other - Orig'!M54-'2111 Other'!M70</f>
        <v>3955.1880000000001</v>
      </c>
      <c r="N71" s="182">
        <f>M71-M71*H71</f>
        <v>3955.1880000000001</v>
      </c>
      <c r="O71" s="182">
        <f>N71/J71/12</f>
        <v>0.16397960199004977</v>
      </c>
      <c r="P71" s="182">
        <f>+O71*12</f>
        <v>1.9677552238805971</v>
      </c>
      <c r="Q71" s="342">
        <f t="shared" si="36"/>
        <v>1.9677552238805971</v>
      </c>
      <c r="R71" s="341"/>
      <c r="S71" s="342">
        <f t="shared" si="37"/>
        <v>12.790408955223029</v>
      </c>
      <c r="T71" s="139">
        <f t="shared" si="38"/>
        <v>14.758164179103627</v>
      </c>
      <c r="U71" s="139">
        <f t="shared" si="44"/>
        <v>3940.4298358208966</v>
      </c>
      <c r="V71" s="11">
        <f t="shared" si="9"/>
        <v>3940.4298358208966</v>
      </c>
    </row>
    <row r="72" spans="1:22" ht="13.5" customHeight="1">
      <c r="A72" s="3" t="s">
        <v>40</v>
      </c>
      <c r="B72" s="3">
        <v>58549</v>
      </c>
      <c r="C72" s="3">
        <v>126</v>
      </c>
      <c r="E72" s="3" t="s">
        <v>174</v>
      </c>
      <c r="F72" s="3">
        <v>2008</v>
      </c>
      <c r="G72" s="3">
        <v>7</v>
      </c>
      <c r="H72" s="3">
        <v>0</v>
      </c>
      <c r="I72" s="3" t="s">
        <v>52</v>
      </c>
      <c r="J72" s="3">
        <v>7</v>
      </c>
      <c r="K72" s="3">
        <f t="shared" si="39"/>
        <v>2015</v>
      </c>
      <c r="L72" s="168">
        <f t="shared" si="40"/>
        <v>2015.5833333333333</v>
      </c>
      <c r="M72" s="139">
        <f>+'2111 Other - Orig'!O55</f>
        <v>39626.327999999994</v>
      </c>
      <c r="N72" s="139">
        <f t="shared" si="41"/>
        <v>39626.327999999994</v>
      </c>
      <c r="O72" s="139">
        <f t="shared" si="42"/>
        <v>471.74199999999996</v>
      </c>
      <c r="P72" s="139">
        <f t="shared" si="43"/>
        <v>5660.9039999999995</v>
      </c>
      <c r="Q72" s="342">
        <f t="shared" si="36"/>
        <v>0</v>
      </c>
      <c r="R72" s="341"/>
      <c r="S72" s="342">
        <f t="shared" si="37"/>
        <v>39626.327999999994</v>
      </c>
      <c r="T72" s="139">
        <f t="shared" si="38"/>
        <v>39626.327999999994</v>
      </c>
      <c r="U72" s="139">
        <f t="shared" si="44"/>
        <v>0</v>
      </c>
      <c r="V72" s="11">
        <f t="shared" si="9"/>
        <v>0</v>
      </c>
    </row>
    <row r="73" spans="1:22" ht="13.5" customHeight="1">
      <c r="A73" s="180"/>
      <c r="B73" s="180"/>
      <c r="C73" s="180">
        <v>126</v>
      </c>
      <c r="D73" s="180"/>
      <c r="E73" s="180" t="s">
        <v>669</v>
      </c>
      <c r="F73" s="180">
        <v>2017</v>
      </c>
      <c r="G73" s="180">
        <v>10</v>
      </c>
      <c r="H73" s="180">
        <v>0</v>
      </c>
      <c r="I73" s="180" t="s">
        <v>52</v>
      </c>
      <c r="J73" s="180">
        <f>+IF(K72-$N$3&gt;=3,K72-$N$3,3)</f>
        <v>2012</v>
      </c>
      <c r="K73" s="180">
        <f>F73+J73</f>
        <v>4029</v>
      </c>
      <c r="L73" s="181">
        <f>+K73+(G73/12)</f>
        <v>4029.8333333333335</v>
      </c>
      <c r="M73" s="182">
        <f>+'2111 Other - Orig'!M55-'2111 Other'!M72</f>
        <v>9906.5820000000022</v>
      </c>
      <c r="N73" s="182">
        <f t="shared" si="41"/>
        <v>9906.5820000000022</v>
      </c>
      <c r="O73" s="182">
        <f>N73/J73/12</f>
        <v>0.41031237574552692</v>
      </c>
      <c r="P73" s="182">
        <f>+O73*12</f>
        <v>4.9237485089463231</v>
      </c>
      <c r="Q73" s="342">
        <f t="shared" si="36"/>
        <v>4.9237485089463231</v>
      </c>
      <c r="R73" s="341"/>
      <c r="S73" s="342">
        <f t="shared" si="37"/>
        <v>32.004365308150227</v>
      </c>
      <c r="T73" s="139">
        <f t="shared" si="38"/>
        <v>36.928113817096552</v>
      </c>
      <c r="U73" s="139">
        <f t="shared" si="44"/>
        <v>9869.6538861829049</v>
      </c>
      <c r="V73" s="11">
        <f t="shared" si="9"/>
        <v>9869.6538861829049</v>
      </c>
    </row>
    <row r="74" spans="1:22" ht="13.5" customHeight="1">
      <c r="A74" s="3" t="s">
        <v>40</v>
      </c>
      <c r="C74" s="3">
        <v>1</v>
      </c>
      <c r="E74" s="3" t="s">
        <v>184</v>
      </c>
      <c r="F74" s="3">
        <v>2009</v>
      </c>
      <c r="G74" s="3">
        <v>6</v>
      </c>
      <c r="H74" s="3">
        <v>0</v>
      </c>
      <c r="I74" s="3" t="s">
        <v>52</v>
      </c>
      <c r="J74" s="3">
        <v>7</v>
      </c>
      <c r="K74" s="3">
        <f t="shared" si="39"/>
        <v>2016</v>
      </c>
      <c r="L74" s="168">
        <f t="shared" si="40"/>
        <v>2016.5</v>
      </c>
      <c r="M74" s="139">
        <f>13737.83</f>
        <v>13737.83</v>
      </c>
      <c r="N74" s="139">
        <f t="shared" si="41"/>
        <v>13737.83</v>
      </c>
      <c r="O74" s="139">
        <f t="shared" si="42"/>
        <v>163.54559523809525</v>
      </c>
      <c r="P74" s="139">
        <f t="shared" si="43"/>
        <v>1962.5471428571429</v>
      </c>
      <c r="Q74" s="342">
        <f t="shared" si="36"/>
        <v>0</v>
      </c>
      <c r="R74" s="341"/>
      <c r="S74" s="342">
        <f t="shared" si="37"/>
        <v>13737.83</v>
      </c>
      <c r="T74" s="139">
        <f t="shared" si="38"/>
        <v>13737.83</v>
      </c>
      <c r="U74" s="139">
        <f t="shared" si="44"/>
        <v>0</v>
      </c>
      <c r="V74" s="11">
        <f t="shared" si="9"/>
        <v>0</v>
      </c>
    </row>
    <row r="75" spans="1:22" ht="13.5" customHeight="1">
      <c r="A75" s="3" t="s">
        <v>40</v>
      </c>
      <c r="E75" s="3" t="s">
        <v>196</v>
      </c>
      <c r="F75" s="3">
        <v>2010</v>
      </c>
      <c r="G75" s="3">
        <v>11</v>
      </c>
      <c r="H75" s="3">
        <v>0</v>
      </c>
      <c r="I75" s="3" t="s">
        <v>52</v>
      </c>
      <c r="J75" s="3">
        <v>5</v>
      </c>
      <c r="K75" s="3">
        <f t="shared" si="39"/>
        <v>2015</v>
      </c>
      <c r="L75" s="168">
        <f t="shared" si="40"/>
        <v>2015.9166666666667</v>
      </c>
      <c r="M75" s="139">
        <f>7651</f>
        <v>7651</v>
      </c>
      <c r="N75" s="139">
        <f t="shared" si="41"/>
        <v>7651</v>
      </c>
      <c r="O75" s="139">
        <f t="shared" si="42"/>
        <v>127.51666666666667</v>
      </c>
      <c r="P75" s="139">
        <f t="shared" si="43"/>
        <v>1530.2</v>
      </c>
      <c r="Q75" s="342">
        <f t="shared" si="36"/>
        <v>0</v>
      </c>
      <c r="R75" s="341"/>
      <c r="S75" s="342">
        <f t="shared" si="37"/>
        <v>7651</v>
      </c>
      <c r="T75" s="139">
        <f t="shared" si="38"/>
        <v>7651</v>
      </c>
      <c r="U75" s="139">
        <f t="shared" si="44"/>
        <v>0</v>
      </c>
      <c r="V75" s="11">
        <f t="shared" si="9"/>
        <v>0</v>
      </c>
    </row>
    <row r="76" spans="1:22" ht="13.5" customHeight="1">
      <c r="A76" s="3" t="s">
        <v>40</v>
      </c>
      <c r="E76" s="3" t="s">
        <v>197</v>
      </c>
      <c r="F76" s="3">
        <v>2010</v>
      </c>
      <c r="G76" s="3">
        <v>4</v>
      </c>
      <c r="H76" s="3">
        <v>0</v>
      </c>
      <c r="I76" s="3" t="s">
        <v>52</v>
      </c>
      <c r="J76" s="3">
        <v>5</v>
      </c>
      <c r="K76" s="3">
        <f t="shared" si="39"/>
        <v>2015</v>
      </c>
      <c r="L76" s="168">
        <f t="shared" si="40"/>
        <v>2015.3333333333333</v>
      </c>
      <c r="M76" s="139">
        <f>5464.99</f>
        <v>5464.99</v>
      </c>
      <c r="N76" s="139">
        <f t="shared" si="41"/>
        <v>5464.99</v>
      </c>
      <c r="O76" s="139">
        <f t="shared" si="42"/>
        <v>91.083166666666671</v>
      </c>
      <c r="P76" s="139">
        <f t="shared" si="43"/>
        <v>1092.998</v>
      </c>
      <c r="Q76" s="342">
        <f t="shared" si="36"/>
        <v>0</v>
      </c>
      <c r="R76" s="341"/>
      <c r="S76" s="342">
        <f t="shared" si="37"/>
        <v>5464.99</v>
      </c>
      <c r="T76" s="139">
        <f t="shared" si="38"/>
        <v>5464.99</v>
      </c>
      <c r="U76" s="139">
        <f t="shared" si="44"/>
        <v>0</v>
      </c>
      <c r="V76" s="11">
        <f t="shared" si="9"/>
        <v>0</v>
      </c>
    </row>
    <row r="77" spans="1:22" ht="13.5" customHeight="1">
      <c r="A77" s="3" t="s">
        <v>410</v>
      </c>
      <c r="B77" s="3">
        <v>173294</v>
      </c>
      <c r="C77" s="3">
        <v>48</v>
      </c>
      <c r="E77" s="3" t="s">
        <v>481</v>
      </c>
      <c r="F77" s="3">
        <v>2010</v>
      </c>
      <c r="G77" s="3">
        <v>7</v>
      </c>
      <c r="H77" s="3">
        <v>0</v>
      </c>
      <c r="I77" s="3" t="s">
        <v>52</v>
      </c>
      <c r="J77" s="3">
        <v>7</v>
      </c>
      <c r="K77" s="3">
        <f t="shared" si="39"/>
        <v>2017</v>
      </c>
      <c r="L77" s="168">
        <f t="shared" si="40"/>
        <v>2017.5833333333333</v>
      </c>
      <c r="M77" s="139">
        <f>+'2131 Other - Orig'!P21</f>
        <v>27055.200000000001</v>
      </c>
      <c r="N77" s="139">
        <f t="shared" si="41"/>
        <v>27055.200000000001</v>
      </c>
      <c r="O77" s="139">
        <f t="shared" si="42"/>
        <v>322.08571428571429</v>
      </c>
      <c r="P77" s="139">
        <f t="shared" si="43"/>
        <v>3865.0285714285715</v>
      </c>
      <c r="Q77" s="342">
        <f t="shared" si="36"/>
        <v>0</v>
      </c>
      <c r="R77" s="341"/>
      <c r="S77" s="342">
        <f t="shared" si="37"/>
        <v>27055.200000000001</v>
      </c>
      <c r="T77" s="139">
        <f t="shared" si="38"/>
        <v>27055.200000000001</v>
      </c>
      <c r="U77" s="139">
        <f t="shared" si="44"/>
        <v>0</v>
      </c>
      <c r="V77" s="11">
        <f t="shared" si="9"/>
        <v>0</v>
      </c>
    </row>
    <row r="78" spans="1:22" ht="13.5" customHeight="1">
      <c r="A78" s="180"/>
      <c r="B78" s="180"/>
      <c r="C78" s="180">
        <v>48</v>
      </c>
      <c r="D78" s="180"/>
      <c r="E78" s="180" t="s">
        <v>670</v>
      </c>
      <c r="F78" s="180">
        <v>2017</v>
      </c>
      <c r="G78" s="180">
        <v>10</v>
      </c>
      <c r="H78" s="180">
        <v>0</v>
      </c>
      <c r="I78" s="180" t="s">
        <v>52</v>
      </c>
      <c r="J78" s="180">
        <f>+IF(K77-$N$3&gt;=3,K77-$N$3,3)</f>
        <v>2014</v>
      </c>
      <c r="K78" s="180">
        <f>F78+J78</f>
        <v>4031</v>
      </c>
      <c r="L78" s="181">
        <f>+K78+(G78/12)</f>
        <v>4031.8333333333335</v>
      </c>
      <c r="M78" s="182">
        <f>+'2131 Other - Orig'!N21-'2111 Other'!M77</f>
        <v>6763.7999999999993</v>
      </c>
      <c r="N78" s="182">
        <f t="shared" si="41"/>
        <v>6763.7999999999993</v>
      </c>
      <c r="O78" s="182">
        <f>N78/J78/12</f>
        <v>0.27986593843098312</v>
      </c>
      <c r="P78" s="182">
        <f>+O78*12</f>
        <v>3.3583912611717972</v>
      </c>
      <c r="Q78" s="342">
        <f t="shared" si="36"/>
        <v>3.3583912611717972</v>
      </c>
      <c r="R78" s="341"/>
      <c r="S78" s="342">
        <f t="shared" si="37"/>
        <v>21.829543197614839</v>
      </c>
      <c r="T78" s="139">
        <f t="shared" si="38"/>
        <v>25.187934458786636</v>
      </c>
      <c r="U78" s="139">
        <f t="shared" si="44"/>
        <v>6738.6120655412124</v>
      </c>
      <c r="V78" s="11">
        <f t="shared" si="9"/>
        <v>6738.6120655412124</v>
      </c>
    </row>
    <row r="79" spans="1:22" ht="13.5" customHeight="1">
      <c r="A79" s="3" t="s">
        <v>40</v>
      </c>
      <c r="B79" s="3">
        <v>89091</v>
      </c>
      <c r="C79" s="3">
        <v>1</v>
      </c>
      <c r="E79" s="3" t="s">
        <v>226</v>
      </c>
      <c r="F79" s="3">
        <v>2011</v>
      </c>
      <c r="G79" s="3">
        <v>12</v>
      </c>
      <c r="H79" s="3">
        <v>0</v>
      </c>
      <c r="I79" s="3" t="s">
        <v>52</v>
      </c>
      <c r="J79" s="3">
        <v>5</v>
      </c>
      <c r="K79" s="3">
        <f t="shared" si="39"/>
        <v>2016</v>
      </c>
      <c r="L79" s="168">
        <f t="shared" si="40"/>
        <v>2017</v>
      </c>
      <c r="M79" s="139">
        <f>858</f>
        <v>858</v>
      </c>
      <c r="N79" s="139">
        <f t="shared" si="41"/>
        <v>858</v>
      </c>
      <c r="O79" s="139">
        <f t="shared" si="42"/>
        <v>14.299999999999999</v>
      </c>
      <c r="P79" s="139">
        <f t="shared" si="43"/>
        <v>171.6</v>
      </c>
      <c r="Q79" s="342">
        <f t="shared" si="36"/>
        <v>0</v>
      </c>
      <c r="R79" s="341"/>
      <c r="S79" s="342">
        <f t="shared" si="37"/>
        <v>858</v>
      </c>
      <c r="T79" s="139">
        <f t="shared" si="38"/>
        <v>858</v>
      </c>
      <c r="U79" s="139">
        <f t="shared" si="44"/>
        <v>0</v>
      </c>
      <c r="V79" s="11">
        <f t="shared" si="9"/>
        <v>0</v>
      </c>
    </row>
    <row r="80" spans="1:22" ht="13.5" customHeight="1">
      <c r="A80" s="3" t="s">
        <v>40</v>
      </c>
      <c r="B80" s="3" t="s">
        <v>292</v>
      </c>
      <c r="E80" s="3" t="s">
        <v>293</v>
      </c>
      <c r="F80" s="3">
        <v>2011</v>
      </c>
      <c r="G80" s="3">
        <v>3</v>
      </c>
      <c r="H80" s="3">
        <v>0</v>
      </c>
      <c r="I80" s="3" t="s">
        <v>52</v>
      </c>
      <c r="J80" s="3">
        <v>5</v>
      </c>
      <c r="K80" s="3">
        <f t="shared" si="39"/>
        <v>2016</v>
      </c>
      <c r="L80" s="168">
        <f t="shared" si="40"/>
        <v>2016.25</v>
      </c>
      <c r="M80" s="139">
        <v>9838.58</v>
      </c>
      <c r="N80" s="139">
        <f t="shared" si="41"/>
        <v>9838.58</v>
      </c>
      <c r="O80" s="139">
        <f t="shared" si="42"/>
        <v>163.97633333333332</v>
      </c>
      <c r="P80" s="139">
        <f t="shared" si="43"/>
        <v>1967.7159999999999</v>
      </c>
      <c r="Q80" s="342">
        <f t="shared" si="36"/>
        <v>0</v>
      </c>
      <c r="R80" s="341"/>
      <c r="S80" s="342">
        <f t="shared" si="37"/>
        <v>9838.58</v>
      </c>
      <c r="T80" s="139">
        <f t="shared" si="38"/>
        <v>9838.58</v>
      </c>
      <c r="U80" s="139">
        <f t="shared" si="44"/>
        <v>0</v>
      </c>
      <c r="V80" s="11">
        <f t="shared" si="9"/>
        <v>0</v>
      </c>
    </row>
    <row r="81" spans="1:22" ht="13.5" customHeight="1">
      <c r="A81" s="3" t="s">
        <v>40</v>
      </c>
      <c r="B81" s="3">
        <v>95043</v>
      </c>
      <c r="E81" s="3" t="s">
        <v>244</v>
      </c>
      <c r="F81" s="3">
        <v>2012</v>
      </c>
      <c r="G81" s="3">
        <v>4</v>
      </c>
      <c r="H81" s="3">
        <v>0</v>
      </c>
      <c r="I81" s="3" t="s">
        <v>52</v>
      </c>
      <c r="J81" s="3">
        <v>5</v>
      </c>
      <c r="K81" s="3">
        <f t="shared" si="39"/>
        <v>2017</v>
      </c>
      <c r="L81" s="168">
        <f t="shared" si="40"/>
        <v>2017.3333333333333</v>
      </c>
      <c r="M81" s="139">
        <f>1398.18</f>
        <v>1398.18</v>
      </c>
      <c r="N81" s="139">
        <f t="shared" si="41"/>
        <v>1398.18</v>
      </c>
      <c r="O81" s="139">
        <f t="shared" si="42"/>
        <v>23.303000000000001</v>
      </c>
      <c r="P81" s="139">
        <f t="shared" si="43"/>
        <v>279.63600000000002</v>
      </c>
      <c r="Q81" s="342">
        <f t="shared" si="36"/>
        <v>0</v>
      </c>
      <c r="R81" s="341"/>
      <c r="S81" s="342">
        <f t="shared" si="37"/>
        <v>1398.18</v>
      </c>
      <c r="T81" s="139">
        <f t="shared" si="38"/>
        <v>1398.18</v>
      </c>
      <c r="U81" s="139">
        <f t="shared" si="44"/>
        <v>0</v>
      </c>
      <c r="V81" s="11">
        <f t="shared" si="9"/>
        <v>0</v>
      </c>
    </row>
    <row r="82" spans="1:22" ht="13.5" customHeight="1">
      <c r="A82" s="3" t="s">
        <v>40</v>
      </c>
      <c r="B82" s="3">
        <v>107188</v>
      </c>
      <c r="E82" s="3" t="s">
        <v>283</v>
      </c>
      <c r="F82" s="3">
        <v>2012</v>
      </c>
      <c r="G82" s="3">
        <v>7</v>
      </c>
      <c r="H82" s="3">
        <v>0</v>
      </c>
      <c r="I82" s="3" t="s">
        <v>52</v>
      </c>
      <c r="J82" s="3">
        <v>5</v>
      </c>
      <c r="K82" s="3">
        <f t="shared" si="39"/>
        <v>2017</v>
      </c>
      <c r="L82" s="168">
        <f t="shared" si="40"/>
        <v>2017.5833333333333</v>
      </c>
      <c r="M82" s="139">
        <v>649.16999999999996</v>
      </c>
      <c r="N82" s="139">
        <f t="shared" si="41"/>
        <v>649.16999999999996</v>
      </c>
      <c r="O82" s="139">
        <f t="shared" si="42"/>
        <v>10.8195</v>
      </c>
      <c r="P82" s="139">
        <f t="shared" si="43"/>
        <v>129.834</v>
      </c>
      <c r="Q82" s="342">
        <f t="shared" si="36"/>
        <v>0</v>
      </c>
      <c r="R82" s="341"/>
      <c r="S82" s="342">
        <f t="shared" si="37"/>
        <v>649.16999999999996</v>
      </c>
      <c r="T82" s="139">
        <f t="shared" si="38"/>
        <v>649.16999999999996</v>
      </c>
      <c r="U82" s="139">
        <f t="shared" si="44"/>
        <v>0</v>
      </c>
      <c r="V82" s="11">
        <f t="shared" si="9"/>
        <v>0</v>
      </c>
    </row>
    <row r="83" spans="1:22" ht="13.5" customHeight="1">
      <c r="A83" s="3" t="s">
        <v>40</v>
      </c>
      <c r="B83" s="3">
        <v>107187</v>
      </c>
      <c r="E83" s="3" t="s">
        <v>282</v>
      </c>
      <c r="F83" s="3">
        <v>2012</v>
      </c>
      <c r="G83" s="3">
        <v>1</v>
      </c>
      <c r="H83" s="3">
        <v>0</v>
      </c>
      <c r="I83" s="3" t="s">
        <v>52</v>
      </c>
      <c r="J83" s="3">
        <v>5</v>
      </c>
      <c r="K83" s="3">
        <f t="shared" si="39"/>
        <v>2017</v>
      </c>
      <c r="L83" s="168">
        <f t="shared" si="40"/>
        <v>2017.0833333333333</v>
      </c>
      <c r="M83" s="139">
        <v>564.44000000000005</v>
      </c>
      <c r="N83" s="139">
        <f t="shared" si="41"/>
        <v>564.44000000000005</v>
      </c>
      <c r="O83" s="139">
        <f t="shared" si="42"/>
        <v>9.4073333333333338</v>
      </c>
      <c r="P83" s="139">
        <f t="shared" si="43"/>
        <v>112.88800000000001</v>
      </c>
      <c r="Q83" s="342">
        <f t="shared" si="36"/>
        <v>0</v>
      </c>
      <c r="R83" s="341"/>
      <c r="S83" s="342">
        <f t="shared" si="37"/>
        <v>564.44000000000005</v>
      </c>
      <c r="T83" s="139">
        <f t="shared" si="38"/>
        <v>564.44000000000005</v>
      </c>
      <c r="U83" s="139">
        <f t="shared" si="44"/>
        <v>0</v>
      </c>
      <c r="V83" s="11">
        <f t="shared" si="9"/>
        <v>0</v>
      </c>
    </row>
    <row r="84" spans="1:22" ht="13.5" customHeight="1">
      <c r="A84" s="3" t="s">
        <v>410</v>
      </c>
      <c r="B84" s="3">
        <v>173288</v>
      </c>
      <c r="C84" s="3" t="s">
        <v>482</v>
      </c>
      <c r="E84" s="3" t="s">
        <v>483</v>
      </c>
      <c r="F84" s="3">
        <v>2012</v>
      </c>
      <c r="G84" s="3">
        <v>5</v>
      </c>
      <c r="H84" s="3">
        <v>0</v>
      </c>
      <c r="I84" s="3" t="s">
        <v>52</v>
      </c>
      <c r="J84" s="3">
        <v>7</v>
      </c>
      <c r="K84" s="3">
        <f t="shared" si="39"/>
        <v>2019</v>
      </c>
      <c r="L84" s="168">
        <f t="shared" si="40"/>
        <v>2019.4166666666667</v>
      </c>
      <c r="M84" s="139">
        <f>26700</f>
        <v>26700</v>
      </c>
      <c r="N84" s="139">
        <f t="shared" si="41"/>
        <v>26700</v>
      </c>
      <c r="O84" s="139">
        <f t="shared" si="42"/>
        <v>317.85714285714283</v>
      </c>
      <c r="P84" s="139">
        <f t="shared" si="43"/>
        <v>3814.2857142857138</v>
      </c>
      <c r="Q84" s="342">
        <f t="shared" si="36"/>
        <v>0</v>
      </c>
      <c r="R84" s="341"/>
      <c r="S84" s="342">
        <f t="shared" si="37"/>
        <v>26700</v>
      </c>
      <c r="T84" s="139">
        <f t="shared" si="38"/>
        <v>26700</v>
      </c>
      <c r="U84" s="139">
        <f t="shared" si="44"/>
        <v>0</v>
      </c>
      <c r="V84" s="11">
        <f t="shared" si="9"/>
        <v>0</v>
      </c>
    </row>
    <row r="85" spans="1:22" ht="13.5" customHeight="1">
      <c r="A85" s="3" t="s">
        <v>40</v>
      </c>
      <c r="B85" s="3">
        <v>110092</v>
      </c>
      <c r="E85" s="3" t="s">
        <v>284</v>
      </c>
      <c r="F85" s="3">
        <v>2013</v>
      </c>
      <c r="G85" s="3">
        <v>12</v>
      </c>
      <c r="H85" s="3">
        <v>0</v>
      </c>
      <c r="I85" s="3" t="s">
        <v>52</v>
      </c>
      <c r="J85" s="3">
        <v>5</v>
      </c>
      <c r="K85" s="3">
        <f t="shared" si="39"/>
        <v>2018</v>
      </c>
      <c r="L85" s="168">
        <f t="shared" si="40"/>
        <v>2019</v>
      </c>
      <c r="M85" s="139">
        <v>2337.39</v>
      </c>
      <c r="N85" s="139">
        <f t="shared" si="41"/>
        <v>2337.39</v>
      </c>
      <c r="O85" s="139">
        <f t="shared" si="42"/>
        <v>38.956499999999998</v>
      </c>
      <c r="P85" s="139">
        <f t="shared" si="43"/>
        <v>467.47799999999995</v>
      </c>
      <c r="Q85" s="342">
        <f t="shared" si="36"/>
        <v>0</v>
      </c>
      <c r="R85" s="341"/>
      <c r="S85" s="342">
        <f t="shared" si="37"/>
        <v>2337.39</v>
      </c>
      <c r="T85" s="139">
        <f t="shared" si="38"/>
        <v>2337.39</v>
      </c>
      <c r="U85" s="139">
        <f t="shared" si="44"/>
        <v>0</v>
      </c>
      <c r="V85" s="11">
        <f t="shared" si="9"/>
        <v>0</v>
      </c>
    </row>
    <row r="86" spans="1:22" ht="13.5" customHeight="1">
      <c r="A86" s="3" t="s">
        <v>40</v>
      </c>
      <c r="B86" s="3">
        <v>110093</v>
      </c>
      <c r="E86" s="3" t="s">
        <v>285</v>
      </c>
      <c r="F86" s="3">
        <v>2013</v>
      </c>
      <c r="G86" s="3">
        <v>12</v>
      </c>
      <c r="H86" s="3">
        <v>0</v>
      </c>
      <c r="I86" s="3" t="s">
        <v>52</v>
      </c>
      <c r="J86" s="3">
        <v>5</v>
      </c>
      <c r="K86" s="3">
        <f t="shared" si="39"/>
        <v>2018</v>
      </c>
      <c r="L86" s="168">
        <f t="shared" si="40"/>
        <v>2019</v>
      </c>
      <c r="M86" s="139">
        <v>5343.25</v>
      </c>
      <c r="N86" s="139">
        <f t="shared" si="41"/>
        <v>5343.25</v>
      </c>
      <c r="O86" s="139">
        <f t="shared" si="42"/>
        <v>89.054166666666674</v>
      </c>
      <c r="P86" s="139">
        <f t="shared" si="43"/>
        <v>1068.6500000000001</v>
      </c>
      <c r="Q86" s="342">
        <f t="shared" si="36"/>
        <v>0</v>
      </c>
      <c r="R86" s="341"/>
      <c r="S86" s="342">
        <f t="shared" si="37"/>
        <v>5343.25</v>
      </c>
      <c r="T86" s="139">
        <f t="shared" si="38"/>
        <v>5343.25</v>
      </c>
      <c r="U86" s="139">
        <f t="shared" si="44"/>
        <v>0</v>
      </c>
      <c r="V86" s="11">
        <f t="shared" ref="V86:V149" si="45">M86-T86</f>
        <v>0</v>
      </c>
    </row>
    <row r="87" spans="1:22" ht="13.5" customHeight="1">
      <c r="A87" s="3" t="s">
        <v>40</v>
      </c>
      <c r="B87" s="3">
        <v>110094</v>
      </c>
      <c r="E87" s="3" t="s">
        <v>296</v>
      </c>
      <c r="F87" s="3">
        <v>2013</v>
      </c>
      <c r="G87" s="3">
        <v>12</v>
      </c>
      <c r="H87" s="3">
        <v>0</v>
      </c>
      <c r="I87" s="3" t="s">
        <v>52</v>
      </c>
      <c r="J87" s="3">
        <v>5</v>
      </c>
      <c r="K87" s="3">
        <f t="shared" si="39"/>
        <v>2018</v>
      </c>
      <c r="L87" s="168">
        <f t="shared" si="40"/>
        <v>2019</v>
      </c>
      <c r="M87" s="139">
        <v>14544.51</v>
      </c>
      <c r="N87" s="139">
        <f t="shared" si="41"/>
        <v>14544.51</v>
      </c>
      <c r="O87" s="139">
        <f t="shared" si="42"/>
        <v>242.4085</v>
      </c>
      <c r="P87" s="139">
        <f t="shared" si="43"/>
        <v>2908.902</v>
      </c>
      <c r="Q87" s="342">
        <f t="shared" si="36"/>
        <v>0</v>
      </c>
      <c r="R87" s="341"/>
      <c r="S87" s="342">
        <f t="shared" si="37"/>
        <v>14544.51</v>
      </c>
      <c r="T87" s="139">
        <f t="shared" si="38"/>
        <v>14544.51</v>
      </c>
      <c r="U87" s="139">
        <f t="shared" si="44"/>
        <v>0</v>
      </c>
      <c r="V87" s="11">
        <f t="shared" si="45"/>
        <v>0</v>
      </c>
    </row>
    <row r="88" spans="1:22" ht="13.5" customHeight="1">
      <c r="A88" s="3" t="s">
        <v>40</v>
      </c>
      <c r="B88" s="3">
        <v>110969</v>
      </c>
      <c r="C88" s="3">
        <v>127</v>
      </c>
      <c r="E88" s="3" t="s">
        <v>308</v>
      </c>
      <c r="F88" s="3">
        <v>2014</v>
      </c>
      <c r="G88" s="3">
        <v>2</v>
      </c>
      <c r="H88" s="3">
        <v>0</v>
      </c>
      <c r="I88" s="3" t="s">
        <v>52</v>
      </c>
      <c r="J88" s="3">
        <v>7</v>
      </c>
      <c r="K88" s="3">
        <f t="shared" si="39"/>
        <v>2021</v>
      </c>
      <c r="L88" s="168">
        <f t="shared" si="40"/>
        <v>2021.1666666666667</v>
      </c>
      <c r="M88" s="139">
        <f>+'2111 Other - Orig'!O67</f>
        <v>59946.2</v>
      </c>
      <c r="N88" s="139">
        <f t="shared" si="41"/>
        <v>59946.2</v>
      </c>
      <c r="O88" s="139">
        <f t="shared" si="42"/>
        <v>713.64523809523814</v>
      </c>
      <c r="P88" s="139">
        <f t="shared" si="43"/>
        <v>8563.7428571428572</v>
      </c>
      <c r="Q88" s="342">
        <f t="shared" si="36"/>
        <v>0</v>
      </c>
      <c r="R88" s="341"/>
      <c r="S88" s="342">
        <f t="shared" si="37"/>
        <v>59946.2</v>
      </c>
      <c r="T88" s="139">
        <f t="shared" si="38"/>
        <v>59946.2</v>
      </c>
      <c r="U88" s="139">
        <f t="shared" si="44"/>
        <v>0</v>
      </c>
      <c r="V88" s="11">
        <f t="shared" si="45"/>
        <v>0</v>
      </c>
    </row>
    <row r="89" spans="1:22" ht="13.5" customHeight="1">
      <c r="A89" s="180"/>
      <c r="B89" s="180"/>
      <c r="C89" s="180">
        <v>127</v>
      </c>
      <c r="D89" s="180"/>
      <c r="E89" s="180" t="s">
        <v>671</v>
      </c>
      <c r="F89" s="180">
        <v>2017</v>
      </c>
      <c r="G89" s="180">
        <v>10</v>
      </c>
      <c r="H89" s="180">
        <v>0</v>
      </c>
      <c r="I89" s="180" t="s">
        <v>52</v>
      </c>
      <c r="J89" s="180">
        <f>+IF(K88-$N$3&gt;=3,K88-$N$3,3)</f>
        <v>2018</v>
      </c>
      <c r="K89" s="180">
        <f>F89+J89</f>
        <v>4035</v>
      </c>
      <c r="L89" s="181">
        <f>+K89+(G89/12)</f>
        <v>4035.8333333333335</v>
      </c>
      <c r="M89" s="182">
        <f>+'2111 Other - Orig'!M67-'2111 Other'!M88</f>
        <v>14986.550000000003</v>
      </c>
      <c r="N89" s="182">
        <f>M89-M89*H89</f>
        <v>14986.550000000003</v>
      </c>
      <c r="O89" s="182">
        <f>N89/J89/12</f>
        <v>0.61886975553353174</v>
      </c>
      <c r="P89" s="182">
        <f>+O89*12</f>
        <v>7.4264370664023804</v>
      </c>
      <c r="Q89" s="342">
        <f t="shared" si="36"/>
        <v>7.4264370664023804</v>
      </c>
      <c r="R89" s="341"/>
      <c r="S89" s="342">
        <f t="shared" si="37"/>
        <v>48.271840931611223</v>
      </c>
      <c r="T89" s="139">
        <f t="shared" si="38"/>
        <v>55.698277998013602</v>
      </c>
      <c r="U89" s="139">
        <f t="shared" si="44"/>
        <v>14930.851722001989</v>
      </c>
      <c r="V89" s="11">
        <f t="shared" si="45"/>
        <v>14930.851722001989</v>
      </c>
    </row>
    <row r="90" spans="1:22" ht="13.5" customHeight="1">
      <c r="A90" s="3" t="s">
        <v>40</v>
      </c>
      <c r="B90" s="3">
        <v>113987</v>
      </c>
      <c r="E90" s="3" t="s">
        <v>307</v>
      </c>
      <c r="F90" s="3">
        <v>2014</v>
      </c>
      <c r="G90" s="3">
        <v>6</v>
      </c>
      <c r="H90" s="3">
        <v>0</v>
      </c>
      <c r="I90" s="3" t="s">
        <v>52</v>
      </c>
      <c r="J90" s="3">
        <v>5</v>
      </c>
      <c r="K90" s="3">
        <f t="shared" si="39"/>
        <v>2019</v>
      </c>
      <c r="L90" s="168">
        <f t="shared" si="40"/>
        <v>2019.5</v>
      </c>
      <c r="M90" s="139">
        <v>10194.98</v>
      </c>
      <c r="N90" s="139">
        <f t="shared" si="41"/>
        <v>10194.98</v>
      </c>
      <c r="O90" s="139">
        <f t="shared" si="42"/>
        <v>169.91633333333331</v>
      </c>
      <c r="P90" s="139">
        <f t="shared" si="43"/>
        <v>2038.9959999999996</v>
      </c>
      <c r="Q90" s="342">
        <f t="shared" si="36"/>
        <v>0</v>
      </c>
      <c r="R90" s="341"/>
      <c r="S90" s="342">
        <f t="shared" si="37"/>
        <v>10194.98</v>
      </c>
      <c r="T90" s="139">
        <f t="shared" si="38"/>
        <v>10194.98</v>
      </c>
      <c r="U90" s="139">
        <f t="shared" si="44"/>
        <v>0</v>
      </c>
      <c r="V90" s="11">
        <f t="shared" si="45"/>
        <v>0</v>
      </c>
    </row>
    <row r="91" spans="1:22" ht="13.5" customHeight="1">
      <c r="A91" s="3" t="s">
        <v>40</v>
      </c>
      <c r="B91" s="3">
        <v>118290</v>
      </c>
      <c r="E91" s="3" t="s">
        <v>316</v>
      </c>
      <c r="F91" s="3">
        <v>2014</v>
      </c>
      <c r="G91" s="3">
        <v>11</v>
      </c>
      <c r="H91" s="3">
        <v>0</v>
      </c>
      <c r="I91" s="3" t="s">
        <v>52</v>
      </c>
      <c r="J91" s="3">
        <v>5</v>
      </c>
      <c r="K91" s="3">
        <f t="shared" si="39"/>
        <v>2019</v>
      </c>
      <c r="L91" s="168">
        <f t="shared" si="40"/>
        <v>2019.9166666666667</v>
      </c>
      <c r="M91" s="139">
        <v>46736.34</v>
      </c>
      <c r="N91" s="139">
        <f t="shared" si="41"/>
        <v>46736.34</v>
      </c>
      <c r="O91" s="139">
        <f t="shared" si="42"/>
        <v>778.93899999999996</v>
      </c>
      <c r="P91" s="139">
        <f t="shared" si="43"/>
        <v>9347.268</v>
      </c>
      <c r="Q91" s="342">
        <f t="shared" si="36"/>
        <v>0</v>
      </c>
      <c r="R91" s="341"/>
      <c r="S91" s="342">
        <f t="shared" si="37"/>
        <v>46736.34</v>
      </c>
      <c r="T91" s="139">
        <f t="shared" si="38"/>
        <v>46736.34</v>
      </c>
      <c r="U91" s="139">
        <f t="shared" si="44"/>
        <v>0</v>
      </c>
      <c r="V91" s="11">
        <f t="shared" si="45"/>
        <v>0</v>
      </c>
    </row>
    <row r="92" spans="1:22" ht="13.5" customHeight="1">
      <c r="A92" s="3" t="s">
        <v>40</v>
      </c>
      <c r="B92" s="3">
        <v>117607</v>
      </c>
      <c r="E92" s="3" t="s">
        <v>317</v>
      </c>
      <c r="F92" s="3">
        <v>2014</v>
      </c>
      <c r="G92" s="3">
        <v>11</v>
      </c>
      <c r="H92" s="3">
        <v>0</v>
      </c>
      <c r="I92" s="3" t="s">
        <v>52</v>
      </c>
      <c r="J92" s="3">
        <v>7</v>
      </c>
      <c r="K92" s="3">
        <f t="shared" si="39"/>
        <v>2021</v>
      </c>
      <c r="L92" s="168">
        <f t="shared" si="40"/>
        <v>2021.9166666666667</v>
      </c>
      <c r="M92" s="139">
        <f>+'2111 Other - Orig'!O70</f>
        <v>5199.4160000000002</v>
      </c>
      <c r="N92" s="139">
        <f t="shared" si="41"/>
        <v>5199.4160000000002</v>
      </c>
      <c r="O92" s="139">
        <f t="shared" si="42"/>
        <v>61.897809523809521</v>
      </c>
      <c r="P92" s="139">
        <f t="shared" si="43"/>
        <v>742.77371428571428</v>
      </c>
      <c r="Q92" s="342">
        <f t="shared" si="36"/>
        <v>0</v>
      </c>
      <c r="R92" s="341"/>
      <c r="S92" s="342">
        <f t="shared" si="37"/>
        <v>5199.4160000000002</v>
      </c>
      <c r="T92" s="139">
        <f t="shared" si="38"/>
        <v>5199.4160000000002</v>
      </c>
      <c r="U92" s="139">
        <f t="shared" si="44"/>
        <v>0</v>
      </c>
      <c r="V92" s="11">
        <f t="shared" si="45"/>
        <v>0</v>
      </c>
    </row>
    <row r="93" spans="1:22" ht="13.5" customHeight="1">
      <c r="E93" s="3" t="s">
        <v>672</v>
      </c>
      <c r="F93" s="3">
        <v>2017</v>
      </c>
      <c r="G93" s="3">
        <v>7</v>
      </c>
      <c r="H93" s="3">
        <v>0</v>
      </c>
      <c r="I93" s="3" t="s">
        <v>52</v>
      </c>
      <c r="J93" s="3">
        <f>+IF(K92-$N$3&gt;=3,K92-$N$3,3)</f>
        <v>2018</v>
      </c>
      <c r="K93" s="3">
        <f>F93+J93</f>
        <v>4035</v>
      </c>
      <c r="L93" s="168">
        <f>+K93+(G93/12)</f>
        <v>4035.5833333333335</v>
      </c>
      <c r="M93" s="139">
        <f>+'2111 Other - Orig'!M70-'2111 Other'!M92</f>
        <v>1299.8540000000003</v>
      </c>
      <c r="N93" s="139">
        <f t="shared" si="41"/>
        <v>1299.8540000000003</v>
      </c>
      <c r="O93" s="139">
        <f>N93/J93/12</f>
        <v>5.3677485959696077E-2</v>
      </c>
      <c r="P93" s="139">
        <f>+O93*12</f>
        <v>0.64412983151635295</v>
      </c>
      <c r="Q93" s="342">
        <f t="shared" si="36"/>
        <v>0.64412983151635295</v>
      </c>
      <c r="R93" s="341"/>
      <c r="S93" s="342">
        <f t="shared" si="37"/>
        <v>4.3478763627351782</v>
      </c>
      <c r="T93" s="139">
        <f t="shared" si="38"/>
        <v>4.9920061942515312</v>
      </c>
      <c r="U93" s="139">
        <f t="shared" si="44"/>
        <v>1294.8619938057486</v>
      </c>
      <c r="V93" s="11">
        <f t="shared" si="45"/>
        <v>1294.8619938057486</v>
      </c>
    </row>
    <row r="94" spans="1:22" ht="13.5" customHeight="1">
      <c r="A94" s="3" t="s">
        <v>40</v>
      </c>
      <c r="B94" s="3">
        <v>118482</v>
      </c>
      <c r="E94" s="3" t="s">
        <v>318</v>
      </c>
      <c r="F94" s="3">
        <v>2014</v>
      </c>
      <c r="G94" s="3">
        <v>12</v>
      </c>
      <c r="H94" s="3">
        <v>0</v>
      </c>
      <c r="I94" s="3" t="s">
        <v>52</v>
      </c>
      <c r="J94" s="3">
        <v>5</v>
      </c>
      <c r="K94" s="3">
        <f t="shared" si="39"/>
        <v>2019</v>
      </c>
      <c r="L94" s="168">
        <f t="shared" si="40"/>
        <v>2020</v>
      </c>
      <c r="M94" s="139">
        <v>14933.1</v>
      </c>
      <c r="N94" s="139">
        <f t="shared" si="41"/>
        <v>14933.1</v>
      </c>
      <c r="O94" s="139">
        <f t="shared" si="42"/>
        <v>248.88499999999999</v>
      </c>
      <c r="P94" s="139">
        <f t="shared" si="43"/>
        <v>2986.62</v>
      </c>
      <c r="Q94" s="342">
        <f t="shared" si="36"/>
        <v>0</v>
      </c>
      <c r="R94" s="341"/>
      <c r="S94" s="342">
        <f t="shared" si="37"/>
        <v>14933.1</v>
      </c>
      <c r="T94" s="139">
        <f t="shared" si="38"/>
        <v>14933.1</v>
      </c>
      <c r="U94" s="139">
        <f t="shared" si="44"/>
        <v>0</v>
      </c>
      <c r="V94" s="11">
        <f t="shared" si="45"/>
        <v>0</v>
      </c>
    </row>
    <row r="95" spans="1:22" ht="13.5" customHeight="1">
      <c r="A95" s="3" t="s">
        <v>40</v>
      </c>
      <c r="B95" s="3">
        <v>128632</v>
      </c>
      <c r="E95" s="3" t="s">
        <v>333</v>
      </c>
      <c r="F95" s="3">
        <v>2015</v>
      </c>
      <c r="G95" s="3">
        <v>12</v>
      </c>
      <c r="H95" s="3">
        <v>0</v>
      </c>
      <c r="I95" s="3" t="s">
        <v>52</v>
      </c>
      <c r="J95" s="3">
        <v>5</v>
      </c>
      <c r="K95" s="3">
        <f t="shared" si="39"/>
        <v>2020</v>
      </c>
      <c r="L95" s="168">
        <f t="shared" si="40"/>
        <v>2021</v>
      </c>
      <c r="M95" s="139">
        <v>9807.82</v>
      </c>
      <c r="N95" s="139">
        <f t="shared" si="41"/>
        <v>9807.82</v>
      </c>
      <c r="O95" s="139">
        <f t="shared" si="42"/>
        <v>163.46366666666665</v>
      </c>
      <c r="P95" s="139">
        <f t="shared" si="43"/>
        <v>1961.5639999999999</v>
      </c>
      <c r="Q95" s="342">
        <f t="shared" si="36"/>
        <v>0</v>
      </c>
      <c r="R95" s="341"/>
      <c r="S95" s="342">
        <f t="shared" si="37"/>
        <v>9807.82</v>
      </c>
      <c r="T95" s="139">
        <f t="shared" si="38"/>
        <v>9807.82</v>
      </c>
      <c r="U95" s="139">
        <f t="shared" si="44"/>
        <v>0</v>
      </c>
      <c r="V95" s="11">
        <f t="shared" si="45"/>
        <v>0</v>
      </c>
    </row>
    <row r="96" spans="1:22" ht="13.5" customHeight="1">
      <c r="A96" s="3" t="s">
        <v>40</v>
      </c>
      <c r="B96" s="3">
        <v>129739</v>
      </c>
      <c r="E96" s="3" t="s">
        <v>388</v>
      </c>
      <c r="F96" s="3">
        <v>2016</v>
      </c>
      <c r="G96" s="3">
        <v>1</v>
      </c>
      <c r="H96" s="3">
        <v>0</v>
      </c>
      <c r="I96" s="3" t="s">
        <v>52</v>
      </c>
      <c r="J96" s="3">
        <v>5</v>
      </c>
      <c r="K96" s="3">
        <f t="shared" si="39"/>
        <v>2021</v>
      </c>
      <c r="L96" s="168">
        <f t="shared" si="40"/>
        <v>2021.0833333333333</v>
      </c>
      <c r="M96" s="139">
        <v>51034.44</v>
      </c>
      <c r="N96" s="139">
        <f t="shared" si="41"/>
        <v>51034.44</v>
      </c>
      <c r="O96" s="139">
        <f t="shared" si="42"/>
        <v>850.57400000000007</v>
      </c>
      <c r="P96" s="139">
        <f t="shared" si="43"/>
        <v>10206.888000000001</v>
      </c>
      <c r="Q96" s="342">
        <f t="shared" si="36"/>
        <v>0</v>
      </c>
      <c r="R96" s="341"/>
      <c r="S96" s="342">
        <f t="shared" si="37"/>
        <v>51034.44</v>
      </c>
      <c r="T96" s="139">
        <f t="shared" si="38"/>
        <v>51034.44</v>
      </c>
      <c r="U96" s="139">
        <f t="shared" si="44"/>
        <v>0</v>
      </c>
      <c r="V96" s="11">
        <f t="shared" si="45"/>
        <v>0</v>
      </c>
    </row>
    <row r="97" spans="1:22" ht="13.5" customHeight="1">
      <c r="A97" s="3" t="s">
        <v>40</v>
      </c>
      <c r="B97" s="3">
        <v>165849</v>
      </c>
      <c r="E97" s="3" t="s">
        <v>399</v>
      </c>
      <c r="F97" s="3">
        <v>2016</v>
      </c>
      <c r="G97" s="3">
        <v>6</v>
      </c>
      <c r="H97" s="3">
        <v>0</v>
      </c>
      <c r="I97" s="3" t="s">
        <v>52</v>
      </c>
      <c r="J97" s="3">
        <v>5</v>
      </c>
      <c r="K97" s="3">
        <f t="shared" si="39"/>
        <v>2021</v>
      </c>
      <c r="L97" s="168">
        <f t="shared" si="40"/>
        <v>2021.5</v>
      </c>
      <c r="M97" s="139">
        <v>7659.9</v>
      </c>
      <c r="N97" s="139">
        <f t="shared" si="41"/>
        <v>7659.9</v>
      </c>
      <c r="O97" s="139">
        <f t="shared" si="42"/>
        <v>127.66500000000001</v>
      </c>
      <c r="P97" s="139">
        <f t="shared" si="43"/>
        <v>1531.98</v>
      </c>
      <c r="Q97" s="342">
        <f t="shared" si="36"/>
        <v>0</v>
      </c>
      <c r="R97" s="341"/>
      <c r="S97" s="342">
        <f t="shared" si="37"/>
        <v>7659.9</v>
      </c>
      <c r="T97" s="139">
        <f t="shared" si="38"/>
        <v>7659.9</v>
      </c>
      <c r="U97" s="139">
        <f t="shared" si="44"/>
        <v>0</v>
      </c>
      <c r="V97" s="11">
        <f t="shared" si="45"/>
        <v>0</v>
      </c>
    </row>
    <row r="98" spans="1:22" ht="13.5" customHeight="1">
      <c r="A98" s="3" t="s">
        <v>40</v>
      </c>
      <c r="B98" s="3">
        <v>170429</v>
      </c>
      <c r="E98" s="3" t="s">
        <v>417</v>
      </c>
      <c r="F98" s="3">
        <v>2016</v>
      </c>
      <c r="G98" s="3">
        <v>11</v>
      </c>
      <c r="H98" s="3">
        <v>0</v>
      </c>
      <c r="I98" s="3" t="s">
        <v>52</v>
      </c>
      <c r="J98" s="3">
        <v>5</v>
      </c>
      <c r="K98" s="3">
        <f t="shared" si="39"/>
        <v>2021</v>
      </c>
      <c r="L98" s="168">
        <f t="shared" si="40"/>
        <v>2021.9166666666667</v>
      </c>
      <c r="M98" s="139">
        <v>17748.240000000002</v>
      </c>
      <c r="N98" s="139">
        <f t="shared" si="41"/>
        <v>17748.240000000002</v>
      </c>
      <c r="O98" s="139">
        <f t="shared" si="42"/>
        <v>295.80400000000003</v>
      </c>
      <c r="P98" s="139">
        <f t="shared" si="43"/>
        <v>3549.6480000000001</v>
      </c>
      <c r="Q98" s="342">
        <f t="shared" si="36"/>
        <v>0</v>
      </c>
      <c r="R98" s="341"/>
      <c r="S98" s="342">
        <f t="shared" si="37"/>
        <v>17748.240000000002</v>
      </c>
      <c r="T98" s="139">
        <f t="shared" si="38"/>
        <v>17748.240000000002</v>
      </c>
      <c r="U98" s="139">
        <f t="shared" si="44"/>
        <v>0</v>
      </c>
      <c r="V98" s="11">
        <f t="shared" si="45"/>
        <v>0</v>
      </c>
    </row>
    <row r="99" spans="1:22" ht="13.5" customHeight="1">
      <c r="A99" s="3" t="s">
        <v>40</v>
      </c>
      <c r="B99" s="3">
        <v>171824</v>
      </c>
      <c r="E99" s="3" t="s">
        <v>418</v>
      </c>
      <c r="F99" s="3">
        <v>2016</v>
      </c>
      <c r="G99" s="3">
        <v>12</v>
      </c>
      <c r="H99" s="3">
        <v>0</v>
      </c>
      <c r="I99" s="3" t="s">
        <v>52</v>
      </c>
      <c r="J99" s="3">
        <v>2</v>
      </c>
      <c r="K99" s="3">
        <f t="shared" si="39"/>
        <v>2018</v>
      </c>
      <c r="L99" s="168">
        <f t="shared" si="40"/>
        <v>2019</v>
      </c>
      <c r="M99" s="139">
        <v>1311.89</v>
      </c>
      <c r="N99" s="139">
        <f t="shared" si="41"/>
        <v>1311.89</v>
      </c>
      <c r="O99" s="139">
        <f t="shared" si="42"/>
        <v>54.662083333333335</v>
      </c>
      <c r="P99" s="139">
        <f t="shared" si="43"/>
        <v>655.94500000000005</v>
      </c>
      <c r="Q99" s="342">
        <f t="shared" si="36"/>
        <v>0</v>
      </c>
      <c r="R99" s="341"/>
      <c r="S99" s="342">
        <f t="shared" si="37"/>
        <v>1311.89</v>
      </c>
      <c r="T99" s="139">
        <f t="shared" si="38"/>
        <v>1311.89</v>
      </c>
      <c r="U99" s="139">
        <f t="shared" si="44"/>
        <v>0</v>
      </c>
      <c r="V99" s="11">
        <f t="shared" si="45"/>
        <v>0</v>
      </c>
    </row>
    <row r="100" spans="1:22" ht="13.5" customHeight="1">
      <c r="B100" s="3">
        <v>194073</v>
      </c>
      <c r="E100" s="3" t="s">
        <v>594</v>
      </c>
      <c r="F100" s="3">
        <v>2018</v>
      </c>
      <c r="G100" s="3">
        <v>3</v>
      </c>
      <c r="H100" s="3">
        <v>0</v>
      </c>
      <c r="I100" s="3" t="s">
        <v>52</v>
      </c>
      <c r="J100" s="3">
        <v>10</v>
      </c>
      <c r="K100" s="3">
        <f t="shared" si="39"/>
        <v>2028</v>
      </c>
      <c r="L100" s="168">
        <f t="shared" si="40"/>
        <v>2028.25</v>
      </c>
      <c r="M100" s="139">
        <v>69188.7</v>
      </c>
      <c r="N100" s="139">
        <f t="shared" si="41"/>
        <v>69188.7</v>
      </c>
      <c r="O100" s="139">
        <f t="shared" si="42"/>
        <v>576.57249999999999</v>
      </c>
      <c r="P100" s="139">
        <f t="shared" si="43"/>
        <v>6918.87</v>
      </c>
      <c r="Q100" s="342">
        <f t="shared" si="36"/>
        <v>6918.87</v>
      </c>
      <c r="R100" s="341"/>
      <c r="S100" s="342">
        <f t="shared" si="37"/>
        <v>42089.792499999472</v>
      </c>
      <c r="T100" s="139">
        <f t="shared" si="38"/>
        <v>49008.662499999475</v>
      </c>
      <c r="U100" s="139">
        <f t="shared" si="44"/>
        <v>20180.037500000522</v>
      </c>
      <c r="V100" s="11">
        <f t="shared" si="45"/>
        <v>20180.037500000522</v>
      </c>
    </row>
    <row r="101" spans="1:22" ht="13.5" customHeight="1">
      <c r="A101" s="3" t="s">
        <v>673</v>
      </c>
      <c r="B101" s="3">
        <v>176884</v>
      </c>
      <c r="E101" s="3" t="s">
        <v>954</v>
      </c>
      <c r="F101" s="3">
        <v>2017</v>
      </c>
      <c r="G101" s="3">
        <v>2</v>
      </c>
      <c r="H101" s="3">
        <v>0</v>
      </c>
      <c r="I101" s="3" t="s">
        <v>52</v>
      </c>
      <c r="J101" s="3">
        <v>5</v>
      </c>
      <c r="K101" s="3">
        <f t="shared" ref="K101:K113" si="46">F101+J101</f>
        <v>2022</v>
      </c>
      <c r="L101" s="168">
        <f t="shared" ref="L101:L113" si="47">+K101+(G101/12)</f>
        <v>2022.1666666666667</v>
      </c>
      <c r="M101" s="139">
        <v>4588.95</v>
      </c>
      <c r="N101" s="139">
        <f t="shared" ref="N101:N113" si="48">M101-M101*H101</f>
        <v>4588.95</v>
      </c>
      <c r="O101" s="139">
        <f t="shared" ref="O101:O113" si="49">N101/J101/12</f>
        <v>76.482500000000002</v>
      </c>
      <c r="P101" s="139">
        <f t="shared" ref="P101:P113" si="50">+O101*12</f>
        <v>917.79</v>
      </c>
      <c r="Q101" s="342">
        <f t="shared" si="36"/>
        <v>0</v>
      </c>
      <c r="R101" s="341"/>
      <c r="S101" s="342">
        <f t="shared" si="37"/>
        <v>4588.95</v>
      </c>
      <c r="T101" s="139">
        <f t="shared" si="38"/>
        <v>4588.95</v>
      </c>
      <c r="U101" s="139">
        <f t="shared" si="44"/>
        <v>0</v>
      </c>
      <c r="V101" s="11">
        <f t="shared" si="45"/>
        <v>0</v>
      </c>
    </row>
    <row r="102" spans="1:22" ht="13.5" customHeight="1">
      <c r="A102" s="3" t="s">
        <v>673</v>
      </c>
      <c r="B102" s="3">
        <v>176883</v>
      </c>
      <c r="E102" s="3" t="s">
        <v>955</v>
      </c>
      <c r="F102" s="3">
        <v>2017</v>
      </c>
      <c r="G102" s="3">
        <v>1</v>
      </c>
      <c r="H102" s="3">
        <v>0</v>
      </c>
      <c r="I102" s="3" t="s">
        <v>52</v>
      </c>
      <c r="J102" s="3">
        <f>411/100</f>
        <v>4.1100000000000003</v>
      </c>
      <c r="K102" s="3">
        <f t="shared" si="46"/>
        <v>2021.11</v>
      </c>
      <c r="L102" s="168">
        <f t="shared" si="47"/>
        <v>2021.1933333333332</v>
      </c>
      <c r="M102" s="139">
        <v>3370.96</v>
      </c>
      <c r="N102" s="139">
        <f t="shared" si="48"/>
        <v>3370.96</v>
      </c>
      <c r="O102" s="139">
        <f t="shared" si="49"/>
        <v>68.348742903487434</v>
      </c>
      <c r="P102" s="139">
        <f t="shared" si="50"/>
        <v>820.18491484184915</v>
      </c>
      <c r="Q102" s="342">
        <f t="shared" si="36"/>
        <v>0</v>
      </c>
      <c r="R102" s="341"/>
      <c r="S102" s="342">
        <f t="shared" si="37"/>
        <v>3370.96</v>
      </c>
      <c r="T102" s="139">
        <f t="shared" si="38"/>
        <v>3370.96</v>
      </c>
      <c r="U102" s="139">
        <f t="shared" si="44"/>
        <v>0</v>
      </c>
      <c r="V102" s="11">
        <f t="shared" si="45"/>
        <v>0</v>
      </c>
    </row>
    <row r="103" spans="1:22" ht="13.5" customHeight="1">
      <c r="A103" s="3" t="s">
        <v>673</v>
      </c>
      <c r="B103" s="3">
        <v>174958</v>
      </c>
      <c r="E103" s="3" t="s">
        <v>956</v>
      </c>
      <c r="F103" s="3">
        <v>2017</v>
      </c>
      <c r="G103" s="3">
        <v>1</v>
      </c>
      <c r="H103" s="3">
        <v>0</v>
      </c>
      <c r="I103" s="3" t="s">
        <v>52</v>
      </c>
      <c r="J103" s="3">
        <v>5</v>
      </c>
      <c r="K103" s="3">
        <f t="shared" si="46"/>
        <v>2022</v>
      </c>
      <c r="L103" s="168">
        <f t="shared" si="47"/>
        <v>2022.0833333333333</v>
      </c>
      <c r="M103" s="139">
        <v>15436.34</v>
      </c>
      <c r="N103" s="139">
        <f t="shared" si="48"/>
        <v>15436.34</v>
      </c>
      <c r="O103" s="139">
        <f t="shared" si="49"/>
        <v>257.27233333333334</v>
      </c>
      <c r="P103" s="139">
        <f t="shared" si="50"/>
        <v>3087.268</v>
      </c>
      <c r="Q103" s="342">
        <f t="shared" si="36"/>
        <v>0</v>
      </c>
      <c r="R103" s="341"/>
      <c r="S103" s="342">
        <f t="shared" si="37"/>
        <v>15436.34</v>
      </c>
      <c r="T103" s="139">
        <f t="shared" si="38"/>
        <v>15436.34</v>
      </c>
      <c r="U103" s="139">
        <f t="shared" si="44"/>
        <v>0</v>
      </c>
      <c r="V103" s="11">
        <f t="shared" si="45"/>
        <v>0</v>
      </c>
    </row>
    <row r="104" spans="1:22" ht="13.5" customHeight="1">
      <c r="B104" s="3" t="s">
        <v>1078</v>
      </c>
      <c r="E104" s="3" t="s">
        <v>1077</v>
      </c>
      <c r="F104" s="3">
        <v>2022</v>
      </c>
      <c r="G104" s="334">
        <v>7</v>
      </c>
      <c r="H104" s="3">
        <v>0</v>
      </c>
      <c r="I104" s="3" t="s">
        <v>52</v>
      </c>
      <c r="J104" s="3">
        <v>10</v>
      </c>
      <c r="K104" s="3">
        <f t="shared" si="46"/>
        <v>2032</v>
      </c>
      <c r="L104" s="168">
        <f t="shared" si="47"/>
        <v>2032.5833333333333</v>
      </c>
      <c r="M104" s="139">
        <f>2027.5+322.5</f>
        <v>2350</v>
      </c>
      <c r="N104" s="139">
        <f t="shared" si="48"/>
        <v>2350</v>
      </c>
      <c r="O104" s="139">
        <f t="shared" si="49"/>
        <v>19.583333333333332</v>
      </c>
      <c r="P104" s="139">
        <f t="shared" si="50"/>
        <v>235</v>
      </c>
      <c r="Q104" s="342">
        <f t="shared" si="36"/>
        <v>235</v>
      </c>
      <c r="R104" s="341"/>
      <c r="S104" s="342">
        <f t="shared" si="37"/>
        <v>411.25000000000023</v>
      </c>
      <c r="T104" s="139">
        <f t="shared" si="38"/>
        <v>646.25000000000023</v>
      </c>
      <c r="U104" s="139">
        <f t="shared" ref="U104:U113" si="51">M104-T104</f>
        <v>1703.7499999999998</v>
      </c>
      <c r="V104" s="11">
        <f t="shared" ref="V104:V113" si="52">M104-T104</f>
        <v>1703.7499999999998</v>
      </c>
    </row>
    <row r="105" spans="1:22" ht="13.5" customHeight="1">
      <c r="B105" s="3" t="s">
        <v>1086</v>
      </c>
      <c r="E105" s="3" t="s">
        <v>1077</v>
      </c>
      <c r="F105" s="3">
        <v>2022</v>
      </c>
      <c r="G105" s="334">
        <v>7</v>
      </c>
      <c r="H105" s="3">
        <v>0</v>
      </c>
      <c r="I105" s="3" t="s">
        <v>52</v>
      </c>
      <c r="J105" s="3">
        <v>10</v>
      </c>
      <c r="K105" s="3">
        <f t="shared" si="46"/>
        <v>2032</v>
      </c>
      <c r="L105" s="168">
        <f t="shared" si="47"/>
        <v>2032.5833333333333</v>
      </c>
      <c r="M105" s="139">
        <v>4396.5</v>
      </c>
      <c r="N105" s="139">
        <f t="shared" si="48"/>
        <v>4396.5</v>
      </c>
      <c r="O105" s="139">
        <f t="shared" si="49"/>
        <v>36.637499999999996</v>
      </c>
      <c r="P105" s="139">
        <f t="shared" si="50"/>
        <v>439.65</v>
      </c>
      <c r="Q105" s="342">
        <f t="shared" si="36"/>
        <v>439.65</v>
      </c>
      <c r="R105" s="341"/>
      <c r="S105" s="342">
        <f t="shared" si="37"/>
        <v>769.38750000000027</v>
      </c>
      <c r="T105" s="139">
        <f t="shared" si="38"/>
        <v>1209.0375000000004</v>
      </c>
      <c r="U105" s="139">
        <f t="shared" si="51"/>
        <v>3187.4624999999996</v>
      </c>
      <c r="V105" s="11">
        <f t="shared" si="52"/>
        <v>3187.4624999999996</v>
      </c>
    </row>
    <row r="106" spans="1:22" ht="13.5" customHeight="1">
      <c r="B106" s="3" t="s">
        <v>1087</v>
      </c>
      <c r="E106" s="3" t="s">
        <v>1088</v>
      </c>
      <c r="F106" s="3">
        <v>2022</v>
      </c>
      <c r="G106" s="334">
        <v>7</v>
      </c>
      <c r="H106" s="3">
        <v>0</v>
      </c>
      <c r="I106" s="3" t="s">
        <v>52</v>
      </c>
      <c r="J106" s="3">
        <v>10</v>
      </c>
      <c r="K106" s="3">
        <f t="shared" si="46"/>
        <v>2032</v>
      </c>
      <c r="L106" s="168">
        <f t="shared" si="47"/>
        <v>2032.5833333333333</v>
      </c>
      <c r="M106" s="139">
        <v>18885.75</v>
      </c>
      <c r="N106" s="139">
        <f t="shared" si="48"/>
        <v>18885.75</v>
      </c>
      <c r="O106" s="139">
        <f t="shared" si="49"/>
        <v>157.38124999999999</v>
      </c>
      <c r="P106" s="139">
        <f t="shared" si="50"/>
        <v>1888.5749999999998</v>
      </c>
      <c r="Q106" s="342">
        <f t="shared" si="36"/>
        <v>1888.5749999999998</v>
      </c>
      <c r="R106" s="341"/>
      <c r="S106" s="342">
        <f t="shared" si="37"/>
        <v>3305.0062500000004</v>
      </c>
      <c r="T106" s="139">
        <f t="shared" si="38"/>
        <v>5193.5812500000002</v>
      </c>
      <c r="U106" s="139">
        <f t="shared" si="51"/>
        <v>13692.168750000001</v>
      </c>
      <c r="V106" s="11">
        <f t="shared" si="52"/>
        <v>13692.168750000001</v>
      </c>
    </row>
    <row r="107" spans="1:22" ht="13.5" customHeight="1">
      <c r="B107" s="3" t="s">
        <v>1116</v>
      </c>
      <c r="E107" s="3" t="s">
        <v>1117</v>
      </c>
      <c r="F107" s="3">
        <v>2022</v>
      </c>
      <c r="G107" s="334">
        <v>7</v>
      </c>
      <c r="H107" s="3">
        <v>0</v>
      </c>
      <c r="I107" s="3" t="s">
        <v>52</v>
      </c>
      <c r="J107" s="3">
        <v>10</v>
      </c>
      <c r="K107" s="3">
        <f t="shared" si="46"/>
        <v>2032</v>
      </c>
      <c r="L107" s="168">
        <f t="shared" si="47"/>
        <v>2032.5833333333333</v>
      </c>
      <c r="M107" s="139">
        <v>921.38</v>
      </c>
      <c r="N107" s="139">
        <f t="shared" si="48"/>
        <v>921.38</v>
      </c>
      <c r="O107" s="139">
        <f t="shared" si="49"/>
        <v>7.6781666666666668</v>
      </c>
      <c r="P107" s="139">
        <f t="shared" si="50"/>
        <v>92.138000000000005</v>
      </c>
      <c r="Q107" s="342">
        <f t="shared" si="36"/>
        <v>92.138000000000005</v>
      </c>
      <c r="R107" s="341"/>
      <c r="S107" s="342">
        <f t="shared" si="37"/>
        <v>161.24149999999997</v>
      </c>
      <c r="T107" s="139">
        <f t="shared" si="38"/>
        <v>253.37949999999998</v>
      </c>
      <c r="U107" s="139">
        <f t="shared" si="51"/>
        <v>668.00049999999999</v>
      </c>
      <c r="V107" s="11">
        <f t="shared" si="52"/>
        <v>668.00049999999999</v>
      </c>
    </row>
    <row r="108" spans="1:22" ht="13.5" customHeight="1">
      <c r="B108" s="3" t="s">
        <v>1118</v>
      </c>
      <c r="E108" s="3" t="s">
        <v>1119</v>
      </c>
      <c r="F108" s="3">
        <v>2022</v>
      </c>
      <c r="G108" s="334">
        <v>7</v>
      </c>
      <c r="H108" s="3">
        <v>0</v>
      </c>
      <c r="I108" s="3" t="s">
        <v>52</v>
      </c>
      <c r="J108" s="3">
        <v>10</v>
      </c>
      <c r="K108" s="3">
        <f t="shared" si="46"/>
        <v>2032</v>
      </c>
      <c r="L108" s="168">
        <f t="shared" si="47"/>
        <v>2032.5833333333333</v>
      </c>
      <c r="M108" s="139">
        <v>1458.5</v>
      </c>
      <c r="N108" s="139">
        <f t="shared" si="48"/>
        <v>1458.5</v>
      </c>
      <c r="O108" s="139">
        <f t="shared" si="49"/>
        <v>12.154166666666667</v>
      </c>
      <c r="P108" s="139">
        <f t="shared" si="50"/>
        <v>145.85</v>
      </c>
      <c r="Q108" s="342">
        <f t="shared" si="36"/>
        <v>145.85</v>
      </c>
      <c r="R108" s="341"/>
      <c r="S108" s="342">
        <f t="shared" si="37"/>
        <v>255.23749999999995</v>
      </c>
      <c r="T108" s="139">
        <f t="shared" si="38"/>
        <v>401.08749999999998</v>
      </c>
      <c r="U108" s="139">
        <f t="shared" si="51"/>
        <v>1057.4124999999999</v>
      </c>
      <c r="V108" s="11">
        <f t="shared" si="52"/>
        <v>1057.4124999999999</v>
      </c>
    </row>
    <row r="109" spans="1:22" ht="13.5" customHeight="1">
      <c r="B109" s="3" t="s">
        <v>1139</v>
      </c>
      <c r="E109" s="3" t="s">
        <v>1137</v>
      </c>
      <c r="F109" s="3">
        <v>2021</v>
      </c>
      <c r="G109" s="3">
        <v>1</v>
      </c>
      <c r="H109" s="3">
        <v>0</v>
      </c>
      <c r="I109" s="3" t="s">
        <v>52</v>
      </c>
      <c r="J109" s="3">
        <v>2</v>
      </c>
      <c r="K109" s="3">
        <f t="shared" si="46"/>
        <v>2023</v>
      </c>
      <c r="L109" s="168">
        <f t="shared" si="47"/>
        <v>2023.0833333333333</v>
      </c>
      <c r="M109" s="139">
        <v>956.13</v>
      </c>
      <c r="N109" s="139">
        <f t="shared" si="48"/>
        <v>956.13</v>
      </c>
      <c r="O109" s="139">
        <f t="shared" si="49"/>
        <v>39.838749999999997</v>
      </c>
      <c r="P109" s="139">
        <f t="shared" si="50"/>
        <v>478.06499999999994</v>
      </c>
      <c r="Q109" s="342">
        <f t="shared" si="36"/>
        <v>0</v>
      </c>
      <c r="R109" s="341"/>
      <c r="S109" s="342">
        <f t="shared" si="37"/>
        <v>956.13</v>
      </c>
      <c r="T109" s="139">
        <f t="shared" si="38"/>
        <v>956.13</v>
      </c>
      <c r="U109" s="139">
        <f t="shared" si="51"/>
        <v>0</v>
      </c>
      <c r="V109" s="11">
        <f t="shared" si="52"/>
        <v>0</v>
      </c>
    </row>
    <row r="110" spans="1:22" ht="13.5" customHeight="1">
      <c r="B110" s="3">
        <v>247510</v>
      </c>
      <c r="E110" s="3" t="s">
        <v>1140</v>
      </c>
      <c r="F110" s="3">
        <v>2021</v>
      </c>
      <c r="G110" s="3">
        <v>1</v>
      </c>
      <c r="H110" s="3">
        <v>0</v>
      </c>
      <c r="I110" s="3" t="s">
        <v>52</v>
      </c>
      <c r="J110" s="3">
        <v>3</v>
      </c>
      <c r="K110" s="3">
        <f t="shared" si="46"/>
        <v>2024</v>
      </c>
      <c r="L110" s="168">
        <f t="shared" si="47"/>
        <v>2024.0833333333333</v>
      </c>
      <c r="M110" s="139">
        <v>3071.71</v>
      </c>
      <c r="N110" s="139">
        <f t="shared" si="48"/>
        <v>3071.71</v>
      </c>
      <c r="O110" s="139">
        <f t="shared" si="49"/>
        <v>85.325277777777771</v>
      </c>
      <c r="P110" s="139">
        <f t="shared" si="50"/>
        <v>1023.9033333333332</v>
      </c>
      <c r="Q110" s="342">
        <f t="shared" si="36"/>
        <v>0</v>
      </c>
      <c r="R110" s="341"/>
      <c r="S110" s="342">
        <f t="shared" si="37"/>
        <v>3071.71</v>
      </c>
      <c r="T110" s="139">
        <f t="shared" si="38"/>
        <v>3071.71</v>
      </c>
      <c r="U110" s="139">
        <f t="shared" si="51"/>
        <v>0</v>
      </c>
      <c r="V110" s="11">
        <f t="shared" si="52"/>
        <v>0</v>
      </c>
    </row>
    <row r="111" spans="1:22" ht="13.5" customHeight="1">
      <c r="B111" s="3">
        <v>252489</v>
      </c>
      <c r="E111" s="3" t="s">
        <v>1166</v>
      </c>
      <c r="F111" s="3">
        <v>2021</v>
      </c>
      <c r="G111" s="3">
        <v>5</v>
      </c>
      <c r="H111" s="3">
        <v>0</v>
      </c>
      <c r="I111" s="3" t="s">
        <v>52</v>
      </c>
      <c r="J111" s="3">
        <v>10</v>
      </c>
      <c r="K111" s="3">
        <f t="shared" si="46"/>
        <v>2031</v>
      </c>
      <c r="L111" s="168">
        <f t="shared" si="47"/>
        <v>2031.4166666666667</v>
      </c>
      <c r="M111" s="139">
        <v>3092.5</v>
      </c>
      <c r="N111" s="139">
        <f t="shared" si="48"/>
        <v>3092.5</v>
      </c>
      <c r="O111" s="139">
        <f t="shared" si="49"/>
        <v>25.770833333333332</v>
      </c>
      <c r="P111" s="139">
        <f t="shared" si="50"/>
        <v>309.25</v>
      </c>
      <c r="Q111" s="342">
        <f t="shared" si="36"/>
        <v>309.25</v>
      </c>
      <c r="R111" s="341"/>
      <c r="S111" s="342">
        <f t="shared" si="37"/>
        <v>901.97916666661968</v>
      </c>
      <c r="T111" s="139">
        <f t="shared" si="38"/>
        <v>1211.2291666666197</v>
      </c>
      <c r="U111" s="139">
        <f t="shared" si="51"/>
        <v>1881.2708333333803</v>
      </c>
      <c r="V111" s="11">
        <f t="shared" si="52"/>
        <v>1881.2708333333803</v>
      </c>
    </row>
    <row r="112" spans="1:22" ht="13.5" customHeight="1">
      <c r="B112" s="3" t="s">
        <v>1169</v>
      </c>
      <c r="E112" s="3" t="s">
        <v>1170</v>
      </c>
      <c r="F112" s="3">
        <v>2021</v>
      </c>
      <c r="G112" s="3">
        <v>5</v>
      </c>
      <c r="H112" s="3">
        <v>0</v>
      </c>
      <c r="I112" s="3" t="s">
        <v>52</v>
      </c>
      <c r="J112" s="3">
        <v>10</v>
      </c>
      <c r="K112" s="3">
        <f t="shared" si="46"/>
        <v>2031</v>
      </c>
      <c r="L112" s="168">
        <f t="shared" si="47"/>
        <v>2031.4166666666667</v>
      </c>
      <c r="M112" s="139">
        <v>559</v>
      </c>
      <c r="N112" s="139">
        <f t="shared" si="48"/>
        <v>559</v>
      </c>
      <c r="O112" s="139">
        <f t="shared" si="49"/>
        <v>4.6583333333333332</v>
      </c>
      <c r="P112" s="139">
        <f t="shared" si="50"/>
        <v>55.9</v>
      </c>
      <c r="Q112" s="342">
        <f t="shared" si="36"/>
        <v>55.9</v>
      </c>
      <c r="R112" s="341"/>
      <c r="S112" s="342">
        <f t="shared" si="37"/>
        <v>163.04166666665822</v>
      </c>
      <c r="T112" s="139">
        <f t="shared" si="38"/>
        <v>218.94166666665822</v>
      </c>
      <c r="U112" s="139">
        <f t="shared" si="51"/>
        <v>340.05833333334181</v>
      </c>
      <c r="V112" s="11">
        <f t="shared" si="52"/>
        <v>340.05833333334181</v>
      </c>
    </row>
    <row r="113" spans="1:22" ht="13.5" customHeight="1">
      <c r="B113" s="3">
        <v>246366</v>
      </c>
      <c r="E113" s="3" t="s">
        <v>1183</v>
      </c>
      <c r="F113" s="3">
        <v>2021</v>
      </c>
      <c r="G113" s="3">
        <v>1</v>
      </c>
      <c r="H113" s="3">
        <v>0</v>
      </c>
      <c r="I113" s="3" t="s">
        <v>52</v>
      </c>
      <c r="J113" s="3">
        <v>2</v>
      </c>
      <c r="K113" s="3">
        <f t="shared" si="46"/>
        <v>2023</v>
      </c>
      <c r="L113" s="168">
        <f t="shared" si="47"/>
        <v>2023.0833333333333</v>
      </c>
      <c r="M113" s="139">
        <v>989.1</v>
      </c>
      <c r="N113" s="139">
        <f t="shared" si="48"/>
        <v>989.1</v>
      </c>
      <c r="O113" s="139">
        <f t="shared" si="49"/>
        <v>41.212499999999999</v>
      </c>
      <c r="P113" s="139">
        <f t="shared" si="50"/>
        <v>494.54999999999995</v>
      </c>
      <c r="Q113" s="342">
        <f t="shared" si="36"/>
        <v>0</v>
      </c>
      <c r="R113" s="341"/>
      <c r="S113" s="342">
        <f t="shared" si="37"/>
        <v>989.1</v>
      </c>
      <c r="T113" s="139">
        <f t="shared" si="38"/>
        <v>989.1</v>
      </c>
      <c r="U113" s="139">
        <f t="shared" si="51"/>
        <v>0</v>
      </c>
      <c r="V113" s="11">
        <f t="shared" si="52"/>
        <v>0</v>
      </c>
    </row>
    <row r="114" spans="1:22" ht="13.5" customHeight="1">
      <c r="B114" s="1"/>
      <c r="L114" s="168"/>
      <c r="M114" s="139"/>
      <c r="N114" s="139"/>
      <c r="O114" s="139"/>
      <c r="P114" s="139"/>
      <c r="Q114" s="342">
        <f t="shared" si="36"/>
        <v>0</v>
      </c>
      <c r="R114" s="341"/>
      <c r="S114" s="342">
        <f t="shared" si="37"/>
        <v>0</v>
      </c>
      <c r="T114" s="139">
        <f t="shared" si="38"/>
        <v>0</v>
      </c>
      <c r="U114" s="139"/>
      <c r="V114" s="11"/>
    </row>
    <row r="115" spans="1:22" ht="13.5" customHeight="1">
      <c r="L115" s="168"/>
      <c r="M115" s="139"/>
      <c r="N115" s="139"/>
      <c r="O115" s="139"/>
      <c r="P115" s="139"/>
      <c r="Q115" s="139"/>
      <c r="R115" s="139"/>
      <c r="S115" s="139"/>
      <c r="T115" s="139"/>
      <c r="U115" s="139"/>
      <c r="V115" s="11"/>
    </row>
    <row r="116" spans="1:22" ht="13.5" customHeight="1">
      <c r="E116" s="162" t="s">
        <v>144</v>
      </c>
      <c r="F116" s="162"/>
      <c r="G116" s="162"/>
      <c r="H116" s="162"/>
      <c r="I116" s="162"/>
      <c r="J116" s="162"/>
      <c r="K116" s="162"/>
      <c r="L116" s="176"/>
      <c r="M116" s="163">
        <f t="shared" ref="M116:V116" si="53">SUM(M66:M115)</f>
        <v>662144.64999999979</v>
      </c>
      <c r="N116" s="163">
        <f t="shared" si="53"/>
        <v>662144.64999999979</v>
      </c>
      <c r="O116" s="163">
        <f t="shared" si="53"/>
        <v>8356.9326650990843</v>
      </c>
      <c r="P116" s="163">
        <f t="shared" si="53"/>
        <v>100283.191981189</v>
      </c>
      <c r="Q116" s="163">
        <f t="shared" si="53"/>
        <v>10106.22597587095</v>
      </c>
      <c r="R116" s="163">
        <f t="shared" si="53"/>
        <v>0</v>
      </c>
      <c r="S116" s="163">
        <f t="shared" si="53"/>
        <v>567220.85195895156</v>
      </c>
      <c r="T116" s="163">
        <f t="shared" si="53"/>
        <v>577327.07793482265</v>
      </c>
      <c r="U116" s="163">
        <f t="shared" si="53"/>
        <v>84817.572065177272</v>
      </c>
      <c r="V116" s="163">
        <f t="shared" si="53"/>
        <v>84817.572065177272</v>
      </c>
    </row>
    <row r="117" spans="1:22" ht="13.5" customHeight="1">
      <c r="L117" s="168"/>
      <c r="M117" s="139"/>
      <c r="N117" s="139"/>
      <c r="O117" s="139"/>
      <c r="P117" s="139"/>
      <c r="Q117" s="139"/>
      <c r="R117" s="139"/>
      <c r="S117" s="139"/>
      <c r="T117" s="139"/>
      <c r="U117" s="139"/>
      <c r="V117" s="11"/>
    </row>
    <row r="118" spans="1:22" ht="13.5" customHeight="1">
      <c r="E118" s="134" t="s">
        <v>211</v>
      </c>
      <c r="L118" s="168"/>
      <c r="M118" s="139"/>
      <c r="N118" s="139"/>
      <c r="O118" s="139"/>
      <c r="P118" s="139"/>
      <c r="Q118" s="139"/>
      <c r="R118" s="139"/>
      <c r="S118" s="139"/>
      <c r="T118" s="139"/>
      <c r="U118" s="139"/>
      <c r="V118" s="11"/>
    </row>
    <row r="119" spans="1:22" ht="13.5" customHeight="1">
      <c r="L119" s="168"/>
      <c r="M119" s="139"/>
      <c r="N119" s="139"/>
      <c r="O119" s="139"/>
      <c r="P119" s="139"/>
      <c r="Q119" s="139"/>
      <c r="R119" s="139"/>
      <c r="S119" s="139"/>
      <c r="T119" s="139"/>
      <c r="U119" s="139"/>
      <c r="V119" s="11"/>
    </row>
    <row r="120" spans="1:22" ht="13.5" customHeight="1">
      <c r="A120" s="3" t="s">
        <v>40</v>
      </c>
      <c r="E120" s="3" t="s">
        <v>198</v>
      </c>
      <c r="F120" s="3">
        <v>2010</v>
      </c>
      <c r="G120" s="3">
        <v>4</v>
      </c>
      <c r="H120" s="3">
        <v>0</v>
      </c>
      <c r="I120" s="3" t="s">
        <v>52</v>
      </c>
      <c r="J120" s="3">
        <v>7</v>
      </c>
      <c r="K120" s="3">
        <f t="shared" ref="K120:K161" si="54">F120+J120</f>
        <v>2017</v>
      </c>
      <c r="L120" s="168">
        <f t="shared" ref="L120:L161" si="55">+K120+(G120/12)</f>
        <v>2017.3333333333333</v>
      </c>
      <c r="M120" s="139">
        <f>5000+30050.55+18781.59+21294.24</f>
        <v>75126.38</v>
      </c>
      <c r="N120" s="139">
        <f t="shared" ref="N120:N146" si="56">M120-M120*H120</f>
        <v>75126.38</v>
      </c>
      <c r="O120" s="139">
        <f t="shared" ref="O120:O146" si="57">N120/J120/12</f>
        <v>894.36166666666668</v>
      </c>
      <c r="P120" s="139">
        <f t="shared" ref="P120:P146" si="58">+O120*12</f>
        <v>10732.34</v>
      </c>
      <c r="Q120" s="342">
        <f t="shared" ref="Q120:Q169" si="59">IF(L120&lt;=$N$6,0,P120)</f>
        <v>0</v>
      </c>
      <c r="R120" s="341"/>
      <c r="S120" s="342">
        <f t="shared" ref="S120:S169" si="60">+IF($L120&lt;=$N$7,$M120,IF(($F120+($G120/12))&gt;=$N$7,0,((($N120-((($L120-$N$7)*12)*$O120))))))</f>
        <v>75126.38</v>
      </c>
      <c r="T120" s="139">
        <f t="shared" ref="T120:T169" si="61">IF(L120&lt;=$N$6,M120,Q120+S120)</f>
        <v>75126.38</v>
      </c>
      <c r="U120" s="139">
        <f t="shared" ref="U120:U159" si="62">M120-T120</f>
        <v>0</v>
      </c>
      <c r="V120" s="11">
        <f t="shared" si="45"/>
        <v>0</v>
      </c>
    </row>
    <row r="121" spans="1:22" ht="13.5" customHeight="1">
      <c r="A121" s="3" t="s">
        <v>40</v>
      </c>
      <c r="E121" s="3" t="s">
        <v>199</v>
      </c>
      <c r="F121" s="3">
        <v>2010</v>
      </c>
      <c r="G121" s="3">
        <v>5</v>
      </c>
      <c r="H121" s="3">
        <v>0</v>
      </c>
      <c r="I121" s="3" t="s">
        <v>52</v>
      </c>
      <c r="J121" s="3">
        <v>3</v>
      </c>
      <c r="K121" s="3">
        <f t="shared" si="54"/>
        <v>2013</v>
      </c>
      <c r="L121" s="168">
        <f t="shared" si="55"/>
        <v>2013.4166666666667</v>
      </c>
      <c r="M121" s="139">
        <v>1573.39</v>
      </c>
      <c r="N121" s="139">
        <f t="shared" si="56"/>
        <v>1573.39</v>
      </c>
      <c r="O121" s="139">
        <f t="shared" si="57"/>
        <v>43.705277777777781</v>
      </c>
      <c r="P121" s="139">
        <f t="shared" si="58"/>
        <v>524.46333333333337</v>
      </c>
      <c r="Q121" s="342">
        <f t="shared" si="59"/>
        <v>0</v>
      </c>
      <c r="R121" s="341"/>
      <c r="S121" s="342">
        <f t="shared" si="60"/>
        <v>1573.39</v>
      </c>
      <c r="T121" s="139">
        <f t="shared" si="61"/>
        <v>1573.39</v>
      </c>
      <c r="U121" s="139">
        <f t="shared" si="62"/>
        <v>0</v>
      </c>
      <c r="V121" s="11">
        <f t="shared" si="45"/>
        <v>0</v>
      </c>
    </row>
    <row r="122" spans="1:22" ht="13.5" customHeight="1">
      <c r="A122" s="3" t="s">
        <v>40</v>
      </c>
      <c r="E122" s="3" t="s">
        <v>200</v>
      </c>
      <c r="F122" s="3">
        <v>2010</v>
      </c>
      <c r="G122" s="3">
        <v>8</v>
      </c>
      <c r="H122" s="3">
        <v>0</v>
      </c>
      <c r="I122" s="3" t="s">
        <v>52</v>
      </c>
      <c r="J122" s="3">
        <v>3</v>
      </c>
      <c r="K122" s="3">
        <f t="shared" si="54"/>
        <v>2013</v>
      </c>
      <c r="L122" s="168">
        <f t="shared" si="55"/>
        <v>2013.6666666666667</v>
      </c>
      <c r="M122" s="139">
        <v>611.54999999999995</v>
      </c>
      <c r="N122" s="139">
        <f t="shared" si="56"/>
        <v>611.54999999999995</v>
      </c>
      <c r="O122" s="139">
        <f t="shared" si="57"/>
        <v>16.987500000000001</v>
      </c>
      <c r="P122" s="139">
        <f t="shared" si="58"/>
        <v>203.85000000000002</v>
      </c>
      <c r="Q122" s="342">
        <f t="shared" si="59"/>
        <v>0</v>
      </c>
      <c r="R122" s="341"/>
      <c r="S122" s="342">
        <f t="shared" si="60"/>
        <v>611.54999999999995</v>
      </c>
      <c r="T122" s="139">
        <f t="shared" si="61"/>
        <v>611.54999999999995</v>
      </c>
      <c r="U122" s="139">
        <f t="shared" si="62"/>
        <v>0</v>
      </c>
      <c r="V122" s="11">
        <f t="shared" si="45"/>
        <v>0</v>
      </c>
    </row>
    <row r="123" spans="1:22" ht="13.5" customHeight="1">
      <c r="A123" s="3" t="s">
        <v>410</v>
      </c>
      <c r="B123" s="3">
        <v>173281</v>
      </c>
      <c r="E123" s="3" t="s">
        <v>484</v>
      </c>
      <c r="F123" s="3">
        <v>2010</v>
      </c>
      <c r="G123" s="3">
        <v>12</v>
      </c>
      <c r="H123" s="3">
        <v>0</v>
      </c>
      <c r="I123" s="3" t="s">
        <v>52</v>
      </c>
      <c r="J123" s="3">
        <v>5</v>
      </c>
      <c r="K123" s="3">
        <f t="shared" si="54"/>
        <v>2015</v>
      </c>
      <c r="L123" s="168">
        <f t="shared" si="55"/>
        <v>2016</v>
      </c>
      <c r="M123" s="139">
        <v>875</v>
      </c>
      <c r="N123" s="139">
        <f t="shared" si="56"/>
        <v>875</v>
      </c>
      <c r="O123" s="139">
        <f t="shared" si="57"/>
        <v>14.583333333333334</v>
      </c>
      <c r="P123" s="139">
        <f t="shared" si="58"/>
        <v>175</v>
      </c>
      <c r="Q123" s="342">
        <f t="shared" si="59"/>
        <v>0</v>
      </c>
      <c r="R123" s="341"/>
      <c r="S123" s="342">
        <f t="shared" si="60"/>
        <v>875</v>
      </c>
      <c r="T123" s="139">
        <f t="shared" si="61"/>
        <v>875</v>
      </c>
      <c r="U123" s="139">
        <f t="shared" si="62"/>
        <v>0</v>
      </c>
      <c r="V123" s="11">
        <f t="shared" si="45"/>
        <v>0</v>
      </c>
    </row>
    <row r="124" spans="1:22" ht="13.5" customHeight="1">
      <c r="A124" s="3" t="s">
        <v>40</v>
      </c>
      <c r="C124" s="3">
        <v>2</v>
      </c>
      <c r="E124" s="3" t="s">
        <v>187</v>
      </c>
      <c r="F124" s="3">
        <v>2011</v>
      </c>
      <c r="G124" s="3">
        <v>4</v>
      </c>
      <c r="H124" s="3">
        <v>0</v>
      </c>
      <c r="I124" s="3" t="s">
        <v>52</v>
      </c>
      <c r="J124" s="3">
        <v>3</v>
      </c>
      <c r="K124" s="3">
        <f t="shared" si="54"/>
        <v>2014</v>
      </c>
      <c r="L124" s="168">
        <f t="shared" si="55"/>
        <v>2014.3333333333333</v>
      </c>
      <c r="M124" s="139">
        <f>1750+162.75</f>
        <v>1912.75</v>
      </c>
      <c r="N124" s="139">
        <f t="shared" si="56"/>
        <v>1912.75</v>
      </c>
      <c r="O124" s="139">
        <f t="shared" si="57"/>
        <v>53.13194444444445</v>
      </c>
      <c r="P124" s="139">
        <f t="shared" si="58"/>
        <v>637.58333333333337</v>
      </c>
      <c r="Q124" s="342">
        <f t="shared" si="59"/>
        <v>0</v>
      </c>
      <c r="R124" s="341"/>
      <c r="S124" s="342">
        <f t="shared" si="60"/>
        <v>1912.75</v>
      </c>
      <c r="T124" s="139">
        <f t="shared" si="61"/>
        <v>1912.75</v>
      </c>
      <c r="U124" s="139">
        <f t="shared" si="62"/>
        <v>0</v>
      </c>
      <c r="V124" s="11">
        <f t="shared" si="45"/>
        <v>0</v>
      </c>
    </row>
    <row r="125" spans="1:22" ht="13.5" customHeight="1">
      <c r="A125" s="3" t="s">
        <v>40</v>
      </c>
      <c r="B125" s="3" t="s">
        <v>311</v>
      </c>
      <c r="E125" s="3" t="s">
        <v>312</v>
      </c>
      <c r="F125" s="3">
        <v>2011</v>
      </c>
      <c r="G125" s="3">
        <v>7</v>
      </c>
      <c r="H125" s="3">
        <v>0</v>
      </c>
      <c r="I125" s="3" t="s">
        <v>52</v>
      </c>
      <c r="J125" s="3">
        <v>3</v>
      </c>
      <c r="K125" s="3">
        <f t="shared" si="54"/>
        <v>2014</v>
      </c>
      <c r="L125" s="168">
        <f t="shared" si="55"/>
        <v>2014.5833333333333</v>
      </c>
      <c r="M125" s="139">
        <f>16910.03+2292.02</f>
        <v>19202.05</v>
      </c>
      <c r="N125" s="139">
        <f t="shared" si="56"/>
        <v>19202.05</v>
      </c>
      <c r="O125" s="139">
        <f t="shared" si="57"/>
        <v>533.39027777777778</v>
      </c>
      <c r="P125" s="139">
        <f t="shared" si="58"/>
        <v>6400.6833333333334</v>
      </c>
      <c r="Q125" s="342">
        <f t="shared" si="59"/>
        <v>0</v>
      </c>
      <c r="R125" s="341"/>
      <c r="S125" s="342">
        <f t="shared" si="60"/>
        <v>19202.05</v>
      </c>
      <c r="T125" s="139">
        <f t="shared" si="61"/>
        <v>19202.05</v>
      </c>
      <c r="U125" s="139">
        <f t="shared" si="62"/>
        <v>0</v>
      </c>
      <c r="V125" s="11">
        <f t="shared" si="45"/>
        <v>0</v>
      </c>
    </row>
    <row r="126" spans="1:22" ht="13.5" customHeight="1">
      <c r="A126" s="3" t="s">
        <v>40</v>
      </c>
      <c r="B126" s="3" t="s">
        <v>297</v>
      </c>
      <c r="E126" s="3" t="s">
        <v>187</v>
      </c>
      <c r="F126" s="3">
        <v>2011</v>
      </c>
      <c r="G126" s="3">
        <v>8</v>
      </c>
      <c r="H126" s="3">
        <v>0</v>
      </c>
      <c r="I126" s="3" t="s">
        <v>52</v>
      </c>
      <c r="J126" s="3">
        <v>3</v>
      </c>
      <c r="K126" s="3">
        <f t="shared" si="54"/>
        <v>2014</v>
      </c>
      <c r="L126" s="168">
        <f t="shared" si="55"/>
        <v>2014.6666666666667</v>
      </c>
      <c r="M126" s="139">
        <v>5492.32</v>
      </c>
      <c r="N126" s="139">
        <f t="shared" si="56"/>
        <v>5492.32</v>
      </c>
      <c r="O126" s="139">
        <f t="shared" si="57"/>
        <v>152.56444444444443</v>
      </c>
      <c r="P126" s="139">
        <f t="shared" si="58"/>
        <v>1830.7733333333331</v>
      </c>
      <c r="Q126" s="342">
        <f t="shared" si="59"/>
        <v>0</v>
      </c>
      <c r="R126" s="341"/>
      <c r="S126" s="342">
        <f t="shared" si="60"/>
        <v>5492.32</v>
      </c>
      <c r="T126" s="139">
        <f t="shared" si="61"/>
        <v>5492.32</v>
      </c>
      <c r="U126" s="139">
        <f t="shared" si="62"/>
        <v>0</v>
      </c>
      <c r="V126" s="11">
        <f t="shared" si="45"/>
        <v>0</v>
      </c>
    </row>
    <row r="127" spans="1:22" ht="13.5" customHeight="1">
      <c r="A127" s="3" t="s">
        <v>40</v>
      </c>
      <c r="E127" s="3" t="s">
        <v>201</v>
      </c>
      <c r="F127" s="3">
        <v>2011</v>
      </c>
      <c r="G127" s="3">
        <v>9</v>
      </c>
      <c r="H127" s="3">
        <v>0</v>
      </c>
      <c r="I127" s="3" t="s">
        <v>52</v>
      </c>
      <c r="J127" s="3">
        <v>3</v>
      </c>
      <c r="K127" s="3">
        <f t="shared" si="54"/>
        <v>2014</v>
      </c>
      <c r="L127" s="168">
        <f t="shared" si="55"/>
        <v>2014.75</v>
      </c>
      <c r="M127" s="139">
        <v>593.86</v>
      </c>
      <c r="N127" s="139">
        <f t="shared" si="56"/>
        <v>593.86</v>
      </c>
      <c r="O127" s="139">
        <f t="shared" si="57"/>
        <v>16.496111111111112</v>
      </c>
      <c r="P127" s="139">
        <f t="shared" si="58"/>
        <v>197.95333333333335</v>
      </c>
      <c r="Q127" s="342">
        <f t="shared" si="59"/>
        <v>0</v>
      </c>
      <c r="R127" s="341"/>
      <c r="S127" s="342">
        <f t="shared" si="60"/>
        <v>593.86</v>
      </c>
      <c r="T127" s="139">
        <f t="shared" si="61"/>
        <v>593.86</v>
      </c>
      <c r="U127" s="139">
        <f t="shared" si="62"/>
        <v>0</v>
      </c>
      <c r="V127" s="11">
        <f t="shared" si="45"/>
        <v>0</v>
      </c>
    </row>
    <row r="128" spans="1:22" ht="13.5" customHeight="1">
      <c r="A128" s="3" t="s">
        <v>40</v>
      </c>
      <c r="B128" s="3">
        <v>89091</v>
      </c>
      <c r="E128" s="3" t="s">
        <v>226</v>
      </c>
      <c r="F128" s="3">
        <v>2011</v>
      </c>
      <c r="G128" s="3">
        <v>12</v>
      </c>
      <c r="H128" s="3">
        <v>0</v>
      </c>
      <c r="I128" s="3" t="s">
        <v>52</v>
      </c>
      <c r="J128" s="3">
        <v>5</v>
      </c>
      <c r="K128" s="3">
        <f t="shared" si="54"/>
        <v>2016</v>
      </c>
      <c r="L128" s="168">
        <f t="shared" si="55"/>
        <v>2017</v>
      </c>
      <c r="M128" s="139">
        <v>858</v>
      </c>
      <c r="N128" s="139">
        <f t="shared" si="56"/>
        <v>858</v>
      </c>
      <c r="O128" s="139">
        <f t="shared" si="57"/>
        <v>14.299999999999999</v>
      </c>
      <c r="P128" s="139">
        <f t="shared" si="58"/>
        <v>171.6</v>
      </c>
      <c r="Q128" s="342">
        <f t="shared" si="59"/>
        <v>0</v>
      </c>
      <c r="R128" s="341"/>
      <c r="S128" s="342">
        <f t="shared" si="60"/>
        <v>858</v>
      </c>
      <c r="T128" s="139">
        <f t="shared" si="61"/>
        <v>858</v>
      </c>
      <c r="U128" s="139">
        <f t="shared" si="62"/>
        <v>0</v>
      </c>
      <c r="V128" s="11">
        <f t="shared" si="45"/>
        <v>0</v>
      </c>
    </row>
    <row r="129" spans="1:22" ht="13.5" customHeight="1">
      <c r="A129" s="3" t="s">
        <v>40</v>
      </c>
      <c r="B129" s="3">
        <v>105140</v>
      </c>
      <c r="E129" s="3" t="s">
        <v>273</v>
      </c>
      <c r="F129" s="3">
        <v>2013</v>
      </c>
      <c r="G129" s="3">
        <v>6</v>
      </c>
      <c r="H129" s="3">
        <v>0</v>
      </c>
      <c r="I129" s="3" t="s">
        <v>52</v>
      </c>
      <c r="J129" s="3">
        <v>3</v>
      </c>
      <c r="K129" s="3">
        <f t="shared" si="54"/>
        <v>2016</v>
      </c>
      <c r="L129" s="168">
        <f t="shared" si="55"/>
        <v>2016.5</v>
      </c>
      <c r="M129" s="139">
        <v>1020.44</v>
      </c>
      <c r="N129" s="139">
        <f t="shared" si="56"/>
        <v>1020.44</v>
      </c>
      <c r="O129" s="139">
        <f t="shared" si="57"/>
        <v>28.34555555555556</v>
      </c>
      <c r="P129" s="139">
        <f t="shared" si="58"/>
        <v>340.1466666666667</v>
      </c>
      <c r="Q129" s="342">
        <f t="shared" si="59"/>
        <v>0</v>
      </c>
      <c r="R129" s="341"/>
      <c r="S129" s="342">
        <f t="shared" si="60"/>
        <v>1020.44</v>
      </c>
      <c r="T129" s="139">
        <f t="shared" si="61"/>
        <v>1020.44</v>
      </c>
      <c r="U129" s="139">
        <f t="shared" si="62"/>
        <v>0</v>
      </c>
      <c r="V129" s="11">
        <f t="shared" si="45"/>
        <v>0</v>
      </c>
    </row>
    <row r="130" spans="1:22" ht="13.5" customHeight="1">
      <c r="A130" s="3" t="s">
        <v>40</v>
      </c>
      <c r="B130" s="3">
        <v>112769</v>
      </c>
      <c r="E130" s="3" t="s">
        <v>310</v>
      </c>
      <c r="F130" s="3">
        <v>2013</v>
      </c>
      <c r="G130" s="3">
        <v>2</v>
      </c>
      <c r="H130" s="3">
        <v>0</v>
      </c>
      <c r="I130" s="3" t="s">
        <v>52</v>
      </c>
      <c r="J130" s="3">
        <v>3</v>
      </c>
      <c r="K130" s="3">
        <f t="shared" si="54"/>
        <v>2016</v>
      </c>
      <c r="L130" s="168">
        <f t="shared" si="55"/>
        <v>2016.1666666666667</v>
      </c>
      <c r="M130" s="139">
        <v>976.33</v>
      </c>
      <c r="N130" s="139">
        <f t="shared" si="56"/>
        <v>976.33</v>
      </c>
      <c r="O130" s="139">
        <f t="shared" si="57"/>
        <v>27.120277777777776</v>
      </c>
      <c r="P130" s="139">
        <f t="shared" si="58"/>
        <v>325.44333333333333</v>
      </c>
      <c r="Q130" s="342">
        <f t="shared" si="59"/>
        <v>0</v>
      </c>
      <c r="R130" s="341"/>
      <c r="S130" s="342">
        <f t="shared" si="60"/>
        <v>976.33</v>
      </c>
      <c r="T130" s="139">
        <f t="shared" si="61"/>
        <v>976.33</v>
      </c>
      <c r="U130" s="139">
        <f t="shared" si="62"/>
        <v>0</v>
      </c>
      <c r="V130" s="11">
        <f t="shared" si="45"/>
        <v>0</v>
      </c>
    </row>
    <row r="131" spans="1:22" ht="13.5" customHeight="1">
      <c r="A131" s="3" t="s">
        <v>40</v>
      </c>
      <c r="B131" s="3">
        <v>113265</v>
      </c>
      <c r="C131" s="3">
        <v>8</v>
      </c>
      <c r="E131" s="3" t="s">
        <v>305</v>
      </c>
      <c r="F131" s="3">
        <v>2014</v>
      </c>
      <c r="G131" s="3">
        <v>4</v>
      </c>
      <c r="H131" s="3">
        <v>0</v>
      </c>
      <c r="I131" s="3" t="s">
        <v>52</v>
      </c>
      <c r="J131" s="3">
        <v>3</v>
      </c>
      <c r="K131" s="3">
        <f t="shared" si="54"/>
        <v>2017</v>
      </c>
      <c r="L131" s="168">
        <f t="shared" si="55"/>
        <v>2017.3333333333333</v>
      </c>
      <c r="M131" s="139">
        <v>2780.14</v>
      </c>
      <c r="N131" s="139">
        <f t="shared" si="56"/>
        <v>2780.14</v>
      </c>
      <c r="O131" s="139">
        <f t="shared" si="57"/>
        <v>77.226111111111109</v>
      </c>
      <c r="P131" s="139">
        <f t="shared" si="58"/>
        <v>926.71333333333337</v>
      </c>
      <c r="Q131" s="342">
        <f t="shared" si="59"/>
        <v>0</v>
      </c>
      <c r="R131" s="341"/>
      <c r="S131" s="342">
        <f t="shared" si="60"/>
        <v>2780.14</v>
      </c>
      <c r="T131" s="139">
        <f t="shared" si="61"/>
        <v>2780.14</v>
      </c>
      <c r="U131" s="139">
        <f t="shared" si="62"/>
        <v>0</v>
      </c>
      <c r="V131" s="11">
        <f t="shared" si="45"/>
        <v>0</v>
      </c>
    </row>
    <row r="132" spans="1:22" ht="13.5" customHeight="1">
      <c r="A132" s="3" t="s">
        <v>40</v>
      </c>
      <c r="B132" s="3" t="s">
        <v>321</v>
      </c>
      <c r="C132" s="3">
        <f>26+8</f>
        <v>34</v>
      </c>
      <c r="E132" s="3" t="s">
        <v>322</v>
      </c>
      <c r="F132" s="3">
        <v>2015</v>
      </c>
      <c r="G132" s="3">
        <v>2</v>
      </c>
      <c r="H132" s="3">
        <v>0</v>
      </c>
      <c r="I132" s="3" t="s">
        <v>52</v>
      </c>
      <c r="J132" s="3">
        <v>3</v>
      </c>
      <c r="K132" s="3">
        <f t="shared" si="54"/>
        <v>2018</v>
      </c>
      <c r="L132" s="168">
        <f t="shared" si="55"/>
        <v>2018.1666666666667</v>
      </c>
      <c r="M132" s="139">
        <f>2768.16+8597.08</f>
        <v>11365.24</v>
      </c>
      <c r="N132" s="139">
        <f t="shared" si="56"/>
        <v>11365.24</v>
      </c>
      <c r="O132" s="139">
        <f t="shared" si="57"/>
        <v>315.70111111111112</v>
      </c>
      <c r="P132" s="139">
        <f t="shared" si="58"/>
        <v>3788.4133333333334</v>
      </c>
      <c r="Q132" s="342">
        <f t="shared" si="59"/>
        <v>0</v>
      </c>
      <c r="R132" s="341"/>
      <c r="S132" s="342">
        <f t="shared" si="60"/>
        <v>11365.24</v>
      </c>
      <c r="T132" s="139">
        <f t="shared" si="61"/>
        <v>11365.24</v>
      </c>
      <c r="U132" s="139">
        <f t="shared" si="62"/>
        <v>0</v>
      </c>
      <c r="V132" s="11">
        <f t="shared" si="45"/>
        <v>0</v>
      </c>
    </row>
    <row r="133" spans="1:22" ht="13.5" customHeight="1">
      <c r="A133" s="3" t="s">
        <v>40</v>
      </c>
      <c r="B133" s="3">
        <v>120339</v>
      </c>
      <c r="C133" s="3">
        <v>1</v>
      </c>
      <c r="E133" s="3" t="s">
        <v>323</v>
      </c>
      <c r="F133" s="3">
        <v>2015</v>
      </c>
      <c r="G133" s="3">
        <v>2</v>
      </c>
      <c r="H133" s="3">
        <v>0</v>
      </c>
      <c r="I133" s="3" t="s">
        <v>52</v>
      </c>
      <c r="J133" s="3">
        <v>3</v>
      </c>
      <c r="K133" s="3">
        <f t="shared" si="54"/>
        <v>2018</v>
      </c>
      <c r="L133" s="168">
        <f t="shared" si="55"/>
        <v>2018.1666666666667</v>
      </c>
      <c r="M133" s="139">
        <v>747.14</v>
      </c>
      <c r="N133" s="139">
        <f t="shared" si="56"/>
        <v>747.14</v>
      </c>
      <c r="O133" s="139">
        <f t="shared" si="57"/>
        <v>20.753888888888888</v>
      </c>
      <c r="P133" s="139">
        <f t="shared" si="58"/>
        <v>249.04666666666665</v>
      </c>
      <c r="Q133" s="342">
        <f t="shared" si="59"/>
        <v>0</v>
      </c>
      <c r="R133" s="341"/>
      <c r="S133" s="342">
        <f t="shared" si="60"/>
        <v>747.14</v>
      </c>
      <c r="T133" s="139">
        <f t="shared" si="61"/>
        <v>747.14</v>
      </c>
      <c r="U133" s="139">
        <f t="shared" si="62"/>
        <v>0</v>
      </c>
      <c r="V133" s="11">
        <f t="shared" si="45"/>
        <v>0</v>
      </c>
    </row>
    <row r="134" spans="1:22" ht="13.5" customHeight="1">
      <c r="A134" s="3" t="s">
        <v>40</v>
      </c>
      <c r="B134" s="3">
        <v>122827</v>
      </c>
      <c r="C134" s="3">
        <v>3</v>
      </c>
      <c r="E134" s="3" t="s">
        <v>324</v>
      </c>
      <c r="F134" s="3">
        <v>2015</v>
      </c>
      <c r="G134" s="3">
        <v>5</v>
      </c>
      <c r="H134" s="3">
        <v>0</v>
      </c>
      <c r="I134" s="3" t="s">
        <v>52</v>
      </c>
      <c r="J134" s="3">
        <v>3</v>
      </c>
      <c r="K134" s="3">
        <f t="shared" si="54"/>
        <v>2018</v>
      </c>
      <c r="L134" s="168">
        <f t="shared" si="55"/>
        <v>2018.4166666666667</v>
      </c>
      <c r="M134" s="139">
        <v>3126.31</v>
      </c>
      <c r="N134" s="139">
        <f t="shared" si="56"/>
        <v>3126.31</v>
      </c>
      <c r="O134" s="139">
        <f t="shared" si="57"/>
        <v>86.841944444444437</v>
      </c>
      <c r="P134" s="139">
        <f t="shared" si="58"/>
        <v>1042.1033333333332</v>
      </c>
      <c r="Q134" s="342">
        <f t="shared" si="59"/>
        <v>0</v>
      </c>
      <c r="R134" s="341"/>
      <c r="S134" s="342">
        <f t="shared" si="60"/>
        <v>3126.31</v>
      </c>
      <c r="T134" s="139">
        <f t="shared" si="61"/>
        <v>3126.31</v>
      </c>
      <c r="U134" s="139">
        <f t="shared" si="62"/>
        <v>0</v>
      </c>
      <c r="V134" s="11">
        <f t="shared" si="45"/>
        <v>0</v>
      </c>
    </row>
    <row r="135" spans="1:22" ht="13.5" customHeight="1">
      <c r="A135" s="3" t="s">
        <v>40</v>
      </c>
      <c r="B135" s="3">
        <v>127696</v>
      </c>
      <c r="E135" s="3" t="s">
        <v>331</v>
      </c>
      <c r="F135" s="3">
        <v>2015</v>
      </c>
      <c r="G135" s="3">
        <v>11</v>
      </c>
      <c r="H135" s="3">
        <v>0</v>
      </c>
      <c r="I135" s="3" t="s">
        <v>52</v>
      </c>
      <c r="J135" s="3">
        <v>3</v>
      </c>
      <c r="K135" s="3">
        <f t="shared" si="54"/>
        <v>2018</v>
      </c>
      <c r="L135" s="168">
        <f t="shared" si="55"/>
        <v>2018.9166666666667</v>
      </c>
      <c r="M135" s="139">
        <v>864.3</v>
      </c>
      <c r="N135" s="139">
        <f t="shared" si="56"/>
        <v>864.3</v>
      </c>
      <c r="O135" s="139">
        <f t="shared" si="57"/>
        <v>24.008333333333329</v>
      </c>
      <c r="P135" s="139">
        <f t="shared" si="58"/>
        <v>288.09999999999997</v>
      </c>
      <c r="Q135" s="342">
        <f t="shared" si="59"/>
        <v>0</v>
      </c>
      <c r="R135" s="341"/>
      <c r="S135" s="342">
        <f t="shared" si="60"/>
        <v>864.3</v>
      </c>
      <c r="T135" s="139">
        <f t="shared" si="61"/>
        <v>864.3</v>
      </c>
      <c r="U135" s="139">
        <f t="shared" si="62"/>
        <v>0</v>
      </c>
      <c r="V135" s="11">
        <f t="shared" si="45"/>
        <v>0</v>
      </c>
    </row>
    <row r="136" spans="1:22" ht="13.5" customHeight="1">
      <c r="A136" s="3" t="s">
        <v>40</v>
      </c>
      <c r="B136" s="3">
        <v>128907</v>
      </c>
      <c r="E136" s="3" t="s">
        <v>332</v>
      </c>
      <c r="F136" s="3">
        <v>2015</v>
      </c>
      <c r="G136" s="3">
        <v>12</v>
      </c>
      <c r="H136" s="3">
        <v>0</v>
      </c>
      <c r="I136" s="3" t="s">
        <v>52</v>
      </c>
      <c r="J136" s="3">
        <v>3</v>
      </c>
      <c r="K136" s="3">
        <f t="shared" si="54"/>
        <v>2018</v>
      </c>
      <c r="L136" s="168">
        <f t="shared" si="55"/>
        <v>2019</v>
      </c>
      <c r="M136" s="139">
        <v>1141.1300000000001</v>
      </c>
      <c r="N136" s="139">
        <f t="shared" si="56"/>
        <v>1141.1300000000001</v>
      </c>
      <c r="O136" s="139">
        <f t="shared" si="57"/>
        <v>31.698055555555559</v>
      </c>
      <c r="P136" s="139">
        <f t="shared" si="58"/>
        <v>380.37666666666672</v>
      </c>
      <c r="Q136" s="342">
        <f t="shared" si="59"/>
        <v>0</v>
      </c>
      <c r="R136" s="341"/>
      <c r="S136" s="342">
        <f t="shared" si="60"/>
        <v>1141.1300000000001</v>
      </c>
      <c r="T136" s="139">
        <f t="shared" si="61"/>
        <v>1141.1300000000001</v>
      </c>
      <c r="U136" s="139">
        <f t="shared" si="62"/>
        <v>0</v>
      </c>
      <c r="V136" s="11">
        <f t="shared" si="45"/>
        <v>0</v>
      </c>
    </row>
    <row r="137" spans="1:22" ht="13.5" customHeight="1">
      <c r="A137" s="3" t="s">
        <v>40</v>
      </c>
      <c r="B137" s="3">
        <v>129801</v>
      </c>
      <c r="C137" s="3">
        <v>2</v>
      </c>
      <c r="E137" s="3" t="s">
        <v>396</v>
      </c>
      <c r="F137" s="3">
        <v>2016</v>
      </c>
      <c r="G137" s="3">
        <v>1</v>
      </c>
      <c r="H137" s="3">
        <v>0</v>
      </c>
      <c r="I137" s="3" t="s">
        <v>52</v>
      </c>
      <c r="J137" s="3">
        <v>3</v>
      </c>
      <c r="K137" s="3">
        <f t="shared" si="54"/>
        <v>2019</v>
      </c>
      <c r="L137" s="168">
        <f t="shared" si="55"/>
        <v>2019.0833333333333</v>
      </c>
      <c r="M137" s="139">
        <v>780.68</v>
      </c>
      <c r="N137" s="139">
        <f t="shared" si="56"/>
        <v>780.68</v>
      </c>
      <c r="O137" s="139">
        <f t="shared" si="57"/>
        <v>21.685555555555553</v>
      </c>
      <c r="P137" s="139">
        <f t="shared" si="58"/>
        <v>260.22666666666663</v>
      </c>
      <c r="Q137" s="342">
        <f t="shared" si="59"/>
        <v>0</v>
      </c>
      <c r="R137" s="341"/>
      <c r="S137" s="342">
        <f t="shared" si="60"/>
        <v>780.68</v>
      </c>
      <c r="T137" s="139">
        <f t="shared" si="61"/>
        <v>780.68</v>
      </c>
      <c r="U137" s="139">
        <f t="shared" si="62"/>
        <v>0</v>
      </c>
      <c r="V137" s="11">
        <f t="shared" si="45"/>
        <v>0</v>
      </c>
    </row>
    <row r="138" spans="1:22" ht="13.5" customHeight="1">
      <c r="A138" s="3" t="s">
        <v>40</v>
      </c>
      <c r="B138" s="3">
        <v>133016</v>
      </c>
      <c r="C138" s="3">
        <v>20</v>
      </c>
      <c r="E138" s="3" t="s">
        <v>395</v>
      </c>
      <c r="F138" s="3">
        <v>2016</v>
      </c>
      <c r="G138" s="3">
        <v>5</v>
      </c>
      <c r="H138" s="3">
        <v>0</v>
      </c>
      <c r="I138" s="3" t="s">
        <v>52</v>
      </c>
      <c r="J138" s="3">
        <v>3</v>
      </c>
      <c r="K138" s="3">
        <f t="shared" si="54"/>
        <v>2019</v>
      </c>
      <c r="L138" s="168">
        <f t="shared" si="55"/>
        <v>2019.4166666666667</v>
      </c>
      <c r="M138" s="139">
        <v>2417.6999999999998</v>
      </c>
      <c r="N138" s="139">
        <f t="shared" si="56"/>
        <v>2417.6999999999998</v>
      </c>
      <c r="O138" s="139">
        <f t="shared" si="57"/>
        <v>67.158333333333331</v>
      </c>
      <c r="P138" s="139">
        <f t="shared" si="58"/>
        <v>805.9</v>
      </c>
      <c r="Q138" s="342">
        <f t="shared" si="59"/>
        <v>0</v>
      </c>
      <c r="R138" s="341"/>
      <c r="S138" s="342">
        <f t="shared" si="60"/>
        <v>2417.6999999999998</v>
      </c>
      <c r="T138" s="139">
        <f t="shared" si="61"/>
        <v>2417.6999999999998</v>
      </c>
      <c r="U138" s="139">
        <f t="shared" si="62"/>
        <v>0</v>
      </c>
      <c r="V138" s="11">
        <f t="shared" si="45"/>
        <v>0</v>
      </c>
    </row>
    <row r="139" spans="1:22" ht="13.5" customHeight="1">
      <c r="A139" s="3" t="s">
        <v>40</v>
      </c>
      <c r="B139" s="3">
        <v>133017</v>
      </c>
      <c r="E139" s="3" t="s">
        <v>397</v>
      </c>
      <c r="F139" s="3">
        <v>2016</v>
      </c>
      <c r="G139" s="3">
        <v>5</v>
      </c>
      <c r="H139" s="3">
        <v>0</v>
      </c>
      <c r="I139" s="3" t="s">
        <v>52</v>
      </c>
      <c r="J139" s="3">
        <v>3</v>
      </c>
      <c r="K139" s="3">
        <f t="shared" si="54"/>
        <v>2019</v>
      </c>
      <c r="L139" s="168">
        <f t="shared" si="55"/>
        <v>2019.4166666666667</v>
      </c>
      <c r="M139" s="139">
        <v>1121.76</v>
      </c>
      <c r="N139" s="139">
        <f t="shared" si="56"/>
        <v>1121.76</v>
      </c>
      <c r="O139" s="139">
        <f t="shared" si="57"/>
        <v>31.16</v>
      </c>
      <c r="P139" s="139">
        <f t="shared" si="58"/>
        <v>373.92</v>
      </c>
      <c r="Q139" s="342">
        <f t="shared" si="59"/>
        <v>0</v>
      </c>
      <c r="R139" s="341"/>
      <c r="S139" s="342">
        <f t="shared" si="60"/>
        <v>1121.76</v>
      </c>
      <c r="T139" s="139">
        <f t="shared" si="61"/>
        <v>1121.76</v>
      </c>
      <c r="U139" s="139">
        <f t="shared" si="62"/>
        <v>0</v>
      </c>
      <c r="V139" s="11">
        <f t="shared" si="45"/>
        <v>0</v>
      </c>
    </row>
    <row r="140" spans="1:22" ht="13.5" customHeight="1">
      <c r="A140" s="3" t="s">
        <v>40</v>
      </c>
      <c r="B140" s="3">
        <v>165562</v>
      </c>
      <c r="E140" s="3" t="s">
        <v>332</v>
      </c>
      <c r="F140" s="3">
        <v>2016</v>
      </c>
      <c r="G140" s="3">
        <v>4</v>
      </c>
      <c r="H140" s="3">
        <v>0</v>
      </c>
      <c r="I140" s="3" t="s">
        <v>52</v>
      </c>
      <c r="J140" s="3">
        <v>3</v>
      </c>
      <c r="K140" s="3">
        <f t="shared" si="54"/>
        <v>2019</v>
      </c>
      <c r="L140" s="168">
        <f t="shared" si="55"/>
        <v>2019.3333333333333</v>
      </c>
      <c r="M140" s="139">
        <v>1019.16</v>
      </c>
      <c r="N140" s="139">
        <f t="shared" si="56"/>
        <v>1019.16</v>
      </c>
      <c r="O140" s="139">
        <f t="shared" si="57"/>
        <v>28.31</v>
      </c>
      <c r="P140" s="139">
        <f t="shared" si="58"/>
        <v>339.71999999999997</v>
      </c>
      <c r="Q140" s="342">
        <f t="shared" si="59"/>
        <v>0</v>
      </c>
      <c r="R140" s="341"/>
      <c r="S140" s="342">
        <f t="shared" si="60"/>
        <v>1019.16</v>
      </c>
      <c r="T140" s="139">
        <f t="shared" si="61"/>
        <v>1019.16</v>
      </c>
      <c r="U140" s="139">
        <f t="shared" si="62"/>
        <v>0</v>
      </c>
      <c r="V140" s="11">
        <f t="shared" si="45"/>
        <v>0</v>
      </c>
    </row>
    <row r="141" spans="1:22" ht="13.5" customHeight="1">
      <c r="A141" s="3" t="s">
        <v>40</v>
      </c>
      <c r="B141" s="3">
        <v>165855</v>
      </c>
      <c r="E141" s="3" t="s">
        <v>400</v>
      </c>
      <c r="F141" s="3">
        <v>2016</v>
      </c>
      <c r="G141" s="3">
        <v>7</v>
      </c>
      <c r="H141" s="3">
        <v>0</v>
      </c>
      <c r="I141" s="3" t="s">
        <v>52</v>
      </c>
      <c r="J141" s="3">
        <v>3</v>
      </c>
      <c r="K141" s="3">
        <f t="shared" si="54"/>
        <v>2019</v>
      </c>
      <c r="L141" s="168">
        <f t="shared" si="55"/>
        <v>2019.5833333333333</v>
      </c>
      <c r="M141" s="139">
        <v>1237.49</v>
      </c>
      <c r="N141" s="139">
        <f t="shared" si="56"/>
        <v>1237.49</v>
      </c>
      <c r="O141" s="139">
        <f t="shared" si="57"/>
        <v>34.374722222222225</v>
      </c>
      <c r="P141" s="139">
        <f t="shared" si="58"/>
        <v>412.49666666666667</v>
      </c>
      <c r="Q141" s="342">
        <f t="shared" si="59"/>
        <v>0</v>
      </c>
      <c r="R141" s="341"/>
      <c r="S141" s="342">
        <f t="shared" si="60"/>
        <v>1237.49</v>
      </c>
      <c r="T141" s="139">
        <f t="shared" si="61"/>
        <v>1237.49</v>
      </c>
      <c r="U141" s="139">
        <f t="shared" si="62"/>
        <v>0</v>
      </c>
      <c r="V141" s="11">
        <f t="shared" si="45"/>
        <v>0</v>
      </c>
    </row>
    <row r="142" spans="1:22" ht="13.5" customHeight="1">
      <c r="A142" s="3" t="s">
        <v>40</v>
      </c>
      <c r="B142" s="3">
        <v>168021</v>
      </c>
      <c r="C142" s="3">
        <v>8</v>
      </c>
      <c r="E142" s="3" t="s">
        <v>405</v>
      </c>
      <c r="F142" s="3">
        <v>2016</v>
      </c>
      <c r="G142" s="3">
        <v>9</v>
      </c>
      <c r="H142" s="3">
        <v>0</v>
      </c>
      <c r="I142" s="3" t="s">
        <v>52</v>
      </c>
      <c r="J142" s="3">
        <v>3</v>
      </c>
      <c r="K142" s="3">
        <f t="shared" si="54"/>
        <v>2019</v>
      </c>
      <c r="L142" s="168">
        <f t="shared" si="55"/>
        <v>2019.75</v>
      </c>
      <c r="M142" s="139">
        <v>993.08</v>
      </c>
      <c r="N142" s="139">
        <f t="shared" si="56"/>
        <v>993.08</v>
      </c>
      <c r="O142" s="139">
        <f t="shared" si="57"/>
        <v>27.585555555555558</v>
      </c>
      <c r="P142" s="139">
        <f t="shared" si="58"/>
        <v>331.0266666666667</v>
      </c>
      <c r="Q142" s="342">
        <f t="shared" si="59"/>
        <v>0</v>
      </c>
      <c r="R142" s="341"/>
      <c r="S142" s="342">
        <f t="shared" si="60"/>
        <v>993.08</v>
      </c>
      <c r="T142" s="139">
        <f t="shared" si="61"/>
        <v>993.08</v>
      </c>
      <c r="U142" s="139">
        <f t="shared" si="62"/>
        <v>0</v>
      </c>
      <c r="V142" s="11">
        <f t="shared" si="45"/>
        <v>0</v>
      </c>
    </row>
    <row r="143" spans="1:22" ht="13.5" customHeight="1">
      <c r="B143" s="3">
        <v>174545</v>
      </c>
      <c r="E143" s="3" t="s">
        <v>571</v>
      </c>
      <c r="F143" s="3">
        <v>2017</v>
      </c>
      <c r="G143" s="3">
        <v>1</v>
      </c>
      <c r="H143" s="3">
        <v>0</v>
      </c>
      <c r="I143" s="3" t="s">
        <v>52</v>
      </c>
      <c r="J143" s="3">
        <v>3</v>
      </c>
      <c r="K143" s="3">
        <f t="shared" si="54"/>
        <v>2020</v>
      </c>
      <c r="L143" s="168">
        <f t="shared" si="55"/>
        <v>2020.0833333333333</v>
      </c>
      <c r="M143" s="139">
        <v>1197.03</v>
      </c>
      <c r="N143" s="139">
        <f t="shared" si="56"/>
        <v>1197.03</v>
      </c>
      <c r="O143" s="139">
        <f t="shared" si="57"/>
        <v>33.250833333333333</v>
      </c>
      <c r="P143" s="139">
        <f t="shared" si="58"/>
        <v>399.01</v>
      </c>
      <c r="Q143" s="342">
        <f t="shared" si="59"/>
        <v>0</v>
      </c>
      <c r="R143" s="341"/>
      <c r="S143" s="342">
        <f t="shared" si="60"/>
        <v>1197.03</v>
      </c>
      <c r="T143" s="139">
        <f t="shared" si="61"/>
        <v>1197.03</v>
      </c>
      <c r="U143" s="139">
        <f t="shared" si="62"/>
        <v>0</v>
      </c>
      <c r="V143" s="11">
        <f t="shared" si="45"/>
        <v>0</v>
      </c>
    </row>
    <row r="144" spans="1:22" ht="13.5" customHeight="1">
      <c r="B144" s="3">
        <v>180514</v>
      </c>
      <c r="E144" s="3" t="s">
        <v>572</v>
      </c>
      <c r="F144" s="3">
        <v>2017</v>
      </c>
      <c r="G144" s="3">
        <v>1</v>
      </c>
      <c r="H144" s="3">
        <v>0</v>
      </c>
      <c r="I144" s="3" t="s">
        <v>52</v>
      </c>
      <c r="J144" s="3">
        <v>2</v>
      </c>
      <c r="K144" s="3">
        <f t="shared" si="54"/>
        <v>2019</v>
      </c>
      <c r="L144" s="168">
        <f t="shared" si="55"/>
        <v>2019.0833333333333</v>
      </c>
      <c r="M144" s="139">
        <v>6944.72</v>
      </c>
      <c r="N144" s="139">
        <f t="shared" si="56"/>
        <v>6944.72</v>
      </c>
      <c r="O144" s="139">
        <f t="shared" si="57"/>
        <v>289.36333333333334</v>
      </c>
      <c r="P144" s="139">
        <f t="shared" si="58"/>
        <v>3472.36</v>
      </c>
      <c r="Q144" s="342">
        <f t="shared" si="59"/>
        <v>0</v>
      </c>
      <c r="R144" s="341"/>
      <c r="S144" s="342">
        <f t="shared" si="60"/>
        <v>6944.72</v>
      </c>
      <c r="T144" s="139">
        <f t="shared" si="61"/>
        <v>6944.72</v>
      </c>
      <c r="U144" s="139">
        <f t="shared" si="62"/>
        <v>0</v>
      </c>
      <c r="V144" s="11">
        <f t="shared" si="45"/>
        <v>0</v>
      </c>
    </row>
    <row r="145" spans="2:22" ht="13.5" customHeight="1">
      <c r="B145" s="3">
        <v>178939</v>
      </c>
      <c r="E145" s="3" t="s">
        <v>573</v>
      </c>
      <c r="F145" s="3">
        <v>2017</v>
      </c>
      <c r="G145" s="3">
        <v>2</v>
      </c>
      <c r="H145" s="3">
        <v>0</v>
      </c>
      <c r="I145" s="3" t="s">
        <v>52</v>
      </c>
      <c r="J145" s="3">
        <v>5</v>
      </c>
      <c r="K145" s="3">
        <f t="shared" si="54"/>
        <v>2022</v>
      </c>
      <c r="L145" s="168">
        <f t="shared" si="55"/>
        <v>2022.1666666666667</v>
      </c>
      <c r="M145" s="139">
        <v>435.41</v>
      </c>
      <c r="N145" s="139">
        <f t="shared" si="56"/>
        <v>435.41</v>
      </c>
      <c r="O145" s="139">
        <f t="shared" si="57"/>
        <v>7.2568333333333337</v>
      </c>
      <c r="P145" s="139">
        <f t="shared" si="58"/>
        <v>87.082000000000008</v>
      </c>
      <c r="Q145" s="342">
        <f t="shared" si="59"/>
        <v>0</v>
      </c>
      <c r="R145" s="341"/>
      <c r="S145" s="342">
        <f t="shared" si="60"/>
        <v>435.41</v>
      </c>
      <c r="T145" s="139">
        <f t="shared" si="61"/>
        <v>435.41</v>
      </c>
      <c r="U145" s="139">
        <f t="shared" si="62"/>
        <v>0</v>
      </c>
      <c r="V145" s="11">
        <f t="shared" si="45"/>
        <v>0</v>
      </c>
    </row>
    <row r="146" spans="2:22" ht="13.5" customHeight="1">
      <c r="B146" s="3">
        <v>199577</v>
      </c>
      <c r="E146" s="3" t="s">
        <v>595</v>
      </c>
      <c r="F146" s="3">
        <v>2018</v>
      </c>
      <c r="G146" s="3">
        <v>5</v>
      </c>
      <c r="H146" s="3">
        <v>0</v>
      </c>
      <c r="I146" s="3" t="s">
        <v>52</v>
      </c>
      <c r="J146" s="3">
        <v>3</v>
      </c>
      <c r="K146" s="3">
        <f t="shared" si="54"/>
        <v>2021</v>
      </c>
      <c r="L146" s="168">
        <f t="shared" si="55"/>
        <v>2021.4166666666667</v>
      </c>
      <c r="M146" s="139">
        <v>2910</v>
      </c>
      <c r="N146" s="139">
        <f t="shared" si="56"/>
        <v>2910</v>
      </c>
      <c r="O146" s="139">
        <f t="shared" si="57"/>
        <v>80.833333333333329</v>
      </c>
      <c r="P146" s="139">
        <f t="shared" si="58"/>
        <v>970</v>
      </c>
      <c r="Q146" s="342">
        <f t="shared" si="59"/>
        <v>0</v>
      </c>
      <c r="R146" s="341"/>
      <c r="S146" s="342">
        <f t="shared" si="60"/>
        <v>2910</v>
      </c>
      <c r="T146" s="139">
        <f t="shared" si="61"/>
        <v>2910</v>
      </c>
      <c r="U146" s="139">
        <f t="shared" si="62"/>
        <v>0</v>
      </c>
      <c r="V146" s="11">
        <f t="shared" si="45"/>
        <v>0</v>
      </c>
    </row>
    <row r="147" spans="2:22" ht="13.5" customHeight="1">
      <c r="B147" s="3">
        <v>201178</v>
      </c>
      <c r="E147" s="3" t="s">
        <v>906</v>
      </c>
      <c r="F147" s="3">
        <v>2018</v>
      </c>
      <c r="G147" s="3">
        <v>8</v>
      </c>
      <c r="H147" s="3">
        <v>0</v>
      </c>
      <c r="I147" s="3" t="s">
        <v>52</v>
      </c>
      <c r="J147" s="3">
        <v>3</v>
      </c>
      <c r="K147" s="3">
        <f t="shared" si="54"/>
        <v>2021</v>
      </c>
      <c r="L147" s="168">
        <f t="shared" si="55"/>
        <v>2021.6666666666667</v>
      </c>
      <c r="M147" s="139">
        <v>1365.39</v>
      </c>
      <c r="N147" s="139">
        <f>M147-M147*H147</f>
        <v>1365.39</v>
      </c>
      <c r="O147" s="139">
        <f>N147/J147/12</f>
        <v>37.927500000000002</v>
      </c>
      <c r="P147" s="139">
        <f>+O147*12</f>
        <v>455.13</v>
      </c>
      <c r="Q147" s="342">
        <f t="shared" si="59"/>
        <v>0</v>
      </c>
      <c r="R147" s="341"/>
      <c r="S147" s="342">
        <f t="shared" si="60"/>
        <v>1365.39</v>
      </c>
      <c r="T147" s="139">
        <f t="shared" si="61"/>
        <v>1365.39</v>
      </c>
      <c r="U147" s="139">
        <f t="shared" si="62"/>
        <v>0</v>
      </c>
      <c r="V147" s="11">
        <f t="shared" si="45"/>
        <v>0</v>
      </c>
    </row>
    <row r="148" spans="2:22" ht="13.5" customHeight="1">
      <c r="B148" s="3">
        <v>200782</v>
      </c>
      <c r="E148" s="3" t="s">
        <v>907</v>
      </c>
      <c r="F148" s="3">
        <v>2018</v>
      </c>
      <c r="G148" s="3">
        <v>7</v>
      </c>
      <c r="H148" s="3">
        <v>0</v>
      </c>
      <c r="I148" s="3" t="s">
        <v>52</v>
      </c>
      <c r="J148" s="3">
        <v>3</v>
      </c>
      <c r="K148" s="3">
        <f t="shared" si="54"/>
        <v>2021</v>
      </c>
      <c r="L148" s="168">
        <f t="shared" si="55"/>
        <v>2021.5833333333333</v>
      </c>
      <c r="M148" s="139">
        <v>2910</v>
      </c>
      <c r="N148" s="139">
        <f>M148-M148*H148</f>
        <v>2910</v>
      </c>
      <c r="O148" s="139">
        <f>N148/J148/12</f>
        <v>80.833333333333329</v>
      </c>
      <c r="P148" s="139">
        <f>+O148*12</f>
        <v>970</v>
      </c>
      <c r="Q148" s="342">
        <f t="shared" si="59"/>
        <v>0</v>
      </c>
      <c r="R148" s="341"/>
      <c r="S148" s="342">
        <f t="shared" si="60"/>
        <v>2910</v>
      </c>
      <c r="T148" s="139">
        <f t="shared" si="61"/>
        <v>2910</v>
      </c>
      <c r="U148" s="139">
        <f t="shared" si="62"/>
        <v>0</v>
      </c>
      <c r="V148" s="11">
        <f t="shared" si="45"/>
        <v>0</v>
      </c>
    </row>
    <row r="149" spans="2:22" ht="13.5" customHeight="1">
      <c r="B149" s="3">
        <v>222278</v>
      </c>
      <c r="E149" s="3" t="s">
        <v>1050</v>
      </c>
      <c r="F149" s="3">
        <v>2019</v>
      </c>
      <c r="G149" s="3">
        <v>10</v>
      </c>
      <c r="H149" s="3">
        <v>0</v>
      </c>
      <c r="I149" s="3" t="s">
        <v>52</v>
      </c>
      <c r="J149" s="3">
        <v>3</v>
      </c>
      <c r="K149" s="3">
        <f t="shared" si="54"/>
        <v>2022</v>
      </c>
      <c r="L149" s="168">
        <f t="shared" si="55"/>
        <v>2022.8333333333333</v>
      </c>
      <c r="M149" s="139">
        <v>1413.67</v>
      </c>
      <c r="N149" s="139">
        <f>M149-M149*H149</f>
        <v>1413.67</v>
      </c>
      <c r="O149" s="139">
        <f>N149/J149/12</f>
        <v>39.268611111111113</v>
      </c>
      <c r="P149" s="139">
        <f>+O149*12</f>
        <v>471.22333333333336</v>
      </c>
      <c r="Q149" s="342">
        <f t="shared" si="59"/>
        <v>0</v>
      </c>
      <c r="R149" s="341"/>
      <c r="S149" s="342">
        <f t="shared" si="60"/>
        <v>1413.67</v>
      </c>
      <c r="T149" s="139">
        <f t="shared" si="61"/>
        <v>1413.67</v>
      </c>
      <c r="U149" s="139">
        <f t="shared" si="62"/>
        <v>0</v>
      </c>
      <c r="V149" s="11">
        <f t="shared" si="45"/>
        <v>0</v>
      </c>
    </row>
    <row r="150" spans="2:22" ht="13.5" customHeight="1">
      <c r="B150" s="3">
        <v>228218</v>
      </c>
      <c r="E150" s="3" t="s">
        <v>1079</v>
      </c>
      <c r="F150" s="3">
        <v>2020</v>
      </c>
      <c r="G150" s="3">
        <v>1</v>
      </c>
      <c r="H150" s="3">
        <v>0</v>
      </c>
      <c r="I150" s="3" t="s">
        <v>52</v>
      </c>
      <c r="J150" s="3">
        <v>3</v>
      </c>
      <c r="K150" s="3">
        <f>F150+J150</f>
        <v>2023</v>
      </c>
      <c r="L150" s="168">
        <f>+K150+(G150/12)</f>
        <v>2023.0833333333333</v>
      </c>
      <c r="M150" s="139">
        <v>1014.79</v>
      </c>
      <c r="N150" s="139">
        <f>M150-M150*H150</f>
        <v>1014.79</v>
      </c>
      <c r="O150" s="139">
        <f>N150/J150/12</f>
        <v>28.188611111111111</v>
      </c>
      <c r="P150" s="139">
        <f>+O150*12</f>
        <v>338.26333333333332</v>
      </c>
      <c r="Q150" s="342">
        <f t="shared" si="59"/>
        <v>0</v>
      </c>
      <c r="R150" s="341"/>
      <c r="S150" s="342">
        <f t="shared" si="60"/>
        <v>1014.79</v>
      </c>
      <c r="T150" s="139">
        <f t="shared" si="61"/>
        <v>1014.79</v>
      </c>
      <c r="U150" s="139">
        <f t="shared" si="62"/>
        <v>0</v>
      </c>
      <c r="V150" s="11">
        <f>M150-T150</f>
        <v>0</v>
      </c>
    </row>
    <row r="151" spans="2:22" ht="13.5" customHeight="1">
      <c r="B151" s="3" t="s">
        <v>1074</v>
      </c>
      <c r="E151" s="3" t="s">
        <v>1050</v>
      </c>
      <c r="F151" s="3">
        <v>2020</v>
      </c>
      <c r="G151" s="3">
        <v>7</v>
      </c>
      <c r="H151" s="3">
        <v>0</v>
      </c>
      <c r="I151" s="3" t="s">
        <v>52</v>
      </c>
      <c r="J151" s="3">
        <v>3</v>
      </c>
      <c r="K151" s="3">
        <f t="shared" si="54"/>
        <v>2023</v>
      </c>
      <c r="L151" s="168">
        <f t="shared" si="55"/>
        <v>2023.5833333333333</v>
      </c>
      <c r="M151" s="139">
        <f>42.15+1512.14</f>
        <v>1554.2900000000002</v>
      </c>
      <c r="N151" s="139">
        <f t="shared" ref="N151:N159" si="63">M151-M151*H151</f>
        <v>1554.2900000000002</v>
      </c>
      <c r="O151" s="139">
        <f t="shared" ref="O151:O159" si="64">N151/J151/12</f>
        <v>43.174722222222222</v>
      </c>
      <c r="P151" s="139">
        <f t="shared" ref="P151:P159" si="65">+O151*12</f>
        <v>518.09666666666669</v>
      </c>
      <c r="Q151" s="342">
        <f t="shared" si="59"/>
        <v>0</v>
      </c>
      <c r="R151" s="341"/>
      <c r="S151" s="342">
        <f t="shared" si="60"/>
        <v>1554.2900000000002</v>
      </c>
      <c r="T151" s="139">
        <f t="shared" si="61"/>
        <v>1554.2900000000002</v>
      </c>
      <c r="U151" s="139">
        <f t="shared" si="62"/>
        <v>0</v>
      </c>
      <c r="V151" s="11">
        <f t="shared" ref="V151:V159" si="66">M151-T151</f>
        <v>0</v>
      </c>
    </row>
    <row r="152" spans="2:22" ht="13.5" customHeight="1">
      <c r="B152" s="3">
        <v>235802</v>
      </c>
      <c r="E152" s="3" t="s">
        <v>1075</v>
      </c>
      <c r="F152" s="3">
        <v>2020</v>
      </c>
      <c r="G152" s="3">
        <v>7</v>
      </c>
      <c r="H152" s="3">
        <v>0</v>
      </c>
      <c r="I152" s="3" t="s">
        <v>52</v>
      </c>
      <c r="J152" s="3">
        <v>2</v>
      </c>
      <c r="K152" s="3">
        <f t="shared" si="54"/>
        <v>2022</v>
      </c>
      <c r="L152" s="168">
        <f t="shared" si="55"/>
        <v>2022.5833333333333</v>
      </c>
      <c r="M152" s="139">
        <v>2202.67</v>
      </c>
      <c r="N152" s="139">
        <f t="shared" si="63"/>
        <v>2202.67</v>
      </c>
      <c r="O152" s="139">
        <f t="shared" si="64"/>
        <v>91.77791666666667</v>
      </c>
      <c r="P152" s="139">
        <f t="shared" si="65"/>
        <v>1101.335</v>
      </c>
      <c r="Q152" s="342">
        <f t="shared" si="59"/>
        <v>0</v>
      </c>
      <c r="R152" s="341"/>
      <c r="S152" s="342">
        <f t="shared" si="60"/>
        <v>2202.67</v>
      </c>
      <c r="T152" s="139">
        <f t="shared" si="61"/>
        <v>2202.67</v>
      </c>
      <c r="U152" s="139">
        <f t="shared" si="62"/>
        <v>0</v>
      </c>
      <c r="V152" s="11">
        <f t="shared" si="66"/>
        <v>0</v>
      </c>
    </row>
    <row r="153" spans="2:22" ht="13.5" customHeight="1">
      <c r="B153" s="3">
        <v>239583</v>
      </c>
      <c r="E153" s="3" t="s">
        <v>1089</v>
      </c>
      <c r="F153" s="3">
        <v>2020</v>
      </c>
      <c r="G153" s="3">
        <v>9</v>
      </c>
      <c r="H153" s="3">
        <v>0</v>
      </c>
      <c r="I153" s="3" t="s">
        <v>52</v>
      </c>
      <c r="J153" s="3">
        <v>3</v>
      </c>
      <c r="K153" s="3">
        <f t="shared" si="54"/>
        <v>2023</v>
      </c>
      <c r="L153" s="168">
        <f t="shared" si="55"/>
        <v>2023.75</v>
      </c>
      <c r="M153" s="139">
        <v>849.57</v>
      </c>
      <c r="N153" s="139">
        <f t="shared" si="63"/>
        <v>849.57</v>
      </c>
      <c r="O153" s="139">
        <f t="shared" si="64"/>
        <v>23.599166666666665</v>
      </c>
      <c r="P153" s="139">
        <f t="shared" si="65"/>
        <v>283.19</v>
      </c>
      <c r="Q153" s="342">
        <f t="shared" si="59"/>
        <v>0</v>
      </c>
      <c r="R153" s="341"/>
      <c r="S153" s="342">
        <f t="shared" si="60"/>
        <v>849.57</v>
      </c>
      <c r="T153" s="139">
        <f t="shared" si="61"/>
        <v>849.57</v>
      </c>
      <c r="U153" s="139">
        <f t="shared" si="62"/>
        <v>0</v>
      </c>
      <c r="V153" s="11">
        <f t="shared" si="66"/>
        <v>0</v>
      </c>
    </row>
    <row r="154" spans="2:22" ht="13.5" customHeight="1">
      <c r="B154" s="3" t="s">
        <v>1104</v>
      </c>
      <c r="E154" s="3" t="s">
        <v>1105</v>
      </c>
      <c r="F154" s="3">
        <v>2020</v>
      </c>
      <c r="G154" s="3">
        <v>10</v>
      </c>
      <c r="H154" s="3">
        <v>0</v>
      </c>
      <c r="I154" s="3" t="s">
        <v>52</v>
      </c>
      <c r="J154" s="3">
        <v>3</v>
      </c>
      <c r="K154" s="3">
        <f t="shared" si="54"/>
        <v>2023</v>
      </c>
      <c r="L154" s="168">
        <f t="shared" si="55"/>
        <v>2023.8333333333333</v>
      </c>
      <c r="M154" s="139">
        <v>375.84</v>
      </c>
      <c r="N154" s="139">
        <f t="shared" si="63"/>
        <v>375.84</v>
      </c>
      <c r="O154" s="139">
        <f t="shared" si="64"/>
        <v>10.44</v>
      </c>
      <c r="P154" s="139">
        <f t="shared" si="65"/>
        <v>125.28</v>
      </c>
      <c r="Q154" s="342">
        <f t="shared" si="59"/>
        <v>0</v>
      </c>
      <c r="R154" s="341"/>
      <c r="S154" s="342">
        <f t="shared" si="60"/>
        <v>375.84</v>
      </c>
      <c r="T154" s="139">
        <f t="shared" si="61"/>
        <v>375.84</v>
      </c>
      <c r="U154" s="139">
        <f t="shared" si="62"/>
        <v>0</v>
      </c>
      <c r="V154" s="11">
        <f t="shared" si="66"/>
        <v>0</v>
      </c>
    </row>
    <row r="155" spans="2:22" ht="15" customHeight="1">
      <c r="B155" s="3">
        <v>240720</v>
      </c>
      <c r="E155" s="3" t="s">
        <v>1106</v>
      </c>
      <c r="F155" s="3">
        <v>2020</v>
      </c>
      <c r="G155" s="3">
        <v>10</v>
      </c>
      <c r="H155" s="3">
        <v>0</v>
      </c>
      <c r="I155" s="3" t="s">
        <v>52</v>
      </c>
      <c r="J155" s="3">
        <v>3</v>
      </c>
      <c r="K155" s="3">
        <f t="shared" si="54"/>
        <v>2023</v>
      </c>
      <c r="L155" s="168">
        <f t="shared" si="55"/>
        <v>2023.8333333333333</v>
      </c>
      <c r="M155" s="139">
        <v>1187.67</v>
      </c>
      <c r="N155" s="139">
        <f t="shared" si="63"/>
        <v>1187.67</v>
      </c>
      <c r="O155" s="139">
        <f t="shared" si="64"/>
        <v>32.990833333333335</v>
      </c>
      <c r="P155" s="139">
        <f t="shared" si="65"/>
        <v>395.89</v>
      </c>
      <c r="Q155" s="342">
        <f t="shared" si="59"/>
        <v>0</v>
      </c>
      <c r="R155" s="341"/>
      <c r="S155" s="342">
        <f t="shared" si="60"/>
        <v>1187.67</v>
      </c>
      <c r="T155" s="139">
        <f t="shared" si="61"/>
        <v>1187.67</v>
      </c>
      <c r="U155" s="139">
        <f t="shared" si="62"/>
        <v>0</v>
      </c>
      <c r="V155" s="11">
        <f t="shared" si="66"/>
        <v>0</v>
      </c>
    </row>
    <row r="156" spans="2:22" ht="15" customHeight="1">
      <c r="B156" s="3">
        <v>240721</v>
      </c>
      <c r="E156" s="3" t="s">
        <v>1108</v>
      </c>
      <c r="F156" s="3">
        <v>2020</v>
      </c>
      <c r="G156" s="3">
        <v>10</v>
      </c>
      <c r="H156" s="3">
        <v>0</v>
      </c>
      <c r="I156" s="3" t="s">
        <v>52</v>
      </c>
      <c r="J156" s="3">
        <v>3</v>
      </c>
      <c r="K156" s="3">
        <f t="shared" si="54"/>
        <v>2023</v>
      </c>
      <c r="L156" s="168">
        <f t="shared" si="55"/>
        <v>2023.8333333333333</v>
      </c>
      <c r="M156" s="139">
        <v>1282.6600000000001</v>
      </c>
      <c r="N156" s="139">
        <f t="shared" si="63"/>
        <v>1282.6600000000001</v>
      </c>
      <c r="O156" s="139">
        <f t="shared" si="64"/>
        <v>35.629444444444445</v>
      </c>
      <c r="P156" s="139">
        <f t="shared" si="65"/>
        <v>427.55333333333334</v>
      </c>
      <c r="Q156" s="342">
        <f t="shared" si="59"/>
        <v>0</v>
      </c>
      <c r="R156" s="341"/>
      <c r="S156" s="342">
        <f t="shared" si="60"/>
        <v>1282.6600000000001</v>
      </c>
      <c r="T156" s="139">
        <f t="shared" si="61"/>
        <v>1282.6600000000001</v>
      </c>
      <c r="U156" s="139">
        <f t="shared" si="62"/>
        <v>0</v>
      </c>
      <c r="V156" s="11">
        <f t="shared" si="66"/>
        <v>0</v>
      </c>
    </row>
    <row r="157" spans="2:22" ht="15" customHeight="1">
      <c r="B157" s="3" t="s">
        <v>1107</v>
      </c>
      <c r="E157" s="3" t="s">
        <v>1109</v>
      </c>
      <c r="F157" s="3">
        <v>2020</v>
      </c>
      <c r="G157" s="3">
        <v>10</v>
      </c>
      <c r="H157" s="3">
        <v>0</v>
      </c>
      <c r="I157" s="3" t="s">
        <v>52</v>
      </c>
      <c r="J157" s="3">
        <v>3</v>
      </c>
      <c r="K157" s="3">
        <f t="shared" si="54"/>
        <v>2023</v>
      </c>
      <c r="L157" s="168">
        <f t="shared" si="55"/>
        <v>2023.8333333333333</v>
      </c>
      <c r="M157" s="139">
        <v>268.06</v>
      </c>
      <c r="N157" s="139">
        <f t="shared" si="63"/>
        <v>268.06</v>
      </c>
      <c r="O157" s="139">
        <f t="shared" si="64"/>
        <v>7.4461111111111116</v>
      </c>
      <c r="P157" s="139">
        <f t="shared" si="65"/>
        <v>89.353333333333339</v>
      </c>
      <c r="Q157" s="342">
        <f t="shared" si="59"/>
        <v>0</v>
      </c>
      <c r="R157" s="341"/>
      <c r="S157" s="342">
        <f t="shared" si="60"/>
        <v>268.06</v>
      </c>
      <c r="T157" s="139">
        <f t="shared" si="61"/>
        <v>268.06</v>
      </c>
      <c r="U157" s="139">
        <f t="shared" si="62"/>
        <v>0</v>
      </c>
      <c r="V157" s="11">
        <f t="shared" si="66"/>
        <v>0</v>
      </c>
    </row>
    <row r="158" spans="2:22" ht="15" customHeight="1">
      <c r="B158" s="3">
        <v>244751</v>
      </c>
      <c r="E158" s="3" t="s">
        <v>1121</v>
      </c>
      <c r="F158" s="3">
        <v>2020</v>
      </c>
      <c r="G158" s="3">
        <v>12</v>
      </c>
      <c r="H158" s="3">
        <v>0</v>
      </c>
      <c r="I158" s="3" t="s">
        <v>52</v>
      </c>
      <c r="J158" s="3">
        <v>2</v>
      </c>
      <c r="K158" s="3">
        <f t="shared" si="54"/>
        <v>2022</v>
      </c>
      <c r="L158" s="168">
        <f t="shared" si="55"/>
        <v>2023</v>
      </c>
      <c r="M158" s="139">
        <v>2186</v>
      </c>
      <c r="N158" s="139">
        <f t="shared" si="63"/>
        <v>2186</v>
      </c>
      <c r="O158" s="139">
        <f t="shared" si="64"/>
        <v>91.083333333333329</v>
      </c>
      <c r="P158" s="139">
        <f t="shared" si="65"/>
        <v>1093</v>
      </c>
      <c r="Q158" s="342">
        <f t="shared" si="59"/>
        <v>0</v>
      </c>
      <c r="R158" s="341"/>
      <c r="S158" s="342">
        <f t="shared" si="60"/>
        <v>2186</v>
      </c>
      <c r="T158" s="139">
        <f t="shared" si="61"/>
        <v>2186</v>
      </c>
      <c r="U158" s="139">
        <f t="shared" si="62"/>
        <v>0</v>
      </c>
      <c r="V158" s="11">
        <f t="shared" si="66"/>
        <v>0</v>
      </c>
    </row>
    <row r="159" spans="2:22" ht="15" customHeight="1">
      <c r="B159" s="3">
        <v>244752</v>
      </c>
      <c r="E159" s="3" t="s">
        <v>1121</v>
      </c>
      <c r="F159" s="3">
        <v>2020</v>
      </c>
      <c r="G159" s="3">
        <v>12</v>
      </c>
      <c r="H159" s="3">
        <v>0</v>
      </c>
      <c r="I159" s="3" t="s">
        <v>52</v>
      </c>
      <c r="J159" s="3">
        <v>2</v>
      </c>
      <c r="K159" s="3">
        <f t="shared" si="54"/>
        <v>2022</v>
      </c>
      <c r="L159" s="168">
        <f t="shared" si="55"/>
        <v>2023</v>
      </c>
      <c r="M159" s="139">
        <v>6.34</v>
      </c>
      <c r="N159" s="139">
        <f t="shared" si="63"/>
        <v>6.34</v>
      </c>
      <c r="O159" s="139">
        <f t="shared" si="64"/>
        <v>0.26416666666666666</v>
      </c>
      <c r="P159" s="139">
        <f t="shared" si="65"/>
        <v>3.17</v>
      </c>
      <c r="Q159" s="342">
        <f t="shared" si="59"/>
        <v>0</v>
      </c>
      <c r="R159" s="341"/>
      <c r="S159" s="342">
        <f t="shared" si="60"/>
        <v>6.34</v>
      </c>
      <c r="T159" s="139">
        <f t="shared" si="61"/>
        <v>6.34</v>
      </c>
      <c r="U159" s="139">
        <f t="shared" si="62"/>
        <v>0</v>
      </c>
      <c r="V159" s="11">
        <f t="shared" si="66"/>
        <v>0</v>
      </c>
    </row>
    <row r="160" spans="2:22" ht="15" customHeight="1">
      <c r="B160" s="3">
        <v>249798</v>
      </c>
      <c r="E160" s="3" t="s">
        <v>1150</v>
      </c>
      <c r="F160" s="3">
        <v>2021</v>
      </c>
      <c r="G160" s="3">
        <v>3</v>
      </c>
      <c r="H160" s="3">
        <v>0</v>
      </c>
      <c r="I160" s="3" t="s">
        <v>52</v>
      </c>
      <c r="J160" s="3">
        <v>3</v>
      </c>
      <c r="K160" s="3">
        <f t="shared" si="54"/>
        <v>2024</v>
      </c>
      <c r="L160" s="168">
        <f t="shared" si="55"/>
        <v>2024.25</v>
      </c>
      <c r="M160" s="139">
        <v>337.07</v>
      </c>
      <c r="N160" s="139">
        <f t="shared" ref="N160:N169" si="67">M160-M160*H160</f>
        <v>337.07</v>
      </c>
      <c r="O160" s="139">
        <f t="shared" ref="O160:O169" si="68">N160/J160/12</f>
        <v>9.3630555555555564</v>
      </c>
      <c r="P160" s="139">
        <f t="shared" ref="P160:P169" si="69">+O160*12</f>
        <v>112.35666666666668</v>
      </c>
      <c r="Q160" s="342">
        <f t="shared" si="59"/>
        <v>0</v>
      </c>
      <c r="R160" s="341"/>
      <c r="S160" s="342">
        <f t="shared" si="60"/>
        <v>337.07</v>
      </c>
      <c r="T160" s="139">
        <f t="shared" si="61"/>
        <v>337.07</v>
      </c>
      <c r="U160" s="139">
        <f t="shared" ref="U160:U169" si="70">M160-T160</f>
        <v>0</v>
      </c>
      <c r="V160" s="11">
        <f t="shared" ref="V160:V169" si="71">M160-T160</f>
        <v>0</v>
      </c>
    </row>
    <row r="161" spans="2:23" ht="15" customHeight="1">
      <c r="B161" s="3">
        <v>249797</v>
      </c>
      <c r="E161" s="3" t="s">
        <v>1151</v>
      </c>
      <c r="F161" s="3">
        <v>2021</v>
      </c>
      <c r="G161" s="3">
        <v>3</v>
      </c>
      <c r="H161" s="3">
        <v>0</v>
      </c>
      <c r="I161" s="3" t="s">
        <v>52</v>
      </c>
      <c r="J161" s="3">
        <v>3</v>
      </c>
      <c r="K161" s="3">
        <f t="shared" si="54"/>
        <v>2024</v>
      </c>
      <c r="L161" s="168">
        <f t="shared" si="55"/>
        <v>2024.25</v>
      </c>
      <c r="M161" s="139">
        <v>337.07</v>
      </c>
      <c r="N161" s="139">
        <f t="shared" si="67"/>
        <v>337.07</v>
      </c>
      <c r="O161" s="139">
        <f t="shared" si="68"/>
        <v>9.3630555555555564</v>
      </c>
      <c r="P161" s="139">
        <f t="shared" si="69"/>
        <v>112.35666666666668</v>
      </c>
      <c r="Q161" s="342">
        <f t="shared" si="59"/>
        <v>0</v>
      </c>
      <c r="R161" s="341"/>
      <c r="S161" s="342">
        <f t="shared" si="60"/>
        <v>337.07</v>
      </c>
      <c r="T161" s="139">
        <f t="shared" si="61"/>
        <v>337.07</v>
      </c>
      <c r="U161" s="139">
        <f t="shared" si="70"/>
        <v>0</v>
      </c>
      <c r="V161" s="11">
        <f t="shared" si="71"/>
        <v>0</v>
      </c>
    </row>
    <row r="162" spans="2:23" ht="15" customHeight="1">
      <c r="B162" s="3">
        <v>249796</v>
      </c>
      <c r="E162" s="3" t="s">
        <v>1152</v>
      </c>
      <c r="F162" s="3">
        <v>2021</v>
      </c>
      <c r="G162" s="3">
        <v>3</v>
      </c>
      <c r="H162" s="3">
        <v>0</v>
      </c>
      <c r="I162" s="3" t="s">
        <v>52</v>
      </c>
      <c r="J162" s="3">
        <v>3</v>
      </c>
      <c r="K162" s="3">
        <f t="shared" ref="K162:K169" si="72">F162+J162</f>
        <v>2024</v>
      </c>
      <c r="L162" s="168">
        <f t="shared" ref="L162:L169" si="73">+K162+(G162/12)</f>
        <v>2024.25</v>
      </c>
      <c r="M162" s="139">
        <v>337.07</v>
      </c>
      <c r="N162" s="139">
        <f t="shared" si="67"/>
        <v>337.07</v>
      </c>
      <c r="O162" s="139">
        <f t="shared" si="68"/>
        <v>9.3630555555555564</v>
      </c>
      <c r="P162" s="139">
        <f t="shared" si="69"/>
        <v>112.35666666666668</v>
      </c>
      <c r="Q162" s="342">
        <f t="shared" si="59"/>
        <v>0</v>
      </c>
      <c r="R162" s="341"/>
      <c r="S162" s="342">
        <f t="shared" si="60"/>
        <v>337.07</v>
      </c>
      <c r="T162" s="139">
        <f t="shared" si="61"/>
        <v>337.07</v>
      </c>
      <c r="U162" s="139">
        <f t="shared" si="70"/>
        <v>0</v>
      </c>
      <c r="V162" s="11">
        <f t="shared" si="71"/>
        <v>0</v>
      </c>
    </row>
    <row r="163" spans="2:23" ht="15" customHeight="1">
      <c r="B163" s="3">
        <v>249795</v>
      </c>
      <c r="E163" s="3" t="s">
        <v>1153</v>
      </c>
      <c r="F163" s="3">
        <v>2021</v>
      </c>
      <c r="G163" s="3">
        <v>3</v>
      </c>
      <c r="H163" s="3">
        <v>0</v>
      </c>
      <c r="I163" s="3" t="s">
        <v>52</v>
      </c>
      <c r="J163" s="3">
        <v>3</v>
      </c>
      <c r="K163" s="3">
        <f t="shared" si="72"/>
        <v>2024</v>
      </c>
      <c r="L163" s="168">
        <f t="shared" si="73"/>
        <v>2024.25</v>
      </c>
      <c r="M163" s="139">
        <v>337.07</v>
      </c>
      <c r="N163" s="139">
        <f t="shared" si="67"/>
        <v>337.07</v>
      </c>
      <c r="O163" s="139">
        <f t="shared" si="68"/>
        <v>9.3630555555555564</v>
      </c>
      <c r="P163" s="139">
        <f t="shared" si="69"/>
        <v>112.35666666666668</v>
      </c>
      <c r="Q163" s="342">
        <f t="shared" si="59"/>
        <v>0</v>
      </c>
      <c r="R163" s="341"/>
      <c r="S163" s="342">
        <f t="shared" si="60"/>
        <v>337.07</v>
      </c>
      <c r="T163" s="139">
        <f t="shared" si="61"/>
        <v>337.07</v>
      </c>
      <c r="U163" s="139">
        <f t="shared" si="70"/>
        <v>0</v>
      </c>
      <c r="V163" s="11">
        <f t="shared" si="71"/>
        <v>0</v>
      </c>
    </row>
    <row r="164" spans="2:23" ht="15" customHeight="1">
      <c r="B164" s="3">
        <v>249794</v>
      </c>
      <c r="E164" s="3" t="s">
        <v>1154</v>
      </c>
      <c r="F164" s="3">
        <v>2021</v>
      </c>
      <c r="G164" s="3">
        <v>3</v>
      </c>
      <c r="H164" s="3">
        <v>0</v>
      </c>
      <c r="I164" s="3" t="s">
        <v>52</v>
      </c>
      <c r="J164" s="3">
        <v>3</v>
      </c>
      <c r="K164" s="3">
        <f t="shared" si="72"/>
        <v>2024</v>
      </c>
      <c r="L164" s="168">
        <f t="shared" si="73"/>
        <v>2024.25</v>
      </c>
      <c r="M164" s="139">
        <v>337.07</v>
      </c>
      <c r="N164" s="139">
        <f t="shared" si="67"/>
        <v>337.07</v>
      </c>
      <c r="O164" s="139">
        <f t="shared" si="68"/>
        <v>9.3630555555555564</v>
      </c>
      <c r="P164" s="139">
        <f t="shared" si="69"/>
        <v>112.35666666666668</v>
      </c>
      <c r="Q164" s="342">
        <f t="shared" si="59"/>
        <v>0</v>
      </c>
      <c r="R164" s="341"/>
      <c r="S164" s="342">
        <f t="shared" si="60"/>
        <v>337.07</v>
      </c>
      <c r="T164" s="139">
        <f t="shared" si="61"/>
        <v>337.07</v>
      </c>
      <c r="U164" s="139">
        <f t="shared" si="70"/>
        <v>0</v>
      </c>
      <c r="V164" s="11">
        <f t="shared" si="71"/>
        <v>0</v>
      </c>
    </row>
    <row r="165" spans="2:23" ht="15" customHeight="1">
      <c r="B165" s="3">
        <v>249793</v>
      </c>
      <c r="E165" s="3" t="s">
        <v>1155</v>
      </c>
      <c r="F165" s="3">
        <v>2021</v>
      </c>
      <c r="G165" s="3">
        <v>3</v>
      </c>
      <c r="H165" s="3">
        <v>0</v>
      </c>
      <c r="I165" s="3" t="s">
        <v>52</v>
      </c>
      <c r="J165" s="3">
        <v>3</v>
      </c>
      <c r="K165" s="3">
        <f t="shared" si="72"/>
        <v>2024</v>
      </c>
      <c r="L165" s="168">
        <f t="shared" si="73"/>
        <v>2024.25</v>
      </c>
      <c r="M165" s="139">
        <v>337.07</v>
      </c>
      <c r="N165" s="139">
        <f t="shared" si="67"/>
        <v>337.07</v>
      </c>
      <c r="O165" s="139">
        <f t="shared" si="68"/>
        <v>9.3630555555555564</v>
      </c>
      <c r="P165" s="139">
        <f t="shared" si="69"/>
        <v>112.35666666666668</v>
      </c>
      <c r="Q165" s="342">
        <f t="shared" si="59"/>
        <v>0</v>
      </c>
      <c r="R165" s="341"/>
      <c r="S165" s="342">
        <f t="shared" si="60"/>
        <v>337.07</v>
      </c>
      <c r="T165" s="139">
        <f t="shared" si="61"/>
        <v>337.07</v>
      </c>
      <c r="U165" s="139">
        <f t="shared" si="70"/>
        <v>0</v>
      </c>
      <c r="V165" s="11">
        <f t="shared" si="71"/>
        <v>0</v>
      </c>
    </row>
    <row r="166" spans="2:23" ht="15" customHeight="1">
      <c r="B166" s="3">
        <v>249792</v>
      </c>
      <c r="E166" s="3" t="s">
        <v>1156</v>
      </c>
      <c r="F166" s="3">
        <v>2021</v>
      </c>
      <c r="G166" s="3">
        <v>3</v>
      </c>
      <c r="H166" s="3">
        <v>0</v>
      </c>
      <c r="I166" s="3" t="s">
        <v>52</v>
      </c>
      <c r="J166" s="3">
        <v>3</v>
      </c>
      <c r="K166" s="3">
        <f t="shared" si="72"/>
        <v>2024</v>
      </c>
      <c r="L166" s="168">
        <f t="shared" si="73"/>
        <v>2024.25</v>
      </c>
      <c r="M166" s="139">
        <v>337.05</v>
      </c>
      <c r="N166" s="139">
        <f t="shared" si="67"/>
        <v>337.05</v>
      </c>
      <c r="O166" s="139">
        <f t="shared" si="68"/>
        <v>9.3625000000000007</v>
      </c>
      <c r="P166" s="139">
        <f t="shared" si="69"/>
        <v>112.35000000000001</v>
      </c>
      <c r="Q166" s="342">
        <f t="shared" si="59"/>
        <v>0</v>
      </c>
      <c r="R166" s="341"/>
      <c r="S166" s="342">
        <f t="shared" si="60"/>
        <v>337.05</v>
      </c>
      <c r="T166" s="139">
        <f t="shared" si="61"/>
        <v>337.05</v>
      </c>
      <c r="U166" s="139">
        <f t="shared" si="70"/>
        <v>0</v>
      </c>
      <c r="V166" s="11">
        <f t="shared" si="71"/>
        <v>0</v>
      </c>
    </row>
    <row r="167" spans="2:23" ht="15" customHeight="1">
      <c r="B167" s="3">
        <v>249791</v>
      </c>
      <c r="E167" s="3" t="s">
        <v>1157</v>
      </c>
      <c r="F167" s="3">
        <v>2021</v>
      </c>
      <c r="G167" s="3">
        <v>3</v>
      </c>
      <c r="H167" s="3">
        <v>0</v>
      </c>
      <c r="I167" s="3" t="s">
        <v>52</v>
      </c>
      <c r="J167" s="3">
        <v>3</v>
      </c>
      <c r="K167" s="3">
        <f t="shared" si="72"/>
        <v>2024</v>
      </c>
      <c r="L167" s="168">
        <f t="shared" si="73"/>
        <v>2024.25</v>
      </c>
      <c r="M167" s="139">
        <v>337.05</v>
      </c>
      <c r="N167" s="139">
        <f t="shared" si="67"/>
        <v>337.05</v>
      </c>
      <c r="O167" s="139">
        <f t="shared" si="68"/>
        <v>9.3625000000000007</v>
      </c>
      <c r="P167" s="139">
        <f t="shared" si="69"/>
        <v>112.35000000000001</v>
      </c>
      <c r="Q167" s="342">
        <f t="shared" si="59"/>
        <v>0</v>
      </c>
      <c r="R167" s="341"/>
      <c r="S167" s="342">
        <f t="shared" si="60"/>
        <v>337.05</v>
      </c>
      <c r="T167" s="139">
        <f t="shared" si="61"/>
        <v>337.05</v>
      </c>
      <c r="U167" s="139">
        <f t="shared" si="70"/>
        <v>0</v>
      </c>
      <c r="V167" s="11">
        <f t="shared" si="71"/>
        <v>0</v>
      </c>
    </row>
    <row r="168" spans="2:23" ht="15" customHeight="1">
      <c r="B168" s="3">
        <v>249790</v>
      </c>
      <c r="E168" s="3" t="s">
        <v>1158</v>
      </c>
      <c r="F168" s="3">
        <v>2021</v>
      </c>
      <c r="G168" s="3">
        <v>3</v>
      </c>
      <c r="H168" s="3">
        <v>0</v>
      </c>
      <c r="I168" s="3" t="s">
        <v>52</v>
      </c>
      <c r="J168" s="3">
        <v>3</v>
      </c>
      <c r="K168" s="3">
        <f t="shared" si="72"/>
        <v>2024</v>
      </c>
      <c r="L168" s="168">
        <f t="shared" si="73"/>
        <v>2024.25</v>
      </c>
      <c r="M168" s="139">
        <v>337.06</v>
      </c>
      <c r="N168" s="139">
        <f t="shared" si="67"/>
        <v>337.06</v>
      </c>
      <c r="O168" s="139">
        <f t="shared" si="68"/>
        <v>9.3627777777777776</v>
      </c>
      <c r="P168" s="139">
        <f t="shared" si="69"/>
        <v>112.35333333333332</v>
      </c>
      <c r="Q168" s="342">
        <f t="shared" si="59"/>
        <v>0</v>
      </c>
      <c r="R168" s="341"/>
      <c r="S168" s="342">
        <f t="shared" si="60"/>
        <v>337.06</v>
      </c>
      <c r="T168" s="139">
        <f t="shared" si="61"/>
        <v>337.06</v>
      </c>
      <c r="U168" s="139">
        <f t="shared" si="70"/>
        <v>0</v>
      </c>
      <c r="V168" s="11">
        <f t="shared" si="71"/>
        <v>0</v>
      </c>
    </row>
    <row r="169" spans="2:23" ht="15" customHeight="1">
      <c r="B169" s="3">
        <v>249789</v>
      </c>
      <c r="E169" s="3" t="s">
        <v>1159</v>
      </c>
      <c r="F169" s="3">
        <v>2021</v>
      </c>
      <c r="G169" s="3">
        <v>3</v>
      </c>
      <c r="H169" s="3">
        <v>0</v>
      </c>
      <c r="I169" s="3" t="s">
        <v>52</v>
      </c>
      <c r="J169" s="3">
        <v>3</v>
      </c>
      <c r="K169" s="3">
        <f t="shared" si="72"/>
        <v>2024</v>
      </c>
      <c r="L169" s="168">
        <f t="shared" si="73"/>
        <v>2024.25</v>
      </c>
      <c r="M169" s="139">
        <v>337.06</v>
      </c>
      <c r="N169" s="139">
        <f t="shared" si="67"/>
        <v>337.06</v>
      </c>
      <c r="O169" s="139">
        <f t="shared" si="68"/>
        <v>9.3627777777777776</v>
      </c>
      <c r="P169" s="139">
        <f t="shared" si="69"/>
        <v>112.35333333333332</v>
      </c>
      <c r="Q169" s="342">
        <f t="shared" si="59"/>
        <v>0</v>
      </c>
      <c r="R169" s="341"/>
      <c r="S169" s="342">
        <f t="shared" si="60"/>
        <v>337.06</v>
      </c>
      <c r="T169" s="139">
        <f t="shared" si="61"/>
        <v>337.06</v>
      </c>
      <c r="U169" s="139">
        <f t="shared" si="70"/>
        <v>0</v>
      </c>
      <c r="V169" s="11">
        <f t="shared" si="71"/>
        <v>0</v>
      </c>
    </row>
    <row r="170" spans="2:23" ht="13.5" customHeight="1">
      <c r="L170" s="168"/>
      <c r="M170" s="139"/>
      <c r="N170" s="139"/>
      <c r="O170" s="139"/>
      <c r="P170" s="139"/>
      <c r="Q170" s="139"/>
      <c r="R170" s="139"/>
      <c r="S170" s="139"/>
      <c r="T170" s="139"/>
      <c r="U170" s="139"/>
    </row>
    <row r="171" spans="2:23" ht="13.5" customHeight="1">
      <c r="C171" s="3" t="s">
        <v>57</v>
      </c>
      <c r="E171" s="162" t="s">
        <v>145</v>
      </c>
      <c r="F171" s="162"/>
      <c r="G171" s="162"/>
      <c r="H171" s="162"/>
      <c r="I171" s="162"/>
      <c r="J171" s="162"/>
      <c r="K171" s="162"/>
      <c r="L171" s="176"/>
      <c r="M171" s="163">
        <f>SUM(M119:M170)</f>
        <v>167310.9500000001</v>
      </c>
      <c r="N171" s="163">
        <f>SUM(N119:N170)</f>
        <v>167310.9500000001</v>
      </c>
      <c r="O171" s="163">
        <f>SUM(O119:O170)</f>
        <v>3588.4469722222229</v>
      </c>
      <c r="P171" s="163">
        <f>SUM(P119:P170)</f>
        <v>43061.363666666664</v>
      </c>
      <c r="Q171" s="163">
        <f>SUM(Q119:Q170)</f>
        <v>0</v>
      </c>
      <c r="R171" s="163">
        <f>SUM(R120:R170)</f>
        <v>0</v>
      </c>
      <c r="S171" s="163">
        <f>SUM(S119:S170)</f>
        <v>167310.9500000001</v>
      </c>
      <c r="T171" s="163">
        <f>SUM(T119:T170)</f>
        <v>167310.9500000001</v>
      </c>
      <c r="U171" s="163">
        <f>SUM(U119:U170)</f>
        <v>0</v>
      </c>
      <c r="V171" s="163">
        <f>SUM(V119:V170)</f>
        <v>0</v>
      </c>
      <c r="W171" s="163">
        <f>SUM(W119:W170)</f>
        <v>0</v>
      </c>
    </row>
    <row r="172" spans="2:23" ht="13.5" customHeight="1">
      <c r="L172" s="168"/>
      <c r="M172" s="139"/>
      <c r="N172" s="139"/>
      <c r="O172" s="139"/>
      <c r="P172" s="139"/>
      <c r="Q172" s="139"/>
      <c r="R172" s="139"/>
      <c r="S172" s="139"/>
      <c r="T172" s="139"/>
      <c r="U172" s="139"/>
    </row>
    <row r="173" spans="2:23" ht="13.5" customHeight="1">
      <c r="L173" s="168"/>
      <c r="M173" s="139"/>
      <c r="N173" s="139"/>
      <c r="O173" s="139"/>
      <c r="P173" s="139"/>
      <c r="Q173" s="139"/>
      <c r="R173" s="139"/>
      <c r="S173" s="139"/>
      <c r="T173" s="139"/>
      <c r="U173" s="139"/>
    </row>
    <row r="174" spans="2:23" ht="13.5" customHeight="1">
      <c r="E174" s="134" t="s">
        <v>586</v>
      </c>
      <c r="L174" s="168"/>
      <c r="M174" s="139"/>
      <c r="N174" s="139"/>
      <c r="O174" s="139"/>
      <c r="P174" s="139"/>
      <c r="Q174" s="139"/>
      <c r="R174" s="139"/>
      <c r="S174" s="139"/>
      <c r="T174" s="139"/>
      <c r="U174" s="139"/>
    </row>
    <row r="175" spans="2:23" ht="13.5" customHeight="1">
      <c r="B175" s="3">
        <v>173075</v>
      </c>
      <c r="E175" s="3" t="s">
        <v>587</v>
      </c>
      <c r="F175" s="3">
        <v>1998</v>
      </c>
      <c r="G175" s="3">
        <v>12</v>
      </c>
      <c r="H175" s="3">
        <v>1</v>
      </c>
      <c r="I175" s="3" t="s">
        <v>52</v>
      </c>
      <c r="J175" s="3">
        <v>0</v>
      </c>
      <c r="K175" s="3">
        <f>F175+J175</f>
        <v>1998</v>
      </c>
      <c r="L175" s="168">
        <f>+K175+(G175/12)</f>
        <v>1999</v>
      </c>
      <c r="M175" s="139">
        <v>12084.87</v>
      </c>
      <c r="N175" s="139"/>
      <c r="O175" s="183"/>
      <c r="P175" s="139"/>
      <c r="Q175" s="139"/>
      <c r="R175" s="139"/>
      <c r="S175" s="139"/>
      <c r="T175" s="139"/>
      <c r="U175" s="139"/>
    </row>
    <row r="176" spans="2:23" ht="13.5" customHeight="1">
      <c r="L176" s="168"/>
      <c r="M176" s="139"/>
      <c r="N176" s="139"/>
      <c r="O176" s="139"/>
      <c r="P176" s="139"/>
      <c r="Q176" s="139"/>
      <c r="R176" s="139"/>
      <c r="S176" s="139"/>
      <c r="T176" s="139"/>
      <c r="U176" s="139"/>
    </row>
    <row r="177" spans="1:23" ht="13.5" customHeight="1">
      <c r="E177" s="162" t="s">
        <v>588</v>
      </c>
      <c r="F177" s="162"/>
      <c r="G177" s="162"/>
      <c r="H177" s="162"/>
      <c r="I177" s="162"/>
      <c r="J177" s="162"/>
      <c r="K177" s="162"/>
      <c r="L177" s="176"/>
      <c r="M177" s="163">
        <f>+SUM(M175:M176)</f>
        <v>12084.87</v>
      </c>
      <c r="N177" s="163">
        <f t="shared" ref="N177:U177" si="74">+SUM(N175:N176)</f>
        <v>0</v>
      </c>
      <c r="O177" s="163">
        <f t="shared" si="74"/>
        <v>0</v>
      </c>
      <c r="P177" s="163">
        <f t="shared" si="74"/>
        <v>0</v>
      </c>
      <c r="Q177" s="163">
        <f t="shared" si="74"/>
        <v>0</v>
      </c>
      <c r="R177" s="163"/>
      <c r="S177" s="163">
        <f t="shared" si="74"/>
        <v>0</v>
      </c>
      <c r="T177" s="163">
        <f t="shared" si="74"/>
        <v>0</v>
      </c>
      <c r="U177" s="163">
        <f t="shared" si="74"/>
        <v>0</v>
      </c>
    </row>
    <row r="178" spans="1:23" ht="13.5" customHeight="1">
      <c r="L178" s="168"/>
      <c r="M178" s="139"/>
      <c r="N178" s="139"/>
      <c r="O178" s="139"/>
      <c r="P178" s="139"/>
      <c r="Q178" s="139"/>
      <c r="R178" s="139"/>
      <c r="S178" s="139"/>
      <c r="T178" s="139"/>
      <c r="U178" s="139"/>
    </row>
    <row r="179" spans="1:23" ht="13.5" customHeight="1">
      <c r="E179" s="162" t="s">
        <v>887</v>
      </c>
      <c r="F179" s="162"/>
      <c r="G179" s="162"/>
      <c r="H179" s="162"/>
      <c r="I179" s="162"/>
      <c r="J179" s="162"/>
      <c r="K179" s="162"/>
      <c r="L179" s="176"/>
      <c r="M179" s="163">
        <f t="shared" ref="M179:U179" si="75">SUM(M171,M116,M63,M46,M24,M49)</f>
        <v>20447296.461428571</v>
      </c>
      <c r="N179" s="163">
        <f t="shared" si="75"/>
        <v>20447296.461428571</v>
      </c>
      <c r="O179" s="163">
        <f t="shared" si="75"/>
        <v>105007.24792567907</v>
      </c>
      <c r="P179" s="163">
        <f t="shared" si="75"/>
        <v>1260086.9751081488</v>
      </c>
      <c r="Q179" s="163">
        <f t="shared" si="75"/>
        <v>987113.39618378307</v>
      </c>
      <c r="R179" s="163">
        <f t="shared" si="75"/>
        <v>0</v>
      </c>
      <c r="S179" s="163">
        <f t="shared" si="75"/>
        <v>8571112.4791485071</v>
      </c>
      <c r="T179" s="163">
        <f t="shared" si="75"/>
        <v>9600949.875332294</v>
      </c>
      <c r="U179" s="163">
        <f t="shared" si="75"/>
        <v>10846346.586096276</v>
      </c>
      <c r="V179" s="163"/>
      <c r="W179" s="11"/>
    </row>
    <row r="180" spans="1:23" ht="13.5" customHeight="1">
      <c r="L180" s="168"/>
      <c r="M180" s="139"/>
      <c r="N180" s="139"/>
      <c r="O180" s="139"/>
      <c r="P180" s="139"/>
      <c r="Q180" s="139"/>
      <c r="R180" s="139"/>
      <c r="S180" s="139"/>
      <c r="T180" s="139"/>
      <c r="U180" s="139"/>
    </row>
    <row r="181" spans="1:23" ht="13.5" customHeight="1">
      <c r="L181" s="139"/>
      <c r="M181" s="139"/>
      <c r="N181" s="139"/>
      <c r="O181" s="139"/>
      <c r="P181" s="139"/>
      <c r="Q181" s="139"/>
      <c r="R181" s="139"/>
      <c r="S181" s="139"/>
      <c r="T181" s="139"/>
      <c r="U181" s="139"/>
    </row>
    <row r="182" spans="1:23" ht="13.5" customHeight="1">
      <c r="L182" s="139"/>
      <c r="M182" s="139"/>
      <c r="N182" s="139"/>
      <c r="O182" s="139"/>
      <c r="P182" s="139"/>
      <c r="Q182" s="139"/>
      <c r="R182" s="139"/>
      <c r="S182" s="139"/>
      <c r="T182" s="139"/>
      <c r="U182" s="139"/>
    </row>
    <row r="183" spans="1:23" ht="13.5" customHeight="1">
      <c r="E183" s="184" t="s">
        <v>1065</v>
      </c>
      <c r="L183" s="139"/>
      <c r="M183" s="139"/>
      <c r="N183" s="139"/>
      <c r="O183" s="139"/>
      <c r="P183" s="139"/>
      <c r="Q183" s="139"/>
      <c r="R183" s="139"/>
      <c r="S183" s="139"/>
      <c r="T183" s="139"/>
      <c r="U183" s="139"/>
    </row>
    <row r="184" spans="1:23" ht="13.5" customHeight="1">
      <c r="A184" s="3" t="s">
        <v>40</v>
      </c>
      <c r="B184" s="3">
        <v>118197</v>
      </c>
      <c r="C184" s="3">
        <v>13</v>
      </c>
      <c r="E184" s="3" t="s">
        <v>335</v>
      </c>
      <c r="F184" s="3">
        <v>2013</v>
      </c>
      <c r="G184" s="3">
        <v>8</v>
      </c>
      <c r="H184" s="3">
        <v>0</v>
      </c>
      <c r="I184" s="3" t="s">
        <v>52</v>
      </c>
      <c r="J184" s="3">
        <v>7</v>
      </c>
      <c r="K184" s="3">
        <f>F184+J184</f>
        <v>2020</v>
      </c>
      <c r="L184" s="168">
        <f>+K184+(G184/12)</f>
        <v>2020.6666666666667</v>
      </c>
      <c r="M184" s="139">
        <f>+'2111 Other - Orig'!O42</f>
        <v>22845</v>
      </c>
      <c r="N184" s="139">
        <f>M184-M184*H184</f>
        <v>22845</v>
      </c>
      <c r="O184" s="139">
        <f>N184/J184/12</f>
        <v>271.96428571428572</v>
      </c>
      <c r="P184" s="139">
        <f>+O184*12</f>
        <v>3263.5714285714284</v>
      </c>
      <c r="Q184" s="139">
        <f>+IF(L184&lt;=$N$5,0,IF(K184&gt;$N$4,P184,(O184*G184)))</f>
        <v>0</v>
      </c>
      <c r="R184" s="139"/>
      <c r="S184" s="139">
        <f>+IF(Q184=0,M184,IF($N$3-F184&lt;1,0,(($N$3-F184)*P184)))</f>
        <v>22845</v>
      </c>
      <c r="T184" s="139">
        <f>+IF(Q184=0,S184,S184+Q184)</f>
        <v>22845</v>
      </c>
      <c r="U184" s="139">
        <f>+IF(Q184=0,0,((M184-S184)+(M184-T184))/2)</f>
        <v>0</v>
      </c>
      <c r="V184" s="11">
        <f>M184-T184</f>
        <v>0</v>
      </c>
    </row>
    <row r="185" spans="1:23" ht="13.5" customHeight="1">
      <c r="A185" s="180"/>
      <c r="B185" s="180"/>
      <c r="C185" s="180">
        <v>13</v>
      </c>
      <c r="D185" s="180"/>
      <c r="E185" s="180" t="s">
        <v>664</v>
      </c>
      <c r="F185" s="180">
        <v>2017</v>
      </c>
      <c r="G185" s="180">
        <v>10</v>
      </c>
      <c r="H185" s="180">
        <v>0</v>
      </c>
      <c r="I185" s="180" t="s">
        <v>52</v>
      </c>
      <c r="J185" s="180">
        <f>+IF(K184-$N$3&gt;=3,K184-$N$3,3)</f>
        <v>2017</v>
      </c>
      <c r="K185" s="180">
        <f>F185+J185</f>
        <v>4034</v>
      </c>
      <c r="L185" s="181">
        <f>+K185+(G185/12)</f>
        <v>4034.8333333333335</v>
      </c>
      <c r="M185" s="182">
        <f>+'2111 Other - Orig'!M42-'2111 Other'!M184</f>
        <v>5711.25</v>
      </c>
      <c r="N185" s="182">
        <f>M185-M185*H185</f>
        <v>5711.25</v>
      </c>
      <c r="O185" s="182">
        <f>N185/J185/12</f>
        <v>0.23596306395637087</v>
      </c>
      <c r="P185" s="182">
        <f>+O185*12</f>
        <v>2.8315567674764504</v>
      </c>
      <c r="Q185" s="182">
        <f>+IF(L185&lt;=$N$5,0,IF(K185&gt;$N$4,P185,(O185*G185)))</f>
        <v>2.8315567674764504</v>
      </c>
      <c r="R185" s="182"/>
      <c r="S185" s="182">
        <f>+IF(Q185=0,M185,IF($N$3-F185&lt;1,0,(($N$3-F185)*P185)))</f>
        <v>0</v>
      </c>
      <c r="T185" s="182">
        <f>+IF(Q185=0,S185,S185+Q185)</f>
        <v>2.8315567674764504</v>
      </c>
      <c r="U185" s="182">
        <f>+IF(Q185=0,0,((M185-S185)+(M185-T185))/2)</f>
        <v>5709.8342216162619</v>
      </c>
      <c r="V185" s="11">
        <f>M185-T185</f>
        <v>5708.4184432325237</v>
      </c>
    </row>
    <row r="186" spans="1:23" ht="13.5" customHeight="1">
      <c r="A186" s="3" t="s">
        <v>410</v>
      </c>
      <c r="B186" s="3">
        <v>173295</v>
      </c>
      <c r="C186" s="3">
        <v>12</v>
      </c>
      <c r="E186" s="3" t="s">
        <v>477</v>
      </c>
      <c r="F186" s="3">
        <v>2011</v>
      </c>
      <c r="G186" s="3">
        <v>12</v>
      </c>
      <c r="H186" s="3">
        <v>0</v>
      </c>
      <c r="I186" s="3" t="s">
        <v>52</v>
      </c>
      <c r="J186" s="3">
        <v>5</v>
      </c>
      <c r="K186" s="3">
        <f>F186+J186</f>
        <v>2016</v>
      </c>
      <c r="L186" s="168">
        <f>+K186+(G186/12)</f>
        <v>2017</v>
      </c>
      <c r="M186" s="139">
        <v>13318</v>
      </c>
      <c r="N186" s="139">
        <f>M186-M186*H186</f>
        <v>13318</v>
      </c>
      <c r="O186" s="139">
        <f>N186/J186/12</f>
        <v>221.96666666666667</v>
      </c>
      <c r="P186" s="139">
        <f>+O186*12</f>
        <v>2663.6</v>
      </c>
      <c r="Q186" s="139">
        <f>+IF(L186&lt;=$N$5,0,IF(K186&gt;$N$4,P186,(O186*G186)))</f>
        <v>0</v>
      </c>
      <c r="R186" s="139"/>
      <c r="S186" s="139">
        <f>+IF(Q186=0,M186,IF($N$3-F186&lt;1,0,(($N$3-F186)*P186)))</f>
        <v>13318</v>
      </c>
      <c r="T186" s="139">
        <f>+IF(Q186=0,S186,S186+Q186)</f>
        <v>13318</v>
      </c>
      <c r="U186" s="139">
        <f>M186-T186</f>
        <v>0</v>
      </c>
      <c r="V186" s="11">
        <f>M186-T186</f>
        <v>0</v>
      </c>
    </row>
    <row r="187" spans="1:23" ht="13.5" customHeight="1">
      <c r="A187" s="180"/>
      <c r="B187" s="180"/>
      <c r="C187" s="180">
        <v>12</v>
      </c>
      <c r="D187" s="180"/>
      <c r="E187" s="180" t="s">
        <v>665</v>
      </c>
      <c r="F187" s="180">
        <v>2017</v>
      </c>
      <c r="G187" s="180">
        <v>10</v>
      </c>
      <c r="H187" s="180">
        <v>0</v>
      </c>
      <c r="I187" s="180" t="s">
        <v>52</v>
      </c>
      <c r="J187" s="180">
        <f>+IF(K186-$N$3&gt;=3,K186-$N$3,3)</f>
        <v>2013</v>
      </c>
      <c r="K187" s="180">
        <f>F187+J187</f>
        <v>4030</v>
      </c>
      <c r="L187" s="181">
        <f>+K187+(G187/12)</f>
        <v>4030.8333333333335</v>
      </c>
      <c r="M187" s="182">
        <f>19878.1-M186</f>
        <v>6560.0999999999985</v>
      </c>
      <c r="N187" s="182">
        <f>M187-M187*H187</f>
        <v>6560.0999999999985</v>
      </c>
      <c r="O187" s="182">
        <f>N187/J187/12</f>
        <v>0.2715722801788375</v>
      </c>
      <c r="P187" s="182">
        <f>+O187*12</f>
        <v>3.25886736214605</v>
      </c>
      <c r="Q187" s="182">
        <f>+IF(L187&lt;=$N$5,0,IF(K187&gt;$N$4,P187,(O187*G187)))</f>
        <v>3.25886736214605</v>
      </c>
      <c r="R187" s="182"/>
      <c r="S187" s="182">
        <f>+IF(Q187=0,M187,IF($N$3-F187&lt;1,0,(($N$3-F187)*P187)))</f>
        <v>0</v>
      </c>
      <c r="T187" s="182">
        <f>+IF(Q187=0,S187,S187+Q187)</f>
        <v>3.25886736214605</v>
      </c>
      <c r="U187" s="139">
        <f>M187-T187</f>
        <v>6556.8411326378528</v>
      </c>
      <c r="V187" s="11">
        <f>M187-T187</f>
        <v>6556.8411326378528</v>
      </c>
    </row>
    <row r="188" spans="1:23" ht="13.5" customHeight="1">
      <c r="L188" s="129"/>
      <c r="M188" s="129"/>
      <c r="N188" s="129"/>
      <c r="O188" s="129"/>
      <c r="P188" s="129"/>
      <c r="Q188" s="129"/>
      <c r="R188" s="129"/>
      <c r="S188" s="129"/>
      <c r="T188" s="129"/>
      <c r="U188" s="129"/>
    </row>
    <row r="189" spans="1:23" ht="13.5" customHeight="1">
      <c r="L189" s="129"/>
      <c r="M189" s="129"/>
      <c r="N189" s="129"/>
      <c r="O189" s="129"/>
      <c r="P189" s="129"/>
      <c r="Q189" s="129"/>
      <c r="R189" s="129"/>
      <c r="S189" s="129"/>
      <c r="T189" s="129"/>
      <c r="U189" s="129"/>
    </row>
    <row r="190" spans="1:23" ht="13.5" customHeight="1">
      <c r="E190" s="1" t="s">
        <v>1186</v>
      </c>
      <c r="L190" s="129"/>
      <c r="M190" s="129"/>
      <c r="N190" s="129"/>
      <c r="O190" s="129"/>
      <c r="P190" s="129"/>
      <c r="Q190" s="129"/>
      <c r="R190" s="129"/>
      <c r="S190" s="129"/>
      <c r="T190" s="129"/>
      <c r="U190" s="129"/>
    </row>
    <row r="191" spans="1:23" ht="13.5" customHeight="1">
      <c r="A191" s="3" t="s">
        <v>40</v>
      </c>
      <c r="B191" s="3">
        <v>107166</v>
      </c>
      <c r="C191" s="3" t="s">
        <v>300</v>
      </c>
      <c r="E191" s="3" t="s">
        <v>303</v>
      </c>
      <c r="F191" s="3">
        <v>2013</v>
      </c>
      <c r="G191" s="3">
        <v>10</v>
      </c>
      <c r="H191" s="3">
        <v>0</v>
      </c>
      <c r="I191" s="3" t="s">
        <v>52</v>
      </c>
      <c r="J191" s="3">
        <v>5</v>
      </c>
      <c r="K191" s="3">
        <f>F191+J191</f>
        <v>2018</v>
      </c>
      <c r="L191" s="168">
        <f>+K191+(G191/12)</f>
        <v>2018.8333333333333</v>
      </c>
      <c r="M191" s="139">
        <f>(116633.6/84)*9</f>
        <v>12496.457142857143</v>
      </c>
      <c r="N191" s="139">
        <f>M191-M191*H191</f>
        <v>12496.457142857143</v>
      </c>
      <c r="O191" s="139">
        <f>N191/J191/12</f>
        <v>208.27428571428572</v>
      </c>
      <c r="P191" s="139">
        <f>+O191*12</f>
        <v>2499.2914285714287</v>
      </c>
      <c r="Q191" s="139">
        <f>+IF(L191&lt;=$N$5,0,IF(K191&gt;$N$4,P191,(O191*G191)))</f>
        <v>0</v>
      </c>
      <c r="R191" s="139"/>
      <c r="S191" s="139">
        <f>+IF(Q191=0,M191,IF($N$3-F191&lt;1,0,(($N$3-F191)*P191)))</f>
        <v>12496.457142857143</v>
      </c>
      <c r="T191" s="139">
        <f>+IF(Q191=0,S191,S191+Q191)</f>
        <v>12496.457142857143</v>
      </c>
      <c r="U191" s="139">
        <f>M191-T191</f>
        <v>0</v>
      </c>
      <c r="V191" s="11">
        <f>M191-T191</f>
        <v>0</v>
      </c>
    </row>
    <row r="192" spans="1:23" ht="13.5" customHeight="1">
      <c r="L192" s="129"/>
      <c r="M192" s="129"/>
      <c r="N192" s="129"/>
      <c r="O192" s="129"/>
      <c r="P192" s="129"/>
      <c r="Q192" s="129"/>
      <c r="R192" s="129"/>
      <c r="S192" s="129"/>
      <c r="T192" s="129"/>
      <c r="U192" s="129"/>
    </row>
    <row r="193" spans="1:22" ht="13.5" customHeight="1">
      <c r="L193" s="129"/>
      <c r="M193" s="129"/>
      <c r="N193" s="129"/>
      <c r="O193" s="129"/>
      <c r="P193" s="129"/>
      <c r="Q193" s="129"/>
      <c r="R193" s="129"/>
      <c r="S193" s="129"/>
      <c r="T193" s="129"/>
      <c r="U193" s="129"/>
    </row>
    <row r="194" spans="1:22" ht="13.5" customHeight="1">
      <c r="E194" s="1" t="s">
        <v>4100</v>
      </c>
      <c r="L194" s="129"/>
      <c r="M194" s="129"/>
      <c r="N194" s="129"/>
      <c r="O194" s="129"/>
      <c r="P194" s="129"/>
      <c r="Q194" s="129"/>
      <c r="R194" s="129"/>
      <c r="S194" s="129"/>
      <c r="T194" s="129"/>
      <c r="U194" s="129"/>
    </row>
    <row r="195" spans="1:22" ht="13.5" customHeight="1">
      <c r="A195" s="3" t="s">
        <v>40</v>
      </c>
      <c r="B195" s="3">
        <v>17346</v>
      </c>
      <c r="C195" s="3">
        <v>6</v>
      </c>
      <c r="E195" s="3" t="s">
        <v>363</v>
      </c>
      <c r="F195" s="3">
        <v>2002</v>
      </c>
      <c r="G195" s="3">
        <v>11</v>
      </c>
      <c r="H195" s="3">
        <v>0</v>
      </c>
      <c r="I195" s="3" t="s">
        <v>52</v>
      </c>
      <c r="J195" s="3">
        <v>7</v>
      </c>
      <c r="K195" s="3">
        <f>F195+J195</f>
        <v>2009</v>
      </c>
      <c r="L195" s="168">
        <f>+K195+(G195/12)</f>
        <v>2009.9166666666667</v>
      </c>
      <c r="M195" s="139">
        <v>23999.792000000001</v>
      </c>
      <c r="N195" s="139">
        <v>23999.792000000001</v>
      </c>
      <c r="O195" s="139">
        <v>285.71180952380956</v>
      </c>
      <c r="P195" s="139">
        <v>3428.541714285715</v>
      </c>
      <c r="Q195" s="139">
        <v>0</v>
      </c>
      <c r="R195" s="139"/>
      <c r="S195" s="139">
        <v>23999.792000000001</v>
      </c>
      <c r="T195" s="139">
        <v>23999.792000000001</v>
      </c>
      <c r="U195" s="139">
        <v>0</v>
      </c>
      <c r="V195" s="11">
        <v>0</v>
      </c>
    </row>
    <row r="196" spans="1:22" ht="13.5" customHeight="1">
      <c r="A196" s="255"/>
      <c r="B196" s="255"/>
      <c r="C196" s="255">
        <v>6</v>
      </c>
      <c r="D196" s="255"/>
      <c r="E196" s="255" t="s">
        <v>663</v>
      </c>
      <c r="F196" s="255">
        <v>2017</v>
      </c>
      <c r="G196" s="255">
        <v>10</v>
      </c>
      <c r="H196" s="255">
        <v>0</v>
      </c>
      <c r="I196" s="255" t="s">
        <v>52</v>
      </c>
      <c r="J196" s="255">
        <f>+IF(K195-$N$3&gt;=3,K195-$N$3,3)</f>
        <v>2006</v>
      </c>
      <c r="K196" s="255">
        <f>F196+J196</f>
        <v>4023</v>
      </c>
      <c r="L196" s="256">
        <f>+K196+(G196/12)</f>
        <v>4023.8333333333335</v>
      </c>
      <c r="M196" s="257">
        <v>5999.9480000000003</v>
      </c>
      <c r="N196" s="257">
        <v>5999.9480000000003</v>
      </c>
      <c r="O196" s="257">
        <v>166.66522222222224</v>
      </c>
      <c r="P196" s="257">
        <v>1999.9826666666668</v>
      </c>
      <c r="Q196" s="257">
        <v>0</v>
      </c>
      <c r="R196" s="257"/>
      <c r="S196" s="257">
        <v>5999.9480000000003</v>
      </c>
      <c r="T196" s="257">
        <v>5999.9480000000003</v>
      </c>
      <c r="U196" s="258">
        <v>0</v>
      </c>
      <c r="V196" s="259">
        <v>0</v>
      </c>
    </row>
    <row r="197" spans="1:22" ht="13.5" customHeight="1">
      <c r="L197" s="129"/>
      <c r="M197" s="129"/>
      <c r="N197" s="129"/>
      <c r="O197" s="129"/>
      <c r="P197" s="129"/>
      <c r="Q197" s="129"/>
      <c r="R197" s="129"/>
      <c r="S197" s="129"/>
      <c r="T197" s="129"/>
      <c r="U197" s="129"/>
    </row>
    <row r="198" spans="1:22" ht="13.5" customHeight="1">
      <c r="L198" s="129"/>
      <c r="M198" s="129"/>
      <c r="N198" s="129"/>
      <c r="O198" s="129"/>
      <c r="P198" s="129"/>
      <c r="Q198" s="129"/>
      <c r="R198" s="129"/>
      <c r="S198" s="129"/>
      <c r="T198" s="129"/>
      <c r="U198" s="129"/>
    </row>
    <row r="199" spans="1:22" ht="13.5" customHeight="1">
      <c r="L199" s="129"/>
      <c r="M199" s="129"/>
      <c r="N199" s="129"/>
      <c r="O199" s="129"/>
      <c r="P199" s="129"/>
      <c r="Q199" s="129"/>
      <c r="R199" s="129"/>
      <c r="S199" s="129"/>
      <c r="T199" s="129"/>
      <c r="U199" s="129"/>
    </row>
    <row r="200" spans="1:22" ht="13.5" customHeight="1">
      <c r="L200" s="129"/>
      <c r="M200" s="129"/>
      <c r="N200" s="129"/>
      <c r="O200" s="129"/>
      <c r="P200" s="129"/>
      <c r="Q200" s="129"/>
      <c r="R200" s="129"/>
      <c r="S200" s="129"/>
      <c r="T200" s="129"/>
      <c r="U200" s="129"/>
    </row>
    <row r="201" spans="1:22" ht="13.5" customHeight="1"/>
    <row r="202" spans="1:22" ht="13.5" customHeight="1"/>
    <row r="203" spans="1:22" ht="13.5" customHeight="1"/>
    <row r="204" spans="1:22" ht="13.5" customHeight="1"/>
    <row r="205" spans="1:22" ht="13.5" customHeight="1"/>
    <row r="206" spans="1:22" ht="13.5" customHeight="1"/>
    <row r="207" spans="1:22" ht="13.5" customHeight="1"/>
    <row r="208" spans="1:22"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sheetData>
  <autoFilter ref="A11:V179" xr:uid="{00000000-0001-0000-0A00-000000000000}"/>
  <mergeCells count="1">
    <mergeCell ref="F9:G9"/>
  </mergeCells>
  <phoneticPr fontId="0" type="noConversion"/>
  <pageMargins left="0.75" right="0.75" top="1" bottom="1" header="0.5" footer="0.5"/>
  <pageSetup scale="50" fitToHeight="0" orientation="landscape" r:id="rId1"/>
  <headerFooter alignWithMargins="0"/>
  <rowBreaks count="1" manualBreakCount="1">
    <brk id="172" max="20"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8"/>
  <sheetViews>
    <sheetView tabSelected="1" topLeftCell="A100" workbookViewId="0">
      <selection activeCell="H4" sqref="H4:H6"/>
    </sheetView>
  </sheetViews>
  <sheetFormatPr defaultRowHeight="15.75"/>
  <cols>
    <col min="1" max="1" width="25.44140625" customWidth="1"/>
    <col min="2" max="2" width="9.33203125" bestFit="1" customWidth="1"/>
    <col min="3" max="3" width="92.109375" customWidth="1"/>
  </cols>
  <sheetData>
    <row r="1" spans="1:3">
      <c r="A1" t="s">
        <v>243</v>
      </c>
    </row>
    <row r="2" spans="1:3">
      <c r="A2" t="s">
        <v>346</v>
      </c>
    </row>
    <row r="3" spans="1:3">
      <c r="C3" t="s">
        <v>349</v>
      </c>
    </row>
    <row r="6" spans="1:3">
      <c r="A6" t="s">
        <v>342</v>
      </c>
    </row>
    <row r="8" spans="1:3">
      <c r="A8" t="s">
        <v>339</v>
      </c>
      <c r="B8" t="s">
        <v>29</v>
      </c>
      <c r="C8" t="s">
        <v>340</v>
      </c>
    </row>
    <row r="9" spans="1:3">
      <c r="A9" t="s">
        <v>153</v>
      </c>
      <c r="B9">
        <v>724910</v>
      </c>
      <c r="C9" t="s">
        <v>345</v>
      </c>
    </row>
    <row r="10" spans="1:3">
      <c r="A10" t="s">
        <v>304</v>
      </c>
      <c r="B10">
        <v>178988.17</v>
      </c>
      <c r="C10" t="s">
        <v>348</v>
      </c>
    </row>
    <row r="14" spans="1:3">
      <c r="A14" t="s">
        <v>341</v>
      </c>
    </row>
    <row r="16" spans="1:3">
      <c r="A16" t="s">
        <v>339</v>
      </c>
      <c r="B16" t="s">
        <v>29</v>
      </c>
      <c r="C16" t="s">
        <v>340</v>
      </c>
    </row>
    <row r="17" spans="1:3">
      <c r="A17" t="s">
        <v>153</v>
      </c>
      <c r="B17">
        <v>724910</v>
      </c>
      <c r="C17" t="s">
        <v>344</v>
      </c>
    </row>
    <row r="18" spans="1:3">
      <c r="A18" t="s">
        <v>343</v>
      </c>
      <c r="B18">
        <v>924900</v>
      </c>
      <c r="C18" t="s">
        <v>347</v>
      </c>
    </row>
  </sheetData>
  <pageMargins left="0.75" right="0.75" top="1" bottom="1" header="0.5" footer="0.5"/>
  <pageSetup scale="50" orientation="landscape" r:id="rId1"/>
  <headerFooter alignWithMargins="0"/>
  <drawing r:id="rId2"/>
  <legacyDrawing r:id="rId3"/>
  <oleObjects>
    <mc:AlternateContent xmlns:mc="http://schemas.openxmlformats.org/markup-compatibility/2006">
      <mc:Choice Requires="x14">
        <oleObject progId="AcroExch.Document.RDR.11" shapeId="9217" r:id="rId4">
          <objectPr defaultSize="0" autoPict="0" r:id="rId5">
            <anchor moveWithCells="1">
              <from>
                <xdr:col>0</xdr:col>
                <xdr:colOff>0</xdr:colOff>
                <xdr:row>22</xdr:row>
                <xdr:rowOff>0</xdr:rowOff>
              </from>
              <to>
                <xdr:col>2</xdr:col>
                <xdr:colOff>7477125</xdr:colOff>
                <xdr:row>75</xdr:row>
                <xdr:rowOff>0</xdr:rowOff>
              </to>
            </anchor>
          </objectPr>
        </oleObject>
      </mc:Choice>
      <mc:Fallback>
        <oleObject progId="AcroExch.Document.RDR.11" shapeId="9217" r:id="rId4"/>
      </mc:Fallback>
    </mc:AlternateContent>
    <mc:AlternateContent xmlns:mc="http://schemas.openxmlformats.org/markup-compatibility/2006">
      <mc:Choice Requires="x14">
        <oleObject progId="AcroExch.Document.RDR.11" shapeId="9221" r:id="rId6">
          <objectPr defaultSize="0" autoPict="0" r:id="rId7">
            <anchor moveWithCells="1">
              <from>
                <xdr:col>2</xdr:col>
                <xdr:colOff>4857750</xdr:colOff>
                <xdr:row>77</xdr:row>
                <xdr:rowOff>38100</xdr:rowOff>
              </from>
              <to>
                <xdr:col>8</xdr:col>
                <xdr:colOff>695325</xdr:colOff>
                <xdr:row>115</xdr:row>
                <xdr:rowOff>85725</xdr:rowOff>
              </to>
            </anchor>
          </objectPr>
        </oleObject>
      </mc:Choice>
      <mc:Fallback>
        <oleObject progId="AcroExch.Document.RDR.11" shapeId="9221" r:id="rId6"/>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163"/>
  <sheetViews>
    <sheetView tabSelected="1" workbookViewId="0">
      <selection activeCell="H4" sqref="H4:H6"/>
    </sheetView>
  </sheetViews>
  <sheetFormatPr defaultRowHeight="15.75"/>
  <cols>
    <col min="5" max="5" width="38.109375" bestFit="1" customWidth="1"/>
    <col min="8" max="8" width="10" bestFit="1" customWidth="1"/>
  </cols>
  <sheetData>
    <row r="1" spans="1:22" s="3" customFormat="1" ht="15">
      <c r="A1" s="3" t="s">
        <v>40</v>
      </c>
      <c r="B1" s="3">
        <v>115434</v>
      </c>
      <c r="C1" s="3" t="s">
        <v>76</v>
      </c>
      <c r="D1" s="3" t="s">
        <v>350</v>
      </c>
      <c r="E1" s="3" t="s">
        <v>314</v>
      </c>
      <c r="F1" s="3">
        <v>1994</v>
      </c>
      <c r="G1" s="3">
        <v>4</v>
      </c>
      <c r="H1" s="3">
        <v>0</v>
      </c>
      <c r="I1" s="3" t="s">
        <v>52</v>
      </c>
      <c r="J1" s="3">
        <v>7</v>
      </c>
      <c r="K1" s="3">
        <f t="shared" ref="K1:K32" si="0">F1+J1</f>
        <v>2001</v>
      </c>
      <c r="L1" s="139">
        <f t="shared" ref="L1:L32" si="1">+K1+(G1/12)</f>
        <v>2001.3333333333333</v>
      </c>
      <c r="M1" s="139">
        <f>+'2111 Trks - Orig'!P52</f>
        <v>14944.8</v>
      </c>
      <c r="N1" s="139">
        <f t="shared" ref="N1:N32" si="2">M1-M1*H1</f>
        <v>14944.8</v>
      </c>
      <c r="O1" s="139">
        <f t="shared" ref="O1:O32" si="3">N1/J1/12</f>
        <v>177.91428571428571</v>
      </c>
      <c r="P1" s="139">
        <f t="shared" ref="P1:P32" si="4">+O1*12</f>
        <v>2134.9714285714285</v>
      </c>
      <c r="Q1" s="139">
        <f>+IF(L1&lt;='2111 Trks'!$N$5,0,IF(K1&gt;'2111 Trks'!$N$4,P1,(O1*G1)))</f>
        <v>0</v>
      </c>
      <c r="R1" s="139"/>
      <c r="S1" s="139">
        <f>+IF(Q1=0,M1,IF('2111 Trks'!$N$3-F1&lt;1,0,(('2111 Trks'!$N$3-F1)*P1)))</f>
        <v>14944.8</v>
      </c>
      <c r="T1" s="139">
        <f t="shared" ref="T1:T32" si="5">+IF(Q1=0,S1,S1+Q1)</f>
        <v>14944.8</v>
      </c>
      <c r="U1" s="139">
        <f t="shared" ref="U1:U32" si="6">+IF(Q1=0,0,((M1-S1)+(M1-T1))/2)</f>
        <v>0</v>
      </c>
      <c r="V1" s="11">
        <f t="shared" ref="V1:V32" si="7">M1-T1</f>
        <v>0</v>
      </c>
    </row>
    <row r="2" spans="1:22" s="180" customFormat="1" ht="15">
      <c r="D2" s="180" t="s">
        <v>350</v>
      </c>
      <c r="E2" s="180" t="s">
        <v>856</v>
      </c>
      <c r="F2" s="180">
        <v>2017</v>
      </c>
      <c r="G2" s="180">
        <v>10</v>
      </c>
      <c r="H2" s="180">
        <v>0</v>
      </c>
      <c r="I2" s="180" t="s">
        <v>52</v>
      </c>
      <c r="J2" s="180">
        <f>+IF(K1-'2111 Trks'!$N$3&gt;=3,K1-'2111 Trks'!$N$3,3)</f>
        <v>1998</v>
      </c>
      <c r="K2" s="180">
        <f t="shared" si="0"/>
        <v>4015</v>
      </c>
      <c r="L2" s="182">
        <f t="shared" si="1"/>
        <v>4015.8333333333335</v>
      </c>
      <c r="M2" s="182">
        <f>+'2111 Trks - Orig'!N52-'Transfer Trucks'!M1</f>
        <v>3736.2000000000007</v>
      </c>
      <c r="N2" s="182">
        <f t="shared" si="2"/>
        <v>3736.2000000000007</v>
      </c>
      <c r="O2" s="182">
        <f t="shared" si="3"/>
        <v>0.15583083083083085</v>
      </c>
      <c r="P2" s="182">
        <f t="shared" si="4"/>
        <v>1.8699699699699703</v>
      </c>
      <c r="Q2" s="182">
        <f>+IF(L2&lt;='2111 Trks'!$N$5,0,IF(K2&gt;'2111 Trks'!$N$4,P2,(O2*G2)))</f>
        <v>1.8699699699699703</v>
      </c>
      <c r="R2" s="182"/>
      <c r="S2" s="182">
        <f>+IF(Q2=0,M2,IF('2111 Trks'!$N$3-F2&lt;1,0,(('2111 Trks'!$N$3-F2)*P2)))</f>
        <v>0</v>
      </c>
      <c r="T2" s="182">
        <f t="shared" si="5"/>
        <v>1.8699699699699703</v>
      </c>
      <c r="U2" s="182">
        <f t="shared" si="6"/>
        <v>3735.2650150150157</v>
      </c>
      <c r="V2" s="11">
        <f t="shared" si="7"/>
        <v>3734.3300300300307</v>
      </c>
    </row>
    <row r="3" spans="1:22" s="3" customFormat="1" ht="15">
      <c r="A3" s="3" t="s">
        <v>40</v>
      </c>
      <c r="C3" s="3" t="s">
        <v>77</v>
      </c>
      <c r="E3" s="3" t="s">
        <v>80</v>
      </c>
      <c r="F3" s="3">
        <v>1994</v>
      </c>
      <c r="G3" s="3">
        <v>1</v>
      </c>
      <c r="H3" s="3">
        <v>0</v>
      </c>
      <c r="I3" s="3" t="s">
        <v>52</v>
      </c>
      <c r="J3" s="3">
        <v>7</v>
      </c>
      <c r="K3" s="3">
        <f t="shared" si="0"/>
        <v>2001</v>
      </c>
      <c r="L3" s="139">
        <f t="shared" si="1"/>
        <v>2001.0833333333333</v>
      </c>
      <c r="M3" s="139">
        <f>+'2111 Trks - Orig'!P53</f>
        <v>31200</v>
      </c>
      <c r="N3" s="139">
        <f t="shared" si="2"/>
        <v>31200</v>
      </c>
      <c r="O3" s="139">
        <f t="shared" si="3"/>
        <v>371.42857142857139</v>
      </c>
      <c r="P3" s="139">
        <f t="shared" si="4"/>
        <v>4457.1428571428569</v>
      </c>
      <c r="Q3" s="139">
        <f>+IF(L3&lt;='2111 Trks'!$N$5,0,IF(K3&gt;'2111 Trks'!$N$4,P3,(O3*G3)))</f>
        <v>0</v>
      </c>
      <c r="R3" s="139"/>
      <c r="S3" s="139">
        <f>+IF(Q3=0,M3,IF('2111 Trks'!$N$3-F3&lt;1,0,(('2111 Trks'!$N$3-F3)*P3)))</f>
        <v>31200</v>
      </c>
      <c r="T3" s="139">
        <f t="shared" si="5"/>
        <v>31200</v>
      </c>
      <c r="U3" s="139">
        <f t="shared" si="6"/>
        <v>0</v>
      </c>
      <c r="V3" s="11">
        <f t="shared" si="7"/>
        <v>0</v>
      </c>
    </row>
    <row r="4" spans="1:22" s="180" customFormat="1" ht="15">
      <c r="D4" s="180" t="s">
        <v>350</v>
      </c>
      <c r="E4" s="180" t="s">
        <v>856</v>
      </c>
      <c r="F4" s="180">
        <v>2017</v>
      </c>
      <c r="G4" s="180">
        <v>10</v>
      </c>
      <c r="H4" s="180">
        <v>0</v>
      </c>
      <c r="I4" s="180" t="s">
        <v>52</v>
      </c>
      <c r="J4" s="180">
        <f>+IF(K3-'2111 Trks'!$N$3&gt;=3,K3-'2111 Trks'!$N$3,3)</f>
        <v>1998</v>
      </c>
      <c r="K4" s="180">
        <f t="shared" si="0"/>
        <v>4015</v>
      </c>
      <c r="L4" s="182">
        <f t="shared" si="1"/>
        <v>4015.8333333333335</v>
      </c>
      <c r="M4" s="182">
        <f>+'2111 Trks - Orig'!N53-'Transfer Trucks'!M3</f>
        <v>7800</v>
      </c>
      <c r="N4" s="182">
        <f t="shared" si="2"/>
        <v>7800</v>
      </c>
      <c r="O4" s="182">
        <f t="shared" si="3"/>
        <v>0.32532532532532532</v>
      </c>
      <c r="P4" s="182">
        <f t="shared" si="4"/>
        <v>3.9039039039039038</v>
      </c>
      <c r="Q4" s="182">
        <f>+IF(L4&lt;='2111 Trks'!$N$5,0,IF(K4&gt;'2111 Trks'!$N$4,P4,(O4*G4)))</f>
        <v>3.9039039039039038</v>
      </c>
      <c r="R4" s="182"/>
      <c r="S4" s="182">
        <f>+IF(Q4=0,M4,IF('2111 Trks'!$N$3-F4&lt;1,0,(('2111 Trks'!$N$3-F4)*P4)))</f>
        <v>0</v>
      </c>
      <c r="T4" s="182">
        <f t="shared" si="5"/>
        <v>3.9039039039039038</v>
      </c>
      <c r="U4" s="182">
        <f t="shared" si="6"/>
        <v>7798.0480480480483</v>
      </c>
      <c r="V4" s="11">
        <f t="shared" si="7"/>
        <v>7796.0960960960965</v>
      </c>
    </row>
    <row r="5" spans="1:22" s="3" customFormat="1" ht="15">
      <c r="A5" s="3" t="s">
        <v>40</v>
      </c>
      <c r="B5" s="3">
        <v>9536</v>
      </c>
      <c r="C5" s="3" t="s">
        <v>175</v>
      </c>
      <c r="D5" s="3">
        <v>169</v>
      </c>
      <c r="E5" s="3" t="s">
        <v>78</v>
      </c>
      <c r="F5" s="3">
        <v>2000</v>
      </c>
      <c r="G5" s="3">
        <v>1</v>
      </c>
      <c r="H5" s="3">
        <v>0</v>
      </c>
      <c r="I5" s="3" t="s">
        <v>52</v>
      </c>
      <c r="J5" s="3">
        <v>7</v>
      </c>
      <c r="K5" s="3">
        <f t="shared" si="0"/>
        <v>2007</v>
      </c>
      <c r="L5" s="139">
        <f t="shared" si="1"/>
        <v>2007.0833333333333</v>
      </c>
      <c r="M5" s="139">
        <f>+'2111 Trks - Orig'!P55</f>
        <v>5675.8720000000003</v>
      </c>
      <c r="N5" s="139">
        <f t="shared" si="2"/>
        <v>5675.8720000000003</v>
      </c>
      <c r="O5" s="139">
        <f t="shared" si="3"/>
        <v>67.569904761904766</v>
      </c>
      <c r="P5" s="139">
        <f t="shared" si="4"/>
        <v>810.83885714285725</v>
      </c>
      <c r="Q5" s="139">
        <f>+IF(L5&lt;='2111 Trks'!$N$5,0,IF(K5&gt;'2111 Trks'!$N$4,P5,(O5*G5)))</f>
        <v>0</v>
      </c>
      <c r="R5" s="139"/>
      <c r="S5" s="139">
        <f>+IF(Q5=0,M5,IF('2111 Trks'!$N$3-F5&lt;1,0,(('2111 Trks'!$N$3-F5)*P5)))</f>
        <v>5675.8720000000003</v>
      </c>
      <c r="T5" s="139">
        <f t="shared" si="5"/>
        <v>5675.8720000000003</v>
      </c>
      <c r="U5" s="139">
        <f t="shared" si="6"/>
        <v>0</v>
      </c>
      <c r="V5" s="11">
        <f t="shared" si="7"/>
        <v>0</v>
      </c>
    </row>
    <row r="6" spans="1:22" s="180" customFormat="1" ht="15">
      <c r="D6" s="180">
        <v>169</v>
      </c>
      <c r="E6" s="180" t="s">
        <v>857</v>
      </c>
      <c r="F6" s="180">
        <v>2017</v>
      </c>
      <c r="G6" s="180">
        <v>10</v>
      </c>
      <c r="H6" s="180">
        <v>0</v>
      </c>
      <c r="I6" s="180" t="s">
        <v>52</v>
      </c>
      <c r="J6" s="180">
        <f>+IF(K5-'2111 Trks'!$N$3&gt;=3,K5-'2111 Trks'!$N$3,3)</f>
        <v>2004</v>
      </c>
      <c r="K6" s="180">
        <f t="shared" si="0"/>
        <v>4021</v>
      </c>
      <c r="L6" s="182">
        <f t="shared" si="1"/>
        <v>4021.8333333333335</v>
      </c>
      <c r="M6" s="182">
        <f>+'2111 Trks - Orig'!N55-'Transfer Trucks'!M5</f>
        <v>1418.9679999999998</v>
      </c>
      <c r="N6" s="182">
        <f t="shared" si="2"/>
        <v>1418.9679999999998</v>
      </c>
      <c r="O6" s="182">
        <f t="shared" si="3"/>
        <v>5.9005655355954749E-2</v>
      </c>
      <c r="P6" s="182">
        <f t="shared" si="4"/>
        <v>0.70806786427145696</v>
      </c>
      <c r="Q6" s="182">
        <f>+IF(L6&lt;='2111 Trks'!$N$5,0,IF(K6&gt;'2111 Trks'!$N$4,P6,(O6*G6)))</f>
        <v>0.70806786427145696</v>
      </c>
      <c r="R6" s="182"/>
      <c r="S6" s="182">
        <f>+IF(Q6=0,M6,IF('2111 Trks'!$N$3-F6&lt;1,0,(('2111 Trks'!$N$3-F6)*P6)))</f>
        <v>0</v>
      </c>
      <c r="T6" s="182">
        <f t="shared" si="5"/>
        <v>0.70806786427145696</v>
      </c>
      <c r="U6" s="182">
        <f t="shared" si="6"/>
        <v>1418.6139660678641</v>
      </c>
      <c r="V6" s="11">
        <f t="shared" si="7"/>
        <v>1418.2599321357284</v>
      </c>
    </row>
    <row r="7" spans="1:22" s="3" customFormat="1" ht="15">
      <c r="A7" s="3" t="s">
        <v>40</v>
      </c>
      <c r="B7" s="3">
        <v>102347</v>
      </c>
      <c r="C7" s="3" t="s">
        <v>175</v>
      </c>
      <c r="D7" s="3">
        <v>60</v>
      </c>
      <c r="E7" s="3" t="s">
        <v>280</v>
      </c>
      <c r="F7" s="3">
        <v>2002</v>
      </c>
      <c r="G7" s="3">
        <v>6</v>
      </c>
      <c r="H7" s="3">
        <v>0</v>
      </c>
      <c r="I7" s="3" t="s">
        <v>52</v>
      </c>
      <c r="J7" s="3">
        <v>5</v>
      </c>
      <c r="K7" s="3">
        <f t="shared" si="0"/>
        <v>2007</v>
      </c>
      <c r="L7" s="139">
        <f t="shared" si="1"/>
        <v>2007.5</v>
      </c>
      <c r="M7" s="139">
        <f>+'2111 Trks - Orig'!P56</f>
        <v>45639.234199999992</v>
      </c>
      <c r="N7" s="139">
        <f t="shared" si="2"/>
        <v>45639.234199999992</v>
      </c>
      <c r="O7" s="139">
        <f t="shared" si="3"/>
        <v>760.65390333333323</v>
      </c>
      <c r="P7" s="139">
        <f t="shared" si="4"/>
        <v>9127.8468399999983</v>
      </c>
      <c r="Q7" s="139">
        <f>+IF(L7&lt;='2111 Trks'!$N$5,0,IF(K7&gt;'2111 Trks'!$N$4,P7,(O7*G7)))</f>
        <v>0</v>
      </c>
      <c r="R7" s="139"/>
      <c r="S7" s="139">
        <f>+IF(Q7=0,M7,IF('2111 Trks'!$N$3-F7&lt;1,0,(('2111 Trks'!$N$3-F7)*P7)))</f>
        <v>45639.234199999992</v>
      </c>
      <c r="T7" s="139">
        <f t="shared" si="5"/>
        <v>45639.234199999992</v>
      </c>
      <c r="U7" s="139">
        <f t="shared" si="6"/>
        <v>0</v>
      </c>
      <c r="V7" s="11">
        <f t="shared" si="7"/>
        <v>0</v>
      </c>
    </row>
    <row r="8" spans="1:22" s="180" customFormat="1" ht="15">
      <c r="D8" s="180">
        <v>60</v>
      </c>
      <c r="E8" s="180" t="s">
        <v>858</v>
      </c>
      <c r="F8" s="180">
        <v>2017</v>
      </c>
      <c r="G8" s="180">
        <v>10</v>
      </c>
      <c r="H8" s="180">
        <v>0</v>
      </c>
      <c r="I8" s="180" t="s">
        <v>52</v>
      </c>
      <c r="J8" s="180">
        <f>+IF(K7-'2111 Trks'!$N$3&gt;=3,K7-'2111 Trks'!$N$3,3)</f>
        <v>2004</v>
      </c>
      <c r="K8" s="180">
        <f t="shared" si="0"/>
        <v>4021</v>
      </c>
      <c r="L8" s="182">
        <f t="shared" si="1"/>
        <v>4021.8333333333335</v>
      </c>
      <c r="M8" s="182">
        <f>+'2111 Trks - Orig'!N56-'Transfer Trucks'!M7</f>
        <v>22479.025800000003</v>
      </c>
      <c r="N8" s="182">
        <f t="shared" si="2"/>
        <v>22479.025800000003</v>
      </c>
      <c r="O8" s="182">
        <f t="shared" si="3"/>
        <v>0.93475656187624756</v>
      </c>
      <c r="P8" s="182">
        <f t="shared" si="4"/>
        <v>11.217078742514971</v>
      </c>
      <c r="Q8" s="182">
        <f>+IF(L8&lt;='2111 Trks'!$N$5,0,IF(K8&gt;'2111 Trks'!$N$4,P8,(O8*G8)))</f>
        <v>11.217078742514971</v>
      </c>
      <c r="R8" s="182"/>
      <c r="S8" s="182">
        <f>+IF(Q8=0,M8,IF('2111 Trks'!$N$3-F8&lt;1,0,(('2111 Trks'!$N$3-F8)*P8)))</f>
        <v>0</v>
      </c>
      <c r="T8" s="182">
        <f t="shared" si="5"/>
        <v>11.217078742514971</v>
      </c>
      <c r="U8" s="182">
        <f t="shared" si="6"/>
        <v>22473.417260628747</v>
      </c>
      <c r="V8" s="11">
        <f t="shared" si="7"/>
        <v>22467.808721257486</v>
      </c>
    </row>
    <row r="9" spans="1:22" s="3" customFormat="1" ht="15">
      <c r="A9" s="3" t="s">
        <v>40</v>
      </c>
      <c r="B9" s="3">
        <v>9536</v>
      </c>
      <c r="C9" s="3" t="s">
        <v>175</v>
      </c>
      <c r="D9" s="3">
        <v>169</v>
      </c>
      <c r="E9" s="3" t="s">
        <v>79</v>
      </c>
      <c r="F9" s="3">
        <v>2003</v>
      </c>
      <c r="G9" s="3">
        <v>1</v>
      </c>
      <c r="H9" s="3">
        <v>0</v>
      </c>
      <c r="I9" s="3" t="s">
        <v>52</v>
      </c>
      <c r="J9" s="3">
        <v>5</v>
      </c>
      <c r="K9" s="3">
        <f t="shared" si="0"/>
        <v>2008</v>
      </c>
      <c r="L9" s="139">
        <f t="shared" si="1"/>
        <v>2008.0833333333333</v>
      </c>
      <c r="M9" s="139">
        <f>+'2111 Trks - Orig'!P57</f>
        <v>35175</v>
      </c>
      <c r="N9" s="139">
        <f t="shared" si="2"/>
        <v>35175</v>
      </c>
      <c r="O9" s="139">
        <f t="shared" si="3"/>
        <v>586.25</v>
      </c>
      <c r="P9" s="139">
        <f t="shared" si="4"/>
        <v>7035</v>
      </c>
      <c r="Q9" s="139">
        <f>+IF(L9&lt;='2111 Trks'!$N$5,0,IF(K9&gt;'2111 Trks'!$N$4,P9,(O9*G9)))</f>
        <v>0</v>
      </c>
      <c r="R9" s="139"/>
      <c r="S9" s="139">
        <f>+IF(Q9=0,M9,IF('2111 Trks'!$N$3-F9&lt;1,0,(('2111 Trks'!$N$3-F9)*P9)))</f>
        <v>35175</v>
      </c>
      <c r="T9" s="139">
        <f t="shared" si="5"/>
        <v>35175</v>
      </c>
      <c r="U9" s="139">
        <f t="shared" si="6"/>
        <v>0</v>
      </c>
      <c r="V9" s="11">
        <f t="shared" si="7"/>
        <v>0</v>
      </c>
    </row>
    <row r="10" spans="1:22" s="180" customFormat="1" ht="15">
      <c r="D10" s="180">
        <v>169</v>
      </c>
      <c r="E10" s="180" t="s">
        <v>857</v>
      </c>
      <c r="F10" s="180">
        <v>2017</v>
      </c>
      <c r="G10" s="180">
        <v>10</v>
      </c>
      <c r="H10" s="180">
        <v>0</v>
      </c>
      <c r="I10" s="180" t="s">
        <v>52</v>
      </c>
      <c r="J10" s="180">
        <f>+IF(K9-'2111 Trks'!$N$3&gt;=3,K9-'2111 Trks'!$N$3,3)</f>
        <v>2005</v>
      </c>
      <c r="K10" s="180">
        <f t="shared" si="0"/>
        <v>4022</v>
      </c>
      <c r="L10" s="182">
        <f t="shared" si="1"/>
        <v>4022.8333333333335</v>
      </c>
      <c r="M10" s="182">
        <f>+'2111 Trks - Orig'!N57-'Transfer Trucks'!M9</f>
        <v>17325</v>
      </c>
      <c r="N10" s="182">
        <f t="shared" si="2"/>
        <v>17325</v>
      </c>
      <c r="O10" s="182">
        <f t="shared" si="3"/>
        <v>0.72007481296758102</v>
      </c>
      <c r="P10" s="182">
        <f t="shared" si="4"/>
        <v>8.6408977556109718</v>
      </c>
      <c r="Q10" s="182">
        <f>+IF(L10&lt;='2111 Trks'!$N$5,0,IF(K10&gt;'2111 Trks'!$N$4,P10,(O10*G10)))</f>
        <v>8.6408977556109718</v>
      </c>
      <c r="R10" s="182"/>
      <c r="S10" s="182">
        <f>+IF(Q10=0,M10,IF('2111 Trks'!$N$3-F10&lt;1,0,(('2111 Trks'!$N$3-F10)*P10)))</f>
        <v>0</v>
      </c>
      <c r="T10" s="182">
        <f t="shared" si="5"/>
        <v>8.6408977556109718</v>
      </c>
      <c r="U10" s="182">
        <f t="shared" si="6"/>
        <v>17320.679551122194</v>
      </c>
      <c r="V10" s="11">
        <f t="shared" si="7"/>
        <v>17316.359102244391</v>
      </c>
    </row>
    <row r="11" spans="1:22" s="3" customFormat="1" ht="15">
      <c r="A11" s="3" t="s">
        <v>40</v>
      </c>
      <c r="B11" s="3">
        <v>9537</v>
      </c>
      <c r="C11" s="3" t="s">
        <v>175</v>
      </c>
      <c r="D11" s="3">
        <v>168</v>
      </c>
      <c r="E11" s="3" t="s">
        <v>79</v>
      </c>
      <c r="F11" s="3">
        <v>2003</v>
      </c>
      <c r="G11" s="3">
        <v>1</v>
      </c>
      <c r="H11" s="3">
        <v>0</v>
      </c>
      <c r="I11" s="3" t="s">
        <v>52</v>
      </c>
      <c r="J11" s="3">
        <v>5</v>
      </c>
      <c r="K11" s="3">
        <f t="shared" si="0"/>
        <v>2008</v>
      </c>
      <c r="L11" s="139">
        <f t="shared" si="1"/>
        <v>2008.0833333333333</v>
      </c>
      <c r="M11" s="139">
        <f>+'2111 Trks - Orig'!P58</f>
        <v>35175</v>
      </c>
      <c r="N11" s="139">
        <f t="shared" si="2"/>
        <v>35175</v>
      </c>
      <c r="O11" s="139">
        <f t="shared" si="3"/>
        <v>586.25</v>
      </c>
      <c r="P11" s="139">
        <f t="shared" si="4"/>
        <v>7035</v>
      </c>
      <c r="Q11" s="139">
        <f>+IF(L11&lt;='2111 Trks'!$N$5,0,IF(K11&gt;'2111 Trks'!$N$4,P11,(O11*G11)))</f>
        <v>0</v>
      </c>
      <c r="R11" s="139"/>
      <c r="S11" s="139">
        <f>+IF(Q11=0,M11,IF('2111 Trks'!$N$3-F11&lt;1,0,(('2111 Trks'!$N$3-F11)*P11)))</f>
        <v>35175</v>
      </c>
      <c r="T11" s="139">
        <f t="shared" si="5"/>
        <v>35175</v>
      </c>
      <c r="U11" s="139">
        <f t="shared" si="6"/>
        <v>0</v>
      </c>
      <c r="V11" s="11">
        <f t="shared" si="7"/>
        <v>0</v>
      </c>
    </row>
    <row r="12" spans="1:22" s="180" customFormat="1" ht="15">
      <c r="D12" s="180">
        <v>168</v>
      </c>
      <c r="E12" s="180" t="s">
        <v>859</v>
      </c>
      <c r="F12" s="180">
        <v>2017</v>
      </c>
      <c r="G12" s="180">
        <v>10</v>
      </c>
      <c r="H12" s="180">
        <v>0</v>
      </c>
      <c r="I12" s="180" t="s">
        <v>52</v>
      </c>
      <c r="J12" s="180">
        <f>+IF(K11-'2111 Trks'!$N$3&gt;=3,K11-'2111 Trks'!$N$3,3)</f>
        <v>2005</v>
      </c>
      <c r="K12" s="180">
        <f t="shared" si="0"/>
        <v>4022</v>
      </c>
      <c r="L12" s="182">
        <f t="shared" si="1"/>
        <v>4022.8333333333335</v>
      </c>
      <c r="M12" s="182">
        <f>+'2111 Trks - Orig'!N58-'Transfer Trucks'!M11</f>
        <v>17325</v>
      </c>
      <c r="N12" s="182">
        <f t="shared" si="2"/>
        <v>17325</v>
      </c>
      <c r="O12" s="182">
        <f t="shared" si="3"/>
        <v>0.72007481296758102</v>
      </c>
      <c r="P12" s="182">
        <f t="shared" si="4"/>
        <v>8.6408977556109718</v>
      </c>
      <c r="Q12" s="182">
        <f>+IF(L12&lt;='2111 Trks'!$N$5,0,IF(K12&gt;'2111 Trks'!$N$4,P12,(O12*G12)))</f>
        <v>8.6408977556109718</v>
      </c>
      <c r="R12" s="182"/>
      <c r="S12" s="182">
        <f>+IF(Q12=0,M12,IF('2111 Trks'!$N$3-F12&lt;1,0,(('2111 Trks'!$N$3-F12)*P12)))</f>
        <v>0</v>
      </c>
      <c r="T12" s="182">
        <f t="shared" si="5"/>
        <v>8.6408977556109718</v>
      </c>
      <c r="U12" s="182">
        <f t="shared" si="6"/>
        <v>17320.679551122194</v>
      </c>
      <c r="V12" s="11">
        <f t="shared" si="7"/>
        <v>17316.359102244391</v>
      </c>
    </row>
    <row r="13" spans="1:22" s="3" customFormat="1" ht="15">
      <c r="A13" s="3" t="s">
        <v>40</v>
      </c>
      <c r="B13" s="3">
        <v>107009</v>
      </c>
      <c r="C13" s="3" t="s">
        <v>281</v>
      </c>
      <c r="D13" s="3" t="s">
        <v>351</v>
      </c>
      <c r="E13" s="3" t="s">
        <v>286</v>
      </c>
      <c r="F13" s="3">
        <v>2003</v>
      </c>
      <c r="G13" s="3">
        <v>9</v>
      </c>
      <c r="H13" s="3">
        <v>0</v>
      </c>
      <c r="I13" s="3" t="s">
        <v>52</v>
      </c>
      <c r="J13" s="3">
        <v>7</v>
      </c>
      <c r="K13" s="3">
        <f t="shared" si="0"/>
        <v>2010</v>
      </c>
      <c r="L13" s="139">
        <f t="shared" si="1"/>
        <v>2010.75</v>
      </c>
      <c r="M13" s="139">
        <f>+'2111 Trks - Orig'!P59</f>
        <v>32000</v>
      </c>
      <c r="N13" s="139">
        <f t="shared" si="2"/>
        <v>32000</v>
      </c>
      <c r="O13" s="139">
        <f t="shared" si="3"/>
        <v>380.95238095238096</v>
      </c>
      <c r="P13" s="139">
        <f t="shared" si="4"/>
        <v>4571.4285714285716</v>
      </c>
      <c r="Q13" s="139">
        <f>+IF(L13&lt;='2111 Trks'!$N$5,0,IF(K13&gt;'2111 Trks'!$N$4,P13,(O13*G13)))</f>
        <v>0</v>
      </c>
      <c r="R13" s="139"/>
      <c r="S13" s="139">
        <f>+IF(Q13=0,M13,IF('2111 Trks'!$N$3-F13&lt;1,0,(('2111 Trks'!$N$3-F13)*P13)))</f>
        <v>32000</v>
      </c>
      <c r="T13" s="139">
        <f t="shared" si="5"/>
        <v>32000</v>
      </c>
      <c r="U13" s="139">
        <f t="shared" si="6"/>
        <v>0</v>
      </c>
      <c r="V13" s="11">
        <f t="shared" si="7"/>
        <v>0</v>
      </c>
    </row>
    <row r="14" spans="1:22" s="180" customFormat="1" ht="15">
      <c r="D14" s="180" t="s">
        <v>351</v>
      </c>
      <c r="E14" s="180" t="s">
        <v>860</v>
      </c>
      <c r="F14" s="180">
        <v>2017</v>
      </c>
      <c r="G14" s="180">
        <v>10</v>
      </c>
      <c r="H14" s="180">
        <v>0</v>
      </c>
      <c r="I14" s="180" t="s">
        <v>52</v>
      </c>
      <c r="J14" s="180">
        <f>+IF(K13-'2111 Trks'!$N$3&gt;=3,K13-'2111 Trks'!$N$3,3)</f>
        <v>2007</v>
      </c>
      <c r="K14" s="180">
        <f t="shared" si="0"/>
        <v>4024</v>
      </c>
      <c r="L14" s="182">
        <f t="shared" si="1"/>
        <v>4024.8333333333335</v>
      </c>
      <c r="M14" s="182">
        <f>+'2111 Trks - Orig'!N59-'Transfer Trucks'!M13</f>
        <v>8000</v>
      </c>
      <c r="N14" s="182">
        <f t="shared" si="2"/>
        <v>8000</v>
      </c>
      <c r="O14" s="182">
        <f t="shared" si="3"/>
        <v>0.33217073575817974</v>
      </c>
      <c r="P14" s="182">
        <f t="shared" si="4"/>
        <v>3.9860488290981566</v>
      </c>
      <c r="Q14" s="182">
        <f>+IF(L14&lt;='2111 Trks'!$N$5,0,IF(K14&gt;'2111 Trks'!$N$4,P14,(O14*G14)))</f>
        <v>3.9860488290981566</v>
      </c>
      <c r="R14" s="182"/>
      <c r="S14" s="182">
        <f>+IF(Q14=0,M14,IF('2111 Trks'!$N$3-F14&lt;1,0,(('2111 Trks'!$N$3-F14)*P14)))</f>
        <v>0</v>
      </c>
      <c r="T14" s="182">
        <f t="shared" si="5"/>
        <v>3.9860488290981566</v>
      </c>
      <c r="U14" s="182">
        <f t="shared" si="6"/>
        <v>7998.0069755854511</v>
      </c>
      <c r="V14" s="11">
        <f t="shared" si="7"/>
        <v>7996.0139511709021</v>
      </c>
    </row>
    <row r="15" spans="1:22" s="3" customFormat="1" ht="15">
      <c r="A15" s="3" t="s">
        <v>40</v>
      </c>
      <c r="B15" s="3">
        <v>107008</v>
      </c>
      <c r="C15" s="3" t="s">
        <v>281</v>
      </c>
      <c r="D15" s="3" t="s">
        <v>352</v>
      </c>
      <c r="E15" s="3" t="s">
        <v>286</v>
      </c>
      <c r="F15" s="3">
        <v>2003</v>
      </c>
      <c r="G15" s="3">
        <v>9</v>
      </c>
      <c r="H15" s="3">
        <v>0</v>
      </c>
      <c r="I15" s="3" t="s">
        <v>52</v>
      </c>
      <c r="J15" s="3">
        <v>7</v>
      </c>
      <c r="K15" s="3">
        <f t="shared" si="0"/>
        <v>2010</v>
      </c>
      <c r="L15" s="139">
        <f t="shared" si="1"/>
        <v>2010.75</v>
      </c>
      <c r="M15" s="139">
        <f>+'2111 Trks - Orig'!P60</f>
        <v>32000</v>
      </c>
      <c r="N15" s="139">
        <f t="shared" si="2"/>
        <v>32000</v>
      </c>
      <c r="O15" s="139">
        <f t="shared" si="3"/>
        <v>380.95238095238096</v>
      </c>
      <c r="P15" s="139">
        <f t="shared" si="4"/>
        <v>4571.4285714285716</v>
      </c>
      <c r="Q15" s="139">
        <f>+IF(L15&lt;='2111 Trks'!$N$5,0,IF(K15&gt;'2111 Trks'!$N$4,P15,(O15*G15)))</f>
        <v>0</v>
      </c>
      <c r="R15" s="139"/>
      <c r="S15" s="139">
        <f>+IF(Q15=0,M15,IF('2111 Trks'!$N$3-F15&lt;1,0,(('2111 Trks'!$N$3-F15)*P15)))</f>
        <v>32000</v>
      </c>
      <c r="T15" s="139">
        <f t="shared" si="5"/>
        <v>32000</v>
      </c>
      <c r="U15" s="139">
        <f t="shared" si="6"/>
        <v>0</v>
      </c>
      <c r="V15" s="11">
        <f t="shared" si="7"/>
        <v>0</v>
      </c>
    </row>
    <row r="16" spans="1:22" s="180" customFormat="1" ht="15">
      <c r="D16" s="180" t="s">
        <v>352</v>
      </c>
      <c r="E16" s="180" t="s">
        <v>861</v>
      </c>
      <c r="F16" s="180">
        <v>2017</v>
      </c>
      <c r="G16" s="180">
        <v>10</v>
      </c>
      <c r="H16" s="180">
        <v>0</v>
      </c>
      <c r="I16" s="180" t="s">
        <v>52</v>
      </c>
      <c r="J16" s="180">
        <f>+IF(K15-'2111 Trks'!$N$3&gt;=3,K15-'2111 Trks'!$N$3,3)</f>
        <v>2007</v>
      </c>
      <c r="K16" s="180">
        <f t="shared" si="0"/>
        <v>4024</v>
      </c>
      <c r="L16" s="182">
        <f t="shared" si="1"/>
        <v>4024.8333333333335</v>
      </c>
      <c r="M16" s="182">
        <f>+'2111 Trks - Orig'!N60-'Transfer Trucks'!M15</f>
        <v>8000</v>
      </c>
      <c r="N16" s="182">
        <f t="shared" si="2"/>
        <v>8000</v>
      </c>
      <c r="O16" s="182">
        <f t="shared" si="3"/>
        <v>0.33217073575817974</v>
      </c>
      <c r="P16" s="182">
        <f t="shared" si="4"/>
        <v>3.9860488290981566</v>
      </c>
      <c r="Q16" s="182">
        <f>+IF(L16&lt;='2111 Trks'!$N$5,0,IF(K16&gt;'2111 Trks'!$N$4,P16,(O16*G16)))</f>
        <v>3.9860488290981566</v>
      </c>
      <c r="R16" s="182"/>
      <c r="S16" s="182">
        <f>+IF(Q16=0,M16,IF('2111 Trks'!$N$3-F16&lt;1,0,(('2111 Trks'!$N$3-F16)*P16)))</f>
        <v>0</v>
      </c>
      <c r="T16" s="182">
        <f t="shared" si="5"/>
        <v>3.9860488290981566</v>
      </c>
      <c r="U16" s="182">
        <f t="shared" si="6"/>
        <v>7998.0069755854511</v>
      </c>
      <c r="V16" s="11">
        <f t="shared" si="7"/>
        <v>7996.0139511709021</v>
      </c>
    </row>
    <row r="17" spans="1:22" s="3" customFormat="1" ht="15">
      <c r="A17" s="3" t="s">
        <v>40</v>
      </c>
      <c r="B17" s="3">
        <v>107013</v>
      </c>
      <c r="C17" s="3" t="s">
        <v>281</v>
      </c>
      <c r="D17" s="3" t="s">
        <v>353</v>
      </c>
      <c r="E17" s="3" t="s">
        <v>286</v>
      </c>
      <c r="F17" s="3">
        <v>2003</v>
      </c>
      <c r="G17" s="3">
        <v>9</v>
      </c>
      <c r="H17" s="3">
        <v>0</v>
      </c>
      <c r="I17" s="3" t="s">
        <v>52</v>
      </c>
      <c r="J17" s="3">
        <v>7</v>
      </c>
      <c r="K17" s="3">
        <f t="shared" si="0"/>
        <v>2010</v>
      </c>
      <c r="L17" s="139">
        <f t="shared" si="1"/>
        <v>2010.75</v>
      </c>
      <c r="M17" s="139">
        <f>+'2111 Trks - Orig'!P61</f>
        <v>32000</v>
      </c>
      <c r="N17" s="139">
        <f t="shared" si="2"/>
        <v>32000</v>
      </c>
      <c r="O17" s="139">
        <f t="shared" si="3"/>
        <v>380.95238095238096</v>
      </c>
      <c r="P17" s="139">
        <f t="shared" si="4"/>
        <v>4571.4285714285716</v>
      </c>
      <c r="Q17" s="139">
        <f>+IF(L17&lt;='2111 Trks'!$N$5,0,IF(K17&gt;'2111 Trks'!$N$4,P17,(O17*G17)))</f>
        <v>0</v>
      </c>
      <c r="R17" s="139"/>
      <c r="S17" s="139">
        <f>+IF(Q17=0,M17,IF('2111 Trks'!$N$3-F17&lt;1,0,(('2111 Trks'!$N$3-F17)*P17)))</f>
        <v>32000</v>
      </c>
      <c r="T17" s="139">
        <f t="shared" si="5"/>
        <v>32000</v>
      </c>
      <c r="U17" s="139">
        <f t="shared" si="6"/>
        <v>0</v>
      </c>
      <c r="V17" s="11">
        <f t="shared" si="7"/>
        <v>0</v>
      </c>
    </row>
    <row r="18" spans="1:22" s="180" customFormat="1" ht="15">
      <c r="D18" s="180" t="s">
        <v>353</v>
      </c>
      <c r="E18" s="180" t="s">
        <v>862</v>
      </c>
      <c r="F18" s="180">
        <v>2017</v>
      </c>
      <c r="G18" s="180">
        <v>10</v>
      </c>
      <c r="H18" s="180">
        <v>0</v>
      </c>
      <c r="I18" s="180" t="s">
        <v>52</v>
      </c>
      <c r="J18" s="180">
        <f>+IF(K17-'2111 Trks'!$N$3&gt;=3,K17-'2111 Trks'!$N$3,3)</f>
        <v>2007</v>
      </c>
      <c r="K18" s="180">
        <f t="shared" si="0"/>
        <v>4024</v>
      </c>
      <c r="L18" s="182">
        <f t="shared" si="1"/>
        <v>4024.8333333333335</v>
      </c>
      <c r="M18" s="182">
        <f>+'2111 Trks - Orig'!N61-'Transfer Trucks'!M17</f>
        <v>8000</v>
      </c>
      <c r="N18" s="182">
        <f t="shared" si="2"/>
        <v>8000</v>
      </c>
      <c r="O18" s="182">
        <f t="shared" si="3"/>
        <v>0.33217073575817974</v>
      </c>
      <c r="P18" s="182">
        <f t="shared" si="4"/>
        <v>3.9860488290981566</v>
      </c>
      <c r="Q18" s="182">
        <f>+IF(L18&lt;='2111 Trks'!$N$5,0,IF(K18&gt;'2111 Trks'!$N$4,P18,(O18*G18)))</f>
        <v>3.9860488290981566</v>
      </c>
      <c r="R18" s="182"/>
      <c r="S18" s="182">
        <f>+IF(Q18=0,M18,IF('2111 Trks'!$N$3-F18&lt;1,0,(('2111 Trks'!$N$3-F18)*P18)))</f>
        <v>0</v>
      </c>
      <c r="T18" s="182">
        <f t="shared" si="5"/>
        <v>3.9860488290981566</v>
      </c>
      <c r="U18" s="182">
        <f t="shared" si="6"/>
        <v>7998.0069755854511</v>
      </c>
      <c r="V18" s="11">
        <f t="shared" si="7"/>
        <v>7996.0139511709021</v>
      </c>
    </row>
    <row r="19" spans="1:22" s="3" customFormat="1" ht="15">
      <c r="A19" s="3" t="s">
        <v>40</v>
      </c>
      <c r="B19" s="3">
        <v>107016</v>
      </c>
      <c r="C19" s="3" t="s">
        <v>281</v>
      </c>
      <c r="D19" s="3" t="s">
        <v>354</v>
      </c>
      <c r="E19" s="3" t="s">
        <v>286</v>
      </c>
      <c r="F19" s="3">
        <v>2003</v>
      </c>
      <c r="G19" s="3">
        <v>9</v>
      </c>
      <c r="H19" s="3">
        <v>0</v>
      </c>
      <c r="I19" s="3" t="s">
        <v>52</v>
      </c>
      <c r="J19" s="3">
        <v>7</v>
      </c>
      <c r="K19" s="3">
        <f t="shared" si="0"/>
        <v>2010</v>
      </c>
      <c r="L19" s="139">
        <f t="shared" si="1"/>
        <v>2010.75</v>
      </c>
      <c r="M19" s="139">
        <f>+'2111 Trks - Orig'!P62</f>
        <v>32000</v>
      </c>
      <c r="N19" s="139">
        <f t="shared" si="2"/>
        <v>32000</v>
      </c>
      <c r="O19" s="139">
        <f t="shared" si="3"/>
        <v>380.95238095238096</v>
      </c>
      <c r="P19" s="139">
        <f t="shared" si="4"/>
        <v>4571.4285714285716</v>
      </c>
      <c r="Q19" s="139">
        <f>+IF(L19&lt;='2111 Trks'!$N$5,0,IF(K19&gt;'2111 Trks'!$N$4,P19,(O19*G19)))</f>
        <v>0</v>
      </c>
      <c r="R19" s="139"/>
      <c r="S19" s="139">
        <f>+IF(Q19=0,M19,IF('2111 Trks'!$N$3-F19&lt;1,0,(('2111 Trks'!$N$3-F19)*P19)))</f>
        <v>32000</v>
      </c>
      <c r="T19" s="139">
        <f t="shared" si="5"/>
        <v>32000</v>
      </c>
      <c r="U19" s="139">
        <f t="shared" si="6"/>
        <v>0</v>
      </c>
      <c r="V19" s="11">
        <f t="shared" si="7"/>
        <v>0</v>
      </c>
    </row>
    <row r="20" spans="1:22" s="180" customFormat="1" ht="15">
      <c r="D20" s="180" t="s">
        <v>354</v>
      </c>
      <c r="E20" s="180" t="s">
        <v>862</v>
      </c>
      <c r="F20" s="180">
        <v>2017</v>
      </c>
      <c r="G20" s="180">
        <v>10</v>
      </c>
      <c r="H20" s="180">
        <v>0</v>
      </c>
      <c r="I20" s="180" t="s">
        <v>52</v>
      </c>
      <c r="J20" s="180">
        <f>+IF(K19-'2111 Trks'!$N$3&gt;=3,K19-'2111 Trks'!$N$3,3)</f>
        <v>2007</v>
      </c>
      <c r="K20" s="180">
        <f t="shared" si="0"/>
        <v>4024</v>
      </c>
      <c r="L20" s="182">
        <f t="shared" si="1"/>
        <v>4024.8333333333335</v>
      </c>
      <c r="M20" s="182">
        <f>+'2111 Trks - Orig'!N62-'Transfer Trucks'!M19</f>
        <v>8000</v>
      </c>
      <c r="N20" s="182">
        <f t="shared" si="2"/>
        <v>8000</v>
      </c>
      <c r="O20" s="182">
        <f t="shared" si="3"/>
        <v>0.33217073575817974</v>
      </c>
      <c r="P20" s="182">
        <f t="shared" si="4"/>
        <v>3.9860488290981566</v>
      </c>
      <c r="Q20" s="182">
        <f>+IF(L20&lt;='2111 Trks'!$N$5,0,IF(K20&gt;'2111 Trks'!$N$4,P20,(O20*G20)))</f>
        <v>3.9860488290981566</v>
      </c>
      <c r="R20" s="182"/>
      <c r="S20" s="182">
        <f>+IF(Q20=0,M20,IF('2111 Trks'!$N$3-F20&lt;1,0,(('2111 Trks'!$N$3-F20)*P20)))</f>
        <v>0</v>
      </c>
      <c r="T20" s="182">
        <f t="shared" si="5"/>
        <v>3.9860488290981566</v>
      </c>
      <c r="U20" s="182">
        <f t="shared" si="6"/>
        <v>7998.0069755854511</v>
      </c>
      <c r="V20" s="11">
        <f t="shared" si="7"/>
        <v>7996.0139511709021</v>
      </c>
    </row>
    <row r="21" spans="1:22" s="3" customFormat="1" ht="15">
      <c r="A21" s="3" t="s">
        <v>40</v>
      </c>
      <c r="B21" s="3">
        <v>102350</v>
      </c>
      <c r="C21" s="3" t="s">
        <v>175</v>
      </c>
      <c r="D21" s="3">
        <v>61</v>
      </c>
      <c r="E21" s="3" t="s">
        <v>365</v>
      </c>
      <c r="F21" s="3">
        <v>2004</v>
      </c>
      <c r="G21" s="3">
        <v>1</v>
      </c>
      <c r="H21" s="3">
        <v>0</v>
      </c>
      <c r="I21" s="3" t="s">
        <v>52</v>
      </c>
      <c r="J21" s="3">
        <v>5</v>
      </c>
      <c r="K21" s="3">
        <f t="shared" si="0"/>
        <v>2009</v>
      </c>
      <c r="L21" s="139">
        <f t="shared" si="1"/>
        <v>2009.0833333333333</v>
      </c>
      <c r="M21" s="139">
        <f>+'2111 Trks - Orig'!P63</f>
        <v>34941.779699999999</v>
      </c>
      <c r="N21" s="139">
        <f t="shared" si="2"/>
        <v>34941.779699999999</v>
      </c>
      <c r="O21" s="139">
        <f t="shared" si="3"/>
        <v>582.36299499999996</v>
      </c>
      <c r="P21" s="139">
        <f t="shared" si="4"/>
        <v>6988.3559399999995</v>
      </c>
      <c r="Q21" s="139">
        <f>+IF(L21&lt;='2111 Trks'!$N$5,0,IF(K21&gt;'2111 Trks'!$N$4,P21,(O21*G21)))</f>
        <v>0</v>
      </c>
      <c r="R21" s="139"/>
      <c r="S21" s="139">
        <f>+IF(Q21=0,M21,IF('2111 Trks'!$N$3-F21&lt;1,0,(('2111 Trks'!$N$3-F21)*P21)))</f>
        <v>34941.779699999999</v>
      </c>
      <c r="T21" s="139">
        <f t="shared" si="5"/>
        <v>34941.779699999999</v>
      </c>
      <c r="U21" s="139">
        <f t="shared" si="6"/>
        <v>0</v>
      </c>
      <c r="V21" s="11">
        <f t="shared" si="7"/>
        <v>0</v>
      </c>
    </row>
    <row r="22" spans="1:22" s="180" customFormat="1" ht="15">
      <c r="D22" s="180">
        <v>61</v>
      </c>
      <c r="E22" s="180" t="s">
        <v>863</v>
      </c>
      <c r="F22" s="180">
        <v>2017</v>
      </c>
      <c r="G22" s="180">
        <v>10</v>
      </c>
      <c r="H22" s="180">
        <v>0</v>
      </c>
      <c r="I22" s="180" t="s">
        <v>52</v>
      </c>
      <c r="J22" s="180">
        <f>+IF(K21-'2111 Trks'!$N$3&gt;=3,K21-'2111 Trks'!$N$3,3)</f>
        <v>2006</v>
      </c>
      <c r="K22" s="180">
        <f t="shared" si="0"/>
        <v>4023</v>
      </c>
      <c r="L22" s="182">
        <f t="shared" si="1"/>
        <v>4023.8333333333335</v>
      </c>
      <c r="M22" s="182">
        <f>+'2111 Trks - Orig'!N63-'Transfer Trucks'!M21</f>
        <v>17210.130300000004</v>
      </c>
      <c r="N22" s="182">
        <f t="shared" si="2"/>
        <v>17210.130300000004</v>
      </c>
      <c r="O22" s="182">
        <f t="shared" si="3"/>
        <v>0.71494393070787654</v>
      </c>
      <c r="P22" s="182">
        <f t="shared" si="4"/>
        <v>8.5793271684945189</v>
      </c>
      <c r="Q22" s="182">
        <f>+IF(L22&lt;='2111 Trks'!$N$5,0,IF(K22&gt;'2111 Trks'!$N$4,P22,(O22*G22)))</f>
        <v>8.5793271684945189</v>
      </c>
      <c r="R22" s="182"/>
      <c r="S22" s="182">
        <f>+IF(Q22=0,M22,IF('2111 Trks'!$N$3-F22&lt;1,0,(('2111 Trks'!$N$3-F22)*P22)))</f>
        <v>0</v>
      </c>
      <c r="T22" s="182">
        <f t="shared" si="5"/>
        <v>8.5793271684945189</v>
      </c>
      <c r="U22" s="182">
        <f t="shared" si="6"/>
        <v>17205.840636415756</v>
      </c>
      <c r="V22" s="11">
        <f t="shared" si="7"/>
        <v>17201.550972831508</v>
      </c>
    </row>
    <row r="23" spans="1:22" s="3" customFormat="1" ht="15">
      <c r="A23" s="3" t="s">
        <v>40</v>
      </c>
      <c r="B23" s="3">
        <v>39587</v>
      </c>
      <c r="C23" s="3" t="s">
        <v>175</v>
      </c>
      <c r="D23" s="3" t="s">
        <v>364</v>
      </c>
      <c r="E23" s="3" t="s">
        <v>233</v>
      </c>
      <c r="F23" s="3">
        <v>2004</v>
      </c>
      <c r="G23" s="3">
        <v>11</v>
      </c>
      <c r="H23" s="3">
        <v>0</v>
      </c>
      <c r="I23" s="3" t="s">
        <v>52</v>
      </c>
      <c r="J23" s="3">
        <v>7</v>
      </c>
      <c r="K23" s="3">
        <f t="shared" si="0"/>
        <v>2011</v>
      </c>
      <c r="L23" s="139">
        <f t="shared" si="1"/>
        <v>2011.9166666666667</v>
      </c>
      <c r="M23" s="139">
        <f>+'2111 Trks - Orig'!P64</f>
        <v>13400</v>
      </c>
      <c r="N23" s="139">
        <f t="shared" si="2"/>
        <v>13400</v>
      </c>
      <c r="O23" s="139">
        <f t="shared" si="3"/>
        <v>159.52380952380952</v>
      </c>
      <c r="P23" s="139">
        <f t="shared" si="4"/>
        <v>1914.2857142857142</v>
      </c>
      <c r="Q23" s="139">
        <f>+IF(L23&lt;='2111 Trks'!$N$5,0,IF(K23&gt;'2111 Trks'!$N$4,P23,(O23*G23)))</f>
        <v>0</v>
      </c>
      <c r="R23" s="139"/>
      <c r="S23" s="139">
        <f>+IF(Q23=0,M23,IF('2111 Trks'!$N$3-F23&lt;1,0,(('2111 Trks'!$N$3-F23)*P23)))</f>
        <v>13400</v>
      </c>
      <c r="T23" s="139">
        <f t="shared" si="5"/>
        <v>13400</v>
      </c>
      <c r="U23" s="139">
        <f t="shared" si="6"/>
        <v>0</v>
      </c>
      <c r="V23" s="11">
        <f t="shared" si="7"/>
        <v>0</v>
      </c>
    </row>
    <row r="24" spans="1:22" s="180" customFormat="1" ht="15">
      <c r="D24" s="180" t="s">
        <v>364</v>
      </c>
      <c r="E24" s="180" t="s">
        <v>864</v>
      </c>
      <c r="F24" s="180">
        <v>2017</v>
      </c>
      <c r="G24" s="180">
        <v>10</v>
      </c>
      <c r="H24" s="180">
        <v>0</v>
      </c>
      <c r="I24" s="180" t="s">
        <v>52</v>
      </c>
      <c r="J24" s="180">
        <f>+IF(K23-'2111 Trks'!$N$3&gt;=3,K23-'2111 Trks'!$N$3,3)</f>
        <v>2008</v>
      </c>
      <c r="K24" s="180">
        <f t="shared" si="0"/>
        <v>4025</v>
      </c>
      <c r="L24" s="182">
        <f t="shared" si="1"/>
        <v>4025.8333333333335</v>
      </c>
      <c r="M24" s="182">
        <f>+'2111 Trks - Orig'!N64-'Transfer Trucks'!M23</f>
        <v>6600</v>
      </c>
      <c r="N24" s="182">
        <f t="shared" si="2"/>
        <v>6600</v>
      </c>
      <c r="O24" s="182">
        <f t="shared" si="3"/>
        <v>0.27390438247011956</v>
      </c>
      <c r="P24" s="182">
        <f t="shared" si="4"/>
        <v>3.2868525896414349</v>
      </c>
      <c r="Q24" s="182">
        <f>+IF(L24&lt;='2111 Trks'!$N$5,0,IF(K24&gt;'2111 Trks'!$N$4,P24,(O24*G24)))</f>
        <v>3.2868525896414349</v>
      </c>
      <c r="R24" s="182"/>
      <c r="S24" s="182">
        <f>+IF(Q24=0,M24,IF('2111 Trks'!$N$3-F24&lt;1,0,(('2111 Trks'!$N$3-F24)*P24)))</f>
        <v>0</v>
      </c>
      <c r="T24" s="182">
        <f t="shared" si="5"/>
        <v>3.2868525896414349</v>
      </c>
      <c r="U24" s="182">
        <f t="shared" si="6"/>
        <v>6598.3565737051795</v>
      </c>
      <c r="V24" s="11">
        <f t="shared" si="7"/>
        <v>6596.7131474103589</v>
      </c>
    </row>
    <row r="25" spans="1:22" s="3" customFormat="1" ht="15">
      <c r="A25" s="3" t="s">
        <v>40</v>
      </c>
      <c r="B25" s="3">
        <v>30477</v>
      </c>
      <c r="C25" s="3" t="s">
        <v>76</v>
      </c>
      <c r="D25" s="3" t="s">
        <v>355</v>
      </c>
      <c r="E25" s="3" t="s">
        <v>81</v>
      </c>
      <c r="F25" s="3">
        <v>2005</v>
      </c>
      <c r="G25" s="3">
        <v>1</v>
      </c>
      <c r="H25" s="3">
        <v>0</v>
      </c>
      <c r="I25" s="3" t="s">
        <v>52</v>
      </c>
      <c r="J25" s="3">
        <v>5</v>
      </c>
      <c r="K25" s="3">
        <f t="shared" si="0"/>
        <v>2010</v>
      </c>
      <c r="L25" s="139">
        <f t="shared" si="1"/>
        <v>2010.0833333333333</v>
      </c>
      <c r="M25" s="139">
        <f>+'2111 Trks - Orig'!P66</f>
        <v>25878.080000000002</v>
      </c>
      <c r="N25" s="139">
        <f t="shared" si="2"/>
        <v>25878.080000000002</v>
      </c>
      <c r="O25" s="139">
        <f t="shared" si="3"/>
        <v>431.30133333333333</v>
      </c>
      <c r="P25" s="139">
        <f t="shared" si="4"/>
        <v>5175.616</v>
      </c>
      <c r="Q25" s="139">
        <f>+IF(L25&lt;='2111 Trks'!$N$5,0,IF(K25&gt;'2111 Trks'!$N$4,P25,(O25*G25)))</f>
        <v>0</v>
      </c>
      <c r="R25" s="139"/>
      <c r="S25" s="139">
        <f>+IF(Q25=0,M25,IF('2111 Trks'!$N$3-F25&lt;1,0,(('2111 Trks'!$N$3-F25)*P25)))</f>
        <v>25878.080000000002</v>
      </c>
      <c r="T25" s="139">
        <f t="shared" si="5"/>
        <v>25878.080000000002</v>
      </c>
      <c r="U25" s="139">
        <f t="shared" si="6"/>
        <v>0</v>
      </c>
      <c r="V25" s="11">
        <f t="shared" si="7"/>
        <v>0</v>
      </c>
    </row>
    <row r="26" spans="1:22" s="180" customFormat="1" ht="15">
      <c r="D26" s="180" t="s">
        <v>355</v>
      </c>
      <c r="E26" s="180" t="s">
        <v>868</v>
      </c>
      <c r="F26" s="180">
        <v>2017</v>
      </c>
      <c r="G26" s="180">
        <v>10</v>
      </c>
      <c r="H26" s="180">
        <v>0</v>
      </c>
      <c r="I26" s="180" t="s">
        <v>52</v>
      </c>
      <c r="J26" s="180">
        <f>+IF(K25-'2111 Trks'!$N$3&gt;=3,K25-'2111 Trks'!$N$3,3)</f>
        <v>2007</v>
      </c>
      <c r="K26" s="180">
        <f t="shared" si="0"/>
        <v>4024</v>
      </c>
      <c r="L26" s="182">
        <f t="shared" si="1"/>
        <v>4024.8333333333335</v>
      </c>
      <c r="M26" s="182">
        <f>+'2111 Trks - Orig'!N66-'Transfer Trucks'!M25</f>
        <v>12745.919999999998</v>
      </c>
      <c r="N26" s="182">
        <f t="shared" si="2"/>
        <v>12745.919999999998</v>
      </c>
      <c r="O26" s="182">
        <f t="shared" si="3"/>
        <v>0.52922770303936217</v>
      </c>
      <c r="P26" s="182">
        <f t="shared" si="4"/>
        <v>6.3507324364723461</v>
      </c>
      <c r="Q26" s="182">
        <f>+IF(L26&lt;='2111 Trks'!$N$5,0,IF(K26&gt;'2111 Trks'!$N$4,P26,(O26*G26)))</f>
        <v>6.3507324364723461</v>
      </c>
      <c r="R26" s="182"/>
      <c r="S26" s="182">
        <f>+IF(Q26=0,M26,IF('2111 Trks'!$N$3-F26&lt;1,0,(('2111 Trks'!$N$3-F26)*P26)))</f>
        <v>0</v>
      </c>
      <c r="T26" s="182">
        <f t="shared" si="5"/>
        <v>6.3507324364723461</v>
      </c>
      <c r="U26" s="182">
        <f t="shared" si="6"/>
        <v>12742.744633781762</v>
      </c>
      <c r="V26" s="11">
        <f t="shared" si="7"/>
        <v>12739.569267563526</v>
      </c>
    </row>
    <row r="27" spans="1:22" s="3" customFormat="1" ht="15">
      <c r="A27" s="3" t="s">
        <v>40</v>
      </c>
      <c r="B27" s="3">
        <v>30478</v>
      </c>
      <c r="C27" s="3" t="s">
        <v>76</v>
      </c>
      <c r="D27" s="3" t="s">
        <v>356</v>
      </c>
      <c r="E27" s="3" t="s">
        <v>81</v>
      </c>
      <c r="F27" s="3">
        <v>2005</v>
      </c>
      <c r="G27" s="3">
        <v>1</v>
      </c>
      <c r="H27" s="3">
        <v>0</v>
      </c>
      <c r="I27" s="3" t="s">
        <v>52</v>
      </c>
      <c r="J27" s="3">
        <v>5</v>
      </c>
      <c r="K27" s="3">
        <f t="shared" si="0"/>
        <v>2010</v>
      </c>
      <c r="L27" s="139">
        <f t="shared" si="1"/>
        <v>2010.0833333333333</v>
      </c>
      <c r="M27" s="139">
        <f>+'2111 Trks - Orig'!P67</f>
        <v>25149.119999999999</v>
      </c>
      <c r="N27" s="139">
        <f t="shared" si="2"/>
        <v>25149.119999999999</v>
      </c>
      <c r="O27" s="139">
        <f t="shared" si="3"/>
        <v>419.15199999999999</v>
      </c>
      <c r="P27" s="139">
        <f t="shared" si="4"/>
        <v>5029.8239999999996</v>
      </c>
      <c r="Q27" s="139">
        <f>+IF(L27&lt;='2111 Trks'!$N$5,0,IF(K27&gt;'2111 Trks'!$N$4,P27,(O27*G27)))</f>
        <v>0</v>
      </c>
      <c r="R27" s="139"/>
      <c r="S27" s="139">
        <f>+IF(Q27=0,M27,IF('2111 Trks'!$N$3-F27&lt;1,0,(('2111 Trks'!$N$3-F27)*P27)))</f>
        <v>25149.119999999999</v>
      </c>
      <c r="T27" s="139">
        <f t="shared" si="5"/>
        <v>25149.119999999999</v>
      </c>
      <c r="U27" s="139">
        <f t="shared" si="6"/>
        <v>0</v>
      </c>
      <c r="V27" s="11">
        <f t="shared" si="7"/>
        <v>0</v>
      </c>
    </row>
    <row r="28" spans="1:22" s="180" customFormat="1" ht="15">
      <c r="D28" s="180" t="s">
        <v>356</v>
      </c>
      <c r="E28" s="180" t="s">
        <v>869</v>
      </c>
      <c r="F28" s="180">
        <v>2017</v>
      </c>
      <c r="G28" s="180">
        <v>10</v>
      </c>
      <c r="H28" s="180">
        <v>0</v>
      </c>
      <c r="I28" s="180" t="s">
        <v>52</v>
      </c>
      <c r="J28" s="180">
        <f>+IF(K27-'2111 Trks'!$N$3&gt;=3,K27-'2111 Trks'!$N$3,3)</f>
        <v>2007</v>
      </c>
      <c r="K28" s="180">
        <f t="shared" si="0"/>
        <v>4024</v>
      </c>
      <c r="L28" s="182">
        <f t="shared" si="1"/>
        <v>4024.8333333333335</v>
      </c>
      <c r="M28" s="182">
        <f>+'2111 Trks - Orig'!N67-'Transfer Trucks'!M27</f>
        <v>12386.880000000001</v>
      </c>
      <c r="N28" s="182">
        <f t="shared" si="2"/>
        <v>12386.880000000001</v>
      </c>
      <c r="O28" s="182">
        <f t="shared" si="3"/>
        <v>0.51431988041853516</v>
      </c>
      <c r="P28" s="182">
        <f t="shared" si="4"/>
        <v>6.1718385650224219</v>
      </c>
      <c r="Q28" s="182">
        <f>+IF(L28&lt;='2111 Trks'!$N$5,0,IF(K28&gt;'2111 Trks'!$N$4,P28,(O28*G28)))</f>
        <v>6.1718385650224219</v>
      </c>
      <c r="R28" s="182"/>
      <c r="S28" s="182">
        <f>+IF(Q28=0,M28,IF('2111 Trks'!$N$3-F28&lt;1,0,(('2111 Trks'!$N$3-F28)*P28)))</f>
        <v>0</v>
      </c>
      <c r="T28" s="182">
        <f t="shared" si="5"/>
        <v>6.1718385650224219</v>
      </c>
      <c r="U28" s="182">
        <f t="shared" si="6"/>
        <v>12383.794080717489</v>
      </c>
      <c r="V28" s="11">
        <f t="shared" si="7"/>
        <v>12380.708161434979</v>
      </c>
    </row>
    <row r="29" spans="1:22" s="3" customFormat="1" ht="15">
      <c r="A29" s="3" t="s">
        <v>40</v>
      </c>
      <c r="B29" s="3">
        <v>53225</v>
      </c>
      <c r="C29" s="3" t="s">
        <v>76</v>
      </c>
      <c r="D29" s="3" t="s">
        <v>367</v>
      </c>
      <c r="E29" s="3" t="s">
        <v>368</v>
      </c>
      <c r="F29" s="3">
        <v>2007</v>
      </c>
      <c r="G29" s="3">
        <v>10</v>
      </c>
      <c r="H29" s="3">
        <v>0</v>
      </c>
      <c r="I29" s="3" t="s">
        <v>52</v>
      </c>
      <c r="J29" s="3">
        <v>7</v>
      </c>
      <c r="K29" s="3">
        <f t="shared" si="0"/>
        <v>2014</v>
      </c>
      <c r="L29" s="139">
        <f t="shared" si="1"/>
        <v>2014.8333333333333</v>
      </c>
      <c r="M29" s="139">
        <f>+'2111 Trks - Orig'!P69</f>
        <v>80734.024000000005</v>
      </c>
      <c r="N29" s="139">
        <f t="shared" si="2"/>
        <v>80734.024000000005</v>
      </c>
      <c r="O29" s="139">
        <f t="shared" si="3"/>
        <v>961.11933333333343</v>
      </c>
      <c r="P29" s="139">
        <f t="shared" si="4"/>
        <v>11533.432000000001</v>
      </c>
      <c r="Q29" s="139">
        <f>+IF(L29&lt;='2111 Trks'!$N$5,0,IF(K29&gt;'2111 Trks'!$N$4,P29,(O29*G29)))</f>
        <v>0</v>
      </c>
      <c r="R29" s="139"/>
      <c r="S29" s="139">
        <f>+IF(Q29=0,M29,IF('2111 Trks'!$N$3-F29&lt;1,0,(('2111 Trks'!$N$3-F29)*P29)))</f>
        <v>80734.024000000005</v>
      </c>
      <c r="T29" s="139">
        <f t="shared" si="5"/>
        <v>80734.024000000005</v>
      </c>
      <c r="U29" s="139">
        <f t="shared" si="6"/>
        <v>0</v>
      </c>
      <c r="V29" s="11">
        <f t="shared" si="7"/>
        <v>0</v>
      </c>
    </row>
    <row r="30" spans="1:22" s="180" customFormat="1" ht="15">
      <c r="D30" s="180" t="s">
        <v>367</v>
      </c>
      <c r="E30" s="180" t="s">
        <v>870</v>
      </c>
      <c r="F30" s="180">
        <v>2017</v>
      </c>
      <c r="G30" s="180">
        <v>10</v>
      </c>
      <c r="H30" s="180">
        <v>0</v>
      </c>
      <c r="I30" s="180" t="s">
        <v>52</v>
      </c>
      <c r="J30" s="180">
        <f>+IF(K29-'2111 Trks'!$N$3&gt;=3,K29-'2111 Trks'!$N$3,3)</f>
        <v>2011</v>
      </c>
      <c r="K30" s="180">
        <f t="shared" si="0"/>
        <v>4028</v>
      </c>
      <c r="L30" s="182">
        <f t="shared" si="1"/>
        <v>4028.8333333333335</v>
      </c>
      <c r="M30" s="182">
        <f>+'2111 Trks - Orig'!N69-'Transfer Trucks'!M29</f>
        <v>20183.505999999994</v>
      </c>
      <c r="N30" s="182">
        <f t="shared" si="2"/>
        <v>20183.505999999994</v>
      </c>
      <c r="O30" s="182">
        <f t="shared" si="3"/>
        <v>0.83637933034974277</v>
      </c>
      <c r="P30" s="182">
        <f t="shared" si="4"/>
        <v>10.036551964196914</v>
      </c>
      <c r="Q30" s="182">
        <f>+IF(L30&lt;='2111 Trks'!$N$5,0,IF(K30&gt;'2111 Trks'!$N$4,P30,(O30*G30)))</f>
        <v>10.036551964196914</v>
      </c>
      <c r="R30" s="182"/>
      <c r="S30" s="182">
        <f>+IF(Q30=0,M30,IF('2111 Trks'!$N$3-F30&lt;1,0,(('2111 Trks'!$N$3-F30)*P30)))</f>
        <v>0</v>
      </c>
      <c r="T30" s="182">
        <f t="shared" si="5"/>
        <v>10.036551964196914</v>
      </c>
      <c r="U30" s="182">
        <f t="shared" si="6"/>
        <v>20178.487724017898</v>
      </c>
      <c r="V30" s="11">
        <f t="shared" si="7"/>
        <v>20173.469448035798</v>
      </c>
    </row>
    <row r="31" spans="1:22" s="3" customFormat="1" ht="15">
      <c r="A31" s="3" t="s">
        <v>40</v>
      </c>
      <c r="C31" s="3" t="s">
        <v>76</v>
      </c>
      <c r="E31" s="3" t="s">
        <v>165</v>
      </c>
      <c r="F31" s="3">
        <v>2008</v>
      </c>
      <c r="G31" s="3">
        <v>4</v>
      </c>
      <c r="H31" s="3">
        <v>0</v>
      </c>
      <c r="I31" s="3" t="s">
        <v>52</v>
      </c>
      <c r="J31" s="3">
        <v>7</v>
      </c>
      <c r="K31" s="3">
        <f t="shared" si="0"/>
        <v>2015</v>
      </c>
      <c r="L31" s="139">
        <f t="shared" si="1"/>
        <v>2015.3333333333333</v>
      </c>
      <c r="M31" s="139">
        <f>+'2111 Trks - Orig'!P70</f>
        <v>1589.76</v>
      </c>
      <c r="N31" s="139">
        <f t="shared" si="2"/>
        <v>1589.76</v>
      </c>
      <c r="O31" s="139">
        <f t="shared" si="3"/>
        <v>18.925714285714285</v>
      </c>
      <c r="P31" s="139">
        <f t="shared" si="4"/>
        <v>227.10857142857142</v>
      </c>
      <c r="Q31" s="139">
        <f>+IF(L31&lt;='2111 Trks'!$N$5,0,IF(K31&gt;'2111 Trks'!$N$4,P31,(O31*G31)))</f>
        <v>0</v>
      </c>
      <c r="R31" s="139"/>
      <c r="S31" s="139">
        <f>+IF(Q31=0,M31,IF('2111 Trks'!$N$3-F31&lt;1,0,(('2111 Trks'!$N$3-F31)*P31)))</f>
        <v>1589.76</v>
      </c>
      <c r="T31" s="139">
        <f t="shared" si="5"/>
        <v>1589.76</v>
      </c>
      <c r="U31" s="139">
        <f t="shared" si="6"/>
        <v>0</v>
      </c>
      <c r="V31" s="11">
        <f t="shared" si="7"/>
        <v>0</v>
      </c>
    </row>
    <row r="32" spans="1:22" s="180" customFormat="1" ht="15">
      <c r="E32" s="180" t="s">
        <v>871</v>
      </c>
      <c r="F32" s="180">
        <v>2017</v>
      </c>
      <c r="G32" s="180">
        <v>10</v>
      </c>
      <c r="H32" s="180">
        <v>0</v>
      </c>
      <c r="I32" s="180" t="s">
        <v>52</v>
      </c>
      <c r="J32" s="180">
        <f>+IF(K31-'2111 Trks'!$N$3&gt;=3,K31-'2111 Trks'!$N$3,3)</f>
        <v>2012</v>
      </c>
      <c r="K32" s="180">
        <f t="shared" si="0"/>
        <v>4029</v>
      </c>
      <c r="L32" s="182">
        <f t="shared" si="1"/>
        <v>4029.8333333333335</v>
      </c>
      <c r="M32" s="182">
        <f>+'2111 Trks - Orig'!N70-'Transfer Trucks'!M31</f>
        <v>397.44000000000005</v>
      </c>
      <c r="N32" s="182">
        <f t="shared" si="2"/>
        <v>397.44000000000005</v>
      </c>
      <c r="O32" s="182">
        <f t="shared" si="3"/>
        <v>1.6461232604373759E-2</v>
      </c>
      <c r="P32" s="182">
        <f t="shared" si="4"/>
        <v>0.1975347912524851</v>
      </c>
      <c r="Q32" s="182">
        <f>+IF(L32&lt;='2111 Trks'!$N$5,0,IF(K32&gt;'2111 Trks'!$N$4,P32,(O32*G32)))</f>
        <v>0.1975347912524851</v>
      </c>
      <c r="R32" s="182"/>
      <c r="S32" s="182">
        <f>+IF(Q32=0,M32,IF('2111 Trks'!$N$3-F32&lt;1,0,(('2111 Trks'!$N$3-F32)*P32)))</f>
        <v>0</v>
      </c>
      <c r="T32" s="182">
        <f t="shared" si="5"/>
        <v>0.1975347912524851</v>
      </c>
      <c r="U32" s="182">
        <f t="shared" si="6"/>
        <v>397.34123260437377</v>
      </c>
      <c r="V32" s="11">
        <f t="shared" si="7"/>
        <v>397.24246520874755</v>
      </c>
    </row>
    <row r="33" spans="1:22" s="3" customFormat="1" ht="15">
      <c r="A33" s="3" t="s">
        <v>40</v>
      </c>
      <c r="B33" s="3">
        <v>59199</v>
      </c>
      <c r="C33" s="3" t="s">
        <v>76</v>
      </c>
      <c r="D33" s="3" t="s">
        <v>357</v>
      </c>
      <c r="E33" s="3" t="s">
        <v>171</v>
      </c>
      <c r="F33" s="3">
        <v>2008</v>
      </c>
      <c r="G33" s="3">
        <v>6</v>
      </c>
      <c r="H33" s="3">
        <v>0</v>
      </c>
      <c r="I33" s="3" t="s">
        <v>52</v>
      </c>
      <c r="J33" s="3">
        <v>7</v>
      </c>
      <c r="K33" s="3">
        <f t="shared" ref="K33:K63" si="8">F33+J33</f>
        <v>2015</v>
      </c>
      <c r="L33" s="139">
        <f t="shared" ref="L33:L63" si="9">+K33+(G33/12)</f>
        <v>2015.5</v>
      </c>
      <c r="M33" s="139">
        <f>+'2111 Trks - Orig'!P71</f>
        <v>77341.51999999999</v>
      </c>
      <c r="N33" s="139">
        <f t="shared" ref="N33:N63" si="10">M33-M33*H33</f>
        <v>77341.51999999999</v>
      </c>
      <c r="O33" s="139">
        <f t="shared" ref="O33:O63" si="11">N33/J33/12</f>
        <v>920.73238095238082</v>
      </c>
      <c r="P33" s="139">
        <f t="shared" ref="P33:P63" si="12">+O33*12</f>
        <v>11048.788571428569</v>
      </c>
      <c r="Q33" s="139">
        <f>+IF(L33&lt;='2111 Trks'!$N$5,0,IF(K33&gt;'2111 Trks'!$N$4,P33,(O33*G33)))</f>
        <v>0</v>
      </c>
      <c r="R33" s="139"/>
      <c r="S33" s="139">
        <f>+IF(Q33=0,M33,IF('2111 Trks'!$N$3-F33&lt;1,0,(('2111 Trks'!$N$3-F33)*P33)))</f>
        <v>77341.51999999999</v>
      </c>
      <c r="T33" s="139">
        <f t="shared" ref="T33:T63" si="13">+IF(Q33=0,S33,S33+Q33)</f>
        <v>77341.51999999999</v>
      </c>
      <c r="U33" s="139">
        <f t="shared" ref="U33:U63" si="14">+IF(Q33=0,0,((M33-S33)+(M33-T33))/2)</f>
        <v>0</v>
      </c>
      <c r="V33" s="11">
        <f t="shared" ref="V33:V63" si="15">M33-T33</f>
        <v>0</v>
      </c>
    </row>
    <row r="34" spans="1:22" s="180" customFormat="1" ht="15">
      <c r="D34" s="180" t="s">
        <v>357</v>
      </c>
      <c r="E34" s="180" t="s">
        <v>872</v>
      </c>
      <c r="F34" s="180">
        <v>2017</v>
      </c>
      <c r="G34" s="180">
        <v>10</v>
      </c>
      <c r="H34" s="180">
        <v>0</v>
      </c>
      <c r="I34" s="180" t="s">
        <v>52</v>
      </c>
      <c r="J34" s="180">
        <f>+IF(K33-'2111 Trks'!$N$3&gt;=3,K33-'2111 Trks'!$N$3,3)</f>
        <v>2012</v>
      </c>
      <c r="K34" s="180">
        <f t="shared" si="8"/>
        <v>4029</v>
      </c>
      <c r="L34" s="182">
        <f t="shared" si="9"/>
        <v>4029.8333333333335</v>
      </c>
      <c r="M34" s="182">
        <f>+'2111 Trks - Orig'!N71-'Transfer Trucks'!M33</f>
        <v>19335.380000000005</v>
      </c>
      <c r="N34" s="182">
        <f t="shared" si="10"/>
        <v>19335.380000000005</v>
      </c>
      <c r="O34" s="182">
        <f t="shared" si="11"/>
        <v>0.80083581842279672</v>
      </c>
      <c r="P34" s="182">
        <f t="shared" si="12"/>
        <v>9.6100298210735602</v>
      </c>
      <c r="Q34" s="182">
        <f>+IF(L34&lt;='2111 Trks'!$N$5,0,IF(K34&gt;'2111 Trks'!$N$4,P34,(O34*G34)))</f>
        <v>9.6100298210735602</v>
      </c>
      <c r="R34" s="182"/>
      <c r="S34" s="182">
        <f>+IF(Q34=0,M34,IF('2111 Trks'!$N$3-F34&lt;1,0,(('2111 Trks'!$N$3-F34)*P34)))</f>
        <v>0</v>
      </c>
      <c r="T34" s="182">
        <f t="shared" si="13"/>
        <v>9.6100298210735602</v>
      </c>
      <c r="U34" s="182">
        <f t="shared" si="14"/>
        <v>19330.574985089468</v>
      </c>
      <c r="V34" s="11">
        <f t="shared" si="15"/>
        <v>19325.769970178932</v>
      </c>
    </row>
    <row r="35" spans="1:22" s="3" customFormat="1" ht="15">
      <c r="A35" s="3" t="s">
        <v>40</v>
      </c>
      <c r="B35" s="3">
        <v>102177</v>
      </c>
      <c r="C35" s="3" t="s">
        <v>175</v>
      </c>
      <c r="D35" s="3">
        <v>181</v>
      </c>
      <c r="E35" s="3" t="s">
        <v>176</v>
      </c>
      <c r="F35" s="3">
        <v>2008</v>
      </c>
      <c r="G35" s="3">
        <v>7</v>
      </c>
      <c r="H35" s="3">
        <v>0</v>
      </c>
      <c r="I35" s="3" t="s">
        <v>52</v>
      </c>
      <c r="J35" s="3">
        <v>5</v>
      </c>
      <c r="K35" s="3">
        <f t="shared" si="8"/>
        <v>2013</v>
      </c>
      <c r="L35" s="139">
        <f t="shared" si="9"/>
        <v>2013.5833333333333</v>
      </c>
      <c r="M35" s="139">
        <f>+'2111 Trks - Orig'!P72</f>
        <v>76313.267999999996</v>
      </c>
      <c r="N35" s="139">
        <f t="shared" si="10"/>
        <v>76313.267999999996</v>
      </c>
      <c r="O35" s="139">
        <f t="shared" si="11"/>
        <v>1271.8878</v>
      </c>
      <c r="P35" s="139">
        <f t="shared" si="12"/>
        <v>15262.6536</v>
      </c>
      <c r="Q35" s="139">
        <f>+IF(L35&lt;='2111 Trks'!$N$5,0,IF(K35&gt;'2111 Trks'!$N$4,P35,(O35*G35)))</f>
        <v>0</v>
      </c>
      <c r="R35" s="139"/>
      <c r="S35" s="139">
        <f>+IF(Q35=0,M35,IF('2111 Trks'!$N$3-F35&lt;1,0,(('2111 Trks'!$N$3-F35)*P35)))</f>
        <v>76313.267999999996</v>
      </c>
      <c r="T35" s="139">
        <f t="shared" si="13"/>
        <v>76313.267999999996</v>
      </c>
      <c r="U35" s="139">
        <f t="shared" si="14"/>
        <v>0</v>
      </c>
      <c r="V35" s="11">
        <f t="shared" si="15"/>
        <v>0</v>
      </c>
    </row>
    <row r="36" spans="1:22" s="180" customFormat="1" ht="15">
      <c r="D36" s="180">
        <v>181</v>
      </c>
      <c r="E36" s="180" t="s">
        <v>873</v>
      </c>
      <c r="F36" s="180">
        <v>2017</v>
      </c>
      <c r="G36" s="180">
        <v>10</v>
      </c>
      <c r="H36" s="180">
        <v>0</v>
      </c>
      <c r="I36" s="180" t="s">
        <v>52</v>
      </c>
      <c r="J36" s="180">
        <f>+IF(K35-'2111 Trks'!$N$3&gt;=3,K35-'2111 Trks'!$N$3,3)</f>
        <v>2010</v>
      </c>
      <c r="K36" s="180">
        <f t="shared" si="8"/>
        <v>4027</v>
      </c>
      <c r="L36" s="182">
        <f t="shared" si="9"/>
        <v>4027.8333333333335</v>
      </c>
      <c r="M36" s="182">
        <f>+'2111 Trks - Orig'!N72-'Transfer Trucks'!M35</f>
        <v>37587.131999999998</v>
      </c>
      <c r="N36" s="182">
        <f t="shared" si="10"/>
        <v>37587.131999999998</v>
      </c>
      <c r="O36" s="182">
        <f t="shared" si="11"/>
        <v>1.5583388059701493</v>
      </c>
      <c r="P36" s="182">
        <f t="shared" si="12"/>
        <v>18.700065671641791</v>
      </c>
      <c r="Q36" s="182">
        <f>+IF(L36&lt;='2111 Trks'!$N$5,0,IF(K36&gt;'2111 Trks'!$N$4,P36,(O36*G36)))</f>
        <v>18.700065671641791</v>
      </c>
      <c r="R36" s="182"/>
      <c r="S36" s="182">
        <f>+IF(Q36=0,M36,IF('2111 Trks'!$N$3-F36&lt;1,0,(('2111 Trks'!$N$3-F36)*P36)))</f>
        <v>0</v>
      </c>
      <c r="T36" s="182">
        <f t="shared" si="13"/>
        <v>18.700065671641791</v>
      </c>
      <c r="U36" s="182">
        <f t="shared" si="14"/>
        <v>37577.781967164177</v>
      </c>
      <c r="V36" s="11">
        <f t="shared" si="15"/>
        <v>37568.431934328357</v>
      </c>
    </row>
    <row r="37" spans="1:22" s="3" customFormat="1" ht="15">
      <c r="A37" s="3" t="s">
        <v>40</v>
      </c>
      <c r="B37" s="3">
        <v>60377</v>
      </c>
      <c r="C37" s="3" t="s">
        <v>76</v>
      </c>
      <c r="D37" s="3" t="s">
        <v>358</v>
      </c>
      <c r="E37" s="3" t="s">
        <v>205</v>
      </c>
      <c r="F37" s="3">
        <v>2008</v>
      </c>
      <c r="G37" s="3">
        <v>11</v>
      </c>
      <c r="H37" s="3">
        <v>0</v>
      </c>
      <c r="I37" s="3" t="s">
        <v>52</v>
      </c>
      <c r="J37" s="3">
        <v>7</v>
      </c>
      <c r="K37" s="3">
        <f t="shared" si="8"/>
        <v>2015</v>
      </c>
      <c r="L37" s="139">
        <f t="shared" si="9"/>
        <v>2015.9166666666667</v>
      </c>
      <c r="M37" s="139">
        <f>+'2111 Trks - Orig'!P73</f>
        <v>80823.040000000008</v>
      </c>
      <c r="N37" s="139">
        <f t="shared" si="10"/>
        <v>80823.040000000008</v>
      </c>
      <c r="O37" s="139">
        <f t="shared" si="11"/>
        <v>962.17904761904765</v>
      </c>
      <c r="P37" s="139">
        <f t="shared" si="12"/>
        <v>11546.148571428572</v>
      </c>
      <c r="Q37" s="139">
        <f>+IF(L37&lt;='2111 Trks'!$N$5,0,IF(K37&gt;'2111 Trks'!$N$4,P37,(O37*G37)))</f>
        <v>0</v>
      </c>
      <c r="R37" s="139"/>
      <c r="S37" s="139">
        <f>+IF(Q37=0,M37,IF('2111 Trks'!$N$3-F37&lt;1,0,(('2111 Trks'!$N$3-F37)*P37)))</f>
        <v>80823.040000000008</v>
      </c>
      <c r="T37" s="139">
        <f t="shared" si="13"/>
        <v>80823.040000000008</v>
      </c>
      <c r="U37" s="139">
        <f t="shared" si="14"/>
        <v>0</v>
      </c>
      <c r="V37" s="11">
        <f t="shared" si="15"/>
        <v>0</v>
      </c>
    </row>
    <row r="38" spans="1:22" s="180" customFormat="1" ht="15">
      <c r="D38" s="180" t="s">
        <v>358</v>
      </c>
      <c r="E38" s="180" t="s">
        <v>878</v>
      </c>
      <c r="F38" s="180">
        <v>2017</v>
      </c>
      <c r="G38" s="180">
        <v>10</v>
      </c>
      <c r="H38" s="180">
        <v>0</v>
      </c>
      <c r="I38" s="180" t="s">
        <v>52</v>
      </c>
      <c r="J38" s="180">
        <f>+IF(K37-'2111 Trks'!$N$3&gt;=3,K37-'2111 Trks'!$N$3,3)</f>
        <v>2012</v>
      </c>
      <c r="K38" s="180">
        <f t="shared" si="8"/>
        <v>4029</v>
      </c>
      <c r="L38" s="182">
        <f t="shared" si="9"/>
        <v>4029.8333333333335</v>
      </c>
      <c r="M38" s="182">
        <f>+'2111 Trks - Orig'!N73-'Transfer Trucks'!M37</f>
        <v>20205.759999999995</v>
      </c>
      <c r="N38" s="182">
        <f t="shared" si="10"/>
        <v>20205.759999999995</v>
      </c>
      <c r="O38" s="182">
        <f t="shared" si="11"/>
        <v>0.83688535453942992</v>
      </c>
      <c r="P38" s="182">
        <f t="shared" si="12"/>
        <v>10.042624254473159</v>
      </c>
      <c r="Q38" s="182">
        <f>+IF(L38&lt;='2111 Trks'!$N$5,0,IF(K38&gt;'2111 Trks'!$N$4,P38,(O38*G38)))</f>
        <v>10.042624254473159</v>
      </c>
      <c r="R38" s="182"/>
      <c r="S38" s="182">
        <f>+IF(Q38=0,M38,IF('2111 Trks'!$N$3-F38&lt;1,0,(('2111 Trks'!$N$3-F38)*P38)))</f>
        <v>0</v>
      </c>
      <c r="T38" s="182">
        <f t="shared" si="13"/>
        <v>10.042624254473159</v>
      </c>
      <c r="U38" s="182">
        <f t="shared" si="14"/>
        <v>20200.738687872756</v>
      </c>
      <c r="V38" s="11">
        <f t="shared" si="15"/>
        <v>20195.71737574552</v>
      </c>
    </row>
    <row r="39" spans="1:22" s="3" customFormat="1" ht="15">
      <c r="B39" s="3">
        <v>173959</v>
      </c>
      <c r="D39" s="3" t="s">
        <v>575</v>
      </c>
      <c r="E39" s="3" t="s">
        <v>576</v>
      </c>
      <c r="F39" s="3">
        <v>2008</v>
      </c>
      <c r="G39" s="3">
        <v>11</v>
      </c>
      <c r="H39" s="3">
        <v>0</v>
      </c>
      <c r="I39" s="3" t="s">
        <v>52</v>
      </c>
      <c r="J39" s="3">
        <v>3</v>
      </c>
      <c r="K39" s="3">
        <f t="shared" si="8"/>
        <v>2011</v>
      </c>
      <c r="L39" s="139">
        <f t="shared" si="9"/>
        <v>2011.9166666666667</v>
      </c>
      <c r="M39" s="139">
        <v>2500</v>
      </c>
      <c r="N39" s="139">
        <f t="shared" si="10"/>
        <v>2500</v>
      </c>
      <c r="O39" s="139">
        <f t="shared" si="11"/>
        <v>69.444444444444443</v>
      </c>
      <c r="P39" s="139">
        <f t="shared" si="12"/>
        <v>833.33333333333326</v>
      </c>
      <c r="Q39" s="139">
        <f>+IF(L39&lt;='2111 Trks'!$N$5,0,IF(K39&gt;'2111 Trks'!$N$4,P39,(O39*G39)))</f>
        <v>0</v>
      </c>
      <c r="R39" s="139"/>
      <c r="S39" s="139">
        <f>+IF(Q39=0,M39,IF('2111 Trks'!$N$3-F39&lt;1,0,(('2111 Trks'!$N$3-F39)*P39)))</f>
        <v>2500</v>
      </c>
      <c r="T39" s="139">
        <f t="shared" si="13"/>
        <v>2500</v>
      </c>
      <c r="U39" s="139">
        <f t="shared" si="14"/>
        <v>0</v>
      </c>
      <c r="V39" s="11">
        <f t="shared" si="15"/>
        <v>0</v>
      </c>
    </row>
    <row r="40" spans="1:22" s="3" customFormat="1" ht="15">
      <c r="B40" s="3">
        <v>173957</v>
      </c>
      <c r="D40" s="3" t="s">
        <v>577</v>
      </c>
      <c r="E40" s="3" t="s">
        <v>578</v>
      </c>
      <c r="F40" s="3">
        <v>2008</v>
      </c>
      <c r="G40" s="3">
        <v>11</v>
      </c>
      <c r="H40" s="3">
        <v>0</v>
      </c>
      <c r="I40" s="3" t="s">
        <v>52</v>
      </c>
      <c r="J40" s="3">
        <v>3</v>
      </c>
      <c r="K40" s="3">
        <f t="shared" si="8"/>
        <v>2011</v>
      </c>
      <c r="L40" s="139">
        <f t="shared" si="9"/>
        <v>2011.9166666666667</v>
      </c>
      <c r="M40" s="139">
        <v>1000</v>
      </c>
      <c r="N40" s="139">
        <f t="shared" si="10"/>
        <v>1000</v>
      </c>
      <c r="O40" s="139">
        <f t="shared" si="11"/>
        <v>27.777777777777775</v>
      </c>
      <c r="P40" s="139">
        <f t="shared" si="12"/>
        <v>333.33333333333331</v>
      </c>
      <c r="Q40" s="139">
        <f>+IF(L40&lt;='2111 Trks'!$N$5,0,IF(K40&gt;'2111 Trks'!$N$4,P40,(O40*G40)))</f>
        <v>0</v>
      </c>
      <c r="R40" s="139"/>
      <c r="S40" s="139">
        <f>+IF(Q40=0,M40,IF('2111 Trks'!$N$3-F40&lt;1,0,(('2111 Trks'!$N$3-F40)*P40)))</f>
        <v>1000</v>
      </c>
      <c r="T40" s="139">
        <f t="shared" si="13"/>
        <v>1000</v>
      </c>
      <c r="U40" s="139">
        <f t="shared" si="14"/>
        <v>0</v>
      </c>
      <c r="V40" s="11">
        <f t="shared" si="15"/>
        <v>0</v>
      </c>
    </row>
    <row r="41" spans="1:22" s="3" customFormat="1" ht="15">
      <c r="B41" s="3">
        <v>173956</v>
      </c>
      <c r="D41" s="3" t="s">
        <v>579</v>
      </c>
      <c r="E41" s="3" t="s">
        <v>580</v>
      </c>
      <c r="F41" s="3">
        <v>2008</v>
      </c>
      <c r="G41" s="3">
        <v>11</v>
      </c>
      <c r="H41" s="3">
        <v>0</v>
      </c>
      <c r="I41" s="3" t="s">
        <v>52</v>
      </c>
      <c r="J41" s="3">
        <v>3</v>
      </c>
      <c r="K41" s="3">
        <f t="shared" si="8"/>
        <v>2011</v>
      </c>
      <c r="L41" s="139">
        <f t="shared" si="9"/>
        <v>2011.9166666666667</v>
      </c>
      <c r="M41" s="139">
        <v>2500</v>
      </c>
      <c r="N41" s="139">
        <f t="shared" si="10"/>
        <v>2500</v>
      </c>
      <c r="O41" s="139">
        <f t="shared" si="11"/>
        <v>69.444444444444443</v>
      </c>
      <c r="P41" s="139">
        <f t="shared" si="12"/>
        <v>833.33333333333326</v>
      </c>
      <c r="Q41" s="139">
        <f>+IF(L41&lt;='2111 Trks'!$N$5,0,IF(K41&gt;'2111 Trks'!$N$4,P41,(O41*G41)))</f>
        <v>0</v>
      </c>
      <c r="R41" s="139"/>
      <c r="S41" s="139">
        <f>+IF(Q41=0,M41,IF('2111 Trks'!$N$3-F41&lt;1,0,(('2111 Trks'!$N$3-F41)*P41)))</f>
        <v>2500</v>
      </c>
      <c r="T41" s="139">
        <f t="shared" si="13"/>
        <v>2500</v>
      </c>
      <c r="U41" s="139">
        <f t="shared" si="14"/>
        <v>0</v>
      </c>
      <c r="V41" s="11">
        <f t="shared" si="15"/>
        <v>0</v>
      </c>
    </row>
    <row r="42" spans="1:22" s="3" customFormat="1" ht="15">
      <c r="B42" s="3">
        <v>173954</v>
      </c>
      <c r="D42" s="3">
        <v>130</v>
      </c>
      <c r="E42" s="3" t="s">
        <v>581</v>
      </c>
      <c r="F42" s="3">
        <v>2008</v>
      </c>
      <c r="G42" s="3">
        <v>11</v>
      </c>
      <c r="H42" s="3">
        <v>0</v>
      </c>
      <c r="I42" s="3" t="s">
        <v>52</v>
      </c>
      <c r="J42" s="3">
        <v>8</v>
      </c>
      <c r="K42" s="3">
        <f t="shared" si="8"/>
        <v>2016</v>
      </c>
      <c r="L42" s="139">
        <f t="shared" si="9"/>
        <v>2016.9166666666667</v>
      </c>
      <c r="M42" s="139">
        <v>66500</v>
      </c>
      <c r="N42" s="139">
        <f t="shared" si="10"/>
        <v>66500</v>
      </c>
      <c r="O42" s="139">
        <f t="shared" si="11"/>
        <v>692.70833333333337</v>
      </c>
      <c r="P42" s="139">
        <f t="shared" si="12"/>
        <v>8312.5</v>
      </c>
      <c r="Q42" s="139">
        <f>+IF(L42&lt;='2111 Trks'!$N$5,0,IF(K42&gt;'2111 Trks'!$N$4,P42,(O42*G42)))</f>
        <v>0</v>
      </c>
      <c r="R42" s="139"/>
      <c r="S42" s="139">
        <f>+IF(Q42=0,M42,IF('2111 Trks'!$N$3-F42&lt;1,0,(('2111 Trks'!$N$3-F42)*P42)))</f>
        <v>66500</v>
      </c>
      <c r="T42" s="139">
        <f t="shared" si="13"/>
        <v>66500</v>
      </c>
      <c r="U42" s="139">
        <f t="shared" si="14"/>
        <v>0</v>
      </c>
      <c r="V42" s="11">
        <f t="shared" si="15"/>
        <v>0</v>
      </c>
    </row>
    <row r="43" spans="1:22" s="3" customFormat="1" ht="15">
      <c r="A43" s="3" t="s">
        <v>40</v>
      </c>
      <c r="B43" s="3" t="s">
        <v>287</v>
      </c>
      <c r="C43" s="3" t="s">
        <v>281</v>
      </c>
      <c r="D43" s="3" t="s">
        <v>354</v>
      </c>
      <c r="E43" s="3" t="s">
        <v>360</v>
      </c>
      <c r="F43" s="3">
        <v>2009</v>
      </c>
      <c r="G43" s="3">
        <v>3</v>
      </c>
      <c r="H43" s="3">
        <v>0</v>
      </c>
      <c r="I43" s="3" t="s">
        <v>52</v>
      </c>
      <c r="J43" s="3">
        <v>3</v>
      </c>
      <c r="K43" s="3">
        <f t="shared" si="8"/>
        <v>2012</v>
      </c>
      <c r="L43" s="139">
        <f t="shared" si="9"/>
        <v>2012.25</v>
      </c>
      <c r="M43" s="139">
        <v>20901.78</v>
      </c>
      <c r="N43" s="139">
        <f t="shared" si="10"/>
        <v>20901.78</v>
      </c>
      <c r="O43" s="139">
        <f t="shared" si="11"/>
        <v>580.6049999999999</v>
      </c>
      <c r="P43" s="139">
        <f t="shared" si="12"/>
        <v>6967.2599999999984</v>
      </c>
      <c r="Q43" s="139">
        <f>+IF(L43&lt;='2111 Trks'!$N$5,0,IF(K43&gt;'2111 Trks'!$N$4,P43,(O43*G43)))</f>
        <v>0</v>
      </c>
      <c r="R43" s="139"/>
      <c r="S43" s="139">
        <f>+IF(Q43=0,M43,IF('2111 Trks'!$N$3-F43&lt;1,0,(('2111 Trks'!$N$3-F43)*P43)))</f>
        <v>20901.78</v>
      </c>
      <c r="T43" s="139">
        <f t="shared" si="13"/>
        <v>20901.78</v>
      </c>
      <c r="U43" s="139">
        <f t="shared" si="14"/>
        <v>0</v>
      </c>
      <c r="V43" s="11">
        <f t="shared" si="15"/>
        <v>0</v>
      </c>
    </row>
    <row r="44" spans="1:22" s="3" customFormat="1" ht="15">
      <c r="A44" s="3" t="s">
        <v>40</v>
      </c>
      <c r="B44" s="3" t="s">
        <v>288</v>
      </c>
      <c r="C44" s="3" t="s">
        <v>281</v>
      </c>
      <c r="D44" s="3" t="s">
        <v>353</v>
      </c>
      <c r="E44" s="3" t="s">
        <v>360</v>
      </c>
      <c r="F44" s="3">
        <v>2009</v>
      </c>
      <c r="G44" s="3">
        <v>6</v>
      </c>
      <c r="H44" s="3">
        <v>0</v>
      </c>
      <c r="I44" s="3" t="s">
        <v>52</v>
      </c>
      <c r="J44" s="3">
        <v>3</v>
      </c>
      <c r="K44" s="3">
        <f t="shared" si="8"/>
        <v>2012</v>
      </c>
      <c r="L44" s="139">
        <f t="shared" si="9"/>
        <v>2012.5</v>
      </c>
      <c r="M44" s="139">
        <v>21020.5</v>
      </c>
      <c r="N44" s="139">
        <f t="shared" si="10"/>
        <v>21020.5</v>
      </c>
      <c r="O44" s="139">
        <f t="shared" si="11"/>
        <v>583.90277777777771</v>
      </c>
      <c r="P44" s="139">
        <f t="shared" si="12"/>
        <v>7006.8333333333321</v>
      </c>
      <c r="Q44" s="139">
        <f>+IF(L44&lt;='2111 Trks'!$N$5,0,IF(K44&gt;'2111 Trks'!$N$4,P44,(O44*G44)))</f>
        <v>0</v>
      </c>
      <c r="R44" s="139"/>
      <c r="S44" s="139">
        <f>+IF(Q44=0,M44,IF('2111 Trks'!$N$3-F44&lt;1,0,(('2111 Trks'!$N$3-F44)*P44)))</f>
        <v>21020.5</v>
      </c>
      <c r="T44" s="139">
        <f t="shared" si="13"/>
        <v>21020.5</v>
      </c>
      <c r="U44" s="139">
        <f t="shared" si="14"/>
        <v>0</v>
      </c>
      <c r="V44" s="11">
        <f t="shared" si="15"/>
        <v>0</v>
      </c>
    </row>
    <row r="45" spans="1:22" s="3" customFormat="1" ht="15">
      <c r="A45" s="3" t="s">
        <v>40</v>
      </c>
      <c r="B45" s="3">
        <v>102169</v>
      </c>
      <c r="C45" s="3" t="s">
        <v>175</v>
      </c>
      <c r="D45" s="3">
        <v>182</v>
      </c>
      <c r="E45" s="3" t="s">
        <v>237</v>
      </c>
      <c r="F45" s="3">
        <v>2009</v>
      </c>
      <c r="G45" s="3">
        <v>8</v>
      </c>
      <c r="H45" s="3">
        <v>0</v>
      </c>
      <c r="I45" s="3" t="s">
        <v>52</v>
      </c>
      <c r="J45" s="3">
        <v>5</v>
      </c>
      <c r="K45" s="3">
        <f t="shared" si="8"/>
        <v>2014</v>
      </c>
      <c r="L45" s="139">
        <f t="shared" si="9"/>
        <v>2014.6666666666667</v>
      </c>
      <c r="M45" s="139">
        <f>+'2111 Trks - Orig'!P78</f>
        <v>50794.817200000005</v>
      </c>
      <c r="N45" s="139">
        <f t="shared" si="10"/>
        <v>50794.817200000005</v>
      </c>
      <c r="O45" s="139">
        <f t="shared" si="11"/>
        <v>846.58028666666678</v>
      </c>
      <c r="P45" s="139">
        <f t="shared" si="12"/>
        <v>10158.963440000001</v>
      </c>
      <c r="Q45" s="139">
        <f>+IF(L45&lt;='2111 Trks'!$N$5,0,IF(K45&gt;'2111 Trks'!$N$4,P45,(O45*G45)))</f>
        <v>0</v>
      </c>
      <c r="R45" s="139"/>
      <c r="S45" s="139">
        <f>+IF(Q45=0,M45,IF('2111 Trks'!$N$3-F45&lt;1,0,(('2111 Trks'!$N$3-F45)*P45)))</f>
        <v>50794.817200000005</v>
      </c>
      <c r="T45" s="139">
        <f t="shared" si="13"/>
        <v>50794.817200000005</v>
      </c>
      <c r="U45" s="139">
        <f t="shared" si="14"/>
        <v>0</v>
      </c>
      <c r="V45" s="11">
        <f t="shared" si="15"/>
        <v>0</v>
      </c>
    </row>
    <row r="46" spans="1:22" s="180" customFormat="1" ht="15">
      <c r="D46" s="180">
        <v>182</v>
      </c>
      <c r="E46" s="180" t="s">
        <v>879</v>
      </c>
      <c r="F46" s="180">
        <v>2017</v>
      </c>
      <c r="G46" s="180">
        <v>10</v>
      </c>
      <c r="H46" s="180">
        <v>0</v>
      </c>
      <c r="I46" s="180" t="s">
        <v>52</v>
      </c>
      <c r="J46" s="180">
        <f>+IF(K45-'2111 Trks'!$N$3&gt;=3,K45-'2111 Trks'!$N$3,3)</f>
        <v>2011</v>
      </c>
      <c r="K46" s="180">
        <f t="shared" si="8"/>
        <v>4028</v>
      </c>
      <c r="L46" s="182">
        <f t="shared" si="9"/>
        <v>4028.8333333333335</v>
      </c>
      <c r="M46" s="182">
        <f>+'2111 Trks - Orig'!N78-'Transfer Trucks'!M45</f>
        <v>25018.342799999999</v>
      </c>
      <c r="N46" s="182">
        <f t="shared" si="10"/>
        <v>25018.342799999999</v>
      </c>
      <c r="O46" s="182">
        <f t="shared" si="11"/>
        <v>1.0367289408254599</v>
      </c>
      <c r="P46" s="182">
        <f t="shared" si="12"/>
        <v>12.440747289905518</v>
      </c>
      <c r="Q46" s="182">
        <f>+IF(L46&lt;='2111 Trks'!$N$5,0,IF(K46&gt;'2111 Trks'!$N$4,P46,(O46*G46)))</f>
        <v>12.440747289905518</v>
      </c>
      <c r="R46" s="182"/>
      <c r="S46" s="182">
        <f>+IF(Q46=0,M46,IF('2111 Trks'!$N$3-F46&lt;1,0,(('2111 Trks'!$N$3-F46)*P46)))</f>
        <v>0</v>
      </c>
      <c r="T46" s="182">
        <f t="shared" si="13"/>
        <v>12.440747289905518</v>
      </c>
      <c r="U46" s="182">
        <f t="shared" si="14"/>
        <v>25012.122426355047</v>
      </c>
      <c r="V46" s="11">
        <f t="shared" si="15"/>
        <v>25005.902052710095</v>
      </c>
    </row>
    <row r="47" spans="1:22" s="3" customFormat="1" ht="15">
      <c r="A47" s="3" t="s">
        <v>40</v>
      </c>
      <c r="B47" s="3">
        <v>102187</v>
      </c>
      <c r="C47" s="3" t="s">
        <v>175</v>
      </c>
      <c r="D47" s="3">
        <v>183</v>
      </c>
      <c r="E47" s="3" t="s">
        <v>239</v>
      </c>
      <c r="F47" s="3">
        <v>2010</v>
      </c>
      <c r="G47" s="3">
        <v>5</v>
      </c>
      <c r="H47" s="3">
        <v>0</v>
      </c>
      <c r="I47" s="3" t="s">
        <v>52</v>
      </c>
      <c r="J47" s="3">
        <v>5</v>
      </c>
      <c r="K47" s="3">
        <f t="shared" si="8"/>
        <v>2015</v>
      </c>
      <c r="L47" s="139">
        <f t="shared" si="9"/>
        <v>2015.4166666666667</v>
      </c>
      <c r="M47" s="139">
        <f>+'2111 Trks - Orig'!P80</f>
        <v>51035.24</v>
      </c>
      <c r="N47" s="139">
        <f t="shared" si="10"/>
        <v>51035.24</v>
      </c>
      <c r="O47" s="139">
        <f t="shared" si="11"/>
        <v>850.58733333333328</v>
      </c>
      <c r="P47" s="139">
        <f t="shared" si="12"/>
        <v>10207.047999999999</v>
      </c>
      <c r="Q47" s="139">
        <f>+IF(L47&lt;='2111 Trks'!$N$5,0,IF(K47&gt;'2111 Trks'!$N$4,P47,(O47*G47)))</f>
        <v>0</v>
      </c>
      <c r="R47" s="139"/>
      <c r="S47" s="139">
        <f>+IF(Q47=0,M47,IF('2111 Trks'!$N$3-F47&lt;1,0,(('2111 Trks'!$N$3-F47)*P47)))</f>
        <v>51035.24</v>
      </c>
      <c r="T47" s="139">
        <f t="shared" si="13"/>
        <v>51035.24</v>
      </c>
      <c r="U47" s="139">
        <f t="shared" si="14"/>
        <v>0</v>
      </c>
      <c r="V47" s="11">
        <f t="shared" si="15"/>
        <v>0</v>
      </c>
    </row>
    <row r="48" spans="1:22" s="180" customFormat="1" ht="15">
      <c r="D48" s="180">
        <v>183</v>
      </c>
      <c r="E48" s="180" t="s">
        <v>880</v>
      </c>
      <c r="F48" s="180">
        <v>2017</v>
      </c>
      <c r="G48" s="180">
        <v>10</v>
      </c>
      <c r="H48" s="180">
        <v>0</v>
      </c>
      <c r="I48" s="180" t="s">
        <v>52</v>
      </c>
      <c r="J48" s="180">
        <f>+IF(K47-'2111 Trks'!$N$3&gt;=3,K47-'2111 Trks'!$N$3,3)</f>
        <v>2012</v>
      </c>
      <c r="K48" s="180">
        <f t="shared" si="8"/>
        <v>4029</v>
      </c>
      <c r="L48" s="182">
        <f t="shared" si="9"/>
        <v>4029.8333333333335</v>
      </c>
      <c r="M48" s="182">
        <f>+'2111 Trks - Orig'!N80-'Transfer Trucks'!M47</f>
        <v>25136.760000000002</v>
      </c>
      <c r="N48" s="182">
        <f t="shared" si="10"/>
        <v>25136.760000000002</v>
      </c>
      <c r="O48" s="182">
        <f t="shared" si="11"/>
        <v>1.0411182902584495</v>
      </c>
      <c r="P48" s="182">
        <f t="shared" si="12"/>
        <v>12.493419483101395</v>
      </c>
      <c r="Q48" s="182">
        <f>+IF(L48&lt;='2111 Trks'!$N$5,0,IF(K48&gt;'2111 Trks'!$N$4,P48,(O48*G48)))</f>
        <v>12.493419483101395</v>
      </c>
      <c r="R48" s="182"/>
      <c r="S48" s="182">
        <f>+IF(Q48=0,M48,IF('2111 Trks'!$N$3-F48&lt;1,0,(('2111 Trks'!$N$3-F48)*P48)))</f>
        <v>0</v>
      </c>
      <c r="T48" s="182">
        <f t="shared" si="13"/>
        <v>12.493419483101395</v>
      </c>
      <c r="U48" s="182">
        <f t="shared" si="14"/>
        <v>25130.513290258452</v>
      </c>
      <c r="V48" s="11">
        <f t="shared" si="15"/>
        <v>25124.266580516902</v>
      </c>
    </row>
    <row r="49" spans="1:22" s="3" customFormat="1" ht="15">
      <c r="A49" s="3" t="s">
        <v>40</v>
      </c>
      <c r="C49" s="3" t="s">
        <v>214</v>
      </c>
      <c r="D49" s="3">
        <v>169</v>
      </c>
      <c r="E49" s="3" t="s">
        <v>204</v>
      </c>
      <c r="F49" s="3">
        <v>2010</v>
      </c>
      <c r="G49" s="3">
        <v>10</v>
      </c>
      <c r="H49" s="3">
        <v>0</v>
      </c>
      <c r="I49" s="3" t="s">
        <v>52</v>
      </c>
      <c r="J49" s="3">
        <v>3</v>
      </c>
      <c r="K49" s="3">
        <f t="shared" si="8"/>
        <v>2013</v>
      </c>
      <c r="L49" s="139">
        <f t="shared" si="9"/>
        <v>2013.8333333333333</v>
      </c>
      <c r="M49" s="139">
        <f>12406</f>
        <v>12406</v>
      </c>
      <c r="N49" s="139">
        <f t="shared" si="10"/>
        <v>12406</v>
      </c>
      <c r="O49" s="139">
        <f t="shared" si="11"/>
        <v>344.61111111111109</v>
      </c>
      <c r="P49" s="139">
        <f t="shared" si="12"/>
        <v>4135.333333333333</v>
      </c>
      <c r="Q49" s="139">
        <f>+IF(L49&lt;='2111 Trks'!$N$5,0,IF(K49&gt;'2111 Trks'!$N$4,P49,(O49*G49)))</f>
        <v>0</v>
      </c>
      <c r="R49" s="139"/>
      <c r="S49" s="139">
        <f>+IF(Q49=0,M49,IF('2111 Trks'!$N$3-F49&lt;1,0,(('2111 Trks'!$N$3-F49)*P49)))</f>
        <v>12406</v>
      </c>
      <c r="T49" s="139">
        <f t="shared" si="13"/>
        <v>12406</v>
      </c>
      <c r="U49" s="139">
        <f t="shared" si="14"/>
        <v>0</v>
      </c>
      <c r="V49" s="11">
        <f t="shared" si="15"/>
        <v>0</v>
      </c>
    </row>
    <row r="50" spans="1:22" s="3" customFormat="1" ht="15">
      <c r="A50" s="3" t="s">
        <v>40</v>
      </c>
      <c r="B50" s="3" t="s">
        <v>289</v>
      </c>
      <c r="C50" s="3" t="s">
        <v>281</v>
      </c>
      <c r="D50" s="3" t="s">
        <v>351</v>
      </c>
      <c r="E50" s="3" t="s">
        <v>361</v>
      </c>
      <c r="F50" s="3">
        <v>2011</v>
      </c>
      <c r="G50" s="3">
        <v>1</v>
      </c>
      <c r="H50" s="3">
        <v>0</v>
      </c>
      <c r="I50" s="3" t="s">
        <v>52</v>
      </c>
      <c r="J50" s="3">
        <v>3</v>
      </c>
      <c r="K50" s="3">
        <f t="shared" si="8"/>
        <v>2014</v>
      </c>
      <c r="L50" s="139">
        <f t="shared" si="9"/>
        <v>2014.0833333333333</v>
      </c>
      <c r="M50" s="139">
        <v>34104.480000000003</v>
      </c>
      <c r="N50" s="139">
        <f t="shared" si="10"/>
        <v>34104.480000000003</v>
      </c>
      <c r="O50" s="139">
        <f t="shared" si="11"/>
        <v>947.34666666666681</v>
      </c>
      <c r="P50" s="139">
        <f t="shared" si="12"/>
        <v>11368.160000000002</v>
      </c>
      <c r="Q50" s="139">
        <f>+IF(L50&lt;='2111 Trks'!$N$5,0,IF(K50&gt;'2111 Trks'!$N$4,P50,(O50*G50)))</f>
        <v>0</v>
      </c>
      <c r="R50" s="139"/>
      <c r="S50" s="139">
        <f>+IF(Q50=0,M50,IF('2111 Trks'!$N$3-F50&lt;1,0,(('2111 Trks'!$N$3-F50)*P50)))</f>
        <v>34104.480000000003</v>
      </c>
      <c r="T50" s="139">
        <f t="shared" si="13"/>
        <v>34104.480000000003</v>
      </c>
      <c r="U50" s="139">
        <f t="shared" si="14"/>
        <v>0</v>
      </c>
      <c r="V50" s="11">
        <f t="shared" si="15"/>
        <v>0</v>
      </c>
    </row>
    <row r="51" spans="1:22" s="3" customFormat="1" ht="15">
      <c r="A51" s="3" t="s">
        <v>40</v>
      </c>
      <c r="B51" s="3">
        <v>85258</v>
      </c>
      <c r="C51" s="3" t="s">
        <v>175</v>
      </c>
      <c r="D51" s="3">
        <v>185</v>
      </c>
      <c r="E51" s="3" t="s">
        <v>206</v>
      </c>
      <c r="F51" s="3">
        <v>2011</v>
      </c>
      <c r="G51" s="3">
        <v>7</v>
      </c>
      <c r="H51" s="3">
        <v>0</v>
      </c>
      <c r="I51" s="3" t="s">
        <v>52</v>
      </c>
      <c r="J51" s="3">
        <v>5</v>
      </c>
      <c r="K51" s="3">
        <f t="shared" si="8"/>
        <v>2016</v>
      </c>
      <c r="L51" s="139">
        <f t="shared" si="9"/>
        <v>2016.5833333333333</v>
      </c>
      <c r="M51" s="139">
        <f>+'2111 Trks - Orig'!P83</f>
        <v>60650.528000000006</v>
      </c>
      <c r="N51" s="139">
        <f t="shared" si="10"/>
        <v>60650.528000000006</v>
      </c>
      <c r="O51" s="139">
        <f t="shared" si="11"/>
        <v>1010.8421333333334</v>
      </c>
      <c r="P51" s="139">
        <f t="shared" si="12"/>
        <v>12130.105600000001</v>
      </c>
      <c r="Q51" s="139">
        <f>+IF(L51&lt;='2111 Trks'!$N$5,0,IF(K51&gt;'2111 Trks'!$N$4,P51,(O51*G51)))</f>
        <v>0</v>
      </c>
      <c r="R51" s="139"/>
      <c r="S51" s="139">
        <f>+IF(Q51=0,M51,IF('2111 Trks'!$N$3-F51&lt;1,0,(('2111 Trks'!$N$3-F51)*P51)))</f>
        <v>60650.528000000006</v>
      </c>
      <c r="T51" s="139">
        <f t="shared" si="13"/>
        <v>60650.528000000006</v>
      </c>
      <c r="U51" s="139">
        <f t="shared" si="14"/>
        <v>0</v>
      </c>
      <c r="V51" s="11">
        <f t="shared" si="15"/>
        <v>0</v>
      </c>
    </row>
    <row r="52" spans="1:22" s="180" customFormat="1" ht="15">
      <c r="D52" s="180">
        <v>185</v>
      </c>
      <c r="E52" s="180" t="s">
        <v>881</v>
      </c>
      <c r="F52" s="180">
        <v>2017</v>
      </c>
      <c r="G52" s="180">
        <v>10</v>
      </c>
      <c r="H52" s="180">
        <v>0</v>
      </c>
      <c r="I52" s="180" t="s">
        <v>52</v>
      </c>
      <c r="J52" s="180">
        <f>+IF(K51-'2111 Trks'!$N$3&gt;=3,K51-'2111 Trks'!$N$3,3)</f>
        <v>2013</v>
      </c>
      <c r="K52" s="180">
        <f t="shared" si="8"/>
        <v>4030</v>
      </c>
      <c r="L52" s="182">
        <f t="shared" si="9"/>
        <v>4030.8333333333335</v>
      </c>
      <c r="M52" s="182">
        <f>+'2111 Trks - Orig'!N83-'Transfer Trucks'!M51</f>
        <v>15162.631999999998</v>
      </c>
      <c r="N52" s="182">
        <f t="shared" si="10"/>
        <v>15162.631999999998</v>
      </c>
      <c r="O52" s="182">
        <f t="shared" si="11"/>
        <v>0.62769630733565152</v>
      </c>
      <c r="P52" s="182">
        <f t="shared" si="12"/>
        <v>7.5323556880278186</v>
      </c>
      <c r="Q52" s="182">
        <f>+IF(L52&lt;='2111 Trks'!$N$5,0,IF(K52&gt;'2111 Trks'!$N$4,P52,(O52*G52)))</f>
        <v>7.5323556880278186</v>
      </c>
      <c r="R52" s="182"/>
      <c r="S52" s="182">
        <f>+IF(Q52=0,M52,IF('2111 Trks'!$N$3-F52&lt;1,0,(('2111 Trks'!$N$3-F52)*P52)))</f>
        <v>0</v>
      </c>
      <c r="T52" s="182">
        <f t="shared" si="13"/>
        <v>7.5323556880278186</v>
      </c>
      <c r="U52" s="182">
        <f t="shared" si="14"/>
        <v>15158.865822155984</v>
      </c>
      <c r="V52" s="11">
        <f t="shared" si="15"/>
        <v>15155.099644311969</v>
      </c>
    </row>
    <row r="53" spans="1:22" s="3" customFormat="1" ht="15">
      <c r="A53" s="3" t="s">
        <v>40</v>
      </c>
      <c r="B53" s="3">
        <v>102169</v>
      </c>
      <c r="C53" s="3" t="s">
        <v>175</v>
      </c>
      <c r="D53" s="3">
        <v>182</v>
      </c>
      <c r="E53" s="3" t="s">
        <v>238</v>
      </c>
      <c r="F53" s="3">
        <v>2011</v>
      </c>
      <c r="G53" s="3">
        <v>3</v>
      </c>
      <c r="H53" s="3">
        <v>0</v>
      </c>
      <c r="I53" s="3" t="s">
        <v>52</v>
      </c>
      <c r="J53" s="3">
        <v>3</v>
      </c>
      <c r="K53" s="3">
        <f t="shared" si="8"/>
        <v>2014</v>
      </c>
      <c r="L53" s="139">
        <f t="shared" si="9"/>
        <v>2014.25</v>
      </c>
      <c r="M53" s="139">
        <f>8744</f>
        <v>8744</v>
      </c>
      <c r="N53" s="139">
        <f t="shared" si="10"/>
        <v>8744</v>
      </c>
      <c r="O53" s="139">
        <f t="shared" si="11"/>
        <v>242.88888888888889</v>
      </c>
      <c r="P53" s="139">
        <f t="shared" si="12"/>
        <v>2914.6666666666665</v>
      </c>
      <c r="Q53" s="139">
        <f>+IF(L53&lt;='2111 Trks'!$N$5,0,IF(K53&gt;'2111 Trks'!$N$4,P53,(O53*G53)))</f>
        <v>0</v>
      </c>
      <c r="R53" s="139"/>
      <c r="S53" s="139">
        <f>+IF(Q53=0,M53,IF('2111 Trks'!$N$3-F53&lt;1,0,(('2111 Trks'!$N$3-F53)*P53)))</f>
        <v>8744</v>
      </c>
      <c r="T53" s="139">
        <f t="shared" si="13"/>
        <v>8744</v>
      </c>
      <c r="U53" s="139">
        <f t="shared" si="14"/>
        <v>0</v>
      </c>
      <c r="V53" s="11">
        <f t="shared" si="15"/>
        <v>0</v>
      </c>
    </row>
    <row r="54" spans="1:22" s="3" customFormat="1" ht="15">
      <c r="B54" s="3">
        <v>173963</v>
      </c>
      <c r="C54" s="3" t="s">
        <v>561</v>
      </c>
      <c r="D54" s="3" t="s">
        <v>562</v>
      </c>
      <c r="E54" s="3" t="s">
        <v>563</v>
      </c>
      <c r="F54" s="3">
        <v>2012</v>
      </c>
      <c r="G54" s="3">
        <v>7</v>
      </c>
      <c r="H54" s="3">
        <v>0</v>
      </c>
      <c r="I54" s="3" t="s">
        <v>52</v>
      </c>
      <c r="J54" s="3">
        <v>6</v>
      </c>
      <c r="K54" s="3">
        <f t="shared" si="8"/>
        <v>2018</v>
      </c>
      <c r="L54" s="139">
        <f t="shared" si="9"/>
        <v>2018.5833333333333</v>
      </c>
      <c r="M54" s="139">
        <v>39370.14</v>
      </c>
      <c r="N54" s="139">
        <f t="shared" si="10"/>
        <v>39370.14</v>
      </c>
      <c r="O54" s="139">
        <f t="shared" si="11"/>
        <v>546.8075</v>
      </c>
      <c r="P54" s="139">
        <f t="shared" si="12"/>
        <v>6561.6900000000005</v>
      </c>
      <c r="Q54" s="139">
        <f>+IF(L54&lt;='2111 Trks'!$N$5,0,IF(K54&gt;'2111 Trks'!$N$4,P54,(O54*G54)))</f>
        <v>0</v>
      </c>
      <c r="R54" s="139"/>
      <c r="S54" s="139">
        <f>+IF(Q54=0,M54,IF('2111 Trks'!$N$3-F54&lt;1,0,(('2111 Trks'!$N$3-F54)*P54)))</f>
        <v>39370.14</v>
      </c>
      <c r="T54" s="139">
        <f t="shared" si="13"/>
        <v>39370.14</v>
      </c>
      <c r="U54" s="139">
        <f t="shared" si="14"/>
        <v>0</v>
      </c>
      <c r="V54" s="11">
        <f t="shared" si="15"/>
        <v>0</v>
      </c>
    </row>
    <row r="55" spans="1:22" s="3" customFormat="1" ht="15">
      <c r="B55" s="3">
        <v>173962</v>
      </c>
      <c r="C55" s="3" t="s">
        <v>561</v>
      </c>
      <c r="D55" s="3" t="s">
        <v>564</v>
      </c>
      <c r="E55" s="3" t="s">
        <v>563</v>
      </c>
      <c r="F55" s="3">
        <v>2012</v>
      </c>
      <c r="G55" s="3">
        <v>7</v>
      </c>
      <c r="H55" s="3">
        <v>0</v>
      </c>
      <c r="I55" s="3" t="s">
        <v>52</v>
      </c>
      <c r="J55" s="3">
        <v>6</v>
      </c>
      <c r="K55" s="3">
        <f t="shared" si="8"/>
        <v>2018</v>
      </c>
      <c r="L55" s="139">
        <f t="shared" si="9"/>
        <v>2018.5833333333333</v>
      </c>
      <c r="M55" s="139">
        <v>39370.15</v>
      </c>
      <c r="N55" s="139">
        <f t="shared" si="10"/>
        <v>39370.15</v>
      </c>
      <c r="O55" s="139">
        <f t="shared" si="11"/>
        <v>546.80763888888885</v>
      </c>
      <c r="P55" s="139">
        <f t="shared" si="12"/>
        <v>6561.6916666666657</v>
      </c>
      <c r="Q55" s="139">
        <f>+IF(L55&lt;='2111 Trks'!$N$5,0,IF(K55&gt;'2111 Trks'!$N$4,P55,(O55*G55)))</f>
        <v>0</v>
      </c>
      <c r="R55" s="139"/>
      <c r="S55" s="139">
        <f>+IF(Q55=0,M55,IF('2111 Trks'!$N$3-F55&lt;1,0,(('2111 Trks'!$N$3-F55)*P55)))</f>
        <v>39370.15</v>
      </c>
      <c r="T55" s="139">
        <f t="shared" si="13"/>
        <v>39370.15</v>
      </c>
      <c r="U55" s="139">
        <f t="shared" si="14"/>
        <v>0</v>
      </c>
      <c r="V55" s="11">
        <f t="shared" si="15"/>
        <v>0</v>
      </c>
    </row>
    <row r="56" spans="1:22" s="3" customFormat="1" ht="15">
      <c r="A56" s="3" t="s">
        <v>40</v>
      </c>
      <c r="B56" s="3">
        <v>106743</v>
      </c>
      <c r="D56" s="3" t="s">
        <v>276</v>
      </c>
      <c r="E56" s="3" t="s">
        <v>279</v>
      </c>
      <c r="F56" s="3">
        <v>2013</v>
      </c>
      <c r="G56" s="3">
        <v>8</v>
      </c>
      <c r="H56" s="3">
        <v>0</v>
      </c>
      <c r="I56" s="3" t="s">
        <v>52</v>
      </c>
      <c r="J56" s="3">
        <v>7</v>
      </c>
      <c r="K56" s="3">
        <f t="shared" si="8"/>
        <v>2020</v>
      </c>
      <c r="L56" s="139">
        <f t="shared" si="9"/>
        <v>2020.6666666666667</v>
      </c>
      <c r="M56" s="139">
        <f>+'2111 Trks - Orig'!P86</f>
        <v>31419.856</v>
      </c>
      <c r="N56" s="139">
        <f t="shared" si="10"/>
        <v>31419.856</v>
      </c>
      <c r="O56" s="139">
        <f t="shared" si="11"/>
        <v>374.04590476190475</v>
      </c>
      <c r="P56" s="139">
        <f t="shared" si="12"/>
        <v>4488.5508571428572</v>
      </c>
      <c r="Q56" s="139">
        <f>+IF(L56&lt;='2111 Trks'!$N$5,0,IF(K56&gt;'2111 Trks'!$N$4,P56,(O56*G56)))</f>
        <v>0</v>
      </c>
      <c r="R56" s="139"/>
      <c r="S56" s="139">
        <f>+IF(Q56=0,M56,IF('2111 Trks'!$N$3-F56&lt;1,0,(('2111 Trks'!$N$3-F56)*P56)))</f>
        <v>31419.856</v>
      </c>
      <c r="T56" s="139">
        <f t="shared" si="13"/>
        <v>31419.856</v>
      </c>
      <c r="U56" s="139">
        <f t="shared" si="14"/>
        <v>0</v>
      </c>
      <c r="V56" s="11">
        <f t="shared" si="15"/>
        <v>0</v>
      </c>
    </row>
    <row r="57" spans="1:22" s="180" customFormat="1" ht="15">
      <c r="D57" s="180" t="s">
        <v>276</v>
      </c>
      <c r="E57" s="180" t="s">
        <v>882</v>
      </c>
      <c r="F57" s="180">
        <v>2017</v>
      </c>
      <c r="G57" s="180">
        <v>10</v>
      </c>
      <c r="H57" s="180">
        <v>0</v>
      </c>
      <c r="I57" s="180" t="s">
        <v>52</v>
      </c>
      <c r="J57" s="180">
        <f>+IF(K56-'2111 Trks'!$N$3&gt;=3,K56-'2111 Trks'!$N$3,3)</f>
        <v>2017</v>
      </c>
      <c r="K57" s="180">
        <f t="shared" si="8"/>
        <v>4034</v>
      </c>
      <c r="L57" s="182">
        <f t="shared" si="9"/>
        <v>4034.8333333333335</v>
      </c>
      <c r="M57" s="182">
        <f>+'2111 Trks - Orig'!N86-'Transfer Trucks'!M56</f>
        <v>7854.9639999999999</v>
      </c>
      <c r="N57" s="182">
        <f t="shared" si="10"/>
        <v>7854.9639999999999</v>
      </c>
      <c r="O57" s="182">
        <f t="shared" si="11"/>
        <v>0.32453164766154358</v>
      </c>
      <c r="P57" s="182">
        <f t="shared" si="12"/>
        <v>3.8943797719385227</v>
      </c>
      <c r="Q57" s="182">
        <f>+IF(L57&lt;='2111 Trks'!$N$5,0,IF(K57&gt;'2111 Trks'!$N$4,P57,(O57*G57)))</f>
        <v>3.8943797719385227</v>
      </c>
      <c r="R57" s="182"/>
      <c r="S57" s="182">
        <f>+IF(Q57=0,M57,IF('2111 Trks'!$N$3-F57&lt;1,0,(('2111 Trks'!$N$3-F57)*P57)))</f>
        <v>0</v>
      </c>
      <c r="T57" s="182">
        <f t="shared" si="13"/>
        <v>3.8943797719385227</v>
      </c>
      <c r="U57" s="182">
        <f t="shared" si="14"/>
        <v>7853.0168101140307</v>
      </c>
      <c r="V57" s="11">
        <f t="shared" si="15"/>
        <v>7851.0696202280615</v>
      </c>
    </row>
    <row r="58" spans="1:22" s="3" customFormat="1" ht="15">
      <c r="A58" s="3" t="s">
        <v>40</v>
      </c>
      <c r="B58" s="3">
        <v>106796</v>
      </c>
      <c r="D58" s="3" t="s">
        <v>277</v>
      </c>
      <c r="E58" s="3" t="s">
        <v>279</v>
      </c>
      <c r="F58" s="3">
        <v>2013</v>
      </c>
      <c r="G58" s="3">
        <v>8</v>
      </c>
      <c r="H58" s="3">
        <v>0</v>
      </c>
      <c r="I58" s="3" t="s">
        <v>52</v>
      </c>
      <c r="J58" s="3">
        <v>7</v>
      </c>
      <c r="K58" s="3">
        <f t="shared" si="8"/>
        <v>2020</v>
      </c>
      <c r="L58" s="139">
        <f t="shared" si="9"/>
        <v>2020.6666666666667</v>
      </c>
      <c r="M58" s="139">
        <f>+'2111 Trks - Orig'!P87</f>
        <v>31419.856</v>
      </c>
      <c r="N58" s="139">
        <f t="shared" si="10"/>
        <v>31419.856</v>
      </c>
      <c r="O58" s="139">
        <f t="shared" si="11"/>
        <v>374.04590476190475</v>
      </c>
      <c r="P58" s="139">
        <f t="shared" si="12"/>
        <v>4488.5508571428572</v>
      </c>
      <c r="Q58" s="139">
        <f>+IF(L58&lt;='2111 Trks'!$N$5,0,IF(K58&gt;'2111 Trks'!$N$4,P58,(O58*G58)))</f>
        <v>0</v>
      </c>
      <c r="R58" s="139"/>
      <c r="S58" s="139">
        <f>+IF(Q58=0,M58,IF('2111 Trks'!$N$3-F58&lt;1,0,(('2111 Trks'!$N$3-F58)*P58)))</f>
        <v>31419.856</v>
      </c>
      <c r="T58" s="139">
        <f t="shared" si="13"/>
        <v>31419.856</v>
      </c>
      <c r="U58" s="139">
        <f t="shared" si="14"/>
        <v>0</v>
      </c>
      <c r="V58" s="11">
        <f t="shared" si="15"/>
        <v>0</v>
      </c>
    </row>
    <row r="59" spans="1:22" s="180" customFormat="1" ht="15">
      <c r="D59" s="180" t="s">
        <v>277</v>
      </c>
      <c r="E59" s="180" t="s">
        <v>883</v>
      </c>
      <c r="F59" s="180">
        <v>2017</v>
      </c>
      <c r="G59" s="180">
        <v>10</v>
      </c>
      <c r="H59" s="180">
        <v>0</v>
      </c>
      <c r="I59" s="180" t="s">
        <v>52</v>
      </c>
      <c r="J59" s="180">
        <f>+IF(K58-'2111 Trks'!$N$3&gt;=3,K58-'2111 Trks'!$N$3,3)</f>
        <v>2017</v>
      </c>
      <c r="K59" s="180">
        <f t="shared" si="8"/>
        <v>4034</v>
      </c>
      <c r="L59" s="182">
        <f t="shared" si="9"/>
        <v>4034.8333333333335</v>
      </c>
      <c r="M59" s="182">
        <f>+'2111 Trks - Orig'!N87-'Transfer Trucks'!M58</f>
        <v>7854.9639999999999</v>
      </c>
      <c r="N59" s="182">
        <f t="shared" si="10"/>
        <v>7854.9639999999999</v>
      </c>
      <c r="O59" s="182">
        <f t="shared" si="11"/>
        <v>0.32453164766154358</v>
      </c>
      <c r="P59" s="182">
        <f t="shared" si="12"/>
        <v>3.8943797719385227</v>
      </c>
      <c r="Q59" s="182">
        <f>+IF(L59&lt;='2111 Trks'!$N$5,0,IF(K59&gt;'2111 Trks'!$N$4,P59,(O59*G59)))</f>
        <v>3.8943797719385227</v>
      </c>
      <c r="R59" s="182"/>
      <c r="S59" s="182">
        <f>+IF(Q59=0,M59,IF('2111 Trks'!$N$3-F59&lt;1,0,(('2111 Trks'!$N$3-F59)*P59)))</f>
        <v>0</v>
      </c>
      <c r="T59" s="182">
        <f t="shared" si="13"/>
        <v>3.8943797719385227</v>
      </c>
      <c r="U59" s="182">
        <f t="shared" si="14"/>
        <v>7853.0168101140307</v>
      </c>
      <c r="V59" s="11">
        <f t="shared" si="15"/>
        <v>7851.0696202280615</v>
      </c>
    </row>
    <row r="60" spans="1:22" s="3" customFormat="1" ht="15">
      <c r="A60" s="3" t="s">
        <v>40</v>
      </c>
      <c r="B60" s="3">
        <v>106797</v>
      </c>
      <c r="D60" s="3" t="s">
        <v>278</v>
      </c>
      <c r="E60" s="3" t="s">
        <v>279</v>
      </c>
      <c r="F60" s="3">
        <v>2013</v>
      </c>
      <c r="G60" s="3">
        <v>8</v>
      </c>
      <c r="H60" s="3">
        <v>0</v>
      </c>
      <c r="I60" s="3" t="s">
        <v>52</v>
      </c>
      <c r="J60" s="3">
        <v>7</v>
      </c>
      <c r="K60" s="3">
        <f t="shared" si="8"/>
        <v>2020</v>
      </c>
      <c r="L60" s="139">
        <f t="shared" si="9"/>
        <v>2020.6666666666667</v>
      </c>
      <c r="M60" s="139">
        <f>+'2111 Trks - Orig'!P88</f>
        <v>31419.856</v>
      </c>
      <c r="N60" s="139">
        <f t="shared" si="10"/>
        <v>31419.856</v>
      </c>
      <c r="O60" s="139">
        <f t="shared" si="11"/>
        <v>374.04590476190475</v>
      </c>
      <c r="P60" s="139">
        <f t="shared" si="12"/>
        <v>4488.5508571428572</v>
      </c>
      <c r="Q60" s="139">
        <f>+IF(L60&lt;='2111 Trks'!$N$5,0,IF(K60&gt;'2111 Trks'!$N$4,P60,(O60*G60)))</f>
        <v>0</v>
      </c>
      <c r="R60" s="139"/>
      <c r="S60" s="139">
        <f>+IF(Q60=0,M60,IF('2111 Trks'!$N$3-F60&lt;1,0,(('2111 Trks'!$N$3-F60)*P60)))</f>
        <v>31419.856</v>
      </c>
      <c r="T60" s="139">
        <f t="shared" si="13"/>
        <v>31419.856</v>
      </c>
      <c r="U60" s="139">
        <f t="shared" si="14"/>
        <v>0</v>
      </c>
      <c r="V60" s="11">
        <f t="shared" si="15"/>
        <v>0</v>
      </c>
    </row>
    <row r="61" spans="1:22" s="180" customFormat="1" ht="15">
      <c r="D61" s="180" t="s">
        <v>278</v>
      </c>
      <c r="E61" s="180" t="s">
        <v>884</v>
      </c>
      <c r="F61" s="180">
        <v>2017</v>
      </c>
      <c r="G61" s="180">
        <v>10</v>
      </c>
      <c r="H61" s="180">
        <v>0</v>
      </c>
      <c r="I61" s="180" t="s">
        <v>52</v>
      </c>
      <c r="J61" s="180">
        <f>+IF(K60-'2111 Trks'!$N$3&gt;=3,K60-'2111 Trks'!$N$3,3)</f>
        <v>2017</v>
      </c>
      <c r="K61" s="180">
        <f t="shared" si="8"/>
        <v>4034</v>
      </c>
      <c r="L61" s="182">
        <f t="shared" si="9"/>
        <v>4034.8333333333335</v>
      </c>
      <c r="M61" s="182">
        <f>+'2111 Trks - Orig'!N88-'Transfer Trucks'!M60</f>
        <v>7854.9639999999999</v>
      </c>
      <c r="N61" s="182">
        <f t="shared" si="10"/>
        <v>7854.9639999999999</v>
      </c>
      <c r="O61" s="182">
        <f t="shared" si="11"/>
        <v>0.32453164766154358</v>
      </c>
      <c r="P61" s="182">
        <f t="shared" si="12"/>
        <v>3.8943797719385227</v>
      </c>
      <c r="Q61" s="182">
        <f>+IF(L61&lt;='2111 Trks'!$N$5,0,IF(K61&gt;'2111 Trks'!$N$4,P61,(O61*G61)))</f>
        <v>3.8943797719385227</v>
      </c>
      <c r="R61" s="182"/>
      <c r="S61" s="182">
        <f>+IF(Q61=0,M61,IF('2111 Trks'!$N$3-F61&lt;1,0,(('2111 Trks'!$N$3-F61)*P61)))</f>
        <v>0</v>
      </c>
      <c r="T61" s="182">
        <f t="shared" si="13"/>
        <v>3.8943797719385227</v>
      </c>
      <c r="U61" s="182">
        <f t="shared" si="14"/>
        <v>7853.0168101140307</v>
      </c>
      <c r="V61" s="11">
        <f t="shared" si="15"/>
        <v>7851.0696202280615</v>
      </c>
    </row>
    <row r="62" spans="1:22" s="3" customFormat="1" ht="15">
      <c r="A62" s="3" t="s">
        <v>40</v>
      </c>
      <c r="B62" s="3">
        <v>131570</v>
      </c>
      <c r="C62" s="3" t="s">
        <v>175</v>
      </c>
      <c r="D62" s="3">
        <v>175</v>
      </c>
      <c r="E62" s="3" t="s">
        <v>416</v>
      </c>
      <c r="F62" s="3">
        <v>2016</v>
      </c>
      <c r="G62" s="3">
        <v>3</v>
      </c>
      <c r="H62" s="3">
        <v>0</v>
      </c>
      <c r="I62" s="3" t="s">
        <v>52</v>
      </c>
      <c r="J62" s="3">
        <v>3</v>
      </c>
      <c r="K62" s="3">
        <f t="shared" si="8"/>
        <v>2019</v>
      </c>
      <c r="L62" s="139">
        <f t="shared" si="9"/>
        <v>2019.25</v>
      </c>
      <c r="M62" s="139">
        <v>24214.62</v>
      </c>
      <c r="N62" s="139">
        <f t="shared" si="10"/>
        <v>24214.62</v>
      </c>
      <c r="O62" s="139">
        <f t="shared" si="11"/>
        <v>672.62833333333333</v>
      </c>
      <c r="P62" s="139">
        <f t="shared" si="12"/>
        <v>8071.54</v>
      </c>
      <c r="Q62" s="139">
        <f>+IF(L62&lt;='2111 Trks'!$N$5,0,IF(K62&gt;'2111 Trks'!$N$4,P62,(O62*G62)))</f>
        <v>0</v>
      </c>
      <c r="R62" s="139"/>
      <c r="S62" s="139">
        <f>+IF(Q62=0,M62,IF('2111 Trks'!$N$3-F62&lt;1,0,(('2111 Trks'!$N$3-F62)*P62)))</f>
        <v>24214.62</v>
      </c>
      <c r="T62" s="139">
        <f t="shared" si="13"/>
        <v>24214.62</v>
      </c>
      <c r="U62" s="139">
        <f t="shared" si="14"/>
        <v>0</v>
      </c>
      <c r="V62" s="11">
        <f t="shared" si="15"/>
        <v>0</v>
      </c>
    </row>
    <row r="63" spans="1:22" s="3" customFormat="1" ht="15">
      <c r="A63" s="3" t="s">
        <v>40</v>
      </c>
      <c r="B63" s="3">
        <v>132977</v>
      </c>
      <c r="D63" s="3">
        <v>182</v>
      </c>
      <c r="E63" s="3" t="s">
        <v>394</v>
      </c>
      <c r="F63" s="3">
        <v>2016</v>
      </c>
      <c r="G63" s="3">
        <v>4</v>
      </c>
      <c r="H63" s="3">
        <v>0</v>
      </c>
      <c r="I63" s="3" t="s">
        <v>52</v>
      </c>
      <c r="J63" s="3">
        <v>3</v>
      </c>
      <c r="K63" s="3">
        <f t="shared" si="8"/>
        <v>2019</v>
      </c>
      <c r="L63" s="139">
        <f t="shared" si="9"/>
        <v>2019.3333333333333</v>
      </c>
      <c r="M63" s="139">
        <v>34606.75</v>
      </c>
      <c r="N63" s="139">
        <f t="shared" si="10"/>
        <v>34606.75</v>
      </c>
      <c r="O63" s="139">
        <f t="shared" si="11"/>
        <v>961.2986111111112</v>
      </c>
      <c r="P63" s="139">
        <f t="shared" si="12"/>
        <v>11535.583333333334</v>
      </c>
      <c r="Q63" s="139">
        <f>+IF(L63&lt;='2111 Trks'!$N$5,0,IF(K63&gt;'2111 Trks'!$N$4,P63,(O63*G63)))</f>
        <v>0</v>
      </c>
      <c r="R63" s="139"/>
      <c r="S63" s="139">
        <f>+IF(Q63=0,M63,IF('2111 Trks'!$N$3-F63&lt;1,0,(('2111 Trks'!$N$3-F63)*P63)))</f>
        <v>34606.75</v>
      </c>
      <c r="T63" s="139">
        <f t="shared" si="13"/>
        <v>34606.75</v>
      </c>
      <c r="U63" s="139">
        <f t="shared" si="14"/>
        <v>0</v>
      </c>
      <c r="V63" s="11">
        <f t="shared" si="15"/>
        <v>0</v>
      </c>
    </row>
    <row r="64" spans="1:22" s="3" customFormat="1" ht="15">
      <c r="A64" s="3" t="s">
        <v>40</v>
      </c>
      <c r="B64" s="3">
        <v>166458</v>
      </c>
      <c r="D64" s="3" t="s">
        <v>415</v>
      </c>
      <c r="E64" s="3" t="s">
        <v>402</v>
      </c>
      <c r="F64" s="3">
        <v>2016</v>
      </c>
      <c r="G64" s="3">
        <v>8</v>
      </c>
      <c r="H64" s="3">
        <v>0</v>
      </c>
      <c r="I64" s="3" t="s">
        <v>52</v>
      </c>
      <c r="J64" s="3">
        <v>3</v>
      </c>
      <c r="K64" s="3">
        <f t="shared" ref="K64:K95" si="16">F64+J64</f>
        <v>2019</v>
      </c>
      <c r="L64" s="139">
        <f t="shared" ref="L64:L95" si="17">+K64+(G64/12)</f>
        <v>2019.6666666666667</v>
      </c>
      <c r="M64" s="139">
        <v>26927</v>
      </c>
      <c r="N64" s="139">
        <f t="shared" ref="N64:N95" si="18">M64-M64*H64</f>
        <v>26927</v>
      </c>
      <c r="O64" s="139">
        <f t="shared" ref="O64:O95" si="19">N64/J64/12</f>
        <v>747.97222222222217</v>
      </c>
      <c r="P64" s="139">
        <f t="shared" ref="P64:P95" si="20">+O64*12</f>
        <v>8975.6666666666661</v>
      </c>
      <c r="Q64" s="139">
        <f>+IF(L64&lt;='2111 Trks'!$N$5,0,IF(K64&gt;'2111 Trks'!$N$4,P64,(O64*G64)))</f>
        <v>0</v>
      </c>
      <c r="R64" s="139"/>
      <c r="S64" s="139">
        <f>+IF(Q64=0,M64,IF('2111 Trks'!$N$3-F64&lt;1,0,(('2111 Trks'!$N$3-F64)*P64)))</f>
        <v>26927</v>
      </c>
      <c r="T64" s="139">
        <f t="shared" ref="T64:T95" si="21">+IF(Q64=0,S64,S64+Q64)</f>
        <v>26927</v>
      </c>
      <c r="U64" s="139">
        <f t="shared" ref="U64:U95" si="22">+IF(Q64=0,0,((M64-S64)+(M64-T64))/2)</f>
        <v>0</v>
      </c>
      <c r="V64" s="11">
        <f t="shared" ref="V64:V95" si="23">M64-T64</f>
        <v>0</v>
      </c>
    </row>
    <row r="65" spans="1:22" s="3" customFormat="1" ht="15">
      <c r="A65" s="3" t="s">
        <v>40</v>
      </c>
      <c r="B65" s="3">
        <v>166835</v>
      </c>
      <c r="D65" s="3" t="s">
        <v>413</v>
      </c>
      <c r="E65" s="3" t="s">
        <v>404</v>
      </c>
      <c r="F65" s="3">
        <v>2016</v>
      </c>
      <c r="G65" s="3">
        <v>6</v>
      </c>
      <c r="H65" s="3">
        <v>0</v>
      </c>
      <c r="I65" s="3" t="s">
        <v>52</v>
      </c>
      <c r="J65" s="3">
        <v>3</v>
      </c>
      <c r="K65" s="3">
        <f t="shared" si="16"/>
        <v>2019</v>
      </c>
      <c r="L65" s="139">
        <f t="shared" si="17"/>
        <v>2019.5</v>
      </c>
      <c r="M65" s="139">
        <v>5475</v>
      </c>
      <c r="N65" s="139">
        <f t="shared" si="18"/>
        <v>5475</v>
      </c>
      <c r="O65" s="139">
        <f t="shared" si="19"/>
        <v>152.08333333333334</v>
      </c>
      <c r="P65" s="139">
        <f t="shared" si="20"/>
        <v>1825</v>
      </c>
      <c r="Q65" s="139">
        <f>+IF(L65&lt;='2111 Trks'!$N$5,0,IF(K65&gt;'2111 Trks'!$N$4,P65,(O65*G65)))</f>
        <v>0</v>
      </c>
      <c r="R65" s="139"/>
      <c r="S65" s="139">
        <f>+IF(Q65=0,M65,IF('2111 Trks'!$N$3-F65&lt;1,0,(('2111 Trks'!$N$3-F65)*P65)))</f>
        <v>5475</v>
      </c>
      <c r="T65" s="139">
        <f t="shared" si="21"/>
        <v>5475</v>
      </c>
      <c r="U65" s="139">
        <f t="shared" si="22"/>
        <v>0</v>
      </c>
      <c r="V65" s="11">
        <f t="shared" si="23"/>
        <v>0</v>
      </c>
    </row>
    <row r="66" spans="1:22" s="3" customFormat="1" ht="15">
      <c r="A66" s="3" t="s">
        <v>40</v>
      </c>
      <c r="B66" s="3">
        <v>168978</v>
      </c>
      <c r="D66" s="3">
        <v>175</v>
      </c>
      <c r="E66" s="3" t="s">
        <v>406</v>
      </c>
      <c r="F66" s="3">
        <v>2016</v>
      </c>
      <c r="G66" s="3">
        <v>6</v>
      </c>
      <c r="H66" s="3">
        <v>0</v>
      </c>
      <c r="I66" s="3" t="s">
        <v>52</v>
      </c>
      <c r="J66" s="3">
        <v>3</v>
      </c>
      <c r="K66" s="3">
        <f t="shared" si="16"/>
        <v>2019</v>
      </c>
      <c r="L66" s="139">
        <f t="shared" si="17"/>
        <v>2019.5</v>
      </c>
      <c r="M66" s="139">
        <v>8833.89</v>
      </c>
      <c r="N66" s="139">
        <f t="shared" si="18"/>
        <v>8833.89</v>
      </c>
      <c r="O66" s="139">
        <f t="shared" si="19"/>
        <v>245.3858333333333</v>
      </c>
      <c r="P66" s="139">
        <f t="shared" si="20"/>
        <v>2944.6299999999997</v>
      </c>
      <c r="Q66" s="139">
        <f>+IF(L66&lt;='2111 Trks'!$N$5,0,IF(K66&gt;'2111 Trks'!$N$4,P66,(O66*G66)))</f>
        <v>0</v>
      </c>
      <c r="R66" s="139"/>
      <c r="S66" s="139">
        <f>+IF(Q66=0,M66,IF('2111 Trks'!$N$3-F66&lt;1,0,(('2111 Trks'!$N$3-F66)*P66)))</f>
        <v>8833.89</v>
      </c>
      <c r="T66" s="139">
        <f t="shared" si="21"/>
        <v>8833.89</v>
      </c>
      <c r="U66" s="139">
        <f t="shared" si="22"/>
        <v>0</v>
      </c>
      <c r="V66" s="11">
        <f t="shared" si="23"/>
        <v>0</v>
      </c>
    </row>
    <row r="67" spans="1:22" s="3" customFormat="1" ht="15">
      <c r="A67" s="3" t="s">
        <v>40</v>
      </c>
      <c r="B67" s="3">
        <v>171235</v>
      </c>
      <c r="D67" s="3">
        <v>188</v>
      </c>
      <c r="E67" s="3" t="s">
        <v>425</v>
      </c>
      <c r="F67" s="3">
        <v>2016</v>
      </c>
      <c r="G67" s="3">
        <v>12</v>
      </c>
      <c r="H67" s="3">
        <v>0</v>
      </c>
      <c r="I67" s="3" t="s">
        <v>52</v>
      </c>
      <c r="J67" s="3">
        <v>4</v>
      </c>
      <c r="K67" s="3">
        <f t="shared" si="16"/>
        <v>2020</v>
      </c>
      <c r="L67" s="139">
        <f t="shared" si="17"/>
        <v>2021</v>
      </c>
      <c r="M67" s="139">
        <v>104215</v>
      </c>
      <c r="N67" s="139">
        <f t="shared" si="18"/>
        <v>104215</v>
      </c>
      <c r="O67" s="139">
        <f t="shared" si="19"/>
        <v>2171.1458333333335</v>
      </c>
      <c r="P67" s="139">
        <f t="shared" si="20"/>
        <v>26053.75</v>
      </c>
      <c r="Q67" s="139">
        <f>+IF(L67&lt;='2111 Trks'!$N$5,0,IF(K67&gt;'2111 Trks'!$N$4,P67,(O67*G67)))</f>
        <v>0</v>
      </c>
      <c r="R67" s="139"/>
      <c r="S67" s="139">
        <f>+IF(Q67=0,M67,IF('2111 Trks'!$N$3-F67&lt;1,0,(('2111 Trks'!$N$3-F67)*P67)))</f>
        <v>104215</v>
      </c>
      <c r="T67" s="139">
        <f t="shared" si="21"/>
        <v>104215</v>
      </c>
      <c r="U67" s="139">
        <f t="shared" si="22"/>
        <v>0</v>
      </c>
      <c r="V67" s="11">
        <f t="shared" si="23"/>
        <v>0</v>
      </c>
    </row>
    <row r="68" spans="1:22" s="3" customFormat="1" ht="15">
      <c r="A68" s="3" t="s">
        <v>40</v>
      </c>
      <c r="B68" s="3" t="s">
        <v>419</v>
      </c>
      <c r="E68" s="3" t="s">
        <v>421</v>
      </c>
      <c r="F68" s="3">
        <v>2016</v>
      </c>
      <c r="G68" s="3">
        <v>3</v>
      </c>
      <c r="H68" s="3">
        <v>0</v>
      </c>
      <c r="I68" s="3" t="s">
        <v>52</v>
      </c>
      <c r="J68" s="3">
        <v>1</v>
      </c>
      <c r="K68" s="3">
        <f t="shared" si="16"/>
        <v>2017</v>
      </c>
      <c r="L68" s="139">
        <f t="shared" si="17"/>
        <v>2017.25</v>
      </c>
      <c r="M68" s="139">
        <f>(25892.28+23056.62)/104*5</f>
        <v>2353.3125</v>
      </c>
      <c r="N68" s="139">
        <f t="shared" si="18"/>
        <v>2353.3125</v>
      </c>
      <c r="O68" s="139">
        <f t="shared" si="19"/>
        <v>196.109375</v>
      </c>
      <c r="P68" s="139">
        <f t="shared" si="20"/>
        <v>2353.3125</v>
      </c>
      <c r="Q68" s="139">
        <f>+IF(L68&lt;='2111 Trks'!$N$5,0,IF(K68&gt;'2111 Trks'!$N$4,P68,(O68*G68)))</f>
        <v>0</v>
      </c>
      <c r="R68" s="139"/>
      <c r="S68" s="139">
        <f>+IF(Q68=0,M68,IF('2111 Trks'!$N$3-F68&lt;1,0,(('2111 Trks'!$N$3-F68)*P68)))</f>
        <v>2353.3125</v>
      </c>
      <c r="T68" s="139">
        <f t="shared" si="21"/>
        <v>2353.3125</v>
      </c>
      <c r="U68" s="139">
        <f t="shared" si="22"/>
        <v>0</v>
      </c>
      <c r="V68" s="11">
        <f t="shared" si="23"/>
        <v>0</v>
      </c>
    </row>
    <row r="69" spans="1:22" s="3" customFormat="1" ht="15">
      <c r="A69" s="3" t="s">
        <v>40</v>
      </c>
      <c r="B69" s="3">
        <v>132248</v>
      </c>
      <c r="E69" s="3" t="s">
        <v>392</v>
      </c>
      <c r="F69" s="3">
        <v>2016</v>
      </c>
      <c r="G69" s="3">
        <v>4</v>
      </c>
      <c r="H69" s="3">
        <v>0</v>
      </c>
      <c r="I69" s="3" t="s">
        <v>52</v>
      </c>
      <c r="J69" s="3">
        <v>5</v>
      </c>
      <c r="K69" s="3">
        <f t="shared" si="16"/>
        <v>2021</v>
      </c>
      <c r="L69" s="139">
        <f t="shared" si="17"/>
        <v>2021.3333333333333</v>
      </c>
      <c r="M69" s="139">
        <v>37677.360000000001</v>
      </c>
      <c r="N69" s="139">
        <f t="shared" si="18"/>
        <v>37677.360000000001</v>
      </c>
      <c r="O69" s="139">
        <f t="shared" si="19"/>
        <v>627.95600000000002</v>
      </c>
      <c r="P69" s="139">
        <f t="shared" si="20"/>
        <v>7535.4719999999998</v>
      </c>
      <c r="Q69" s="139">
        <f>+IF(L69&lt;='2111 Trks'!$N$5,0,IF(K69&gt;'2111 Trks'!$N$4,P69,(O69*G69)))</f>
        <v>0</v>
      </c>
      <c r="R69" s="139"/>
      <c r="S69" s="139">
        <f>+IF(Q69=0,M69,IF('2111 Trks'!$N$3-F69&lt;1,0,(('2111 Trks'!$N$3-F69)*P69)))</f>
        <v>37677.360000000001</v>
      </c>
      <c r="T69" s="139">
        <f t="shared" si="21"/>
        <v>37677.360000000001</v>
      </c>
      <c r="U69" s="139">
        <f t="shared" si="22"/>
        <v>0</v>
      </c>
      <c r="V69" s="11">
        <f t="shared" si="23"/>
        <v>0</v>
      </c>
    </row>
    <row r="70" spans="1:22" s="3" customFormat="1" ht="15">
      <c r="A70" s="3" t="s">
        <v>40</v>
      </c>
      <c r="B70" s="3">
        <v>132249</v>
      </c>
      <c r="E70" s="3" t="s">
        <v>393</v>
      </c>
      <c r="F70" s="3">
        <v>2016</v>
      </c>
      <c r="G70" s="3">
        <v>4</v>
      </c>
      <c r="H70" s="3">
        <v>0</v>
      </c>
      <c r="I70" s="3" t="s">
        <v>52</v>
      </c>
      <c r="J70" s="3">
        <v>5</v>
      </c>
      <c r="K70" s="3">
        <f t="shared" si="16"/>
        <v>2021</v>
      </c>
      <c r="L70" s="139">
        <f t="shared" si="17"/>
        <v>2021.3333333333333</v>
      </c>
      <c r="M70" s="139">
        <v>7289.19</v>
      </c>
      <c r="N70" s="139">
        <f t="shared" si="18"/>
        <v>7289.19</v>
      </c>
      <c r="O70" s="139">
        <f t="shared" si="19"/>
        <v>121.48649999999999</v>
      </c>
      <c r="P70" s="139">
        <f t="shared" si="20"/>
        <v>1457.838</v>
      </c>
      <c r="Q70" s="139">
        <f>+IF(L70&lt;='2111 Trks'!$N$5,0,IF(K70&gt;'2111 Trks'!$N$4,P70,(O70*G70)))</f>
        <v>0</v>
      </c>
      <c r="R70" s="139"/>
      <c r="S70" s="139">
        <f>+IF(Q70=0,M70,IF('2111 Trks'!$N$3-F70&lt;1,0,(('2111 Trks'!$N$3-F70)*P70)))</f>
        <v>7289.19</v>
      </c>
      <c r="T70" s="139">
        <f t="shared" si="21"/>
        <v>7289.19</v>
      </c>
      <c r="U70" s="139">
        <f t="shared" si="22"/>
        <v>0</v>
      </c>
      <c r="V70" s="11">
        <f t="shared" si="23"/>
        <v>0</v>
      </c>
    </row>
    <row r="71" spans="1:22" s="3" customFormat="1" ht="15">
      <c r="A71" s="3" t="s">
        <v>40</v>
      </c>
      <c r="B71" s="3">
        <v>165758</v>
      </c>
      <c r="D71" s="3">
        <v>406</v>
      </c>
      <c r="E71" s="3" t="s">
        <v>398</v>
      </c>
      <c r="F71" s="3">
        <v>2016</v>
      </c>
      <c r="G71" s="3">
        <v>6</v>
      </c>
      <c r="H71" s="3">
        <v>0</v>
      </c>
      <c r="I71" s="3" t="s">
        <v>52</v>
      </c>
      <c r="J71" s="3">
        <v>3</v>
      </c>
      <c r="K71" s="3">
        <f t="shared" si="16"/>
        <v>2019</v>
      </c>
      <c r="L71" s="139">
        <f t="shared" si="17"/>
        <v>2019.5</v>
      </c>
      <c r="M71" s="139">
        <v>19969.009999999998</v>
      </c>
      <c r="N71" s="139">
        <f t="shared" si="18"/>
        <v>19969.009999999998</v>
      </c>
      <c r="O71" s="139">
        <f t="shared" si="19"/>
        <v>554.69472222222214</v>
      </c>
      <c r="P71" s="139">
        <f t="shared" si="20"/>
        <v>6656.3366666666661</v>
      </c>
      <c r="Q71" s="139">
        <f>+IF(L71&lt;='2111 Trks'!$N$5,0,IF(K71&gt;'2111 Trks'!$N$4,P71,(O71*G71)))</f>
        <v>0</v>
      </c>
      <c r="R71" s="139"/>
      <c r="S71" s="139">
        <f>+IF(Q71=0,M71,IF('2111 Trks'!$N$3-F71&lt;1,0,(('2111 Trks'!$N$3-F71)*P71)))</f>
        <v>19969.009999999998</v>
      </c>
      <c r="T71" s="139">
        <f t="shared" si="21"/>
        <v>19969.009999999998</v>
      </c>
      <c r="U71" s="139">
        <f t="shared" si="22"/>
        <v>0</v>
      </c>
      <c r="V71" s="11">
        <f t="shared" si="23"/>
        <v>0</v>
      </c>
    </row>
    <row r="72" spans="1:22" s="3" customFormat="1" ht="15">
      <c r="B72" s="3" t="s">
        <v>556</v>
      </c>
      <c r="D72" s="3">
        <v>175</v>
      </c>
      <c r="E72" s="3" t="s">
        <v>416</v>
      </c>
      <c r="F72" s="3">
        <v>2016</v>
      </c>
      <c r="G72" s="3">
        <v>3</v>
      </c>
      <c r="H72" s="3">
        <v>0</v>
      </c>
      <c r="I72" s="3" t="s">
        <v>52</v>
      </c>
      <c r="J72" s="3">
        <v>3</v>
      </c>
      <c r="K72" s="3">
        <f t="shared" si="16"/>
        <v>2019</v>
      </c>
      <c r="L72" s="139">
        <f t="shared" si="17"/>
        <v>2019.25</v>
      </c>
      <c r="M72" s="139">
        <v>24214.62</v>
      </c>
      <c r="N72" s="139">
        <f t="shared" si="18"/>
        <v>24214.62</v>
      </c>
      <c r="O72" s="139">
        <f t="shared" si="19"/>
        <v>672.62833333333333</v>
      </c>
      <c r="P72" s="139">
        <f t="shared" si="20"/>
        <v>8071.54</v>
      </c>
      <c r="Q72" s="139">
        <f>+IF(L72&lt;='2111 Trks'!$N$5,0,IF(K72&gt;'2111 Trks'!$N$4,P72,(O72*G72)))</f>
        <v>0</v>
      </c>
      <c r="R72" s="139"/>
      <c r="S72" s="139">
        <f>+IF(Q72=0,M72,IF('2111 Trks'!$N$3-F72&lt;1,0,(('2111 Trks'!$N$3-F72)*P72)))</f>
        <v>24214.62</v>
      </c>
      <c r="T72" s="139">
        <f t="shared" si="21"/>
        <v>24214.62</v>
      </c>
      <c r="U72" s="139">
        <f t="shared" si="22"/>
        <v>0</v>
      </c>
      <c r="V72" s="11">
        <f t="shared" si="23"/>
        <v>0</v>
      </c>
    </row>
    <row r="73" spans="1:22" s="3" customFormat="1" ht="15">
      <c r="B73" s="3" t="s">
        <v>502</v>
      </c>
      <c r="D73" s="3">
        <v>61</v>
      </c>
      <c r="E73" s="3" t="s">
        <v>503</v>
      </c>
      <c r="F73" s="3">
        <v>2017</v>
      </c>
      <c r="G73" s="3">
        <v>8</v>
      </c>
      <c r="H73" s="3">
        <v>0</v>
      </c>
      <c r="I73" s="3" t="s">
        <v>52</v>
      </c>
      <c r="J73" s="3">
        <v>3</v>
      </c>
      <c r="K73" s="3">
        <f t="shared" si="16"/>
        <v>2020</v>
      </c>
      <c r="L73" s="139">
        <f t="shared" si="17"/>
        <v>2020.6666666666667</v>
      </c>
      <c r="M73" s="139">
        <v>9492.07</v>
      </c>
      <c r="N73" s="139">
        <f t="shared" si="18"/>
        <v>9492.07</v>
      </c>
      <c r="O73" s="139">
        <f t="shared" si="19"/>
        <v>263.66861111111109</v>
      </c>
      <c r="P73" s="139">
        <f t="shared" si="20"/>
        <v>3164.0233333333331</v>
      </c>
      <c r="Q73" s="139">
        <f>+IF(L73&lt;='2111 Trks'!$N$5,0,IF(K73&gt;'2111 Trks'!$N$4,P73,(O73*G73)))</f>
        <v>0</v>
      </c>
      <c r="R73" s="139"/>
      <c r="S73" s="139">
        <f>+IF(Q73=0,M73,IF('2111 Trks'!$N$3-F73&lt;1,0,(('2111 Trks'!$N$3-F73)*P73)))</f>
        <v>9492.07</v>
      </c>
      <c r="T73" s="139">
        <f t="shared" si="21"/>
        <v>9492.07</v>
      </c>
      <c r="U73" s="139">
        <f t="shared" si="22"/>
        <v>0</v>
      </c>
      <c r="V73" s="11">
        <f t="shared" si="23"/>
        <v>0</v>
      </c>
    </row>
    <row r="74" spans="1:22" s="3" customFormat="1" ht="15">
      <c r="B74" s="3" t="s">
        <v>504</v>
      </c>
      <c r="D74" s="3">
        <v>182</v>
      </c>
      <c r="E74" s="3" t="s">
        <v>505</v>
      </c>
      <c r="F74" s="3">
        <v>2017</v>
      </c>
      <c r="G74" s="3">
        <v>8</v>
      </c>
      <c r="H74" s="3">
        <v>0</v>
      </c>
      <c r="I74" s="3" t="s">
        <v>52</v>
      </c>
      <c r="J74" s="3">
        <v>3</v>
      </c>
      <c r="K74" s="3">
        <f t="shared" si="16"/>
        <v>2020</v>
      </c>
      <c r="L74" s="139">
        <f t="shared" si="17"/>
        <v>2020.6666666666667</v>
      </c>
      <c r="M74" s="139">
        <v>9492.07</v>
      </c>
      <c r="N74" s="139">
        <f t="shared" si="18"/>
        <v>9492.07</v>
      </c>
      <c r="O74" s="139">
        <f t="shared" si="19"/>
        <v>263.66861111111109</v>
      </c>
      <c r="P74" s="139">
        <f t="shared" si="20"/>
        <v>3164.0233333333331</v>
      </c>
      <c r="Q74" s="139">
        <f>+IF(L74&lt;='2111 Trks'!$N$5,0,IF(K74&gt;'2111 Trks'!$N$4,P74,(O74*G74)))</f>
        <v>0</v>
      </c>
      <c r="R74" s="139"/>
      <c r="S74" s="139">
        <f>+IF(Q74=0,M74,IF('2111 Trks'!$N$3-F74&lt;1,0,(('2111 Trks'!$N$3-F74)*P74)))</f>
        <v>9492.07</v>
      </c>
      <c r="T74" s="139">
        <f t="shared" si="21"/>
        <v>9492.07</v>
      </c>
      <c r="U74" s="139">
        <f t="shared" si="22"/>
        <v>0</v>
      </c>
      <c r="V74" s="11">
        <f t="shared" si="23"/>
        <v>0</v>
      </c>
    </row>
    <row r="75" spans="1:22" s="3" customFormat="1" ht="15">
      <c r="B75" s="3" t="s">
        <v>554</v>
      </c>
      <c r="D75" s="3">
        <v>188</v>
      </c>
      <c r="E75" s="3" t="s">
        <v>555</v>
      </c>
      <c r="F75" s="3">
        <v>2017</v>
      </c>
      <c r="G75" s="3">
        <v>1</v>
      </c>
      <c r="H75" s="3">
        <v>0</v>
      </c>
      <c r="I75" s="3" t="s">
        <v>52</v>
      </c>
      <c r="J75" s="3">
        <v>5</v>
      </c>
      <c r="K75" s="3">
        <f t="shared" si="16"/>
        <v>2022</v>
      </c>
      <c r="L75" s="139">
        <f t="shared" si="17"/>
        <v>2022.0833333333333</v>
      </c>
      <c r="M75" s="139">
        <v>9021.1200000000008</v>
      </c>
      <c r="N75" s="139">
        <f t="shared" si="18"/>
        <v>9021.1200000000008</v>
      </c>
      <c r="O75" s="139">
        <f t="shared" si="19"/>
        <v>150.352</v>
      </c>
      <c r="P75" s="139">
        <f t="shared" si="20"/>
        <v>1804.2240000000002</v>
      </c>
      <c r="Q75" s="139">
        <f>+IF(L75&lt;='2111 Trks'!$N$5,0,IF(K75&gt;'2111 Trks'!$N$4,P75,(O75*G75)))</f>
        <v>0</v>
      </c>
      <c r="R75" s="139"/>
      <c r="S75" s="139">
        <f>+IF(Q75=0,M75,IF('2111 Trks'!$N$3-F75&lt;1,0,(('2111 Trks'!$N$3-F75)*P75)))</f>
        <v>9021.1200000000008</v>
      </c>
      <c r="T75" s="139">
        <f t="shared" si="21"/>
        <v>9021.1200000000008</v>
      </c>
      <c r="U75" s="139">
        <f t="shared" si="22"/>
        <v>0</v>
      </c>
      <c r="V75" s="11">
        <f t="shared" si="23"/>
        <v>0</v>
      </c>
    </row>
    <row r="76" spans="1:22" s="3" customFormat="1" ht="15">
      <c r="B76" s="3" t="s">
        <v>570</v>
      </c>
      <c r="D76" s="3">
        <v>168</v>
      </c>
      <c r="E76" s="3" t="s">
        <v>460</v>
      </c>
      <c r="F76" s="3">
        <v>2018</v>
      </c>
      <c r="G76" s="3">
        <v>5</v>
      </c>
      <c r="H76" s="3">
        <v>0</v>
      </c>
      <c r="I76" s="3" t="s">
        <v>52</v>
      </c>
      <c r="J76" s="3">
        <v>3</v>
      </c>
      <c r="K76" s="3">
        <f t="shared" si="16"/>
        <v>2021</v>
      </c>
      <c r="L76" s="139">
        <f t="shared" si="17"/>
        <v>2021.4166666666667</v>
      </c>
      <c r="M76" s="139">
        <v>28485.64</v>
      </c>
      <c r="N76" s="139">
        <f t="shared" si="18"/>
        <v>28485.64</v>
      </c>
      <c r="O76" s="139">
        <f t="shared" si="19"/>
        <v>791.26777777777772</v>
      </c>
      <c r="P76" s="139">
        <f t="shared" si="20"/>
        <v>9495.2133333333331</v>
      </c>
      <c r="Q76" s="139">
        <f>+IF(L76&lt;='2111 Trks'!$N$5,0,IF(K76&gt;'2111 Trks'!$N$4,P76,(O76*G76)))</f>
        <v>0</v>
      </c>
      <c r="R76" s="139"/>
      <c r="S76" s="139">
        <f>+IF(Q76=0,M76,IF('2111 Trks'!$N$3-F76&lt;1,0,(('2111 Trks'!$N$3-F76)*P76)))</f>
        <v>28485.64</v>
      </c>
      <c r="T76" s="139">
        <f t="shared" si="21"/>
        <v>28485.64</v>
      </c>
      <c r="U76" s="139">
        <f t="shared" si="22"/>
        <v>0</v>
      </c>
      <c r="V76" s="11">
        <f t="shared" si="23"/>
        <v>0</v>
      </c>
    </row>
    <row r="77" spans="1:22" s="3" customFormat="1" ht="15">
      <c r="B77" s="3">
        <v>195820</v>
      </c>
      <c r="D77" s="3">
        <v>182</v>
      </c>
      <c r="E77" s="3" t="s">
        <v>596</v>
      </c>
      <c r="F77" s="3">
        <v>2018</v>
      </c>
      <c r="G77" s="3">
        <v>4</v>
      </c>
      <c r="H77" s="3">
        <v>0</v>
      </c>
      <c r="I77" s="3" t="s">
        <v>52</v>
      </c>
      <c r="J77" s="3">
        <v>3</v>
      </c>
      <c r="K77" s="3">
        <f t="shared" si="16"/>
        <v>2021</v>
      </c>
      <c r="L77" s="139">
        <f t="shared" si="17"/>
        <v>2021.3333333333333</v>
      </c>
      <c r="M77" s="139">
        <v>8770.02</v>
      </c>
      <c r="N77" s="139">
        <f t="shared" si="18"/>
        <v>8770.02</v>
      </c>
      <c r="O77" s="139">
        <f t="shared" si="19"/>
        <v>243.61166666666668</v>
      </c>
      <c r="P77" s="139">
        <f t="shared" si="20"/>
        <v>2923.34</v>
      </c>
      <c r="Q77" s="139">
        <f>+IF(L77&lt;='2111 Trks'!$N$5,0,IF(K77&gt;'2111 Trks'!$N$4,P77,(O77*G77)))</f>
        <v>0</v>
      </c>
      <c r="R77" s="139"/>
      <c r="S77" s="139">
        <f>+IF(Q77=0,M77,IF('2111 Trks'!$N$3-F77&lt;1,0,(('2111 Trks'!$N$3-F77)*P77)))</f>
        <v>8770.02</v>
      </c>
      <c r="T77" s="139">
        <f t="shared" si="21"/>
        <v>8770.02</v>
      </c>
      <c r="U77" s="139">
        <f t="shared" si="22"/>
        <v>0</v>
      </c>
      <c r="V77" s="11">
        <f t="shared" si="23"/>
        <v>0</v>
      </c>
    </row>
    <row r="78" spans="1:22" s="3" customFormat="1" ht="15.75" customHeight="1">
      <c r="B78" s="3">
        <v>201533</v>
      </c>
      <c r="D78" s="3" t="s">
        <v>1007</v>
      </c>
      <c r="E78" s="3" t="s">
        <v>896</v>
      </c>
      <c r="F78" s="3">
        <v>2018</v>
      </c>
      <c r="G78" s="3">
        <v>7</v>
      </c>
      <c r="H78" s="3">
        <v>0</v>
      </c>
      <c r="I78" s="3" t="s">
        <v>52</v>
      </c>
      <c r="J78" s="3">
        <v>7</v>
      </c>
      <c r="K78" s="3">
        <f t="shared" si="16"/>
        <v>2025</v>
      </c>
      <c r="L78" s="139">
        <f t="shared" si="17"/>
        <v>2025.5833333333333</v>
      </c>
      <c r="M78" s="139">
        <v>100872.99</v>
      </c>
      <c r="N78" s="139">
        <f t="shared" si="18"/>
        <v>100872.99</v>
      </c>
      <c r="O78" s="139">
        <f t="shared" si="19"/>
        <v>1200.8689285714286</v>
      </c>
      <c r="P78" s="139">
        <f t="shared" si="20"/>
        <v>14410.427142857143</v>
      </c>
      <c r="Q78" s="139">
        <f>+IF(L78&lt;='2111 Trks'!$N$5,0,IF(K78&gt;'2111 Trks'!$N$4,P78,(O78*G78)))</f>
        <v>14410.427142857143</v>
      </c>
      <c r="R78" s="139"/>
      <c r="S78" s="139">
        <f>+IF(Q78=0,M78,IF('2111 Trks'!$N$3-F78&lt;1,0,(('2111 Trks'!$N$3-F78)*P78)))</f>
        <v>0</v>
      </c>
      <c r="T78" s="139">
        <f t="shared" si="21"/>
        <v>14410.427142857143</v>
      </c>
      <c r="U78" s="139">
        <f t="shared" si="22"/>
        <v>93667.776428571437</v>
      </c>
      <c r="V78" s="11">
        <f t="shared" si="23"/>
        <v>86462.562857142868</v>
      </c>
    </row>
    <row r="79" spans="1:22" s="3" customFormat="1" ht="15">
      <c r="B79" s="3">
        <v>203939</v>
      </c>
      <c r="C79" s="3" t="s">
        <v>942</v>
      </c>
      <c r="D79" s="3">
        <v>168</v>
      </c>
      <c r="E79" s="3" t="s">
        <v>940</v>
      </c>
      <c r="F79" s="3">
        <v>2018</v>
      </c>
      <c r="G79" s="3">
        <v>9</v>
      </c>
      <c r="H79" s="3">
        <v>0</v>
      </c>
      <c r="I79" s="3" t="s">
        <v>52</v>
      </c>
      <c r="J79" s="3">
        <v>3</v>
      </c>
      <c r="K79" s="3">
        <f t="shared" si="16"/>
        <v>2021</v>
      </c>
      <c r="L79" s="139">
        <f t="shared" si="17"/>
        <v>2021.75</v>
      </c>
      <c r="M79" s="139">
        <v>11069.35</v>
      </c>
      <c r="N79" s="139">
        <f t="shared" si="18"/>
        <v>11069.35</v>
      </c>
      <c r="O79" s="139">
        <f t="shared" si="19"/>
        <v>307.48194444444442</v>
      </c>
      <c r="P79" s="139">
        <f t="shared" si="20"/>
        <v>3689.7833333333328</v>
      </c>
      <c r="Q79" s="139">
        <f>+IF(L79&lt;='2111 Trks'!$N$5,0,IF(K79&gt;'2111 Trks'!$N$4,P79,(O79*G79)))</f>
        <v>0</v>
      </c>
      <c r="R79" s="139"/>
      <c r="S79" s="139">
        <f>+IF(Q79=0,M79,IF('2111 Trks'!$N$3-F79&lt;1,0,(('2111 Trks'!$N$3-F79)*P79)))</f>
        <v>11069.35</v>
      </c>
      <c r="T79" s="139">
        <f t="shared" si="21"/>
        <v>11069.35</v>
      </c>
      <c r="U79" s="139">
        <f t="shared" si="22"/>
        <v>0</v>
      </c>
      <c r="V79" s="11">
        <f t="shared" si="23"/>
        <v>0</v>
      </c>
    </row>
    <row r="80" spans="1:22" s="3" customFormat="1" ht="15">
      <c r="B80" s="3">
        <v>203779</v>
      </c>
      <c r="C80" s="3">
        <v>201533</v>
      </c>
      <c r="E80" s="3" t="s">
        <v>943</v>
      </c>
      <c r="F80" s="3">
        <v>2018</v>
      </c>
      <c r="G80" s="3">
        <v>7</v>
      </c>
      <c r="H80" s="3">
        <v>0</v>
      </c>
      <c r="I80" s="3" t="s">
        <v>52</v>
      </c>
      <c r="J80" s="3">
        <v>7</v>
      </c>
      <c r="K80" s="3">
        <f t="shared" si="16"/>
        <v>2025</v>
      </c>
      <c r="L80" s="139">
        <f t="shared" si="17"/>
        <v>2025.5833333333333</v>
      </c>
      <c r="M80" s="139">
        <v>11207.98</v>
      </c>
      <c r="N80" s="139">
        <f t="shared" si="18"/>
        <v>11207.98</v>
      </c>
      <c r="O80" s="139">
        <f t="shared" si="19"/>
        <v>133.42833333333331</v>
      </c>
      <c r="P80" s="139">
        <f t="shared" si="20"/>
        <v>1601.1399999999999</v>
      </c>
      <c r="Q80" s="139">
        <f>+IF(L80&lt;='2111 Trks'!$N$5,0,IF(K80&gt;'2111 Trks'!$N$4,P80,(O80*G80)))</f>
        <v>1601.1399999999999</v>
      </c>
      <c r="R80" s="139"/>
      <c r="S80" s="139">
        <f>+IF(Q80=0,M80,IF('2111 Trks'!$N$3-F80&lt;1,0,(('2111 Trks'!$N$3-F80)*P80)))</f>
        <v>0</v>
      </c>
      <c r="T80" s="139">
        <f t="shared" si="21"/>
        <v>1601.1399999999999</v>
      </c>
      <c r="U80" s="139">
        <f t="shared" si="22"/>
        <v>10407.41</v>
      </c>
      <c r="V80" s="11">
        <f t="shared" si="23"/>
        <v>9606.84</v>
      </c>
    </row>
    <row r="81" spans="1:22" s="3" customFormat="1" ht="15">
      <c r="A81" s="3" t="s">
        <v>673</v>
      </c>
      <c r="B81" s="3">
        <v>197352</v>
      </c>
      <c r="D81" s="3" t="s">
        <v>950</v>
      </c>
      <c r="E81" s="3" t="s">
        <v>949</v>
      </c>
      <c r="F81" s="3">
        <v>2018</v>
      </c>
      <c r="G81" s="3">
        <v>2</v>
      </c>
      <c r="H81" s="3">
        <v>0</v>
      </c>
      <c r="I81" s="3" t="s">
        <v>52</v>
      </c>
      <c r="J81" s="3">
        <v>10</v>
      </c>
      <c r="K81" s="3">
        <f t="shared" si="16"/>
        <v>2028</v>
      </c>
      <c r="L81" s="139">
        <f t="shared" si="17"/>
        <v>2028.1666666666667</v>
      </c>
      <c r="M81" s="139">
        <v>54201.23</v>
      </c>
      <c r="N81" s="139">
        <f t="shared" si="18"/>
        <v>54201.23</v>
      </c>
      <c r="O81" s="139">
        <f t="shared" si="19"/>
        <v>451.67691666666673</v>
      </c>
      <c r="P81" s="139">
        <f t="shared" si="20"/>
        <v>5420.1230000000005</v>
      </c>
      <c r="Q81" s="139">
        <f>+IF(L81&lt;='2111 Trks'!$N$5,0,IF(K81&gt;'2111 Trks'!$N$4,P81,(O81*G81)))</f>
        <v>5420.1230000000005</v>
      </c>
      <c r="R81" s="139"/>
      <c r="S81" s="139">
        <f>+IF(Q81=0,M81,IF('2111 Trks'!$N$3-F81&lt;1,0,(('2111 Trks'!$N$3-F81)*P81)))</f>
        <v>0</v>
      </c>
      <c r="T81" s="139">
        <f t="shared" si="21"/>
        <v>5420.1230000000005</v>
      </c>
      <c r="U81" s="139">
        <f t="shared" si="22"/>
        <v>51491.1685</v>
      </c>
      <c r="V81" s="11">
        <f t="shared" si="23"/>
        <v>48781.107000000004</v>
      </c>
    </row>
    <row r="82" spans="1:22" s="3" customFormat="1" ht="15">
      <c r="A82" s="3" t="s">
        <v>673</v>
      </c>
      <c r="B82" s="3">
        <v>202626</v>
      </c>
      <c r="C82" s="3">
        <v>197352</v>
      </c>
      <c r="E82" s="3" t="s">
        <v>963</v>
      </c>
      <c r="F82" s="3">
        <v>2018</v>
      </c>
      <c r="G82" s="3">
        <v>2</v>
      </c>
      <c r="H82" s="3">
        <v>0</v>
      </c>
      <c r="I82" s="3" t="s">
        <v>52</v>
      </c>
      <c r="J82" s="3">
        <v>5</v>
      </c>
      <c r="K82" s="3">
        <f t="shared" si="16"/>
        <v>2023</v>
      </c>
      <c r="L82" s="139">
        <f t="shared" si="17"/>
        <v>2023.1666666666667</v>
      </c>
      <c r="M82" s="139">
        <v>253.5</v>
      </c>
      <c r="N82" s="139">
        <f t="shared" si="18"/>
        <v>253.5</v>
      </c>
      <c r="O82" s="139">
        <f t="shared" si="19"/>
        <v>4.2250000000000005</v>
      </c>
      <c r="P82" s="139">
        <f t="shared" si="20"/>
        <v>50.7</v>
      </c>
      <c r="Q82" s="139">
        <f>+IF(L82&lt;='2111 Trks'!$N$5,0,IF(K82&gt;'2111 Trks'!$N$4,P82,(O82*G82)))</f>
        <v>0</v>
      </c>
      <c r="R82" s="139"/>
      <c r="S82" s="139">
        <f>+IF(Q82=0,M82,IF('2111 Trks'!$N$3-F82&lt;1,0,(('2111 Trks'!$N$3-F82)*P82)))</f>
        <v>253.5</v>
      </c>
      <c r="T82" s="139">
        <f t="shared" si="21"/>
        <v>253.5</v>
      </c>
      <c r="U82" s="139">
        <f t="shared" si="22"/>
        <v>0</v>
      </c>
      <c r="V82" s="11">
        <f t="shared" si="23"/>
        <v>0</v>
      </c>
    </row>
    <row r="83" spans="1:22" s="3" customFormat="1" ht="15">
      <c r="A83" s="3" t="s">
        <v>673</v>
      </c>
      <c r="B83" s="3">
        <v>37217</v>
      </c>
      <c r="D83" s="3">
        <v>148</v>
      </c>
      <c r="E83" s="3" t="s">
        <v>957</v>
      </c>
      <c r="F83" s="3">
        <v>1996</v>
      </c>
      <c r="G83" s="3">
        <v>12</v>
      </c>
      <c r="H83" s="3">
        <v>0</v>
      </c>
      <c r="I83" s="3" t="s">
        <v>52</v>
      </c>
      <c r="J83" s="3">
        <v>7</v>
      </c>
      <c r="K83" s="3">
        <f t="shared" si="16"/>
        <v>2003</v>
      </c>
      <c r="L83" s="139">
        <f t="shared" si="17"/>
        <v>2004</v>
      </c>
      <c r="M83" s="139">
        <v>94552</v>
      </c>
      <c r="N83" s="139">
        <f t="shared" si="18"/>
        <v>94552</v>
      </c>
      <c r="O83" s="139">
        <f t="shared" si="19"/>
        <v>1125.6190476190475</v>
      </c>
      <c r="P83" s="139">
        <f t="shared" si="20"/>
        <v>13507.428571428569</v>
      </c>
      <c r="Q83" s="139">
        <f>+IF(L83&lt;='2111 Trks'!$N$5,0,IF(K83&gt;'2111 Trks'!$N$4,P83,(O83*G83)))</f>
        <v>0</v>
      </c>
      <c r="R83" s="139"/>
      <c r="S83" s="139">
        <f>+IF(Q83=0,M83,IF('2111 Trks'!$N$3-F83&lt;1,0,(('2111 Trks'!$N$3-F83)*P83)))</f>
        <v>94552</v>
      </c>
      <c r="T83" s="139">
        <f t="shared" si="21"/>
        <v>94552</v>
      </c>
      <c r="U83" s="139">
        <f t="shared" si="22"/>
        <v>0</v>
      </c>
      <c r="V83" s="11">
        <f t="shared" si="23"/>
        <v>0</v>
      </c>
    </row>
    <row r="84" spans="1:22" s="3" customFormat="1" ht="15">
      <c r="A84" s="3" t="s">
        <v>673</v>
      </c>
      <c r="B84" s="3">
        <v>37216</v>
      </c>
      <c r="D84" s="3">
        <v>144</v>
      </c>
      <c r="E84" s="3" t="s">
        <v>958</v>
      </c>
      <c r="F84" s="3">
        <v>1996</v>
      </c>
      <c r="G84" s="3">
        <v>12</v>
      </c>
      <c r="H84" s="3">
        <v>0</v>
      </c>
      <c r="I84" s="3" t="s">
        <v>52</v>
      </c>
      <c r="J84" s="3">
        <v>7</v>
      </c>
      <c r="K84" s="3">
        <f t="shared" si="16"/>
        <v>2003</v>
      </c>
      <c r="L84" s="139">
        <f t="shared" si="17"/>
        <v>2004</v>
      </c>
      <c r="M84" s="139">
        <v>94552</v>
      </c>
      <c r="N84" s="139">
        <f t="shared" si="18"/>
        <v>94552</v>
      </c>
      <c r="O84" s="139">
        <f t="shared" si="19"/>
        <v>1125.6190476190475</v>
      </c>
      <c r="P84" s="139">
        <f t="shared" si="20"/>
        <v>13507.428571428569</v>
      </c>
      <c r="Q84" s="139">
        <f>+IF(L84&lt;='2111 Trks'!$N$5,0,IF(K84&gt;'2111 Trks'!$N$4,P84,(O84*G84)))</f>
        <v>0</v>
      </c>
      <c r="R84" s="139"/>
      <c r="S84" s="139">
        <f>+IF(Q84=0,M84,IF('2111 Trks'!$N$3-F84&lt;1,0,(('2111 Trks'!$N$3-F84)*P84)))</f>
        <v>94552</v>
      </c>
      <c r="T84" s="139">
        <f t="shared" si="21"/>
        <v>94552</v>
      </c>
      <c r="U84" s="139">
        <f t="shared" si="22"/>
        <v>0</v>
      </c>
      <c r="V84" s="11">
        <f t="shared" si="23"/>
        <v>0</v>
      </c>
    </row>
    <row r="85" spans="1:22" s="3" customFormat="1" ht="15">
      <c r="A85" s="3" t="s">
        <v>673</v>
      </c>
      <c r="B85" s="3">
        <v>60338</v>
      </c>
      <c r="D85" s="3">
        <v>158</v>
      </c>
      <c r="E85" s="3" t="s">
        <v>959</v>
      </c>
      <c r="F85" s="3">
        <v>2002</v>
      </c>
      <c r="G85" s="3">
        <v>12</v>
      </c>
      <c r="H85" s="3">
        <v>0</v>
      </c>
      <c r="I85" s="3" t="s">
        <v>52</v>
      </c>
      <c r="J85" s="3">
        <v>5</v>
      </c>
      <c r="K85" s="3">
        <f t="shared" si="16"/>
        <v>2007</v>
      </c>
      <c r="L85" s="139">
        <f t="shared" si="17"/>
        <v>2008</v>
      </c>
      <c r="M85" s="139">
        <v>35360</v>
      </c>
      <c r="N85" s="139">
        <f t="shared" si="18"/>
        <v>35360</v>
      </c>
      <c r="O85" s="139">
        <f t="shared" si="19"/>
        <v>589.33333333333337</v>
      </c>
      <c r="P85" s="139">
        <f t="shared" si="20"/>
        <v>7072</v>
      </c>
      <c r="Q85" s="139">
        <f>+IF(L85&lt;='2111 Trks'!$N$5,0,IF(K85&gt;'2111 Trks'!$N$4,P85,(O85*G85)))</f>
        <v>0</v>
      </c>
      <c r="R85" s="139"/>
      <c r="S85" s="139">
        <f>+IF(Q85=0,M85,IF('2111 Trks'!$N$3-F85&lt;1,0,(('2111 Trks'!$N$3-F85)*P85)))</f>
        <v>35360</v>
      </c>
      <c r="T85" s="139">
        <f t="shared" si="21"/>
        <v>35360</v>
      </c>
      <c r="U85" s="139">
        <f t="shared" si="22"/>
        <v>0</v>
      </c>
      <c r="V85" s="11">
        <f t="shared" si="23"/>
        <v>0</v>
      </c>
    </row>
    <row r="86" spans="1:22" s="3" customFormat="1" ht="15">
      <c r="A86" s="3" t="s">
        <v>673</v>
      </c>
      <c r="B86" s="3">
        <v>39589</v>
      </c>
      <c r="D86" s="3" t="s">
        <v>974</v>
      </c>
      <c r="E86" s="3" t="s">
        <v>233</v>
      </c>
      <c r="F86" s="3">
        <v>2004</v>
      </c>
      <c r="G86" s="3">
        <v>11</v>
      </c>
      <c r="H86" s="3">
        <v>0</v>
      </c>
      <c r="I86" s="3" t="s">
        <v>52</v>
      </c>
      <c r="J86" s="3">
        <v>5</v>
      </c>
      <c r="K86" s="3">
        <f t="shared" si="16"/>
        <v>2009</v>
      </c>
      <c r="L86" s="139">
        <f t="shared" si="17"/>
        <v>2009.9166666666667</v>
      </c>
      <c r="M86" s="139">
        <v>20000</v>
      </c>
      <c r="N86" s="139">
        <f t="shared" si="18"/>
        <v>20000</v>
      </c>
      <c r="O86" s="139">
        <f t="shared" si="19"/>
        <v>333.33333333333331</v>
      </c>
      <c r="P86" s="139">
        <f t="shared" si="20"/>
        <v>4000</v>
      </c>
      <c r="Q86" s="139">
        <f>+IF(L86&lt;='2111 Trks'!$N$5,0,IF(K86&gt;'2111 Trks'!$N$4,P86,(O86*G86)))</f>
        <v>0</v>
      </c>
      <c r="R86" s="139"/>
      <c r="S86" s="139">
        <f>+IF(Q86=0,M86,IF('2111 Trks'!$N$3-F86&lt;1,0,(('2111 Trks'!$N$3-F86)*P86)))</f>
        <v>20000</v>
      </c>
      <c r="T86" s="139">
        <f t="shared" si="21"/>
        <v>20000</v>
      </c>
      <c r="U86" s="139">
        <f t="shared" si="22"/>
        <v>0</v>
      </c>
      <c r="V86" s="11">
        <f t="shared" si="23"/>
        <v>0</v>
      </c>
    </row>
    <row r="87" spans="1:22" s="3" customFormat="1" ht="15">
      <c r="A87" s="3" t="s">
        <v>673</v>
      </c>
      <c r="B87" s="3">
        <v>39587</v>
      </c>
      <c r="D87" s="3" t="s">
        <v>364</v>
      </c>
      <c r="E87" s="3" t="s">
        <v>233</v>
      </c>
      <c r="F87" s="3">
        <v>2004</v>
      </c>
      <c r="G87" s="3">
        <v>11</v>
      </c>
      <c r="H87" s="3">
        <v>0</v>
      </c>
      <c r="I87" s="3" t="s">
        <v>52</v>
      </c>
      <c r="J87" s="3">
        <v>7</v>
      </c>
      <c r="K87" s="3">
        <f t="shared" si="16"/>
        <v>2011</v>
      </c>
      <c r="L87" s="139">
        <f t="shared" si="17"/>
        <v>2011.9166666666667</v>
      </c>
      <c r="M87" s="139">
        <v>20000</v>
      </c>
      <c r="N87" s="139">
        <f t="shared" si="18"/>
        <v>20000</v>
      </c>
      <c r="O87" s="139">
        <f t="shared" si="19"/>
        <v>238.0952380952381</v>
      </c>
      <c r="P87" s="139">
        <f t="shared" si="20"/>
        <v>2857.1428571428573</v>
      </c>
      <c r="Q87" s="139">
        <f>+IF(L87&lt;='2111 Trks'!$N$5,0,IF(K87&gt;'2111 Trks'!$N$4,P87,(O87*G87)))</f>
        <v>0</v>
      </c>
      <c r="R87" s="139"/>
      <c r="S87" s="139">
        <f>+IF(Q87=0,M87,IF('2111 Trks'!$N$3-F87&lt;1,0,(('2111 Trks'!$N$3-F87)*P87)))</f>
        <v>20000</v>
      </c>
      <c r="T87" s="139">
        <f t="shared" si="21"/>
        <v>20000</v>
      </c>
      <c r="U87" s="139">
        <f t="shared" si="22"/>
        <v>0</v>
      </c>
      <c r="V87" s="11">
        <f t="shared" si="23"/>
        <v>0</v>
      </c>
    </row>
    <row r="88" spans="1:22" s="3" customFormat="1" ht="15">
      <c r="A88" s="3" t="s">
        <v>673</v>
      </c>
      <c r="B88" s="3">
        <v>37226</v>
      </c>
      <c r="D88" s="3">
        <v>177</v>
      </c>
      <c r="E88" s="3" t="s">
        <v>234</v>
      </c>
      <c r="F88" s="3">
        <v>2004</v>
      </c>
      <c r="G88" s="3">
        <v>11</v>
      </c>
      <c r="H88" s="3">
        <v>0</v>
      </c>
      <c r="I88" s="3" t="s">
        <v>52</v>
      </c>
      <c r="J88" s="3">
        <v>5</v>
      </c>
      <c r="K88" s="3">
        <f t="shared" si="16"/>
        <v>2009</v>
      </c>
      <c r="L88" s="139">
        <f t="shared" si="17"/>
        <v>2009.9166666666667</v>
      </c>
      <c r="M88" s="139">
        <v>56667</v>
      </c>
      <c r="N88" s="139">
        <f t="shared" si="18"/>
        <v>56667</v>
      </c>
      <c r="O88" s="139">
        <f t="shared" si="19"/>
        <v>944.44999999999993</v>
      </c>
      <c r="P88" s="139">
        <f t="shared" si="20"/>
        <v>11333.4</v>
      </c>
      <c r="Q88" s="139">
        <f>+IF(L88&lt;='2111 Trks'!$N$5,0,IF(K88&gt;'2111 Trks'!$N$4,P88,(O88*G88)))</f>
        <v>0</v>
      </c>
      <c r="R88" s="139"/>
      <c r="S88" s="139">
        <f>+IF(Q88=0,M88,IF('2111 Trks'!$N$3-F88&lt;1,0,(('2111 Trks'!$N$3-F88)*P88)))</f>
        <v>56667</v>
      </c>
      <c r="T88" s="139">
        <f t="shared" si="21"/>
        <v>56667</v>
      </c>
      <c r="U88" s="139">
        <f t="shared" si="22"/>
        <v>0</v>
      </c>
      <c r="V88" s="11">
        <f t="shared" si="23"/>
        <v>0</v>
      </c>
    </row>
    <row r="89" spans="1:22" s="3" customFormat="1" ht="15">
      <c r="A89" s="3" t="s">
        <v>673</v>
      </c>
      <c r="B89" s="3">
        <v>37224</v>
      </c>
      <c r="D89" s="3">
        <v>176</v>
      </c>
      <c r="E89" s="3" t="s">
        <v>234</v>
      </c>
      <c r="F89" s="3">
        <v>2004</v>
      </c>
      <c r="G89" s="3">
        <v>11</v>
      </c>
      <c r="H89" s="3">
        <v>0</v>
      </c>
      <c r="I89" s="3" t="s">
        <v>52</v>
      </c>
      <c r="J89" s="3">
        <v>5</v>
      </c>
      <c r="K89" s="3">
        <f t="shared" si="16"/>
        <v>2009</v>
      </c>
      <c r="L89" s="139">
        <f t="shared" si="17"/>
        <v>2009.9166666666667</v>
      </c>
      <c r="M89" s="139">
        <v>56667</v>
      </c>
      <c r="N89" s="139">
        <f t="shared" si="18"/>
        <v>56667</v>
      </c>
      <c r="O89" s="139">
        <f t="shared" si="19"/>
        <v>944.44999999999993</v>
      </c>
      <c r="P89" s="139">
        <f t="shared" si="20"/>
        <v>11333.4</v>
      </c>
      <c r="Q89" s="139">
        <f>+IF(L89&lt;='2111 Trks'!$N$5,0,IF(K89&gt;'2111 Trks'!$N$4,P89,(O89*G89)))</f>
        <v>0</v>
      </c>
      <c r="R89" s="139"/>
      <c r="S89" s="139">
        <f>+IF(Q89=0,M89,IF('2111 Trks'!$N$3-F89&lt;1,0,(('2111 Trks'!$N$3-F89)*P89)))</f>
        <v>56667</v>
      </c>
      <c r="T89" s="139">
        <f t="shared" si="21"/>
        <v>56667</v>
      </c>
      <c r="U89" s="139">
        <f t="shared" si="22"/>
        <v>0</v>
      </c>
      <c r="V89" s="11">
        <f t="shared" si="23"/>
        <v>0</v>
      </c>
    </row>
    <row r="90" spans="1:22" s="3" customFormat="1" ht="15">
      <c r="A90" s="3" t="s">
        <v>673</v>
      </c>
      <c r="B90" s="3">
        <v>60388</v>
      </c>
      <c r="D90" s="3">
        <v>158</v>
      </c>
      <c r="E90" s="3" t="s">
        <v>960</v>
      </c>
      <c r="F90" s="3">
        <v>2004</v>
      </c>
      <c r="G90" s="3">
        <v>5</v>
      </c>
      <c r="H90" s="3">
        <v>0</v>
      </c>
      <c r="I90" s="3" t="s">
        <v>52</v>
      </c>
      <c r="J90" s="3">
        <v>3</v>
      </c>
      <c r="K90" s="3">
        <f t="shared" si="16"/>
        <v>2007</v>
      </c>
      <c r="L90" s="139">
        <f t="shared" si="17"/>
        <v>2007.4166666666667</v>
      </c>
      <c r="M90" s="139">
        <v>18330</v>
      </c>
      <c r="N90" s="139">
        <f t="shared" si="18"/>
        <v>18330</v>
      </c>
      <c r="O90" s="139">
        <f t="shared" si="19"/>
        <v>509.16666666666669</v>
      </c>
      <c r="P90" s="139">
        <f t="shared" si="20"/>
        <v>6110</v>
      </c>
      <c r="Q90" s="139">
        <f>+IF(L90&lt;='2111 Trks'!$N$5,0,IF(K90&gt;'2111 Trks'!$N$4,P90,(O90*G90)))</f>
        <v>0</v>
      </c>
      <c r="R90" s="139"/>
      <c r="S90" s="139">
        <f>+IF(Q90=0,M90,IF('2111 Trks'!$N$3-F90&lt;1,0,(('2111 Trks'!$N$3-F90)*P90)))</f>
        <v>18330</v>
      </c>
      <c r="T90" s="139">
        <f t="shared" si="21"/>
        <v>18330</v>
      </c>
      <c r="U90" s="139">
        <f t="shared" si="22"/>
        <v>0</v>
      </c>
      <c r="V90" s="11">
        <f t="shared" si="23"/>
        <v>0</v>
      </c>
    </row>
    <row r="91" spans="1:22" s="3" customFormat="1" ht="15">
      <c r="A91" s="3" t="s">
        <v>673</v>
      </c>
      <c r="B91" s="3">
        <v>36192</v>
      </c>
      <c r="D91" s="3">
        <v>178</v>
      </c>
      <c r="E91" s="3" t="s">
        <v>961</v>
      </c>
      <c r="F91" s="3">
        <v>2005</v>
      </c>
      <c r="G91" s="3">
        <v>9</v>
      </c>
      <c r="H91" s="3">
        <v>0</v>
      </c>
      <c r="I91" s="3" t="s">
        <v>52</v>
      </c>
      <c r="J91" s="3">
        <v>5</v>
      </c>
      <c r="K91" s="3">
        <f t="shared" si="16"/>
        <v>2010</v>
      </c>
      <c r="L91" s="139">
        <f t="shared" si="17"/>
        <v>2010.75</v>
      </c>
      <c r="M91" s="139">
        <v>73053</v>
      </c>
      <c r="N91" s="139">
        <f t="shared" si="18"/>
        <v>73053</v>
      </c>
      <c r="O91" s="139">
        <f t="shared" si="19"/>
        <v>1217.55</v>
      </c>
      <c r="P91" s="139">
        <f t="shared" si="20"/>
        <v>14610.599999999999</v>
      </c>
      <c r="Q91" s="139">
        <f>+IF(L91&lt;='2111 Trks'!$N$5,0,IF(K91&gt;'2111 Trks'!$N$4,P91,(O91*G91)))</f>
        <v>0</v>
      </c>
      <c r="R91" s="139"/>
      <c r="S91" s="139">
        <f>+IF(Q91=0,M91,IF('2111 Trks'!$N$3-F91&lt;1,0,(('2111 Trks'!$N$3-F91)*P91)))</f>
        <v>73053</v>
      </c>
      <c r="T91" s="139">
        <f t="shared" si="21"/>
        <v>73053</v>
      </c>
      <c r="U91" s="139">
        <f t="shared" si="22"/>
        <v>0</v>
      </c>
      <c r="V91" s="11">
        <f t="shared" si="23"/>
        <v>0</v>
      </c>
    </row>
    <row r="92" spans="1:22" s="3" customFormat="1" ht="15">
      <c r="A92" s="3" t="s">
        <v>673</v>
      </c>
      <c r="B92" s="3">
        <v>87515</v>
      </c>
      <c r="D92" s="3">
        <v>170</v>
      </c>
      <c r="E92" s="3" t="s">
        <v>962</v>
      </c>
      <c r="F92" s="3">
        <v>2006</v>
      </c>
      <c r="G92" s="3">
        <v>10</v>
      </c>
      <c r="H92" s="3">
        <v>0</v>
      </c>
      <c r="I92" s="3" t="s">
        <v>52</v>
      </c>
      <c r="J92" s="3">
        <v>7</v>
      </c>
      <c r="K92" s="3">
        <f t="shared" si="16"/>
        <v>2013</v>
      </c>
      <c r="L92" s="139">
        <f t="shared" si="17"/>
        <v>2013.8333333333333</v>
      </c>
      <c r="M92" s="139">
        <v>100895</v>
      </c>
      <c r="N92" s="139">
        <f t="shared" si="18"/>
        <v>100895</v>
      </c>
      <c r="O92" s="139">
        <f t="shared" si="19"/>
        <v>1201.1309523809525</v>
      </c>
      <c r="P92" s="139">
        <f t="shared" si="20"/>
        <v>14413.571428571431</v>
      </c>
      <c r="Q92" s="139">
        <f>+IF(L92&lt;='2111 Trks'!$N$5,0,IF(K92&gt;'2111 Trks'!$N$4,P92,(O92*G92)))</f>
        <v>0</v>
      </c>
      <c r="R92" s="139"/>
      <c r="S92" s="139">
        <f>+IF(Q92=0,M92,IF('2111 Trks'!$N$3-F92&lt;1,0,(('2111 Trks'!$N$3-F92)*P92)))</f>
        <v>100895</v>
      </c>
      <c r="T92" s="139">
        <f t="shared" si="21"/>
        <v>100895</v>
      </c>
      <c r="U92" s="139">
        <f t="shared" si="22"/>
        <v>0</v>
      </c>
      <c r="V92" s="11">
        <f t="shared" si="23"/>
        <v>0</v>
      </c>
    </row>
    <row r="93" spans="1:22" s="3" customFormat="1" ht="15">
      <c r="A93" s="3" t="s">
        <v>673</v>
      </c>
      <c r="B93" s="3">
        <v>87517</v>
      </c>
      <c r="D93" s="3">
        <v>187</v>
      </c>
      <c r="E93" s="3" t="s">
        <v>962</v>
      </c>
      <c r="F93" s="3">
        <v>2006</v>
      </c>
      <c r="G93" s="3">
        <v>10</v>
      </c>
      <c r="H93" s="3">
        <v>0</v>
      </c>
      <c r="I93" s="3" t="s">
        <v>52</v>
      </c>
      <c r="J93" s="3">
        <v>7</v>
      </c>
      <c r="K93" s="3">
        <f t="shared" si="16"/>
        <v>2013</v>
      </c>
      <c r="L93" s="139">
        <f t="shared" si="17"/>
        <v>2013.8333333333333</v>
      </c>
      <c r="M93" s="139">
        <v>100895</v>
      </c>
      <c r="N93" s="139">
        <f t="shared" si="18"/>
        <v>100895</v>
      </c>
      <c r="O93" s="139">
        <f t="shared" si="19"/>
        <v>1201.1309523809525</v>
      </c>
      <c r="P93" s="139">
        <f t="shared" si="20"/>
        <v>14413.571428571431</v>
      </c>
      <c r="Q93" s="139">
        <f>+IF(L93&lt;='2111 Trks'!$N$5,0,IF(K93&gt;'2111 Trks'!$N$4,P93,(O93*G93)))</f>
        <v>0</v>
      </c>
      <c r="R93" s="139"/>
      <c r="S93" s="139">
        <f>+IF(Q93=0,M93,IF('2111 Trks'!$N$3-F93&lt;1,0,(('2111 Trks'!$N$3-F93)*P93)))</f>
        <v>100895</v>
      </c>
      <c r="T93" s="139">
        <f t="shared" si="21"/>
        <v>100895</v>
      </c>
      <c r="U93" s="139">
        <f t="shared" si="22"/>
        <v>0</v>
      </c>
      <c r="V93" s="11">
        <f t="shared" si="23"/>
        <v>0</v>
      </c>
    </row>
    <row r="94" spans="1:22" s="3" customFormat="1" ht="15">
      <c r="A94" s="3" t="s">
        <v>673</v>
      </c>
      <c r="B94" s="3">
        <v>66495</v>
      </c>
      <c r="D94" s="3">
        <v>172</v>
      </c>
      <c r="E94" s="3" t="s">
        <v>964</v>
      </c>
      <c r="F94" s="3">
        <v>2009</v>
      </c>
      <c r="G94" s="3">
        <v>7</v>
      </c>
      <c r="H94" s="3">
        <v>0</v>
      </c>
      <c r="I94" s="3" t="s">
        <v>52</v>
      </c>
      <c r="J94" s="3">
        <v>5</v>
      </c>
      <c r="K94" s="3">
        <f t="shared" si="16"/>
        <v>2014</v>
      </c>
      <c r="L94" s="139">
        <f t="shared" si="17"/>
        <v>2014.5833333333333</v>
      </c>
      <c r="M94" s="139">
        <v>35740</v>
      </c>
      <c r="N94" s="139">
        <f t="shared" si="18"/>
        <v>35740</v>
      </c>
      <c r="O94" s="139">
        <f t="shared" si="19"/>
        <v>595.66666666666663</v>
      </c>
      <c r="P94" s="139">
        <f t="shared" si="20"/>
        <v>7148</v>
      </c>
      <c r="Q94" s="139">
        <f>+IF(L94&lt;='2111 Trks'!$N$5,0,IF(K94&gt;'2111 Trks'!$N$4,P94,(O94*G94)))</f>
        <v>0</v>
      </c>
      <c r="R94" s="139"/>
      <c r="S94" s="139">
        <f>+IF(Q94=0,M94,IF('2111 Trks'!$N$3-F94&lt;1,0,(('2111 Trks'!$N$3-F94)*P94)))</f>
        <v>35740</v>
      </c>
      <c r="T94" s="139">
        <f t="shared" si="21"/>
        <v>35740</v>
      </c>
      <c r="U94" s="139">
        <f t="shared" si="22"/>
        <v>0</v>
      </c>
      <c r="V94" s="11">
        <f t="shared" si="23"/>
        <v>0</v>
      </c>
    </row>
    <row r="95" spans="1:22" s="3" customFormat="1" ht="15">
      <c r="A95" s="3" t="s">
        <v>673</v>
      </c>
      <c r="D95" s="3">
        <v>144</v>
      </c>
      <c r="E95" s="3" t="s">
        <v>965</v>
      </c>
      <c r="F95" s="3">
        <v>2009</v>
      </c>
      <c r="G95" s="3">
        <v>6</v>
      </c>
      <c r="H95" s="3">
        <v>0</v>
      </c>
      <c r="I95" s="3" t="s">
        <v>52</v>
      </c>
      <c r="J95" s="3">
        <v>3</v>
      </c>
      <c r="K95" s="3">
        <f t="shared" si="16"/>
        <v>2012</v>
      </c>
      <c r="L95" s="139">
        <f t="shared" si="17"/>
        <v>2012.5</v>
      </c>
      <c r="M95" s="139">
        <v>9364</v>
      </c>
      <c r="N95" s="139">
        <f t="shared" si="18"/>
        <v>9364</v>
      </c>
      <c r="O95" s="139">
        <f t="shared" si="19"/>
        <v>260.11111111111114</v>
      </c>
      <c r="P95" s="139">
        <f t="shared" si="20"/>
        <v>3121.3333333333339</v>
      </c>
      <c r="Q95" s="139">
        <f>+IF(L95&lt;='2111 Trks'!$N$5,0,IF(K95&gt;'2111 Trks'!$N$4,P95,(O95*G95)))</f>
        <v>0</v>
      </c>
      <c r="R95" s="139"/>
      <c r="S95" s="139">
        <f>+IF(Q95=0,M95,IF('2111 Trks'!$N$3-F95&lt;1,0,(('2111 Trks'!$N$3-F95)*P95)))</f>
        <v>9364</v>
      </c>
      <c r="T95" s="139">
        <f t="shared" si="21"/>
        <v>9364</v>
      </c>
      <c r="U95" s="139">
        <f t="shared" si="22"/>
        <v>0</v>
      </c>
      <c r="V95" s="11">
        <f t="shared" si="23"/>
        <v>0</v>
      </c>
    </row>
    <row r="96" spans="1:22" s="3" customFormat="1" ht="15">
      <c r="A96" s="3" t="s">
        <v>673</v>
      </c>
      <c r="B96" s="3">
        <v>88766</v>
      </c>
      <c r="D96" s="3">
        <v>177</v>
      </c>
      <c r="E96" s="3" t="s">
        <v>966</v>
      </c>
      <c r="F96" s="3">
        <v>2011</v>
      </c>
      <c r="G96" s="3">
        <v>12</v>
      </c>
      <c r="H96" s="3">
        <v>0</v>
      </c>
      <c r="I96" s="3" t="s">
        <v>52</v>
      </c>
      <c r="J96" s="3">
        <v>3</v>
      </c>
      <c r="K96" s="3">
        <f t="shared" ref="K96:K107" si="24">F96+J96</f>
        <v>2014</v>
      </c>
      <c r="L96" s="139">
        <f t="shared" ref="L96:L107" si="25">+K96+(G96/12)</f>
        <v>2015</v>
      </c>
      <c r="M96" s="139">
        <v>16509</v>
      </c>
      <c r="N96" s="139">
        <f t="shared" ref="N96:N107" si="26">M96-M96*H96</f>
        <v>16509</v>
      </c>
      <c r="O96" s="139">
        <f t="shared" ref="O96:O107" si="27">N96/J96/12</f>
        <v>458.58333333333331</v>
      </c>
      <c r="P96" s="139">
        <f t="shared" ref="P96:P107" si="28">+O96*12</f>
        <v>5503</v>
      </c>
      <c r="Q96" s="139">
        <f>+IF(L96&lt;='2111 Trks'!$N$5,0,IF(K96&gt;'2111 Trks'!$N$4,P96,(O96*G96)))</f>
        <v>0</v>
      </c>
      <c r="R96" s="139"/>
      <c r="S96" s="139">
        <f>+IF(Q96=0,M96,IF('2111 Trks'!$N$3-F96&lt;1,0,(('2111 Trks'!$N$3-F96)*P96)))</f>
        <v>16509</v>
      </c>
      <c r="T96" s="139">
        <f t="shared" ref="T96:T107" si="29">+IF(Q96=0,S96,S96+Q96)</f>
        <v>16509</v>
      </c>
      <c r="U96" s="139">
        <f t="shared" ref="U96:U107" si="30">+IF(Q96=0,0,((M96-S96)+(M96-T96))/2)</f>
        <v>0</v>
      </c>
      <c r="V96" s="11">
        <f t="shared" ref="V96:V107" si="31">M96-T96</f>
        <v>0</v>
      </c>
    </row>
    <row r="97" spans="1:22" s="3" customFormat="1" ht="15">
      <c r="A97" s="3" t="s">
        <v>673</v>
      </c>
      <c r="B97" s="3">
        <v>103299</v>
      </c>
      <c r="D97" s="3">
        <v>184</v>
      </c>
      <c r="E97" s="3" t="s">
        <v>967</v>
      </c>
      <c r="F97" s="3">
        <v>2011</v>
      </c>
      <c r="G97" s="3">
        <v>8</v>
      </c>
      <c r="H97" s="3">
        <v>0</v>
      </c>
      <c r="I97" s="3" t="s">
        <v>52</v>
      </c>
      <c r="J97" s="3">
        <v>5</v>
      </c>
      <c r="K97" s="3">
        <f t="shared" si="24"/>
        <v>2016</v>
      </c>
      <c r="L97" s="139">
        <f t="shared" si="25"/>
        <v>2016.6666666666667</v>
      </c>
      <c r="M97" s="139">
        <v>91364</v>
      </c>
      <c r="N97" s="139">
        <f t="shared" si="26"/>
        <v>91364</v>
      </c>
      <c r="O97" s="139">
        <f t="shared" si="27"/>
        <v>1522.7333333333333</v>
      </c>
      <c r="P97" s="139">
        <f t="shared" si="28"/>
        <v>18272.8</v>
      </c>
      <c r="Q97" s="139">
        <f>+IF(L97&lt;='2111 Trks'!$N$5,0,IF(K97&gt;'2111 Trks'!$N$4,P97,(O97*G97)))</f>
        <v>0</v>
      </c>
      <c r="R97" s="139"/>
      <c r="S97" s="139">
        <f>+IF(Q97=0,M97,IF('2111 Trks'!$N$3-F97&lt;1,0,(('2111 Trks'!$N$3-F97)*P97)))</f>
        <v>91364</v>
      </c>
      <c r="T97" s="139">
        <f t="shared" si="29"/>
        <v>91364</v>
      </c>
      <c r="U97" s="139">
        <f t="shared" si="30"/>
        <v>0</v>
      </c>
      <c r="V97" s="11">
        <f t="shared" si="31"/>
        <v>0</v>
      </c>
    </row>
    <row r="98" spans="1:22" s="180" customFormat="1" ht="15">
      <c r="A98" s="180" t="s">
        <v>673</v>
      </c>
      <c r="B98" s="180">
        <v>118202</v>
      </c>
      <c r="D98" s="180">
        <v>186</v>
      </c>
      <c r="E98" s="180" t="s">
        <v>968</v>
      </c>
      <c r="F98" s="180">
        <v>2011</v>
      </c>
      <c r="G98" s="180">
        <v>12</v>
      </c>
      <c r="H98" s="180">
        <v>0</v>
      </c>
      <c r="I98" s="180" t="s">
        <v>52</v>
      </c>
      <c r="J98" s="180">
        <v>7</v>
      </c>
      <c r="K98" s="180">
        <f t="shared" si="24"/>
        <v>2018</v>
      </c>
      <c r="L98" s="182">
        <f t="shared" si="25"/>
        <v>2019</v>
      </c>
      <c r="M98" s="182">
        <v>117820</v>
      </c>
      <c r="N98" s="182">
        <f t="shared" si="26"/>
        <v>117820</v>
      </c>
      <c r="O98" s="182">
        <f t="shared" si="27"/>
        <v>1402.6190476190477</v>
      </c>
      <c r="P98" s="182">
        <f t="shared" si="28"/>
        <v>16831.428571428572</v>
      </c>
      <c r="Q98" s="182">
        <f>+IF(L98&lt;='2111 Trks'!$N$5,0,IF(K98&gt;'2111 Trks'!$N$4,P98,(O98*G98)))</f>
        <v>0</v>
      </c>
      <c r="R98" s="182"/>
      <c r="S98" s="182">
        <f>+IF(Q98=0,M98,IF('2111 Trks'!$N$3-F98&lt;1,0,(('2111 Trks'!$N$3-F98)*P98)))</f>
        <v>117820</v>
      </c>
      <c r="T98" s="182">
        <f t="shared" si="29"/>
        <v>117820</v>
      </c>
      <c r="U98" s="182">
        <f t="shared" si="30"/>
        <v>0</v>
      </c>
      <c r="V98" s="171">
        <f t="shared" si="31"/>
        <v>0</v>
      </c>
    </row>
    <row r="99" spans="1:22" s="3" customFormat="1" ht="15">
      <c r="A99" s="3" t="s">
        <v>673</v>
      </c>
      <c r="B99" s="3">
        <v>92494</v>
      </c>
      <c r="D99" s="3">
        <v>148</v>
      </c>
      <c r="E99" s="3" t="s">
        <v>969</v>
      </c>
      <c r="F99" s="3">
        <v>2012</v>
      </c>
      <c r="G99" s="3">
        <v>3</v>
      </c>
      <c r="H99" s="3">
        <v>0</v>
      </c>
      <c r="I99" s="3" t="s">
        <v>52</v>
      </c>
      <c r="J99" s="3">
        <v>3</v>
      </c>
      <c r="K99" s="3">
        <f t="shared" si="24"/>
        <v>2015</v>
      </c>
      <c r="L99" s="139">
        <f t="shared" si="25"/>
        <v>2015.25</v>
      </c>
      <c r="M99" s="139">
        <v>6621</v>
      </c>
      <c r="N99" s="139">
        <f t="shared" si="26"/>
        <v>6621</v>
      </c>
      <c r="O99" s="139">
        <f t="shared" si="27"/>
        <v>183.91666666666666</v>
      </c>
      <c r="P99" s="139">
        <f t="shared" si="28"/>
        <v>2207</v>
      </c>
      <c r="Q99" s="139">
        <f>+IF(L99&lt;='2111 Trks'!$N$5,0,IF(K99&gt;'2111 Trks'!$N$4,P99,(O99*G99)))</f>
        <v>0</v>
      </c>
      <c r="R99" s="139"/>
      <c r="S99" s="139">
        <f>+IF(Q99=0,M99,IF('2111 Trks'!$N$3-F99&lt;1,0,(('2111 Trks'!$N$3-F99)*P99)))</f>
        <v>6621</v>
      </c>
      <c r="T99" s="139">
        <f t="shared" si="29"/>
        <v>6621</v>
      </c>
      <c r="U99" s="139">
        <f t="shared" si="30"/>
        <v>0</v>
      </c>
      <c r="V99" s="11">
        <f t="shared" si="31"/>
        <v>0</v>
      </c>
    </row>
    <row r="100" spans="1:22" s="3" customFormat="1" ht="15">
      <c r="A100" s="3" t="s">
        <v>673</v>
      </c>
      <c r="B100" s="3" t="s">
        <v>972</v>
      </c>
      <c r="D100" s="3" t="s">
        <v>975</v>
      </c>
      <c r="E100" s="3" t="s">
        <v>970</v>
      </c>
      <c r="F100" s="3">
        <v>2012</v>
      </c>
      <c r="G100" s="3">
        <v>9</v>
      </c>
      <c r="H100" s="3">
        <v>0</v>
      </c>
      <c r="I100" s="3" t="s">
        <v>52</v>
      </c>
      <c r="J100" s="3">
        <v>7</v>
      </c>
      <c r="K100" s="3">
        <f t="shared" si="24"/>
        <v>2019</v>
      </c>
      <c r="L100" s="139">
        <f t="shared" si="25"/>
        <v>2019.75</v>
      </c>
      <c r="M100" s="139">
        <v>100973</v>
      </c>
      <c r="N100" s="139">
        <f t="shared" si="26"/>
        <v>100973</v>
      </c>
      <c r="O100" s="139">
        <f t="shared" si="27"/>
        <v>1202.0595238095239</v>
      </c>
      <c r="P100" s="139">
        <f t="shared" si="28"/>
        <v>14424.714285714286</v>
      </c>
      <c r="Q100" s="139">
        <f>+IF(L100&lt;='2111 Trks'!$N$5,0,IF(K100&gt;'2111 Trks'!$N$4,P100,(O100*G100)))</f>
        <v>0</v>
      </c>
      <c r="R100" s="139"/>
      <c r="S100" s="139">
        <f>+IF(Q100=0,M100,IF('2111 Trks'!$N$3-F100&lt;1,0,(('2111 Trks'!$N$3-F100)*P100)))</f>
        <v>100973</v>
      </c>
      <c r="T100" s="139">
        <f t="shared" si="29"/>
        <v>100973</v>
      </c>
      <c r="U100" s="139">
        <f t="shared" si="30"/>
        <v>0</v>
      </c>
      <c r="V100" s="11">
        <f t="shared" si="31"/>
        <v>0</v>
      </c>
    </row>
    <row r="101" spans="1:22" s="3" customFormat="1" ht="15">
      <c r="A101" s="3" t="s">
        <v>673</v>
      </c>
      <c r="B101" s="3" t="s">
        <v>973</v>
      </c>
      <c r="D101" s="3" t="s">
        <v>976</v>
      </c>
      <c r="E101" s="3" t="s">
        <v>970</v>
      </c>
      <c r="F101" s="3">
        <v>2012</v>
      </c>
      <c r="G101" s="3">
        <v>9</v>
      </c>
      <c r="H101" s="3">
        <v>0</v>
      </c>
      <c r="I101" s="3" t="s">
        <v>52</v>
      </c>
      <c r="J101" s="3">
        <v>7</v>
      </c>
      <c r="K101" s="3">
        <f t="shared" si="24"/>
        <v>2019</v>
      </c>
      <c r="L101" s="139">
        <f t="shared" si="25"/>
        <v>2019.75</v>
      </c>
      <c r="M101" s="139">
        <v>100974</v>
      </c>
      <c r="N101" s="139">
        <f t="shared" si="26"/>
        <v>100974</v>
      </c>
      <c r="O101" s="139">
        <f t="shared" si="27"/>
        <v>1202.0714285714287</v>
      </c>
      <c r="P101" s="139">
        <f t="shared" si="28"/>
        <v>14424.857142857145</v>
      </c>
      <c r="Q101" s="139">
        <f>+IF(L101&lt;='2111 Trks'!$N$5,0,IF(K101&gt;'2111 Trks'!$N$4,P101,(O101*G101)))</f>
        <v>0</v>
      </c>
      <c r="R101" s="139"/>
      <c r="S101" s="139">
        <f>+IF(Q101=0,M101,IF('2111 Trks'!$N$3-F101&lt;1,0,(('2111 Trks'!$N$3-F101)*P101)))</f>
        <v>100974</v>
      </c>
      <c r="T101" s="139">
        <f t="shared" si="29"/>
        <v>100974</v>
      </c>
      <c r="U101" s="139">
        <f t="shared" si="30"/>
        <v>0</v>
      </c>
      <c r="V101" s="11">
        <f t="shared" si="31"/>
        <v>0</v>
      </c>
    </row>
    <row r="102" spans="1:22" s="3" customFormat="1" ht="15">
      <c r="A102" s="3" t="s">
        <v>673</v>
      </c>
      <c r="B102" s="3">
        <v>168979</v>
      </c>
      <c r="D102" s="3" t="s">
        <v>977</v>
      </c>
      <c r="E102" s="3" t="s">
        <v>971</v>
      </c>
      <c r="F102" s="3">
        <v>2016</v>
      </c>
      <c r="G102" s="3">
        <v>8</v>
      </c>
      <c r="H102" s="3">
        <v>0</v>
      </c>
      <c r="I102" s="3" t="s">
        <v>52</v>
      </c>
      <c r="J102" s="3">
        <v>6</v>
      </c>
      <c r="K102" s="3">
        <f t="shared" si="24"/>
        <v>2022</v>
      </c>
      <c r="L102" s="139">
        <f t="shared" si="25"/>
        <v>2022.6666666666667</v>
      </c>
      <c r="M102" s="139">
        <v>47110</v>
      </c>
      <c r="N102" s="139">
        <f t="shared" si="26"/>
        <v>47110</v>
      </c>
      <c r="O102" s="139">
        <f t="shared" si="27"/>
        <v>654.30555555555554</v>
      </c>
      <c r="P102" s="139">
        <f t="shared" si="28"/>
        <v>7851.6666666666661</v>
      </c>
      <c r="Q102" s="139">
        <f>+IF(L102&lt;='2111 Trks'!$N$5,0,IF(K102&gt;'2111 Trks'!$N$4,P102,(O102*G102)))</f>
        <v>0</v>
      </c>
      <c r="R102" s="139"/>
      <c r="S102" s="139">
        <f>+IF(Q102=0,M102,IF('2111 Trks'!$N$3-F102&lt;1,0,(('2111 Trks'!$N$3-F102)*P102)))</f>
        <v>47110</v>
      </c>
      <c r="T102" s="139">
        <f t="shared" si="29"/>
        <v>47110</v>
      </c>
      <c r="U102" s="139">
        <f t="shared" si="30"/>
        <v>0</v>
      </c>
      <c r="V102" s="11">
        <f t="shared" si="31"/>
        <v>0</v>
      </c>
    </row>
    <row r="103" spans="1:22" s="3" customFormat="1" ht="15">
      <c r="A103" s="3" t="s">
        <v>673</v>
      </c>
      <c r="B103" s="3">
        <v>170162</v>
      </c>
      <c r="D103" s="3" t="s">
        <v>978</v>
      </c>
      <c r="E103" s="3" t="s">
        <v>971</v>
      </c>
      <c r="F103" s="3">
        <v>2016</v>
      </c>
      <c r="G103" s="3">
        <v>8</v>
      </c>
      <c r="H103" s="3">
        <v>0</v>
      </c>
      <c r="I103" s="3" t="s">
        <v>52</v>
      </c>
      <c r="J103" s="3">
        <v>6</v>
      </c>
      <c r="K103" s="3">
        <f t="shared" si="24"/>
        <v>2022</v>
      </c>
      <c r="L103" s="139">
        <f t="shared" si="25"/>
        <v>2022.6666666666667</v>
      </c>
      <c r="M103" s="139">
        <v>47110</v>
      </c>
      <c r="N103" s="139">
        <f t="shared" si="26"/>
        <v>47110</v>
      </c>
      <c r="O103" s="139">
        <f t="shared" si="27"/>
        <v>654.30555555555554</v>
      </c>
      <c r="P103" s="139">
        <f t="shared" si="28"/>
        <v>7851.6666666666661</v>
      </c>
      <c r="Q103" s="139">
        <f>+IF(L103&lt;='2111 Trks'!$N$5,0,IF(K103&gt;'2111 Trks'!$N$4,P103,(O103*G103)))</f>
        <v>0</v>
      </c>
      <c r="R103" s="139"/>
      <c r="S103" s="139">
        <f>+IF(Q103=0,M103,IF('2111 Trks'!$N$3-F103&lt;1,0,(('2111 Trks'!$N$3-F103)*P103)))</f>
        <v>47110</v>
      </c>
      <c r="T103" s="139">
        <f t="shared" si="29"/>
        <v>47110</v>
      </c>
      <c r="U103" s="139">
        <f t="shared" si="30"/>
        <v>0</v>
      </c>
      <c r="V103" s="11">
        <f t="shared" si="31"/>
        <v>0</v>
      </c>
    </row>
    <row r="104" spans="1:22" s="3" customFormat="1" ht="15">
      <c r="B104" s="3">
        <v>211102</v>
      </c>
      <c r="D104" s="3">
        <v>183</v>
      </c>
      <c r="E104" s="3" t="s">
        <v>1042</v>
      </c>
      <c r="F104" s="3">
        <v>2019</v>
      </c>
      <c r="G104" s="3">
        <v>1</v>
      </c>
      <c r="H104" s="3">
        <v>0</v>
      </c>
      <c r="I104" s="3" t="s">
        <v>52</v>
      </c>
      <c r="J104" s="3">
        <v>3</v>
      </c>
      <c r="K104" s="3">
        <f t="shared" si="24"/>
        <v>2022</v>
      </c>
      <c r="L104" s="139">
        <f t="shared" si="25"/>
        <v>2022.0833333333333</v>
      </c>
      <c r="M104" s="140">
        <v>25377</v>
      </c>
      <c r="N104" s="139">
        <f t="shared" si="26"/>
        <v>25377</v>
      </c>
      <c r="O104" s="139">
        <f t="shared" si="27"/>
        <v>704.91666666666663</v>
      </c>
      <c r="P104" s="139">
        <f t="shared" si="28"/>
        <v>8459</v>
      </c>
      <c r="Q104" s="139">
        <f>+IF(L104&lt;='2111 Trks'!$N$5,0,IF(K104&gt;'2111 Trks'!$N$4,P104,(O104*G104)))</f>
        <v>0</v>
      </c>
      <c r="R104" s="139"/>
      <c r="S104" s="139">
        <f>+IF(Q104=0,M104,IF('2111 Trks'!$N$3-F104&lt;1,0,(('2111 Trks'!$N$3-F104)*P104)))</f>
        <v>25377</v>
      </c>
      <c r="T104" s="139">
        <f t="shared" si="29"/>
        <v>25377</v>
      </c>
      <c r="U104" s="139">
        <f t="shared" si="30"/>
        <v>0</v>
      </c>
      <c r="V104" s="11">
        <f t="shared" si="31"/>
        <v>0</v>
      </c>
    </row>
    <row r="105" spans="1:22" s="3" customFormat="1" ht="15">
      <c r="B105" s="3">
        <v>217185</v>
      </c>
      <c r="D105" s="3">
        <v>183</v>
      </c>
      <c r="E105" s="3" t="s">
        <v>1046</v>
      </c>
      <c r="F105" s="3">
        <v>2019</v>
      </c>
      <c r="G105" s="3">
        <v>2</v>
      </c>
      <c r="H105" s="3">
        <v>0</v>
      </c>
      <c r="I105" s="3" t="s">
        <v>52</v>
      </c>
      <c r="J105" s="3">
        <v>3</v>
      </c>
      <c r="K105" s="3">
        <f t="shared" si="24"/>
        <v>2022</v>
      </c>
      <c r="L105" s="139">
        <f t="shared" si="25"/>
        <v>2022.1666666666667</v>
      </c>
      <c r="M105" s="140">
        <v>6435.44</v>
      </c>
      <c r="N105" s="139">
        <f t="shared" si="26"/>
        <v>6435.44</v>
      </c>
      <c r="O105" s="139">
        <f t="shared" si="27"/>
        <v>178.76222222222222</v>
      </c>
      <c r="P105" s="139">
        <f t="shared" si="28"/>
        <v>2145.1466666666665</v>
      </c>
      <c r="Q105" s="139">
        <f>+IF(L105&lt;='2111 Trks'!$N$5,0,IF(K105&gt;'2111 Trks'!$N$4,P105,(O105*G105)))</f>
        <v>0</v>
      </c>
      <c r="R105" s="139"/>
      <c r="S105" s="139">
        <f>+IF(Q105=0,M105,IF('2111 Trks'!$N$3-F105&lt;1,0,(('2111 Trks'!$N$3-F105)*P105)))</f>
        <v>6435.44</v>
      </c>
      <c r="T105" s="139">
        <f t="shared" si="29"/>
        <v>6435.44</v>
      </c>
      <c r="U105" s="139">
        <f t="shared" si="30"/>
        <v>0</v>
      </c>
      <c r="V105" s="11">
        <f t="shared" si="31"/>
        <v>0</v>
      </c>
    </row>
    <row r="106" spans="1:22" s="3" customFormat="1" ht="15">
      <c r="B106" s="3">
        <v>217184</v>
      </c>
      <c r="D106" s="3">
        <v>158</v>
      </c>
      <c r="E106" s="3" t="s">
        <v>1047</v>
      </c>
      <c r="F106" s="3">
        <v>2019</v>
      </c>
      <c r="G106" s="3">
        <v>2</v>
      </c>
      <c r="H106" s="3">
        <v>0</v>
      </c>
      <c r="I106" s="3" t="s">
        <v>52</v>
      </c>
      <c r="J106" s="3">
        <v>3</v>
      </c>
      <c r="K106" s="3">
        <f t="shared" si="24"/>
        <v>2022</v>
      </c>
      <c r="L106" s="139">
        <f t="shared" si="25"/>
        <v>2022.1666666666667</v>
      </c>
      <c r="M106" s="140">
        <v>6435.44</v>
      </c>
      <c r="N106" s="139">
        <f t="shared" si="26"/>
        <v>6435.44</v>
      </c>
      <c r="O106" s="139">
        <f t="shared" si="27"/>
        <v>178.76222222222222</v>
      </c>
      <c r="P106" s="139">
        <f t="shared" si="28"/>
        <v>2145.1466666666665</v>
      </c>
      <c r="Q106" s="139">
        <f>+IF(L106&lt;='2111 Trks'!$N$5,0,IF(K106&gt;'2111 Trks'!$N$4,P106,(O106*G106)))</f>
        <v>0</v>
      </c>
      <c r="R106" s="139"/>
      <c r="S106" s="139">
        <f>+IF(Q106=0,M106,IF('2111 Trks'!$N$3-F106&lt;1,0,(('2111 Trks'!$N$3-F106)*P106)))</f>
        <v>6435.44</v>
      </c>
      <c r="T106" s="139">
        <f t="shared" si="29"/>
        <v>6435.44</v>
      </c>
      <c r="U106" s="139">
        <f t="shared" si="30"/>
        <v>0</v>
      </c>
      <c r="V106" s="11">
        <f t="shared" si="31"/>
        <v>0</v>
      </c>
    </row>
    <row r="107" spans="1:22" s="3" customFormat="1" ht="15">
      <c r="B107" s="3">
        <v>217183</v>
      </c>
      <c r="D107" s="3">
        <v>60</v>
      </c>
      <c r="E107" s="3" t="s">
        <v>1048</v>
      </c>
      <c r="F107" s="3">
        <v>2019</v>
      </c>
      <c r="G107" s="3">
        <v>2</v>
      </c>
      <c r="H107" s="3">
        <v>0</v>
      </c>
      <c r="I107" s="3" t="s">
        <v>52</v>
      </c>
      <c r="J107" s="3">
        <v>3</v>
      </c>
      <c r="K107" s="3">
        <f t="shared" si="24"/>
        <v>2022</v>
      </c>
      <c r="L107" s="139">
        <f t="shared" si="25"/>
        <v>2022.1666666666667</v>
      </c>
      <c r="M107" s="140">
        <v>6435.44</v>
      </c>
      <c r="N107" s="139">
        <f t="shared" si="26"/>
        <v>6435.44</v>
      </c>
      <c r="O107" s="139">
        <f t="shared" si="27"/>
        <v>178.76222222222222</v>
      </c>
      <c r="P107" s="139">
        <f t="shared" si="28"/>
        <v>2145.1466666666665</v>
      </c>
      <c r="Q107" s="139">
        <f>+IF(L107&lt;='2111 Trks'!$N$5,0,IF(K107&gt;'2111 Trks'!$N$4,P107,(O107*G107)))</f>
        <v>0</v>
      </c>
      <c r="R107" s="139"/>
      <c r="S107" s="139">
        <f>+IF(Q107=0,M107,IF('2111 Trks'!$N$3-F107&lt;1,0,(('2111 Trks'!$N$3-F107)*P107)))</f>
        <v>6435.44</v>
      </c>
      <c r="T107" s="139">
        <f t="shared" si="29"/>
        <v>6435.44</v>
      </c>
      <c r="U107" s="139">
        <f t="shared" si="30"/>
        <v>0</v>
      </c>
      <c r="V107" s="11">
        <f t="shared" si="31"/>
        <v>0</v>
      </c>
    </row>
    <row r="109" spans="1:22" s="3" customFormat="1" ht="15">
      <c r="B109" s="3" t="s">
        <v>1130</v>
      </c>
      <c r="D109" s="3">
        <v>181</v>
      </c>
      <c r="E109" s="3" t="s">
        <v>1131</v>
      </c>
      <c r="F109" s="3">
        <v>2020</v>
      </c>
      <c r="G109" s="3">
        <v>12</v>
      </c>
      <c r="H109" s="3">
        <v>0</v>
      </c>
      <c r="I109" s="3" t="s">
        <v>52</v>
      </c>
      <c r="J109" s="3">
        <v>3</v>
      </c>
      <c r="K109" s="3">
        <f>F109+J109</f>
        <v>2023</v>
      </c>
      <c r="L109" s="139">
        <f>+K109+(G109/12)</f>
        <v>2024</v>
      </c>
      <c r="M109" s="139">
        <v>37361.550000000003</v>
      </c>
      <c r="N109" s="139">
        <f>M109-M109*H109</f>
        <v>37361.550000000003</v>
      </c>
      <c r="O109" s="139">
        <f>N109/J109/12</f>
        <v>1037.8208333333334</v>
      </c>
      <c r="P109" s="139">
        <f>+O109*12</f>
        <v>12453.850000000002</v>
      </c>
      <c r="Q109" s="139">
        <f>+IF(L109&lt;='2111 Trks'!$N$5,0,IF(K109&gt;'2111 Trks'!$N$4,P109,(O109*G109)))</f>
        <v>0</v>
      </c>
      <c r="R109" s="139"/>
      <c r="S109" s="139">
        <f>+IF(Q109=0,M109,IF('2111 Trks'!$N$3-F109&lt;1,0,(('2111 Trks'!$N$3-F109)*P109)))</f>
        <v>37361.550000000003</v>
      </c>
      <c r="T109" s="139">
        <f>+IF(Q109=0,S109,S109+Q109)</f>
        <v>37361.550000000003</v>
      </c>
      <c r="U109" s="139">
        <f>+IF(Q109=0,0,((M109-S109)+(M109-T109))/2)</f>
        <v>0</v>
      </c>
      <c r="V109" s="11">
        <f>M109-T109</f>
        <v>0</v>
      </c>
    </row>
    <row r="110" spans="1:22" s="3" customFormat="1" ht="15">
      <c r="B110" s="3" t="s">
        <v>1132</v>
      </c>
      <c r="D110" s="3">
        <v>181</v>
      </c>
      <c r="E110" s="3" t="s">
        <v>1131</v>
      </c>
      <c r="F110" s="3">
        <v>2020</v>
      </c>
      <c r="G110" s="3">
        <v>12</v>
      </c>
      <c r="H110" s="3">
        <v>0</v>
      </c>
      <c r="I110" s="3" t="s">
        <v>52</v>
      </c>
      <c r="J110" s="3">
        <v>3</v>
      </c>
      <c r="K110" s="3">
        <f>F110+J110</f>
        <v>2023</v>
      </c>
      <c r="L110" s="139">
        <f>+K110+(G110/12)</f>
        <v>2024</v>
      </c>
      <c r="M110" s="139">
        <v>37361.550000000003</v>
      </c>
      <c r="N110" s="139">
        <f>M110-M110*H110</f>
        <v>37361.550000000003</v>
      </c>
      <c r="O110" s="139">
        <f>N110/J110/12</f>
        <v>1037.8208333333334</v>
      </c>
      <c r="P110" s="139">
        <f>+O110*12</f>
        <v>12453.850000000002</v>
      </c>
      <c r="Q110" s="139">
        <f>+IF(L110&lt;='2111 Trks'!$N$5,0,IF(K110&gt;'2111 Trks'!$N$4,P110,(O110*G110)))</f>
        <v>0</v>
      </c>
      <c r="R110" s="139"/>
      <c r="S110" s="139">
        <f>+IF(Q110=0,M110,IF('2111 Trks'!$N$3-F110&lt;1,0,(('2111 Trks'!$N$3-F110)*P110)))</f>
        <v>37361.550000000003</v>
      </c>
      <c r="T110" s="139">
        <f>+IF(Q110=0,S110,S110+Q110)</f>
        <v>37361.550000000003</v>
      </c>
      <c r="U110" s="139">
        <f>+IF(Q110=0,0,((M110-S110)+(M110-T110))/2)</f>
        <v>0</v>
      </c>
      <c r="V110" s="11">
        <f>M110-T110</f>
        <v>0</v>
      </c>
    </row>
    <row r="111" spans="1:22" s="260" customFormat="1" ht="15">
      <c r="B111" s="260" t="s">
        <v>1184</v>
      </c>
      <c r="D111" s="260">
        <v>181</v>
      </c>
      <c r="E111" s="260" t="s">
        <v>1185</v>
      </c>
      <c r="F111" s="260">
        <v>2021</v>
      </c>
      <c r="G111" s="260">
        <v>1</v>
      </c>
      <c r="H111" s="260">
        <v>0</v>
      </c>
      <c r="I111" s="260" t="s">
        <v>52</v>
      </c>
      <c r="J111" s="260">
        <v>3</v>
      </c>
      <c r="K111" s="260">
        <f>F111+J111</f>
        <v>2024</v>
      </c>
      <c r="L111" s="261">
        <f>+K111+(G111/12)</f>
        <v>2024.0833333333333</v>
      </c>
      <c r="M111" s="262">
        <v>-37361.550000000003</v>
      </c>
      <c r="N111" s="261">
        <f>M111-M111*H111</f>
        <v>-37361.550000000003</v>
      </c>
      <c r="O111" s="261">
        <f>N111/J111/12</f>
        <v>-1037.8208333333334</v>
      </c>
      <c r="P111" s="261">
        <f>+O111*12</f>
        <v>-12453.850000000002</v>
      </c>
      <c r="Q111" s="261">
        <f>+IF(L111&lt;='2111 Trks'!$N$5,0,IF(K111&gt;'2111 Trks'!$N$4,P111,(O111*G111)))</f>
        <v>0</v>
      </c>
      <c r="R111" s="261"/>
      <c r="S111" s="261">
        <f>+IF(Q111=0,M111,IF('2111 Trks'!$N$3-F111&lt;1,0,(('2111 Trks'!$N$3-F111)*P111)))</f>
        <v>-37361.550000000003</v>
      </c>
      <c r="T111" s="261">
        <f>+IF(Q111=0,S111,S111+Q111)</f>
        <v>-37361.550000000003</v>
      </c>
      <c r="U111" s="261">
        <f>+IF(Q111=0,0,((M111-S111)+(M111-T111))/2)</f>
        <v>0</v>
      </c>
      <c r="V111" s="263">
        <f>M111-T111</f>
        <v>0</v>
      </c>
    </row>
    <row r="112" spans="1:22" s="201" customFormat="1" ht="15">
      <c r="B112" s="202" t="s">
        <v>1271</v>
      </c>
      <c r="D112" s="201">
        <v>188</v>
      </c>
      <c r="E112" s="201" t="s">
        <v>555</v>
      </c>
      <c r="F112" s="201">
        <v>2017</v>
      </c>
      <c r="G112" s="201">
        <v>1</v>
      </c>
      <c r="H112" s="201">
        <v>0</v>
      </c>
      <c r="I112" s="201" t="s">
        <v>52</v>
      </c>
      <c r="J112" s="201">
        <v>5</v>
      </c>
      <c r="K112" s="201">
        <f t="shared" ref="K112:K154" si="32">F112+J112</f>
        <v>2022</v>
      </c>
      <c r="L112" s="203">
        <f t="shared" ref="L112:L154" si="33">+K112+(G112/12)</f>
        <v>2022.0833333333333</v>
      </c>
      <c r="M112" s="204">
        <v>9021.1200000000008</v>
      </c>
      <c r="N112" s="204">
        <f t="shared" ref="N112:N154" si="34">M112-M112*H112</f>
        <v>9021.1200000000008</v>
      </c>
      <c r="O112" s="204">
        <f t="shared" ref="O112:O154" si="35">N112/J112/12</f>
        <v>150.352</v>
      </c>
      <c r="P112" s="204">
        <f t="shared" ref="P112:P154" si="36">+O112*12</f>
        <v>1804.2240000000002</v>
      </c>
      <c r="Q112" s="204">
        <f>+IF(L112&lt;='2111 Trks'!$N$5,0,IF(K112&gt;'2111 Trks'!$N$4,P112,(O112*G112)))</f>
        <v>0</v>
      </c>
      <c r="R112" s="204"/>
      <c r="S112" s="204">
        <f>+IF(Q112=0,M112,IF('2111 Trks'!$N$3-F112&lt;1,0,(('2111 Trks'!$N$3-F112)*P112)))</f>
        <v>9021.1200000000008</v>
      </c>
      <c r="T112" s="204">
        <f t="shared" ref="T112:T154" si="37">+IF(Q112=0,S112,S112+Q112)</f>
        <v>9021.1200000000008</v>
      </c>
      <c r="U112" s="204">
        <f t="shared" ref="U112:U154" si="38">M112-T112</f>
        <v>0</v>
      </c>
      <c r="V112" s="205">
        <f t="shared" ref="V112:V154" si="39">M112-T112</f>
        <v>0</v>
      </c>
    </row>
    <row r="113" spans="2:22" s="201" customFormat="1" ht="15">
      <c r="B113" s="202">
        <v>171235</v>
      </c>
      <c r="D113" s="201">
        <v>188</v>
      </c>
      <c r="E113" s="201" t="s">
        <v>1257</v>
      </c>
      <c r="F113" s="201">
        <v>2016</v>
      </c>
      <c r="G113" s="201">
        <v>12</v>
      </c>
      <c r="H113" s="201">
        <v>0</v>
      </c>
      <c r="I113" s="201" t="s">
        <v>52</v>
      </c>
      <c r="J113" s="201">
        <v>4</v>
      </c>
      <c r="K113" s="201">
        <f t="shared" si="32"/>
        <v>2020</v>
      </c>
      <c r="L113" s="203">
        <f t="shared" si="33"/>
        <v>2021</v>
      </c>
      <c r="M113" s="204">
        <v>104215</v>
      </c>
      <c r="N113" s="204">
        <f t="shared" si="34"/>
        <v>104215</v>
      </c>
      <c r="O113" s="204">
        <f t="shared" si="35"/>
        <v>2171.1458333333335</v>
      </c>
      <c r="P113" s="204">
        <f t="shared" si="36"/>
        <v>26053.75</v>
      </c>
      <c r="Q113" s="204">
        <f>+IF(L113&lt;='2111 Trks'!$N$5,0,IF(K113&gt;'2111 Trks'!$N$4,P113,(O113*G113)))</f>
        <v>0</v>
      </c>
      <c r="R113" s="204"/>
      <c r="S113" s="204">
        <f>+IF(Q113=0,M113,IF('2111 Trks'!$N$3-F113&lt;1,0,(('2111 Trks'!$N$3-F113)*P113)))</f>
        <v>104215</v>
      </c>
      <c r="T113" s="204">
        <f t="shared" si="37"/>
        <v>104215</v>
      </c>
      <c r="U113" s="204">
        <f t="shared" si="38"/>
        <v>0</v>
      </c>
      <c r="V113" s="205">
        <f t="shared" si="39"/>
        <v>0</v>
      </c>
    </row>
    <row r="114" spans="2:22" s="201" customFormat="1" ht="15">
      <c r="B114" s="202" t="s">
        <v>1270</v>
      </c>
      <c r="D114" s="201" t="s">
        <v>1007</v>
      </c>
      <c r="E114" s="201" t="s">
        <v>943</v>
      </c>
      <c r="F114" s="201">
        <v>2018</v>
      </c>
      <c r="G114" s="201">
        <v>7</v>
      </c>
      <c r="H114" s="201">
        <v>0</v>
      </c>
      <c r="I114" s="201" t="s">
        <v>52</v>
      </c>
      <c r="J114" s="201">
        <v>7</v>
      </c>
      <c r="K114" s="201">
        <f t="shared" si="32"/>
        <v>2025</v>
      </c>
      <c r="L114" s="203">
        <f t="shared" si="33"/>
        <v>2025.5833333333333</v>
      </c>
      <c r="M114" s="204">
        <v>11207.98</v>
      </c>
      <c r="N114" s="204">
        <f t="shared" si="34"/>
        <v>11207.98</v>
      </c>
      <c r="O114" s="204">
        <f t="shared" si="35"/>
        <v>133.42833333333331</v>
      </c>
      <c r="P114" s="204">
        <f t="shared" si="36"/>
        <v>1601.1399999999999</v>
      </c>
      <c r="Q114" s="204">
        <f>+IF(L114&lt;='2111 Trks'!$N$5,0,IF(K114&gt;'2111 Trks'!$N$4,P114,(O114*G114)))</f>
        <v>1601.1399999999999</v>
      </c>
      <c r="R114" s="204"/>
      <c r="S114" s="204">
        <f>+IF(Q114=0,M114,IF('2111 Trks'!$N$3-F114&lt;1,0,(('2111 Trks'!$N$3-F114)*P114)))</f>
        <v>0</v>
      </c>
      <c r="T114" s="204">
        <f t="shared" si="37"/>
        <v>1601.1399999999999</v>
      </c>
      <c r="U114" s="204">
        <f t="shared" si="38"/>
        <v>9606.84</v>
      </c>
      <c r="V114" s="205">
        <f t="shared" si="39"/>
        <v>9606.84</v>
      </c>
    </row>
    <row r="115" spans="2:22" s="201" customFormat="1" ht="15">
      <c r="B115" s="202">
        <v>201533</v>
      </c>
      <c r="D115" s="201" t="s">
        <v>1007</v>
      </c>
      <c r="E115" s="201" t="s">
        <v>896</v>
      </c>
      <c r="F115" s="201">
        <v>2018</v>
      </c>
      <c r="G115" s="201">
        <v>7</v>
      </c>
      <c r="H115" s="201">
        <v>0</v>
      </c>
      <c r="I115" s="201" t="s">
        <v>52</v>
      </c>
      <c r="J115" s="201">
        <v>7</v>
      </c>
      <c r="K115" s="201">
        <f t="shared" si="32"/>
        <v>2025</v>
      </c>
      <c r="L115" s="203">
        <f t="shared" si="33"/>
        <v>2025.5833333333333</v>
      </c>
      <c r="M115" s="204">
        <v>100872.99</v>
      </c>
      <c r="N115" s="204">
        <f t="shared" si="34"/>
        <v>100872.99</v>
      </c>
      <c r="O115" s="204">
        <f t="shared" si="35"/>
        <v>1200.8689285714286</v>
      </c>
      <c r="P115" s="204">
        <f t="shared" si="36"/>
        <v>14410.427142857143</v>
      </c>
      <c r="Q115" s="204">
        <f>+IF(L115&lt;='2111 Trks'!$N$5,0,IF(K115&gt;'2111 Trks'!$N$4,P115,(O115*G115)))</f>
        <v>14410.427142857143</v>
      </c>
      <c r="R115" s="204"/>
      <c r="S115" s="204">
        <f>+IF(Q115=0,M115,IF('2111 Trks'!$N$3-F115&lt;1,0,(('2111 Trks'!$N$3-F115)*P115)))</f>
        <v>0</v>
      </c>
      <c r="T115" s="204">
        <f t="shared" si="37"/>
        <v>14410.427142857143</v>
      </c>
      <c r="U115" s="204">
        <f t="shared" si="38"/>
        <v>86462.562857142868</v>
      </c>
      <c r="V115" s="205">
        <f t="shared" si="39"/>
        <v>86462.562857142868</v>
      </c>
    </row>
    <row r="116" spans="2:22" s="260" customFormat="1" ht="15">
      <c r="B116" s="260">
        <v>255229</v>
      </c>
      <c r="D116" s="260">
        <v>193</v>
      </c>
      <c r="E116" s="260" t="s">
        <v>1177</v>
      </c>
      <c r="F116" s="260">
        <v>2021</v>
      </c>
      <c r="G116" s="260">
        <v>4</v>
      </c>
      <c r="H116" s="260">
        <v>0</v>
      </c>
      <c r="I116" s="260" t="s">
        <v>52</v>
      </c>
      <c r="J116" s="260">
        <v>8</v>
      </c>
      <c r="K116" s="260">
        <f t="shared" si="32"/>
        <v>2029</v>
      </c>
      <c r="L116" s="264">
        <f t="shared" si="33"/>
        <v>2029.3333333333333</v>
      </c>
      <c r="M116" s="265">
        <v>128934</v>
      </c>
      <c r="N116" s="261">
        <f t="shared" si="34"/>
        <v>128934</v>
      </c>
      <c r="O116" s="261">
        <f t="shared" si="35"/>
        <v>1343.0625</v>
      </c>
      <c r="P116" s="261">
        <f t="shared" si="36"/>
        <v>16116.75</v>
      </c>
      <c r="Q116" s="261">
        <f>+IF(L116&lt;='2111 Trks'!$N$5,0,IF(K116&gt;'2111 Trks'!$N$4,P116,(O116*G116)))</f>
        <v>16116.75</v>
      </c>
      <c r="R116" s="261"/>
      <c r="S116" s="261">
        <f>+IF(Q116=0,M116,IF('2111 Trks'!$N$3-F116&lt;1,0,(('2111 Trks'!$N$3-F116)*P116)))</f>
        <v>0</v>
      </c>
      <c r="T116" s="261">
        <f t="shared" si="37"/>
        <v>16116.75</v>
      </c>
      <c r="U116" s="261">
        <f t="shared" si="38"/>
        <v>112817.25</v>
      </c>
      <c r="V116" s="263">
        <f t="shared" si="39"/>
        <v>112817.25</v>
      </c>
    </row>
    <row r="117" spans="2:22" s="260" customFormat="1" ht="15">
      <c r="B117" s="260" t="s">
        <v>1176</v>
      </c>
      <c r="D117" s="260">
        <v>193</v>
      </c>
      <c r="E117" s="260" t="s">
        <v>1180</v>
      </c>
      <c r="F117" s="260">
        <v>2021</v>
      </c>
      <c r="G117" s="260">
        <v>4</v>
      </c>
      <c r="H117" s="260">
        <v>0</v>
      </c>
      <c r="I117" s="260" t="s">
        <v>52</v>
      </c>
      <c r="J117" s="260">
        <v>8</v>
      </c>
      <c r="K117" s="260">
        <f t="shared" si="32"/>
        <v>2029</v>
      </c>
      <c r="L117" s="264">
        <f t="shared" si="33"/>
        <v>2029.3333333333333</v>
      </c>
      <c r="M117" s="261">
        <v>2222.3000000000002</v>
      </c>
      <c r="N117" s="261">
        <f t="shared" si="34"/>
        <v>2222.3000000000002</v>
      </c>
      <c r="O117" s="261">
        <f t="shared" si="35"/>
        <v>23.148958333333336</v>
      </c>
      <c r="P117" s="261">
        <f t="shared" si="36"/>
        <v>277.78750000000002</v>
      </c>
      <c r="Q117" s="261">
        <f>+IF(L117&lt;='2111 Trks'!$N$5,0,IF(K117&gt;'2111 Trks'!$N$4,P117,(O117*G117)))</f>
        <v>277.78750000000002</v>
      </c>
      <c r="R117" s="261"/>
      <c r="S117" s="261">
        <f>+IF(Q117=0,M117,IF('2111 Trks'!$N$3-F117&lt;1,0,(('2111 Trks'!$N$3-F117)*P117)))</f>
        <v>0</v>
      </c>
      <c r="T117" s="261">
        <f t="shared" si="37"/>
        <v>277.78750000000002</v>
      </c>
      <c r="U117" s="261">
        <f t="shared" si="38"/>
        <v>1944.5125000000003</v>
      </c>
      <c r="V117" s="263">
        <f t="shared" si="39"/>
        <v>1944.5125000000003</v>
      </c>
    </row>
    <row r="118" spans="2:22" s="260" customFormat="1" ht="15">
      <c r="B118" s="260" t="s">
        <v>1178</v>
      </c>
      <c r="D118" s="260">
        <v>193</v>
      </c>
      <c r="E118" s="260" t="s">
        <v>1181</v>
      </c>
      <c r="F118" s="260">
        <v>2021</v>
      </c>
      <c r="G118" s="260">
        <v>4</v>
      </c>
      <c r="H118" s="260">
        <v>0</v>
      </c>
      <c r="I118" s="260" t="s">
        <v>52</v>
      </c>
      <c r="J118" s="260">
        <v>8</v>
      </c>
      <c r="K118" s="260">
        <f t="shared" si="32"/>
        <v>2029</v>
      </c>
      <c r="L118" s="264">
        <f t="shared" si="33"/>
        <v>2029.3333333333333</v>
      </c>
      <c r="M118" s="261">
        <v>7363.3</v>
      </c>
      <c r="N118" s="261">
        <f t="shared" si="34"/>
        <v>7363.3</v>
      </c>
      <c r="O118" s="261">
        <f t="shared" si="35"/>
        <v>76.701041666666669</v>
      </c>
      <c r="P118" s="261">
        <f t="shared" si="36"/>
        <v>920.41250000000002</v>
      </c>
      <c r="Q118" s="261">
        <f>+IF(L118&lt;='2111 Trks'!$N$5,0,IF(K118&gt;'2111 Trks'!$N$4,P118,(O118*G118)))</f>
        <v>920.41250000000002</v>
      </c>
      <c r="R118" s="261"/>
      <c r="S118" s="261">
        <f>+IF(Q118=0,M118,IF('2111 Trks'!$N$3-F118&lt;1,0,(('2111 Trks'!$N$3-F118)*P118)))</f>
        <v>0</v>
      </c>
      <c r="T118" s="261">
        <f t="shared" si="37"/>
        <v>920.41250000000002</v>
      </c>
      <c r="U118" s="261">
        <f t="shared" si="38"/>
        <v>6442.8874999999998</v>
      </c>
      <c r="V118" s="263">
        <f t="shared" si="39"/>
        <v>6442.8874999999998</v>
      </c>
    </row>
    <row r="119" spans="2:22" s="260" customFormat="1" ht="15">
      <c r="B119" s="260" t="s">
        <v>1179</v>
      </c>
      <c r="D119" s="260">
        <v>193</v>
      </c>
      <c r="E119" s="260" t="s">
        <v>1182</v>
      </c>
      <c r="F119" s="260">
        <v>2021</v>
      </c>
      <c r="G119" s="260">
        <v>4</v>
      </c>
      <c r="H119" s="260">
        <v>0</v>
      </c>
      <c r="I119" s="260" t="s">
        <v>52</v>
      </c>
      <c r="J119" s="260">
        <v>8</v>
      </c>
      <c r="K119" s="260">
        <f t="shared" si="32"/>
        <v>2029</v>
      </c>
      <c r="L119" s="264">
        <f t="shared" si="33"/>
        <v>2029.3333333333333</v>
      </c>
      <c r="M119" s="261">
        <v>7320.53</v>
      </c>
      <c r="N119" s="261">
        <f t="shared" si="34"/>
        <v>7320.53</v>
      </c>
      <c r="O119" s="261">
        <f t="shared" si="35"/>
        <v>76.255520833333335</v>
      </c>
      <c r="P119" s="261">
        <f t="shared" si="36"/>
        <v>915.06625000000008</v>
      </c>
      <c r="Q119" s="261">
        <f>+IF(L119&lt;='2111 Trks'!$N$5,0,IF(K119&gt;'2111 Trks'!$N$4,P119,(O119*G119)))</f>
        <v>915.06625000000008</v>
      </c>
      <c r="R119" s="261"/>
      <c r="S119" s="261">
        <f>+IF(Q119=0,M119,IF('2111 Trks'!$N$3-F119&lt;1,0,(('2111 Trks'!$N$3-F119)*P119)))</f>
        <v>0</v>
      </c>
      <c r="T119" s="261">
        <f t="shared" si="37"/>
        <v>915.06625000000008</v>
      </c>
      <c r="U119" s="261">
        <f t="shared" si="38"/>
        <v>6405.4637499999999</v>
      </c>
      <c r="V119" s="263">
        <f t="shared" si="39"/>
        <v>6405.4637499999999</v>
      </c>
    </row>
    <row r="120" spans="2:22" s="141" customFormat="1" ht="15">
      <c r="B120" s="141">
        <v>255494</v>
      </c>
      <c r="D120" s="141">
        <v>192</v>
      </c>
      <c r="E120" s="141" t="s">
        <v>1177</v>
      </c>
      <c r="F120" s="141">
        <v>2019</v>
      </c>
      <c r="G120" s="141">
        <v>12</v>
      </c>
      <c r="H120" s="141">
        <v>0</v>
      </c>
      <c r="I120" s="141" t="s">
        <v>52</v>
      </c>
      <c r="J120" s="141">
        <v>9</v>
      </c>
      <c r="K120" s="141">
        <f t="shared" si="32"/>
        <v>2028</v>
      </c>
      <c r="L120" s="195">
        <f t="shared" si="33"/>
        <v>2029</v>
      </c>
      <c r="M120" s="142">
        <v>162499.54</v>
      </c>
      <c r="N120" s="142">
        <f t="shared" si="34"/>
        <v>162499.54</v>
      </c>
      <c r="O120" s="142">
        <f t="shared" si="35"/>
        <v>1504.6253703703705</v>
      </c>
      <c r="P120" s="142">
        <f t="shared" si="36"/>
        <v>18055.504444444447</v>
      </c>
      <c r="Q120" s="142">
        <f>+IF(L120&lt;='2111 Trks'!$N$5,0,IF(K120&gt;'2111 Trks'!$N$4,P120,(O120*G120)))</f>
        <v>18055.504444444447</v>
      </c>
      <c r="R120" s="142"/>
      <c r="S120" s="142">
        <f>+IF(Q120=0,M120,IF('2111 Trks'!$N$3-F120&lt;1,0,(('2111 Trks'!$N$3-F120)*P120)))</f>
        <v>0</v>
      </c>
      <c r="T120" s="142">
        <f t="shared" si="37"/>
        <v>18055.504444444447</v>
      </c>
      <c r="U120" s="142">
        <f t="shared" si="38"/>
        <v>144444.03555555557</v>
      </c>
      <c r="V120" s="172">
        <f t="shared" si="39"/>
        <v>144444.03555555557</v>
      </c>
    </row>
    <row r="121" spans="2:22" s="141" customFormat="1" ht="15">
      <c r="B121" s="141" t="s">
        <v>1187</v>
      </c>
      <c r="E121" s="141" t="s">
        <v>1189</v>
      </c>
      <c r="F121" s="141">
        <v>2020</v>
      </c>
      <c r="G121" s="141">
        <v>1</v>
      </c>
      <c r="H121" s="141">
        <v>0</v>
      </c>
      <c r="I121" s="141" t="s">
        <v>52</v>
      </c>
      <c r="J121" s="141">
        <v>9</v>
      </c>
      <c r="K121" s="141">
        <f t="shared" si="32"/>
        <v>2029</v>
      </c>
      <c r="L121" s="195">
        <f t="shared" si="33"/>
        <v>2029.0833333333333</v>
      </c>
      <c r="M121" s="142">
        <v>6907.22</v>
      </c>
      <c r="N121" s="142">
        <f t="shared" si="34"/>
        <v>6907.22</v>
      </c>
      <c r="O121" s="142">
        <f t="shared" si="35"/>
        <v>63.955740740740744</v>
      </c>
      <c r="P121" s="142">
        <f t="shared" si="36"/>
        <v>767.46888888888896</v>
      </c>
      <c r="Q121" s="142">
        <f>+IF(L121&lt;='2111 Trks'!$N$5,0,IF(K121&gt;'2111 Trks'!$N$4,P121,(O121*G121)))</f>
        <v>767.46888888888896</v>
      </c>
      <c r="R121" s="142"/>
      <c r="S121" s="142">
        <f>+IF(Q121=0,M121,IF('2111 Trks'!$N$3-F121&lt;1,0,(('2111 Trks'!$N$3-F121)*P121)))</f>
        <v>0</v>
      </c>
      <c r="T121" s="142">
        <f t="shared" si="37"/>
        <v>767.46888888888896</v>
      </c>
      <c r="U121" s="142">
        <f t="shared" si="38"/>
        <v>6139.7511111111116</v>
      </c>
      <c r="V121" s="172">
        <f t="shared" si="39"/>
        <v>6139.7511111111116</v>
      </c>
    </row>
    <row r="122" spans="2:22" s="141" customFormat="1" ht="15">
      <c r="B122" s="141" t="s">
        <v>1188</v>
      </c>
      <c r="E122" s="141" t="s">
        <v>1190</v>
      </c>
      <c r="F122" s="141">
        <v>2019</v>
      </c>
      <c r="G122" s="141">
        <v>12</v>
      </c>
      <c r="H122" s="141">
        <v>0</v>
      </c>
      <c r="I122" s="141" t="s">
        <v>52</v>
      </c>
      <c r="J122" s="141">
        <v>9</v>
      </c>
      <c r="K122" s="141">
        <f t="shared" si="32"/>
        <v>2028</v>
      </c>
      <c r="L122" s="195">
        <f t="shared" si="33"/>
        <v>2029</v>
      </c>
      <c r="M122" s="142">
        <v>7320.53</v>
      </c>
      <c r="N122" s="142">
        <f t="shared" si="34"/>
        <v>7320.53</v>
      </c>
      <c r="O122" s="142">
        <f t="shared" si="35"/>
        <v>67.782685185185187</v>
      </c>
      <c r="P122" s="142">
        <f t="shared" si="36"/>
        <v>813.39222222222224</v>
      </c>
      <c r="Q122" s="142">
        <f>+IF(L122&lt;='2111 Trks'!$N$5,0,IF(K122&gt;'2111 Trks'!$N$4,P122,(O122*G122)))</f>
        <v>813.39222222222224</v>
      </c>
      <c r="R122" s="142"/>
      <c r="S122" s="142">
        <f>+IF(Q122=0,M122,IF('2111 Trks'!$N$3-F122&lt;1,0,(('2111 Trks'!$N$3-F122)*P122)))</f>
        <v>0</v>
      </c>
      <c r="T122" s="142">
        <f t="shared" si="37"/>
        <v>813.39222222222224</v>
      </c>
      <c r="U122" s="142">
        <f t="shared" si="38"/>
        <v>6507.137777777778</v>
      </c>
      <c r="V122" s="172">
        <f t="shared" si="39"/>
        <v>6507.137777777778</v>
      </c>
    </row>
    <row r="123" spans="2:22" s="141" customFormat="1" ht="15">
      <c r="B123" s="141">
        <v>255228</v>
      </c>
      <c r="E123" s="141" t="s">
        <v>1191</v>
      </c>
      <c r="F123" s="141">
        <v>2019</v>
      </c>
      <c r="G123" s="141">
        <v>7</v>
      </c>
      <c r="H123" s="141">
        <v>0</v>
      </c>
      <c r="I123" s="141" t="s">
        <v>52</v>
      </c>
      <c r="J123" s="141">
        <v>3</v>
      </c>
      <c r="K123" s="141">
        <f t="shared" si="32"/>
        <v>2022</v>
      </c>
      <c r="L123" s="195">
        <f t="shared" si="33"/>
        <v>2022.5833333333333</v>
      </c>
      <c r="M123" s="142">
        <v>27475</v>
      </c>
      <c r="N123" s="142">
        <f t="shared" si="34"/>
        <v>27475</v>
      </c>
      <c r="O123" s="142">
        <f t="shared" si="35"/>
        <v>763.19444444444446</v>
      </c>
      <c r="P123" s="142">
        <f t="shared" si="36"/>
        <v>9158.3333333333339</v>
      </c>
      <c r="Q123" s="142">
        <f>+IF(L123&lt;='2111 Trks'!$N$5,0,IF(K123&gt;'2111 Trks'!$N$4,P123,(O123*G123)))</f>
        <v>0</v>
      </c>
      <c r="R123" s="142"/>
      <c r="S123" s="142">
        <f>+IF(Q123=0,M123,IF('2111 Trks'!$N$3-F123&lt;1,0,(('2111 Trks'!$N$3-F123)*P123)))</f>
        <v>27475</v>
      </c>
      <c r="T123" s="142">
        <f t="shared" si="37"/>
        <v>27475</v>
      </c>
      <c r="U123" s="142">
        <f t="shared" si="38"/>
        <v>0</v>
      </c>
      <c r="V123" s="172">
        <f t="shared" si="39"/>
        <v>0</v>
      </c>
    </row>
    <row r="124" spans="2:22" s="141" customFormat="1" ht="15">
      <c r="B124" s="141" t="s">
        <v>1212</v>
      </c>
      <c r="E124" s="141" t="s">
        <v>1192</v>
      </c>
      <c r="F124" s="141">
        <v>2019</v>
      </c>
      <c r="G124" s="141">
        <v>12</v>
      </c>
      <c r="H124" s="141">
        <v>0</v>
      </c>
      <c r="I124" s="141" t="s">
        <v>52</v>
      </c>
      <c r="J124" s="141">
        <v>9</v>
      </c>
      <c r="K124" s="141">
        <f t="shared" si="32"/>
        <v>2028</v>
      </c>
      <c r="L124" s="195">
        <f t="shared" si="33"/>
        <v>2029</v>
      </c>
      <c r="M124" s="142">
        <v>7327.19</v>
      </c>
      <c r="N124" s="142">
        <f t="shared" si="34"/>
        <v>7327.19</v>
      </c>
      <c r="O124" s="142">
        <f t="shared" si="35"/>
        <v>67.84435185185184</v>
      </c>
      <c r="P124" s="142">
        <f t="shared" si="36"/>
        <v>814.13222222222203</v>
      </c>
      <c r="Q124" s="142">
        <f>+IF(L124&lt;='2111 Trks'!$N$5,0,IF(K124&gt;'2111 Trks'!$N$4,P124,(O124*G124)))</f>
        <v>814.13222222222203</v>
      </c>
      <c r="R124" s="142"/>
      <c r="S124" s="142">
        <f>+IF(Q124=0,M124,IF('2111 Trks'!$N$3-F124&lt;1,0,(('2111 Trks'!$N$3-F124)*P124)))</f>
        <v>0</v>
      </c>
      <c r="T124" s="142">
        <f t="shared" si="37"/>
        <v>814.13222222222203</v>
      </c>
      <c r="U124" s="142">
        <f t="shared" si="38"/>
        <v>6513.057777777778</v>
      </c>
      <c r="V124" s="172">
        <f t="shared" si="39"/>
        <v>6513.057777777778</v>
      </c>
    </row>
    <row r="125" spans="2:22" s="141" customFormat="1" ht="15">
      <c r="B125" s="141" t="s">
        <v>1213</v>
      </c>
      <c r="E125" s="141" t="s">
        <v>1193</v>
      </c>
      <c r="F125" s="141">
        <v>2019</v>
      </c>
      <c r="G125" s="141">
        <v>12</v>
      </c>
      <c r="H125" s="141">
        <v>0</v>
      </c>
      <c r="I125" s="141" t="s">
        <v>52</v>
      </c>
      <c r="J125" s="141">
        <v>9</v>
      </c>
      <c r="K125" s="141">
        <f t="shared" si="32"/>
        <v>2028</v>
      </c>
      <c r="L125" s="195">
        <f t="shared" si="33"/>
        <v>2029</v>
      </c>
      <c r="M125" s="142">
        <v>6907.22</v>
      </c>
      <c r="N125" s="142">
        <f t="shared" si="34"/>
        <v>6907.22</v>
      </c>
      <c r="O125" s="142">
        <f t="shared" si="35"/>
        <v>63.955740740740744</v>
      </c>
      <c r="P125" s="142">
        <f t="shared" si="36"/>
        <v>767.46888888888896</v>
      </c>
      <c r="Q125" s="142">
        <f>+IF(L125&lt;='2111 Trks'!$N$5,0,IF(K125&gt;'2111 Trks'!$N$4,P125,(O125*G125)))</f>
        <v>767.46888888888896</v>
      </c>
      <c r="R125" s="142"/>
      <c r="S125" s="142">
        <f>+IF(Q125=0,M125,IF('2111 Trks'!$N$3-F125&lt;1,0,(('2111 Trks'!$N$3-F125)*P125)))</f>
        <v>0</v>
      </c>
      <c r="T125" s="142">
        <f t="shared" si="37"/>
        <v>767.46888888888896</v>
      </c>
      <c r="U125" s="142">
        <f t="shared" si="38"/>
        <v>6139.7511111111116</v>
      </c>
      <c r="V125" s="172">
        <f t="shared" si="39"/>
        <v>6139.7511111111116</v>
      </c>
    </row>
    <row r="126" spans="2:22" s="141" customFormat="1" ht="15">
      <c r="B126" s="141">
        <v>255491</v>
      </c>
      <c r="E126" s="141" t="s">
        <v>1049</v>
      </c>
      <c r="F126" s="141">
        <v>2019</v>
      </c>
      <c r="G126" s="141">
        <v>9</v>
      </c>
      <c r="H126" s="141">
        <v>0</v>
      </c>
      <c r="I126" s="141" t="s">
        <v>52</v>
      </c>
      <c r="J126" s="141">
        <v>9</v>
      </c>
      <c r="K126" s="141">
        <f t="shared" si="32"/>
        <v>2028</v>
      </c>
      <c r="L126" s="195">
        <f t="shared" si="33"/>
        <v>2028.75</v>
      </c>
      <c r="M126" s="142">
        <v>161994</v>
      </c>
      <c r="N126" s="142">
        <f t="shared" si="34"/>
        <v>161994</v>
      </c>
      <c r="O126" s="142">
        <f t="shared" si="35"/>
        <v>1499.9444444444443</v>
      </c>
      <c r="P126" s="142">
        <f t="shared" si="36"/>
        <v>17999.333333333332</v>
      </c>
      <c r="Q126" s="142">
        <f>+IF(L126&lt;='2111 Trks'!$N$5,0,IF(K126&gt;'2111 Trks'!$N$4,P126,(O126*G126)))</f>
        <v>17999.333333333332</v>
      </c>
      <c r="R126" s="142"/>
      <c r="S126" s="142">
        <f>+IF(Q126=0,M126,IF('2111 Trks'!$N$3-F126&lt;1,0,(('2111 Trks'!$N$3-F126)*P126)))</f>
        <v>0</v>
      </c>
      <c r="T126" s="142">
        <f t="shared" si="37"/>
        <v>17999.333333333332</v>
      </c>
      <c r="U126" s="142">
        <f t="shared" si="38"/>
        <v>143994.66666666666</v>
      </c>
      <c r="V126" s="172">
        <f t="shared" si="39"/>
        <v>143994.66666666666</v>
      </c>
    </row>
    <row r="127" spans="2:22" s="141" customFormat="1" ht="15">
      <c r="B127" s="141" t="s">
        <v>1214</v>
      </c>
      <c r="E127" s="141" t="s">
        <v>1194</v>
      </c>
      <c r="F127" s="141">
        <v>2017</v>
      </c>
      <c r="G127" s="141">
        <v>10</v>
      </c>
      <c r="H127" s="141">
        <v>0</v>
      </c>
      <c r="I127" s="141" t="s">
        <v>52</v>
      </c>
      <c r="J127" s="141">
        <v>3</v>
      </c>
      <c r="K127" s="141">
        <f t="shared" si="32"/>
        <v>2020</v>
      </c>
      <c r="L127" s="195">
        <f t="shared" si="33"/>
        <v>2020.8333333333333</v>
      </c>
      <c r="M127" s="142">
        <v>3242.05</v>
      </c>
      <c r="N127" s="142">
        <f t="shared" si="34"/>
        <v>3242.05</v>
      </c>
      <c r="O127" s="142">
        <f t="shared" si="35"/>
        <v>90.056944444444454</v>
      </c>
      <c r="P127" s="142">
        <f t="shared" si="36"/>
        <v>1080.6833333333334</v>
      </c>
      <c r="Q127" s="142">
        <f>+IF(L127&lt;='2111 Trks'!$N$5,0,IF(K127&gt;'2111 Trks'!$N$4,P127,(O127*G127)))</f>
        <v>0</v>
      </c>
      <c r="R127" s="142"/>
      <c r="S127" s="142">
        <f>+IF(Q127=0,M127,IF('2111 Trks'!$N$3-F127&lt;1,0,(('2111 Trks'!$N$3-F127)*P127)))</f>
        <v>3242.05</v>
      </c>
      <c r="T127" s="142">
        <f t="shared" si="37"/>
        <v>3242.05</v>
      </c>
      <c r="U127" s="142">
        <f t="shared" si="38"/>
        <v>0</v>
      </c>
      <c r="V127" s="172">
        <f t="shared" si="39"/>
        <v>0</v>
      </c>
    </row>
    <row r="128" spans="2:22" s="141" customFormat="1" ht="15">
      <c r="B128" s="141" t="s">
        <v>1215</v>
      </c>
      <c r="E128" s="141" t="s">
        <v>1195</v>
      </c>
      <c r="F128" s="141">
        <v>2017</v>
      </c>
      <c r="G128" s="141">
        <v>12</v>
      </c>
      <c r="H128" s="141">
        <v>0</v>
      </c>
      <c r="I128" s="141" t="s">
        <v>52</v>
      </c>
      <c r="J128" s="141">
        <v>3</v>
      </c>
      <c r="K128" s="141">
        <f t="shared" si="32"/>
        <v>2020</v>
      </c>
      <c r="L128" s="195">
        <f t="shared" si="33"/>
        <v>2021</v>
      </c>
      <c r="M128" s="142">
        <v>17621.09</v>
      </c>
      <c r="N128" s="142">
        <f t="shared" si="34"/>
        <v>17621.09</v>
      </c>
      <c r="O128" s="142">
        <f t="shared" si="35"/>
        <v>489.47472222222223</v>
      </c>
      <c r="P128" s="142">
        <f t="shared" si="36"/>
        <v>5873.6966666666667</v>
      </c>
      <c r="Q128" s="142">
        <f>+IF(L128&lt;='2111 Trks'!$N$5,0,IF(K128&gt;'2111 Trks'!$N$4,P128,(O128*G128)))</f>
        <v>0</v>
      </c>
      <c r="R128" s="142"/>
      <c r="S128" s="142">
        <f>+IF(Q128=0,M128,IF('2111 Trks'!$N$3-F128&lt;1,0,(('2111 Trks'!$N$3-F128)*P128)))</f>
        <v>17621.09</v>
      </c>
      <c r="T128" s="142">
        <f t="shared" si="37"/>
        <v>17621.09</v>
      </c>
      <c r="U128" s="142">
        <f t="shared" si="38"/>
        <v>0</v>
      </c>
      <c r="V128" s="172">
        <f t="shared" si="39"/>
        <v>0</v>
      </c>
    </row>
    <row r="129" spans="2:22" s="141" customFormat="1" ht="15">
      <c r="B129" s="141">
        <v>255488</v>
      </c>
      <c r="E129" s="141" t="s">
        <v>1196</v>
      </c>
      <c r="F129" s="141">
        <v>2012</v>
      </c>
      <c r="G129" s="141">
        <v>1</v>
      </c>
      <c r="H129" s="141">
        <v>0</v>
      </c>
      <c r="I129" s="141" t="s">
        <v>52</v>
      </c>
      <c r="J129" s="141">
        <v>8</v>
      </c>
      <c r="K129" s="141">
        <f t="shared" si="32"/>
        <v>2020</v>
      </c>
      <c r="L129" s="195">
        <f t="shared" si="33"/>
        <v>2020.0833333333333</v>
      </c>
      <c r="M129" s="142">
        <v>117820</v>
      </c>
      <c r="N129" s="142">
        <f t="shared" si="34"/>
        <v>117820</v>
      </c>
      <c r="O129" s="142">
        <f t="shared" si="35"/>
        <v>1227.2916666666667</v>
      </c>
      <c r="P129" s="142">
        <f t="shared" si="36"/>
        <v>14727.5</v>
      </c>
      <c r="Q129" s="142">
        <f>+IF(L129&lt;='2111 Trks'!$N$5,0,IF(K129&gt;'2111 Trks'!$N$4,P129,(O129*G129)))</f>
        <v>0</v>
      </c>
      <c r="R129" s="142"/>
      <c r="S129" s="142">
        <f>+IF(Q129=0,M129,IF('2111 Trks'!$N$3-F129&lt;1,0,(('2111 Trks'!$N$3-F129)*P129)))</f>
        <v>117820</v>
      </c>
      <c r="T129" s="142">
        <f t="shared" si="37"/>
        <v>117820</v>
      </c>
      <c r="U129" s="142">
        <f t="shared" si="38"/>
        <v>0</v>
      </c>
      <c r="V129" s="172">
        <f t="shared" si="39"/>
        <v>0</v>
      </c>
    </row>
    <row r="130" spans="2:22" s="141" customFormat="1" ht="15">
      <c r="B130" s="141" t="s">
        <v>1216</v>
      </c>
      <c r="E130" s="141" t="s">
        <v>1197</v>
      </c>
      <c r="F130" s="141">
        <v>2019</v>
      </c>
      <c r="G130" s="141">
        <v>1</v>
      </c>
      <c r="H130" s="141">
        <v>0</v>
      </c>
      <c r="I130" s="141" t="s">
        <v>52</v>
      </c>
      <c r="J130" s="141">
        <v>3</v>
      </c>
      <c r="K130" s="141">
        <f t="shared" si="32"/>
        <v>2022</v>
      </c>
      <c r="L130" s="195">
        <f t="shared" si="33"/>
        <v>2022.0833333333333</v>
      </c>
      <c r="M130" s="142">
        <v>15188.18</v>
      </c>
      <c r="N130" s="142">
        <f t="shared" si="34"/>
        <v>15188.18</v>
      </c>
      <c r="O130" s="142">
        <f t="shared" si="35"/>
        <v>421.89388888888885</v>
      </c>
      <c r="P130" s="142">
        <f t="shared" si="36"/>
        <v>5062.7266666666665</v>
      </c>
      <c r="Q130" s="142">
        <f>+IF(L130&lt;='2111 Trks'!$N$5,0,IF(K130&gt;'2111 Trks'!$N$4,P130,(O130*G130)))</f>
        <v>0</v>
      </c>
      <c r="R130" s="142"/>
      <c r="S130" s="142">
        <f>+IF(Q130=0,M130,IF('2111 Trks'!$N$3-F130&lt;1,0,(('2111 Trks'!$N$3-F130)*P130)))</f>
        <v>15188.18</v>
      </c>
      <c r="T130" s="142">
        <f t="shared" si="37"/>
        <v>15188.18</v>
      </c>
      <c r="U130" s="142">
        <f t="shared" si="38"/>
        <v>0</v>
      </c>
      <c r="V130" s="172">
        <f t="shared" si="39"/>
        <v>0</v>
      </c>
    </row>
    <row r="131" spans="2:22" s="141" customFormat="1" ht="15">
      <c r="B131" s="141">
        <v>255486</v>
      </c>
      <c r="E131" s="141" t="s">
        <v>1198</v>
      </c>
      <c r="F131" s="141">
        <v>2019</v>
      </c>
      <c r="G131" s="141">
        <v>1</v>
      </c>
      <c r="H131" s="141">
        <v>0</v>
      </c>
      <c r="I131" s="141" t="s">
        <v>52</v>
      </c>
      <c r="J131" s="141">
        <v>3</v>
      </c>
      <c r="K131" s="141">
        <f t="shared" si="32"/>
        <v>2022</v>
      </c>
      <c r="L131" s="195">
        <f t="shared" si="33"/>
        <v>2022.0833333333333</v>
      </c>
      <c r="M131" s="142">
        <v>33354.65</v>
      </c>
      <c r="N131" s="142">
        <f t="shared" si="34"/>
        <v>33354.65</v>
      </c>
      <c r="O131" s="142">
        <f t="shared" si="35"/>
        <v>926.51805555555563</v>
      </c>
      <c r="P131" s="142">
        <f t="shared" si="36"/>
        <v>11118.216666666667</v>
      </c>
      <c r="Q131" s="142">
        <f>+IF(L131&lt;='2111 Trks'!$N$5,0,IF(K131&gt;'2111 Trks'!$N$4,P131,(O131*G131)))</f>
        <v>0</v>
      </c>
      <c r="R131" s="142"/>
      <c r="S131" s="142">
        <f>+IF(Q131=0,M131,IF('2111 Trks'!$N$3-F131&lt;1,0,(('2111 Trks'!$N$3-F131)*P131)))</f>
        <v>33354.65</v>
      </c>
      <c r="T131" s="142">
        <f t="shared" si="37"/>
        <v>33354.65</v>
      </c>
      <c r="U131" s="142">
        <f t="shared" si="38"/>
        <v>0</v>
      </c>
      <c r="V131" s="172">
        <f t="shared" si="39"/>
        <v>0</v>
      </c>
    </row>
    <row r="132" spans="2:22" s="141" customFormat="1" ht="15">
      <c r="B132" s="141" t="s">
        <v>1217</v>
      </c>
      <c r="E132" s="141" t="s">
        <v>1197</v>
      </c>
      <c r="F132" s="141">
        <v>2019</v>
      </c>
      <c r="G132" s="141">
        <v>1</v>
      </c>
      <c r="H132" s="141">
        <v>0</v>
      </c>
      <c r="I132" s="141" t="s">
        <v>52</v>
      </c>
      <c r="J132" s="141">
        <v>3</v>
      </c>
      <c r="K132" s="141">
        <f t="shared" si="32"/>
        <v>2022</v>
      </c>
      <c r="L132" s="195">
        <f t="shared" si="33"/>
        <v>2022.0833333333333</v>
      </c>
      <c r="M132" s="142">
        <v>15188.18</v>
      </c>
      <c r="N132" s="142">
        <f t="shared" si="34"/>
        <v>15188.18</v>
      </c>
      <c r="O132" s="142">
        <f t="shared" si="35"/>
        <v>421.89388888888885</v>
      </c>
      <c r="P132" s="142">
        <f t="shared" si="36"/>
        <v>5062.7266666666665</v>
      </c>
      <c r="Q132" s="142">
        <f>+IF(L132&lt;='2111 Trks'!$N$5,0,IF(K132&gt;'2111 Trks'!$N$4,P132,(O132*G132)))</f>
        <v>0</v>
      </c>
      <c r="R132" s="142"/>
      <c r="S132" s="142">
        <f>+IF(Q132=0,M132,IF('2111 Trks'!$N$3-F132&lt;1,0,(('2111 Trks'!$N$3-F132)*P132)))</f>
        <v>15188.18</v>
      </c>
      <c r="T132" s="142">
        <f t="shared" si="37"/>
        <v>15188.18</v>
      </c>
      <c r="U132" s="142">
        <f t="shared" si="38"/>
        <v>0</v>
      </c>
      <c r="V132" s="172">
        <f t="shared" si="39"/>
        <v>0</v>
      </c>
    </row>
    <row r="133" spans="2:22" s="141" customFormat="1" ht="15">
      <c r="B133" s="141">
        <v>255484</v>
      </c>
      <c r="E133" s="141" t="s">
        <v>1199</v>
      </c>
      <c r="F133" s="141">
        <v>2019</v>
      </c>
      <c r="G133" s="141">
        <v>1</v>
      </c>
      <c r="H133" s="141">
        <v>0</v>
      </c>
      <c r="I133" s="141" t="s">
        <v>52</v>
      </c>
      <c r="J133" s="141">
        <v>3</v>
      </c>
      <c r="K133" s="141">
        <f t="shared" si="32"/>
        <v>2022</v>
      </c>
      <c r="L133" s="195">
        <f t="shared" si="33"/>
        <v>2022.0833333333333</v>
      </c>
      <c r="M133" s="142">
        <v>33354.65</v>
      </c>
      <c r="N133" s="142">
        <f t="shared" si="34"/>
        <v>33354.65</v>
      </c>
      <c r="O133" s="142">
        <f t="shared" si="35"/>
        <v>926.51805555555563</v>
      </c>
      <c r="P133" s="142">
        <f t="shared" si="36"/>
        <v>11118.216666666667</v>
      </c>
      <c r="Q133" s="142">
        <f>+IF(L133&lt;='2111 Trks'!$N$5,0,IF(K133&gt;'2111 Trks'!$N$4,P133,(O133*G133)))</f>
        <v>0</v>
      </c>
      <c r="R133" s="142"/>
      <c r="S133" s="142">
        <f>+IF(Q133=0,M133,IF('2111 Trks'!$N$3-F133&lt;1,0,(('2111 Trks'!$N$3-F133)*P133)))</f>
        <v>33354.65</v>
      </c>
      <c r="T133" s="142">
        <f t="shared" si="37"/>
        <v>33354.65</v>
      </c>
      <c r="U133" s="142">
        <f t="shared" si="38"/>
        <v>0</v>
      </c>
      <c r="V133" s="172">
        <f t="shared" si="39"/>
        <v>0</v>
      </c>
    </row>
    <row r="134" spans="2:22" s="141" customFormat="1" ht="15">
      <c r="B134" s="141" t="s">
        <v>1218</v>
      </c>
      <c r="E134" s="141" t="s">
        <v>1197</v>
      </c>
      <c r="F134" s="141">
        <v>2019</v>
      </c>
      <c r="G134" s="141">
        <v>1</v>
      </c>
      <c r="H134" s="141">
        <v>0</v>
      </c>
      <c r="I134" s="141" t="s">
        <v>52</v>
      </c>
      <c r="J134" s="141">
        <v>3</v>
      </c>
      <c r="K134" s="141">
        <f t="shared" si="32"/>
        <v>2022</v>
      </c>
      <c r="L134" s="195">
        <f t="shared" si="33"/>
        <v>2022.0833333333333</v>
      </c>
      <c r="M134" s="142">
        <v>15188.18</v>
      </c>
      <c r="N134" s="142">
        <f t="shared" si="34"/>
        <v>15188.18</v>
      </c>
      <c r="O134" s="142">
        <f t="shared" si="35"/>
        <v>421.89388888888885</v>
      </c>
      <c r="P134" s="142">
        <f t="shared" si="36"/>
        <v>5062.7266666666665</v>
      </c>
      <c r="Q134" s="142">
        <f>+IF(L134&lt;='2111 Trks'!$N$5,0,IF(K134&gt;'2111 Trks'!$N$4,P134,(O134*G134)))</f>
        <v>0</v>
      </c>
      <c r="R134" s="142"/>
      <c r="S134" s="142">
        <f>+IF(Q134=0,M134,IF('2111 Trks'!$N$3-F134&lt;1,0,(('2111 Trks'!$N$3-F134)*P134)))</f>
        <v>15188.18</v>
      </c>
      <c r="T134" s="142">
        <f t="shared" si="37"/>
        <v>15188.18</v>
      </c>
      <c r="U134" s="142">
        <f t="shared" si="38"/>
        <v>0</v>
      </c>
      <c r="V134" s="172">
        <f t="shared" si="39"/>
        <v>0</v>
      </c>
    </row>
    <row r="135" spans="2:22" s="141" customFormat="1" ht="15">
      <c r="B135" s="141">
        <v>255482</v>
      </c>
      <c r="E135" s="141" t="s">
        <v>1200</v>
      </c>
      <c r="F135" s="141">
        <v>2019</v>
      </c>
      <c r="G135" s="141">
        <v>1</v>
      </c>
      <c r="H135" s="141">
        <v>0</v>
      </c>
      <c r="I135" s="141" t="s">
        <v>52</v>
      </c>
      <c r="J135" s="141">
        <v>3</v>
      </c>
      <c r="K135" s="141">
        <f t="shared" si="32"/>
        <v>2022</v>
      </c>
      <c r="L135" s="195">
        <f t="shared" si="33"/>
        <v>2022.0833333333333</v>
      </c>
      <c r="M135" s="142">
        <v>33354.65</v>
      </c>
      <c r="N135" s="142">
        <f t="shared" si="34"/>
        <v>33354.65</v>
      </c>
      <c r="O135" s="142">
        <f t="shared" si="35"/>
        <v>926.51805555555563</v>
      </c>
      <c r="P135" s="142">
        <f t="shared" si="36"/>
        <v>11118.216666666667</v>
      </c>
      <c r="Q135" s="142">
        <f>+IF(L135&lt;='2111 Trks'!$N$5,0,IF(K135&gt;'2111 Trks'!$N$4,P135,(O135*G135)))</f>
        <v>0</v>
      </c>
      <c r="R135" s="142"/>
      <c r="S135" s="142">
        <f>+IF(Q135=0,M135,IF('2111 Trks'!$N$3-F135&lt;1,0,(('2111 Trks'!$N$3-F135)*P135)))</f>
        <v>33354.65</v>
      </c>
      <c r="T135" s="142">
        <f t="shared" si="37"/>
        <v>33354.65</v>
      </c>
      <c r="U135" s="142">
        <f t="shared" si="38"/>
        <v>0</v>
      </c>
      <c r="V135" s="172">
        <f t="shared" si="39"/>
        <v>0</v>
      </c>
    </row>
    <row r="136" spans="2:22" s="141" customFormat="1" ht="15">
      <c r="B136" s="141" t="s">
        <v>1219</v>
      </c>
      <c r="E136" s="141" t="s">
        <v>1197</v>
      </c>
      <c r="F136" s="141">
        <v>2019</v>
      </c>
      <c r="G136" s="141">
        <v>1</v>
      </c>
      <c r="H136" s="141">
        <v>0</v>
      </c>
      <c r="I136" s="141" t="s">
        <v>52</v>
      </c>
      <c r="J136" s="141">
        <v>3</v>
      </c>
      <c r="K136" s="141">
        <f t="shared" si="32"/>
        <v>2022</v>
      </c>
      <c r="L136" s="195">
        <f t="shared" si="33"/>
        <v>2022.0833333333333</v>
      </c>
      <c r="M136" s="142">
        <v>15188.18</v>
      </c>
      <c r="N136" s="142">
        <f t="shared" si="34"/>
        <v>15188.18</v>
      </c>
      <c r="O136" s="142">
        <f t="shared" si="35"/>
        <v>421.89388888888885</v>
      </c>
      <c r="P136" s="142">
        <f t="shared" si="36"/>
        <v>5062.7266666666665</v>
      </c>
      <c r="Q136" s="142">
        <f>+IF(L136&lt;='2111 Trks'!$N$5,0,IF(K136&gt;'2111 Trks'!$N$4,P136,(O136*G136)))</f>
        <v>0</v>
      </c>
      <c r="R136" s="142"/>
      <c r="S136" s="142">
        <f>+IF(Q136=0,M136,IF('2111 Trks'!$N$3-F136&lt;1,0,(('2111 Trks'!$N$3-F136)*P136)))</f>
        <v>15188.18</v>
      </c>
      <c r="T136" s="142">
        <f t="shared" si="37"/>
        <v>15188.18</v>
      </c>
      <c r="U136" s="142">
        <f t="shared" si="38"/>
        <v>0</v>
      </c>
      <c r="V136" s="172">
        <f t="shared" si="39"/>
        <v>0</v>
      </c>
    </row>
    <row r="137" spans="2:22" s="141" customFormat="1" ht="15">
      <c r="B137" s="141">
        <v>255480</v>
      </c>
      <c r="E137" s="141" t="s">
        <v>1201</v>
      </c>
      <c r="F137" s="141">
        <v>2019</v>
      </c>
      <c r="G137" s="141">
        <v>1</v>
      </c>
      <c r="H137" s="141">
        <v>0</v>
      </c>
      <c r="I137" s="141" t="s">
        <v>52</v>
      </c>
      <c r="J137" s="141">
        <v>3</v>
      </c>
      <c r="K137" s="141">
        <f t="shared" si="32"/>
        <v>2022</v>
      </c>
      <c r="L137" s="195">
        <f t="shared" si="33"/>
        <v>2022.0833333333333</v>
      </c>
      <c r="M137" s="142">
        <v>33354.65</v>
      </c>
      <c r="N137" s="142">
        <f t="shared" si="34"/>
        <v>33354.65</v>
      </c>
      <c r="O137" s="142">
        <f t="shared" si="35"/>
        <v>926.51805555555563</v>
      </c>
      <c r="P137" s="142">
        <f t="shared" si="36"/>
        <v>11118.216666666667</v>
      </c>
      <c r="Q137" s="142">
        <f>+IF(L137&lt;='2111 Trks'!$N$5,0,IF(K137&gt;'2111 Trks'!$N$4,P137,(O137*G137)))</f>
        <v>0</v>
      </c>
      <c r="R137" s="142"/>
      <c r="S137" s="142">
        <f>+IF(Q137=0,M137,IF('2111 Trks'!$N$3-F137&lt;1,0,(('2111 Trks'!$N$3-F137)*P137)))</f>
        <v>33354.65</v>
      </c>
      <c r="T137" s="142">
        <f t="shared" si="37"/>
        <v>33354.65</v>
      </c>
      <c r="U137" s="142">
        <f t="shared" si="38"/>
        <v>0</v>
      </c>
      <c r="V137" s="172">
        <f t="shared" si="39"/>
        <v>0</v>
      </c>
    </row>
    <row r="138" spans="2:22" s="141" customFormat="1" ht="15">
      <c r="B138" s="141" t="s">
        <v>1220</v>
      </c>
      <c r="E138" s="141" t="s">
        <v>1197</v>
      </c>
      <c r="F138" s="141">
        <v>2019</v>
      </c>
      <c r="G138" s="141">
        <v>1</v>
      </c>
      <c r="H138" s="141">
        <v>0</v>
      </c>
      <c r="I138" s="141" t="s">
        <v>52</v>
      </c>
      <c r="J138" s="141">
        <v>3</v>
      </c>
      <c r="K138" s="141">
        <f t="shared" si="32"/>
        <v>2022</v>
      </c>
      <c r="L138" s="195">
        <f t="shared" si="33"/>
        <v>2022.0833333333333</v>
      </c>
      <c r="M138" s="142">
        <v>15188.18</v>
      </c>
      <c r="N138" s="142">
        <f t="shared" si="34"/>
        <v>15188.18</v>
      </c>
      <c r="O138" s="142">
        <f t="shared" si="35"/>
        <v>421.89388888888885</v>
      </c>
      <c r="P138" s="142">
        <f t="shared" si="36"/>
        <v>5062.7266666666665</v>
      </c>
      <c r="Q138" s="142">
        <f>+IF(L138&lt;='2111 Trks'!$N$5,0,IF(K138&gt;'2111 Trks'!$N$4,P138,(O138*G138)))</f>
        <v>0</v>
      </c>
      <c r="R138" s="142"/>
      <c r="S138" s="142">
        <f>+IF(Q138=0,M138,IF('2111 Trks'!$N$3-F138&lt;1,0,(('2111 Trks'!$N$3-F138)*P138)))</f>
        <v>15188.18</v>
      </c>
      <c r="T138" s="142">
        <f t="shared" si="37"/>
        <v>15188.18</v>
      </c>
      <c r="U138" s="142">
        <f t="shared" si="38"/>
        <v>0</v>
      </c>
      <c r="V138" s="172">
        <f t="shared" si="39"/>
        <v>0</v>
      </c>
    </row>
    <row r="139" spans="2:22" s="141" customFormat="1" ht="15">
      <c r="B139" s="141">
        <v>255478</v>
      </c>
      <c r="E139" s="141" t="s">
        <v>1202</v>
      </c>
      <c r="F139" s="141">
        <v>2019</v>
      </c>
      <c r="G139" s="141">
        <v>1</v>
      </c>
      <c r="H139" s="141">
        <v>0</v>
      </c>
      <c r="I139" s="141" t="s">
        <v>52</v>
      </c>
      <c r="J139" s="141">
        <v>3</v>
      </c>
      <c r="K139" s="141">
        <f t="shared" si="32"/>
        <v>2022</v>
      </c>
      <c r="L139" s="195">
        <f t="shared" si="33"/>
        <v>2022.0833333333333</v>
      </c>
      <c r="M139" s="142">
        <v>33354.65</v>
      </c>
      <c r="N139" s="142">
        <f t="shared" si="34"/>
        <v>33354.65</v>
      </c>
      <c r="O139" s="142">
        <f t="shared" si="35"/>
        <v>926.51805555555563</v>
      </c>
      <c r="P139" s="142">
        <f t="shared" si="36"/>
        <v>11118.216666666667</v>
      </c>
      <c r="Q139" s="142">
        <f>+IF(L139&lt;='2111 Trks'!$N$5,0,IF(K139&gt;'2111 Trks'!$N$4,P139,(O139*G139)))</f>
        <v>0</v>
      </c>
      <c r="R139" s="142"/>
      <c r="S139" s="142">
        <f>+IF(Q139=0,M139,IF('2111 Trks'!$N$3-F139&lt;1,0,(('2111 Trks'!$N$3-F139)*P139)))</f>
        <v>33354.65</v>
      </c>
      <c r="T139" s="142">
        <f t="shared" si="37"/>
        <v>33354.65</v>
      </c>
      <c r="U139" s="142">
        <f t="shared" si="38"/>
        <v>0</v>
      </c>
      <c r="V139" s="172">
        <f t="shared" si="39"/>
        <v>0</v>
      </c>
    </row>
    <row r="140" spans="2:22" s="141" customFormat="1" ht="15">
      <c r="B140" s="141">
        <v>255477</v>
      </c>
      <c r="E140" s="141" t="s">
        <v>1203</v>
      </c>
      <c r="F140" s="141">
        <v>2020</v>
      </c>
      <c r="G140" s="141">
        <v>1</v>
      </c>
      <c r="H140" s="141">
        <v>0</v>
      </c>
      <c r="I140" s="141" t="s">
        <v>52</v>
      </c>
      <c r="J140" s="199">
        <v>2.1</v>
      </c>
      <c r="K140" s="141">
        <f t="shared" si="32"/>
        <v>2022.1</v>
      </c>
      <c r="L140" s="195">
        <f t="shared" si="33"/>
        <v>2022.1833333333332</v>
      </c>
      <c r="M140" s="142">
        <v>33513</v>
      </c>
      <c r="N140" s="142">
        <f t="shared" si="34"/>
        <v>33513</v>
      </c>
      <c r="O140" s="142">
        <f t="shared" si="35"/>
        <v>1329.8809523809523</v>
      </c>
      <c r="P140" s="142">
        <f t="shared" si="36"/>
        <v>15958.571428571428</v>
      </c>
      <c r="Q140" s="142">
        <f>+IF(L140&lt;='2111 Trks'!$N$5,0,IF(K140&gt;'2111 Trks'!$N$4,P140,(O140*G140)))</f>
        <v>0</v>
      </c>
      <c r="R140" s="142"/>
      <c r="S140" s="142">
        <f>+IF(Q140=0,M140,IF('2111 Trks'!$N$3-F140&lt;1,0,(('2111 Trks'!$N$3-F140)*P140)))</f>
        <v>33513</v>
      </c>
      <c r="T140" s="142">
        <f t="shared" si="37"/>
        <v>33513</v>
      </c>
      <c r="U140" s="142">
        <f t="shared" si="38"/>
        <v>0</v>
      </c>
      <c r="V140" s="172">
        <f t="shared" si="39"/>
        <v>0</v>
      </c>
    </row>
    <row r="141" spans="2:22" s="141" customFormat="1" ht="15">
      <c r="B141" s="141" t="s">
        <v>1221</v>
      </c>
      <c r="E141" s="141" t="s">
        <v>1204</v>
      </c>
      <c r="F141" s="141">
        <v>2019</v>
      </c>
      <c r="G141" s="141">
        <v>1</v>
      </c>
      <c r="H141" s="141">
        <v>0</v>
      </c>
      <c r="I141" s="141" t="s">
        <v>52</v>
      </c>
      <c r="J141" s="141">
        <v>3</v>
      </c>
      <c r="K141" s="141">
        <f t="shared" si="32"/>
        <v>2022</v>
      </c>
      <c r="L141" s="195">
        <f t="shared" si="33"/>
        <v>2022.0833333333333</v>
      </c>
      <c r="M141" s="142">
        <v>15188.18</v>
      </c>
      <c r="N141" s="142">
        <f t="shared" si="34"/>
        <v>15188.18</v>
      </c>
      <c r="O141" s="142">
        <f t="shared" si="35"/>
        <v>421.89388888888885</v>
      </c>
      <c r="P141" s="142">
        <f t="shared" si="36"/>
        <v>5062.7266666666665</v>
      </c>
      <c r="Q141" s="142">
        <f>+IF(L141&lt;='2111 Trks'!$N$5,0,IF(K141&gt;'2111 Trks'!$N$4,P141,(O141*G141)))</f>
        <v>0</v>
      </c>
      <c r="R141" s="142"/>
      <c r="S141" s="142">
        <f>+IF(Q141=0,M141,IF('2111 Trks'!$N$3-F141&lt;1,0,(('2111 Trks'!$N$3-F141)*P141)))</f>
        <v>15188.18</v>
      </c>
      <c r="T141" s="142">
        <f t="shared" si="37"/>
        <v>15188.18</v>
      </c>
      <c r="U141" s="142">
        <f t="shared" si="38"/>
        <v>0</v>
      </c>
      <c r="V141" s="172">
        <f t="shared" si="39"/>
        <v>0</v>
      </c>
    </row>
    <row r="142" spans="2:22" s="141" customFormat="1" ht="15">
      <c r="B142" s="141" t="s">
        <v>1222</v>
      </c>
      <c r="E142" s="141" t="s">
        <v>1205</v>
      </c>
      <c r="F142" s="141">
        <v>2019</v>
      </c>
      <c r="G142" s="141">
        <v>1</v>
      </c>
      <c r="H142" s="141">
        <v>0</v>
      </c>
      <c r="I142" s="141" t="s">
        <v>52</v>
      </c>
      <c r="J142" s="141">
        <v>3</v>
      </c>
      <c r="K142" s="141">
        <f t="shared" si="32"/>
        <v>2022</v>
      </c>
      <c r="L142" s="195">
        <f t="shared" si="33"/>
        <v>2022.0833333333333</v>
      </c>
      <c r="M142" s="142">
        <v>3517.75</v>
      </c>
      <c r="N142" s="142">
        <f t="shared" si="34"/>
        <v>3517.75</v>
      </c>
      <c r="O142" s="142">
        <f t="shared" si="35"/>
        <v>97.715277777777771</v>
      </c>
      <c r="P142" s="142">
        <f t="shared" si="36"/>
        <v>1172.5833333333333</v>
      </c>
      <c r="Q142" s="142">
        <f>+IF(L142&lt;='2111 Trks'!$N$5,0,IF(K142&gt;'2111 Trks'!$N$4,P142,(O142*G142)))</f>
        <v>0</v>
      </c>
      <c r="R142" s="142"/>
      <c r="S142" s="142">
        <f>+IF(Q142=0,M142,IF('2111 Trks'!$N$3-F142&lt;1,0,(('2111 Trks'!$N$3-F142)*P142)))</f>
        <v>3517.75</v>
      </c>
      <c r="T142" s="142">
        <f t="shared" si="37"/>
        <v>3517.75</v>
      </c>
      <c r="U142" s="142">
        <f t="shared" si="38"/>
        <v>0</v>
      </c>
      <c r="V142" s="172">
        <f t="shared" si="39"/>
        <v>0</v>
      </c>
    </row>
    <row r="143" spans="2:22" s="141" customFormat="1" ht="15">
      <c r="B143" s="141">
        <v>255474</v>
      </c>
      <c r="E143" s="141" t="s">
        <v>1203</v>
      </c>
      <c r="F143" s="141">
        <v>2020</v>
      </c>
      <c r="G143" s="141">
        <v>1</v>
      </c>
      <c r="H143" s="141">
        <v>0</v>
      </c>
      <c r="I143" s="141" t="s">
        <v>52</v>
      </c>
      <c r="J143" s="199">
        <v>2.11</v>
      </c>
      <c r="K143" s="141">
        <f t="shared" si="32"/>
        <v>2022.11</v>
      </c>
      <c r="L143" s="195">
        <f t="shared" si="33"/>
        <v>2022.1933333333332</v>
      </c>
      <c r="M143" s="142">
        <v>37015</v>
      </c>
      <c r="N143" s="142">
        <f t="shared" si="34"/>
        <v>37015</v>
      </c>
      <c r="O143" s="142">
        <f t="shared" si="35"/>
        <v>1461.8878357030017</v>
      </c>
      <c r="P143" s="142">
        <f t="shared" si="36"/>
        <v>17542.65402843602</v>
      </c>
      <c r="Q143" s="142">
        <f>+IF(L143&lt;='2111 Trks'!$N$5,0,IF(K143&gt;'2111 Trks'!$N$4,P143,(O143*G143)))</f>
        <v>0</v>
      </c>
      <c r="R143" s="142"/>
      <c r="S143" s="142">
        <f>+IF(Q143=0,M143,IF('2111 Trks'!$N$3-F143&lt;1,0,(('2111 Trks'!$N$3-F143)*P143)))</f>
        <v>37015</v>
      </c>
      <c r="T143" s="142">
        <f t="shared" si="37"/>
        <v>37015</v>
      </c>
      <c r="U143" s="142">
        <f t="shared" si="38"/>
        <v>0</v>
      </c>
      <c r="V143" s="172">
        <f t="shared" si="39"/>
        <v>0</v>
      </c>
    </row>
    <row r="144" spans="2:22" s="141" customFormat="1" ht="15">
      <c r="B144" s="141" t="s">
        <v>1223</v>
      </c>
      <c r="E144" s="141" t="s">
        <v>1204</v>
      </c>
      <c r="F144" s="141">
        <v>2019</v>
      </c>
      <c r="G144" s="141">
        <v>1</v>
      </c>
      <c r="H144" s="141">
        <v>0</v>
      </c>
      <c r="I144" s="141" t="s">
        <v>52</v>
      </c>
      <c r="J144" s="141">
        <v>3</v>
      </c>
      <c r="K144" s="141">
        <f t="shared" si="32"/>
        <v>2022</v>
      </c>
      <c r="L144" s="195">
        <f t="shared" si="33"/>
        <v>2022.0833333333333</v>
      </c>
      <c r="M144" s="142">
        <v>15188.18</v>
      </c>
      <c r="N144" s="142">
        <f t="shared" si="34"/>
        <v>15188.18</v>
      </c>
      <c r="O144" s="142">
        <f t="shared" si="35"/>
        <v>421.89388888888885</v>
      </c>
      <c r="P144" s="142">
        <f t="shared" si="36"/>
        <v>5062.7266666666665</v>
      </c>
      <c r="Q144" s="142">
        <f>+IF(L144&lt;='2111 Trks'!$N$5,0,IF(K144&gt;'2111 Trks'!$N$4,P144,(O144*G144)))</f>
        <v>0</v>
      </c>
      <c r="R144" s="142"/>
      <c r="S144" s="142">
        <f>+IF(Q144=0,M144,IF('2111 Trks'!$N$3-F144&lt;1,0,(('2111 Trks'!$N$3-F144)*P144)))</f>
        <v>15188.18</v>
      </c>
      <c r="T144" s="142">
        <f t="shared" si="37"/>
        <v>15188.18</v>
      </c>
      <c r="U144" s="142">
        <f t="shared" si="38"/>
        <v>0</v>
      </c>
      <c r="V144" s="172">
        <f t="shared" si="39"/>
        <v>0</v>
      </c>
    </row>
    <row r="145" spans="2:22" s="141" customFormat="1" ht="15">
      <c r="B145" s="141" t="s">
        <v>1224</v>
      </c>
      <c r="E145" s="141" t="s">
        <v>1206</v>
      </c>
      <c r="F145" s="141">
        <v>2019</v>
      </c>
      <c r="G145" s="141">
        <v>1</v>
      </c>
      <c r="H145" s="141">
        <v>0</v>
      </c>
      <c r="I145" s="141" t="s">
        <v>52</v>
      </c>
      <c r="J145" s="141">
        <v>3</v>
      </c>
      <c r="K145" s="141">
        <f t="shared" si="32"/>
        <v>2022</v>
      </c>
      <c r="L145" s="195">
        <f t="shared" si="33"/>
        <v>2022.0833333333333</v>
      </c>
      <c r="M145" s="142">
        <v>3517.75</v>
      </c>
      <c r="N145" s="142">
        <f t="shared" si="34"/>
        <v>3517.75</v>
      </c>
      <c r="O145" s="142">
        <f t="shared" si="35"/>
        <v>97.715277777777771</v>
      </c>
      <c r="P145" s="142">
        <f t="shared" si="36"/>
        <v>1172.5833333333333</v>
      </c>
      <c r="Q145" s="142">
        <f>+IF(L145&lt;='2111 Trks'!$N$5,0,IF(K145&gt;'2111 Trks'!$N$4,P145,(O145*G145)))</f>
        <v>0</v>
      </c>
      <c r="R145" s="142"/>
      <c r="S145" s="142">
        <f>+IF(Q145=0,M145,IF('2111 Trks'!$N$3-F145&lt;1,0,(('2111 Trks'!$N$3-F145)*P145)))</f>
        <v>3517.75</v>
      </c>
      <c r="T145" s="142">
        <f t="shared" si="37"/>
        <v>3517.75</v>
      </c>
      <c r="U145" s="142">
        <f t="shared" si="38"/>
        <v>0</v>
      </c>
      <c r="V145" s="172">
        <f t="shared" si="39"/>
        <v>0</v>
      </c>
    </row>
    <row r="146" spans="2:22" s="141" customFormat="1" ht="15">
      <c r="B146" s="141">
        <v>255471</v>
      </c>
      <c r="E146" s="141" t="s">
        <v>1203</v>
      </c>
      <c r="F146" s="141">
        <v>2020</v>
      </c>
      <c r="G146" s="141">
        <v>1</v>
      </c>
      <c r="H146" s="141">
        <v>0</v>
      </c>
      <c r="I146" s="141" t="s">
        <v>52</v>
      </c>
      <c r="J146" s="199">
        <v>2.11</v>
      </c>
      <c r="K146" s="141">
        <f t="shared" si="32"/>
        <v>2022.11</v>
      </c>
      <c r="L146" s="195">
        <f t="shared" si="33"/>
        <v>2022.1933333333332</v>
      </c>
      <c r="M146" s="142">
        <v>37015</v>
      </c>
      <c r="N146" s="142">
        <f t="shared" si="34"/>
        <v>37015</v>
      </c>
      <c r="O146" s="142">
        <f t="shared" si="35"/>
        <v>1461.8878357030017</v>
      </c>
      <c r="P146" s="142">
        <f t="shared" si="36"/>
        <v>17542.65402843602</v>
      </c>
      <c r="Q146" s="142">
        <f>+IF(L146&lt;='2111 Trks'!$N$5,0,IF(K146&gt;'2111 Trks'!$N$4,P146,(O146*G146)))</f>
        <v>0</v>
      </c>
      <c r="R146" s="142"/>
      <c r="S146" s="142">
        <f>+IF(Q146=0,M146,IF('2111 Trks'!$N$3-F146&lt;1,0,(('2111 Trks'!$N$3-F146)*P146)))</f>
        <v>37015</v>
      </c>
      <c r="T146" s="142">
        <f t="shared" si="37"/>
        <v>37015</v>
      </c>
      <c r="U146" s="142">
        <f t="shared" si="38"/>
        <v>0</v>
      </c>
      <c r="V146" s="172">
        <f t="shared" si="39"/>
        <v>0</v>
      </c>
    </row>
    <row r="147" spans="2:22" s="141" customFormat="1" ht="15">
      <c r="B147" s="141" t="s">
        <v>1225</v>
      </c>
      <c r="E147" s="141" t="s">
        <v>1204</v>
      </c>
      <c r="F147" s="141">
        <v>2019</v>
      </c>
      <c r="G147" s="141">
        <v>1</v>
      </c>
      <c r="H147" s="141">
        <v>0</v>
      </c>
      <c r="I147" s="141" t="s">
        <v>52</v>
      </c>
      <c r="J147" s="141">
        <v>3</v>
      </c>
      <c r="K147" s="141">
        <f t="shared" si="32"/>
        <v>2022</v>
      </c>
      <c r="L147" s="195">
        <f t="shared" si="33"/>
        <v>2022.0833333333333</v>
      </c>
      <c r="M147" s="142">
        <v>15188.18</v>
      </c>
      <c r="N147" s="142">
        <f t="shared" si="34"/>
        <v>15188.18</v>
      </c>
      <c r="O147" s="142">
        <f t="shared" si="35"/>
        <v>421.89388888888885</v>
      </c>
      <c r="P147" s="142">
        <f t="shared" si="36"/>
        <v>5062.7266666666665</v>
      </c>
      <c r="Q147" s="142">
        <f>+IF(L147&lt;='2111 Trks'!$N$5,0,IF(K147&gt;'2111 Trks'!$N$4,P147,(O147*G147)))</f>
        <v>0</v>
      </c>
      <c r="R147" s="142"/>
      <c r="S147" s="142">
        <f>+IF(Q147=0,M147,IF('2111 Trks'!$N$3-F147&lt;1,0,(('2111 Trks'!$N$3-F147)*P147)))</f>
        <v>15188.18</v>
      </c>
      <c r="T147" s="142">
        <f t="shared" si="37"/>
        <v>15188.18</v>
      </c>
      <c r="U147" s="142">
        <f t="shared" si="38"/>
        <v>0</v>
      </c>
      <c r="V147" s="172">
        <f t="shared" si="39"/>
        <v>0</v>
      </c>
    </row>
    <row r="148" spans="2:22" s="141" customFormat="1" ht="15">
      <c r="B148" s="141" t="s">
        <v>1226</v>
      </c>
      <c r="E148" s="141" t="s">
        <v>1207</v>
      </c>
      <c r="F148" s="141">
        <v>2019</v>
      </c>
      <c r="G148" s="141">
        <v>1</v>
      </c>
      <c r="H148" s="141">
        <v>0</v>
      </c>
      <c r="I148" s="141" t="s">
        <v>52</v>
      </c>
      <c r="J148" s="141">
        <v>3</v>
      </c>
      <c r="K148" s="141">
        <f t="shared" si="32"/>
        <v>2022</v>
      </c>
      <c r="L148" s="195">
        <f t="shared" si="33"/>
        <v>2022.0833333333333</v>
      </c>
      <c r="M148" s="142">
        <v>3517.75</v>
      </c>
      <c r="N148" s="142">
        <f t="shared" si="34"/>
        <v>3517.75</v>
      </c>
      <c r="O148" s="142">
        <f t="shared" si="35"/>
        <v>97.715277777777771</v>
      </c>
      <c r="P148" s="142">
        <f t="shared" si="36"/>
        <v>1172.5833333333333</v>
      </c>
      <c r="Q148" s="142">
        <f>+IF(L148&lt;='2111 Trks'!$N$5,0,IF(K148&gt;'2111 Trks'!$N$4,P148,(O148*G148)))</f>
        <v>0</v>
      </c>
      <c r="R148" s="142"/>
      <c r="S148" s="142">
        <f>+IF(Q148=0,M148,IF('2111 Trks'!$N$3-F148&lt;1,0,(('2111 Trks'!$N$3-F148)*P148)))</f>
        <v>3517.75</v>
      </c>
      <c r="T148" s="142">
        <f t="shared" si="37"/>
        <v>3517.75</v>
      </c>
      <c r="U148" s="142">
        <f t="shared" si="38"/>
        <v>0</v>
      </c>
      <c r="V148" s="172">
        <f t="shared" si="39"/>
        <v>0</v>
      </c>
    </row>
    <row r="149" spans="2:22" s="141" customFormat="1" ht="15">
      <c r="B149" s="141">
        <v>255468</v>
      </c>
      <c r="E149" s="141" t="s">
        <v>1203</v>
      </c>
      <c r="F149" s="141">
        <v>2020</v>
      </c>
      <c r="G149" s="141">
        <v>1</v>
      </c>
      <c r="H149" s="141">
        <v>0</v>
      </c>
      <c r="I149" s="141" t="s">
        <v>52</v>
      </c>
      <c r="J149" s="199">
        <v>2.11</v>
      </c>
      <c r="K149" s="141">
        <f t="shared" si="32"/>
        <v>2022.11</v>
      </c>
      <c r="L149" s="195">
        <f t="shared" si="33"/>
        <v>2022.1933333333332</v>
      </c>
      <c r="M149" s="142">
        <v>37015</v>
      </c>
      <c r="N149" s="142">
        <f t="shared" si="34"/>
        <v>37015</v>
      </c>
      <c r="O149" s="142">
        <f t="shared" si="35"/>
        <v>1461.8878357030017</v>
      </c>
      <c r="P149" s="142">
        <f t="shared" si="36"/>
        <v>17542.65402843602</v>
      </c>
      <c r="Q149" s="142">
        <f>+IF(L149&lt;='2111 Trks'!$N$5,0,IF(K149&gt;'2111 Trks'!$N$4,P149,(O149*G149)))</f>
        <v>0</v>
      </c>
      <c r="R149" s="142"/>
      <c r="S149" s="142">
        <f>+IF(Q149=0,M149,IF('2111 Trks'!$N$3-F149&lt;1,0,(('2111 Trks'!$N$3-F149)*P149)))</f>
        <v>37015</v>
      </c>
      <c r="T149" s="142">
        <f t="shared" si="37"/>
        <v>37015</v>
      </c>
      <c r="U149" s="142">
        <f t="shared" si="38"/>
        <v>0</v>
      </c>
      <c r="V149" s="172">
        <f t="shared" si="39"/>
        <v>0</v>
      </c>
    </row>
    <row r="150" spans="2:22" s="141" customFormat="1" ht="15">
      <c r="B150" s="141" t="s">
        <v>1227</v>
      </c>
      <c r="E150" s="141" t="s">
        <v>1204</v>
      </c>
      <c r="F150" s="141">
        <v>2019</v>
      </c>
      <c r="G150" s="141">
        <v>1</v>
      </c>
      <c r="H150" s="141">
        <v>0</v>
      </c>
      <c r="I150" s="141" t="s">
        <v>52</v>
      </c>
      <c r="J150" s="141">
        <v>3</v>
      </c>
      <c r="K150" s="141">
        <f t="shared" si="32"/>
        <v>2022</v>
      </c>
      <c r="L150" s="195">
        <f t="shared" si="33"/>
        <v>2022.0833333333333</v>
      </c>
      <c r="M150" s="142">
        <v>15188.18</v>
      </c>
      <c r="N150" s="142">
        <f t="shared" si="34"/>
        <v>15188.18</v>
      </c>
      <c r="O150" s="142">
        <f t="shared" si="35"/>
        <v>421.89388888888885</v>
      </c>
      <c r="P150" s="142">
        <f t="shared" si="36"/>
        <v>5062.7266666666665</v>
      </c>
      <c r="Q150" s="142">
        <f>+IF(L150&lt;='2111 Trks'!$N$5,0,IF(K150&gt;'2111 Trks'!$N$4,P150,(O150*G150)))</f>
        <v>0</v>
      </c>
      <c r="R150" s="142"/>
      <c r="S150" s="142">
        <f>+IF(Q150=0,M150,IF('2111 Trks'!$N$3-F150&lt;1,0,(('2111 Trks'!$N$3-F150)*P150)))</f>
        <v>15188.18</v>
      </c>
      <c r="T150" s="142">
        <f t="shared" si="37"/>
        <v>15188.18</v>
      </c>
      <c r="U150" s="142">
        <f t="shared" si="38"/>
        <v>0</v>
      </c>
      <c r="V150" s="172">
        <f t="shared" si="39"/>
        <v>0</v>
      </c>
    </row>
    <row r="151" spans="2:22" s="141" customFormat="1" ht="15">
      <c r="B151" s="141" t="s">
        <v>1228</v>
      </c>
      <c r="E151" s="141" t="s">
        <v>1208</v>
      </c>
      <c r="F151" s="141">
        <v>2019</v>
      </c>
      <c r="G151" s="141">
        <v>1</v>
      </c>
      <c r="H151" s="141">
        <v>0</v>
      </c>
      <c r="I151" s="141" t="s">
        <v>52</v>
      </c>
      <c r="J151" s="141">
        <v>3</v>
      </c>
      <c r="K151" s="141">
        <f t="shared" si="32"/>
        <v>2022</v>
      </c>
      <c r="L151" s="195">
        <f t="shared" si="33"/>
        <v>2022.0833333333333</v>
      </c>
      <c r="M151" s="142">
        <v>3517.75</v>
      </c>
      <c r="N151" s="142">
        <f t="shared" si="34"/>
        <v>3517.75</v>
      </c>
      <c r="O151" s="142">
        <f t="shared" si="35"/>
        <v>97.715277777777771</v>
      </c>
      <c r="P151" s="142">
        <f t="shared" si="36"/>
        <v>1172.5833333333333</v>
      </c>
      <c r="Q151" s="142">
        <f>+IF(L151&lt;='2111 Trks'!$N$5,0,IF(K151&gt;'2111 Trks'!$N$4,P151,(O151*G151)))</f>
        <v>0</v>
      </c>
      <c r="R151" s="142"/>
      <c r="S151" s="142">
        <f>+IF(Q151=0,M151,IF('2111 Trks'!$N$3-F151&lt;1,0,(('2111 Trks'!$N$3-F151)*P151)))</f>
        <v>3517.75</v>
      </c>
      <c r="T151" s="142">
        <f t="shared" si="37"/>
        <v>3517.75</v>
      </c>
      <c r="U151" s="142">
        <f t="shared" si="38"/>
        <v>0</v>
      </c>
      <c r="V151" s="172">
        <f t="shared" si="39"/>
        <v>0</v>
      </c>
    </row>
    <row r="152" spans="2:22" s="141" customFormat="1" ht="15">
      <c r="B152" s="141">
        <v>255465</v>
      </c>
      <c r="E152" s="141" t="s">
        <v>1209</v>
      </c>
      <c r="F152" s="141">
        <v>2020</v>
      </c>
      <c r="G152" s="141">
        <v>1</v>
      </c>
      <c r="H152" s="141">
        <v>0</v>
      </c>
      <c r="I152" s="141" t="s">
        <v>52</v>
      </c>
      <c r="J152" s="199">
        <v>2.11</v>
      </c>
      <c r="K152" s="141">
        <f t="shared" si="32"/>
        <v>2022.11</v>
      </c>
      <c r="L152" s="195">
        <f t="shared" si="33"/>
        <v>2022.1933333333332</v>
      </c>
      <c r="M152" s="142">
        <v>39524.5</v>
      </c>
      <c r="N152" s="142">
        <f t="shared" si="34"/>
        <v>39524.5</v>
      </c>
      <c r="O152" s="142">
        <f t="shared" si="35"/>
        <v>1560.9992101105845</v>
      </c>
      <c r="P152" s="142">
        <f t="shared" si="36"/>
        <v>18731.990521327014</v>
      </c>
      <c r="Q152" s="142">
        <f>+IF(L152&lt;='2111 Trks'!$N$5,0,IF(K152&gt;'2111 Trks'!$N$4,P152,(O152*G152)))</f>
        <v>0</v>
      </c>
      <c r="R152" s="142"/>
      <c r="S152" s="142">
        <f>+IF(Q152=0,M152,IF('2111 Trks'!$N$3-F152&lt;1,0,(('2111 Trks'!$N$3-F152)*P152)))</f>
        <v>39524.5</v>
      </c>
      <c r="T152" s="142">
        <f t="shared" si="37"/>
        <v>39524.5</v>
      </c>
      <c r="U152" s="142">
        <f t="shared" si="38"/>
        <v>0</v>
      </c>
      <c r="V152" s="172">
        <f t="shared" si="39"/>
        <v>0</v>
      </c>
    </row>
    <row r="153" spans="2:22" s="141" customFormat="1" ht="15">
      <c r="B153" s="141">
        <v>255464</v>
      </c>
      <c r="E153" s="141" t="s">
        <v>1210</v>
      </c>
      <c r="F153" s="141">
        <v>2019</v>
      </c>
      <c r="G153" s="141">
        <v>1</v>
      </c>
      <c r="H153" s="141">
        <v>0</v>
      </c>
      <c r="I153" s="141" t="s">
        <v>52</v>
      </c>
      <c r="J153" s="141">
        <v>3</v>
      </c>
      <c r="K153" s="141">
        <f t="shared" si="32"/>
        <v>2022</v>
      </c>
      <c r="L153" s="195">
        <f t="shared" si="33"/>
        <v>2022.0833333333333</v>
      </c>
      <c r="M153" s="142">
        <v>15188.18</v>
      </c>
      <c r="N153" s="142">
        <f t="shared" si="34"/>
        <v>15188.18</v>
      </c>
      <c r="O153" s="142">
        <f t="shared" si="35"/>
        <v>421.89388888888885</v>
      </c>
      <c r="P153" s="142">
        <f t="shared" si="36"/>
        <v>5062.7266666666665</v>
      </c>
      <c r="Q153" s="142">
        <f>+IF(L153&lt;='2111 Trks'!$N$5,0,IF(K153&gt;'2111 Trks'!$N$4,P153,(O153*G153)))</f>
        <v>0</v>
      </c>
      <c r="R153" s="142"/>
      <c r="S153" s="142">
        <f>+IF(Q153=0,M153,IF('2111 Trks'!$N$3-F153&lt;1,0,(('2111 Trks'!$N$3-F153)*P153)))</f>
        <v>15188.18</v>
      </c>
      <c r="T153" s="142">
        <f t="shared" si="37"/>
        <v>15188.18</v>
      </c>
      <c r="U153" s="142">
        <f t="shared" si="38"/>
        <v>0</v>
      </c>
      <c r="V153" s="172">
        <f t="shared" si="39"/>
        <v>0</v>
      </c>
    </row>
    <row r="154" spans="2:22" s="141" customFormat="1" ht="15">
      <c r="B154" s="141">
        <v>255463</v>
      </c>
      <c r="E154" s="141" t="s">
        <v>1211</v>
      </c>
      <c r="F154" s="141">
        <v>2019</v>
      </c>
      <c r="G154" s="141">
        <v>1</v>
      </c>
      <c r="H154" s="141">
        <v>0</v>
      </c>
      <c r="I154" s="141" t="s">
        <v>52</v>
      </c>
      <c r="J154" s="141">
        <v>3</v>
      </c>
      <c r="K154" s="141">
        <f t="shared" si="32"/>
        <v>2022</v>
      </c>
      <c r="L154" s="195">
        <f t="shared" si="33"/>
        <v>2022.0833333333333</v>
      </c>
      <c r="M154" s="142">
        <v>3501.25</v>
      </c>
      <c r="N154" s="142">
        <f t="shared" si="34"/>
        <v>3501.25</v>
      </c>
      <c r="O154" s="142">
        <f t="shared" si="35"/>
        <v>97.256944444444443</v>
      </c>
      <c r="P154" s="142">
        <f t="shared" si="36"/>
        <v>1167.0833333333333</v>
      </c>
      <c r="Q154" s="142">
        <f>+IF(L154&lt;='2111 Trks'!$N$5,0,IF(K154&gt;'2111 Trks'!$N$4,P154,(O154*G154)))</f>
        <v>0</v>
      </c>
      <c r="R154" s="142"/>
      <c r="S154" s="142">
        <f>+IF(Q154=0,M154,IF('2111 Trks'!$N$3-F154&lt;1,0,(('2111 Trks'!$N$3-F154)*P154)))</f>
        <v>3501.25</v>
      </c>
      <c r="T154" s="142">
        <f t="shared" si="37"/>
        <v>3501.25</v>
      </c>
      <c r="U154" s="142">
        <f t="shared" si="38"/>
        <v>0</v>
      </c>
      <c r="V154" s="172">
        <f t="shared" si="39"/>
        <v>0</v>
      </c>
    </row>
    <row r="158" spans="2:22">
      <c r="G158" s="206" t="s">
        <v>602</v>
      </c>
      <c r="H158" s="200">
        <f>M111+SUM(M116:M154)</f>
        <v>1147902.2200000002</v>
      </c>
    </row>
    <row r="159" spans="2:22">
      <c r="G159" s="207" t="s">
        <v>1272</v>
      </c>
      <c r="H159" s="208">
        <f>SUM(M112:M115)</f>
        <v>225317.09</v>
      </c>
    </row>
    <row r="162" spans="1:22">
      <c r="A162" s="3"/>
      <c r="B162" s="3"/>
      <c r="C162" s="3"/>
      <c r="D162" s="3"/>
      <c r="E162" s="1" t="s">
        <v>4100</v>
      </c>
    </row>
    <row r="163" spans="1:22" s="3" customFormat="1" ht="15">
      <c r="A163" s="3" t="s">
        <v>40</v>
      </c>
      <c r="B163" s="3">
        <v>166457</v>
      </c>
      <c r="D163" s="3" t="s">
        <v>414</v>
      </c>
      <c r="E163" s="3" t="s">
        <v>401</v>
      </c>
      <c r="F163" s="3">
        <v>2016</v>
      </c>
      <c r="G163" s="3">
        <v>8</v>
      </c>
      <c r="H163" s="3">
        <v>0</v>
      </c>
      <c r="I163" s="3" t="s">
        <v>52</v>
      </c>
      <c r="J163" s="3">
        <v>3</v>
      </c>
      <c r="K163" s="3">
        <f>F163+J163</f>
        <v>2019</v>
      </c>
      <c r="L163" s="139">
        <f>+K163+(G163/12)</f>
        <v>2019.6666666666667</v>
      </c>
      <c r="M163" s="139">
        <v>26927</v>
      </c>
      <c r="N163" s="139">
        <f>M163-M163*H163</f>
        <v>26927</v>
      </c>
      <c r="O163" s="139">
        <f>N163/J163/12</f>
        <v>747.97222222222217</v>
      </c>
      <c r="P163" s="139">
        <f>+O163*12</f>
        <v>8975.6666666666661</v>
      </c>
      <c r="Q163" s="139">
        <f>+IF(L163&lt;='2111 Trks'!$N$5,0,IF(K163&gt;'2111 Trks'!$N$4,P163,(O163*G163)))</f>
        <v>0</v>
      </c>
      <c r="R163" s="139"/>
      <c r="S163" s="139">
        <f>+IF(Q163=0,M163,IF('2111 Trks'!$N$3-F163&lt;1,0,(('2111 Trks'!$N$3-F163)*P163)))</f>
        <v>26927</v>
      </c>
      <c r="T163" s="139">
        <f>+IF(Q163=0,S163,S163+Q163)</f>
        <v>26927</v>
      </c>
      <c r="U163" s="139">
        <f>+IF(Q163=0,0,((M163-S163)+(M163-T163))/2)</f>
        <v>0</v>
      </c>
      <c r="V163" s="11">
        <f>M163-T163</f>
        <v>0</v>
      </c>
    </row>
  </sheetData>
  <pageMargins left="0.75" right="0.75" top="1" bottom="1" header="0.5" footer="0.5"/>
  <pageSetup scale="50" orientation="landscape" horizontalDpi="1200" verticalDpi="1200"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dimension ref="A1:BV177"/>
  <sheetViews>
    <sheetView tabSelected="1" workbookViewId="0">
      <selection activeCell="H4" sqref="H4:H6"/>
    </sheetView>
  </sheetViews>
  <sheetFormatPr defaultColWidth="9.77734375" defaultRowHeight="12.75"/>
  <cols>
    <col min="1" max="1" width="5.33203125" style="156" customWidth="1"/>
    <col min="2" max="2" width="6.77734375" style="156" customWidth="1"/>
    <col min="3" max="3" width="5" style="156" customWidth="1"/>
    <col min="4" max="4" width="22.88671875" style="156" customWidth="1"/>
    <col min="5" max="5" width="5.6640625" style="156" customWidth="1"/>
    <col min="6" max="6" width="2.6640625" style="156" customWidth="1"/>
    <col min="7" max="7" width="5.44140625" style="156" customWidth="1"/>
    <col min="8" max="8" width="1.77734375" style="156" customWidth="1"/>
    <col min="9" max="9" width="5.44140625" style="156" customWidth="1"/>
    <col min="10" max="10" width="4.33203125" style="156" customWidth="1"/>
    <col min="11" max="11" width="3.88671875" style="156" customWidth="1"/>
    <col min="12" max="12" width="4.44140625" style="156" customWidth="1"/>
    <col min="13" max="13" width="3" style="156" customWidth="1"/>
    <col min="14" max="14" width="10.6640625" style="157" customWidth="1"/>
    <col min="15" max="15" width="5.33203125" style="157" customWidth="1"/>
    <col min="16" max="16" width="8.21875" style="157" customWidth="1"/>
    <col min="17" max="17" width="13.109375" style="157" customWidth="1"/>
    <col min="18" max="18" width="6" style="157" customWidth="1"/>
    <col min="19" max="19" width="5.33203125" style="157" customWidth="1"/>
    <col min="20" max="20" width="6" style="157" customWidth="1"/>
    <col min="21" max="21" width="3.44140625" style="157" customWidth="1"/>
    <col min="22" max="22" width="6.5546875" style="157" customWidth="1"/>
    <col min="23" max="23" width="3.44140625" style="157" customWidth="1"/>
    <col min="24" max="25" width="8.44140625" style="157" customWidth="1"/>
    <col min="26" max="26" width="4.6640625" style="157" customWidth="1"/>
    <col min="27" max="27" width="8.5546875" style="157" customWidth="1"/>
    <col min="28" max="28" width="8.21875" style="157" customWidth="1"/>
    <col min="29" max="29" width="7.77734375" style="157" customWidth="1"/>
    <col min="30" max="30" width="4.6640625" style="157" customWidth="1"/>
    <col min="31" max="31" width="5.44140625" style="157" customWidth="1"/>
    <col min="32" max="32" width="10.6640625" style="157" customWidth="1"/>
    <col min="33" max="33" width="5.44140625" style="157" customWidth="1"/>
    <col min="34" max="34" width="3.5546875" style="157" customWidth="1"/>
    <col min="35" max="35" width="13.109375" style="157" customWidth="1"/>
    <col min="36" max="36" width="9.77734375" style="157"/>
    <col min="37" max="16384" width="9.77734375" style="156"/>
  </cols>
  <sheetData>
    <row r="1" spans="1:74">
      <c r="D1" s="156" t="s">
        <v>101</v>
      </c>
      <c r="N1" s="157" t="s">
        <v>255</v>
      </c>
      <c r="P1" s="157" t="s">
        <v>263</v>
      </c>
      <c r="AE1" s="157">
        <f>Summary!F6</f>
        <v>45383</v>
      </c>
    </row>
    <row r="2" spans="1:74">
      <c r="D2" s="156" t="s">
        <v>0</v>
      </c>
      <c r="N2" s="157" t="s">
        <v>258</v>
      </c>
      <c r="P2" s="157">
        <v>12</v>
      </c>
      <c r="Q2" s="157" t="s">
        <v>1</v>
      </c>
      <c r="BR2" s="156" t="s">
        <v>2</v>
      </c>
    </row>
    <row r="3" spans="1:74">
      <c r="D3" s="159">
        <f>Summary!H6</f>
        <v>0</v>
      </c>
      <c r="N3" s="157" t="s">
        <v>253</v>
      </c>
      <c r="P3" s="157">
        <v>0</v>
      </c>
      <c r="Q3" s="157" t="s">
        <v>3</v>
      </c>
      <c r="AE3" s="157" t="s">
        <v>4</v>
      </c>
      <c r="AF3" s="157" t="s">
        <v>5</v>
      </c>
    </row>
    <row r="4" spans="1:74">
      <c r="N4" s="157" t="s">
        <v>254</v>
      </c>
      <c r="P4" s="157">
        <v>2016</v>
      </c>
      <c r="Q4" s="157" t="s">
        <v>6</v>
      </c>
      <c r="AE4" s="157" t="s">
        <v>7</v>
      </c>
      <c r="AF4" s="157" t="s">
        <v>8</v>
      </c>
      <c r="BQ4" s="156">
        <v>1</v>
      </c>
      <c r="BR4" s="156" t="s">
        <v>9</v>
      </c>
      <c r="BU4" s="156">
        <v>12</v>
      </c>
      <c r="BV4" s="156" t="s">
        <v>10</v>
      </c>
    </row>
    <row r="5" spans="1:74">
      <c r="N5" s="157" t="s">
        <v>252</v>
      </c>
      <c r="P5" s="157">
        <v>2017</v>
      </c>
      <c r="Q5" s="157" t="s">
        <v>11</v>
      </c>
      <c r="AE5" s="157" t="s">
        <v>12</v>
      </c>
      <c r="AF5" s="157" t="s">
        <v>13</v>
      </c>
      <c r="BR5" s="156">
        <v>1993</v>
      </c>
      <c r="BU5" s="156">
        <v>0</v>
      </c>
      <c r="BV5" s="156" t="s">
        <v>14</v>
      </c>
    </row>
    <row r="6" spans="1:74">
      <c r="AE6" s="157" t="s">
        <v>15</v>
      </c>
      <c r="AF6" s="157" t="s">
        <v>16</v>
      </c>
      <c r="BU6" s="156">
        <v>93</v>
      </c>
      <c r="BV6" s="156" t="s">
        <v>6</v>
      </c>
    </row>
    <row r="7" spans="1:74">
      <c r="AE7" s="157" t="s">
        <v>20</v>
      </c>
      <c r="AF7" s="157" t="s">
        <v>21</v>
      </c>
      <c r="BU7" s="156">
        <v>94</v>
      </c>
      <c r="BV7" s="156" t="s">
        <v>22</v>
      </c>
    </row>
    <row r="8" spans="1:74">
      <c r="N8" s="157">
        <f>+SUM(N42:N47,N90:N94,N115:N118,N163:N165,N134,N152,N172)</f>
        <v>920150.56749999989</v>
      </c>
      <c r="S8" s="157" t="s">
        <v>25</v>
      </c>
      <c r="V8" s="157" t="s">
        <v>17</v>
      </c>
      <c r="X8" s="157" t="s">
        <v>18</v>
      </c>
      <c r="Y8" s="157" t="s">
        <v>19</v>
      </c>
      <c r="AA8" s="157" t="s">
        <v>19</v>
      </c>
      <c r="AB8" s="157" t="s">
        <v>19</v>
      </c>
    </row>
    <row r="9" spans="1:74">
      <c r="C9" s="156" t="s">
        <v>57</v>
      </c>
      <c r="D9" s="156" t="s">
        <v>58</v>
      </c>
      <c r="E9" s="156" t="s">
        <v>59</v>
      </c>
      <c r="G9" s="156" t="s">
        <v>23</v>
      </c>
      <c r="I9" s="156" t="s">
        <v>57</v>
      </c>
      <c r="K9" s="156" t="s">
        <v>24</v>
      </c>
      <c r="L9" s="156" t="s">
        <v>57</v>
      </c>
      <c r="N9" s="157" t="s">
        <v>57</v>
      </c>
      <c r="O9" s="157" t="s">
        <v>31</v>
      </c>
      <c r="P9" s="157" t="s">
        <v>57</v>
      </c>
      <c r="R9" s="157" t="s">
        <v>68</v>
      </c>
      <c r="S9" s="157" t="s">
        <v>24</v>
      </c>
      <c r="T9" s="157" t="s">
        <v>17</v>
      </c>
      <c r="U9" s="157" t="s">
        <v>34</v>
      </c>
      <c r="V9" s="157" t="s">
        <v>19</v>
      </c>
      <c r="X9" s="157" t="s">
        <v>26</v>
      </c>
      <c r="Y9" s="157" t="s">
        <v>26</v>
      </c>
      <c r="Z9" s="157" t="s">
        <v>27</v>
      </c>
      <c r="AA9" s="157" t="s">
        <v>28</v>
      </c>
      <c r="AB9" s="157" t="s">
        <v>28</v>
      </c>
      <c r="AC9" s="157" t="s">
        <v>38</v>
      </c>
    </row>
    <row r="10" spans="1:74">
      <c r="C10" s="156" t="s">
        <v>60</v>
      </c>
      <c r="E10" s="156" t="s">
        <v>61</v>
      </c>
      <c r="G10" s="156" t="s">
        <v>29</v>
      </c>
      <c r="I10" s="156" t="s">
        <v>30</v>
      </c>
      <c r="J10" s="156" t="s">
        <v>64</v>
      </c>
      <c r="K10" s="156" t="s">
        <v>65</v>
      </c>
      <c r="L10" s="156" t="s">
        <v>31</v>
      </c>
      <c r="M10" s="156" t="s">
        <v>41</v>
      </c>
      <c r="N10" s="157" t="s">
        <v>31</v>
      </c>
      <c r="O10" s="157" t="s">
        <v>25</v>
      </c>
      <c r="P10" s="157" t="s">
        <v>67</v>
      </c>
      <c r="Q10" s="157" t="s">
        <v>69</v>
      </c>
      <c r="R10" s="157" t="s">
        <v>24</v>
      </c>
      <c r="S10" s="157" t="s">
        <v>43</v>
      </c>
      <c r="T10" s="157" t="s">
        <v>33</v>
      </c>
      <c r="U10" s="157" t="s">
        <v>36</v>
      </c>
      <c r="V10" s="157" t="s">
        <v>32</v>
      </c>
      <c r="X10" s="157" t="s">
        <v>35</v>
      </c>
      <c r="Y10" s="157" t="s">
        <v>35</v>
      </c>
      <c r="Z10" s="157" t="s">
        <v>36</v>
      </c>
      <c r="AA10" s="157" t="s">
        <v>37</v>
      </c>
      <c r="AB10" s="157" t="s">
        <v>37</v>
      </c>
      <c r="AC10" s="157" t="s">
        <v>45</v>
      </c>
      <c r="AD10" s="157" t="s">
        <v>4</v>
      </c>
      <c r="AE10" s="157" t="s">
        <v>46</v>
      </c>
      <c r="AF10" s="157" t="s">
        <v>47</v>
      </c>
      <c r="AG10" s="157" t="s">
        <v>15</v>
      </c>
      <c r="AH10" s="157" t="s">
        <v>20</v>
      </c>
      <c r="BQ10" s="156">
        <v>2</v>
      </c>
      <c r="BR10" s="156" t="s">
        <v>48</v>
      </c>
    </row>
    <row r="11" spans="1:74">
      <c r="A11" s="156" t="s">
        <v>225</v>
      </c>
      <c r="B11" s="156" t="s">
        <v>53</v>
      </c>
      <c r="C11" s="156" t="s">
        <v>62</v>
      </c>
      <c r="D11" s="156" t="s">
        <v>63</v>
      </c>
      <c r="E11" s="156" t="s">
        <v>24</v>
      </c>
      <c r="F11" s="156" t="s">
        <v>39</v>
      </c>
      <c r="G11" s="156" t="s">
        <v>34</v>
      </c>
      <c r="H11" s="156" t="s">
        <v>49</v>
      </c>
      <c r="I11" s="156" t="s">
        <v>40</v>
      </c>
      <c r="J11" s="156" t="s">
        <v>66</v>
      </c>
      <c r="K11" s="156" t="s">
        <v>67</v>
      </c>
      <c r="L11" s="156" t="s">
        <v>42</v>
      </c>
      <c r="M11" s="156" t="s">
        <v>49</v>
      </c>
      <c r="N11" s="157" t="s">
        <v>42</v>
      </c>
      <c r="O11" s="157" t="s">
        <v>49</v>
      </c>
      <c r="P11" s="157" t="s">
        <v>42</v>
      </c>
      <c r="Q11" s="157" t="s">
        <v>67</v>
      </c>
      <c r="R11" s="157" t="s">
        <v>67</v>
      </c>
      <c r="S11" s="157" t="s">
        <v>49</v>
      </c>
      <c r="T11" s="157" t="s">
        <v>44</v>
      </c>
      <c r="U11" s="157" t="s">
        <v>49</v>
      </c>
      <c r="V11" s="157" t="s">
        <v>37</v>
      </c>
      <c r="X11" s="158">
        <f>AE1</f>
        <v>45383</v>
      </c>
      <c r="Y11" s="158">
        <f>+D3</f>
        <v>0</v>
      </c>
      <c r="Z11" s="158" t="s">
        <v>34</v>
      </c>
      <c r="AA11" s="158">
        <f>+X11</f>
        <v>45383</v>
      </c>
      <c r="AB11" s="158">
        <f>+D3</f>
        <v>0</v>
      </c>
      <c r="AC11" s="158" t="s">
        <v>49</v>
      </c>
    </row>
    <row r="12" spans="1:74">
      <c r="A12" s="156">
        <v>128794</v>
      </c>
      <c r="B12" s="156" t="s">
        <v>54</v>
      </c>
      <c r="C12" s="156">
        <v>143</v>
      </c>
      <c r="D12" s="156" t="s">
        <v>232</v>
      </c>
      <c r="E12" s="156">
        <v>1995</v>
      </c>
      <c r="F12" s="156">
        <v>9</v>
      </c>
      <c r="G12" s="156">
        <v>0.2</v>
      </c>
      <c r="I12" s="156" t="s">
        <v>52</v>
      </c>
      <c r="J12" s="156">
        <v>7</v>
      </c>
      <c r="K12" s="156">
        <f t="shared" ref="K12:K18" si="0">E12+J12</f>
        <v>2002</v>
      </c>
      <c r="N12" s="157">
        <v>107319.56</v>
      </c>
      <c r="O12" s="157">
        <v>0</v>
      </c>
      <c r="P12" s="157">
        <f t="shared" ref="P12:P18" si="1">N12-N12*G12</f>
        <v>85855.648000000001</v>
      </c>
      <c r="Q12" s="157">
        <f t="shared" ref="Q12:Q47" si="2">P12/J12/12</f>
        <v>1022.0910476190476</v>
      </c>
      <c r="R12" s="157">
        <f t="shared" ref="R12:R18" si="3">IF(O12&gt;0,0,IF(OR(AD12&gt;AE12,AF12&lt;AG12),0,IF(AND(AF12&gt;=AG12,AF12&lt;=AE12),Q12*((AF12-AG12)*12),IF(AND(AG12&lt;=AD12,AE12&gt;=AD12),((AE12-AD12)*12)*Q12,IF(AF12&gt;AE12,12*Q12,0)))))</f>
        <v>0</v>
      </c>
      <c r="S12" s="157">
        <f t="shared" ref="S12:S18" si="4">IF(O12=0,0,IF(AND(AH12&gt;=AG12,AH12&lt;=AF12),((AH12-AG12)*12)*Q12,0))</f>
        <v>0</v>
      </c>
      <c r="T12" s="157">
        <f t="shared" ref="T12:T18" si="5">IF(S12&gt;0,S12,R12)</f>
        <v>0</v>
      </c>
      <c r="U12" s="157">
        <v>1</v>
      </c>
      <c r="V12" s="157">
        <f t="shared" ref="V12:V18" si="6">U12*SUM(R12:S12)</f>
        <v>0</v>
      </c>
      <c r="X12" s="157">
        <f t="shared" ref="X12:X26" si="7">IF(AD12&gt;AE12,0,IF(AF12&lt;AG12,P12,IF(AND(AF12&gt;=AG12,AF12&lt;=AE12),(P12-T12),IF(AND(AG12&lt;=AD12,AE12&gt;=AD12),0,IF(AF12&gt;AE12,((AG12-AD12)*12)*Q12,0)))))</f>
        <v>85855.648000000001</v>
      </c>
      <c r="Y12" s="157">
        <f t="shared" ref="Y12:Y26" si="8">X12*U12</f>
        <v>85855.648000000001</v>
      </c>
      <c r="Z12" s="157">
        <v>1</v>
      </c>
      <c r="AA12" s="157">
        <f t="shared" ref="AA12:AA47" si="9">Y12*Z12</f>
        <v>85855.648000000001</v>
      </c>
      <c r="AB12" s="157">
        <f t="shared" ref="AB12:AB47" si="10">IF(O12&gt;0,0,AA12+V12*Z12)*Z12</f>
        <v>85855.648000000001</v>
      </c>
      <c r="AC12" s="157">
        <f t="shared" ref="AC12:AC18" si="11">IF(O12&gt;0,(N12-AA12)/2,IF(AD12&gt;=AG12,(((N12*U12)*Z12)-AB12)/2,((((N12*U12)*Z12)-AA12)+(((N12*U12)*Z12)-AB12))/2))</f>
        <v>21463.911999999997</v>
      </c>
      <c r="AD12" s="157">
        <f>$E12+(($F12-1)/12)</f>
        <v>1995.6666666666667</v>
      </c>
      <c r="AE12" s="157">
        <f t="shared" ref="AE12:AE26" si="12">($P$5+1)-($P$2/12)</f>
        <v>2017</v>
      </c>
      <c r="AF12" s="157">
        <f>$K12+(($F12-1)/12)</f>
        <v>2002.6666666666667</v>
      </c>
      <c r="AG12" s="157">
        <f t="shared" ref="AG12:AG26" si="13">$P$4+($P$3/12)</f>
        <v>2016</v>
      </c>
      <c r="AH12" s="157">
        <f t="shared" ref="AH12:AH47" si="14">$L12+(($M12-1)/12)</f>
        <v>-8.3333333333333329E-2</v>
      </c>
    </row>
    <row r="13" spans="1:74" ht="12" customHeight="1">
      <c r="A13" s="156">
        <v>19644</v>
      </c>
      <c r="B13" s="156" t="s">
        <v>54</v>
      </c>
      <c r="C13" s="156">
        <v>603</v>
      </c>
      <c r="D13" s="156" t="s">
        <v>159</v>
      </c>
      <c r="E13" s="156">
        <v>2003</v>
      </c>
      <c r="F13" s="156">
        <v>1</v>
      </c>
      <c r="G13" s="156">
        <v>0.2</v>
      </c>
      <c r="I13" s="156" t="s">
        <v>52</v>
      </c>
      <c r="J13" s="156">
        <v>7</v>
      </c>
      <c r="K13" s="156">
        <f t="shared" si="0"/>
        <v>2010</v>
      </c>
      <c r="N13" s="157">
        <v>123452.02</v>
      </c>
      <c r="O13" s="157">
        <v>0</v>
      </c>
      <c r="P13" s="157">
        <f t="shared" si="1"/>
        <v>98761.616000000009</v>
      </c>
      <c r="Q13" s="157">
        <f t="shared" si="2"/>
        <v>1175.7335238095241</v>
      </c>
      <c r="R13" s="157">
        <f t="shared" si="3"/>
        <v>0</v>
      </c>
      <c r="S13" s="157">
        <f t="shared" si="4"/>
        <v>0</v>
      </c>
      <c r="T13" s="157">
        <f t="shared" si="5"/>
        <v>0</v>
      </c>
      <c r="U13" s="157">
        <v>1</v>
      </c>
      <c r="V13" s="157">
        <f t="shared" si="6"/>
        <v>0</v>
      </c>
      <c r="X13" s="157">
        <f t="shared" si="7"/>
        <v>98761.616000000009</v>
      </c>
      <c r="Y13" s="157">
        <f t="shared" si="8"/>
        <v>98761.616000000009</v>
      </c>
      <c r="Z13" s="157">
        <v>1</v>
      </c>
      <c r="AA13" s="157">
        <f t="shared" si="9"/>
        <v>98761.616000000009</v>
      </c>
      <c r="AB13" s="157">
        <f t="shared" si="10"/>
        <v>98761.616000000009</v>
      </c>
      <c r="AC13" s="157">
        <f t="shared" si="11"/>
        <v>24690.403999999995</v>
      </c>
      <c r="AD13" s="157">
        <f>$E13+(($F13-1)/12)</f>
        <v>2003</v>
      </c>
      <c r="AE13" s="157">
        <f t="shared" si="12"/>
        <v>2017</v>
      </c>
      <c r="AF13" s="157">
        <f>$K13+(($F13-1)/12)</f>
        <v>2010</v>
      </c>
      <c r="AG13" s="157">
        <f t="shared" si="13"/>
        <v>2016</v>
      </c>
      <c r="AH13" s="157">
        <f t="shared" si="14"/>
        <v>-8.3333333333333329E-2</v>
      </c>
    </row>
    <row r="14" spans="1:74">
      <c r="A14" s="156">
        <v>19645</v>
      </c>
      <c r="B14" s="156" t="s">
        <v>156</v>
      </c>
      <c r="C14" s="156">
        <v>604</v>
      </c>
      <c r="D14" s="156" t="s">
        <v>159</v>
      </c>
      <c r="E14" s="156">
        <v>2003</v>
      </c>
      <c r="F14" s="156">
        <v>1</v>
      </c>
      <c r="G14" s="156">
        <v>0.2</v>
      </c>
      <c r="I14" s="156" t="s">
        <v>52</v>
      </c>
      <c r="J14" s="156">
        <v>7</v>
      </c>
      <c r="K14" s="156">
        <f t="shared" si="0"/>
        <v>2010</v>
      </c>
      <c r="N14" s="157">
        <v>123452.02</v>
      </c>
      <c r="O14" s="157">
        <v>0</v>
      </c>
      <c r="P14" s="157">
        <f t="shared" si="1"/>
        <v>98761.616000000009</v>
      </c>
      <c r="Q14" s="157">
        <f t="shared" si="2"/>
        <v>1175.7335238095241</v>
      </c>
      <c r="R14" s="157">
        <f t="shared" si="3"/>
        <v>0</v>
      </c>
      <c r="S14" s="157">
        <f t="shared" si="4"/>
        <v>0</v>
      </c>
      <c r="T14" s="157">
        <f t="shared" si="5"/>
        <v>0</v>
      </c>
      <c r="U14" s="157">
        <v>1</v>
      </c>
      <c r="V14" s="157">
        <f t="shared" si="6"/>
        <v>0</v>
      </c>
      <c r="X14" s="157">
        <f t="shared" si="7"/>
        <v>98761.616000000009</v>
      </c>
      <c r="Y14" s="157">
        <f t="shared" si="8"/>
        <v>98761.616000000009</v>
      </c>
      <c r="Z14" s="157">
        <v>1</v>
      </c>
      <c r="AA14" s="157">
        <f t="shared" si="9"/>
        <v>98761.616000000009</v>
      </c>
      <c r="AB14" s="157">
        <f t="shared" si="10"/>
        <v>98761.616000000009</v>
      </c>
      <c r="AC14" s="157">
        <f t="shared" si="11"/>
        <v>24690.403999999995</v>
      </c>
      <c r="AD14" s="157">
        <f>$E14+(($F14-1)/12)</f>
        <v>2003</v>
      </c>
      <c r="AE14" s="157">
        <f t="shared" si="12"/>
        <v>2017</v>
      </c>
      <c r="AF14" s="157">
        <f>$K14+(($F14-1)/12)</f>
        <v>2010</v>
      </c>
      <c r="AG14" s="157">
        <f t="shared" si="13"/>
        <v>2016</v>
      </c>
      <c r="AH14" s="157">
        <f t="shared" si="14"/>
        <v>-8.3333333333333329E-2</v>
      </c>
    </row>
    <row r="15" spans="1:74">
      <c r="A15" s="156">
        <v>19646</v>
      </c>
      <c r="B15" s="156" t="s">
        <v>54</v>
      </c>
      <c r="C15" s="156">
        <v>605</v>
      </c>
      <c r="D15" s="156" t="s">
        <v>159</v>
      </c>
      <c r="E15" s="156">
        <v>2003</v>
      </c>
      <c r="F15" s="156">
        <v>1</v>
      </c>
      <c r="G15" s="156">
        <v>0.2</v>
      </c>
      <c r="I15" s="156" t="s">
        <v>52</v>
      </c>
      <c r="J15" s="156">
        <v>7</v>
      </c>
      <c r="K15" s="156">
        <f t="shared" si="0"/>
        <v>2010</v>
      </c>
      <c r="N15" s="157">
        <v>123452.02</v>
      </c>
      <c r="O15" s="157">
        <v>0</v>
      </c>
      <c r="P15" s="157">
        <f t="shared" si="1"/>
        <v>98761.616000000009</v>
      </c>
      <c r="Q15" s="157">
        <f t="shared" si="2"/>
        <v>1175.7335238095241</v>
      </c>
      <c r="R15" s="157">
        <f t="shared" si="3"/>
        <v>0</v>
      </c>
      <c r="S15" s="157">
        <f t="shared" si="4"/>
        <v>0</v>
      </c>
      <c r="T15" s="157">
        <f t="shared" si="5"/>
        <v>0</v>
      </c>
      <c r="U15" s="157">
        <v>1</v>
      </c>
      <c r="V15" s="157">
        <f t="shared" si="6"/>
        <v>0</v>
      </c>
      <c r="X15" s="157">
        <f t="shared" si="7"/>
        <v>98761.616000000009</v>
      </c>
      <c r="Y15" s="157">
        <f t="shared" si="8"/>
        <v>98761.616000000009</v>
      </c>
      <c r="Z15" s="157">
        <v>1</v>
      </c>
      <c r="AA15" s="157">
        <f t="shared" si="9"/>
        <v>98761.616000000009</v>
      </c>
      <c r="AB15" s="157">
        <f t="shared" si="10"/>
        <v>98761.616000000009</v>
      </c>
      <c r="AC15" s="157">
        <f t="shared" si="11"/>
        <v>24690.403999999995</v>
      </c>
      <c r="AD15" s="157">
        <f t="shared" ref="AD15:AD46" si="15">$E15+(($F15-1)/12)</f>
        <v>2003</v>
      </c>
      <c r="AE15" s="157">
        <f t="shared" si="12"/>
        <v>2017</v>
      </c>
      <c r="AF15" s="157">
        <f t="shared" ref="AF15:AF46" si="16">$K15+(($F15-1)/12)</f>
        <v>2010</v>
      </c>
      <c r="AG15" s="157">
        <f t="shared" si="13"/>
        <v>2016</v>
      </c>
      <c r="AH15" s="157">
        <f t="shared" si="14"/>
        <v>-8.3333333333333329E-2</v>
      </c>
    </row>
    <row r="16" spans="1:74">
      <c r="A16" s="156">
        <v>19647</v>
      </c>
      <c r="B16" s="156" t="s">
        <v>54</v>
      </c>
      <c r="C16" s="156">
        <v>606</v>
      </c>
      <c r="D16" s="156" t="s">
        <v>74</v>
      </c>
      <c r="E16" s="156">
        <v>2003</v>
      </c>
      <c r="F16" s="156">
        <v>1</v>
      </c>
      <c r="G16" s="156">
        <v>0.2</v>
      </c>
      <c r="I16" s="156" t="s">
        <v>52</v>
      </c>
      <c r="J16" s="156">
        <v>7</v>
      </c>
      <c r="K16" s="156">
        <f t="shared" si="0"/>
        <v>2010</v>
      </c>
      <c r="N16" s="157">
        <v>123452.02</v>
      </c>
      <c r="O16" s="157">
        <v>0</v>
      </c>
      <c r="P16" s="157">
        <f t="shared" si="1"/>
        <v>98761.616000000009</v>
      </c>
      <c r="Q16" s="157">
        <f t="shared" si="2"/>
        <v>1175.7335238095241</v>
      </c>
      <c r="R16" s="157">
        <f t="shared" si="3"/>
        <v>0</v>
      </c>
      <c r="S16" s="157">
        <f t="shared" si="4"/>
        <v>0</v>
      </c>
      <c r="T16" s="157">
        <f t="shared" si="5"/>
        <v>0</v>
      </c>
      <c r="U16" s="157">
        <v>1</v>
      </c>
      <c r="V16" s="157">
        <f t="shared" si="6"/>
        <v>0</v>
      </c>
      <c r="X16" s="157">
        <f t="shared" si="7"/>
        <v>98761.616000000009</v>
      </c>
      <c r="Y16" s="157">
        <f t="shared" si="8"/>
        <v>98761.616000000009</v>
      </c>
      <c r="Z16" s="157">
        <v>1</v>
      </c>
      <c r="AA16" s="157">
        <f t="shared" si="9"/>
        <v>98761.616000000009</v>
      </c>
      <c r="AB16" s="157">
        <f t="shared" si="10"/>
        <v>98761.616000000009</v>
      </c>
      <c r="AC16" s="157">
        <f t="shared" si="11"/>
        <v>24690.403999999995</v>
      </c>
      <c r="AD16" s="157">
        <f t="shared" si="15"/>
        <v>2003</v>
      </c>
      <c r="AE16" s="157">
        <f t="shared" si="12"/>
        <v>2017</v>
      </c>
      <c r="AF16" s="157">
        <f t="shared" si="16"/>
        <v>2010</v>
      </c>
      <c r="AG16" s="157">
        <f t="shared" si="13"/>
        <v>2016</v>
      </c>
      <c r="AH16" s="157">
        <f t="shared" si="14"/>
        <v>-8.3333333333333329E-2</v>
      </c>
    </row>
    <row r="17" spans="1:34">
      <c r="A17" s="156">
        <v>19648</v>
      </c>
      <c r="B17" s="156" t="s">
        <v>155</v>
      </c>
      <c r="C17" s="156">
        <v>607</v>
      </c>
      <c r="D17" s="156" t="s">
        <v>74</v>
      </c>
      <c r="E17" s="156">
        <v>2003</v>
      </c>
      <c r="F17" s="156">
        <v>1</v>
      </c>
      <c r="G17" s="156">
        <v>0.2</v>
      </c>
      <c r="I17" s="156" t="s">
        <v>52</v>
      </c>
      <c r="J17" s="156">
        <v>7</v>
      </c>
      <c r="K17" s="156">
        <f t="shared" si="0"/>
        <v>2010</v>
      </c>
      <c r="N17" s="157">
        <v>123452.02</v>
      </c>
      <c r="O17" s="157">
        <v>0</v>
      </c>
      <c r="P17" s="157">
        <f t="shared" si="1"/>
        <v>98761.616000000009</v>
      </c>
      <c r="Q17" s="157">
        <f t="shared" si="2"/>
        <v>1175.7335238095241</v>
      </c>
      <c r="R17" s="157">
        <f t="shared" si="3"/>
        <v>0</v>
      </c>
      <c r="S17" s="157">
        <f t="shared" si="4"/>
        <v>0</v>
      </c>
      <c r="T17" s="157">
        <f t="shared" si="5"/>
        <v>0</v>
      </c>
      <c r="U17" s="157">
        <v>1</v>
      </c>
      <c r="V17" s="157">
        <f t="shared" si="6"/>
        <v>0</v>
      </c>
      <c r="X17" s="157">
        <f t="shared" si="7"/>
        <v>98761.616000000009</v>
      </c>
      <c r="Y17" s="157">
        <f t="shared" si="8"/>
        <v>98761.616000000009</v>
      </c>
      <c r="Z17" s="157">
        <v>1</v>
      </c>
      <c r="AA17" s="157">
        <f t="shared" si="9"/>
        <v>98761.616000000009</v>
      </c>
      <c r="AB17" s="157">
        <f t="shared" si="10"/>
        <v>98761.616000000009</v>
      </c>
      <c r="AC17" s="157">
        <f t="shared" si="11"/>
        <v>24690.403999999995</v>
      </c>
      <c r="AD17" s="157">
        <f t="shared" si="15"/>
        <v>2003</v>
      </c>
      <c r="AE17" s="157">
        <f t="shared" si="12"/>
        <v>2017</v>
      </c>
      <c r="AF17" s="157">
        <f t="shared" si="16"/>
        <v>2010</v>
      </c>
      <c r="AG17" s="157">
        <f t="shared" si="13"/>
        <v>2016</v>
      </c>
      <c r="AH17" s="157">
        <f t="shared" si="14"/>
        <v>-8.3333333333333329E-2</v>
      </c>
    </row>
    <row r="18" spans="1:34">
      <c r="A18" s="156">
        <v>128796</v>
      </c>
      <c r="B18" s="156" t="s">
        <v>54</v>
      </c>
      <c r="C18" s="156">
        <v>143</v>
      </c>
      <c r="D18" s="156" t="s">
        <v>75</v>
      </c>
      <c r="E18" s="156">
        <v>2005</v>
      </c>
      <c r="F18" s="156">
        <v>12</v>
      </c>
      <c r="I18" s="156" t="s">
        <v>52</v>
      </c>
      <c r="J18" s="156">
        <v>3</v>
      </c>
      <c r="K18" s="156">
        <f t="shared" si="0"/>
        <v>2008</v>
      </c>
      <c r="N18" s="157">
        <v>6214.66</v>
      </c>
      <c r="P18" s="157">
        <f t="shared" si="1"/>
        <v>6214.66</v>
      </c>
      <c r="Q18" s="157">
        <f t="shared" si="2"/>
        <v>172.62944444444443</v>
      </c>
      <c r="R18" s="157">
        <f t="shared" si="3"/>
        <v>0</v>
      </c>
      <c r="S18" s="157">
        <f t="shared" si="4"/>
        <v>0</v>
      </c>
      <c r="T18" s="157">
        <f t="shared" si="5"/>
        <v>0</v>
      </c>
      <c r="U18" s="157">
        <v>1</v>
      </c>
      <c r="V18" s="157">
        <f t="shared" si="6"/>
        <v>0</v>
      </c>
      <c r="X18" s="157">
        <f t="shared" si="7"/>
        <v>6214.66</v>
      </c>
      <c r="Y18" s="157">
        <f t="shared" si="8"/>
        <v>6214.66</v>
      </c>
      <c r="Z18" s="157">
        <v>1</v>
      </c>
      <c r="AA18" s="157">
        <f t="shared" si="9"/>
        <v>6214.66</v>
      </c>
      <c r="AB18" s="157">
        <f t="shared" si="10"/>
        <v>6214.66</v>
      </c>
      <c r="AC18" s="157">
        <f t="shared" si="11"/>
        <v>0</v>
      </c>
      <c r="AD18" s="157">
        <f t="shared" si="15"/>
        <v>2005.9166666666667</v>
      </c>
      <c r="AE18" s="157">
        <f t="shared" si="12"/>
        <v>2017</v>
      </c>
      <c r="AF18" s="157">
        <f t="shared" si="16"/>
        <v>2008.9166666666667</v>
      </c>
      <c r="AG18" s="157">
        <f t="shared" si="13"/>
        <v>2016</v>
      </c>
      <c r="AH18" s="157">
        <f t="shared" si="14"/>
        <v>-8.3333333333333329E-2</v>
      </c>
    </row>
    <row r="19" spans="1:34">
      <c r="B19" s="156" t="s">
        <v>54</v>
      </c>
      <c r="D19" s="156" t="s">
        <v>75</v>
      </c>
      <c r="E19" s="156">
        <v>2006</v>
      </c>
      <c r="F19" s="156">
        <v>8</v>
      </c>
      <c r="I19" s="156" t="s">
        <v>52</v>
      </c>
      <c r="J19" s="156">
        <v>3</v>
      </c>
      <c r="K19" s="156">
        <f>E19+J19</f>
        <v>2009</v>
      </c>
      <c r="N19" s="157">
        <v>5325.77</v>
      </c>
      <c r="P19" s="157">
        <f t="shared" ref="P19:P26" si="17">N19-N19*G19</f>
        <v>5325.77</v>
      </c>
      <c r="Q19" s="157">
        <f t="shared" si="2"/>
        <v>147.93805555555556</v>
      </c>
      <c r="R19" s="157">
        <f t="shared" ref="R19:R26" si="18">IF(O19&gt;0,0,IF(OR(AD19&gt;AE19,AF19&lt;AG19),0,IF(AND(AF19&gt;=AG19,AF19&lt;=AE19),Q19*((AF19-AG19)*12),IF(AND(AG19&lt;=AD19,AE19&gt;=AD19),((AE19-AD19)*12)*Q19,IF(AF19&gt;AE19,12*Q19,0)))))</f>
        <v>0</v>
      </c>
      <c r="S19" s="157">
        <f t="shared" ref="S19:S26" si="19">IF(O19=0,0,IF(AND(AH19&gt;=AG19,AH19&lt;=AF19),((AH19-AG19)*12)*Q19,0))</f>
        <v>0</v>
      </c>
      <c r="T19" s="157">
        <f t="shared" ref="T19:T26" si="20">IF(S19&gt;0,S19,R19)</f>
        <v>0</v>
      </c>
      <c r="U19" s="157">
        <v>1</v>
      </c>
      <c r="V19" s="157">
        <f t="shared" ref="V19:V26" si="21">U19*SUM(R19:S19)</f>
        <v>0</v>
      </c>
      <c r="X19" s="157">
        <f t="shared" si="7"/>
        <v>5325.77</v>
      </c>
      <c r="Y19" s="157">
        <f t="shared" si="8"/>
        <v>5325.77</v>
      </c>
      <c r="Z19" s="157">
        <v>1</v>
      </c>
      <c r="AA19" s="157">
        <f t="shared" si="9"/>
        <v>5325.77</v>
      </c>
      <c r="AB19" s="157">
        <f t="shared" si="10"/>
        <v>5325.77</v>
      </c>
      <c r="AC19" s="157">
        <f t="shared" ref="AC19:AC26" si="22">IF(O19&gt;0,(N19-AA19)/2,IF(AD19&gt;=AG19,(((N19*U19)*Z19)-AB19)/2,((((N19*U19)*Z19)-AA19)+(((N19*U19)*Z19)-AB19))/2))</f>
        <v>0</v>
      </c>
      <c r="AD19" s="157">
        <f t="shared" si="15"/>
        <v>2006.5833333333333</v>
      </c>
      <c r="AE19" s="157">
        <f t="shared" si="12"/>
        <v>2017</v>
      </c>
      <c r="AF19" s="157">
        <f t="shared" si="16"/>
        <v>2009.5833333333333</v>
      </c>
      <c r="AG19" s="157">
        <f t="shared" si="13"/>
        <v>2016</v>
      </c>
      <c r="AH19" s="157">
        <f t="shared" si="14"/>
        <v>-8.3333333333333329E-2</v>
      </c>
    </row>
    <row r="20" spans="1:34">
      <c r="A20" s="156">
        <v>102158</v>
      </c>
      <c r="B20" s="156" t="s">
        <v>54</v>
      </c>
      <c r="C20" s="156">
        <v>613</v>
      </c>
      <c r="D20" s="156" t="s">
        <v>151</v>
      </c>
      <c r="E20" s="156">
        <v>2006</v>
      </c>
      <c r="F20" s="156">
        <v>10</v>
      </c>
      <c r="G20" s="156">
        <v>0.2</v>
      </c>
      <c r="I20" s="156" t="s">
        <v>52</v>
      </c>
      <c r="J20" s="156">
        <v>7</v>
      </c>
      <c r="K20" s="156">
        <f>E20+J20</f>
        <v>2013</v>
      </c>
      <c r="N20" s="157">
        <f>120222.34+57321.28</f>
        <v>177543.62</v>
      </c>
      <c r="P20" s="157">
        <f t="shared" si="17"/>
        <v>142034.89600000001</v>
      </c>
      <c r="Q20" s="157">
        <f t="shared" si="2"/>
        <v>1690.8916190476191</v>
      </c>
      <c r="R20" s="157">
        <f t="shared" si="18"/>
        <v>0</v>
      </c>
      <c r="S20" s="157">
        <f t="shared" si="19"/>
        <v>0</v>
      </c>
      <c r="T20" s="157">
        <f t="shared" si="20"/>
        <v>0</v>
      </c>
      <c r="U20" s="157">
        <v>1</v>
      </c>
      <c r="V20" s="157">
        <f t="shared" si="21"/>
        <v>0</v>
      </c>
      <c r="X20" s="157">
        <f t="shared" si="7"/>
        <v>142034.89600000001</v>
      </c>
      <c r="Y20" s="157">
        <f t="shared" si="8"/>
        <v>142034.89600000001</v>
      </c>
      <c r="Z20" s="157">
        <v>1</v>
      </c>
      <c r="AA20" s="157">
        <f t="shared" si="9"/>
        <v>142034.89600000001</v>
      </c>
      <c r="AB20" s="157">
        <f t="shared" si="10"/>
        <v>142034.89600000001</v>
      </c>
      <c r="AC20" s="157">
        <f t="shared" si="22"/>
        <v>35508.723999999987</v>
      </c>
      <c r="AD20" s="157">
        <f t="shared" si="15"/>
        <v>2006.75</v>
      </c>
      <c r="AE20" s="157">
        <f t="shared" si="12"/>
        <v>2017</v>
      </c>
      <c r="AF20" s="157">
        <f t="shared" si="16"/>
        <v>2013.75</v>
      </c>
      <c r="AG20" s="157">
        <f t="shared" si="13"/>
        <v>2016</v>
      </c>
      <c r="AH20" s="157">
        <f t="shared" si="14"/>
        <v>-8.3333333333333329E-2</v>
      </c>
    </row>
    <row r="21" spans="1:34">
      <c r="A21" s="156">
        <v>50277</v>
      </c>
      <c r="B21" s="156" t="s">
        <v>55</v>
      </c>
      <c r="C21" s="156">
        <v>905</v>
      </c>
      <c r="D21" s="156" t="s">
        <v>157</v>
      </c>
      <c r="E21" s="156">
        <v>2007</v>
      </c>
      <c r="F21" s="156">
        <v>3</v>
      </c>
      <c r="G21" s="156">
        <v>0.2</v>
      </c>
      <c r="I21" s="156" t="s">
        <v>52</v>
      </c>
      <c r="J21" s="156">
        <v>7</v>
      </c>
      <c r="K21" s="156">
        <f>E21+J21</f>
        <v>2014</v>
      </c>
      <c r="N21" s="157">
        <f>4631.52+227218.17</f>
        <v>231849.69</v>
      </c>
      <c r="P21" s="157">
        <f t="shared" si="17"/>
        <v>185479.75200000001</v>
      </c>
      <c r="Q21" s="157">
        <f t="shared" si="2"/>
        <v>2208.0922857142859</v>
      </c>
      <c r="R21" s="157">
        <f t="shared" si="18"/>
        <v>0</v>
      </c>
      <c r="S21" s="157">
        <f t="shared" si="19"/>
        <v>0</v>
      </c>
      <c r="T21" s="157">
        <f t="shared" si="20"/>
        <v>0</v>
      </c>
      <c r="U21" s="157">
        <v>1</v>
      </c>
      <c r="V21" s="157">
        <f t="shared" si="21"/>
        <v>0</v>
      </c>
      <c r="X21" s="157">
        <f t="shared" si="7"/>
        <v>185479.75200000001</v>
      </c>
      <c r="Y21" s="157">
        <f t="shared" si="8"/>
        <v>185479.75200000001</v>
      </c>
      <c r="Z21" s="157">
        <v>1</v>
      </c>
      <c r="AA21" s="157">
        <f t="shared" si="9"/>
        <v>185479.75200000001</v>
      </c>
      <c r="AB21" s="157">
        <f t="shared" si="10"/>
        <v>185479.75200000001</v>
      </c>
      <c r="AC21" s="157">
        <f t="shared" si="22"/>
        <v>46369.937999999995</v>
      </c>
      <c r="AD21" s="157">
        <f t="shared" si="15"/>
        <v>2007.1666666666667</v>
      </c>
      <c r="AE21" s="157">
        <f t="shared" si="12"/>
        <v>2017</v>
      </c>
      <c r="AF21" s="157">
        <f t="shared" si="16"/>
        <v>2014.1666666666667</v>
      </c>
      <c r="AG21" s="157">
        <f t="shared" si="13"/>
        <v>2016</v>
      </c>
      <c r="AH21" s="157">
        <f t="shared" si="14"/>
        <v>-8.3333333333333329E-2</v>
      </c>
    </row>
    <row r="22" spans="1:34">
      <c r="A22" s="156">
        <v>54079</v>
      </c>
      <c r="B22" s="156" t="s">
        <v>54</v>
      </c>
      <c r="C22" s="156">
        <v>614</v>
      </c>
      <c r="D22" s="156" t="s">
        <v>172</v>
      </c>
      <c r="E22" s="156">
        <v>2008</v>
      </c>
      <c r="F22" s="156">
        <v>1</v>
      </c>
      <c r="G22" s="156">
        <v>0.2</v>
      </c>
      <c r="I22" s="156" t="s">
        <v>52</v>
      </c>
      <c r="J22" s="156">
        <v>7</v>
      </c>
      <c r="K22" s="156">
        <f>E22+J22</f>
        <v>2015</v>
      </c>
      <c r="N22" s="157">
        <v>83420.460000000006</v>
      </c>
      <c r="P22" s="157">
        <f t="shared" si="17"/>
        <v>66736.368000000002</v>
      </c>
      <c r="Q22" s="157">
        <f t="shared" si="2"/>
        <v>794.48057142857135</v>
      </c>
      <c r="R22" s="157">
        <f t="shared" si="18"/>
        <v>0</v>
      </c>
      <c r="S22" s="157">
        <f t="shared" si="19"/>
        <v>0</v>
      </c>
      <c r="T22" s="157">
        <f t="shared" si="20"/>
        <v>0</v>
      </c>
      <c r="U22" s="157">
        <v>1</v>
      </c>
      <c r="V22" s="157">
        <f t="shared" si="21"/>
        <v>0</v>
      </c>
      <c r="X22" s="157">
        <f t="shared" si="7"/>
        <v>66736.368000000002</v>
      </c>
      <c r="Y22" s="157">
        <f t="shared" si="8"/>
        <v>66736.368000000002</v>
      </c>
      <c r="Z22" s="157">
        <v>1</v>
      </c>
      <c r="AA22" s="157">
        <f t="shared" si="9"/>
        <v>66736.368000000002</v>
      </c>
      <c r="AB22" s="157">
        <f t="shared" si="10"/>
        <v>66736.368000000002</v>
      </c>
      <c r="AC22" s="157">
        <f t="shared" si="22"/>
        <v>16684.092000000004</v>
      </c>
      <c r="AD22" s="157">
        <f t="shared" si="15"/>
        <v>2008</v>
      </c>
      <c r="AE22" s="157">
        <f t="shared" si="12"/>
        <v>2017</v>
      </c>
      <c r="AF22" s="157">
        <f t="shared" si="16"/>
        <v>2015</v>
      </c>
      <c r="AG22" s="157">
        <f t="shared" si="13"/>
        <v>2016</v>
      </c>
      <c r="AH22" s="157">
        <f t="shared" si="14"/>
        <v>-8.3333333333333329E-2</v>
      </c>
    </row>
    <row r="23" spans="1:34">
      <c r="B23" s="156" t="s">
        <v>168</v>
      </c>
      <c r="D23" s="156" t="s">
        <v>169</v>
      </c>
      <c r="E23" s="156">
        <v>2008</v>
      </c>
      <c r="F23" s="156">
        <v>4</v>
      </c>
      <c r="G23" s="156">
        <v>0.2</v>
      </c>
      <c r="I23" s="156" t="s">
        <v>52</v>
      </c>
      <c r="J23" s="156">
        <v>7</v>
      </c>
      <c r="K23" s="156">
        <f>E23+J23</f>
        <v>2015</v>
      </c>
      <c r="N23" s="157">
        <f>17*560.39-0.01</f>
        <v>9526.619999999999</v>
      </c>
      <c r="P23" s="157">
        <f t="shared" si="17"/>
        <v>7621.2959999999994</v>
      </c>
      <c r="Q23" s="157">
        <f t="shared" si="2"/>
        <v>90.72971428571428</v>
      </c>
      <c r="R23" s="157">
        <f t="shared" si="18"/>
        <v>0</v>
      </c>
      <c r="S23" s="157">
        <f t="shared" si="19"/>
        <v>0</v>
      </c>
      <c r="T23" s="157">
        <f t="shared" si="20"/>
        <v>0</v>
      </c>
      <c r="U23" s="157">
        <v>1</v>
      </c>
      <c r="V23" s="157">
        <f t="shared" si="21"/>
        <v>0</v>
      </c>
      <c r="X23" s="157">
        <f t="shared" si="7"/>
        <v>7621.2959999999994</v>
      </c>
      <c r="Y23" s="157">
        <f t="shared" si="8"/>
        <v>7621.2959999999994</v>
      </c>
      <c r="Z23" s="157">
        <v>1</v>
      </c>
      <c r="AA23" s="157">
        <f t="shared" si="9"/>
        <v>7621.2959999999994</v>
      </c>
      <c r="AB23" s="157">
        <f t="shared" si="10"/>
        <v>7621.2959999999994</v>
      </c>
      <c r="AC23" s="157">
        <f t="shared" si="22"/>
        <v>1905.3239999999996</v>
      </c>
      <c r="AD23" s="157">
        <f t="shared" si="15"/>
        <v>2008.25</v>
      </c>
      <c r="AE23" s="157">
        <f t="shared" si="12"/>
        <v>2017</v>
      </c>
      <c r="AF23" s="157">
        <f t="shared" si="16"/>
        <v>2015.25</v>
      </c>
      <c r="AG23" s="157">
        <f t="shared" si="13"/>
        <v>2016</v>
      </c>
      <c r="AH23" s="157">
        <f t="shared" si="14"/>
        <v>-8.3333333333333329E-2</v>
      </c>
    </row>
    <row r="24" spans="1:34">
      <c r="A24" s="156">
        <v>58792</v>
      </c>
      <c r="B24" s="156" t="s">
        <v>54</v>
      </c>
      <c r="C24" s="156">
        <v>617</v>
      </c>
      <c r="D24" s="156" t="s">
        <v>173</v>
      </c>
      <c r="E24" s="156">
        <v>2008</v>
      </c>
      <c r="F24" s="156">
        <v>7</v>
      </c>
      <c r="G24" s="156">
        <v>0.2</v>
      </c>
      <c r="I24" s="156" t="s">
        <v>52</v>
      </c>
      <c r="J24" s="156">
        <v>7</v>
      </c>
      <c r="K24" s="156">
        <f t="shared" ref="K24:K42" si="23">E24+J24</f>
        <v>2015</v>
      </c>
      <c r="N24" s="157">
        <f>166371.17+7162.52</f>
        <v>173533.69</v>
      </c>
      <c r="P24" s="157">
        <f t="shared" si="17"/>
        <v>138826.95199999999</v>
      </c>
      <c r="Q24" s="157">
        <f t="shared" si="2"/>
        <v>1652.7018095238093</v>
      </c>
      <c r="R24" s="157">
        <f t="shared" si="18"/>
        <v>0</v>
      </c>
      <c r="S24" s="157">
        <f t="shared" si="19"/>
        <v>0</v>
      </c>
      <c r="T24" s="157">
        <f t="shared" si="20"/>
        <v>0</v>
      </c>
      <c r="U24" s="157">
        <v>1</v>
      </c>
      <c r="V24" s="157">
        <f t="shared" si="21"/>
        <v>0</v>
      </c>
      <c r="X24" s="157">
        <f t="shared" si="7"/>
        <v>138826.95199999999</v>
      </c>
      <c r="Y24" s="157">
        <f t="shared" si="8"/>
        <v>138826.95199999999</v>
      </c>
      <c r="Z24" s="157">
        <v>1</v>
      </c>
      <c r="AA24" s="157">
        <f t="shared" si="9"/>
        <v>138826.95199999999</v>
      </c>
      <c r="AB24" s="157">
        <f t="shared" si="10"/>
        <v>138826.95199999999</v>
      </c>
      <c r="AC24" s="157">
        <f t="shared" si="22"/>
        <v>34706.738000000012</v>
      </c>
      <c r="AD24" s="157">
        <f t="shared" si="15"/>
        <v>2008.5</v>
      </c>
      <c r="AE24" s="157">
        <f t="shared" si="12"/>
        <v>2017</v>
      </c>
      <c r="AF24" s="157">
        <f t="shared" si="16"/>
        <v>2015.5</v>
      </c>
      <c r="AG24" s="157">
        <f t="shared" si="13"/>
        <v>2016</v>
      </c>
      <c r="AH24" s="157">
        <f t="shared" si="14"/>
        <v>-8.3333333333333329E-2</v>
      </c>
    </row>
    <row r="25" spans="1:34">
      <c r="A25" s="156">
        <v>62296</v>
      </c>
      <c r="B25" s="156" t="s">
        <v>55</v>
      </c>
      <c r="C25" s="156">
        <v>907</v>
      </c>
      <c r="D25" s="156" t="s">
        <v>179</v>
      </c>
      <c r="E25" s="156">
        <v>2008</v>
      </c>
      <c r="F25" s="156">
        <v>11</v>
      </c>
      <c r="G25" s="156">
        <v>0.2</v>
      </c>
      <c r="I25" s="156" t="s">
        <v>52</v>
      </c>
      <c r="J25" s="156">
        <v>7</v>
      </c>
      <c r="K25" s="156">
        <f t="shared" si="23"/>
        <v>2015</v>
      </c>
      <c r="N25" s="157">
        <f>125094.15+120073.97+1188.27+2278.1+1105.68</f>
        <v>249740.16999999998</v>
      </c>
      <c r="P25" s="157">
        <f t="shared" si="17"/>
        <v>199792.136</v>
      </c>
      <c r="Q25" s="157">
        <f t="shared" si="2"/>
        <v>2378.4778095238094</v>
      </c>
      <c r="R25" s="157">
        <f t="shared" si="18"/>
        <v>0</v>
      </c>
      <c r="S25" s="157">
        <f t="shared" si="19"/>
        <v>0</v>
      </c>
      <c r="T25" s="157">
        <f t="shared" si="20"/>
        <v>0</v>
      </c>
      <c r="U25" s="157">
        <v>1</v>
      </c>
      <c r="V25" s="157">
        <f t="shared" si="21"/>
        <v>0</v>
      </c>
      <c r="X25" s="157">
        <f t="shared" si="7"/>
        <v>199792.136</v>
      </c>
      <c r="Y25" s="157">
        <f t="shared" si="8"/>
        <v>199792.136</v>
      </c>
      <c r="Z25" s="157">
        <v>1</v>
      </c>
      <c r="AA25" s="157">
        <f t="shared" si="9"/>
        <v>199792.136</v>
      </c>
      <c r="AB25" s="157">
        <f t="shared" si="10"/>
        <v>199792.136</v>
      </c>
      <c r="AC25" s="157">
        <f t="shared" si="22"/>
        <v>49948.033999999985</v>
      </c>
      <c r="AD25" s="157">
        <f t="shared" si="15"/>
        <v>2008.8333333333333</v>
      </c>
      <c r="AE25" s="157">
        <f t="shared" si="12"/>
        <v>2017</v>
      </c>
      <c r="AF25" s="157">
        <f t="shared" si="16"/>
        <v>2015.8333333333333</v>
      </c>
      <c r="AG25" s="157">
        <f t="shared" si="13"/>
        <v>2016</v>
      </c>
      <c r="AH25" s="157">
        <f t="shared" si="14"/>
        <v>-8.3333333333333329E-2</v>
      </c>
    </row>
    <row r="26" spans="1:34">
      <c r="A26" s="156">
        <v>63510</v>
      </c>
      <c r="B26" s="156" t="s">
        <v>54</v>
      </c>
      <c r="C26" s="156">
        <v>620</v>
      </c>
      <c r="D26" s="156" t="s">
        <v>183</v>
      </c>
      <c r="E26" s="156">
        <v>2009</v>
      </c>
      <c r="F26" s="156">
        <v>5</v>
      </c>
      <c r="G26" s="156">
        <v>0.2</v>
      </c>
      <c r="I26" s="156" t="s">
        <v>52</v>
      </c>
      <c r="J26" s="156">
        <v>7</v>
      </c>
      <c r="K26" s="156">
        <f t="shared" si="23"/>
        <v>2016</v>
      </c>
      <c r="N26" s="157">
        <v>183488.19</v>
      </c>
      <c r="P26" s="157">
        <f t="shared" si="17"/>
        <v>146790.552</v>
      </c>
      <c r="Q26" s="157">
        <f t="shared" si="2"/>
        <v>1747.5065714285713</v>
      </c>
      <c r="R26" s="157">
        <f t="shared" si="18"/>
        <v>6990.0262857126954</v>
      </c>
      <c r="S26" s="157">
        <f t="shared" si="19"/>
        <v>0</v>
      </c>
      <c r="T26" s="157">
        <f t="shared" si="20"/>
        <v>6990.0262857126954</v>
      </c>
      <c r="U26" s="157">
        <v>1</v>
      </c>
      <c r="V26" s="157">
        <f t="shared" si="21"/>
        <v>6990.0262857126954</v>
      </c>
      <c r="X26" s="157">
        <f t="shared" si="7"/>
        <v>139800.5257142873</v>
      </c>
      <c r="Y26" s="157">
        <f t="shared" si="8"/>
        <v>139800.5257142873</v>
      </c>
      <c r="Z26" s="157">
        <v>1</v>
      </c>
      <c r="AA26" s="157">
        <f t="shared" si="9"/>
        <v>139800.5257142873</v>
      </c>
      <c r="AB26" s="157">
        <f t="shared" si="10"/>
        <v>146790.552</v>
      </c>
      <c r="AC26" s="157">
        <f t="shared" si="22"/>
        <v>40192.651142856354</v>
      </c>
      <c r="AD26" s="157">
        <f t="shared" si="15"/>
        <v>2009.3333333333333</v>
      </c>
      <c r="AE26" s="157">
        <f t="shared" si="12"/>
        <v>2017</v>
      </c>
      <c r="AF26" s="157">
        <f t="shared" si="16"/>
        <v>2016.3333333333333</v>
      </c>
      <c r="AG26" s="157">
        <f t="shared" si="13"/>
        <v>2016</v>
      </c>
      <c r="AH26" s="157">
        <f t="shared" si="14"/>
        <v>-8.3333333333333329E-2</v>
      </c>
    </row>
    <row r="29" spans="1:34">
      <c r="A29" s="156">
        <v>73243</v>
      </c>
      <c r="B29" s="156" t="s">
        <v>71</v>
      </c>
      <c r="C29" s="156" t="s">
        <v>185</v>
      </c>
      <c r="D29" s="156" t="s">
        <v>186</v>
      </c>
      <c r="E29" s="156">
        <v>2010</v>
      </c>
      <c r="F29" s="156">
        <v>3</v>
      </c>
      <c r="G29" s="156">
        <v>0.2</v>
      </c>
      <c r="I29" s="156" t="s">
        <v>52</v>
      </c>
      <c r="J29" s="156">
        <v>7</v>
      </c>
      <c r="K29" s="156">
        <f t="shared" si="23"/>
        <v>2017</v>
      </c>
      <c r="N29" s="157">
        <f>74310.77+36333.87</f>
        <v>110644.64000000001</v>
      </c>
      <c r="P29" s="157">
        <f t="shared" ref="P29:P47" si="24">N29-N29*G29</f>
        <v>88515.712000000014</v>
      </c>
      <c r="Q29" s="157">
        <f t="shared" si="2"/>
        <v>1053.7584761904764</v>
      </c>
      <c r="R29" s="157">
        <f t="shared" ref="R29:R47" si="25">IF(O29&gt;0,0,IF(OR(AD29&gt;AE29,AF29&lt;AG29),0,IF(AND(AF29&gt;=AG29,AF29&lt;=AE29),Q29*((AF29-AG29)*12),IF(AND(AG29&lt;=AD29,AE29&gt;=AD29),((AE29-AD29)*12)*Q29,IF(AF29&gt;AE29,12*Q29,0)))))</f>
        <v>12645.101714285716</v>
      </c>
      <c r="S29" s="157">
        <f t="shared" ref="S29:S47" si="26">IF(O29=0,0,IF(AND(AH29&gt;=AG29,AH29&lt;=AF29),((AH29-AG29)*12)*Q29,0))</f>
        <v>0</v>
      </c>
      <c r="T29" s="157">
        <f t="shared" ref="T29:T47" si="27">IF(S29&gt;0,S29,R29)</f>
        <v>12645.101714285716</v>
      </c>
      <c r="U29" s="157">
        <v>1</v>
      </c>
      <c r="V29" s="157">
        <f t="shared" ref="V29:V47" si="28">U29*SUM(R29:S29)</f>
        <v>12645.101714285716</v>
      </c>
      <c r="X29" s="157">
        <f t="shared" ref="X29:X47" si="29">IF(AD29&gt;AE29,0,IF(AF29&lt;AG29,P29,IF(AND(AF29&gt;=AG29,AF29&lt;=AE29),(P29-T29),IF(AND(AG29&lt;=AD29,AE29&gt;=AD29),0,IF(AF29&gt;AE29,((AG29-AD29)*12)*Q29,0)))))</f>
        <v>73763.093333332392</v>
      </c>
      <c r="Y29" s="157">
        <f t="shared" ref="Y29:Y47" si="30">X29*U29</f>
        <v>73763.093333332392</v>
      </c>
      <c r="Z29" s="157">
        <v>1</v>
      </c>
      <c r="AA29" s="157">
        <f t="shared" si="9"/>
        <v>73763.093333332392</v>
      </c>
      <c r="AB29" s="157">
        <f t="shared" si="10"/>
        <v>86408.195047618108</v>
      </c>
      <c r="AC29" s="157">
        <f t="shared" ref="AC29:AC47" si="31">IF(O29&gt;0,(N29-AA29)/2,IF(AD29&gt;=AG29,(((N29*U29)*Z29)-AB29)/2,((((N29*U29)*Z29)-AA29)+(((N29*U29)*Z29)-AB29))/2))</f>
        <v>30558.995809524764</v>
      </c>
      <c r="AD29" s="157">
        <f t="shared" si="15"/>
        <v>2010.1666666666667</v>
      </c>
      <c r="AE29" s="157">
        <f t="shared" ref="AE29:AE47" si="32">($P$5+1)-($P$2/12)</f>
        <v>2017</v>
      </c>
      <c r="AF29" s="157">
        <f t="shared" si="16"/>
        <v>2017.1666666666667</v>
      </c>
      <c r="AG29" s="157">
        <f t="shared" ref="AG29:AG47" si="33">$P$4+($P$3/12)</f>
        <v>2016</v>
      </c>
      <c r="AH29" s="157">
        <f t="shared" si="14"/>
        <v>-8.3333333333333329E-2</v>
      </c>
    </row>
    <row r="30" spans="1:34">
      <c r="D30" s="156" t="s">
        <v>212</v>
      </c>
      <c r="E30" s="156">
        <v>2010</v>
      </c>
      <c r="F30" s="156">
        <v>7</v>
      </c>
      <c r="G30" s="156">
        <v>0.2</v>
      </c>
      <c r="I30" s="156" t="s">
        <v>52</v>
      </c>
      <c r="J30" s="156">
        <v>7</v>
      </c>
      <c r="K30" s="156">
        <f>E30+J30</f>
        <v>2017</v>
      </c>
      <c r="N30" s="157">
        <v>164438</v>
      </c>
      <c r="P30" s="157">
        <f>N30-N30*G30</f>
        <v>131550.39999999999</v>
      </c>
      <c r="Q30" s="157">
        <f>P30/J30/12</f>
        <v>1566.0761904761903</v>
      </c>
      <c r="R30" s="157">
        <f>IF(O30&gt;0,0,IF(OR(AD30&gt;AE30,AF30&lt;AG30),0,IF(AND(AF30&gt;=AG30,AF30&lt;=AE30),Q30*((AF30-AG30)*12),IF(AND(AG30&lt;=AD30,AE30&gt;=AD30),((AE30-AD30)*12)*Q30,IF(AF30&gt;AE30,12*Q30,0)))))</f>
        <v>18792.914285714283</v>
      </c>
      <c r="S30" s="157">
        <f>IF(O30=0,0,IF(AND(AH30&gt;=AG30,AH30&lt;=AF30),((AH30-AG30)*12)*Q30,0))</f>
        <v>0</v>
      </c>
      <c r="T30" s="157">
        <f>IF(S30&gt;0,S30,R30)</f>
        <v>18792.914285714283</v>
      </c>
      <c r="U30" s="157">
        <v>1</v>
      </c>
      <c r="V30" s="157">
        <f>U30*SUM(R30:S30)</f>
        <v>18792.914285714283</v>
      </c>
      <c r="X30" s="157">
        <f>IF(AD30&gt;AE30,0,IF(AF30&lt;AG30,P30,IF(AND(AF30&gt;=AG30,AF30&lt;=AE30),(P30-T30),IF(AND(AG30&lt;=AD30,AE30&gt;=AD30),0,IF(AF30&gt;AE30,((AG30-AD30)*12)*Q30,0)))))</f>
        <v>103361.02857142856</v>
      </c>
      <c r="Y30" s="157">
        <f>X30*U30</f>
        <v>103361.02857142856</v>
      </c>
      <c r="Z30" s="157">
        <v>1</v>
      </c>
      <c r="AA30" s="157">
        <f>Y30*Z30</f>
        <v>103361.02857142856</v>
      </c>
      <c r="AB30" s="157">
        <f>IF(O30&gt;0,0,AA30+V30*Z30)*Z30</f>
        <v>122153.94285714284</v>
      </c>
      <c r="AC30" s="157">
        <f>IF(O30&gt;0,(N30-AA30)/2,IF(AD30&gt;=AG30,(((N30*U30)*Z30)-AB30)/2,((((N30*U30)*Z30)-AA30)+(((N30*U30)*Z30)-AB30))/2))</f>
        <v>51680.5142857143</v>
      </c>
      <c r="AD30" s="157">
        <f t="shared" si="15"/>
        <v>2010.5</v>
      </c>
      <c r="AE30" s="157">
        <f t="shared" si="32"/>
        <v>2017</v>
      </c>
      <c r="AF30" s="157">
        <f t="shared" si="16"/>
        <v>2017.5</v>
      </c>
      <c r="AG30" s="157">
        <f t="shared" si="33"/>
        <v>2016</v>
      </c>
      <c r="AH30" s="157">
        <f t="shared" si="14"/>
        <v>-8.3333333333333329E-2</v>
      </c>
    </row>
    <row r="31" spans="1:34">
      <c r="C31" s="156">
        <v>6</v>
      </c>
      <c r="D31" s="156" t="s">
        <v>213</v>
      </c>
      <c r="E31" s="156">
        <v>2010</v>
      </c>
      <c r="F31" s="156">
        <v>8</v>
      </c>
      <c r="G31" s="156">
        <v>0.2</v>
      </c>
      <c r="I31" s="156" t="s">
        <v>52</v>
      </c>
      <c r="J31" s="156">
        <v>7</v>
      </c>
      <c r="K31" s="156">
        <f>E31+J31</f>
        <v>2017</v>
      </c>
      <c r="N31" s="157">
        <v>3359.46</v>
      </c>
      <c r="P31" s="157">
        <f>N31-N31*G31</f>
        <v>2687.5680000000002</v>
      </c>
      <c r="Q31" s="157">
        <f>P31/J31/12</f>
        <v>31.994857142857146</v>
      </c>
      <c r="R31" s="157">
        <f>IF(O31&gt;0,0,IF(OR(AD31&gt;AE31,AF31&lt;AG31),0,IF(AND(AF31&gt;=AG31,AF31&lt;=AE31),Q31*((AF31-AG31)*12),IF(AND(AG31&lt;=AD31,AE31&gt;=AD31),((AE31-AD31)*12)*Q31,IF(AF31&gt;AE31,12*Q31,0)))))</f>
        <v>383.93828571428577</v>
      </c>
      <c r="S31" s="157">
        <f>IF(O31=0,0,IF(AND(AH31&gt;=AG31,AH31&lt;=AF31),((AH31-AG31)*12)*Q31,0))</f>
        <v>0</v>
      </c>
      <c r="T31" s="157">
        <f>IF(S31&gt;0,S31,R31)</f>
        <v>383.93828571428577</v>
      </c>
      <c r="U31" s="157">
        <v>1</v>
      </c>
      <c r="V31" s="157">
        <f>U31*SUM(R31:S31)</f>
        <v>383.93828571428577</v>
      </c>
      <c r="X31" s="157">
        <f>IF(AD31&gt;AE31,0,IF(AF31&lt;AG31,P31,IF(AND(AF31&gt;=AG31,AF31&lt;=AE31),(P31-T31),IF(AND(AG31&lt;=AD31,AE31&gt;=AD31),0,IF(AF31&gt;AE31,((AG31-AD31)*12)*Q31,0)))))</f>
        <v>2079.6657142857434</v>
      </c>
      <c r="Y31" s="157">
        <f>X31*U31</f>
        <v>2079.6657142857434</v>
      </c>
      <c r="Z31" s="157">
        <v>1</v>
      </c>
      <c r="AA31" s="157">
        <f>Y31*Z31</f>
        <v>2079.6657142857434</v>
      </c>
      <c r="AB31" s="157">
        <f>IF(O31&gt;0,0,AA31+V31*Z31)*Z31</f>
        <v>2463.6040000000294</v>
      </c>
      <c r="AC31" s="157">
        <f>IF(O31&gt;0,(N31-AA31)/2,IF(AD31&gt;=AG31,(((N31*U31)*Z31)-AB31)/2,((((N31*U31)*Z31)-AA31)+(((N31*U31)*Z31)-AB31))/2))</f>
        <v>1087.8251428571136</v>
      </c>
      <c r="AD31" s="157">
        <f t="shared" si="15"/>
        <v>2010.5833333333333</v>
      </c>
      <c r="AE31" s="157">
        <f t="shared" si="32"/>
        <v>2017</v>
      </c>
      <c r="AF31" s="157">
        <f t="shared" si="16"/>
        <v>2017.5833333333333</v>
      </c>
      <c r="AG31" s="157">
        <f t="shared" si="33"/>
        <v>2016</v>
      </c>
      <c r="AH31" s="157">
        <f t="shared" si="14"/>
        <v>-8.3333333333333329E-2</v>
      </c>
    </row>
    <row r="32" spans="1:34">
      <c r="A32" s="156">
        <v>75741</v>
      </c>
      <c r="C32" s="156" t="s">
        <v>229</v>
      </c>
      <c r="D32" s="156" t="s">
        <v>230</v>
      </c>
      <c r="E32" s="156">
        <v>2010</v>
      </c>
      <c r="F32" s="156">
        <v>12</v>
      </c>
      <c r="G32" s="156">
        <v>0.33</v>
      </c>
      <c r="I32" s="156" t="s">
        <v>52</v>
      </c>
      <c r="J32" s="156">
        <v>5</v>
      </c>
      <c r="K32" s="156">
        <f>E32+J32</f>
        <v>2015</v>
      </c>
      <c r="N32" s="157">
        <v>19869.43</v>
      </c>
      <c r="P32" s="157">
        <f>N32-N32*G32</f>
        <v>13312.518100000001</v>
      </c>
      <c r="Q32" s="157">
        <f>P32/J32/12</f>
        <v>221.8753016666667</v>
      </c>
      <c r="R32" s="157">
        <f>IF(O32&gt;0,0,IF(OR(AD32&gt;AE32,AF32&lt;AG32),0,IF(AND(AF32&gt;=AG32,AF32&lt;=AE32),Q32*((AF32-AG32)*12),IF(AND(AG32&lt;=AD32,AE32&gt;=AD32),((AE32-AD32)*12)*Q32,IF(AF32&gt;AE32,12*Q32,0)))))</f>
        <v>0</v>
      </c>
      <c r="S32" s="157">
        <f>IF(O32=0,0,IF(AND(AH32&gt;=AG32,AH32&lt;=AF32),((AH32-AG32)*12)*Q32,0))</f>
        <v>0</v>
      </c>
      <c r="T32" s="157">
        <f>IF(S32&gt;0,S32,R32)</f>
        <v>0</v>
      </c>
      <c r="U32" s="157">
        <v>1</v>
      </c>
      <c r="V32" s="157">
        <f>U32*SUM(R32:S32)</f>
        <v>0</v>
      </c>
      <c r="X32" s="157">
        <f>IF(AD32&gt;AE32,0,IF(AF32&lt;AG32,P32,IF(AND(AF32&gt;=AG32,AF32&lt;=AE32),(P32-T32),IF(AND(AG32&lt;=AD32,AE32&gt;=AD32),0,IF(AF32&gt;AE32,((AG32-AD32)*12)*Q32,0)))))</f>
        <v>13312.518100000001</v>
      </c>
      <c r="Y32" s="157">
        <f>X32*U32</f>
        <v>13312.518100000001</v>
      </c>
      <c r="Z32" s="157">
        <v>1</v>
      </c>
      <c r="AA32" s="157">
        <f>Y32*Z32</f>
        <v>13312.518100000001</v>
      </c>
      <c r="AB32" s="157">
        <f>IF(O32&gt;0,0,AA32+V32*Z32)*Z32</f>
        <v>13312.518100000001</v>
      </c>
      <c r="AC32" s="157">
        <f>IF(O32&gt;0,(N32-AA32)/2,IF(AD32&gt;=AG32,(((N32*U32)*Z32)-AB32)/2,((((N32*U32)*Z32)-AA32)+(((N32*U32)*Z32)-AB32))/2))</f>
        <v>6556.9118999999992</v>
      </c>
      <c r="AD32" s="157">
        <f t="shared" si="15"/>
        <v>2010.9166666666667</v>
      </c>
      <c r="AE32" s="157">
        <f t="shared" si="32"/>
        <v>2017</v>
      </c>
      <c r="AF32" s="157">
        <f t="shared" si="16"/>
        <v>2015.9166666666667</v>
      </c>
      <c r="AG32" s="157">
        <f t="shared" si="33"/>
        <v>2016</v>
      </c>
      <c r="AH32" s="157">
        <f t="shared" si="14"/>
        <v>-8.3333333333333329E-2</v>
      </c>
    </row>
    <row r="33" spans="1:34">
      <c r="C33" s="156">
        <v>6</v>
      </c>
      <c r="D33" s="156" t="s">
        <v>213</v>
      </c>
      <c r="E33" s="156">
        <v>2011</v>
      </c>
      <c r="F33" s="156">
        <v>1</v>
      </c>
      <c r="G33" s="156">
        <v>0.2</v>
      </c>
      <c r="I33" s="156" t="s">
        <v>52</v>
      </c>
      <c r="J33" s="156">
        <v>7</v>
      </c>
      <c r="K33" s="156">
        <f>E33+J33</f>
        <v>2018</v>
      </c>
      <c r="N33" s="157">
        <f>6260.49-2845.68</f>
        <v>3414.81</v>
      </c>
      <c r="P33" s="157">
        <f>N33-N33*G33</f>
        <v>2731.848</v>
      </c>
      <c r="Q33" s="157">
        <f>P33/J33/12</f>
        <v>32.521999999999998</v>
      </c>
      <c r="R33" s="157">
        <f>IF(O33&gt;0,0,IF(OR(AD33&gt;AE33,AF33&lt;AG33),0,IF(AND(AF33&gt;=AG33,AF33&lt;=AE33),Q33*((AF33-AG33)*12),IF(AND(AG33&lt;=AD33,AE33&gt;=AD33),((AE33-AD33)*12)*Q33,IF(AF33&gt;AE33,12*Q33,0)))))</f>
        <v>390.26400000000001</v>
      </c>
      <c r="S33" s="157">
        <f>IF(O33=0,0,IF(AND(AH33&gt;=AG33,AH33&lt;=AF33),((AH33-AG33)*12)*Q33,0))</f>
        <v>0</v>
      </c>
      <c r="T33" s="157">
        <f>IF(S33&gt;0,S33,R33)</f>
        <v>390.26400000000001</v>
      </c>
      <c r="U33" s="157">
        <v>1</v>
      </c>
      <c r="V33" s="157">
        <f>U33*SUM(R33:S33)</f>
        <v>390.26400000000001</v>
      </c>
      <c r="X33" s="157">
        <f>IF(AD33&gt;AE33,0,IF(AF33&lt;AG33,P33,IF(AND(AF33&gt;=AG33,AF33&lt;=AE33),(P33-T33),IF(AND(AG33&lt;=AD33,AE33&gt;=AD33),0,IF(AF33&gt;AE33,((AG33-AD33)*12)*Q33,0)))))</f>
        <v>1951.32</v>
      </c>
      <c r="Y33" s="157">
        <f>X33*U33</f>
        <v>1951.32</v>
      </c>
      <c r="Z33" s="157">
        <v>1</v>
      </c>
      <c r="AA33" s="157">
        <f>Y33*Z33</f>
        <v>1951.32</v>
      </c>
      <c r="AB33" s="157">
        <f>IF(O33&gt;0,0,AA33+V33*Z33)*Z33</f>
        <v>2341.5839999999998</v>
      </c>
      <c r="AC33" s="157">
        <f>IF(O33&gt;0,(N33-AA33)/2,IF(AD33&gt;=AG33,(((N33*U33)*Z33)-AB33)/2,((((N33*U33)*Z33)-AA33)+(((N33*U33)*Z33)-AB33))/2))</f>
        <v>1268.3580000000002</v>
      </c>
      <c r="AD33" s="157">
        <f t="shared" si="15"/>
        <v>2011</v>
      </c>
      <c r="AE33" s="157">
        <f t="shared" si="32"/>
        <v>2017</v>
      </c>
      <c r="AF33" s="157">
        <f t="shared" si="16"/>
        <v>2018</v>
      </c>
      <c r="AG33" s="157">
        <f t="shared" si="33"/>
        <v>2016</v>
      </c>
      <c r="AH33" s="157">
        <f t="shared" si="14"/>
        <v>-8.3333333333333329E-2</v>
      </c>
    </row>
    <row r="34" spans="1:34">
      <c r="C34" s="156">
        <v>604</v>
      </c>
      <c r="D34" s="156" t="s">
        <v>158</v>
      </c>
      <c r="E34" s="156">
        <v>2011</v>
      </c>
      <c r="F34" s="156">
        <v>5</v>
      </c>
      <c r="I34" s="156" t="s">
        <v>52</v>
      </c>
      <c r="J34" s="156">
        <v>3</v>
      </c>
      <c r="K34" s="156">
        <f t="shared" si="23"/>
        <v>2014</v>
      </c>
      <c r="N34" s="157">
        <v>7769.76</v>
      </c>
      <c r="P34" s="157">
        <f t="shared" si="24"/>
        <v>7769.76</v>
      </c>
      <c r="Q34" s="157">
        <f t="shared" si="2"/>
        <v>215.82666666666668</v>
      </c>
      <c r="R34" s="157">
        <f t="shared" si="25"/>
        <v>0</v>
      </c>
      <c r="S34" s="157">
        <f t="shared" si="26"/>
        <v>0</v>
      </c>
      <c r="T34" s="157">
        <f t="shared" si="27"/>
        <v>0</v>
      </c>
      <c r="U34" s="157">
        <v>1</v>
      </c>
      <c r="V34" s="157">
        <f t="shared" si="28"/>
        <v>0</v>
      </c>
      <c r="X34" s="157">
        <f t="shared" si="29"/>
        <v>7769.76</v>
      </c>
      <c r="Y34" s="157">
        <f t="shared" si="30"/>
        <v>7769.76</v>
      </c>
      <c r="Z34" s="157">
        <v>1</v>
      </c>
      <c r="AA34" s="157">
        <f t="shared" si="9"/>
        <v>7769.76</v>
      </c>
      <c r="AB34" s="157">
        <f t="shared" si="10"/>
        <v>7769.76</v>
      </c>
      <c r="AC34" s="157">
        <f t="shared" si="31"/>
        <v>0</v>
      </c>
      <c r="AD34" s="157">
        <f t="shared" si="15"/>
        <v>2011.3333333333333</v>
      </c>
      <c r="AE34" s="157">
        <f t="shared" si="32"/>
        <v>2017</v>
      </c>
      <c r="AF34" s="157">
        <f t="shared" si="16"/>
        <v>2014.3333333333333</v>
      </c>
      <c r="AG34" s="157">
        <f t="shared" si="33"/>
        <v>2016</v>
      </c>
      <c r="AH34" s="157">
        <f t="shared" si="14"/>
        <v>-8.3333333333333329E-2</v>
      </c>
    </row>
    <row r="35" spans="1:34">
      <c r="A35" s="156">
        <v>88717</v>
      </c>
      <c r="B35" s="156" t="s">
        <v>54</v>
      </c>
      <c r="C35" s="156">
        <v>151</v>
      </c>
      <c r="D35" s="156" t="s">
        <v>220</v>
      </c>
      <c r="E35" s="156">
        <v>2011</v>
      </c>
      <c r="F35" s="156">
        <v>12</v>
      </c>
      <c r="G35" s="156">
        <v>0.2</v>
      </c>
      <c r="I35" s="156" t="s">
        <v>52</v>
      </c>
      <c r="J35" s="156">
        <v>7</v>
      </c>
      <c r="K35" s="156">
        <f t="shared" si="23"/>
        <v>2018</v>
      </c>
      <c r="N35" s="157">
        <v>105733.19</v>
      </c>
      <c r="P35" s="157">
        <f t="shared" si="24"/>
        <v>84586.551999999996</v>
      </c>
      <c r="Q35" s="157">
        <f t="shared" si="2"/>
        <v>1006.9827619047619</v>
      </c>
      <c r="R35" s="157">
        <f t="shared" si="25"/>
        <v>12083.793142857143</v>
      </c>
      <c r="S35" s="157">
        <f t="shared" si="26"/>
        <v>0</v>
      </c>
      <c r="T35" s="157">
        <f t="shared" si="27"/>
        <v>12083.793142857143</v>
      </c>
      <c r="U35" s="157">
        <v>1</v>
      </c>
      <c r="V35" s="157">
        <f t="shared" si="28"/>
        <v>12083.793142857143</v>
      </c>
      <c r="X35" s="157">
        <f t="shared" si="29"/>
        <v>49342.155333332419</v>
      </c>
      <c r="Y35" s="157">
        <f t="shared" si="30"/>
        <v>49342.155333332419</v>
      </c>
      <c r="Z35" s="157">
        <v>1</v>
      </c>
      <c r="AA35" s="157">
        <f t="shared" si="9"/>
        <v>49342.155333332419</v>
      </c>
      <c r="AB35" s="157">
        <f t="shared" si="10"/>
        <v>61425.948476189558</v>
      </c>
      <c r="AC35" s="157">
        <f t="shared" si="31"/>
        <v>50349.138095239017</v>
      </c>
      <c r="AD35" s="157">
        <f t="shared" si="15"/>
        <v>2011.9166666666667</v>
      </c>
      <c r="AE35" s="157">
        <f t="shared" si="32"/>
        <v>2017</v>
      </c>
      <c r="AF35" s="157">
        <f t="shared" si="16"/>
        <v>2018.9166666666667</v>
      </c>
      <c r="AG35" s="157">
        <f t="shared" si="33"/>
        <v>2016</v>
      </c>
      <c r="AH35" s="157">
        <f t="shared" si="14"/>
        <v>-8.3333333333333329E-2</v>
      </c>
    </row>
    <row r="36" spans="1:34">
      <c r="A36" s="156">
        <v>89625</v>
      </c>
      <c r="B36" s="156" t="s">
        <v>55</v>
      </c>
      <c r="C36" s="156">
        <v>908</v>
      </c>
      <c r="D36" s="156" t="s">
        <v>207</v>
      </c>
      <c r="E36" s="156">
        <v>2011</v>
      </c>
      <c r="F36" s="156">
        <v>12</v>
      </c>
      <c r="G36" s="156">
        <v>0.2</v>
      </c>
      <c r="I36" s="156" t="s">
        <v>52</v>
      </c>
      <c r="J36" s="156">
        <v>7</v>
      </c>
      <c r="K36" s="156">
        <f t="shared" si="23"/>
        <v>2018</v>
      </c>
      <c r="N36" s="157">
        <v>284650.25</v>
      </c>
      <c r="P36" s="157">
        <f t="shared" si="24"/>
        <v>227720.2</v>
      </c>
      <c r="Q36" s="157">
        <f t="shared" si="2"/>
        <v>2710.9547619047621</v>
      </c>
      <c r="R36" s="157">
        <f t="shared" si="25"/>
        <v>32531.457142857143</v>
      </c>
      <c r="S36" s="157">
        <f t="shared" si="26"/>
        <v>0</v>
      </c>
      <c r="T36" s="157">
        <f t="shared" si="27"/>
        <v>32531.457142857143</v>
      </c>
      <c r="U36" s="157">
        <v>1</v>
      </c>
      <c r="V36" s="157">
        <f t="shared" si="28"/>
        <v>32531.457142857143</v>
      </c>
      <c r="X36" s="157">
        <f t="shared" si="29"/>
        <v>132836.78333333088</v>
      </c>
      <c r="Y36" s="157">
        <f t="shared" si="30"/>
        <v>132836.78333333088</v>
      </c>
      <c r="Z36" s="157">
        <v>1</v>
      </c>
      <c r="AA36" s="157">
        <f t="shared" si="9"/>
        <v>132836.78333333088</v>
      </c>
      <c r="AB36" s="157">
        <f t="shared" si="10"/>
        <v>165368.24047618802</v>
      </c>
      <c r="AC36" s="157">
        <f t="shared" si="31"/>
        <v>135547.73809524055</v>
      </c>
      <c r="AD36" s="157">
        <f t="shared" si="15"/>
        <v>2011.9166666666667</v>
      </c>
      <c r="AE36" s="157">
        <f t="shared" si="32"/>
        <v>2017</v>
      </c>
      <c r="AF36" s="157">
        <f t="shared" si="16"/>
        <v>2018.9166666666667</v>
      </c>
      <c r="AG36" s="157">
        <f t="shared" si="33"/>
        <v>2016</v>
      </c>
      <c r="AH36" s="157">
        <f t="shared" si="14"/>
        <v>-8.3333333333333329E-2</v>
      </c>
    </row>
    <row r="37" spans="1:34">
      <c r="A37" s="156">
        <v>90949</v>
      </c>
      <c r="B37" s="156" t="s">
        <v>54</v>
      </c>
      <c r="C37" s="156">
        <v>626</v>
      </c>
      <c r="D37" s="156" t="s">
        <v>228</v>
      </c>
      <c r="E37" s="156">
        <v>2011</v>
      </c>
      <c r="F37" s="156">
        <v>12</v>
      </c>
      <c r="G37" s="156">
        <v>0.2</v>
      </c>
      <c r="I37" s="156" t="s">
        <v>52</v>
      </c>
      <c r="J37" s="156">
        <v>7</v>
      </c>
      <c r="K37" s="156">
        <f t="shared" si="23"/>
        <v>2018</v>
      </c>
      <c r="N37" s="157">
        <v>247726.06</v>
      </c>
      <c r="P37" s="157">
        <f t="shared" si="24"/>
        <v>198180.848</v>
      </c>
      <c r="Q37" s="157">
        <f t="shared" si="2"/>
        <v>2359.2958095238096</v>
      </c>
      <c r="R37" s="157">
        <f t="shared" si="25"/>
        <v>28311.549714285713</v>
      </c>
      <c r="S37" s="157">
        <f t="shared" si="26"/>
        <v>0</v>
      </c>
      <c r="T37" s="157">
        <f t="shared" si="27"/>
        <v>28311.549714285713</v>
      </c>
      <c r="U37" s="157">
        <v>1</v>
      </c>
      <c r="V37" s="157">
        <f t="shared" si="28"/>
        <v>28311.549714285713</v>
      </c>
      <c r="X37" s="157">
        <f t="shared" si="29"/>
        <v>115605.49466666453</v>
      </c>
      <c r="Y37" s="157">
        <f t="shared" si="30"/>
        <v>115605.49466666453</v>
      </c>
      <c r="Z37" s="157">
        <v>1</v>
      </c>
      <c r="AA37" s="157">
        <f t="shared" si="9"/>
        <v>115605.49466666453</v>
      </c>
      <c r="AB37" s="157">
        <f t="shared" si="10"/>
        <v>143917.04438095025</v>
      </c>
      <c r="AC37" s="157">
        <f t="shared" si="31"/>
        <v>117964.79047619262</v>
      </c>
      <c r="AD37" s="157">
        <f t="shared" si="15"/>
        <v>2011.9166666666667</v>
      </c>
      <c r="AE37" s="157">
        <f t="shared" si="32"/>
        <v>2017</v>
      </c>
      <c r="AF37" s="157">
        <f t="shared" si="16"/>
        <v>2018.9166666666667</v>
      </c>
      <c r="AG37" s="157">
        <f t="shared" si="33"/>
        <v>2016</v>
      </c>
      <c r="AH37" s="157">
        <f t="shared" si="14"/>
        <v>-8.3333333333333329E-2</v>
      </c>
    </row>
    <row r="38" spans="1:34">
      <c r="A38" s="156">
        <v>88795</v>
      </c>
      <c r="D38" s="156" t="s">
        <v>224</v>
      </c>
      <c r="E38" s="156">
        <v>2011</v>
      </c>
      <c r="F38" s="156">
        <v>12</v>
      </c>
      <c r="G38" s="156">
        <v>0.2</v>
      </c>
      <c r="I38" s="156" t="s">
        <v>52</v>
      </c>
      <c r="J38" s="156">
        <v>7</v>
      </c>
      <c r="K38" s="156">
        <f t="shared" si="23"/>
        <v>2018</v>
      </c>
      <c r="N38" s="157">
        <v>3830.72</v>
      </c>
      <c r="P38" s="157">
        <f t="shared" si="24"/>
        <v>3064.576</v>
      </c>
      <c r="Q38" s="157">
        <f t="shared" si="2"/>
        <v>36.483047619047618</v>
      </c>
      <c r="R38" s="157">
        <f t="shared" si="25"/>
        <v>437.79657142857138</v>
      </c>
      <c r="S38" s="157">
        <f t="shared" si="26"/>
        <v>0</v>
      </c>
      <c r="T38" s="157">
        <f t="shared" si="27"/>
        <v>437.79657142857138</v>
      </c>
      <c r="U38" s="157">
        <v>1</v>
      </c>
      <c r="V38" s="157">
        <f t="shared" si="28"/>
        <v>437.79657142857138</v>
      </c>
      <c r="X38" s="157">
        <f t="shared" si="29"/>
        <v>1787.6693333333001</v>
      </c>
      <c r="Y38" s="157">
        <f t="shared" si="30"/>
        <v>1787.6693333333001</v>
      </c>
      <c r="Z38" s="157">
        <v>1</v>
      </c>
      <c r="AA38" s="157">
        <f t="shared" si="9"/>
        <v>1787.6693333333001</v>
      </c>
      <c r="AB38" s="157">
        <f t="shared" si="10"/>
        <v>2225.4659047618716</v>
      </c>
      <c r="AC38" s="157">
        <f t="shared" si="31"/>
        <v>1824.152380952414</v>
      </c>
      <c r="AD38" s="157">
        <f t="shared" si="15"/>
        <v>2011.9166666666667</v>
      </c>
      <c r="AE38" s="157">
        <f t="shared" si="32"/>
        <v>2017</v>
      </c>
      <c r="AF38" s="157">
        <f t="shared" si="16"/>
        <v>2018.9166666666667</v>
      </c>
      <c r="AG38" s="157">
        <f t="shared" si="33"/>
        <v>2016</v>
      </c>
      <c r="AH38" s="157">
        <f t="shared" si="14"/>
        <v>-8.3333333333333329E-2</v>
      </c>
    </row>
    <row r="39" spans="1:34">
      <c r="A39" s="156">
        <v>120152</v>
      </c>
      <c r="B39" s="156" t="s">
        <v>88</v>
      </c>
      <c r="C39" s="156">
        <v>910</v>
      </c>
      <c r="D39" s="156" t="s">
        <v>366</v>
      </c>
      <c r="E39" s="156">
        <v>2013</v>
      </c>
      <c r="F39" s="156">
        <v>1</v>
      </c>
      <c r="G39" s="156">
        <v>0.2</v>
      </c>
      <c r="I39" s="156" t="s">
        <v>52</v>
      </c>
      <c r="J39" s="156">
        <v>7</v>
      </c>
      <c r="K39" s="156">
        <f>E39+J39</f>
        <v>2020</v>
      </c>
      <c r="N39" s="157">
        <f>304502.05+847.67</f>
        <v>305349.71999999997</v>
      </c>
      <c r="P39" s="157">
        <f t="shared" si="24"/>
        <v>244279.77599999998</v>
      </c>
      <c r="Q39" s="157">
        <f t="shared" si="2"/>
        <v>2908.0925714285713</v>
      </c>
      <c r="R39" s="157">
        <f t="shared" si="25"/>
        <v>34897.110857142856</v>
      </c>
      <c r="S39" s="157">
        <f t="shared" si="26"/>
        <v>0</v>
      </c>
      <c r="T39" s="157">
        <f t="shared" si="27"/>
        <v>34897.110857142856</v>
      </c>
      <c r="U39" s="157">
        <v>1</v>
      </c>
      <c r="V39" s="157">
        <f t="shared" si="28"/>
        <v>34897.110857142856</v>
      </c>
      <c r="X39" s="157">
        <f t="shared" si="29"/>
        <v>104691.33257142856</v>
      </c>
      <c r="Y39" s="157">
        <f t="shared" si="30"/>
        <v>104691.33257142856</v>
      </c>
      <c r="Z39" s="157">
        <v>1</v>
      </c>
      <c r="AA39" s="157">
        <f t="shared" si="9"/>
        <v>104691.33257142856</v>
      </c>
      <c r="AB39" s="157">
        <f t="shared" si="10"/>
        <v>139588.44342857142</v>
      </c>
      <c r="AC39" s="157">
        <f t="shared" si="31"/>
        <v>183209.83199999999</v>
      </c>
      <c r="AD39" s="157">
        <f>$E39+(($F39-1)/12)</f>
        <v>2013</v>
      </c>
      <c r="AE39" s="157">
        <f t="shared" si="32"/>
        <v>2017</v>
      </c>
      <c r="AF39" s="157">
        <f>$K39+(($F39-1)/12)</f>
        <v>2020</v>
      </c>
      <c r="AG39" s="157">
        <f t="shared" si="33"/>
        <v>2016</v>
      </c>
      <c r="AH39" s="157">
        <f>$L39+(($M39-1)/12)</f>
        <v>-8.3333333333333329E-2</v>
      </c>
    </row>
    <row r="40" spans="1:34">
      <c r="A40" s="156">
        <v>115352</v>
      </c>
      <c r="C40" s="156">
        <v>606</v>
      </c>
      <c r="D40" s="156" t="s">
        <v>313</v>
      </c>
      <c r="E40" s="156">
        <v>2014</v>
      </c>
      <c r="F40" s="156">
        <v>7</v>
      </c>
      <c r="G40" s="156">
        <v>0</v>
      </c>
      <c r="I40" s="156" t="s">
        <v>52</v>
      </c>
      <c r="J40" s="156">
        <v>3</v>
      </c>
      <c r="K40" s="156">
        <f t="shared" si="23"/>
        <v>2017</v>
      </c>
      <c r="N40" s="157">
        <v>8754.92</v>
      </c>
      <c r="P40" s="157">
        <f t="shared" si="24"/>
        <v>8754.92</v>
      </c>
      <c r="Q40" s="157">
        <f t="shared" si="2"/>
        <v>243.19222222222223</v>
      </c>
      <c r="R40" s="157">
        <f t="shared" si="25"/>
        <v>2918.3066666666668</v>
      </c>
      <c r="S40" s="157">
        <f t="shared" si="26"/>
        <v>0</v>
      </c>
      <c r="T40" s="157">
        <f t="shared" si="27"/>
        <v>2918.3066666666668</v>
      </c>
      <c r="U40" s="157">
        <v>1</v>
      </c>
      <c r="V40" s="157">
        <f t="shared" si="28"/>
        <v>2918.3066666666668</v>
      </c>
      <c r="X40" s="157">
        <f t="shared" si="29"/>
        <v>4377.46</v>
      </c>
      <c r="Y40" s="157">
        <f t="shared" si="30"/>
        <v>4377.46</v>
      </c>
      <c r="Z40" s="157">
        <v>1</v>
      </c>
      <c r="AA40" s="157">
        <f t="shared" si="9"/>
        <v>4377.46</v>
      </c>
      <c r="AB40" s="157">
        <f t="shared" si="10"/>
        <v>7295.7666666666664</v>
      </c>
      <c r="AC40" s="157">
        <f t="shared" si="31"/>
        <v>2918.3066666666668</v>
      </c>
      <c r="AD40" s="157">
        <f t="shared" si="15"/>
        <v>2014.5</v>
      </c>
      <c r="AE40" s="157">
        <f t="shared" si="32"/>
        <v>2017</v>
      </c>
      <c r="AF40" s="157">
        <f t="shared" si="16"/>
        <v>2017.5</v>
      </c>
      <c r="AG40" s="157">
        <f t="shared" si="33"/>
        <v>2016</v>
      </c>
      <c r="AH40" s="157">
        <f t="shared" si="14"/>
        <v>-8.3333333333333329E-2</v>
      </c>
    </row>
    <row r="41" spans="1:34">
      <c r="A41" s="156">
        <v>128795</v>
      </c>
      <c r="C41" s="156">
        <v>143</v>
      </c>
      <c r="D41" s="156" t="s">
        <v>330</v>
      </c>
      <c r="E41" s="156">
        <v>2015</v>
      </c>
      <c r="F41" s="156">
        <v>4</v>
      </c>
      <c r="G41" s="156">
        <v>0</v>
      </c>
      <c r="I41" s="156" t="s">
        <v>52</v>
      </c>
      <c r="J41" s="156">
        <v>3</v>
      </c>
      <c r="K41" s="156">
        <f t="shared" si="23"/>
        <v>2018</v>
      </c>
      <c r="N41" s="157">
        <v>7050.84</v>
      </c>
      <c r="P41" s="157">
        <f t="shared" si="24"/>
        <v>7050.84</v>
      </c>
      <c r="Q41" s="157">
        <f t="shared" si="2"/>
        <v>195.85666666666668</v>
      </c>
      <c r="R41" s="157">
        <f t="shared" si="25"/>
        <v>2350.2800000000002</v>
      </c>
      <c r="S41" s="157">
        <f t="shared" si="26"/>
        <v>0</v>
      </c>
      <c r="T41" s="157">
        <f t="shared" si="27"/>
        <v>2350.2800000000002</v>
      </c>
      <c r="U41" s="157">
        <v>1</v>
      </c>
      <c r="V41" s="157">
        <f t="shared" si="28"/>
        <v>2350.2800000000002</v>
      </c>
      <c r="X41" s="157">
        <f t="shared" si="29"/>
        <v>1762.71</v>
      </c>
      <c r="Y41" s="157">
        <f t="shared" si="30"/>
        <v>1762.71</v>
      </c>
      <c r="Z41" s="157">
        <v>1</v>
      </c>
      <c r="AA41" s="157">
        <f t="shared" si="9"/>
        <v>1762.71</v>
      </c>
      <c r="AB41" s="157">
        <f t="shared" si="10"/>
        <v>4112.99</v>
      </c>
      <c r="AC41" s="157">
        <f t="shared" si="31"/>
        <v>4112.99</v>
      </c>
      <c r="AD41" s="157">
        <f t="shared" si="15"/>
        <v>2015.25</v>
      </c>
      <c r="AE41" s="157">
        <f t="shared" si="32"/>
        <v>2017</v>
      </c>
      <c r="AF41" s="157">
        <f t="shared" si="16"/>
        <v>2018.25</v>
      </c>
      <c r="AG41" s="157">
        <f t="shared" si="33"/>
        <v>2016</v>
      </c>
      <c r="AH41" s="157">
        <f t="shared" si="14"/>
        <v>-8.3333333333333329E-2</v>
      </c>
    </row>
    <row r="42" spans="1:34">
      <c r="A42" s="156" t="s">
        <v>419</v>
      </c>
      <c r="D42" s="156" t="s">
        <v>420</v>
      </c>
      <c r="E42" s="156">
        <v>2016</v>
      </c>
      <c r="F42" s="156">
        <v>3</v>
      </c>
      <c r="G42" s="156">
        <v>0</v>
      </c>
      <c r="I42" s="156" t="s">
        <v>52</v>
      </c>
      <c r="J42" s="156">
        <v>1</v>
      </c>
      <c r="K42" s="156">
        <f t="shared" si="23"/>
        <v>2017</v>
      </c>
      <c r="N42" s="157">
        <f>(25892.28+23056.62)/104*22</f>
        <v>10354.574999999999</v>
      </c>
      <c r="P42" s="157">
        <f>N42-N42*G42</f>
        <v>10354.574999999999</v>
      </c>
      <c r="Q42" s="157">
        <f>P42/J42/12</f>
        <v>862.88124999999991</v>
      </c>
      <c r="R42" s="157">
        <f>IF(O42&gt;0,0,IF(OR(AD42&gt;AE42,AF42&lt;AG42),0,IF(AND(AF42&gt;=AG42,AF42&lt;=AE42),Q42*((AF42-AG42)*12),IF(AND(AG42&lt;=AD42,AE42&gt;=AD42),((AE42-AD42)*12)*Q42,IF(AF42&gt;AE42,12*Q42,0)))))</f>
        <v>8628.8124999992142</v>
      </c>
      <c r="S42" s="157">
        <f>IF(O42=0,0,IF(AND(AH42&gt;=AG42,AH42&lt;=AF42),((AH42-AG42)*12)*Q42,0))</f>
        <v>0</v>
      </c>
      <c r="T42" s="157">
        <f>IF(S42&gt;0,S42,R42)</f>
        <v>8628.8124999992142</v>
      </c>
      <c r="U42" s="157">
        <v>1</v>
      </c>
      <c r="V42" s="157">
        <f>U42*SUM(R42:S42)</f>
        <v>8628.8124999992142</v>
      </c>
      <c r="X42" s="157">
        <f>IF(AD42&gt;AE42,0,IF(AF42&lt;AG42,P42,IF(AND(AF42&gt;=AG42,AF42&lt;=AE42),(P42-T42),IF(AND(AG42&lt;=AD42,AE42&gt;=AD42),0,IF(AF42&gt;AE42,((AG42-AD42)*12)*Q42,0)))))</f>
        <v>0</v>
      </c>
      <c r="Y42" s="157">
        <f>X42*U42</f>
        <v>0</v>
      </c>
      <c r="Z42" s="157">
        <v>1</v>
      </c>
      <c r="AA42" s="157">
        <f>Y42*Z42</f>
        <v>0</v>
      </c>
      <c r="AB42" s="157">
        <f>IF(O42&gt;0,0,AA42+V42*Z42)*Z42</f>
        <v>8628.8124999992142</v>
      </c>
      <c r="AC42" s="157">
        <f>IF(O42&gt;0,(N42-AA42)/2,IF(AD42&gt;=AG42,(((N42*U42)*Z42)-AB42)/2,((((N42*U42)*Z42)-AA42)+(((N42*U42)*Z42)-AB42))/2))</f>
        <v>862.88125000039236</v>
      </c>
      <c r="AD42" s="157">
        <f t="shared" si="15"/>
        <v>2016.1666666666667</v>
      </c>
      <c r="AE42" s="157">
        <f t="shared" si="32"/>
        <v>2017</v>
      </c>
      <c r="AF42" s="157">
        <f t="shared" si="16"/>
        <v>2017.1666666666667</v>
      </c>
      <c r="AG42" s="157">
        <f t="shared" si="33"/>
        <v>2016</v>
      </c>
      <c r="AH42" s="157">
        <f t="shared" si="14"/>
        <v>-8.3333333333333329E-2</v>
      </c>
    </row>
    <row r="43" spans="1:34">
      <c r="A43" s="156">
        <v>131499</v>
      </c>
      <c r="C43" s="156">
        <v>607</v>
      </c>
      <c r="D43" s="156" t="s">
        <v>389</v>
      </c>
      <c r="E43" s="156">
        <v>2016</v>
      </c>
      <c r="F43" s="156">
        <v>3</v>
      </c>
      <c r="G43" s="156">
        <v>0</v>
      </c>
      <c r="I43" s="156" t="s">
        <v>52</v>
      </c>
      <c r="J43" s="156">
        <v>3</v>
      </c>
      <c r="K43" s="156">
        <f>E43+J43</f>
        <v>2019</v>
      </c>
      <c r="N43" s="157">
        <v>20149.599999999999</v>
      </c>
      <c r="P43" s="157">
        <f t="shared" si="24"/>
        <v>20149.599999999999</v>
      </c>
      <c r="Q43" s="157">
        <f t="shared" si="2"/>
        <v>559.71111111111111</v>
      </c>
      <c r="R43" s="157">
        <f t="shared" si="25"/>
        <v>5597.111111110602</v>
      </c>
      <c r="S43" s="157">
        <f t="shared" si="26"/>
        <v>0</v>
      </c>
      <c r="T43" s="157">
        <f t="shared" si="27"/>
        <v>5597.111111110602</v>
      </c>
      <c r="U43" s="157">
        <v>1</v>
      </c>
      <c r="V43" s="157">
        <f t="shared" si="28"/>
        <v>5597.111111110602</v>
      </c>
      <c r="X43" s="157">
        <f t="shared" si="29"/>
        <v>0</v>
      </c>
      <c r="Y43" s="157">
        <f t="shared" si="30"/>
        <v>0</v>
      </c>
      <c r="Z43" s="157">
        <v>1</v>
      </c>
      <c r="AA43" s="157">
        <f t="shared" si="9"/>
        <v>0</v>
      </c>
      <c r="AB43" s="157">
        <f t="shared" si="10"/>
        <v>5597.111111110602</v>
      </c>
      <c r="AC43" s="157">
        <f t="shared" si="31"/>
        <v>7276.2444444446983</v>
      </c>
      <c r="AD43" s="157">
        <f t="shared" si="15"/>
        <v>2016.1666666666667</v>
      </c>
      <c r="AE43" s="157">
        <f t="shared" si="32"/>
        <v>2017</v>
      </c>
      <c r="AF43" s="157">
        <f t="shared" si="16"/>
        <v>2019.1666666666667</v>
      </c>
      <c r="AG43" s="157">
        <f t="shared" si="33"/>
        <v>2016</v>
      </c>
      <c r="AH43" s="157">
        <f t="shared" si="14"/>
        <v>-8.3333333333333329E-2</v>
      </c>
    </row>
    <row r="44" spans="1:34">
      <c r="A44" s="156">
        <v>131500</v>
      </c>
      <c r="C44" s="156">
        <v>606</v>
      </c>
      <c r="D44" s="156" t="s">
        <v>389</v>
      </c>
      <c r="E44" s="156">
        <v>2016</v>
      </c>
      <c r="F44" s="156">
        <v>3</v>
      </c>
      <c r="G44" s="156">
        <v>0</v>
      </c>
      <c r="I44" s="156" t="s">
        <v>52</v>
      </c>
      <c r="J44" s="156">
        <v>3</v>
      </c>
      <c r="K44" s="156">
        <f>E44+J44</f>
        <v>2019</v>
      </c>
      <c r="N44" s="157">
        <v>20361.07</v>
      </c>
      <c r="P44" s="157">
        <f t="shared" si="24"/>
        <v>20361.07</v>
      </c>
      <c r="Q44" s="157">
        <f t="shared" si="2"/>
        <v>565.58527777777783</v>
      </c>
      <c r="R44" s="157">
        <f t="shared" si="25"/>
        <v>5655.8527777772642</v>
      </c>
      <c r="S44" s="157">
        <f t="shared" si="26"/>
        <v>0</v>
      </c>
      <c r="T44" s="157">
        <f t="shared" si="27"/>
        <v>5655.8527777772642</v>
      </c>
      <c r="U44" s="157">
        <v>1</v>
      </c>
      <c r="V44" s="157">
        <f t="shared" si="28"/>
        <v>5655.8527777772642</v>
      </c>
      <c r="X44" s="157">
        <f t="shared" si="29"/>
        <v>0</v>
      </c>
      <c r="Y44" s="157">
        <f t="shared" si="30"/>
        <v>0</v>
      </c>
      <c r="Z44" s="157">
        <v>1</v>
      </c>
      <c r="AA44" s="157">
        <f t="shared" si="9"/>
        <v>0</v>
      </c>
      <c r="AB44" s="157">
        <f t="shared" si="10"/>
        <v>5655.8527777772642</v>
      </c>
      <c r="AC44" s="157">
        <f t="shared" si="31"/>
        <v>7352.6086111113673</v>
      </c>
      <c r="AD44" s="157">
        <f t="shared" si="15"/>
        <v>2016.1666666666667</v>
      </c>
      <c r="AE44" s="157">
        <f t="shared" si="32"/>
        <v>2017</v>
      </c>
      <c r="AF44" s="157">
        <f t="shared" si="16"/>
        <v>2019.1666666666667</v>
      </c>
      <c r="AG44" s="157">
        <f t="shared" si="33"/>
        <v>2016</v>
      </c>
      <c r="AH44" s="157">
        <f t="shared" si="14"/>
        <v>-8.3333333333333329E-2</v>
      </c>
    </row>
    <row r="45" spans="1:34">
      <c r="A45" s="156">
        <v>132075</v>
      </c>
      <c r="C45" s="156">
        <v>630</v>
      </c>
      <c r="D45" s="156" t="s">
        <v>391</v>
      </c>
      <c r="E45" s="156">
        <v>2016</v>
      </c>
      <c r="F45" s="156">
        <v>3</v>
      </c>
      <c r="G45" s="156">
        <v>0</v>
      </c>
      <c r="I45" s="156" t="s">
        <v>52</v>
      </c>
      <c r="J45" s="156">
        <v>10</v>
      </c>
      <c r="K45" s="156">
        <f>E45+J45</f>
        <v>2026</v>
      </c>
      <c r="N45" s="157">
        <v>287706.76</v>
      </c>
      <c r="P45" s="157">
        <f t="shared" si="24"/>
        <v>287706.76</v>
      </c>
      <c r="Q45" s="157">
        <f t="shared" si="2"/>
        <v>2397.5563333333334</v>
      </c>
      <c r="R45" s="157">
        <f t="shared" si="25"/>
        <v>23975.563333331153</v>
      </c>
      <c r="S45" s="157">
        <f t="shared" si="26"/>
        <v>0</v>
      </c>
      <c r="T45" s="157">
        <f t="shared" si="27"/>
        <v>23975.563333331153</v>
      </c>
      <c r="U45" s="157">
        <v>1</v>
      </c>
      <c r="V45" s="157">
        <f t="shared" si="28"/>
        <v>23975.563333331153</v>
      </c>
      <c r="X45" s="157">
        <f t="shared" si="29"/>
        <v>0</v>
      </c>
      <c r="Y45" s="157">
        <f t="shared" si="30"/>
        <v>0</v>
      </c>
      <c r="Z45" s="157">
        <v>1</v>
      </c>
      <c r="AA45" s="157">
        <f t="shared" si="9"/>
        <v>0</v>
      </c>
      <c r="AB45" s="157">
        <f t="shared" si="10"/>
        <v>23975.563333331153</v>
      </c>
      <c r="AC45" s="157">
        <f t="shared" si="31"/>
        <v>131865.59833333443</v>
      </c>
      <c r="AD45" s="157">
        <f t="shared" si="15"/>
        <v>2016.1666666666667</v>
      </c>
      <c r="AE45" s="157">
        <f t="shared" si="32"/>
        <v>2017</v>
      </c>
      <c r="AF45" s="157">
        <f t="shared" si="16"/>
        <v>2026.1666666666667</v>
      </c>
      <c r="AG45" s="157">
        <f t="shared" si="33"/>
        <v>2016</v>
      </c>
      <c r="AH45" s="157">
        <f t="shared" si="14"/>
        <v>-8.3333333333333329E-2</v>
      </c>
    </row>
    <row r="46" spans="1:34">
      <c r="A46" s="156" t="s">
        <v>407</v>
      </c>
      <c r="C46" s="156" t="s">
        <v>412</v>
      </c>
      <c r="D46" s="156" t="s">
        <v>408</v>
      </c>
      <c r="E46" s="156">
        <v>2016</v>
      </c>
      <c r="F46" s="156">
        <v>11</v>
      </c>
      <c r="G46" s="156">
        <v>0</v>
      </c>
      <c r="I46" s="156" t="s">
        <v>52</v>
      </c>
      <c r="J46" s="156">
        <v>5</v>
      </c>
      <c r="K46" s="156">
        <f>E46+J46</f>
        <v>2021</v>
      </c>
      <c r="N46" s="157">
        <f>34500+632.72</f>
        <v>35132.720000000001</v>
      </c>
      <c r="P46" s="157">
        <f t="shared" si="24"/>
        <v>35132.720000000001</v>
      </c>
      <c r="Q46" s="157">
        <f t="shared" si="2"/>
        <v>585.54533333333336</v>
      </c>
      <c r="R46" s="157">
        <f t="shared" si="25"/>
        <v>1171.0906666671992</v>
      </c>
      <c r="S46" s="157">
        <f t="shared" si="26"/>
        <v>0</v>
      </c>
      <c r="T46" s="157">
        <f t="shared" si="27"/>
        <v>1171.0906666671992</v>
      </c>
      <c r="U46" s="157">
        <v>1</v>
      </c>
      <c r="V46" s="157">
        <f t="shared" si="28"/>
        <v>1171.0906666671992</v>
      </c>
      <c r="X46" s="157">
        <f t="shared" si="29"/>
        <v>0</v>
      </c>
      <c r="Y46" s="157">
        <f t="shared" si="30"/>
        <v>0</v>
      </c>
      <c r="Z46" s="157">
        <v>1</v>
      </c>
      <c r="AA46" s="157">
        <f t="shared" si="9"/>
        <v>0</v>
      </c>
      <c r="AB46" s="157">
        <f t="shared" si="10"/>
        <v>1171.0906666671992</v>
      </c>
      <c r="AC46" s="157">
        <f t="shared" si="31"/>
        <v>16980.8146666664</v>
      </c>
      <c r="AD46" s="157">
        <f t="shared" si="15"/>
        <v>2016.8333333333333</v>
      </c>
      <c r="AE46" s="157">
        <f t="shared" si="32"/>
        <v>2017</v>
      </c>
      <c r="AF46" s="157">
        <f t="shared" si="16"/>
        <v>2021.8333333333333</v>
      </c>
      <c r="AG46" s="157">
        <f t="shared" si="33"/>
        <v>2016</v>
      </c>
      <c r="AH46" s="157">
        <f t="shared" si="14"/>
        <v>-8.3333333333333329E-2</v>
      </c>
    </row>
    <row r="47" spans="1:34">
      <c r="A47" s="156">
        <v>19645</v>
      </c>
      <c r="C47" s="156">
        <v>604</v>
      </c>
      <c r="D47" s="156" t="s">
        <v>158</v>
      </c>
      <c r="E47" s="156">
        <v>2016</v>
      </c>
      <c r="F47" s="156">
        <v>11</v>
      </c>
      <c r="G47" s="156">
        <v>0</v>
      </c>
      <c r="I47" s="156" t="s">
        <v>52</v>
      </c>
      <c r="J47" s="156">
        <v>3</v>
      </c>
      <c r="K47" s="156">
        <f>E47+J47</f>
        <v>2019</v>
      </c>
      <c r="N47" s="157">
        <f>1575+14023.35</f>
        <v>15598.35</v>
      </c>
      <c r="O47" s="157">
        <v>0</v>
      </c>
      <c r="P47" s="157">
        <f t="shared" si="24"/>
        <v>15598.35</v>
      </c>
      <c r="Q47" s="157">
        <f t="shared" si="2"/>
        <v>433.28749999999997</v>
      </c>
      <c r="R47" s="157">
        <f t="shared" si="25"/>
        <v>866.57500000039397</v>
      </c>
      <c r="S47" s="157">
        <f t="shared" si="26"/>
        <v>0</v>
      </c>
      <c r="T47" s="157">
        <f t="shared" si="27"/>
        <v>866.57500000039397</v>
      </c>
      <c r="U47" s="157">
        <v>1</v>
      </c>
      <c r="V47" s="157">
        <f t="shared" si="28"/>
        <v>866.57500000039397</v>
      </c>
      <c r="X47" s="157">
        <f t="shared" si="29"/>
        <v>0</v>
      </c>
      <c r="Y47" s="157">
        <f t="shared" si="30"/>
        <v>0</v>
      </c>
      <c r="Z47" s="157">
        <v>1</v>
      </c>
      <c r="AA47" s="157">
        <f t="shared" si="9"/>
        <v>0</v>
      </c>
      <c r="AB47" s="157">
        <f t="shared" si="10"/>
        <v>866.57500000039397</v>
      </c>
      <c r="AC47" s="157">
        <f t="shared" si="31"/>
        <v>7365.8874999998034</v>
      </c>
      <c r="AD47" s="157">
        <f>$E47+(($F47-1)/12)</f>
        <v>2016.8333333333333</v>
      </c>
      <c r="AE47" s="157">
        <f t="shared" si="32"/>
        <v>2017</v>
      </c>
      <c r="AF47" s="157">
        <f>$K47+(($F47-1)/12)</f>
        <v>2019.8333333333333</v>
      </c>
      <c r="AG47" s="157">
        <f t="shared" si="33"/>
        <v>2016</v>
      </c>
      <c r="AH47" s="157">
        <f t="shared" si="14"/>
        <v>-8.3333333333333329E-2</v>
      </c>
    </row>
    <row r="49" spans="1:34" ht="13.5" thickBot="1">
      <c r="D49" s="156" t="s">
        <v>208</v>
      </c>
      <c r="N49" s="157">
        <f>SUM(N12:N48)</f>
        <v>3507117.4050000003</v>
      </c>
      <c r="P49" s="157">
        <f>SUM(P12:P48)</f>
        <v>2887994.7030999996</v>
      </c>
      <c r="Q49" s="157">
        <f>SUM(Q12:Q48)</f>
        <v>35771.684686587301</v>
      </c>
      <c r="R49" s="157">
        <f>SUM(R12:R48)</f>
        <v>198627.54405555091</v>
      </c>
      <c r="S49" s="157">
        <f>SUM(S12:S24)</f>
        <v>0</v>
      </c>
      <c r="T49" s="157">
        <f>SUM(T12:T24)</f>
        <v>0</v>
      </c>
      <c r="V49" s="157">
        <f>SUM(V12:V48)</f>
        <v>198627.54405555091</v>
      </c>
      <c r="X49" s="157">
        <f>SUM(X12:X18)</f>
        <v>585878.38800000015</v>
      </c>
      <c r="Y49" s="157">
        <f>SUM(Y12:Y18)</f>
        <v>585878.38800000015</v>
      </c>
      <c r="AA49" s="157">
        <f>SUM(AA12:AA48)</f>
        <v>2084137.074671424</v>
      </c>
      <c r="AB49" s="157">
        <f>SUM(AB12:AB48)</f>
        <v>2282764.6187269744</v>
      </c>
      <c r="AC49" s="157">
        <f>SUM(AC12:AC48)</f>
        <v>1129015.0208008008</v>
      </c>
    </row>
    <row r="51" spans="1:34">
      <c r="D51" s="156" t="s">
        <v>182</v>
      </c>
    </row>
    <row r="52" spans="1:34">
      <c r="A52" s="156">
        <v>115434</v>
      </c>
      <c r="B52" s="156" t="s">
        <v>76</v>
      </c>
      <c r="C52" s="156" t="s">
        <v>350</v>
      </c>
      <c r="D52" s="156" t="s">
        <v>314</v>
      </c>
      <c r="E52" s="156">
        <v>1994</v>
      </c>
      <c r="F52" s="156">
        <v>4</v>
      </c>
      <c r="G52" s="156">
        <v>0.2</v>
      </c>
      <c r="I52" s="156" t="s">
        <v>52</v>
      </c>
      <c r="J52" s="156">
        <v>7</v>
      </c>
      <c r="K52" s="156">
        <f>E52+J52</f>
        <v>2001</v>
      </c>
      <c r="N52" s="157">
        <v>18681</v>
      </c>
      <c r="P52" s="157">
        <f>N52-N52*G52</f>
        <v>14944.8</v>
      </c>
      <c r="Q52" s="157">
        <f>P52/J52/12</f>
        <v>177.91428571428571</v>
      </c>
      <c r="R52" s="157">
        <f>IF(O52&gt;0,0,IF(OR(AD52&gt;AE52,AF52&lt;AG52),0,IF(AND(AF52&gt;=AG52,AF52&lt;=AE52),Q52*((AF52-AG52)*12),IF(AND(AG52&lt;=AD52,AE52&gt;=AD52),((AE52-AD52)*12)*Q52,IF(AF52&gt;AE52,12*Q52,0)))))</f>
        <v>0</v>
      </c>
      <c r="S52" s="157">
        <f>IF(O52=0,0,IF(AND(AH52&gt;=AG52,AH52&lt;=AF52),((AH52-AG52)*12)*Q52,0))</f>
        <v>0</v>
      </c>
      <c r="T52" s="157">
        <f>IF(S52&gt;0,S52,R52)</f>
        <v>0</v>
      </c>
      <c r="U52" s="157">
        <v>1</v>
      </c>
      <c r="V52" s="157">
        <f>U52*SUM(R52:S52)</f>
        <v>0</v>
      </c>
      <c r="X52" s="157">
        <f>IF(AD52&gt;AE52,0,IF(AF52&lt;AG52,P52,IF(AND(AF52&gt;=AG52,AF52&lt;=AE52),(P52-T52),IF(AND(AG52&lt;=AD52,AE52&gt;=AD52),0,IF(AF52&gt;AE52,((AG52-AD52)*12)*Q52,0)))))</f>
        <v>14944.8</v>
      </c>
      <c r="Y52" s="157">
        <f>X52*U52</f>
        <v>14944.8</v>
      </c>
      <c r="Z52" s="157">
        <v>1</v>
      </c>
      <c r="AA52" s="157">
        <f>Y52*Z52</f>
        <v>14944.8</v>
      </c>
      <c r="AB52" s="157">
        <f>IF(O52&gt;0,0,AA52+V52*Z52)*Z52</f>
        <v>14944.8</v>
      </c>
      <c r="AC52" s="157">
        <f>IF(O52&gt;0,(N52-AA52)/2,IF(AD52&gt;=AG52,(((N52*U52)*Z52)-AB52)/2,((((N52*U52)*Z52)-AA52)+(((N52*U52)*Z52)-AB52))/2))</f>
        <v>3736.2000000000007</v>
      </c>
      <c r="AD52" s="157">
        <f t="shared" ref="AD52:AD95" si="34">$E52+(($F52-1)/12)</f>
        <v>1994.25</v>
      </c>
      <c r="AE52" s="157">
        <f t="shared" ref="AE52:AE95" si="35">($P$5+1)-($P$2/12)</f>
        <v>2017</v>
      </c>
      <c r="AF52" s="157">
        <f t="shared" ref="AF52:AF95" si="36">$K52+(($F52-1)/12)</f>
        <v>2001.25</v>
      </c>
      <c r="AG52" s="157">
        <f t="shared" ref="AG52:AG95" si="37">$P$4+($P$3/12)</f>
        <v>2016</v>
      </c>
      <c r="AH52" s="157">
        <f t="shared" ref="AH52:AH95" si="38">$L52+(($M52-1)/12)</f>
        <v>-8.3333333333333329E-2</v>
      </c>
    </row>
    <row r="53" spans="1:34">
      <c r="B53" s="156" t="s">
        <v>77</v>
      </c>
      <c r="D53" s="156" t="s">
        <v>80</v>
      </c>
      <c r="E53" s="156">
        <v>1994</v>
      </c>
      <c r="F53" s="156">
        <v>1</v>
      </c>
      <c r="G53" s="156">
        <v>0.2</v>
      </c>
      <c r="I53" s="156" t="s">
        <v>52</v>
      </c>
      <c r="J53" s="156">
        <v>7</v>
      </c>
      <c r="K53" s="156">
        <f t="shared" ref="K53:K94" si="39">E53+J53</f>
        <v>2001</v>
      </c>
      <c r="N53" s="157">
        <f>39000</f>
        <v>39000</v>
      </c>
      <c r="P53" s="157">
        <f t="shared" ref="P53:P94" si="40">N53-N53*G53</f>
        <v>31200</v>
      </c>
      <c r="Q53" s="157">
        <f t="shared" ref="Q53:Q94" si="41">P53/J53/12</f>
        <v>371.42857142857139</v>
      </c>
      <c r="R53" s="157">
        <f t="shared" ref="R53:R94" si="42">IF(O53&gt;0,0,IF(OR(AD53&gt;AE53,AF53&lt;AG53),0,IF(AND(AF53&gt;=AG53,AF53&lt;=AE53),Q53*((AF53-AG53)*12),IF(AND(AG53&lt;=AD53,AE53&gt;=AD53),((AE53-AD53)*12)*Q53,IF(AF53&gt;AE53,12*Q53,0)))))</f>
        <v>0</v>
      </c>
      <c r="S53" s="157">
        <f t="shared" ref="S53:S94" si="43">IF(O53=0,0,IF(AND(AH53&gt;=AG53,AH53&lt;=AF53),((AH53-AG53)*12)*Q53,0))</f>
        <v>0</v>
      </c>
      <c r="T53" s="157">
        <f t="shared" ref="T53:T94" si="44">IF(S53&gt;0,S53,R53)</f>
        <v>0</v>
      </c>
      <c r="U53" s="157">
        <v>1</v>
      </c>
      <c r="V53" s="157">
        <f t="shared" ref="V53:V94" si="45">U53*SUM(R53:S53)</f>
        <v>0</v>
      </c>
      <c r="X53" s="157">
        <f t="shared" ref="X53:X94" si="46">IF(AD53&gt;AE53,0,IF(AF53&lt;AG53,P53,IF(AND(AF53&gt;=AG53,AF53&lt;=AE53),(P53-T53),IF(AND(AG53&lt;=AD53,AE53&gt;=AD53),0,IF(AF53&gt;AE53,((AG53-AD53)*12)*Q53,0)))))</f>
        <v>31200</v>
      </c>
      <c r="Y53" s="157">
        <f t="shared" ref="Y53:Y94" si="47">X53*U53</f>
        <v>31200</v>
      </c>
      <c r="Z53" s="157">
        <v>1</v>
      </c>
      <c r="AA53" s="157">
        <f t="shared" ref="AA53:AA94" si="48">Y53*Z53</f>
        <v>31200</v>
      </c>
      <c r="AB53" s="157">
        <f t="shared" ref="AB53:AB94" si="49">IF(O53&gt;0,0,AA53+V53*Z53)*Z53</f>
        <v>31200</v>
      </c>
      <c r="AC53" s="157">
        <f t="shared" ref="AC53:AC94" si="50">IF(O53&gt;0,(N53-AA53)/2,IF(AD53&gt;=AG53,(((N53*U53)*Z53)-AB53)/2,((((N53*U53)*Z53)-AA53)+(((N53*U53)*Z53)-AB53))/2))</f>
        <v>7800</v>
      </c>
      <c r="AD53" s="157">
        <f t="shared" si="34"/>
        <v>1994</v>
      </c>
      <c r="AE53" s="157">
        <f t="shared" si="35"/>
        <v>2017</v>
      </c>
      <c r="AF53" s="157">
        <f t="shared" si="36"/>
        <v>2001</v>
      </c>
      <c r="AG53" s="157">
        <f t="shared" si="37"/>
        <v>2016</v>
      </c>
      <c r="AH53" s="157">
        <f t="shared" si="38"/>
        <v>-8.3333333333333329E-2</v>
      </c>
    </row>
    <row r="54" spans="1:34">
      <c r="A54" s="156">
        <v>48637</v>
      </c>
      <c r="B54" s="156" t="s">
        <v>175</v>
      </c>
      <c r="C54" s="156">
        <v>149</v>
      </c>
      <c r="D54" s="156" t="s">
        <v>152</v>
      </c>
      <c r="E54" s="156">
        <v>1996</v>
      </c>
      <c r="F54" s="156">
        <v>12</v>
      </c>
      <c r="G54" s="156">
        <v>0.2</v>
      </c>
      <c r="I54" s="156" t="s">
        <v>52</v>
      </c>
      <c r="J54" s="156">
        <v>7</v>
      </c>
      <c r="K54" s="156">
        <f t="shared" si="39"/>
        <v>2003</v>
      </c>
      <c r="N54" s="157">
        <f>94551.6</f>
        <v>94551.6</v>
      </c>
      <c r="P54" s="157">
        <f t="shared" si="40"/>
        <v>75641.279999999999</v>
      </c>
      <c r="Q54" s="157">
        <f t="shared" si="41"/>
        <v>900.49142857142851</v>
      </c>
      <c r="R54" s="157">
        <f t="shared" si="42"/>
        <v>0</v>
      </c>
      <c r="S54" s="157">
        <f t="shared" si="43"/>
        <v>0</v>
      </c>
      <c r="T54" s="157">
        <f t="shared" si="44"/>
        <v>0</v>
      </c>
      <c r="U54" s="157">
        <v>1</v>
      </c>
      <c r="V54" s="157">
        <f t="shared" si="45"/>
        <v>0</v>
      </c>
      <c r="X54" s="157">
        <f t="shared" si="46"/>
        <v>75641.279999999999</v>
      </c>
      <c r="Y54" s="157">
        <f t="shared" si="47"/>
        <v>75641.279999999999</v>
      </c>
      <c r="Z54" s="157">
        <v>1</v>
      </c>
      <c r="AA54" s="157">
        <f t="shared" si="48"/>
        <v>75641.279999999999</v>
      </c>
      <c r="AB54" s="157">
        <f t="shared" si="49"/>
        <v>75641.279999999999</v>
      </c>
      <c r="AC54" s="157">
        <f t="shared" si="50"/>
        <v>18910.320000000007</v>
      </c>
      <c r="AD54" s="157">
        <f t="shared" si="34"/>
        <v>1996.9166666666667</v>
      </c>
      <c r="AE54" s="157">
        <f t="shared" si="35"/>
        <v>2017</v>
      </c>
      <c r="AF54" s="157">
        <f t="shared" si="36"/>
        <v>2003.9166666666667</v>
      </c>
      <c r="AG54" s="157">
        <f t="shared" si="37"/>
        <v>2016</v>
      </c>
      <c r="AH54" s="157">
        <f t="shared" si="38"/>
        <v>-8.3333333333333329E-2</v>
      </c>
    </row>
    <row r="55" spans="1:34">
      <c r="A55" s="156">
        <v>9536</v>
      </c>
      <c r="B55" s="156" t="s">
        <v>175</v>
      </c>
      <c r="C55" s="156">
        <v>169</v>
      </c>
      <c r="D55" s="156" t="s">
        <v>78</v>
      </c>
      <c r="E55" s="156">
        <v>2000</v>
      </c>
      <c r="F55" s="156">
        <v>1</v>
      </c>
      <c r="G55" s="156">
        <v>0.2</v>
      </c>
      <c r="I55" s="156" t="s">
        <v>52</v>
      </c>
      <c r="J55" s="156">
        <v>7</v>
      </c>
      <c r="K55" s="156">
        <f t="shared" si="39"/>
        <v>2007</v>
      </c>
      <c r="N55" s="157">
        <f>7094.84</f>
        <v>7094.84</v>
      </c>
      <c r="P55" s="157">
        <f t="shared" si="40"/>
        <v>5675.8720000000003</v>
      </c>
      <c r="Q55" s="157">
        <f t="shared" si="41"/>
        <v>67.569904761904766</v>
      </c>
      <c r="R55" s="157">
        <f t="shared" si="42"/>
        <v>0</v>
      </c>
      <c r="S55" s="157">
        <f t="shared" si="43"/>
        <v>0</v>
      </c>
      <c r="T55" s="157">
        <f t="shared" si="44"/>
        <v>0</v>
      </c>
      <c r="U55" s="157">
        <v>1</v>
      </c>
      <c r="V55" s="157">
        <f t="shared" si="45"/>
        <v>0</v>
      </c>
      <c r="X55" s="157">
        <f t="shared" si="46"/>
        <v>5675.8720000000003</v>
      </c>
      <c r="Y55" s="157">
        <f t="shared" si="47"/>
        <v>5675.8720000000003</v>
      </c>
      <c r="Z55" s="157">
        <v>1</v>
      </c>
      <c r="AA55" s="157">
        <f t="shared" si="48"/>
        <v>5675.8720000000003</v>
      </c>
      <c r="AB55" s="157">
        <f t="shared" si="49"/>
        <v>5675.8720000000003</v>
      </c>
      <c r="AC55" s="157">
        <f t="shared" si="50"/>
        <v>1418.9679999999998</v>
      </c>
      <c r="AD55" s="157">
        <f t="shared" si="34"/>
        <v>2000</v>
      </c>
      <c r="AE55" s="157">
        <f t="shared" si="35"/>
        <v>2017</v>
      </c>
      <c r="AF55" s="157">
        <f t="shared" si="36"/>
        <v>2007</v>
      </c>
      <c r="AG55" s="157">
        <f t="shared" si="37"/>
        <v>2016</v>
      </c>
      <c r="AH55" s="157">
        <f t="shared" si="38"/>
        <v>-8.3333333333333329E-2</v>
      </c>
    </row>
    <row r="56" spans="1:34">
      <c r="A56" s="156">
        <v>102347</v>
      </c>
      <c r="B56" s="156" t="s">
        <v>175</v>
      </c>
      <c r="C56" s="156">
        <v>60</v>
      </c>
      <c r="D56" s="156" t="s">
        <v>280</v>
      </c>
      <c r="E56" s="156">
        <v>2002</v>
      </c>
      <c r="F56" s="156">
        <v>6</v>
      </c>
      <c r="G56" s="156">
        <v>0.33</v>
      </c>
      <c r="I56" s="156" t="s">
        <v>52</v>
      </c>
      <c r="J56" s="156">
        <v>5</v>
      </c>
      <c r="K56" s="156">
        <f t="shared" si="39"/>
        <v>2007</v>
      </c>
      <c r="N56" s="157">
        <v>68118.259999999995</v>
      </c>
      <c r="P56" s="157">
        <f>N56-N56*G56</f>
        <v>45639.234199999992</v>
      </c>
      <c r="Q56" s="157">
        <f>P56/J56/12</f>
        <v>760.65390333333323</v>
      </c>
      <c r="R56" s="157">
        <f>IF(O56&gt;0,0,IF(OR(AD56&gt;AE56,AF56&lt;AG56),0,IF(AND(AF56&gt;=AG56,AF56&lt;=AE56),Q56*((AF56-AG56)*12),IF(AND(AG56&lt;=AD56,AE56&gt;=AD56),((AE56-AD56)*12)*Q56,IF(AF56&gt;AE56,12*Q56,0)))))</f>
        <v>0</v>
      </c>
      <c r="S56" s="157">
        <f>IF(O56=0,0,IF(AND(AH56&gt;=AG56,AH56&lt;=AF56),((AH56-AG56)*12)*Q56,0))</f>
        <v>0</v>
      </c>
      <c r="T56" s="157">
        <f>IF(S56&gt;0,S56,R56)</f>
        <v>0</v>
      </c>
      <c r="U56" s="157">
        <v>1</v>
      </c>
      <c r="V56" s="157">
        <f>U56*SUM(R56:S56)</f>
        <v>0</v>
      </c>
      <c r="X56" s="157">
        <f>IF(AD56&gt;AE56,0,IF(AF56&lt;AG56,P56,IF(AND(AF56&gt;=AG56,AF56&lt;=AE56),(P56-T56),IF(AND(AG56&lt;=AD56,AE56&gt;=AD56),0,IF(AF56&gt;AE56,((AG56-AD56)*12)*Q56,0)))))</f>
        <v>45639.234199999992</v>
      </c>
      <c r="Y56" s="157">
        <f>X56*U56</f>
        <v>45639.234199999992</v>
      </c>
      <c r="Z56" s="157">
        <v>1</v>
      </c>
      <c r="AA56" s="157">
        <f>Y56*Z56</f>
        <v>45639.234199999992</v>
      </c>
      <c r="AB56" s="157">
        <f>IF(O56&gt;0,0,AA56+V56*Z56)*Z56</f>
        <v>45639.234199999992</v>
      </c>
      <c r="AC56" s="157">
        <f>IF(O56&gt;0,(N56-AA56)/2,IF(AD56&gt;=AG56,(((N56*U56)*Z56)-AB56)/2,((((N56*U56)*Z56)-AA56)+(((N56*U56)*Z56)-AB56))/2))</f>
        <v>22479.025800000003</v>
      </c>
      <c r="AD56" s="157">
        <f t="shared" si="34"/>
        <v>2002.4166666666667</v>
      </c>
      <c r="AE56" s="157">
        <f t="shared" si="35"/>
        <v>2017</v>
      </c>
      <c r="AF56" s="157">
        <f t="shared" si="36"/>
        <v>2007.4166666666667</v>
      </c>
      <c r="AG56" s="157">
        <f t="shared" si="37"/>
        <v>2016</v>
      </c>
      <c r="AH56" s="157">
        <f t="shared" si="38"/>
        <v>-8.3333333333333329E-2</v>
      </c>
    </row>
    <row r="57" spans="1:34">
      <c r="A57" s="156">
        <v>9536</v>
      </c>
      <c r="B57" s="156" t="s">
        <v>175</v>
      </c>
      <c r="C57" s="156">
        <v>169</v>
      </c>
      <c r="D57" s="156" t="s">
        <v>79</v>
      </c>
      <c r="E57" s="156">
        <v>2003</v>
      </c>
      <c r="F57" s="156">
        <v>1</v>
      </c>
      <c r="G57" s="156">
        <v>0.33</v>
      </c>
      <c r="I57" s="156" t="s">
        <v>52</v>
      </c>
      <c r="J57" s="156">
        <v>5</v>
      </c>
      <c r="K57" s="156">
        <f t="shared" si="39"/>
        <v>2008</v>
      </c>
      <c r="N57" s="157">
        <f>52500</f>
        <v>52500</v>
      </c>
      <c r="P57" s="157">
        <f t="shared" si="40"/>
        <v>35175</v>
      </c>
      <c r="Q57" s="157">
        <f t="shared" si="41"/>
        <v>586.25</v>
      </c>
      <c r="R57" s="157">
        <f t="shared" si="42"/>
        <v>0</v>
      </c>
      <c r="S57" s="157">
        <f t="shared" si="43"/>
        <v>0</v>
      </c>
      <c r="T57" s="157">
        <f t="shared" si="44"/>
        <v>0</v>
      </c>
      <c r="U57" s="157">
        <v>1</v>
      </c>
      <c r="V57" s="157">
        <f t="shared" si="45"/>
        <v>0</v>
      </c>
      <c r="X57" s="157">
        <f t="shared" si="46"/>
        <v>35175</v>
      </c>
      <c r="Y57" s="157">
        <f t="shared" si="47"/>
        <v>35175</v>
      </c>
      <c r="Z57" s="157">
        <v>1</v>
      </c>
      <c r="AA57" s="157">
        <f t="shared" si="48"/>
        <v>35175</v>
      </c>
      <c r="AB57" s="157">
        <f t="shared" si="49"/>
        <v>35175</v>
      </c>
      <c r="AC57" s="157">
        <f t="shared" si="50"/>
        <v>17325</v>
      </c>
      <c r="AD57" s="157">
        <f t="shared" si="34"/>
        <v>2003</v>
      </c>
      <c r="AE57" s="157">
        <f t="shared" si="35"/>
        <v>2017</v>
      </c>
      <c r="AF57" s="157">
        <f t="shared" si="36"/>
        <v>2008</v>
      </c>
      <c r="AG57" s="157">
        <f t="shared" si="37"/>
        <v>2016</v>
      </c>
      <c r="AH57" s="157">
        <f t="shared" si="38"/>
        <v>-8.3333333333333329E-2</v>
      </c>
    </row>
    <row r="58" spans="1:34">
      <c r="A58" s="156">
        <v>9537</v>
      </c>
      <c r="B58" s="156" t="s">
        <v>175</v>
      </c>
      <c r="C58" s="156">
        <v>168</v>
      </c>
      <c r="D58" s="156" t="s">
        <v>79</v>
      </c>
      <c r="E58" s="156">
        <v>2003</v>
      </c>
      <c r="F58" s="156">
        <v>1</v>
      </c>
      <c r="G58" s="156">
        <v>0.33</v>
      </c>
      <c r="I58" s="156" t="s">
        <v>52</v>
      </c>
      <c r="J58" s="156">
        <v>5</v>
      </c>
      <c r="K58" s="156">
        <f t="shared" si="39"/>
        <v>2008</v>
      </c>
      <c r="N58" s="157">
        <f>52500</f>
        <v>52500</v>
      </c>
      <c r="P58" s="157">
        <f t="shared" si="40"/>
        <v>35175</v>
      </c>
      <c r="Q58" s="157">
        <f t="shared" si="41"/>
        <v>586.25</v>
      </c>
      <c r="R58" s="157">
        <f t="shared" si="42"/>
        <v>0</v>
      </c>
      <c r="S58" s="157">
        <f t="shared" si="43"/>
        <v>0</v>
      </c>
      <c r="T58" s="157">
        <f t="shared" si="44"/>
        <v>0</v>
      </c>
      <c r="U58" s="157">
        <v>1</v>
      </c>
      <c r="V58" s="157">
        <f t="shared" si="45"/>
        <v>0</v>
      </c>
      <c r="X58" s="157">
        <f t="shared" si="46"/>
        <v>35175</v>
      </c>
      <c r="Y58" s="157">
        <f t="shared" si="47"/>
        <v>35175</v>
      </c>
      <c r="Z58" s="157">
        <v>1</v>
      </c>
      <c r="AA58" s="157">
        <f t="shared" si="48"/>
        <v>35175</v>
      </c>
      <c r="AB58" s="157">
        <f t="shared" si="49"/>
        <v>35175</v>
      </c>
      <c r="AC58" s="157">
        <f t="shared" si="50"/>
        <v>17325</v>
      </c>
      <c r="AD58" s="157">
        <f t="shared" si="34"/>
        <v>2003</v>
      </c>
      <c r="AE58" s="157">
        <f t="shared" si="35"/>
        <v>2017</v>
      </c>
      <c r="AF58" s="157">
        <f t="shared" si="36"/>
        <v>2008</v>
      </c>
      <c r="AG58" s="157">
        <f t="shared" si="37"/>
        <v>2016</v>
      </c>
      <c r="AH58" s="157">
        <f t="shared" si="38"/>
        <v>-8.3333333333333329E-2</v>
      </c>
    </row>
    <row r="59" spans="1:34">
      <c r="A59" s="156">
        <v>107009</v>
      </c>
      <c r="B59" s="156" t="s">
        <v>281</v>
      </c>
      <c r="C59" s="156" t="s">
        <v>351</v>
      </c>
      <c r="D59" s="156" t="s">
        <v>286</v>
      </c>
      <c r="E59" s="156">
        <v>2003</v>
      </c>
      <c r="F59" s="156">
        <v>9</v>
      </c>
      <c r="G59" s="156">
        <v>0.2</v>
      </c>
      <c r="I59" s="156" t="s">
        <v>52</v>
      </c>
      <c r="J59" s="156">
        <v>7</v>
      </c>
      <c r="K59" s="156">
        <f t="shared" si="39"/>
        <v>2010</v>
      </c>
      <c r="N59" s="157">
        <v>40000</v>
      </c>
      <c r="P59" s="157">
        <f>N59-N59*G59</f>
        <v>32000</v>
      </c>
      <c r="Q59" s="157">
        <f>P59/J59/12</f>
        <v>380.95238095238096</v>
      </c>
      <c r="R59" s="157">
        <f>IF(O59&gt;0,0,IF(OR(AD59&gt;AE59,AF59&lt;AG59),0,IF(AND(AF59&gt;=AG59,AF59&lt;=AE59),Q59*((AF59-AG59)*12),IF(AND(AG59&lt;=AD59,AE59&gt;=AD59),((AE59-AD59)*12)*Q59,IF(AF59&gt;AE59,12*Q59,0)))))</f>
        <v>0</v>
      </c>
      <c r="S59" s="157">
        <f>IF(O59=0,0,IF(AND(AH59&gt;=AG59,AH59&lt;=AF59),((AH59-AG59)*12)*Q59,0))</f>
        <v>0</v>
      </c>
      <c r="T59" s="157">
        <f>IF(S59&gt;0,S59,R59)</f>
        <v>0</v>
      </c>
      <c r="U59" s="157">
        <v>1</v>
      </c>
      <c r="V59" s="157">
        <f>U59*SUM(R59:S59)</f>
        <v>0</v>
      </c>
      <c r="X59" s="157">
        <f>IF(AD59&gt;AE59,0,IF(AF59&lt;AG59,P59,IF(AND(AF59&gt;=AG59,AF59&lt;=AE59),(P59-T59),IF(AND(AG59&lt;=AD59,AE59&gt;=AD59),0,IF(AF59&gt;AE59,((AG59-AD59)*12)*Q59,0)))))</f>
        <v>32000</v>
      </c>
      <c r="Y59" s="157">
        <f>X59*U59</f>
        <v>32000</v>
      </c>
      <c r="Z59" s="157">
        <v>1</v>
      </c>
      <c r="AA59" s="157">
        <f>Y59*Z59</f>
        <v>32000</v>
      </c>
      <c r="AB59" s="157">
        <f>IF(O59&gt;0,0,AA59+V59*Z59)*Z59</f>
        <v>32000</v>
      </c>
      <c r="AC59" s="157">
        <f>IF(O59&gt;0,(N59-AA59)/2,IF(AD59&gt;=AG59,(((N59*U59)*Z59)-AB59)/2,((((N59*U59)*Z59)-AA59)+(((N59*U59)*Z59)-AB59))/2))</f>
        <v>8000</v>
      </c>
      <c r="AD59" s="157">
        <f t="shared" si="34"/>
        <v>2003.6666666666667</v>
      </c>
      <c r="AE59" s="157">
        <f t="shared" si="35"/>
        <v>2017</v>
      </c>
      <c r="AF59" s="157">
        <f t="shared" si="36"/>
        <v>2010.6666666666667</v>
      </c>
      <c r="AG59" s="157">
        <f t="shared" si="37"/>
        <v>2016</v>
      </c>
      <c r="AH59" s="157">
        <f t="shared" si="38"/>
        <v>-8.3333333333333329E-2</v>
      </c>
    </row>
    <row r="60" spans="1:34">
      <c r="A60" s="156">
        <v>107008</v>
      </c>
      <c r="B60" s="156" t="s">
        <v>281</v>
      </c>
      <c r="C60" s="156" t="s">
        <v>352</v>
      </c>
      <c r="D60" s="156" t="s">
        <v>286</v>
      </c>
      <c r="E60" s="156">
        <v>2003</v>
      </c>
      <c r="F60" s="156">
        <v>9</v>
      </c>
      <c r="G60" s="156">
        <v>0.2</v>
      </c>
      <c r="I60" s="156" t="s">
        <v>52</v>
      </c>
      <c r="J60" s="156">
        <v>7</v>
      </c>
      <c r="K60" s="156">
        <f t="shared" si="39"/>
        <v>2010</v>
      </c>
      <c r="N60" s="157">
        <v>40000</v>
      </c>
      <c r="P60" s="157">
        <f>N60-N60*G60</f>
        <v>32000</v>
      </c>
      <c r="Q60" s="157">
        <f>P60/J60/12</f>
        <v>380.95238095238096</v>
      </c>
      <c r="R60" s="157">
        <f>IF(O60&gt;0,0,IF(OR(AD60&gt;AE60,AF60&lt;AG60),0,IF(AND(AF60&gt;=AG60,AF60&lt;=AE60),Q60*((AF60-AG60)*12),IF(AND(AG60&lt;=AD60,AE60&gt;=AD60),((AE60-AD60)*12)*Q60,IF(AF60&gt;AE60,12*Q60,0)))))</f>
        <v>0</v>
      </c>
      <c r="S60" s="157">
        <f>IF(O60=0,0,IF(AND(AH60&gt;=AG60,AH60&lt;=AF60),((AH60-AG60)*12)*Q60,0))</f>
        <v>0</v>
      </c>
      <c r="T60" s="157">
        <f>IF(S60&gt;0,S60,R60)</f>
        <v>0</v>
      </c>
      <c r="U60" s="157">
        <v>1</v>
      </c>
      <c r="V60" s="157">
        <f>U60*SUM(R60:S60)</f>
        <v>0</v>
      </c>
      <c r="X60" s="157">
        <f>IF(AD60&gt;AE60,0,IF(AF60&lt;AG60,P60,IF(AND(AF60&gt;=AG60,AF60&lt;=AE60),(P60-T60),IF(AND(AG60&lt;=AD60,AE60&gt;=AD60),0,IF(AF60&gt;AE60,((AG60-AD60)*12)*Q60,0)))))</f>
        <v>32000</v>
      </c>
      <c r="Y60" s="157">
        <f>X60*U60</f>
        <v>32000</v>
      </c>
      <c r="Z60" s="157">
        <v>1</v>
      </c>
      <c r="AA60" s="157">
        <f>Y60*Z60</f>
        <v>32000</v>
      </c>
      <c r="AB60" s="157">
        <f>IF(O60&gt;0,0,AA60+V60*Z60)*Z60</f>
        <v>32000</v>
      </c>
      <c r="AC60" s="157">
        <f>IF(O60&gt;0,(N60-AA60)/2,IF(AD60&gt;=AG60,(((N60*U60)*Z60)-AB60)/2,((((N60*U60)*Z60)-AA60)+(((N60*U60)*Z60)-AB60))/2))</f>
        <v>8000</v>
      </c>
      <c r="AD60" s="157">
        <f t="shared" si="34"/>
        <v>2003.6666666666667</v>
      </c>
      <c r="AE60" s="157">
        <f t="shared" si="35"/>
        <v>2017</v>
      </c>
      <c r="AF60" s="157">
        <f t="shared" si="36"/>
        <v>2010.6666666666667</v>
      </c>
      <c r="AG60" s="157">
        <f t="shared" si="37"/>
        <v>2016</v>
      </c>
      <c r="AH60" s="157">
        <f t="shared" si="38"/>
        <v>-8.3333333333333329E-2</v>
      </c>
    </row>
    <row r="61" spans="1:34">
      <c r="A61" s="156">
        <v>107013</v>
      </c>
      <c r="B61" s="156" t="s">
        <v>281</v>
      </c>
      <c r="C61" s="156" t="s">
        <v>353</v>
      </c>
      <c r="D61" s="156" t="s">
        <v>286</v>
      </c>
      <c r="E61" s="156">
        <v>2003</v>
      </c>
      <c r="F61" s="156">
        <v>9</v>
      </c>
      <c r="G61" s="156">
        <v>0.2</v>
      </c>
      <c r="I61" s="156" t="s">
        <v>52</v>
      </c>
      <c r="J61" s="156">
        <v>7</v>
      </c>
      <c r="K61" s="156">
        <f t="shared" si="39"/>
        <v>2010</v>
      </c>
      <c r="N61" s="157">
        <v>40000</v>
      </c>
      <c r="P61" s="157">
        <f>N61-N61*G61</f>
        <v>32000</v>
      </c>
      <c r="Q61" s="157">
        <f>P61/J61/12</f>
        <v>380.95238095238096</v>
      </c>
      <c r="R61" s="157">
        <f>IF(O61&gt;0,0,IF(OR(AD61&gt;AE61,AF61&lt;AG61),0,IF(AND(AF61&gt;=AG61,AF61&lt;=AE61),Q61*((AF61-AG61)*12),IF(AND(AG61&lt;=AD61,AE61&gt;=AD61),((AE61-AD61)*12)*Q61,IF(AF61&gt;AE61,12*Q61,0)))))</f>
        <v>0</v>
      </c>
      <c r="S61" s="157">
        <f>IF(O61=0,0,IF(AND(AH61&gt;=AG61,AH61&lt;=AF61),((AH61-AG61)*12)*Q61,0))</f>
        <v>0</v>
      </c>
      <c r="T61" s="157">
        <f>IF(S61&gt;0,S61,R61)</f>
        <v>0</v>
      </c>
      <c r="U61" s="157">
        <v>1</v>
      </c>
      <c r="V61" s="157">
        <f>U61*SUM(R61:S61)</f>
        <v>0</v>
      </c>
      <c r="X61" s="157">
        <f>IF(AD61&gt;AE61,0,IF(AF61&lt;AG61,P61,IF(AND(AF61&gt;=AG61,AF61&lt;=AE61),(P61-T61),IF(AND(AG61&lt;=AD61,AE61&gt;=AD61),0,IF(AF61&gt;AE61,((AG61-AD61)*12)*Q61,0)))))</f>
        <v>32000</v>
      </c>
      <c r="Y61" s="157">
        <f>X61*U61</f>
        <v>32000</v>
      </c>
      <c r="Z61" s="157">
        <v>1</v>
      </c>
      <c r="AA61" s="157">
        <f>Y61*Z61</f>
        <v>32000</v>
      </c>
      <c r="AB61" s="157">
        <f>IF(O61&gt;0,0,AA61+V61*Z61)*Z61</f>
        <v>32000</v>
      </c>
      <c r="AC61" s="157">
        <f>IF(O61&gt;0,(N61-AA61)/2,IF(AD61&gt;=AG61,(((N61*U61)*Z61)-AB61)/2,((((N61*U61)*Z61)-AA61)+(((N61*U61)*Z61)-AB61))/2))</f>
        <v>8000</v>
      </c>
      <c r="AD61" s="157">
        <f t="shared" si="34"/>
        <v>2003.6666666666667</v>
      </c>
      <c r="AE61" s="157">
        <f t="shared" si="35"/>
        <v>2017</v>
      </c>
      <c r="AF61" s="157">
        <f t="shared" si="36"/>
        <v>2010.6666666666667</v>
      </c>
      <c r="AG61" s="157">
        <f t="shared" si="37"/>
        <v>2016</v>
      </c>
      <c r="AH61" s="157">
        <f t="shared" si="38"/>
        <v>-8.3333333333333329E-2</v>
      </c>
    </row>
    <row r="62" spans="1:34">
      <c r="A62" s="156">
        <v>107016</v>
      </c>
      <c r="B62" s="156" t="s">
        <v>281</v>
      </c>
      <c r="C62" s="156" t="s">
        <v>354</v>
      </c>
      <c r="D62" s="156" t="s">
        <v>286</v>
      </c>
      <c r="E62" s="156">
        <v>2003</v>
      </c>
      <c r="F62" s="156">
        <v>9</v>
      </c>
      <c r="G62" s="156">
        <v>0.2</v>
      </c>
      <c r="I62" s="156" t="s">
        <v>52</v>
      </c>
      <c r="J62" s="156">
        <v>7</v>
      </c>
      <c r="K62" s="156">
        <f t="shared" si="39"/>
        <v>2010</v>
      </c>
      <c r="N62" s="157">
        <v>40000</v>
      </c>
      <c r="P62" s="157">
        <f>N62-N62*G62</f>
        <v>32000</v>
      </c>
      <c r="Q62" s="157">
        <f>P62/J62/12</f>
        <v>380.95238095238096</v>
      </c>
      <c r="R62" s="157">
        <f>IF(O62&gt;0,0,IF(OR(AD62&gt;AE62,AF62&lt;AG62),0,IF(AND(AF62&gt;=AG62,AF62&lt;=AE62),Q62*((AF62-AG62)*12),IF(AND(AG62&lt;=AD62,AE62&gt;=AD62),((AE62-AD62)*12)*Q62,IF(AF62&gt;AE62,12*Q62,0)))))</f>
        <v>0</v>
      </c>
      <c r="S62" s="157">
        <f>IF(O62=0,0,IF(AND(AH62&gt;=AG62,AH62&lt;=AF62),((AH62-AG62)*12)*Q62,0))</f>
        <v>0</v>
      </c>
      <c r="T62" s="157">
        <f>IF(S62&gt;0,S62,R62)</f>
        <v>0</v>
      </c>
      <c r="U62" s="157">
        <v>1</v>
      </c>
      <c r="V62" s="157">
        <f>U62*SUM(R62:S62)</f>
        <v>0</v>
      </c>
      <c r="X62" s="157">
        <f>IF(AD62&gt;AE62,0,IF(AF62&lt;AG62,P62,IF(AND(AF62&gt;=AG62,AF62&lt;=AE62),(P62-T62),IF(AND(AG62&lt;=AD62,AE62&gt;=AD62),0,IF(AF62&gt;AE62,((AG62-AD62)*12)*Q62,0)))))</f>
        <v>32000</v>
      </c>
      <c r="Y62" s="157">
        <f>X62*U62</f>
        <v>32000</v>
      </c>
      <c r="Z62" s="157">
        <v>1</v>
      </c>
      <c r="AA62" s="157">
        <f>Y62*Z62</f>
        <v>32000</v>
      </c>
      <c r="AB62" s="157">
        <f>IF(O62&gt;0,0,AA62+V62*Z62)*Z62</f>
        <v>32000</v>
      </c>
      <c r="AC62" s="157">
        <f>IF(O62&gt;0,(N62-AA62)/2,IF(AD62&gt;=AG62,(((N62*U62)*Z62)-AB62)/2,((((N62*U62)*Z62)-AA62)+(((N62*U62)*Z62)-AB62))/2))</f>
        <v>8000</v>
      </c>
      <c r="AD62" s="157">
        <f t="shared" si="34"/>
        <v>2003.6666666666667</v>
      </c>
      <c r="AE62" s="157">
        <f t="shared" si="35"/>
        <v>2017</v>
      </c>
      <c r="AF62" s="157">
        <f t="shared" si="36"/>
        <v>2010.6666666666667</v>
      </c>
      <c r="AG62" s="157">
        <f t="shared" si="37"/>
        <v>2016</v>
      </c>
      <c r="AH62" s="157">
        <f t="shared" si="38"/>
        <v>-8.3333333333333329E-2</v>
      </c>
    </row>
    <row r="63" spans="1:34">
      <c r="A63" s="156">
        <v>102350</v>
      </c>
      <c r="B63" s="156" t="s">
        <v>175</v>
      </c>
      <c r="C63" s="156">
        <v>61</v>
      </c>
      <c r="D63" s="156" t="s">
        <v>365</v>
      </c>
      <c r="E63" s="156">
        <v>2004</v>
      </c>
      <c r="F63" s="156">
        <v>1</v>
      </c>
      <c r="G63" s="156">
        <v>0.33</v>
      </c>
      <c r="I63" s="156" t="s">
        <v>52</v>
      </c>
      <c r="J63" s="156">
        <v>5</v>
      </c>
      <c r="K63" s="156">
        <f t="shared" si="39"/>
        <v>2009</v>
      </c>
      <c r="N63" s="157">
        <v>52151.91</v>
      </c>
      <c r="P63" s="157">
        <f>N63-N63*G63</f>
        <v>34941.779699999999</v>
      </c>
      <c r="Q63" s="157">
        <f>P63/J63/12</f>
        <v>582.36299499999996</v>
      </c>
      <c r="R63" s="157">
        <f>IF(O63&gt;0,0,IF(OR(AD63&gt;AE63,AF63&lt;AG63),0,IF(AND(AF63&gt;=AG63,AF63&lt;=AE63),Q63*((AF63-AG63)*12),IF(AND(AG63&lt;=AD63,AE63&gt;=AD63),((AE63-AD63)*12)*Q63,IF(AF63&gt;AE63,12*Q63,0)))))</f>
        <v>0</v>
      </c>
      <c r="S63" s="157">
        <f>IF(O63=0,0,IF(AND(AH63&gt;=AG63,AH63&lt;=AF63),((AH63-AG63)*12)*Q63,0))</f>
        <v>0</v>
      </c>
      <c r="T63" s="157">
        <f>IF(S63&gt;0,S63,R63)</f>
        <v>0</v>
      </c>
      <c r="U63" s="157">
        <v>1</v>
      </c>
      <c r="V63" s="157">
        <f>U63*SUM(R63:S63)</f>
        <v>0</v>
      </c>
      <c r="X63" s="157">
        <f>IF(AD63&gt;AE63,0,IF(AF63&lt;AG63,P63,IF(AND(AF63&gt;=AG63,AF63&lt;=AE63),(P63-T63),IF(AND(AG63&lt;=AD63,AE63&gt;=AD63),0,IF(AF63&gt;AE63,((AG63-AD63)*12)*Q63,0)))))</f>
        <v>34941.779699999999</v>
      </c>
      <c r="Y63" s="157">
        <f>X63*U63</f>
        <v>34941.779699999999</v>
      </c>
      <c r="Z63" s="157">
        <v>1</v>
      </c>
      <c r="AA63" s="157">
        <f>Y63*Z63</f>
        <v>34941.779699999999</v>
      </c>
      <c r="AB63" s="157">
        <f>IF(O63&gt;0,0,AA63+V63*Z63)*Z63</f>
        <v>34941.779699999999</v>
      </c>
      <c r="AC63" s="157">
        <f>IF(O63&gt;0,(N63-AA63)/2,IF(AD63&gt;=AG63,(((N63*U63)*Z63)-AB63)/2,((((N63*U63)*Z63)-AA63)+(((N63*U63)*Z63)-AB63))/2))</f>
        <v>17210.130300000004</v>
      </c>
      <c r="AD63" s="157">
        <f t="shared" si="34"/>
        <v>2004</v>
      </c>
      <c r="AE63" s="157">
        <f t="shared" si="35"/>
        <v>2017</v>
      </c>
      <c r="AF63" s="157">
        <f t="shared" si="36"/>
        <v>2009</v>
      </c>
      <c r="AG63" s="157">
        <f t="shared" si="37"/>
        <v>2016</v>
      </c>
      <c r="AH63" s="157">
        <f t="shared" si="38"/>
        <v>-8.3333333333333329E-2</v>
      </c>
    </row>
    <row r="64" spans="1:34">
      <c r="A64" s="156">
        <v>39587</v>
      </c>
      <c r="B64" s="156" t="s">
        <v>175</v>
      </c>
      <c r="C64" s="156" t="s">
        <v>364</v>
      </c>
      <c r="D64" s="156" t="s">
        <v>233</v>
      </c>
      <c r="E64" s="156">
        <v>2004</v>
      </c>
      <c r="F64" s="156">
        <v>11</v>
      </c>
      <c r="G64" s="156">
        <v>0.33</v>
      </c>
      <c r="I64" s="156" t="s">
        <v>52</v>
      </c>
      <c r="J64" s="156">
        <v>7</v>
      </c>
      <c r="K64" s="156">
        <f t="shared" si="39"/>
        <v>2011</v>
      </c>
      <c r="N64" s="157">
        <f>20000</f>
        <v>20000</v>
      </c>
      <c r="P64" s="157">
        <f t="shared" si="40"/>
        <v>13400</v>
      </c>
      <c r="Q64" s="157">
        <f t="shared" si="41"/>
        <v>159.52380952380952</v>
      </c>
      <c r="R64" s="157">
        <f t="shared" si="42"/>
        <v>0</v>
      </c>
      <c r="S64" s="157">
        <f t="shared" si="43"/>
        <v>0</v>
      </c>
      <c r="T64" s="157">
        <f t="shared" si="44"/>
        <v>0</v>
      </c>
      <c r="U64" s="157">
        <v>1</v>
      </c>
      <c r="V64" s="157">
        <f t="shared" si="45"/>
        <v>0</v>
      </c>
      <c r="X64" s="157">
        <f t="shared" si="46"/>
        <v>13400</v>
      </c>
      <c r="Y64" s="157">
        <f t="shared" si="47"/>
        <v>13400</v>
      </c>
      <c r="Z64" s="157">
        <v>1</v>
      </c>
      <c r="AA64" s="157">
        <f t="shared" si="48"/>
        <v>13400</v>
      </c>
      <c r="AB64" s="157">
        <f t="shared" si="49"/>
        <v>13400</v>
      </c>
      <c r="AC64" s="157">
        <f t="shared" si="50"/>
        <v>6600</v>
      </c>
      <c r="AD64" s="157">
        <f t="shared" si="34"/>
        <v>2004.8333333333333</v>
      </c>
      <c r="AE64" s="157">
        <f t="shared" si="35"/>
        <v>2017</v>
      </c>
      <c r="AF64" s="157">
        <f t="shared" si="36"/>
        <v>2011.8333333333333</v>
      </c>
      <c r="AG64" s="157">
        <f t="shared" si="37"/>
        <v>2016</v>
      </c>
      <c r="AH64" s="157">
        <f t="shared" si="38"/>
        <v>-8.3333333333333329E-2</v>
      </c>
    </row>
    <row r="65" spans="1:35">
      <c r="A65" s="156">
        <v>102127</v>
      </c>
      <c r="B65" s="156" t="s">
        <v>175</v>
      </c>
      <c r="C65" s="156">
        <v>175</v>
      </c>
      <c r="D65" s="156" t="s">
        <v>234</v>
      </c>
      <c r="E65" s="156">
        <v>2004</v>
      </c>
      <c r="F65" s="156">
        <v>11</v>
      </c>
      <c r="G65" s="156">
        <v>0.33</v>
      </c>
      <c r="I65" s="156" t="s">
        <v>52</v>
      </c>
      <c r="J65" s="156">
        <v>7</v>
      </c>
      <c r="K65" s="156">
        <f t="shared" si="39"/>
        <v>2011</v>
      </c>
      <c r="N65" s="157">
        <f>56666.66</f>
        <v>56666.66</v>
      </c>
      <c r="P65" s="157">
        <f t="shared" si="40"/>
        <v>37966.662200000006</v>
      </c>
      <c r="Q65" s="157">
        <f t="shared" si="41"/>
        <v>451.98407380952386</v>
      </c>
      <c r="R65" s="157">
        <f t="shared" si="42"/>
        <v>0</v>
      </c>
      <c r="S65" s="157">
        <f t="shared" si="43"/>
        <v>0</v>
      </c>
      <c r="T65" s="157">
        <f t="shared" si="44"/>
        <v>0</v>
      </c>
      <c r="U65" s="157">
        <v>1</v>
      </c>
      <c r="V65" s="157">
        <f t="shared" si="45"/>
        <v>0</v>
      </c>
      <c r="X65" s="157">
        <f t="shared" si="46"/>
        <v>37966.662200000006</v>
      </c>
      <c r="Y65" s="157">
        <f t="shared" si="47"/>
        <v>37966.662200000006</v>
      </c>
      <c r="Z65" s="157">
        <v>1</v>
      </c>
      <c r="AA65" s="157">
        <f t="shared" si="48"/>
        <v>37966.662200000006</v>
      </c>
      <c r="AB65" s="157">
        <f t="shared" si="49"/>
        <v>37966.662200000006</v>
      </c>
      <c r="AC65" s="157">
        <f t="shared" si="50"/>
        <v>18699.997799999997</v>
      </c>
      <c r="AD65" s="157">
        <f t="shared" si="34"/>
        <v>2004.8333333333333</v>
      </c>
      <c r="AE65" s="157">
        <f t="shared" si="35"/>
        <v>2017</v>
      </c>
      <c r="AF65" s="157">
        <f t="shared" si="36"/>
        <v>2011.8333333333333</v>
      </c>
      <c r="AG65" s="157">
        <f t="shared" si="37"/>
        <v>2016</v>
      </c>
      <c r="AH65" s="157">
        <f t="shared" si="38"/>
        <v>-8.3333333333333329E-2</v>
      </c>
    </row>
    <row r="66" spans="1:35">
      <c r="A66" s="156">
        <v>30477</v>
      </c>
      <c r="B66" s="156" t="s">
        <v>76</v>
      </c>
      <c r="C66" s="156" t="s">
        <v>355</v>
      </c>
      <c r="D66" s="156" t="s">
        <v>81</v>
      </c>
      <c r="E66" s="156">
        <v>2005</v>
      </c>
      <c r="F66" s="156">
        <v>1</v>
      </c>
      <c r="G66" s="156">
        <v>0.33</v>
      </c>
      <c r="I66" s="156" t="s">
        <v>52</v>
      </c>
      <c r="J66" s="156">
        <v>5</v>
      </c>
      <c r="K66" s="156">
        <f t="shared" si="39"/>
        <v>2010</v>
      </c>
      <c r="N66" s="157">
        <f>35500+3124</f>
        <v>38624</v>
      </c>
      <c r="P66" s="157">
        <f t="shared" si="40"/>
        <v>25878.080000000002</v>
      </c>
      <c r="Q66" s="157">
        <f t="shared" si="41"/>
        <v>431.30133333333333</v>
      </c>
      <c r="R66" s="157">
        <f t="shared" si="42"/>
        <v>0</v>
      </c>
      <c r="S66" s="157">
        <f t="shared" si="43"/>
        <v>0</v>
      </c>
      <c r="T66" s="157">
        <f t="shared" si="44"/>
        <v>0</v>
      </c>
      <c r="U66" s="157">
        <v>1</v>
      </c>
      <c r="V66" s="157">
        <f t="shared" si="45"/>
        <v>0</v>
      </c>
      <c r="X66" s="157">
        <f t="shared" si="46"/>
        <v>25878.080000000002</v>
      </c>
      <c r="Y66" s="157">
        <f t="shared" si="47"/>
        <v>25878.080000000002</v>
      </c>
      <c r="Z66" s="157">
        <v>1</v>
      </c>
      <c r="AA66" s="157">
        <f t="shared" si="48"/>
        <v>25878.080000000002</v>
      </c>
      <c r="AB66" s="157">
        <f t="shared" si="49"/>
        <v>25878.080000000002</v>
      </c>
      <c r="AC66" s="157">
        <f t="shared" si="50"/>
        <v>12745.919999999998</v>
      </c>
      <c r="AD66" s="157">
        <f t="shared" si="34"/>
        <v>2005</v>
      </c>
      <c r="AE66" s="157">
        <f t="shared" si="35"/>
        <v>2017</v>
      </c>
      <c r="AF66" s="157">
        <f t="shared" si="36"/>
        <v>2010</v>
      </c>
      <c r="AG66" s="157">
        <f t="shared" si="37"/>
        <v>2016</v>
      </c>
      <c r="AH66" s="157">
        <f t="shared" si="38"/>
        <v>-8.3333333333333329E-2</v>
      </c>
    </row>
    <row r="67" spans="1:35">
      <c r="A67" s="156">
        <v>30478</v>
      </c>
      <c r="B67" s="156" t="s">
        <v>76</v>
      </c>
      <c r="C67" s="156" t="s">
        <v>356</v>
      </c>
      <c r="D67" s="156" t="s">
        <v>81</v>
      </c>
      <c r="E67" s="156">
        <v>2005</v>
      </c>
      <c r="F67" s="156">
        <v>1</v>
      </c>
      <c r="G67" s="156">
        <v>0.33</v>
      </c>
      <c r="I67" s="156" t="s">
        <v>52</v>
      </c>
      <c r="J67" s="156">
        <v>5</v>
      </c>
      <c r="K67" s="156">
        <f t="shared" si="39"/>
        <v>2010</v>
      </c>
      <c r="N67" s="157">
        <f>34500+3036</f>
        <v>37536</v>
      </c>
      <c r="P67" s="157">
        <f t="shared" si="40"/>
        <v>25149.119999999999</v>
      </c>
      <c r="Q67" s="157">
        <f t="shared" si="41"/>
        <v>419.15199999999999</v>
      </c>
      <c r="R67" s="157">
        <f t="shared" si="42"/>
        <v>0</v>
      </c>
      <c r="S67" s="157">
        <f t="shared" si="43"/>
        <v>0</v>
      </c>
      <c r="T67" s="157">
        <f t="shared" si="44"/>
        <v>0</v>
      </c>
      <c r="U67" s="157">
        <v>1</v>
      </c>
      <c r="V67" s="157">
        <f t="shared" si="45"/>
        <v>0</v>
      </c>
      <c r="X67" s="157">
        <f t="shared" si="46"/>
        <v>25149.119999999999</v>
      </c>
      <c r="Y67" s="157">
        <f t="shared" si="47"/>
        <v>25149.119999999999</v>
      </c>
      <c r="Z67" s="157">
        <v>1</v>
      </c>
      <c r="AA67" s="157">
        <f t="shared" si="48"/>
        <v>25149.119999999999</v>
      </c>
      <c r="AB67" s="157">
        <f t="shared" si="49"/>
        <v>25149.119999999999</v>
      </c>
      <c r="AC67" s="157">
        <f t="shared" si="50"/>
        <v>12386.880000000001</v>
      </c>
      <c r="AD67" s="157">
        <f t="shared" si="34"/>
        <v>2005</v>
      </c>
      <c r="AE67" s="157">
        <f t="shared" si="35"/>
        <v>2017</v>
      </c>
      <c r="AF67" s="157">
        <f t="shared" si="36"/>
        <v>2010</v>
      </c>
      <c r="AG67" s="157">
        <f t="shared" si="37"/>
        <v>2016</v>
      </c>
      <c r="AH67" s="157">
        <f t="shared" si="38"/>
        <v>-8.3333333333333329E-2</v>
      </c>
    </row>
    <row r="68" spans="1:35">
      <c r="B68" s="156" t="s">
        <v>175</v>
      </c>
      <c r="C68" s="156">
        <v>149</v>
      </c>
      <c r="D68" s="156" t="s">
        <v>146</v>
      </c>
      <c r="E68" s="156">
        <v>2006</v>
      </c>
      <c r="F68" s="156">
        <v>12</v>
      </c>
      <c r="I68" s="156" t="s">
        <v>52</v>
      </c>
      <c r="J68" s="156">
        <v>3</v>
      </c>
      <c r="K68" s="156">
        <f t="shared" si="39"/>
        <v>2009</v>
      </c>
      <c r="N68" s="157">
        <v>2612.9699999999998</v>
      </c>
      <c r="P68" s="157">
        <f t="shared" si="40"/>
        <v>2612.9699999999998</v>
      </c>
      <c r="Q68" s="157">
        <f t="shared" si="41"/>
        <v>72.582499999999996</v>
      </c>
      <c r="R68" s="157">
        <f t="shared" si="42"/>
        <v>0</v>
      </c>
      <c r="S68" s="157">
        <f t="shared" si="43"/>
        <v>0</v>
      </c>
      <c r="T68" s="157">
        <f t="shared" si="44"/>
        <v>0</v>
      </c>
      <c r="U68" s="157">
        <v>1</v>
      </c>
      <c r="V68" s="157">
        <f t="shared" si="45"/>
        <v>0</v>
      </c>
      <c r="X68" s="157">
        <f t="shared" si="46"/>
        <v>2612.9699999999998</v>
      </c>
      <c r="Y68" s="157">
        <f t="shared" si="47"/>
        <v>2612.9699999999998</v>
      </c>
      <c r="Z68" s="157">
        <v>1</v>
      </c>
      <c r="AA68" s="157">
        <f t="shared" si="48"/>
        <v>2612.9699999999998</v>
      </c>
      <c r="AB68" s="157">
        <f t="shared" si="49"/>
        <v>2612.9699999999998</v>
      </c>
      <c r="AC68" s="157">
        <f t="shared" si="50"/>
        <v>0</v>
      </c>
      <c r="AD68" s="157">
        <f t="shared" si="34"/>
        <v>2006.9166666666667</v>
      </c>
      <c r="AE68" s="157">
        <f t="shared" si="35"/>
        <v>2017</v>
      </c>
      <c r="AF68" s="157">
        <f t="shared" si="36"/>
        <v>2009.9166666666667</v>
      </c>
      <c r="AG68" s="157">
        <f t="shared" si="37"/>
        <v>2016</v>
      </c>
      <c r="AH68" s="157">
        <f t="shared" si="38"/>
        <v>-8.3333333333333329E-2</v>
      </c>
    </row>
    <row r="69" spans="1:35">
      <c r="A69" s="156">
        <v>53225</v>
      </c>
      <c r="B69" s="156" t="s">
        <v>76</v>
      </c>
      <c r="C69" s="156" t="s">
        <v>367</v>
      </c>
      <c r="D69" s="156" t="s">
        <v>368</v>
      </c>
      <c r="E69" s="156">
        <v>2007</v>
      </c>
      <c r="F69" s="156">
        <v>10</v>
      </c>
      <c r="G69" s="156">
        <v>0.2</v>
      </c>
      <c r="I69" s="156" t="s">
        <v>52</v>
      </c>
      <c r="J69" s="156">
        <v>7</v>
      </c>
      <c r="K69" s="156">
        <f>E69+J69</f>
        <v>2014</v>
      </c>
      <c r="N69" s="157">
        <v>100917.53</v>
      </c>
      <c r="P69" s="157">
        <f>N69-N69*G69</f>
        <v>80734.024000000005</v>
      </c>
      <c r="Q69" s="157">
        <f>P69/J69/12</f>
        <v>961.11933333333343</v>
      </c>
      <c r="R69" s="157">
        <f>IF(O69&gt;0,0,IF(OR(AD69&gt;AE69,AF69&lt;AG69),0,IF(AND(AF69&gt;=AG69,AF69&lt;=AE69),Q69*((AF69-AG69)*12),IF(AND(AG69&lt;=AD69,AE69&gt;=AD69),((AE69-AD69)*12)*Q69,IF(AF69&gt;AE69,12*Q69,0)))))</f>
        <v>0</v>
      </c>
      <c r="S69" s="157">
        <f>IF(O69=0,0,IF(AND(AH69&gt;=AG69,AH69&lt;=AF69),((AH69-AG69)*12)*Q69,0))</f>
        <v>0</v>
      </c>
      <c r="T69" s="157">
        <f>IF(S69&gt;0,S69,R69)</f>
        <v>0</v>
      </c>
      <c r="U69" s="157">
        <v>1</v>
      </c>
      <c r="V69" s="157">
        <f>U69*SUM(R69:S69)</f>
        <v>0</v>
      </c>
      <c r="X69" s="157">
        <f>IF(AD69&gt;AE69,0,IF(AF69&lt;AG69,P69,IF(AND(AF69&gt;=AG69,AF69&lt;=AE69),(P69-T69),IF(AND(AG69&lt;=AD69,AE69&gt;=AD69),0,IF(AF69&gt;AE69,((AG69-AD69)*12)*Q69,0)))))</f>
        <v>80734.024000000005</v>
      </c>
      <c r="Y69" s="157">
        <f>X69*U69</f>
        <v>80734.024000000005</v>
      </c>
      <c r="Z69" s="157">
        <v>1</v>
      </c>
      <c r="AA69" s="157">
        <f>Y69*Z69</f>
        <v>80734.024000000005</v>
      </c>
      <c r="AB69" s="157">
        <f>IF(O69&gt;0,0,AA69+V69*Z69)*Z69</f>
        <v>80734.024000000005</v>
      </c>
      <c r="AC69" s="157">
        <f>IF(O69&gt;0,(N69-AA69)/2,IF(AD69&gt;=AG69,(((N69*U69)*Z69)-AB69)/2,((((N69*U69)*Z69)-AA69)+(((N69*U69)*Z69)-AB69))/2))</f>
        <v>20183.505999999994</v>
      </c>
      <c r="AD69" s="157">
        <f>$E69+(($F69-1)/12)</f>
        <v>2007.75</v>
      </c>
      <c r="AE69" s="157">
        <f t="shared" si="35"/>
        <v>2017</v>
      </c>
      <c r="AF69" s="157">
        <f>$K69+(($F69-1)/12)</f>
        <v>2014.75</v>
      </c>
      <c r="AG69" s="157">
        <f t="shared" si="37"/>
        <v>2016</v>
      </c>
      <c r="AH69" s="157">
        <f>$L69+(($M69-1)/12)</f>
        <v>-8.3333333333333329E-2</v>
      </c>
      <c r="AI69" s="157" t="s">
        <v>359</v>
      </c>
    </row>
    <row r="70" spans="1:35">
      <c r="B70" s="156" t="s">
        <v>76</v>
      </c>
      <c r="D70" s="156" t="s">
        <v>165</v>
      </c>
      <c r="E70" s="156">
        <v>2008</v>
      </c>
      <c r="F70" s="156">
        <v>4</v>
      </c>
      <c r="G70" s="156">
        <v>0.2</v>
      </c>
      <c r="I70" s="156" t="s">
        <v>52</v>
      </c>
      <c r="J70" s="156">
        <v>7</v>
      </c>
      <c r="K70" s="156">
        <f t="shared" si="39"/>
        <v>2015</v>
      </c>
      <c r="N70" s="157">
        <v>1987.2</v>
      </c>
      <c r="P70" s="157">
        <f t="shared" si="40"/>
        <v>1589.76</v>
      </c>
      <c r="Q70" s="157">
        <f t="shared" si="41"/>
        <v>18.925714285714285</v>
      </c>
      <c r="R70" s="157">
        <f t="shared" si="42"/>
        <v>0</v>
      </c>
      <c r="S70" s="157">
        <f t="shared" si="43"/>
        <v>0</v>
      </c>
      <c r="T70" s="157">
        <f t="shared" si="44"/>
        <v>0</v>
      </c>
      <c r="U70" s="157">
        <v>1</v>
      </c>
      <c r="V70" s="157">
        <f t="shared" si="45"/>
        <v>0</v>
      </c>
      <c r="X70" s="157">
        <f t="shared" si="46"/>
        <v>1589.76</v>
      </c>
      <c r="Y70" s="157">
        <f t="shared" si="47"/>
        <v>1589.76</v>
      </c>
      <c r="Z70" s="157">
        <v>1</v>
      </c>
      <c r="AA70" s="157">
        <f t="shared" si="48"/>
        <v>1589.76</v>
      </c>
      <c r="AB70" s="157">
        <f t="shared" si="49"/>
        <v>1589.76</v>
      </c>
      <c r="AC70" s="157">
        <f t="shared" si="50"/>
        <v>397.44000000000005</v>
      </c>
      <c r="AD70" s="157">
        <f t="shared" si="34"/>
        <v>2008.25</v>
      </c>
      <c r="AE70" s="157">
        <f t="shared" si="35"/>
        <v>2017</v>
      </c>
      <c r="AF70" s="157">
        <f t="shared" si="36"/>
        <v>2015.25</v>
      </c>
      <c r="AG70" s="157">
        <f t="shared" si="37"/>
        <v>2016</v>
      </c>
      <c r="AH70" s="157">
        <f t="shared" si="38"/>
        <v>-8.3333333333333329E-2</v>
      </c>
    </row>
    <row r="71" spans="1:35">
      <c r="A71" s="156">
        <v>59199</v>
      </c>
      <c r="B71" s="156" t="s">
        <v>76</v>
      </c>
      <c r="C71" s="156" t="s">
        <v>357</v>
      </c>
      <c r="D71" s="156" t="s">
        <v>171</v>
      </c>
      <c r="E71" s="156">
        <v>2008</v>
      </c>
      <c r="F71" s="156">
        <v>6</v>
      </c>
      <c r="G71" s="156">
        <v>0.2</v>
      </c>
      <c r="I71" s="156" t="s">
        <v>52</v>
      </c>
      <c r="J71" s="156">
        <v>7</v>
      </c>
      <c r="K71" s="156">
        <f t="shared" si="39"/>
        <v>2015</v>
      </c>
      <c r="N71" s="157">
        <f>96676.9</f>
        <v>96676.9</v>
      </c>
      <c r="P71" s="157">
        <f t="shared" si="40"/>
        <v>77341.51999999999</v>
      </c>
      <c r="Q71" s="157">
        <f t="shared" si="41"/>
        <v>920.73238095238082</v>
      </c>
      <c r="R71" s="157">
        <f t="shared" si="42"/>
        <v>0</v>
      </c>
      <c r="S71" s="157">
        <f t="shared" si="43"/>
        <v>0</v>
      </c>
      <c r="T71" s="157">
        <f t="shared" si="44"/>
        <v>0</v>
      </c>
      <c r="U71" s="157">
        <v>1</v>
      </c>
      <c r="V71" s="157">
        <f t="shared" si="45"/>
        <v>0</v>
      </c>
      <c r="X71" s="157">
        <f t="shared" si="46"/>
        <v>77341.51999999999</v>
      </c>
      <c r="Y71" s="157">
        <f t="shared" si="47"/>
        <v>77341.51999999999</v>
      </c>
      <c r="Z71" s="157">
        <v>1</v>
      </c>
      <c r="AA71" s="157">
        <f t="shared" si="48"/>
        <v>77341.51999999999</v>
      </c>
      <c r="AB71" s="157">
        <f t="shared" si="49"/>
        <v>77341.51999999999</v>
      </c>
      <c r="AC71" s="157">
        <f t="shared" si="50"/>
        <v>19335.380000000005</v>
      </c>
      <c r="AD71" s="157">
        <f t="shared" si="34"/>
        <v>2008.4166666666667</v>
      </c>
      <c r="AE71" s="157">
        <f t="shared" si="35"/>
        <v>2017</v>
      </c>
      <c r="AF71" s="157">
        <f t="shared" si="36"/>
        <v>2015.4166666666667</v>
      </c>
      <c r="AG71" s="157">
        <f t="shared" si="37"/>
        <v>2016</v>
      </c>
      <c r="AH71" s="157">
        <f t="shared" si="38"/>
        <v>-8.3333333333333329E-2</v>
      </c>
    </row>
    <row r="72" spans="1:35">
      <c r="A72" s="156">
        <v>102177</v>
      </c>
      <c r="B72" s="156" t="s">
        <v>175</v>
      </c>
      <c r="C72" s="156">
        <v>181</v>
      </c>
      <c r="D72" s="156" t="s">
        <v>176</v>
      </c>
      <c r="E72" s="156">
        <v>2008</v>
      </c>
      <c r="F72" s="156">
        <v>7</v>
      </c>
      <c r="G72" s="156">
        <v>0.33</v>
      </c>
      <c r="I72" s="156" t="s">
        <v>52</v>
      </c>
      <c r="J72" s="156">
        <v>5</v>
      </c>
      <c r="K72" s="156">
        <f t="shared" si="39"/>
        <v>2013</v>
      </c>
      <c r="N72" s="157">
        <f>113900.4</f>
        <v>113900.4</v>
      </c>
      <c r="P72" s="157">
        <f t="shared" si="40"/>
        <v>76313.267999999996</v>
      </c>
      <c r="Q72" s="157">
        <f t="shared" si="41"/>
        <v>1271.8878</v>
      </c>
      <c r="R72" s="157">
        <f t="shared" si="42"/>
        <v>0</v>
      </c>
      <c r="S72" s="157">
        <f t="shared" si="43"/>
        <v>0</v>
      </c>
      <c r="T72" s="157">
        <f t="shared" si="44"/>
        <v>0</v>
      </c>
      <c r="U72" s="157">
        <v>1</v>
      </c>
      <c r="V72" s="157">
        <f t="shared" si="45"/>
        <v>0</v>
      </c>
      <c r="X72" s="157">
        <f t="shared" si="46"/>
        <v>76313.267999999996</v>
      </c>
      <c r="Y72" s="157">
        <f t="shared" si="47"/>
        <v>76313.267999999996</v>
      </c>
      <c r="Z72" s="157">
        <v>1</v>
      </c>
      <c r="AA72" s="157">
        <f t="shared" si="48"/>
        <v>76313.267999999996</v>
      </c>
      <c r="AB72" s="157">
        <f t="shared" si="49"/>
        <v>76313.267999999996</v>
      </c>
      <c r="AC72" s="157">
        <f t="shared" si="50"/>
        <v>37587.131999999998</v>
      </c>
      <c r="AD72" s="157">
        <f t="shared" si="34"/>
        <v>2008.5</v>
      </c>
      <c r="AE72" s="157">
        <f t="shared" si="35"/>
        <v>2017</v>
      </c>
      <c r="AF72" s="157">
        <f t="shared" si="36"/>
        <v>2013.5</v>
      </c>
      <c r="AG72" s="157">
        <f t="shared" si="37"/>
        <v>2016</v>
      </c>
      <c r="AH72" s="157">
        <f t="shared" si="38"/>
        <v>-8.3333333333333329E-2</v>
      </c>
    </row>
    <row r="73" spans="1:35">
      <c r="A73" s="156">
        <v>60377</v>
      </c>
      <c r="B73" s="156" t="s">
        <v>76</v>
      </c>
      <c r="C73" s="156" t="s">
        <v>358</v>
      </c>
      <c r="D73" s="156" t="s">
        <v>205</v>
      </c>
      <c r="E73" s="156">
        <v>2008</v>
      </c>
      <c r="F73" s="156">
        <v>11</v>
      </c>
      <c r="G73" s="156">
        <v>0.2</v>
      </c>
      <c r="I73" s="156" t="s">
        <v>52</v>
      </c>
      <c r="J73" s="156">
        <v>7</v>
      </c>
      <c r="K73" s="156">
        <f t="shared" si="39"/>
        <v>2015</v>
      </c>
      <c r="N73" s="157">
        <f>101028.8</f>
        <v>101028.8</v>
      </c>
      <c r="P73" s="157">
        <f t="shared" si="40"/>
        <v>80823.040000000008</v>
      </c>
      <c r="Q73" s="157">
        <f t="shared" si="41"/>
        <v>962.17904761904765</v>
      </c>
      <c r="R73" s="157">
        <f t="shared" si="42"/>
        <v>0</v>
      </c>
      <c r="S73" s="157">
        <f t="shared" si="43"/>
        <v>0</v>
      </c>
      <c r="T73" s="157">
        <f t="shared" si="44"/>
        <v>0</v>
      </c>
      <c r="U73" s="157">
        <v>1</v>
      </c>
      <c r="V73" s="157">
        <f t="shared" si="45"/>
        <v>0</v>
      </c>
      <c r="X73" s="157">
        <f t="shared" si="46"/>
        <v>80823.040000000008</v>
      </c>
      <c r="Y73" s="157">
        <f t="shared" si="47"/>
        <v>80823.040000000008</v>
      </c>
      <c r="Z73" s="157">
        <v>1</v>
      </c>
      <c r="AA73" s="157">
        <f t="shared" si="48"/>
        <v>80823.040000000008</v>
      </c>
      <c r="AB73" s="157">
        <f t="shared" si="49"/>
        <v>80823.040000000008</v>
      </c>
      <c r="AC73" s="157">
        <f t="shared" si="50"/>
        <v>20205.759999999995</v>
      </c>
      <c r="AD73" s="157">
        <f t="shared" si="34"/>
        <v>2008.8333333333333</v>
      </c>
      <c r="AE73" s="157">
        <f t="shared" si="35"/>
        <v>2017</v>
      </c>
      <c r="AF73" s="157">
        <f t="shared" si="36"/>
        <v>2015.8333333333333</v>
      </c>
      <c r="AG73" s="157">
        <f t="shared" si="37"/>
        <v>2016</v>
      </c>
      <c r="AH73" s="157">
        <f t="shared" si="38"/>
        <v>-8.3333333333333329E-2</v>
      </c>
    </row>
    <row r="74" spans="1:35">
      <c r="A74" s="156" t="s">
        <v>287</v>
      </c>
      <c r="B74" s="156" t="s">
        <v>281</v>
      </c>
      <c r="C74" s="156" t="s">
        <v>354</v>
      </c>
      <c r="D74" s="156" t="s">
        <v>360</v>
      </c>
      <c r="E74" s="156">
        <v>2009</v>
      </c>
      <c r="F74" s="156">
        <v>3</v>
      </c>
      <c r="G74" s="156">
        <v>0</v>
      </c>
      <c r="I74" s="156" t="s">
        <v>52</v>
      </c>
      <c r="J74" s="156">
        <v>3</v>
      </c>
      <c r="K74" s="156">
        <f t="shared" si="39"/>
        <v>2012</v>
      </c>
      <c r="N74" s="157">
        <v>20901.78</v>
      </c>
      <c r="P74" s="157">
        <f>N74-N74*G74</f>
        <v>20901.78</v>
      </c>
      <c r="Q74" s="157">
        <f>P74/J74/12</f>
        <v>580.6049999999999</v>
      </c>
      <c r="R74" s="157">
        <f>IF(O74&gt;0,0,IF(OR(AD74&gt;AE74,AF74&lt;AG74),0,IF(AND(AF74&gt;=AG74,AF74&lt;=AE74),Q74*((AF74-AG74)*12),IF(AND(AG74&lt;=AD74,AE74&gt;=AD74),((AE74-AD74)*12)*Q74,IF(AF74&gt;AE74,12*Q74,0)))))</f>
        <v>0</v>
      </c>
      <c r="S74" s="157">
        <f>IF(O74=0,0,IF(AND(AH74&gt;=AG74,AH74&lt;=AF74),((AH74-AG74)*12)*Q74,0))</f>
        <v>0</v>
      </c>
      <c r="T74" s="157">
        <f>IF(S74&gt;0,S74,R74)</f>
        <v>0</v>
      </c>
      <c r="U74" s="157">
        <v>1</v>
      </c>
      <c r="V74" s="157">
        <f>U74*SUM(R74:S74)</f>
        <v>0</v>
      </c>
      <c r="X74" s="157">
        <f>IF(AD74&gt;AE74,0,IF(AF74&lt;AG74,P74,IF(AND(AF74&gt;=AG74,AF74&lt;=AE74),(P74-T74),IF(AND(AG74&lt;=AD74,AE74&gt;=AD74),0,IF(AF74&gt;AE74,((AG74-AD74)*12)*Q74,0)))))</f>
        <v>20901.78</v>
      </c>
      <c r="Y74" s="157">
        <f>X74*U74</f>
        <v>20901.78</v>
      </c>
      <c r="Z74" s="157">
        <v>1</v>
      </c>
      <c r="AA74" s="157">
        <f>Y74*Z74</f>
        <v>20901.78</v>
      </c>
      <c r="AB74" s="157">
        <f>IF(O74&gt;0,0,AA74+V74*Z74)*Z74</f>
        <v>20901.78</v>
      </c>
      <c r="AC74" s="157">
        <f>IF(O74&gt;0,(N74-AA74)/2,IF(AD74&gt;=AG74,(((N74*U74)*Z74)-AB74)/2,((((N74*U74)*Z74)-AA74)+(((N74*U74)*Z74)-AB74))/2))</f>
        <v>0</v>
      </c>
      <c r="AD74" s="157">
        <f t="shared" si="34"/>
        <v>2009.1666666666667</v>
      </c>
      <c r="AE74" s="157">
        <f t="shared" si="35"/>
        <v>2017</v>
      </c>
      <c r="AF74" s="157">
        <f t="shared" si="36"/>
        <v>2012.1666666666667</v>
      </c>
      <c r="AG74" s="157">
        <f t="shared" si="37"/>
        <v>2016</v>
      </c>
      <c r="AH74" s="157">
        <f t="shared" si="38"/>
        <v>-8.3333333333333329E-2</v>
      </c>
    </row>
    <row r="75" spans="1:35">
      <c r="A75" s="156" t="s">
        <v>288</v>
      </c>
      <c r="B75" s="156" t="s">
        <v>281</v>
      </c>
      <c r="C75" s="156" t="s">
        <v>353</v>
      </c>
      <c r="D75" s="156" t="s">
        <v>360</v>
      </c>
      <c r="E75" s="156">
        <v>2009</v>
      </c>
      <c r="F75" s="156">
        <v>6</v>
      </c>
      <c r="G75" s="156">
        <v>0</v>
      </c>
      <c r="I75" s="156" t="s">
        <v>52</v>
      </c>
      <c r="J75" s="156">
        <v>3</v>
      </c>
      <c r="K75" s="156">
        <f t="shared" si="39"/>
        <v>2012</v>
      </c>
      <c r="N75" s="157">
        <v>21020.5</v>
      </c>
      <c r="P75" s="157">
        <f>N75-N75*G75</f>
        <v>21020.5</v>
      </c>
      <c r="Q75" s="157">
        <f>P75/J75/12</f>
        <v>583.90277777777771</v>
      </c>
      <c r="R75" s="157">
        <f>IF(O75&gt;0,0,IF(OR(AD75&gt;AE75,AF75&lt;AG75),0,IF(AND(AF75&gt;=AG75,AF75&lt;=AE75),Q75*((AF75-AG75)*12),IF(AND(AG75&lt;=AD75,AE75&gt;=AD75),((AE75-AD75)*12)*Q75,IF(AF75&gt;AE75,12*Q75,0)))))</f>
        <v>0</v>
      </c>
      <c r="S75" s="157">
        <f>IF(O75=0,0,IF(AND(AH75&gt;=AG75,AH75&lt;=AF75),((AH75-AG75)*12)*Q75,0))</f>
        <v>0</v>
      </c>
      <c r="T75" s="157">
        <f>IF(S75&gt;0,S75,R75)</f>
        <v>0</v>
      </c>
      <c r="U75" s="157">
        <v>1</v>
      </c>
      <c r="V75" s="157">
        <f>U75*SUM(R75:S75)</f>
        <v>0</v>
      </c>
      <c r="X75" s="157">
        <f>IF(AD75&gt;AE75,0,IF(AF75&lt;AG75,P75,IF(AND(AF75&gt;=AG75,AF75&lt;=AE75),(P75-T75),IF(AND(AG75&lt;=AD75,AE75&gt;=AD75),0,IF(AF75&gt;AE75,((AG75-AD75)*12)*Q75,0)))))</f>
        <v>21020.5</v>
      </c>
      <c r="Y75" s="157">
        <f>X75*U75</f>
        <v>21020.5</v>
      </c>
      <c r="Z75" s="157">
        <v>1</v>
      </c>
      <c r="AA75" s="157">
        <f>Y75*Z75</f>
        <v>21020.5</v>
      </c>
      <c r="AB75" s="157">
        <f>IF(O75&gt;0,0,AA75+V75*Z75)*Z75</f>
        <v>21020.5</v>
      </c>
      <c r="AC75" s="157">
        <f>IF(O75&gt;0,(N75-AA75)/2,IF(AD75&gt;=AG75,(((N75*U75)*Z75)-AB75)/2,((((N75*U75)*Z75)-AA75)+(((N75*U75)*Z75)-AB75))/2))</f>
        <v>0</v>
      </c>
      <c r="AD75" s="157">
        <f t="shared" si="34"/>
        <v>2009.4166666666667</v>
      </c>
      <c r="AE75" s="157">
        <f t="shared" si="35"/>
        <v>2017</v>
      </c>
      <c r="AF75" s="157">
        <f t="shared" si="36"/>
        <v>2012.4166666666667</v>
      </c>
      <c r="AG75" s="157">
        <f t="shared" si="37"/>
        <v>2016</v>
      </c>
      <c r="AH75" s="157">
        <f t="shared" si="38"/>
        <v>-8.3333333333333329E-2</v>
      </c>
    </row>
    <row r="76" spans="1:35">
      <c r="A76" s="156">
        <v>102167</v>
      </c>
      <c r="B76" s="156" t="s">
        <v>175</v>
      </c>
      <c r="C76" s="156">
        <v>180</v>
      </c>
      <c r="D76" s="156" t="s">
        <v>235</v>
      </c>
      <c r="E76" s="156">
        <v>2009</v>
      </c>
      <c r="F76" s="156">
        <v>7</v>
      </c>
      <c r="G76" s="156">
        <v>0.33</v>
      </c>
      <c r="I76" s="156" t="s">
        <v>52</v>
      </c>
      <c r="J76" s="156">
        <v>7</v>
      </c>
      <c r="K76" s="156">
        <f t="shared" si="39"/>
        <v>2016</v>
      </c>
      <c r="N76" s="157">
        <f>23500</f>
        <v>23500</v>
      </c>
      <c r="P76" s="157">
        <f t="shared" si="40"/>
        <v>15745</v>
      </c>
      <c r="Q76" s="157">
        <f t="shared" si="41"/>
        <v>187.44047619047618</v>
      </c>
      <c r="R76" s="157">
        <f t="shared" si="42"/>
        <v>1124.6428571428571</v>
      </c>
      <c r="S76" s="157">
        <f t="shared" si="43"/>
        <v>0</v>
      </c>
      <c r="T76" s="157">
        <f t="shared" si="44"/>
        <v>1124.6428571428571</v>
      </c>
      <c r="U76" s="157">
        <v>1</v>
      </c>
      <c r="V76" s="157">
        <f t="shared" si="45"/>
        <v>1124.6428571428571</v>
      </c>
      <c r="X76" s="157">
        <f t="shared" si="46"/>
        <v>14620.357142857143</v>
      </c>
      <c r="Y76" s="157">
        <f t="shared" si="47"/>
        <v>14620.357142857143</v>
      </c>
      <c r="Z76" s="157">
        <v>1</v>
      </c>
      <c r="AA76" s="157">
        <f t="shared" si="48"/>
        <v>14620.357142857143</v>
      </c>
      <c r="AB76" s="157">
        <f t="shared" si="49"/>
        <v>15745</v>
      </c>
      <c r="AC76" s="157">
        <f t="shared" si="50"/>
        <v>8317.3214285714275</v>
      </c>
      <c r="AD76" s="157">
        <f t="shared" si="34"/>
        <v>2009.5</v>
      </c>
      <c r="AE76" s="157">
        <f t="shared" si="35"/>
        <v>2017</v>
      </c>
      <c r="AF76" s="157">
        <f t="shared" si="36"/>
        <v>2016.5</v>
      </c>
      <c r="AG76" s="157">
        <f t="shared" si="37"/>
        <v>2016</v>
      </c>
      <c r="AH76" s="157">
        <f t="shared" si="38"/>
        <v>-8.3333333333333329E-2</v>
      </c>
    </row>
    <row r="77" spans="1:35">
      <c r="A77" s="156">
        <v>102168</v>
      </c>
      <c r="B77" s="156" t="s">
        <v>175</v>
      </c>
      <c r="C77" s="156">
        <v>180</v>
      </c>
      <c r="D77" s="156" t="s">
        <v>236</v>
      </c>
      <c r="E77" s="156">
        <v>2009</v>
      </c>
      <c r="F77" s="156">
        <v>5</v>
      </c>
      <c r="G77" s="156">
        <v>0</v>
      </c>
      <c r="I77" s="156" t="s">
        <v>52</v>
      </c>
      <c r="J77" s="156">
        <v>3</v>
      </c>
      <c r="K77" s="156">
        <f t="shared" si="39"/>
        <v>2012</v>
      </c>
      <c r="N77" s="157">
        <f>7240.26</f>
        <v>7240.26</v>
      </c>
      <c r="P77" s="157">
        <f t="shared" si="40"/>
        <v>7240.26</v>
      </c>
      <c r="Q77" s="157">
        <f t="shared" si="41"/>
        <v>201.11833333333334</v>
      </c>
      <c r="R77" s="157">
        <f t="shared" si="42"/>
        <v>0</v>
      </c>
      <c r="S77" s="157">
        <f t="shared" si="43"/>
        <v>0</v>
      </c>
      <c r="T77" s="157">
        <f t="shared" si="44"/>
        <v>0</v>
      </c>
      <c r="U77" s="157">
        <v>1</v>
      </c>
      <c r="V77" s="157">
        <f t="shared" si="45"/>
        <v>0</v>
      </c>
      <c r="X77" s="157">
        <f t="shared" si="46"/>
        <v>7240.26</v>
      </c>
      <c r="Y77" s="157">
        <f t="shared" si="47"/>
        <v>7240.26</v>
      </c>
      <c r="Z77" s="157">
        <v>1</v>
      </c>
      <c r="AA77" s="157">
        <f t="shared" si="48"/>
        <v>7240.26</v>
      </c>
      <c r="AB77" s="157">
        <f t="shared" si="49"/>
        <v>7240.26</v>
      </c>
      <c r="AC77" s="157">
        <f t="shared" si="50"/>
        <v>0</v>
      </c>
      <c r="AD77" s="157">
        <f t="shared" si="34"/>
        <v>2009.3333333333333</v>
      </c>
      <c r="AE77" s="157">
        <f t="shared" si="35"/>
        <v>2017</v>
      </c>
      <c r="AF77" s="157">
        <f t="shared" si="36"/>
        <v>2012.3333333333333</v>
      </c>
      <c r="AG77" s="157">
        <f t="shared" si="37"/>
        <v>2016</v>
      </c>
      <c r="AH77" s="157">
        <f t="shared" si="38"/>
        <v>-8.3333333333333329E-2</v>
      </c>
    </row>
    <row r="78" spans="1:35">
      <c r="A78" s="156">
        <v>102169</v>
      </c>
      <c r="B78" s="156" t="s">
        <v>175</v>
      </c>
      <c r="C78" s="156">
        <v>182</v>
      </c>
      <c r="D78" s="156" t="s">
        <v>237</v>
      </c>
      <c r="E78" s="156">
        <v>2009</v>
      </c>
      <c r="F78" s="156">
        <v>8</v>
      </c>
      <c r="G78" s="156">
        <v>0.33</v>
      </c>
      <c r="I78" s="156" t="s">
        <v>52</v>
      </c>
      <c r="J78" s="156">
        <v>5</v>
      </c>
      <c r="K78" s="156">
        <f t="shared" si="39"/>
        <v>2014</v>
      </c>
      <c r="N78" s="157">
        <f>75813.16</f>
        <v>75813.16</v>
      </c>
      <c r="P78" s="157">
        <f t="shared" si="40"/>
        <v>50794.817200000005</v>
      </c>
      <c r="Q78" s="157">
        <f t="shared" si="41"/>
        <v>846.58028666666678</v>
      </c>
      <c r="R78" s="157">
        <f t="shared" si="42"/>
        <v>0</v>
      </c>
      <c r="S78" s="157">
        <f t="shared" si="43"/>
        <v>0</v>
      </c>
      <c r="T78" s="157">
        <f t="shared" si="44"/>
        <v>0</v>
      </c>
      <c r="U78" s="157">
        <v>1</v>
      </c>
      <c r="V78" s="157">
        <f t="shared" si="45"/>
        <v>0</v>
      </c>
      <c r="X78" s="157">
        <f t="shared" si="46"/>
        <v>50794.817200000005</v>
      </c>
      <c r="Y78" s="157">
        <f t="shared" si="47"/>
        <v>50794.817200000005</v>
      </c>
      <c r="Z78" s="157">
        <v>1</v>
      </c>
      <c r="AA78" s="157">
        <f t="shared" si="48"/>
        <v>50794.817200000005</v>
      </c>
      <c r="AB78" s="157">
        <f t="shared" si="49"/>
        <v>50794.817200000005</v>
      </c>
      <c r="AC78" s="157">
        <f t="shared" si="50"/>
        <v>25018.342799999999</v>
      </c>
      <c r="AD78" s="157">
        <f t="shared" si="34"/>
        <v>2009.5833333333333</v>
      </c>
      <c r="AE78" s="157">
        <f t="shared" si="35"/>
        <v>2017</v>
      </c>
      <c r="AF78" s="157">
        <f t="shared" si="36"/>
        <v>2014.5833333333333</v>
      </c>
      <c r="AG78" s="157">
        <f t="shared" si="37"/>
        <v>2016</v>
      </c>
      <c r="AH78" s="157">
        <f t="shared" si="38"/>
        <v>-8.3333333333333329E-2</v>
      </c>
    </row>
    <row r="79" spans="1:35">
      <c r="A79" s="156">
        <v>72192</v>
      </c>
      <c r="B79" s="156" t="s">
        <v>76</v>
      </c>
      <c r="C79" s="156">
        <v>536</v>
      </c>
      <c r="D79" s="156" t="s">
        <v>203</v>
      </c>
      <c r="E79" s="156">
        <v>2010</v>
      </c>
      <c r="F79" s="156">
        <v>1</v>
      </c>
      <c r="G79" s="156">
        <v>0.33</v>
      </c>
      <c r="I79" s="156" t="s">
        <v>52</v>
      </c>
      <c r="J79" s="156">
        <v>5</v>
      </c>
      <c r="K79" s="156">
        <f t="shared" si="39"/>
        <v>2015</v>
      </c>
      <c r="N79" s="157">
        <v>10930</v>
      </c>
      <c r="P79" s="157">
        <f t="shared" si="40"/>
        <v>7323.1</v>
      </c>
      <c r="Q79" s="157">
        <f t="shared" si="41"/>
        <v>122.05166666666668</v>
      </c>
      <c r="R79" s="157">
        <f t="shared" si="42"/>
        <v>0</v>
      </c>
      <c r="S79" s="157">
        <f t="shared" si="43"/>
        <v>0</v>
      </c>
      <c r="T79" s="157">
        <f t="shared" si="44"/>
        <v>0</v>
      </c>
      <c r="U79" s="157">
        <v>1</v>
      </c>
      <c r="V79" s="157">
        <f t="shared" si="45"/>
        <v>0</v>
      </c>
      <c r="X79" s="157">
        <f t="shared" si="46"/>
        <v>7323.1</v>
      </c>
      <c r="Y79" s="157">
        <f t="shared" si="47"/>
        <v>7323.1</v>
      </c>
      <c r="Z79" s="157">
        <v>1</v>
      </c>
      <c r="AA79" s="157">
        <f t="shared" si="48"/>
        <v>7323.1</v>
      </c>
      <c r="AB79" s="157">
        <f t="shared" si="49"/>
        <v>7323.1</v>
      </c>
      <c r="AC79" s="157">
        <f t="shared" si="50"/>
        <v>3606.8999999999996</v>
      </c>
      <c r="AD79" s="157">
        <f t="shared" si="34"/>
        <v>2010</v>
      </c>
      <c r="AE79" s="157">
        <f t="shared" si="35"/>
        <v>2017</v>
      </c>
      <c r="AF79" s="157">
        <f t="shared" si="36"/>
        <v>2015</v>
      </c>
      <c r="AG79" s="157">
        <f t="shared" si="37"/>
        <v>2016</v>
      </c>
      <c r="AH79" s="157">
        <f t="shared" si="38"/>
        <v>-8.3333333333333329E-2</v>
      </c>
    </row>
    <row r="80" spans="1:35">
      <c r="A80" s="156">
        <v>102187</v>
      </c>
      <c r="B80" s="156" t="s">
        <v>175</v>
      </c>
      <c r="C80" s="156">
        <v>183</v>
      </c>
      <c r="D80" s="156" t="s">
        <v>239</v>
      </c>
      <c r="E80" s="156">
        <v>2010</v>
      </c>
      <c r="F80" s="156">
        <v>5</v>
      </c>
      <c r="G80" s="156">
        <v>0.33</v>
      </c>
      <c r="I80" s="156" t="s">
        <v>52</v>
      </c>
      <c r="J80" s="156">
        <v>5</v>
      </c>
      <c r="K80" s="156">
        <f t="shared" si="39"/>
        <v>2015</v>
      </c>
      <c r="N80" s="157">
        <f>76172</f>
        <v>76172</v>
      </c>
      <c r="P80" s="157">
        <f t="shared" si="40"/>
        <v>51035.24</v>
      </c>
      <c r="Q80" s="157">
        <f t="shared" si="41"/>
        <v>850.58733333333328</v>
      </c>
      <c r="R80" s="157">
        <f t="shared" si="42"/>
        <v>0</v>
      </c>
      <c r="S80" s="157">
        <f t="shared" si="43"/>
        <v>0</v>
      </c>
      <c r="T80" s="157">
        <f t="shared" si="44"/>
        <v>0</v>
      </c>
      <c r="U80" s="157">
        <v>1</v>
      </c>
      <c r="V80" s="157">
        <f t="shared" si="45"/>
        <v>0</v>
      </c>
      <c r="X80" s="157">
        <f t="shared" si="46"/>
        <v>51035.24</v>
      </c>
      <c r="Y80" s="157">
        <f t="shared" si="47"/>
        <v>51035.24</v>
      </c>
      <c r="Z80" s="157">
        <v>1</v>
      </c>
      <c r="AA80" s="157">
        <f t="shared" si="48"/>
        <v>51035.24</v>
      </c>
      <c r="AB80" s="157">
        <f t="shared" si="49"/>
        <v>51035.24</v>
      </c>
      <c r="AC80" s="157">
        <f t="shared" si="50"/>
        <v>25136.760000000002</v>
      </c>
      <c r="AD80" s="157">
        <f t="shared" si="34"/>
        <v>2010.3333333333333</v>
      </c>
      <c r="AE80" s="157">
        <f t="shared" si="35"/>
        <v>2017</v>
      </c>
      <c r="AF80" s="157">
        <f t="shared" si="36"/>
        <v>2015.3333333333333</v>
      </c>
      <c r="AG80" s="157">
        <f t="shared" si="37"/>
        <v>2016</v>
      </c>
      <c r="AH80" s="157">
        <f t="shared" si="38"/>
        <v>-8.3333333333333329E-2</v>
      </c>
    </row>
    <row r="81" spans="1:34">
      <c r="B81" s="156" t="s">
        <v>214</v>
      </c>
      <c r="C81" s="156">
        <v>169</v>
      </c>
      <c r="D81" s="156" t="s">
        <v>204</v>
      </c>
      <c r="E81" s="156">
        <v>2010</v>
      </c>
      <c r="F81" s="156">
        <v>10</v>
      </c>
      <c r="G81" s="156">
        <v>0</v>
      </c>
      <c r="I81" s="156" t="s">
        <v>52</v>
      </c>
      <c r="J81" s="156">
        <v>3</v>
      </c>
      <c r="K81" s="156">
        <f t="shared" si="39"/>
        <v>2013</v>
      </c>
      <c r="N81" s="157">
        <f>12406</f>
        <v>12406</v>
      </c>
      <c r="P81" s="157">
        <f t="shared" si="40"/>
        <v>12406</v>
      </c>
      <c r="Q81" s="157">
        <f t="shared" si="41"/>
        <v>344.61111111111109</v>
      </c>
      <c r="R81" s="157">
        <f t="shared" si="42"/>
        <v>0</v>
      </c>
      <c r="S81" s="157">
        <f t="shared" si="43"/>
        <v>0</v>
      </c>
      <c r="T81" s="157">
        <f t="shared" si="44"/>
        <v>0</v>
      </c>
      <c r="U81" s="157">
        <v>1</v>
      </c>
      <c r="V81" s="157">
        <f t="shared" si="45"/>
        <v>0</v>
      </c>
      <c r="X81" s="157">
        <f t="shared" si="46"/>
        <v>12406</v>
      </c>
      <c r="Y81" s="157">
        <f t="shared" si="47"/>
        <v>12406</v>
      </c>
      <c r="Z81" s="157">
        <v>1</v>
      </c>
      <c r="AA81" s="157">
        <f t="shared" si="48"/>
        <v>12406</v>
      </c>
      <c r="AB81" s="157">
        <f t="shared" si="49"/>
        <v>12406</v>
      </c>
      <c r="AC81" s="157">
        <f t="shared" si="50"/>
        <v>0</v>
      </c>
      <c r="AD81" s="157">
        <f t="shared" si="34"/>
        <v>2010.75</v>
      </c>
      <c r="AE81" s="157">
        <f t="shared" si="35"/>
        <v>2017</v>
      </c>
      <c r="AF81" s="157">
        <f t="shared" si="36"/>
        <v>2013.75</v>
      </c>
      <c r="AG81" s="157">
        <f t="shared" si="37"/>
        <v>2016</v>
      </c>
      <c r="AH81" s="157">
        <f t="shared" si="38"/>
        <v>-8.3333333333333329E-2</v>
      </c>
    </row>
    <row r="82" spans="1:34">
      <c r="A82" s="156" t="s">
        <v>289</v>
      </c>
      <c r="B82" s="156" t="s">
        <v>281</v>
      </c>
      <c r="C82" s="156" t="s">
        <v>351</v>
      </c>
      <c r="D82" s="156" t="s">
        <v>361</v>
      </c>
      <c r="E82" s="156">
        <v>2011</v>
      </c>
      <c r="F82" s="156">
        <v>1</v>
      </c>
      <c r="G82" s="156">
        <v>0</v>
      </c>
      <c r="I82" s="156" t="s">
        <v>52</v>
      </c>
      <c r="J82" s="156">
        <v>3</v>
      </c>
      <c r="K82" s="156">
        <f t="shared" si="39"/>
        <v>2014</v>
      </c>
      <c r="N82" s="157">
        <v>34104.480000000003</v>
      </c>
      <c r="P82" s="157">
        <f>N82-N82*G82</f>
        <v>34104.480000000003</v>
      </c>
      <c r="Q82" s="157">
        <f>P82/J82/12</f>
        <v>947.34666666666681</v>
      </c>
      <c r="R82" s="157">
        <f>IF(O82&gt;0,0,IF(OR(AD82&gt;AE82,AF82&lt;AG82),0,IF(AND(AF82&gt;=AG82,AF82&lt;=AE82),Q82*((AF82-AG82)*12),IF(AND(AG82&lt;=AD82,AE82&gt;=AD82),((AE82-AD82)*12)*Q82,IF(AF82&gt;AE82,12*Q82,0)))))</f>
        <v>0</v>
      </c>
      <c r="S82" s="157">
        <f>IF(O82=0,0,IF(AND(AH82&gt;=AG82,AH82&lt;=AF82),((AH82-AG82)*12)*Q82,0))</f>
        <v>0</v>
      </c>
      <c r="T82" s="157">
        <f>IF(S82&gt;0,S82,R82)</f>
        <v>0</v>
      </c>
      <c r="U82" s="157">
        <v>1</v>
      </c>
      <c r="V82" s="157">
        <f>U82*SUM(R82:S82)</f>
        <v>0</v>
      </c>
      <c r="X82" s="157">
        <f>IF(AD82&gt;AE82,0,IF(AF82&lt;AG82,P82,IF(AND(AF82&gt;=AG82,AF82&lt;=AE82),(P82-T82),IF(AND(AG82&lt;=AD82,AE82&gt;=AD82),0,IF(AF82&gt;AE82,((AG82-AD82)*12)*Q82,0)))))</f>
        <v>34104.480000000003</v>
      </c>
      <c r="Y82" s="157">
        <f>X82*U82</f>
        <v>34104.480000000003</v>
      </c>
      <c r="Z82" s="157">
        <v>1</v>
      </c>
      <c r="AA82" s="157">
        <f>Y82*Z82</f>
        <v>34104.480000000003</v>
      </c>
      <c r="AB82" s="157">
        <f>IF(O82&gt;0,0,AA82+V82*Z82)*Z82</f>
        <v>34104.480000000003</v>
      </c>
      <c r="AC82" s="157">
        <f>IF(O82&gt;0,(N82-AA82)/2,IF(AD82&gt;=AG82,(((N82*U82)*Z82)-AB82)/2,((((N82*U82)*Z82)-AA82)+(((N82*U82)*Z82)-AB82))/2))</f>
        <v>0</v>
      </c>
      <c r="AD82" s="157">
        <f t="shared" si="34"/>
        <v>2011</v>
      </c>
      <c r="AE82" s="157">
        <f t="shared" si="35"/>
        <v>2017</v>
      </c>
      <c r="AF82" s="157">
        <f t="shared" si="36"/>
        <v>2014</v>
      </c>
      <c r="AG82" s="157">
        <f t="shared" si="37"/>
        <v>2016</v>
      </c>
      <c r="AH82" s="157">
        <f t="shared" si="38"/>
        <v>-8.3333333333333329E-2</v>
      </c>
    </row>
    <row r="83" spans="1:34">
      <c r="A83" s="156">
        <v>85258</v>
      </c>
      <c r="B83" s="156" t="s">
        <v>175</v>
      </c>
      <c r="C83" s="156">
        <v>185</v>
      </c>
      <c r="D83" s="156" t="s">
        <v>206</v>
      </c>
      <c r="E83" s="156">
        <v>2011</v>
      </c>
      <c r="F83" s="156">
        <v>7</v>
      </c>
      <c r="G83" s="156">
        <v>0.2</v>
      </c>
      <c r="I83" s="156" t="s">
        <v>52</v>
      </c>
      <c r="J83" s="156">
        <v>5</v>
      </c>
      <c r="K83" s="156">
        <f t="shared" si="39"/>
        <v>2016</v>
      </c>
      <c r="N83" s="157">
        <f>(71987.66+3825.5)</f>
        <v>75813.16</v>
      </c>
      <c r="P83" s="157">
        <f t="shared" si="40"/>
        <v>60650.528000000006</v>
      </c>
      <c r="Q83" s="157">
        <f t="shared" si="41"/>
        <v>1010.8421333333334</v>
      </c>
      <c r="R83" s="157">
        <f t="shared" si="42"/>
        <v>6065.0528000000004</v>
      </c>
      <c r="S83" s="157">
        <f t="shared" si="43"/>
        <v>0</v>
      </c>
      <c r="T83" s="157">
        <f t="shared" si="44"/>
        <v>6065.0528000000004</v>
      </c>
      <c r="U83" s="157">
        <v>1</v>
      </c>
      <c r="V83" s="157">
        <f t="shared" si="45"/>
        <v>6065.0528000000004</v>
      </c>
      <c r="X83" s="157">
        <f t="shared" si="46"/>
        <v>54585.475200000008</v>
      </c>
      <c r="Y83" s="157">
        <f t="shared" si="47"/>
        <v>54585.475200000008</v>
      </c>
      <c r="Z83" s="157">
        <v>1</v>
      </c>
      <c r="AA83" s="157">
        <f t="shared" si="48"/>
        <v>54585.475200000008</v>
      </c>
      <c r="AB83" s="157">
        <f t="shared" si="49"/>
        <v>60650.528000000006</v>
      </c>
      <c r="AC83" s="157">
        <f t="shared" si="50"/>
        <v>18195.158399999997</v>
      </c>
      <c r="AD83" s="157">
        <f t="shared" si="34"/>
        <v>2011.5</v>
      </c>
      <c r="AE83" s="157">
        <f t="shared" si="35"/>
        <v>2017</v>
      </c>
      <c r="AF83" s="157">
        <f t="shared" si="36"/>
        <v>2016.5</v>
      </c>
      <c r="AG83" s="157">
        <f t="shared" si="37"/>
        <v>2016</v>
      </c>
      <c r="AH83" s="157">
        <f t="shared" si="38"/>
        <v>-8.3333333333333329E-2</v>
      </c>
    </row>
    <row r="84" spans="1:34">
      <c r="A84" s="156">
        <v>102169</v>
      </c>
      <c r="B84" s="156" t="s">
        <v>175</v>
      </c>
      <c r="C84" s="156">
        <v>182</v>
      </c>
      <c r="D84" s="156" t="s">
        <v>238</v>
      </c>
      <c r="E84" s="156">
        <v>2011</v>
      </c>
      <c r="F84" s="156">
        <v>3</v>
      </c>
      <c r="G84" s="156">
        <v>0</v>
      </c>
      <c r="I84" s="156" t="s">
        <v>52</v>
      </c>
      <c r="J84" s="156">
        <v>3</v>
      </c>
      <c r="K84" s="156">
        <f t="shared" si="39"/>
        <v>2014</v>
      </c>
      <c r="N84" s="157">
        <f>8744</f>
        <v>8744</v>
      </c>
      <c r="P84" s="157">
        <f t="shared" si="40"/>
        <v>8744</v>
      </c>
      <c r="Q84" s="157">
        <f t="shared" si="41"/>
        <v>242.88888888888889</v>
      </c>
      <c r="R84" s="157">
        <f t="shared" si="42"/>
        <v>0</v>
      </c>
      <c r="S84" s="157">
        <f t="shared" si="43"/>
        <v>0</v>
      </c>
      <c r="T84" s="157">
        <f t="shared" si="44"/>
        <v>0</v>
      </c>
      <c r="U84" s="157">
        <v>1</v>
      </c>
      <c r="V84" s="157">
        <f t="shared" si="45"/>
        <v>0</v>
      </c>
      <c r="X84" s="157">
        <f t="shared" si="46"/>
        <v>8744</v>
      </c>
      <c r="Y84" s="157">
        <f t="shared" si="47"/>
        <v>8744</v>
      </c>
      <c r="Z84" s="157">
        <v>1</v>
      </c>
      <c r="AA84" s="157">
        <f t="shared" si="48"/>
        <v>8744</v>
      </c>
      <c r="AB84" s="157">
        <f t="shared" si="49"/>
        <v>8744</v>
      </c>
      <c r="AC84" s="157">
        <f t="shared" si="50"/>
        <v>0</v>
      </c>
      <c r="AD84" s="157">
        <f t="shared" si="34"/>
        <v>2011.1666666666667</v>
      </c>
      <c r="AE84" s="157">
        <f t="shared" si="35"/>
        <v>2017</v>
      </c>
      <c r="AF84" s="157">
        <f t="shared" si="36"/>
        <v>2014.1666666666667</v>
      </c>
      <c r="AG84" s="157">
        <f t="shared" si="37"/>
        <v>2016</v>
      </c>
      <c r="AH84" s="157">
        <f t="shared" si="38"/>
        <v>-8.3333333333333329E-2</v>
      </c>
    </row>
    <row r="85" spans="1:34">
      <c r="A85" s="156">
        <v>106910</v>
      </c>
      <c r="C85" s="156">
        <v>149</v>
      </c>
      <c r="D85" s="156" t="s">
        <v>274</v>
      </c>
      <c r="E85" s="156">
        <v>2013</v>
      </c>
      <c r="F85" s="156">
        <v>8</v>
      </c>
      <c r="G85" s="156">
        <v>0</v>
      </c>
      <c r="I85" s="156" t="s">
        <v>52</v>
      </c>
      <c r="J85" s="156">
        <v>3</v>
      </c>
      <c r="K85" s="156">
        <f t="shared" si="39"/>
        <v>2016</v>
      </c>
      <c r="N85" s="157">
        <v>12155.92</v>
      </c>
      <c r="P85" s="157">
        <f t="shared" si="40"/>
        <v>12155.92</v>
      </c>
      <c r="Q85" s="157">
        <f t="shared" si="41"/>
        <v>337.66444444444443</v>
      </c>
      <c r="R85" s="157">
        <f t="shared" si="42"/>
        <v>2363.6511111108039</v>
      </c>
      <c r="S85" s="157">
        <f t="shared" si="43"/>
        <v>0</v>
      </c>
      <c r="T85" s="157">
        <f t="shared" si="44"/>
        <v>2363.6511111108039</v>
      </c>
      <c r="U85" s="157">
        <v>1</v>
      </c>
      <c r="V85" s="157">
        <f t="shared" si="45"/>
        <v>2363.6511111108039</v>
      </c>
      <c r="X85" s="157">
        <f t="shared" si="46"/>
        <v>9792.2688888891971</v>
      </c>
      <c r="Y85" s="157">
        <f t="shared" si="47"/>
        <v>9792.2688888891971</v>
      </c>
      <c r="Z85" s="157">
        <v>1</v>
      </c>
      <c r="AA85" s="157">
        <f t="shared" si="48"/>
        <v>9792.2688888891971</v>
      </c>
      <c r="AB85" s="157">
        <f t="shared" si="49"/>
        <v>12155.920000000002</v>
      </c>
      <c r="AC85" s="157">
        <f t="shared" si="50"/>
        <v>1181.8255555554006</v>
      </c>
      <c r="AD85" s="157">
        <f t="shared" si="34"/>
        <v>2013.5833333333333</v>
      </c>
      <c r="AE85" s="157">
        <f t="shared" si="35"/>
        <v>2017</v>
      </c>
      <c r="AF85" s="157">
        <f t="shared" si="36"/>
        <v>2016.5833333333333</v>
      </c>
      <c r="AG85" s="157">
        <f t="shared" si="37"/>
        <v>2016</v>
      </c>
      <c r="AH85" s="157">
        <f t="shared" si="38"/>
        <v>-8.3333333333333329E-2</v>
      </c>
    </row>
    <row r="86" spans="1:34">
      <c r="A86" s="156">
        <v>106743</v>
      </c>
      <c r="C86" s="156" t="s">
        <v>276</v>
      </c>
      <c r="D86" s="156" t="s">
        <v>279</v>
      </c>
      <c r="E86" s="156">
        <v>2013</v>
      </c>
      <c r="F86" s="156">
        <v>8</v>
      </c>
      <c r="G86" s="156">
        <v>0.2</v>
      </c>
      <c r="I86" s="156" t="s">
        <v>52</v>
      </c>
      <c r="J86" s="156">
        <v>7</v>
      </c>
      <c r="K86" s="156">
        <f t="shared" si="39"/>
        <v>2020</v>
      </c>
      <c r="N86" s="157">
        <v>39274.82</v>
      </c>
      <c r="P86" s="157">
        <f t="shared" si="40"/>
        <v>31419.856</v>
      </c>
      <c r="Q86" s="157">
        <f t="shared" si="41"/>
        <v>374.04590476190475</v>
      </c>
      <c r="R86" s="157">
        <f t="shared" si="42"/>
        <v>4488.5508571428572</v>
      </c>
      <c r="S86" s="157">
        <f t="shared" si="43"/>
        <v>0</v>
      </c>
      <c r="T86" s="157">
        <f t="shared" si="44"/>
        <v>4488.5508571428572</v>
      </c>
      <c r="U86" s="157">
        <v>1</v>
      </c>
      <c r="V86" s="157">
        <f t="shared" si="45"/>
        <v>4488.5508571428572</v>
      </c>
      <c r="X86" s="157">
        <f t="shared" si="46"/>
        <v>10847.331238095578</v>
      </c>
      <c r="Y86" s="157">
        <f t="shared" si="47"/>
        <v>10847.331238095578</v>
      </c>
      <c r="Z86" s="157">
        <v>1</v>
      </c>
      <c r="AA86" s="157">
        <f t="shared" si="48"/>
        <v>10847.331238095578</v>
      </c>
      <c r="AB86" s="157">
        <f t="shared" si="49"/>
        <v>15335.882095238434</v>
      </c>
      <c r="AC86" s="157">
        <f t="shared" si="50"/>
        <v>26183.213333332995</v>
      </c>
      <c r="AD86" s="157">
        <f t="shared" si="34"/>
        <v>2013.5833333333333</v>
      </c>
      <c r="AE86" s="157">
        <f t="shared" si="35"/>
        <v>2017</v>
      </c>
      <c r="AF86" s="157">
        <f t="shared" si="36"/>
        <v>2020.5833333333333</v>
      </c>
      <c r="AG86" s="157">
        <f t="shared" si="37"/>
        <v>2016</v>
      </c>
      <c r="AH86" s="157">
        <f t="shared" si="38"/>
        <v>-8.3333333333333329E-2</v>
      </c>
    </row>
    <row r="87" spans="1:34">
      <c r="A87" s="156">
        <v>106796</v>
      </c>
      <c r="C87" s="156" t="s">
        <v>277</v>
      </c>
      <c r="D87" s="156" t="s">
        <v>279</v>
      </c>
      <c r="E87" s="156">
        <v>2013</v>
      </c>
      <c r="F87" s="156">
        <v>8</v>
      </c>
      <c r="G87" s="156">
        <v>0.2</v>
      </c>
      <c r="I87" s="156" t="s">
        <v>52</v>
      </c>
      <c r="J87" s="156">
        <v>7</v>
      </c>
      <c r="K87" s="156">
        <f t="shared" si="39"/>
        <v>2020</v>
      </c>
      <c r="N87" s="157">
        <v>39274.82</v>
      </c>
      <c r="P87" s="157">
        <f t="shared" si="40"/>
        <v>31419.856</v>
      </c>
      <c r="Q87" s="157">
        <f t="shared" si="41"/>
        <v>374.04590476190475</v>
      </c>
      <c r="R87" s="157">
        <f t="shared" si="42"/>
        <v>4488.5508571428572</v>
      </c>
      <c r="S87" s="157">
        <f t="shared" si="43"/>
        <v>0</v>
      </c>
      <c r="T87" s="157">
        <f t="shared" si="44"/>
        <v>4488.5508571428572</v>
      </c>
      <c r="U87" s="157">
        <v>1</v>
      </c>
      <c r="V87" s="157">
        <f t="shared" si="45"/>
        <v>4488.5508571428572</v>
      </c>
      <c r="X87" s="157">
        <f t="shared" si="46"/>
        <v>10847.331238095578</v>
      </c>
      <c r="Y87" s="157">
        <f t="shared" si="47"/>
        <v>10847.331238095578</v>
      </c>
      <c r="Z87" s="157">
        <v>1</v>
      </c>
      <c r="AA87" s="157">
        <f t="shared" si="48"/>
        <v>10847.331238095578</v>
      </c>
      <c r="AB87" s="157">
        <f t="shared" si="49"/>
        <v>15335.882095238434</v>
      </c>
      <c r="AC87" s="157">
        <f t="shared" si="50"/>
        <v>26183.213333332995</v>
      </c>
      <c r="AD87" s="157">
        <f t="shared" si="34"/>
        <v>2013.5833333333333</v>
      </c>
      <c r="AE87" s="157">
        <f t="shared" si="35"/>
        <v>2017</v>
      </c>
      <c r="AF87" s="157">
        <f t="shared" si="36"/>
        <v>2020.5833333333333</v>
      </c>
      <c r="AG87" s="157">
        <f t="shared" si="37"/>
        <v>2016</v>
      </c>
      <c r="AH87" s="157">
        <f t="shared" si="38"/>
        <v>-8.3333333333333329E-2</v>
      </c>
    </row>
    <row r="88" spans="1:34">
      <c r="A88" s="156">
        <v>106797</v>
      </c>
      <c r="C88" s="156" t="s">
        <v>278</v>
      </c>
      <c r="D88" s="156" t="s">
        <v>279</v>
      </c>
      <c r="E88" s="156">
        <v>2013</v>
      </c>
      <c r="F88" s="156">
        <v>8</v>
      </c>
      <c r="G88" s="156">
        <v>0.2</v>
      </c>
      <c r="I88" s="156" t="s">
        <v>52</v>
      </c>
      <c r="J88" s="156">
        <v>7</v>
      </c>
      <c r="K88" s="156">
        <f t="shared" si="39"/>
        <v>2020</v>
      </c>
      <c r="N88" s="157">
        <v>39274.82</v>
      </c>
      <c r="P88" s="157">
        <f t="shared" si="40"/>
        <v>31419.856</v>
      </c>
      <c r="Q88" s="157">
        <f t="shared" si="41"/>
        <v>374.04590476190475</v>
      </c>
      <c r="R88" s="157">
        <f t="shared" si="42"/>
        <v>4488.5508571428572</v>
      </c>
      <c r="S88" s="157">
        <f t="shared" si="43"/>
        <v>0</v>
      </c>
      <c r="T88" s="157">
        <f t="shared" si="44"/>
        <v>4488.5508571428572</v>
      </c>
      <c r="U88" s="157">
        <v>1</v>
      </c>
      <c r="V88" s="157">
        <f t="shared" si="45"/>
        <v>4488.5508571428572</v>
      </c>
      <c r="X88" s="157">
        <f t="shared" si="46"/>
        <v>10847.331238095578</v>
      </c>
      <c r="Y88" s="157">
        <f t="shared" si="47"/>
        <v>10847.331238095578</v>
      </c>
      <c r="Z88" s="157">
        <v>1</v>
      </c>
      <c r="AA88" s="157">
        <f t="shared" si="48"/>
        <v>10847.331238095578</v>
      </c>
      <c r="AB88" s="157">
        <f t="shared" si="49"/>
        <v>15335.882095238434</v>
      </c>
      <c r="AC88" s="157">
        <f t="shared" si="50"/>
        <v>26183.213333332995</v>
      </c>
      <c r="AD88" s="157">
        <f t="shared" si="34"/>
        <v>2013.5833333333333</v>
      </c>
      <c r="AE88" s="157">
        <f t="shared" si="35"/>
        <v>2017</v>
      </c>
      <c r="AF88" s="157">
        <f t="shared" si="36"/>
        <v>2020.5833333333333</v>
      </c>
      <c r="AG88" s="157">
        <f t="shared" si="37"/>
        <v>2016</v>
      </c>
      <c r="AH88" s="157">
        <f t="shared" si="38"/>
        <v>-8.3333333333333329E-2</v>
      </c>
    </row>
    <row r="89" spans="1:34">
      <c r="A89" s="156">
        <v>131570</v>
      </c>
      <c r="B89" s="156" t="s">
        <v>175</v>
      </c>
      <c r="C89" s="156">
        <v>175</v>
      </c>
      <c r="D89" s="156" t="s">
        <v>416</v>
      </c>
      <c r="E89" s="156">
        <v>2016</v>
      </c>
      <c r="F89" s="156">
        <v>3</v>
      </c>
      <c r="G89" s="156">
        <v>0</v>
      </c>
      <c r="I89" s="156" t="s">
        <v>52</v>
      </c>
      <c r="J89" s="156">
        <v>3</v>
      </c>
      <c r="K89" s="156">
        <f t="shared" si="39"/>
        <v>2019</v>
      </c>
      <c r="N89" s="157">
        <v>24214.62</v>
      </c>
      <c r="P89" s="157">
        <f>N89-N89*G89</f>
        <v>24214.62</v>
      </c>
      <c r="Q89" s="157">
        <f>P89/J89/12</f>
        <v>672.62833333333333</v>
      </c>
      <c r="R89" s="157">
        <f>IF(O89&gt;0,0,IF(OR(AD89&gt;AE89,AF89&lt;AG89),0,IF(AND(AF89&gt;=AG89,AF89&lt;=AE89),Q89*((AF89-AG89)*12),IF(AND(AG89&lt;=AD89,AE89&gt;=AD89),((AE89-AD89)*12)*Q89,IF(AF89&gt;AE89,12*Q89,0)))))</f>
        <v>6726.2833333327217</v>
      </c>
      <c r="S89" s="157">
        <f>IF(O89=0,0,IF(AND(AH89&gt;=AG89,AH89&lt;=AF89),((AH89-AG89)*12)*Q89,0))</f>
        <v>0</v>
      </c>
      <c r="T89" s="157">
        <f>IF(S89&gt;0,S89,R89)</f>
        <v>6726.2833333327217</v>
      </c>
      <c r="U89" s="157">
        <v>1</v>
      </c>
      <c r="V89" s="157">
        <f>U89*SUM(R89:S89)</f>
        <v>6726.2833333327217</v>
      </c>
      <c r="X89" s="157">
        <f>IF(AD89&gt;AE89,0,IF(AF89&lt;AG89,P89,IF(AND(AF89&gt;=AG89,AF89&lt;=AE89),(P89-T89),IF(AND(AG89&lt;=AD89,AE89&gt;=AD89),0,IF(AF89&gt;AE89,((AG89-AD89)*12)*Q89,0)))))</f>
        <v>0</v>
      </c>
      <c r="Y89" s="157">
        <f>X89*U89</f>
        <v>0</v>
      </c>
      <c r="Z89" s="157">
        <v>1</v>
      </c>
      <c r="AA89" s="157">
        <f>Y89*Z89</f>
        <v>0</v>
      </c>
      <c r="AB89" s="157">
        <f>IF(O89&gt;0,0,AA89+V89*Z89)*Z89</f>
        <v>6726.2833333327217</v>
      </c>
      <c r="AC89" s="157">
        <f>IF(O89&gt;0,(N89-AA89)/2,IF(AD89&gt;=AG89,(((N89*U89)*Z89)-AB89)/2,((((N89*U89)*Z89)-AA89)+(((N89*U89)*Z89)-AB89))/2))</f>
        <v>8744.1683333336387</v>
      </c>
      <c r="AD89" s="157">
        <f>$E89+(($F89-1)/12)</f>
        <v>2016.1666666666667</v>
      </c>
      <c r="AE89" s="157">
        <f t="shared" si="35"/>
        <v>2017</v>
      </c>
      <c r="AF89" s="157">
        <f>$K89+(($F89-1)/12)</f>
        <v>2019.1666666666667</v>
      </c>
      <c r="AG89" s="157">
        <f t="shared" si="37"/>
        <v>2016</v>
      </c>
      <c r="AH89" s="157">
        <f>$L89+(($M89-1)/12)</f>
        <v>-8.3333333333333329E-2</v>
      </c>
    </row>
    <row r="90" spans="1:34">
      <c r="A90" s="156">
        <v>132977</v>
      </c>
      <c r="C90" s="156">
        <v>182</v>
      </c>
      <c r="D90" s="156" t="s">
        <v>394</v>
      </c>
      <c r="E90" s="156">
        <v>2016</v>
      </c>
      <c r="F90" s="156">
        <v>4</v>
      </c>
      <c r="G90" s="156">
        <v>0</v>
      </c>
      <c r="I90" s="156" t="s">
        <v>52</v>
      </c>
      <c r="J90" s="156">
        <v>3</v>
      </c>
      <c r="K90" s="156">
        <f t="shared" si="39"/>
        <v>2019</v>
      </c>
      <c r="N90" s="157">
        <v>34606.75</v>
      </c>
      <c r="P90" s="157">
        <f t="shared" si="40"/>
        <v>34606.75</v>
      </c>
      <c r="Q90" s="157">
        <f t="shared" si="41"/>
        <v>961.2986111111112</v>
      </c>
      <c r="R90" s="157">
        <f t="shared" si="42"/>
        <v>8651.6875</v>
      </c>
      <c r="S90" s="157">
        <f t="shared" si="43"/>
        <v>0</v>
      </c>
      <c r="T90" s="157">
        <f t="shared" si="44"/>
        <v>8651.6875</v>
      </c>
      <c r="U90" s="157">
        <v>1</v>
      </c>
      <c r="V90" s="157">
        <f t="shared" si="45"/>
        <v>8651.6875</v>
      </c>
      <c r="X90" s="157">
        <f t="shared" si="46"/>
        <v>0</v>
      </c>
      <c r="Y90" s="157">
        <f t="shared" si="47"/>
        <v>0</v>
      </c>
      <c r="Z90" s="157">
        <v>1</v>
      </c>
      <c r="AA90" s="157">
        <f t="shared" si="48"/>
        <v>0</v>
      </c>
      <c r="AB90" s="157">
        <f t="shared" si="49"/>
        <v>8651.6875</v>
      </c>
      <c r="AC90" s="157">
        <f t="shared" si="50"/>
        <v>12977.53125</v>
      </c>
      <c r="AD90" s="157">
        <f t="shared" si="34"/>
        <v>2016.25</v>
      </c>
      <c r="AE90" s="157">
        <f t="shared" si="35"/>
        <v>2017</v>
      </c>
      <c r="AF90" s="157">
        <f t="shared" si="36"/>
        <v>2019.25</v>
      </c>
      <c r="AG90" s="157">
        <f t="shared" si="37"/>
        <v>2016</v>
      </c>
      <c r="AH90" s="157">
        <f t="shared" si="38"/>
        <v>-8.3333333333333329E-2</v>
      </c>
    </row>
    <row r="91" spans="1:34">
      <c r="A91" s="156">
        <v>166457</v>
      </c>
      <c r="C91" s="156" t="s">
        <v>414</v>
      </c>
      <c r="D91" s="156" t="s">
        <v>401</v>
      </c>
      <c r="E91" s="156">
        <v>2016</v>
      </c>
      <c r="F91" s="156">
        <v>8</v>
      </c>
      <c r="G91" s="156">
        <v>0</v>
      </c>
      <c r="I91" s="156" t="s">
        <v>52</v>
      </c>
      <c r="J91" s="156">
        <v>3</v>
      </c>
      <c r="K91" s="156">
        <f t="shared" si="39"/>
        <v>2019</v>
      </c>
      <c r="N91" s="157">
        <v>26927</v>
      </c>
      <c r="P91" s="157">
        <f t="shared" si="40"/>
        <v>26927</v>
      </c>
      <c r="Q91" s="157">
        <f t="shared" si="41"/>
        <v>747.97222222222217</v>
      </c>
      <c r="R91" s="157">
        <f t="shared" si="42"/>
        <v>3739.8611111117912</v>
      </c>
      <c r="S91" s="157">
        <f t="shared" si="43"/>
        <v>0</v>
      </c>
      <c r="T91" s="157">
        <f t="shared" si="44"/>
        <v>3739.8611111117912</v>
      </c>
      <c r="U91" s="157">
        <v>1</v>
      </c>
      <c r="V91" s="157">
        <f t="shared" si="45"/>
        <v>3739.8611111117912</v>
      </c>
      <c r="X91" s="157">
        <f t="shared" si="46"/>
        <v>0</v>
      </c>
      <c r="Y91" s="157">
        <f t="shared" si="47"/>
        <v>0</v>
      </c>
      <c r="Z91" s="157">
        <v>1</v>
      </c>
      <c r="AA91" s="157">
        <f t="shared" si="48"/>
        <v>0</v>
      </c>
      <c r="AB91" s="157">
        <f t="shared" si="49"/>
        <v>3739.8611111117912</v>
      </c>
      <c r="AC91" s="157">
        <f t="shared" si="50"/>
        <v>11593.569444444105</v>
      </c>
      <c r="AD91" s="157">
        <f t="shared" si="34"/>
        <v>2016.5833333333333</v>
      </c>
      <c r="AE91" s="157">
        <f t="shared" si="35"/>
        <v>2017</v>
      </c>
      <c r="AF91" s="157">
        <f t="shared" si="36"/>
        <v>2019.5833333333333</v>
      </c>
      <c r="AG91" s="157">
        <f t="shared" si="37"/>
        <v>2016</v>
      </c>
      <c r="AH91" s="157">
        <f t="shared" si="38"/>
        <v>-8.3333333333333329E-2</v>
      </c>
    </row>
    <row r="92" spans="1:34">
      <c r="A92" s="156">
        <v>166458</v>
      </c>
      <c r="C92" s="156" t="s">
        <v>415</v>
      </c>
      <c r="D92" s="156" t="s">
        <v>402</v>
      </c>
      <c r="E92" s="156">
        <v>2016</v>
      </c>
      <c r="F92" s="156">
        <v>8</v>
      </c>
      <c r="G92" s="156">
        <v>0</v>
      </c>
      <c r="I92" s="156" t="s">
        <v>52</v>
      </c>
      <c r="J92" s="156">
        <v>3</v>
      </c>
      <c r="K92" s="156">
        <f t="shared" si="39"/>
        <v>2019</v>
      </c>
      <c r="N92" s="157">
        <v>26927</v>
      </c>
      <c r="P92" s="157">
        <f t="shared" si="40"/>
        <v>26927</v>
      </c>
      <c r="Q92" s="157">
        <f t="shared" si="41"/>
        <v>747.97222222222217</v>
      </c>
      <c r="R92" s="157">
        <f t="shared" si="42"/>
        <v>3739.8611111117912</v>
      </c>
      <c r="S92" s="157">
        <f t="shared" si="43"/>
        <v>0</v>
      </c>
      <c r="T92" s="157">
        <f t="shared" si="44"/>
        <v>3739.8611111117912</v>
      </c>
      <c r="U92" s="157">
        <v>1</v>
      </c>
      <c r="V92" s="157">
        <f t="shared" si="45"/>
        <v>3739.8611111117912</v>
      </c>
      <c r="X92" s="157">
        <f t="shared" si="46"/>
        <v>0</v>
      </c>
      <c r="Y92" s="157">
        <f t="shared" si="47"/>
        <v>0</v>
      </c>
      <c r="Z92" s="157">
        <v>1</v>
      </c>
      <c r="AA92" s="157">
        <f t="shared" si="48"/>
        <v>0</v>
      </c>
      <c r="AB92" s="157">
        <f t="shared" si="49"/>
        <v>3739.8611111117912</v>
      </c>
      <c r="AC92" s="157">
        <f t="shared" si="50"/>
        <v>11593.569444444105</v>
      </c>
      <c r="AD92" s="157">
        <f t="shared" si="34"/>
        <v>2016.5833333333333</v>
      </c>
      <c r="AE92" s="157">
        <f t="shared" si="35"/>
        <v>2017</v>
      </c>
      <c r="AF92" s="157">
        <f t="shared" si="36"/>
        <v>2019.5833333333333</v>
      </c>
      <c r="AG92" s="157">
        <f t="shared" si="37"/>
        <v>2016</v>
      </c>
      <c r="AH92" s="157">
        <f t="shared" si="38"/>
        <v>-8.3333333333333329E-2</v>
      </c>
    </row>
    <row r="93" spans="1:34">
      <c r="A93" s="156">
        <v>166835</v>
      </c>
      <c r="C93" s="156" t="s">
        <v>413</v>
      </c>
      <c r="D93" s="156" t="s">
        <v>404</v>
      </c>
      <c r="E93" s="156">
        <v>2016</v>
      </c>
      <c r="F93" s="156">
        <v>6</v>
      </c>
      <c r="G93" s="156">
        <v>0</v>
      </c>
      <c r="I93" s="156" t="s">
        <v>52</v>
      </c>
      <c r="J93" s="156">
        <v>3</v>
      </c>
      <c r="K93" s="156">
        <f t="shared" si="39"/>
        <v>2019</v>
      </c>
      <c r="N93" s="157">
        <v>5475</v>
      </c>
      <c r="P93" s="157">
        <f t="shared" si="40"/>
        <v>5475</v>
      </c>
      <c r="Q93" s="157">
        <f t="shared" si="41"/>
        <v>152.08333333333334</v>
      </c>
      <c r="R93" s="157">
        <f t="shared" si="42"/>
        <v>1064.583333333195</v>
      </c>
      <c r="S93" s="157">
        <f t="shared" si="43"/>
        <v>0</v>
      </c>
      <c r="T93" s="157">
        <f t="shared" si="44"/>
        <v>1064.583333333195</v>
      </c>
      <c r="U93" s="157">
        <v>1</v>
      </c>
      <c r="V93" s="157">
        <f t="shared" si="45"/>
        <v>1064.583333333195</v>
      </c>
      <c r="X93" s="157">
        <f t="shared" si="46"/>
        <v>0</v>
      </c>
      <c r="Y93" s="157">
        <f t="shared" si="47"/>
        <v>0</v>
      </c>
      <c r="Z93" s="157">
        <v>1</v>
      </c>
      <c r="AA93" s="157">
        <f t="shared" si="48"/>
        <v>0</v>
      </c>
      <c r="AB93" s="157">
        <f t="shared" si="49"/>
        <v>1064.583333333195</v>
      </c>
      <c r="AC93" s="157">
        <f t="shared" si="50"/>
        <v>2205.2083333334026</v>
      </c>
      <c r="AD93" s="157">
        <f t="shared" si="34"/>
        <v>2016.4166666666667</v>
      </c>
      <c r="AE93" s="157">
        <f t="shared" si="35"/>
        <v>2017</v>
      </c>
      <c r="AF93" s="157">
        <f t="shared" si="36"/>
        <v>2019.4166666666667</v>
      </c>
      <c r="AG93" s="157">
        <f t="shared" si="37"/>
        <v>2016</v>
      </c>
      <c r="AH93" s="157">
        <f t="shared" si="38"/>
        <v>-8.3333333333333329E-2</v>
      </c>
    </row>
    <row r="94" spans="1:34">
      <c r="A94" s="156">
        <v>168978</v>
      </c>
      <c r="C94" s="156">
        <v>175</v>
      </c>
      <c r="D94" s="156" t="s">
        <v>406</v>
      </c>
      <c r="E94" s="156">
        <v>2016</v>
      </c>
      <c r="F94" s="156">
        <v>6</v>
      </c>
      <c r="G94" s="156">
        <v>0</v>
      </c>
      <c r="I94" s="156" t="s">
        <v>52</v>
      </c>
      <c r="J94" s="156">
        <v>3</v>
      </c>
      <c r="K94" s="156">
        <f t="shared" si="39"/>
        <v>2019</v>
      </c>
      <c r="N94" s="157">
        <v>8833.89</v>
      </c>
      <c r="P94" s="157">
        <f t="shared" si="40"/>
        <v>8833.89</v>
      </c>
      <c r="Q94" s="157">
        <f t="shared" si="41"/>
        <v>245.3858333333333</v>
      </c>
      <c r="R94" s="157">
        <f t="shared" si="42"/>
        <v>1717.7008333331098</v>
      </c>
      <c r="S94" s="157">
        <f t="shared" si="43"/>
        <v>0</v>
      </c>
      <c r="T94" s="157">
        <f t="shared" si="44"/>
        <v>1717.7008333331098</v>
      </c>
      <c r="U94" s="157">
        <v>1</v>
      </c>
      <c r="V94" s="157">
        <f t="shared" si="45"/>
        <v>1717.7008333331098</v>
      </c>
      <c r="X94" s="157">
        <f t="shared" si="46"/>
        <v>0</v>
      </c>
      <c r="Y94" s="157">
        <f t="shared" si="47"/>
        <v>0</v>
      </c>
      <c r="Z94" s="157">
        <v>1</v>
      </c>
      <c r="AA94" s="157">
        <f t="shared" si="48"/>
        <v>0</v>
      </c>
      <c r="AB94" s="157">
        <f t="shared" si="49"/>
        <v>1717.7008333331098</v>
      </c>
      <c r="AC94" s="157">
        <f t="shared" si="50"/>
        <v>3558.0945833334449</v>
      </c>
      <c r="AD94" s="157">
        <f t="shared" si="34"/>
        <v>2016.4166666666667</v>
      </c>
      <c r="AE94" s="157">
        <f t="shared" si="35"/>
        <v>2017</v>
      </c>
      <c r="AF94" s="157">
        <f t="shared" si="36"/>
        <v>2019.4166666666667</v>
      </c>
      <c r="AG94" s="157">
        <f t="shared" si="37"/>
        <v>2016</v>
      </c>
      <c r="AH94" s="157">
        <f t="shared" si="38"/>
        <v>-8.3333333333333329E-2</v>
      </c>
    </row>
    <row r="95" spans="1:34">
      <c r="A95" s="156">
        <v>171235</v>
      </c>
      <c r="C95" s="156">
        <v>188</v>
      </c>
      <c r="D95" s="156" t="s">
        <v>425</v>
      </c>
      <c r="E95" s="156">
        <v>2016</v>
      </c>
      <c r="F95" s="156">
        <v>12</v>
      </c>
      <c r="G95" s="156">
        <v>0</v>
      </c>
      <c r="I95" s="156" t="s">
        <v>52</v>
      </c>
      <c r="J95" s="156">
        <v>4</v>
      </c>
      <c r="K95" s="156">
        <f>E95+J95</f>
        <v>2020</v>
      </c>
      <c r="N95" s="157">
        <v>104215</v>
      </c>
      <c r="P95" s="157">
        <f>N95-N95*G95</f>
        <v>104215</v>
      </c>
      <c r="Q95" s="157">
        <f>P95/J95/12</f>
        <v>2171.1458333333335</v>
      </c>
      <c r="R95" s="157">
        <f>IF(O95&gt;0,0,IF(OR(AD95&gt;AE95,AF95&lt;AG95),0,IF(AND(AF95&gt;=AG95,AF95&lt;=AE95),Q95*((AF95-AG95)*12),IF(AND(AG95&lt;=AD95,AE95&gt;=AD95),((AE95-AD95)*12)*Q95,IF(AF95&gt;AE95,12*Q95,0)))))</f>
        <v>2171.145833331359</v>
      </c>
      <c r="S95" s="157">
        <f>IF(O95=0,0,IF(AND(AH95&gt;=AG95,AH95&lt;=AF95),((AH95-AG95)*12)*Q95,0))</f>
        <v>0</v>
      </c>
      <c r="T95" s="157">
        <f>IF(S95&gt;0,S95,R95)</f>
        <v>2171.145833331359</v>
      </c>
      <c r="U95" s="157">
        <v>1</v>
      </c>
      <c r="V95" s="157">
        <f>U95*SUM(R95:S95)</f>
        <v>2171.145833331359</v>
      </c>
      <c r="X95" s="157">
        <f>IF(AD95&gt;AE95,0,IF(AF95&lt;AG95,P95,IF(AND(AF95&gt;=AG95,AF95&lt;=AE95),(P95-T95),IF(AND(AG95&lt;=AD95,AE95&gt;=AD95),0,IF(AF95&gt;AE95,((AG95-AD95)*12)*Q95,0)))))</f>
        <v>0</v>
      </c>
      <c r="Y95" s="157">
        <f>X95*U95</f>
        <v>0</v>
      </c>
      <c r="Z95" s="157">
        <v>1</v>
      </c>
      <c r="AA95" s="157">
        <f>Y95*Z95</f>
        <v>0</v>
      </c>
      <c r="AB95" s="157">
        <f>IF(O95&gt;0,0,AA95+V95*Z95)*Z95</f>
        <v>2171.145833331359</v>
      </c>
      <c r="AC95" s="157">
        <f>IF(O95&gt;0,(N95-AA95)/2,IF(AD95&gt;=AG95,(((N95*U95)*Z95)-AB95)/2,((((N95*U95)*Z95)-AA95)+(((N95*U95)*Z95)-AB95))/2))</f>
        <v>51021.927083334318</v>
      </c>
      <c r="AD95" s="157">
        <f t="shared" si="34"/>
        <v>2016.9166666666667</v>
      </c>
      <c r="AE95" s="157">
        <f t="shared" si="35"/>
        <v>2017</v>
      </c>
      <c r="AF95" s="157">
        <f t="shared" si="36"/>
        <v>2020.9166666666667</v>
      </c>
      <c r="AG95" s="157">
        <f t="shared" si="37"/>
        <v>2016</v>
      </c>
      <c r="AH95" s="157">
        <f t="shared" si="38"/>
        <v>-8.3333333333333329E-2</v>
      </c>
    </row>
    <row r="97" spans="1:34" ht="13.5" thickBot="1">
      <c r="D97" s="156" t="s">
        <v>209</v>
      </c>
      <c r="N97" s="157">
        <f>SUM(N52:N96)</f>
        <v>1842373.05</v>
      </c>
      <c r="P97" s="157">
        <f>SUM(P52:P96)</f>
        <v>1455781.8632999999</v>
      </c>
      <c r="Q97" s="157">
        <f>SUM(Q52:Q96)</f>
        <v>24302.381827063487</v>
      </c>
      <c r="R97" s="157">
        <f>SUM(R52:R96)</f>
        <v>50830.122395236205</v>
      </c>
      <c r="T97" s="157">
        <f>SUM(T52:T96)</f>
        <v>50830.122395236205</v>
      </c>
      <c r="V97" s="157">
        <f>SUM(V52:V96)</f>
        <v>50830.122395236205</v>
      </c>
      <c r="X97" s="157">
        <f>SUM(X52:X96)</f>
        <v>1153311.6822460333</v>
      </c>
      <c r="Y97" s="157">
        <f>SUM(Y52:Y96)</f>
        <v>1153311.6822460333</v>
      </c>
      <c r="AA97" s="157">
        <f>SUM(AA52:AA96)</f>
        <v>1153311.6822460333</v>
      </c>
      <c r="AB97" s="157">
        <f>SUM(AB52:AB96)</f>
        <v>1204141.8046412694</v>
      </c>
      <c r="AC97" s="157">
        <f>SUM(AC52:AC96)</f>
        <v>548046.6765563488</v>
      </c>
    </row>
    <row r="99" spans="1:34">
      <c r="D99" s="156" t="s">
        <v>82</v>
      </c>
    </row>
    <row r="100" spans="1:34">
      <c r="A100" s="156">
        <v>102175</v>
      </c>
      <c r="B100" s="156" t="s">
        <v>56</v>
      </c>
      <c r="C100" s="156">
        <v>154</v>
      </c>
      <c r="D100" s="156" t="s">
        <v>83</v>
      </c>
      <c r="E100" s="156">
        <v>1997</v>
      </c>
      <c r="F100" s="156">
        <v>8</v>
      </c>
      <c r="G100" s="156">
        <v>0.2</v>
      </c>
      <c r="I100" s="156" t="s">
        <v>52</v>
      </c>
      <c r="J100" s="156">
        <v>7</v>
      </c>
      <c r="K100" s="156">
        <f t="shared" ref="K100:K118" si="51">E100+J100</f>
        <v>2004</v>
      </c>
      <c r="N100" s="157">
        <v>120715.78</v>
      </c>
      <c r="P100" s="157">
        <f t="shared" ref="P100:P118" si="52">N100-N100*G100</f>
        <v>96572.623999999996</v>
      </c>
      <c r="Q100" s="157">
        <f t="shared" ref="Q100:Q118" si="53">P100/J100/12</f>
        <v>1149.6740952380953</v>
      </c>
      <c r="R100" s="157">
        <f t="shared" ref="R100:R118" si="54">IF(O100&gt;0,0,IF(OR(AD100&gt;AE100,AF100&lt;AG100),0,IF(AND(AF100&gt;=AG100,AF100&lt;=AE100),Q100*((AF100-AG100)*12),IF(AND(AG100&lt;=AD100,AE100&gt;=AD100),((AE100-AD100)*12)*Q100,IF(AF100&gt;AE100,12*Q100,0)))))</f>
        <v>0</v>
      </c>
      <c r="S100" s="157">
        <f t="shared" ref="S100:S118" si="55">IF(O100=0,0,IF(AND(AH100&gt;=AG100,AH100&lt;=AF100),((AH100-AG100)*12)*Q100,0))</f>
        <v>0</v>
      </c>
      <c r="T100" s="157">
        <f t="shared" ref="T100:T118" si="56">IF(S100&gt;0,S100,R100)</f>
        <v>0</v>
      </c>
      <c r="U100" s="157">
        <v>1</v>
      </c>
      <c r="V100" s="157">
        <f t="shared" ref="V100:V118" si="57">U100*SUM(R100:S100)</f>
        <v>0</v>
      </c>
      <c r="X100" s="157">
        <f t="shared" ref="X100:X118" si="58">IF(AD100&gt;AE100,0,IF(AF100&lt;AG100,P100,IF(AND(AF100&gt;=AG100,AF100&lt;=AE100),(P100-T100),IF(AND(AG100&lt;=AD100,AE100&gt;=AD100),0,IF(AF100&gt;AE100,((AG100-AD100)*12)*Q100,0)))))</f>
        <v>96572.623999999996</v>
      </c>
      <c r="Y100" s="157">
        <f t="shared" ref="Y100:Y118" si="59">X100*U100</f>
        <v>96572.623999999996</v>
      </c>
      <c r="Z100" s="157">
        <v>1</v>
      </c>
      <c r="AA100" s="157">
        <f t="shared" ref="AA100:AA118" si="60">Y100*Z100</f>
        <v>96572.623999999996</v>
      </c>
      <c r="AB100" s="157">
        <f t="shared" ref="AB100:AB118" si="61">IF(O100&gt;0,0,AA100+V100*Z100)*Z100</f>
        <v>96572.623999999996</v>
      </c>
      <c r="AC100" s="157">
        <f t="shared" ref="AC100:AC118" si="62">IF(O100&gt;0,(N100-AA100)/2,IF(AD100&gt;=AG100,(((N100*U100)*Z100)-AB100)/2,((((N100*U100)*Z100)-AA100)+(((N100*U100)*Z100)-AB100))/2))</f>
        <v>24143.156000000003</v>
      </c>
      <c r="AD100" s="157">
        <f t="shared" ref="AD100:AD118" si="63">$E100+(($F100-1)/12)</f>
        <v>1997.5833333333333</v>
      </c>
      <c r="AE100" s="157">
        <f t="shared" ref="AE100:AE118" si="64">($P$5+1)-($P$2/12)</f>
        <v>2017</v>
      </c>
      <c r="AF100" s="157">
        <f t="shared" ref="AF100:AF118" si="65">$K100+(($F100-1)/12)</f>
        <v>2004.5833333333333</v>
      </c>
      <c r="AG100" s="157">
        <f t="shared" ref="AG100:AG118" si="66">$P$4+($P$3/12)</f>
        <v>2016</v>
      </c>
      <c r="AH100" s="157">
        <f t="shared" ref="AH100:AH118" si="67">$L100+(($M100-1)/12)</f>
        <v>-8.3333333333333329E-2</v>
      </c>
    </row>
    <row r="101" spans="1:34">
      <c r="A101" s="156">
        <v>25020</v>
      </c>
      <c r="B101" s="156" t="s">
        <v>56</v>
      </c>
      <c r="C101" s="156">
        <v>406</v>
      </c>
      <c r="D101" s="156" t="s">
        <v>84</v>
      </c>
      <c r="E101" s="156">
        <v>2004</v>
      </c>
      <c r="F101" s="156">
        <v>4</v>
      </c>
      <c r="G101" s="156">
        <v>0.2</v>
      </c>
      <c r="I101" s="156" t="s">
        <v>52</v>
      </c>
      <c r="J101" s="156">
        <v>7</v>
      </c>
      <c r="K101" s="156">
        <f t="shared" si="51"/>
        <v>2011</v>
      </c>
      <c r="N101" s="157">
        <v>86998.71</v>
      </c>
      <c r="P101" s="157">
        <f t="shared" si="52"/>
        <v>69598.968000000008</v>
      </c>
      <c r="Q101" s="157">
        <f t="shared" si="53"/>
        <v>828.55914285714289</v>
      </c>
      <c r="R101" s="157">
        <f t="shared" si="54"/>
        <v>0</v>
      </c>
      <c r="S101" s="157">
        <f t="shared" si="55"/>
        <v>0</v>
      </c>
      <c r="T101" s="157">
        <f t="shared" si="56"/>
        <v>0</v>
      </c>
      <c r="U101" s="157">
        <v>1</v>
      </c>
      <c r="V101" s="157">
        <f t="shared" si="57"/>
        <v>0</v>
      </c>
      <c r="X101" s="157">
        <f t="shared" si="58"/>
        <v>69598.968000000008</v>
      </c>
      <c r="Y101" s="157">
        <f t="shared" si="59"/>
        <v>69598.968000000008</v>
      </c>
      <c r="Z101" s="157">
        <v>1</v>
      </c>
      <c r="AA101" s="157">
        <f t="shared" si="60"/>
        <v>69598.968000000008</v>
      </c>
      <c r="AB101" s="157">
        <f t="shared" si="61"/>
        <v>69598.968000000008</v>
      </c>
      <c r="AC101" s="157">
        <f t="shared" si="62"/>
        <v>17399.741999999998</v>
      </c>
      <c r="AD101" s="157">
        <f t="shared" si="63"/>
        <v>2004.25</v>
      </c>
      <c r="AE101" s="157">
        <f t="shared" si="64"/>
        <v>2017</v>
      </c>
      <c r="AF101" s="157">
        <f t="shared" si="65"/>
        <v>2011.25</v>
      </c>
      <c r="AG101" s="157">
        <f t="shared" si="66"/>
        <v>2016</v>
      </c>
      <c r="AH101" s="157">
        <f t="shared" si="67"/>
        <v>-8.3333333333333329E-2</v>
      </c>
    </row>
    <row r="102" spans="1:34">
      <c r="B102" s="156" t="s">
        <v>56</v>
      </c>
      <c r="C102" s="156">
        <v>406</v>
      </c>
      <c r="D102" s="156" t="s">
        <v>85</v>
      </c>
      <c r="E102" s="156">
        <v>2004</v>
      </c>
      <c r="F102" s="156">
        <v>4</v>
      </c>
      <c r="G102" s="156">
        <v>0.2</v>
      </c>
      <c r="I102" s="156" t="s">
        <v>52</v>
      </c>
      <c r="J102" s="156">
        <v>7</v>
      </c>
      <c r="K102" s="156">
        <f t="shared" si="51"/>
        <v>2011</v>
      </c>
      <c r="N102" s="157">
        <v>32990.49</v>
      </c>
      <c r="P102" s="157">
        <f t="shared" si="52"/>
        <v>26392.392</v>
      </c>
      <c r="Q102" s="157">
        <f t="shared" si="53"/>
        <v>314.19514285714286</v>
      </c>
      <c r="R102" s="157">
        <f t="shared" si="54"/>
        <v>0</v>
      </c>
      <c r="S102" s="157">
        <f t="shared" si="55"/>
        <v>0</v>
      </c>
      <c r="T102" s="157">
        <f t="shared" si="56"/>
        <v>0</v>
      </c>
      <c r="U102" s="157">
        <v>1</v>
      </c>
      <c r="V102" s="157">
        <f t="shared" si="57"/>
        <v>0</v>
      </c>
      <c r="X102" s="157">
        <f t="shared" si="58"/>
        <v>26392.392</v>
      </c>
      <c r="Y102" s="157">
        <f t="shared" si="59"/>
        <v>26392.392</v>
      </c>
      <c r="Z102" s="157">
        <v>1</v>
      </c>
      <c r="AA102" s="157">
        <f t="shared" si="60"/>
        <v>26392.392</v>
      </c>
      <c r="AB102" s="157">
        <f t="shared" si="61"/>
        <v>26392.392</v>
      </c>
      <c r="AC102" s="157">
        <f t="shared" si="62"/>
        <v>6598.0979999999981</v>
      </c>
      <c r="AD102" s="157">
        <f t="shared" si="63"/>
        <v>2004.25</v>
      </c>
      <c r="AE102" s="157">
        <f t="shared" si="64"/>
        <v>2017</v>
      </c>
      <c r="AF102" s="157">
        <f t="shared" si="65"/>
        <v>2011.25</v>
      </c>
      <c r="AG102" s="157">
        <f t="shared" si="66"/>
        <v>2016</v>
      </c>
      <c r="AH102" s="157">
        <f t="shared" si="67"/>
        <v>-8.3333333333333329E-2</v>
      </c>
    </row>
    <row r="103" spans="1:34">
      <c r="A103" s="156">
        <v>25019</v>
      </c>
      <c r="B103" s="156" t="s">
        <v>56</v>
      </c>
      <c r="C103" s="156">
        <v>407</v>
      </c>
      <c r="D103" s="156" t="s">
        <v>84</v>
      </c>
      <c r="E103" s="156">
        <v>2004</v>
      </c>
      <c r="F103" s="156">
        <v>6</v>
      </c>
      <c r="G103" s="156">
        <v>0.2</v>
      </c>
      <c r="I103" s="156" t="s">
        <v>52</v>
      </c>
      <c r="J103" s="156">
        <v>7</v>
      </c>
      <c r="K103" s="156">
        <f t="shared" si="51"/>
        <v>2011</v>
      </c>
      <c r="N103" s="157">
        <v>86270.65</v>
      </c>
      <c r="P103" s="157">
        <f t="shared" si="52"/>
        <v>69016.51999999999</v>
      </c>
      <c r="Q103" s="157">
        <f t="shared" si="53"/>
        <v>821.62523809523793</v>
      </c>
      <c r="R103" s="157">
        <f t="shared" si="54"/>
        <v>0</v>
      </c>
      <c r="S103" s="157">
        <f t="shared" si="55"/>
        <v>0</v>
      </c>
      <c r="T103" s="157">
        <f t="shared" si="56"/>
        <v>0</v>
      </c>
      <c r="U103" s="157">
        <v>1</v>
      </c>
      <c r="V103" s="157">
        <f t="shared" si="57"/>
        <v>0</v>
      </c>
      <c r="X103" s="157">
        <f t="shared" si="58"/>
        <v>69016.51999999999</v>
      </c>
      <c r="Y103" s="157">
        <f t="shared" si="59"/>
        <v>69016.51999999999</v>
      </c>
      <c r="Z103" s="157">
        <v>1</v>
      </c>
      <c r="AA103" s="157">
        <f t="shared" si="60"/>
        <v>69016.51999999999</v>
      </c>
      <c r="AB103" s="157">
        <f t="shared" si="61"/>
        <v>69016.51999999999</v>
      </c>
      <c r="AC103" s="157">
        <f t="shared" si="62"/>
        <v>17254.130000000005</v>
      </c>
      <c r="AD103" s="157">
        <f t="shared" si="63"/>
        <v>2004.4166666666667</v>
      </c>
      <c r="AE103" s="157">
        <f t="shared" si="64"/>
        <v>2017</v>
      </c>
      <c r="AF103" s="157">
        <f t="shared" si="65"/>
        <v>2011.4166666666667</v>
      </c>
      <c r="AG103" s="157">
        <f t="shared" si="66"/>
        <v>2016</v>
      </c>
      <c r="AH103" s="157">
        <f t="shared" si="67"/>
        <v>-8.3333333333333329E-2</v>
      </c>
    </row>
    <row r="104" spans="1:34">
      <c r="B104" s="156" t="s">
        <v>56</v>
      </c>
      <c r="C104" s="156">
        <v>407</v>
      </c>
      <c r="D104" s="156" t="s">
        <v>86</v>
      </c>
      <c r="E104" s="156">
        <v>2004</v>
      </c>
      <c r="F104" s="156">
        <v>6</v>
      </c>
      <c r="G104" s="156">
        <v>0.2</v>
      </c>
      <c r="I104" s="156" t="s">
        <v>52</v>
      </c>
      <c r="J104" s="156">
        <v>7</v>
      </c>
      <c r="K104" s="156">
        <f t="shared" si="51"/>
        <v>2011</v>
      </c>
      <c r="N104" s="157">
        <v>32990.49</v>
      </c>
      <c r="P104" s="157">
        <f t="shared" si="52"/>
        <v>26392.392</v>
      </c>
      <c r="Q104" s="157">
        <f t="shared" si="53"/>
        <v>314.19514285714286</v>
      </c>
      <c r="R104" s="157">
        <f t="shared" si="54"/>
        <v>0</v>
      </c>
      <c r="S104" s="157">
        <f t="shared" si="55"/>
        <v>0</v>
      </c>
      <c r="T104" s="157">
        <f t="shared" si="56"/>
        <v>0</v>
      </c>
      <c r="U104" s="157">
        <v>1</v>
      </c>
      <c r="V104" s="157">
        <f t="shared" si="57"/>
        <v>0</v>
      </c>
      <c r="X104" s="157">
        <f t="shared" si="58"/>
        <v>26392.392</v>
      </c>
      <c r="Y104" s="157">
        <f t="shared" si="59"/>
        <v>26392.392</v>
      </c>
      <c r="Z104" s="157">
        <v>1</v>
      </c>
      <c r="AA104" s="157">
        <f t="shared" si="60"/>
        <v>26392.392</v>
      </c>
      <c r="AB104" s="157">
        <f t="shared" si="61"/>
        <v>26392.392</v>
      </c>
      <c r="AC104" s="157">
        <f t="shared" si="62"/>
        <v>6598.0979999999981</v>
      </c>
      <c r="AD104" s="157">
        <f t="shared" si="63"/>
        <v>2004.4166666666667</v>
      </c>
      <c r="AE104" s="157">
        <f t="shared" si="64"/>
        <v>2017</v>
      </c>
      <c r="AF104" s="157">
        <f t="shared" si="65"/>
        <v>2011.4166666666667</v>
      </c>
      <c r="AG104" s="157">
        <f t="shared" si="66"/>
        <v>2016</v>
      </c>
      <c r="AH104" s="157">
        <f t="shared" si="67"/>
        <v>-8.3333333333333329E-2</v>
      </c>
    </row>
    <row r="105" spans="1:34">
      <c r="A105" s="156">
        <v>25363</v>
      </c>
      <c r="B105" s="156" t="s">
        <v>56</v>
      </c>
      <c r="C105" s="156">
        <v>408</v>
      </c>
      <c r="D105" s="156" t="s">
        <v>84</v>
      </c>
      <c r="E105" s="156">
        <v>2004</v>
      </c>
      <c r="F105" s="156">
        <v>7</v>
      </c>
      <c r="G105" s="156">
        <v>0.2</v>
      </c>
      <c r="I105" s="156" t="s">
        <v>52</v>
      </c>
      <c r="J105" s="156">
        <v>7</v>
      </c>
      <c r="K105" s="156">
        <f t="shared" si="51"/>
        <v>2011</v>
      </c>
      <c r="N105" s="157">
        <v>86270.65</v>
      </c>
      <c r="P105" s="157">
        <f t="shared" si="52"/>
        <v>69016.51999999999</v>
      </c>
      <c r="Q105" s="157">
        <f t="shared" si="53"/>
        <v>821.62523809523793</v>
      </c>
      <c r="R105" s="157">
        <f t="shared" si="54"/>
        <v>0</v>
      </c>
      <c r="S105" s="157">
        <f t="shared" si="55"/>
        <v>0</v>
      </c>
      <c r="T105" s="157">
        <f t="shared" si="56"/>
        <v>0</v>
      </c>
      <c r="U105" s="157">
        <v>1</v>
      </c>
      <c r="V105" s="157">
        <f t="shared" si="57"/>
        <v>0</v>
      </c>
      <c r="X105" s="157">
        <f t="shared" si="58"/>
        <v>69016.51999999999</v>
      </c>
      <c r="Y105" s="157">
        <f t="shared" si="59"/>
        <v>69016.51999999999</v>
      </c>
      <c r="Z105" s="157">
        <v>1</v>
      </c>
      <c r="AA105" s="157">
        <f t="shared" si="60"/>
        <v>69016.51999999999</v>
      </c>
      <c r="AB105" s="157">
        <f t="shared" si="61"/>
        <v>69016.51999999999</v>
      </c>
      <c r="AC105" s="157">
        <f t="shared" si="62"/>
        <v>17254.130000000005</v>
      </c>
      <c r="AD105" s="157">
        <f t="shared" si="63"/>
        <v>2004.5</v>
      </c>
      <c r="AE105" s="157">
        <f t="shared" si="64"/>
        <v>2017</v>
      </c>
      <c r="AF105" s="157">
        <f t="shared" si="65"/>
        <v>2011.5</v>
      </c>
      <c r="AG105" s="157">
        <f t="shared" si="66"/>
        <v>2016</v>
      </c>
      <c r="AH105" s="157">
        <f t="shared" si="67"/>
        <v>-8.3333333333333329E-2</v>
      </c>
    </row>
    <row r="106" spans="1:34">
      <c r="B106" s="156" t="s">
        <v>56</v>
      </c>
      <c r="C106" s="156">
        <v>408</v>
      </c>
      <c r="D106" s="156" t="s">
        <v>86</v>
      </c>
      <c r="E106" s="156">
        <v>2004</v>
      </c>
      <c r="F106" s="156">
        <v>7</v>
      </c>
      <c r="G106" s="156">
        <v>0.2</v>
      </c>
      <c r="I106" s="156" t="s">
        <v>52</v>
      </c>
      <c r="J106" s="156">
        <v>7</v>
      </c>
      <c r="K106" s="156">
        <f t="shared" si="51"/>
        <v>2011</v>
      </c>
      <c r="N106" s="157">
        <v>32990.49</v>
      </c>
      <c r="P106" s="157">
        <f t="shared" si="52"/>
        <v>26392.392</v>
      </c>
      <c r="Q106" s="157">
        <f t="shared" si="53"/>
        <v>314.19514285714286</v>
      </c>
      <c r="R106" s="157">
        <f t="shared" si="54"/>
        <v>0</v>
      </c>
      <c r="S106" s="157">
        <f t="shared" si="55"/>
        <v>0</v>
      </c>
      <c r="T106" s="157">
        <f t="shared" si="56"/>
        <v>0</v>
      </c>
      <c r="U106" s="157">
        <v>1</v>
      </c>
      <c r="V106" s="157">
        <f t="shared" si="57"/>
        <v>0</v>
      </c>
      <c r="X106" s="157">
        <f t="shared" si="58"/>
        <v>26392.392</v>
      </c>
      <c r="Y106" s="157">
        <f t="shared" si="59"/>
        <v>26392.392</v>
      </c>
      <c r="Z106" s="157">
        <v>1</v>
      </c>
      <c r="AA106" s="157">
        <f t="shared" si="60"/>
        <v>26392.392</v>
      </c>
      <c r="AB106" s="157">
        <f t="shared" si="61"/>
        <v>26392.392</v>
      </c>
      <c r="AC106" s="157">
        <f t="shared" si="62"/>
        <v>6598.0979999999981</v>
      </c>
      <c r="AD106" s="157">
        <f t="shared" si="63"/>
        <v>2004.5</v>
      </c>
      <c r="AE106" s="157">
        <f t="shared" si="64"/>
        <v>2017</v>
      </c>
      <c r="AF106" s="157">
        <f t="shared" si="65"/>
        <v>2011.5</v>
      </c>
      <c r="AG106" s="157">
        <f t="shared" si="66"/>
        <v>2016</v>
      </c>
      <c r="AH106" s="157">
        <f t="shared" si="67"/>
        <v>-8.3333333333333329E-2</v>
      </c>
    </row>
    <row r="107" spans="1:34">
      <c r="B107" s="156" t="s">
        <v>56</v>
      </c>
      <c r="D107" s="156" t="s">
        <v>163</v>
      </c>
      <c r="E107" s="156">
        <v>2008</v>
      </c>
      <c r="F107" s="156">
        <v>4</v>
      </c>
      <c r="G107" s="156">
        <v>0.2</v>
      </c>
      <c r="I107" s="156" t="s">
        <v>52</v>
      </c>
      <c r="J107" s="156">
        <v>7</v>
      </c>
      <c r="K107" s="156">
        <f t="shared" si="51"/>
        <v>2015</v>
      </c>
      <c r="N107" s="157">
        <v>6818.83</v>
      </c>
      <c r="P107" s="157">
        <f t="shared" si="52"/>
        <v>5455.0640000000003</v>
      </c>
      <c r="Q107" s="157">
        <f t="shared" si="53"/>
        <v>64.941238095238091</v>
      </c>
      <c r="R107" s="157">
        <f t="shared" si="54"/>
        <v>0</v>
      </c>
      <c r="S107" s="157">
        <f t="shared" si="55"/>
        <v>0</v>
      </c>
      <c r="T107" s="157">
        <f t="shared" si="56"/>
        <v>0</v>
      </c>
      <c r="U107" s="157">
        <v>1</v>
      </c>
      <c r="V107" s="157">
        <f t="shared" si="57"/>
        <v>0</v>
      </c>
      <c r="X107" s="157">
        <f t="shared" si="58"/>
        <v>5455.0640000000003</v>
      </c>
      <c r="Y107" s="157">
        <f t="shared" si="59"/>
        <v>5455.0640000000003</v>
      </c>
      <c r="Z107" s="157">
        <v>1</v>
      </c>
      <c r="AA107" s="157">
        <f t="shared" si="60"/>
        <v>5455.0640000000003</v>
      </c>
      <c r="AB107" s="157">
        <f t="shared" si="61"/>
        <v>5455.0640000000003</v>
      </c>
      <c r="AC107" s="157">
        <f t="shared" si="62"/>
        <v>1363.7659999999996</v>
      </c>
      <c r="AD107" s="157">
        <f t="shared" si="63"/>
        <v>2008.25</v>
      </c>
      <c r="AE107" s="157">
        <f t="shared" si="64"/>
        <v>2017</v>
      </c>
      <c r="AF107" s="157">
        <f t="shared" si="65"/>
        <v>2015.25</v>
      </c>
      <c r="AG107" s="157">
        <f t="shared" si="66"/>
        <v>2016</v>
      </c>
      <c r="AH107" s="157">
        <f t="shared" si="67"/>
        <v>-8.3333333333333329E-2</v>
      </c>
    </row>
    <row r="108" spans="1:34">
      <c r="B108" s="156" t="s">
        <v>180</v>
      </c>
      <c r="C108" s="156">
        <v>407</v>
      </c>
      <c r="D108" s="156" t="s">
        <v>181</v>
      </c>
      <c r="E108" s="156">
        <v>2008</v>
      </c>
      <c r="F108" s="156">
        <v>11</v>
      </c>
      <c r="G108" s="156">
        <v>0.2</v>
      </c>
      <c r="I108" s="156" t="s">
        <v>52</v>
      </c>
      <c r="J108" s="156">
        <v>7</v>
      </c>
      <c r="K108" s="156">
        <f t="shared" si="51"/>
        <v>2015</v>
      </c>
      <c r="N108" s="157">
        <v>6818.83</v>
      </c>
      <c r="P108" s="157">
        <f t="shared" si="52"/>
        <v>5455.0640000000003</v>
      </c>
      <c r="Q108" s="157">
        <f t="shared" si="53"/>
        <v>64.941238095238091</v>
      </c>
      <c r="R108" s="157">
        <f t="shared" si="54"/>
        <v>0</v>
      </c>
      <c r="S108" s="157">
        <f t="shared" si="55"/>
        <v>0</v>
      </c>
      <c r="T108" s="157">
        <f t="shared" si="56"/>
        <v>0</v>
      </c>
      <c r="U108" s="157">
        <v>1</v>
      </c>
      <c r="V108" s="157">
        <f t="shared" si="57"/>
        <v>0</v>
      </c>
      <c r="X108" s="157">
        <f t="shared" si="58"/>
        <v>5455.0640000000003</v>
      </c>
      <c r="Y108" s="157">
        <f t="shared" si="59"/>
        <v>5455.0640000000003</v>
      </c>
      <c r="Z108" s="157">
        <v>1</v>
      </c>
      <c r="AA108" s="157">
        <f t="shared" si="60"/>
        <v>5455.0640000000003</v>
      </c>
      <c r="AB108" s="157">
        <f t="shared" si="61"/>
        <v>5455.0640000000003</v>
      </c>
      <c r="AC108" s="157">
        <f t="shared" si="62"/>
        <v>1363.7659999999996</v>
      </c>
      <c r="AD108" s="157">
        <f t="shared" si="63"/>
        <v>2008.8333333333333</v>
      </c>
      <c r="AE108" s="157">
        <f t="shared" si="64"/>
        <v>2017</v>
      </c>
      <c r="AF108" s="157">
        <f t="shared" si="65"/>
        <v>2015.8333333333333</v>
      </c>
      <c r="AG108" s="157">
        <f t="shared" si="66"/>
        <v>2016</v>
      </c>
      <c r="AH108" s="157">
        <f t="shared" si="67"/>
        <v>-8.3333333333333329E-2</v>
      </c>
    </row>
    <row r="109" spans="1:34">
      <c r="B109" s="156" t="s">
        <v>180</v>
      </c>
      <c r="C109" s="156">
        <v>154</v>
      </c>
      <c r="D109" s="156" t="s">
        <v>181</v>
      </c>
      <c r="E109" s="156">
        <v>2008</v>
      </c>
      <c r="F109" s="156">
        <v>12</v>
      </c>
      <c r="G109" s="156">
        <v>0.2</v>
      </c>
      <c r="I109" s="156" t="s">
        <v>52</v>
      </c>
      <c r="J109" s="156">
        <v>7</v>
      </c>
      <c r="K109" s="156">
        <f t="shared" si="51"/>
        <v>2015</v>
      </c>
      <c r="N109" s="157">
        <v>6818.83</v>
      </c>
      <c r="P109" s="157">
        <f t="shared" si="52"/>
        <v>5455.0640000000003</v>
      </c>
      <c r="Q109" s="157">
        <f t="shared" si="53"/>
        <v>64.941238095238091</v>
      </c>
      <c r="R109" s="157">
        <f t="shared" si="54"/>
        <v>0</v>
      </c>
      <c r="S109" s="157">
        <f t="shared" si="55"/>
        <v>0</v>
      </c>
      <c r="T109" s="157">
        <f t="shared" si="56"/>
        <v>0</v>
      </c>
      <c r="U109" s="157">
        <v>1</v>
      </c>
      <c r="V109" s="157">
        <f t="shared" si="57"/>
        <v>0</v>
      </c>
      <c r="X109" s="157">
        <f t="shared" si="58"/>
        <v>5455.0640000000003</v>
      </c>
      <c r="Y109" s="157">
        <f t="shared" si="59"/>
        <v>5455.0640000000003</v>
      </c>
      <c r="Z109" s="157">
        <v>1</v>
      </c>
      <c r="AA109" s="157">
        <f t="shared" si="60"/>
        <v>5455.0640000000003</v>
      </c>
      <c r="AB109" s="157">
        <f t="shared" si="61"/>
        <v>5455.0640000000003</v>
      </c>
      <c r="AC109" s="157">
        <f t="shared" si="62"/>
        <v>1363.7659999999996</v>
      </c>
      <c r="AD109" s="157">
        <f t="shared" si="63"/>
        <v>2008.9166666666667</v>
      </c>
      <c r="AE109" s="157">
        <f t="shared" si="64"/>
        <v>2017</v>
      </c>
      <c r="AF109" s="157">
        <f t="shared" si="65"/>
        <v>2015.9166666666667</v>
      </c>
      <c r="AG109" s="157">
        <f t="shared" si="66"/>
        <v>2016</v>
      </c>
      <c r="AH109" s="157">
        <f t="shared" si="67"/>
        <v>-8.3333333333333329E-2</v>
      </c>
    </row>
    <row r="110" spans="1:34">
      <c r="B110" s="156" t="s">
        <v>180</v>
      </c>
      <c r="C110" s="156">
        <v>406</v>
      </c>
      <c r="D110" s="156" t="s">
        <v>181</v>
      </c>
      <c r="E110" s="156">
        <v>2008</v>
      </c>
      <c r="F110" s="156">
        <v>12</v>
      </c>
      <c r="G110" s="156">
        <v>0.2</v>
      </c>
      <c r="I110" s="156" t="s">
        <v>52</v>
      </c>
      <c r="J110" s="156">
        <v>7</v>
      </c>
      <c r="K110" s="156">
        <f t="shared" si="51"/>
        <v>2015</v>
      </c>
      <c r="N110" s="157">
        <v>6818.83</v>
      </c>
      <c r="P110" s="157">
        <f t="shared" si="52"/>
        <v>5455.0640000000003</v>
      </c>
      <c r="Q110" s="157">
        <f t="shared" si="53"/>
        <v>64.941238095238091</v>
      </c>
      <c r="R110" s="157">
        <f t="shared" si="54"/>
        <v>0</v>
      </c>
      <c r="S110" s="157">
        <f t="shared" si="55"/>
        <v>0</v>
      </c>
      <c r="T110" s="157">
        <f t="shared" si="56"/>
        <v>0</v>
      </c>
      <c r="U110" s="157">
        <v>1</v>
      </c>
      <c r="V110" s="157">
        <f t="shared" si="57"/>
        <v>0</v>
      </c>
      <c r="X110" s="157">
        <f t="shared" si="58"/>
        <v>5455.0640000000003</v>
      </c>
      <c r="Y110" s="157">
        <f t="shared" si="59"/>
        <v>5455.0640000000003</v>
      </c>
      <c r="Z110" s="157">
        <v>1</v>
      </c>
      <c r="AA110" s="157">
        <f t="shared" si="60"/>
        <v>5455.0640000000003</v>
      </c>
      <c r="AB110" s="157">
        <f t="shared" si="61"/>
        <v>5455.0640000000003</v>
      </c>
      <c r="AC110" s="157">
        <f t="shared" si="62"/>
        <v>1363.7659999999996</v>
      </c>
      <c r="AD110" s="157">
        <f t="shared" si="63"/>
        <v>2008.9166666666667</v>
      </c>
      <c r="AE110" s="157">
        <f t="shared" si="64"/>
        <v>2017</v>
      </c>
      <c r="AF110" s="157">
        <f t="shared" si="65"/>
        <v>2015.9166666666667</v>
      </c>
      <c r="AG110" s="157">
        <f t="shared" si="66"/>
        <v>2016</v>
      </c>
      <c r="AH110" s="157">
        <f t="shared" si="67"/>
        <v>-8.3333333333333329E-2</v>
      </c>
    </row>
    <row r="111" spans="1:34">
      <c r="B111" s="156" t="s">
        <v>180</v>
      </c>
      <c r="C111" s="156">
        <v>408</v>
      </c>
      <c r="D111" s="156" t="s">
        <v>181</v>
      </c>
      <c r="E111" s="156">
        <v>2008</v>
      </c>
      <c r="F111" s="156">
        <v>12</v>
      </c>
      <c r="G111" s="156">
        <v>0.2</v>
      </c>
      <c r="I111" s="156" t="s">
        <v>52</v>
      </c>
      <c r="J111" s="156">
        <v>7</v>
      </c>
      <c r="K111" s="156">
        <f t="shared" si="51"/>
        <v>2015</v>
      </c>
      <c r="N111" s="157">
        <v>6818.83</v>
      </c>
      <c r="P111" s="157">
        <f t="shared" si="52"/>
        <v>5455.0640000000003</v>
      </c>
      <c r="Q111" s="157">
        <f t="shared" si="53"/>
        <v>64.941238095238091</v>
      </c>
      <c r="R111" s="157">
        <f t="shared" si="54"/>
        <v>0</v>
      </c>
      <c r="S111" s="157">
        <f t="shared" si="55"/>
        <v>0</v>
      </c>
      <c r="T111" s="157">
        <f t="shared" si="56"/>
        <v>0</v>
      </c>
      <c r="U111" s="157">
        <v>1</v>
      </c>
      <c r="V111" s="157">
        <f t="shared" si="57"/>
        <v>0</v>
      </c>
      <c r="X111" s="157">
        <f t="shared" si="58"/>
        <v>5455.0640000000003</v>
      </c>
      <c r="Y111" s="157">
        <f t="shared" si="59"/>
        <v>5455.0640000000003</v>
      </c>
      <c r="Z111" s="157">
        <v>1</v>
      </c>
      <c r="AA111" s="157">
        <f t="shared" si="60"/>
        <v>5455.0640000000003</v>
      </c>
      <c r="AB111" s="157">
        <f t="shared" si="61"/>
        <v>5455.0640000000003</v>
      </c>
      <c r="AC111" s="157">
        <f t="shared" si="62"/>
        <v>1363.7659999999996</v>
      </c>
      <c r="AD111" s="157">
        <f t="shared" si="63"/>
        <v>2008.9166666666667</v>
      </c>
      <c r="AE111" s="157">
        <f t="shared" si="64"/>
        <v>2017</v>
      </c>
      <c r="AF111" s="157">
        <f t="shared" si="65"/>
        <v>2015.9166666666667</v>
      </c>
      <c r="AG111" s="157">
        <f t="shared" si="66"/>
        <v>2016</v>
      </c>
      <c r="AH111" s="157">
        <f t="shared" si="67"/>
        <v>-8.3333333333333329E-2</v>
      </c>
    </row>
    <row r="112" spans="1:34">
      <c r="B112" s="156" t="s">
        <v>56</v>
      </c>
      <c r="C112" s="156">
        <v>154</v>
      </c>
      <c r="D112" s="156" t="s">
        <v>272</v>
      </c>
      <c r="E112" s="156">
        <v>2013</v>
      </c>
      <c r="F112" s="156">
        <v>3</v>
      </c>
      <c r="G112" s="156">
        <v>0</v>
      </c>
      <c r="I112" s="156" t="s">
        <v>52</v>
      </c>
      <c r="J112" s="156">
        <v>3</v>
      </c>
      <c r="K112" s="156">
        <f t="shared" si="51"/>
        <v>2016</v>
      </c>
      <c r="N112" s="157">
        <v>10181.32</v>
      </c>
      <c r="P112" s="157">
        <f t="shared" si="52"/>
        <v>10181.32</v>
      </c>
      <c r="Q112" s="157">
        <f t="shared" si="53"/>
        <v>282.8144444444444</v>
      </c>
      <c r="R112" s="157">
        <f t="shared" si="54"/>
        <v>565.62888888914608</v>
      </c>
      <c r="S112" s="157">
        <f t="shared" si="55"/>
        <v>0</v>
      </c>
      <c r="T112" s="157">
        <f t="shared" si="56"/>
        <v>565.62888888914608</v>
      </c>
      <c r="U112" s="157">
        <v>1</v>
      </c>
      <c r="V112" s="157">
        <f t="shared" si="57"/>
        <v>565.62888888914608</v>
      </c>
      <c r="X112" s="157">
        <f t="shared" si="58"/>
        <v>9615.6911111108529</v>
      </c>
      <c r="Y112" s="157">
        <f t="shared" si="59"/>
        <v>9615.6911111108529</v>
      </c>
      <c r="Z112" s="157">
        <v>1</v>
      </c>
      <c r="AA112" s="157">
        <f t="shared" si="60"/>
        <v>9615.6911111108529</v>
      </c>
      <c r="AB112" s="157">
        <f t="shared" si="61"/>
        <v>10181.32</v>
      </c>
      <c r="AC112" s="157">
        <f t="shared" si="62"/>
        <v>282.81444444457338</v>
      </c>
      <c r="AD112" s="157">
        <f t="shared" si="63"/>
        <v>2013.1666666666667</v>
      </c>
      <c r="AE112" s="157">
        <f t="shared" si="64"/>
        <v>2017</v>
      </c>
      <c r="AF112" s="157">
        <f t="shared" si="65"/>
        <v>2016.1666666666667</v>
      </c>
      <c r="AG112" s="157">
        <f t="shared" si="66"/>
        <v>2016</v>
      </c>
      <c r="AH112" s="157">
        <f t="shared" si="67"/>
        <v>-8.3333333333333329E-2</v>
      </c>
    </row>
    <row r="113" spans="1:34">
      <c r="A113" s="156">
        <v>118206</v>
      </c>
      <c r="B113" s="156" t="s">
        <v>56</v>
      </c>
      <c r="C113" s="156">
        <v>422</v>
      </c>
      <c r="D113" s="156" t="s">
        <v>320</v>
      </c>
      <c r="E113" s="156">
        <v>2013</v>
      </c>
      <c r="F113" s="156">
        <v>10</v>
      </c>
      <c r="G113" s="156">
        <v>0.2</v>
      </c>
      <c r="I113" s="156" t="s">
        <v>52</v>
      </c>
      <c r="J113" s="156">
        <v>7</v>
      </c>
      <c r="K113" s="156">
        <f t="shared" si="51"/>
        <v>2020</v>
      </c>
      <c r="N113" s="157">
        <v>181166.14</v>
      </c>
      <c r="P113" s="157">
        <f t="shared" si="52"/>
        <v>144932.91200000001</v>
      </c>
      <c r="Q113" s="157">
        <f t="shared" si="53"/>
        <v>1725.3918095238096</v>
      </c>
      <c r="R113" s="157">
        <f t="shared" si="54"/>
        <v>20704.701714285715</v>
      </c>
      <c r="S113" s="157">
        <f t="shared" si="55"/>
        <v>0</v>
      </c>
      <c r="T113" s="157">
        <f t="shared" si="56"/>
        <v>20704.701714285715</v>
      </c>
      <c r="U113" s="157">
        <v>1</v>
      </c>
      <c r="V113" s="157">
        <f t="shared" si="57"/>
        <v>20704.701714285715</v>
      </c>
      <c r="X113" s="157">
        <f t="shared" si="58"/>
        <v>46585.578857142857</v>
      </c>
      <c r="Y113" s="157">
        <f t="shared" si="59"/>
        <v>46585.578857142857</v>
      </c>
      <c r="Z113" s="157">
        <v>1</v>
      </c>
      <c r="AA113" s="157">
        <f t="shared" si="60"/>
        <v>46585.578857142857</v>
      </c>
      <c r="AB113" s="157">
        <f t="shared" si="61"/>
        <v>67290.280571428564</v>
      </c>
      <c r="AC113" s="157">
        <f t="shared" si="62"/>
        <v>124228.2102857143</v>
      </c>
      <c r="AD113" s="157">
        <f t="shared" si="63"/>
        <v>2013.75</v>
      </c>
      <c r="AE113" s="157">
        <f t="shared" si="64"/>
        <v>2017</v>
      </c>
      <c r="AF113" s="157">
        <f t="shared" si="65"/>
        <v>2020.75</v>
      </c>
      <c r="AG113" s="157">
        <f t="shared" si="66"/>
        <v>2016</v>
      </c>
      <c r="AH113" s="157">
        <f t="shared" si="67"/>
        <v>-8.3333333333333329E-2</v>
      </c>
    </row>
    <row r="114" spans="1:34">
      <c r="A114" s="156">
        <v>128139</v>
      </c>
      <c r="B114" s="156" t="s">
        <v>56</v>
      </c>
      <c r="C114" s="156">
        <v>422</v>
      </c>
      <c r="D114" s="156" t="s">
        <v>334</v>
      </c>
      <c r="E114" s="156">
        <v>2015</v>
      </c>
      <c r="F114" s="156">
        <v>11</v>
      </c>
      <c r="G114" s="156">
        <v>0</v>
      </c>
      <c r="I114" s="156" t="s">
        <v>52</v>
      </c>
      <c r="J114" s="156">
        <v>7</v>
      </c>
      <c r="K114" s="156">
        <f t="shared" si="51"/>
        <v>2022</v>
      </c>
      <c r="N114" s="157">
        <v>8768.42</v>
      </c>
      <c r="P114" s="157">
        <f t="shared" si="52"/>
        <v>8768.42</v>
      </c>
      <c r="Q114" s="157">
        <f t="shared" si="53"/>
        <v>104.38595238095239</v>
      </c>
      <c r="R114" s="157">
        <f t="shared" si="54"/>
        <v>1252.6314285714286</v>
      </c>
      <c r="S114" s="157">
        <f t="shared" si="55"/>
        <v>0</v>
      </c>
      <c r="T114" s="157">
        <f t="shared" si="56"/>
        <v>1252.6314285714286</v>
      </c>
      <c r="U114" s="157">
        <v>1</v>
      </c>
      <c r="V114" s="157">
        <f t="shared" si="57"/>
        <v>1252.6314285714286</v>
      </c>
      <c r="X114" s="157">
        <f t="shared" si="58"/>
        <v>208.77190476199971</v>
      </c>
      <c r="Y114" s="157">
        <f t="shared" si="59"/>
        <v>208.77190476199971</v>
      </c>
      <c r="Z114" s="157">
        <v>1</v>
      </c>
      <c r="AA114" s="157">
        <f t="shared" si="60"/>
        <v>208.77190476199971</v>
      </c>
      <c r="AB114" s="157">
        <f t="shared" si="61"/>
        <v>1461.4033333334282</v>
      </c>
      <c r="AC114" s="157">
        <f t="shared" si="62"/>
        <v>7933.3323809522863</v>
      </c>
      <c r="AD114" s="157">
        <f t="shared" si="63"/>
        <v>2015.8333333333333</v>
      </c>
      <c r="AE114" s="157">
        <f t="shared" si="64"/>
        <v>2017</v>
      </c>
      <c r="AF114" s="157">
        <f t="shared" si="65"/>
        <v>2022.8333333333333</v>
      </c>
      <c r="AG114" s="157">
        <f t="shared" si="66"/>
        <v>2016</v>
      </c>
      <c r="AH114" s="157">
        <f t="shared" si="67"/>
        <v>-8.3333333333333329E-2</v>
      </c>
    </row>
    <row r="115" spans="1:34">
      <c r="A115" s="156" t="s">
        <v>419</v>
      </c>
      <c r="D115" s="156" t="s">
        <v>421</v>
      </c>
      <c r="E115" s="156">
        <v>2016</v>
      </c>
      <c r="F115" s="156">
        <v>3</v>
      </c>
      <c r="G115" s="156">
        <v>0</v>
      </c>
      <c r="I115" s="156" t="s">
        <v>52</v>
      </c>
      <c r="J115" s="156">
        <v>1</v>
      </c>
      <c r="K115" s="156">
        <f t="shared" si="51"/>
        <v>2017</v>
      </c>
      <c r="N115" s="157">
        <f>(25892.28+23056.62)/104*5</f>
        <v>2353.3125</v>
      </c>
      <c r="P115" s="157">
        <f t="shared" si="52"/>
        <v>2353.3125</v>
      </c>
      <c r="Q115" s="157">
        <f t="shared" si="53"/>
        <v>196.109375</v>
      </c>
      <c r="R115" s="157">
        <f t="shared" si="54"/>
        <v>1961.0937499998217</v>
      </c>
      <c r="S115" s="157">
        <f t="shared" si="55"/>
        <v>0</v>
      </c>
      <c r="T115" s="157">
        <f t="shared" si="56"/>
        <v>1961.0937499998217</v>
      </c>
      <c r="U115" s="157">
        <v>1</v>
      </c>
      <c r="V115" s="157">
        <f t="shared" si="57"/>
        <v>1961.0937499998217</v>
      </c>
      <c r="X115" s="157">
        <f t="shared" si="58"/>
        <v>0</v>
      </c>
      <c r="Y115" s="157">
        <f t="shared" si="59"/>
        <v>0</v>
      </c>
      <c r="Z115" s="157">
        <v>1</v>
      </c>
      <c r="AA115" s="157">
        <f t="shared" si="60"/>
        <v>0</v>
      </c>
      <c r="AB115" s="157">
        <f t="shared" si="61"/>
        <v>1961.0937499998217</v>
      </c>
      <c r="AC115" s="157">
        <f t="shared" si="62"/>
        <v>196.10937500008913</v>
      </c>
      <c r="AD115" s="157">
        <f t="shared" si="63"/>
        <v>2016.1666666666667</v>
      </c>
      <c r="AE115" s="157">
        <f t="shared" si="64"/>
        <v>2017</v>
      </c>
      <c r="AF115" s="157">
        <f t="shared" si="65"/>
        <v>2017.1666666666667</v>
      </c>
      <c r="AG115" s="157">
        <f t="shared" si="66"/>
        <v>2016</v>
      </c>
      <c r="AH115" s="157">
        <f t="shared" si="67"/>
        <v>-8.3333333333333329E-2</v>
      </c>
    </row>
    <row r="116" spans="1:34">
      <c r="A116" s="156">
        <v>132248</v>
      </c>
      <c r="D116" s="156" t="s">
        <v>392</v>
      </c>
      <c r="E116" s="156">
        <v>2016</v>
      </c>
      <c r="F116" s="156">
        <v>4</v>
      </c>
      <c r="G116" s="156">
        <v>0</v>
      </c>
      <c r="I116" s="156" t="s">
        <v>52</v>
      </c>
      <c r="J116" s="156">
        <v>5</v>
      </c>
      <c r="K116" s="156">
        <f t="shared" si="51"/>
        <v>2021</v>
      </c>
      <c r="N116" s="157">
        <v>37677.360000000001</v>
      </c>
      <c r="P116" s="157">
        <f t="shared" si="52"/>
        <v>37677.360000000001</v>
      </c>
      <c r="Q116" s="157">
        <f t="shared" si="53"/>
        <v>627.95600000000002</v>
      </c>
      <c r="R116" s="157">
        <f t="shared" si="54"/>
        <v>5651.6040000000003</v>
      </c>
      <c r="S116" s="157">
        <f t="shared" si="55"/>
        <v>0</v>
      </c>
      <c r="T116" s="157">
        <f t="shared" si="56"/>
        <v>5651.6040000000003</v>
      </c>
      <c r="U116" s="157">
        <v>1</v>
      </c>
      <c r="V116" s="157">
        <f t="shared" si="57"/>
        <v>5651.6040000000003</v>
      </c>
      <c r="X116" s="157">
        <f t="shared" si="58"/>
        <v>0</v>
      </c>
      <c r="Y116" s="157">
        <f t="shared" si="59"/>
        <v>0</v>
      </c>
      <c r="Z116" s="157">
        <v>1</v>
      </c>
      <c r="AA116" s="157">
        <f t="shared" si="60"/>
        <v>0</v>
      </c>
      <c r="AB116" s="157">
        <f t="shared" si="61"/>
        <v>5651.6040000000003</v>
      </c>
      <c r="AC116" s="157">
        <f t="shared" si="62"/>
        <v>16012.878000000001</v>
      </c>
      <c r="AD116" s="157">
        <f t="shared" si="63"/>
        <v>2016.25</v>
      </c>
      <c r="AE116" s="157">
        <f t="shared" si="64"/>
        <v>2017</v>
      </c>
      <c r="AF116" s="157">
        <f t="shared" si="65"/>
        <v>2021.25</v>
      </c>
      <c r="AG116" s="157">
        <f t="shared" si="66"/>
        <v>2016</v>
      </c>
      <c r="AH116" s="157">
        <f t="shared" si="67"/>
        <v>-8.3333333333333329E-2</v>
      </c>
    </row>
    <row r="117" spans="1:34">
      <c r="A117" s="156">
        <v>132249</v>
      </c>
      <c r="D117" s="156" t="s">
        <v>393</v>
      </c>
      <c r="E117" s="156">
        <v>2016</v>
      </c>
      <c r="F117" s="156">
        <v>4</v>
      </c>
      <c r="G117" s="156">
        <v>0</v>
      </c>
      <c r="I117" s="156" t="s">
        <v>52</v>
      </c>
      <c r="J117" s="156">
        <v>5</v>
      </c>
      <c r="K117" s="156">
        <f t="shared" si="51"/>
        <v>2021</v>
      </c>
      <c r="N117" s="157">
        <v>7289.19</v>
      </c>
      <c r="P117" s="157">
        <f t="shared" si="52"/>
        <v>7289.19</v>
      </c>
      <c r="Q117" s="157">
        <f t="shared" si="53"/>
        <v>121.48649999999999</v>
      </c>
      <c r="R117" s="157">
        <f t="shared" si="54"/>
        <v>1093.3785</v>
      </c>
      <c r="S117" s="157">
        <f t="shared" si="55"/>
        <v>0</v>
      </c>
      <c r="T117" s="157">
        <f t="shared" si="56"/>
        <v>1093.3785</v>
      </c>
      <c r="U117" s="157">
        <v>1</v>
      </c>
      <c r="V117" s="157">
        <f t="shared" si="57"/>
        <v>1093.3785</v>
      </c>
      <c r="X117" s="157">
        <f t="shared" si="58"/>
        <v>0</v>
      </c>
      <c r="Y117" s="157">
        <f t="shared" si="59"/>
        <v>0</v>
      </c>
      <c r="Z117" s="157">
        <v>1</v>
      </c>
      <c r="AA117" s="157">
        <f t="shared" si="60"/>
        <v>0</v>
      </c>
      <c r="AB117" s="157">
        <f t="shared" si="61"/>
        <v>1093.3785</v>
      </c>
      <c r="AC117" s="157">
        <f t="shared" si="62"/>
        <v>3097.9057499999999</v>
      </c>
      <c r="AD117" s="157">
        <f t="shared" si="63"/>
        <v>2016.25</v>
      </c>
      <c r="AE117" s="157">
        <f t="shared" si="64"/>
        <v>2017</v>
      </c>
      <c r="AF117" s="157">
        <f t="shared" si="65"/>
        <v>2021.25</v>
      </c>
      <c r="AG117" s="157">
        <f t="shared" si="66"/>
        <v>2016</v>
      </c>
      <c r="AH117" s="157">
        <f t="shared" si="67"/>
        <v>-8.3333333333333329E-2</v>
      </c>
    </row>
    <row r="118" spans="1:34">
      <c r="A118" s="156">
        <v>165758</v>
      </c>
      <c r="C118" s="156">
        <v>406</v>
      </c>
      <c r="D118" s="156" t="s">
        <v>398</v>
      </c>
      <c r="E118" s="156">
        <v>2016</v>
      </c>
      <c r="F118" s="156">
        <v>6</v>
      </c>
      <c r="G118" s="156">
        <v>0</v>
      </c>
      <c r="I118" s="156" t="s">
        <v>52</v>
      </c>
      <c r="J118" s="156">
        <v>3</v>
      </c>
      <c r="K118" s="156">
        <f t="shared" si="51"/>
        <v>2019</v>
      </c>
      <c r="N118" s="157">
        <v>19969.009999999998</v>
      </c>
      <c r="P118" s="157">
        <f t="shared" si="52"/>
        <v>19969.009999999998</v>
      </c>
      <c r="Q118" s="157">
        <f t="shared" si="53"/>
        <v>554.69472222222214</v>
      </c>
      <c r="R118" s="157">
        <f t="shared" si="54"/>
        <v>3882.8630555550503</v>
      </c>
      <c r="S118" s="157">
        <f t="shared" si="55"/>
        <v>0</v>
      </c>
      <c r="T118" s="157">
        <f t="shared" si="56"/>
        <v>3882.8630555550503</v>
      </c>
      <c r="U118" s="157">
        <v>1</v>
      </c>
      <c r="V118" s="157">
        <f t="shared" si="57"/>
        <v>3882.8630555550503</v>
      </c>
      <c r="X118" s="157">
        <f t="shared" si="58"/>
        <v>0</v>
      </c>
      <c r="Y118" s="157">
        <f t="shared" si="59"/>
        <v>0</v>
      </c>
      <c r="Z118" s="157">
        <v>1</v>
      </c>
      <c r="AA118" s="157">
        <f t="shared" si="60"/>
        <v>0</v>
      </c>
      <c r="AB118" s="157">
        <f t="shared" si="61"/>
        <v>3882.8630555550503</v>
      </c>
      <c r="AC118" s="157">
        <f t="shared" si="62"/>
        <v>8043.0734722224743</v>
      </c>
      <c r="AD118" s="157">
        <f t="shared" si="63"/>
        <v>2016.4166666666667</v>
      </c>
      <c r="AE118" s="157">
        <f t="shared" si="64"/>
        <v>2017</v>
      </c>
      <c r="AF118" s="157">
        <f t="shared" si="65"/>
        <v>2019.4166666666667</v>
      </c>
      <c r="AG118" s="157">
        <f t="shared" si="66"/>
        <v>2016</v>
      </c>
      <c r="AH118" s="157">
        <f t="shared" si="67"/>
        <v>-8.3333333333333329E-2</v>
      </c>
    </row>
    <row r="120" spans="1:34" ht="13.5" thickBot="1">
      <c r="D120" s="156" t="s">
        <v>51</v>
      </c>
      <c r="N120" s="157">
        <f>SUM(N100:N119)</f>
        <v>780726.16250000009</v>
      </c>
      <c r="P120" s="157">
        <f t="shared" ref="P120:AC120" si="68">SUM(P100:P119)</f>
        <v>641828.65250000008</v>
      </c>
      <c r="Q120" s="157">
        <f t="shared" si="68"/>
        <v>8501.6141369047618</v>
      </c>
      <c r="R120" s="157">
        <f t="shared" si="68"/>
        <v>35111.901337301162</v>
      </c>
      <c r="S120" s="157">
        <f t="shared" si="68"/>
        <v>0</v>
      </c>
      <c r="T120" s="157">
        <f t="shared" si="68"/>
        <v>35111.901337301162</v>
      </c>
      <c r="V120" s="157">
        <f t="shared" si="68"/>
        <v>35111.901337301162</v>
      </c>
      <c r="W120" s="157">
        <f t="shared" si="68"/>
        <v>0</v>
      </c>
      <c r="X120" s="157">
        <f t="shared" si="68"/>
        <v>467067.16987301572</v>
      </c>
      <c r="Y120" s="157">
        <f t="shared" si="68"/>
        <v>467067.16987301572</v>
      </c>
      <c r="AA120" s="157">
        <f t="shared" si="68"/>
        <v>467067.16987301572</v>
      </c>
      <c r="AB120" s="157">
        <f t="shared" si="68"/>
        <v>502179.07121031685</v>
      </c>
      <c r="AC120" s="157">
        <f t="shared" si="68"/>
        <v>262458.60570833378</v>
      </c>
    </row>
    <row r="122" spans="1:34" ht="13.5" thickBot="1">
      <c r="B122" s="156" t="s">
        <v>57</v>
      </c>
      <c r="C122" s="156" t="s">
        <v>57</v>
      </c>
      <c r="D122" s="156" t="s">
        <v>178</v>
      </c>
      <c r="E122" s="156">
        <v>2008</v>
      </c>
      <c r="F122" s="156">
        <v>1</v>
      </c>
      <c r="G122" s="156">
        <v>0.2</v>
      </c>
      <c r="I122" s="156" t="s">
        <v>52</v>
      </c>
      <c r="J122" s="156">
        <v>7</v>
      </c>
      <c r="K122" s="156">
        <f>E122+J122</f>
        <v>2015</v>
      </c>
      <c r="N122" s="157">
        <f>(128356.94)</f>
        <v>128356.94</v>
      </c>
      <c r="P122" s="157">
        <f>N122-N122*G122</f>
        <v>102685.552</v>
      </c>
      <c r="Q122" s="157">
        <f>P122/J122/12</f>
        <v>1222.4470476190475</v>
      </c>
      <c r="R122" s="157">
        <f>IF(O122&gt;0,0,IF(OR(AD122&gt;AE122,AF122&lt;AG122),0,IF(AND(AF122&gt;=AG122,AF122&lt;=AE122),Q122*((AF122-AG122)*12),IF(AND(AG122&lt;=AD122,AE122&gt;=AD122),((AE122-AD122)*12)*Q122,IF(AF122&gt;AE122,12*Q122,0)))))</f>
        <v>0</v>
      </c>
      <c r="S122" s="157">
        <f>IF(O122=0,0,IF(AND(AH122&gt;=AG122,AH122&lt;=AF122),((AH122-AG122)*12)*Q122,0))</f>
        <v>0</v>
      </c>
      <c r="T122" s="157">
        <f>IF(S122&gt;0,S122,R122)</f>
        <v>0</v>
      </c>
      <c r="U122" s="157">
        <v>1</v>
      </c>
      <c r="V122" s="157">
        <f>U122*SUM(R122:S122)</f>
        <v>0</v>
      </c>
      <c r="X122" s="157">
        <f>IF(AD122&gt;AE122,0,IF(AF122&lt;AG122,P122,IF(AND(AF122&gt;=AG122,AF122&lt;=AE122),(P122-T122),IF(AND(AG122&lt;=AD122,AE122&gt;=AD122),0,IF(AF122&gt;AE122,((AG122-AD122)*12)*Q122,0)))))</f>
        <v>102685.552</v>
      </c>
      <c r="Y122" s="157">
        <f>X122*U122</f>
        <v>102685.552</v>
      </c>
      <c r="Z122" s="157">
        <v>1</v>
      </c>
      <c r="AA122" s="157">
        <f>Y122*Z122</f>
        <v>102685.552</v>
      </c>
      <c r="AB122" s="157">
        <f>IF(O122&gt;0,0,AA122+V122*Z122)*Z122</f>
        <v>102685.552</v>
      </c>
      <c r="AC122" s="157">
        <f>IF(O122&gt;0,(N122-AA122)/2,IF(AD122&gt;=AG122,(((N122*U122)*Z122)-AB122)/2,((((N122*U122)*Z122)-AA122)+(((N122*U122)*Z122)-AB122))/2))</f>
        <v>25671.388000000006</v>
      </c>
      <c r="AD122" s="157">
        <f>$E122+(($F122-1)/12)</f>
        <v>2008</v>
      </c>
      <c r="AE122" s="157">
        <f>($P$5+1)-($P$2/12)</f>
        <v>2017</v>
      </c>
      <c r="AF122" s="157">
        <f>$K122+(($F122-1)/12)</f>
        <v>2015</v>
      </c>
      <c r="AG122" s="157">
        <f>$P$4+($P$3/12)</f>
        <v>2016</v>
      </c>
      <c r="AH122" s="157">
        <f>$L122+(($M122-1)/12)</f>
        <v>-8.3333333333333329E-2</v>
      </c>
    </row>
    <row r="124" spans="1:34" ht="13.5" thickBot="1">
      <c r="D124" s="156" t="s">
        <v>210</v>
      </c>
      <c r="N124" s="157">
        <f>N49+N97+N120</f>
        <v>6130216.6174999997</v>
      </c>
      <c r="P124" s="157">
        <f>P49+P97+P120</f>
        <v>4985605.2188999988</v>
      </c>
      <c r="Q124" s="157">
        <f>Q49+Q97+Q120</f>
        <v>68575.680650555558</v>
      </c>
      <c r="R124" s="157">
        <f>R49+R97+R120</f>
        <v>284569.56778808829</v>
      </c>
      <c r="S124" s="157">
        <f>S49+S97+S120</f>
        <v>0</v>
      </c>
      <c r="T124" s="157">
        <f>T49+T97+T120</f>
        <v>85942.023732537375</v>
      </c>
      <c r="V124" s="157">
        <f>V49+V97+V120</f>
        <v>284569.56778808829</v>
      </c>
      <c r="W124" s="157">
        <f>W49+W97+W120</f>
        <v>0</v>
      </c>
      <c r="X124" s="157">
        <f>X49+X97+X120</f>
        <v>2206257.2401190493</v>
      </c>
      <c r="Y124" s="157">
        <f>Y49+Y97+Y120</f>
        <v>2206257.2401190493</v>
      </c>
      <c r="AA124" s="157">
        <f>AA49+AA97+AA120</f>
        <v>3704515.9267904731</v>
      </c>
      <c r="AB124" s="157">
        <f>AB49+AB97+AB120</f>
        <v>3989085.4945785603</v>
      </c>
      <c r="AC124" s="157">
        <f>AC49+AC97+AC120</f>
        <v>1939520.3030654835</v>
      </c>
    </row>
    <row r="125" spans="1:34" ht="13.5" thickTop="1"/>
    <row r="126" spans="1:34">
      <c r="D126" s="156" t="s">
        <v>87</v>
      </c>
    </row>
    <row r="127" spans="1:34">
      <c r="B127" s="156" t="s">
        <v>88</v>
      </c>
      <c r="D127" s="156" t="s">
        <v>89</v>
      </c>
      <c r="E127" s="156">
        <v>1991</v>
      </c>
      <c r="F127" s="156">
        <v>8</v>
      </c>
      <c r="I127" s="156" t="s">
        <v>52</v>
      </c>
      <c r="J127" s="156">
        <v>5</v>
      </c>
      <c r="K127" s="156">
        <f t="shared" ref="K127:K134" si="69">E127+J127</f>
        <v>1996</v>
      </c>
      <c r="N127" s="157">
        <v>980.98</v>
      </c>
      <c r="P127" s="157">
        <f t="shared" ref="P127:P134" si="70">N127-N127*G127</f>
        <v>980.98</v>
      </c>
      <c r="Q127" s="157">
        <f t="shared" ref="Q127:Q134" si="71">P127/J127/12</f>
        <v>16.349666666666668</v>
      </c>
      <c r="R127" s="157">
        <f t="shared" ref="R127:R134" si="72">IF(O127&gt;0,0,IF(OR(AD127&gt;AE127,AF127&lt;AG127),0,IF(AND(AF127&gt;=AG127,AF127&lt;=AE127),Q127*((AF127-AG127)*12),IF(AND(AG127&lt;=AD127,AE127&gt;=AD127),((AE127-AD127)*12)*Q127,IF(AF127&gt;AE127,12*Q127,0)))))</f>
        <v>0</v>
      </c>
      <c r="S127" s="157">
        <f t="shared" ref="S127:S134" si="73">IF(O127=0,0,IF(AND(AH127&gt;=AG127,AH127&lt;=AF127),((AH127-AG127)*12)*Q127,0))</f>
        <v>0</v>
      </c>
      <c r="T127" s="157">
        <f t="shared" ref="T127:T134" si="74">IF(S127&gt;0,S127,R127)</f>
        <v>0</v>
      </c>
      <c r="U127" s="157">
        <v>1</v>
      </c>
      <c r="V127" s="157">
        <f t="shared" ref="V127:V134" si="75">U127*SUM(R127:S127)</f>
        <v>0</v>
      </c>
      <c r="X127" s="157">
        <f t="shared" ref="X127:X134" si="76">IF(AD127&gt;AE127,0,IF(AF127&lt;AG127,P127,IF(AND(AF127&gt;=AG127,AF127&lt;=AE127),(P127-T127),IF(AND(AG127&lt;=AD127,AE127&gt;=AD127),0,IF(AF127&gt;AE127,((AG127-AD127)*12)*Q127,0)))))</f>
        <v>980.98</v>
      </c>
      <c r="Y127" s="157">
        <f t="shared" ref="Y127:Y134" si="77">X127*U127</f>
        <v>980.98</v>
      </c>
      <c r="Z127" s="157">
        <v>1</v>
      </c>
      <c r="AA127" s="157">
        <f t="shared" ref="AA127:AA134" si="78">Y127*Z127</f>
        <v>980.98</v>
      </c>
      <c r="AB127" s="157">
        <f t="shared" ref="AB127:AB134" si="79">IF(O127&gt;0,0,AA127+V127*Z127)*Z127</f>
        <v>980.98</v>
      </c>
      <c r="AC127" s="157">
        <f t="shared" ref="AC127:AC134" si="80">IF(O127&gt;0,(N127-AA127)/2,IF(AD127&gt;=AG127,(((N127*U127)*Z127)-AB127)/2,((((N127*U127)*Z127)-AA127)+(((N127*U127)*Z127)-AB127))/2))</f>
        <v>0</v>
      </c>
      <c r="AD127" s="157">
        <f t="shared" ref="AD127:AD134" si="81">$E127+(($F127-1)/12)</f>
        <v>1991.5833333333333</v>
      </c>
      <c r="AE127" s="157">
        <f t="shared" ref="AE127:AE134" si="82">($P$5+1)-($P$2/12)</f>
        <v>2017</v>
      </c>
      <c r="AF127" s="157">
        <f t="shared" ref="AF127:AF134" si="83">$K127+(($F127-1)/12)</f>
        <v>1996.5833333333333</v>
      </c>
      <c r="AG127" s="157">
        <f t="shared" ref="AG127:AG134" si="84">$P$4+($P$3/12)</f>
        <v>2016</v>
      </c>
      <c r="AH127" s="157">
        <f t="shared" ref="AH127:AH134" si="85">$L127+(($M127-1)/12)</f>
        <v>-8.3333333333333329E-2</v>
      </c>
    </row>
    <row r="128" spans="1:34">
      <c r="B128" s="156" t="s">
        <v>88</v>
      </c>
      <c r="D128" s="156" t="s">
        <v>89</v>
      </c>
      <c r="E128" s="156">
        <v>1991</v>
      </c>
      <c r="F128" s="156">
        <v>12</v>
      </c>
      <c r="I128" s="156" t="s">
        <v>52</v>
      </c>
      <c r="J128" s="156">
        <v>5</v>
      </c>
      <c r="K128" s="156">
        <f t="shared" si="69"/>
        <v>1996</v>
      </c>
      <c r="N128" s="157">
        <v>980.98</v>
      </c>
      <c r="P128" s="157">
        <f t="shared" si="70"/>
        <v>980.98</v>
      </c>
      <c r="Q128" s="157">
        <f t="shared" si="71"/>
        <v>16.349666666666668</v>
      </c>
      <c r="R128" s="157">
        <f t="shared" si="72"/>
        <v>0</v>
      </c>
      <c r="S128" s="157">
        <f t="shared" si="73"/>
        <v>0</v>
      </c>
      <c r="T128" s="157">
        <f t="shared" si="74"/>
        <v>0</v>
      </c>
      <c r="U128" s="157">
        <v>1</v>
      </c>
      <c r="V128" s="157">
        <f t="shared" si="75"/>
        <v>0</v>
      </c>
      <c r="X128" s="157">
        <f t="shared" si="76"/>
        <v>980.98</v>
      </c>
      <c r="Y128" s="157">
        <f t="shared" si="77"/>
        <v>980.98</v>
      </c>
      <c r="Z128" s="157">
        <v>1</v>
      </c>
      <c r="AA128" s="157">
        <f t="shared" si="78"/>
        <v>980.98</v>
      </c>
      <c r="AB128" s="157">
        <f t="shared" si="79"/>
        <v>980.98</v>
      </c>
      <c r="AC128" s="157">
        <f t="shared" si="80"/>
        <v>0</v>
      </c>
      <c r="AD128" s="157">
        <f t="shared" si="81"/>
        <v>1991.9166666666667</v>
      </c>
      <c r="AE128" s="157">
        <f t="shared" si="82"/>
        <v>2017</v>
      </c>
      <c r="AF128" s="157">
        <f t="shared" si="83"/>
        <v>1996.9166666666667</v>
      </c>
      <c r="AG128" s="157">
        <f t="shared" si="84"/>
        <v>2016</v>
      </c>
      <c r="AH128" s="157">
        <f t="shared" si="85"/>
        <v>-8.3333333333333329E-2</v>
      </c>
    </row>
    <row r="129" spans="1:34">
      <c r="A129" s="156">
        <v>6471</v>
      </c>
      <c r="B129" s="156" t="s">
        <v>54</v>
      </c>
      <c r="C129" s="156">
        <v>23</v>
      </c>
      <c r="D129" s="156" t="s">
        <v>231</v>
      </c>
      <c r="E129" s="156">
        <v>1993</v>
      </c>
      <c r="F129" s="156">
        <v>10</v>
      </c>
      <c r="G129" s="156">
        <v>0.2</v>
      </c>
      <c r="I129" s="156" t="s">
        <v>52</v>
      </c>
      <c r="J129" s="156">
        <v>7</v>
      </c>
      <c r="K129" s="156">
        <f t="shared" si="69"/>
        <v>2000</v>
      </c>
      <c r="N129" s="157">
        <v>104498.89</v>
      </c>
      <c r="O129" s="157">
        <v>0</v>
      </c>
      <c r="P129" s="157">
        <f t="shared" si="70"/>
        <v>83599.111999999994</v>
      </c>
      <c r="Q129" s="157">
        <f t="shared" si="71"/>
        <v>995.22752380952363</v>
      </c>
      <c r="R129" s="157">
        <f t="shared" si="72"/>
        <v>0</v>
      </c>
      <c r="S129" s="157">
        <f t="shared" si="73"/>
        <v>0</v>
      </c>
      <c r="T129" s="157">
        <f t="shared" si="74"/>
        <v>0</v>
      </c>
      <c r="U129" s="157">
        <v>1</v>
      </c>
      <c r="V129" s="157">
        <f t="shared" si="75"/>
        <v>0</v>
      </c>
      <c r="X129" s="157">
        <f t="shared" si="76"/>
        <v>83599.111999999994</v>
      </c>
      <c r="Y129" s="157">
        <f t="shared" si="77"/>
        <v>83599.111999999994</v>
      </c>
      <c r="Z129" s="157">
        <v>1</v>
      </c>
      <c r="AA129" s="157">
        <f t="shared" si="78"/>
        <v>83599.111999999994</v>
      </c>
      <c r="AB129" s="157">
        <f t="shared" si="79"/>
        <v>83599.111999999994</v>
      </c>
      <c r="AC129" s="157">
        <f t="shared" si="80"/>
        <v>20899.778000000006</v>
      </c>
      <c r="AD129" s="157">
        <f t="shared" si="81"/>
        <v>1993.75</v>
      </c>
      <c r="AE129" s="157">
        <f t="shared" si="82"/>
        <v>2017</v>
      </c>
      <c r="AF129" s="157">
        <f t="shared" si="83"/>
        <v>2000.75</v>
      </c>
      <c r="AG129" s="157">
        <f t="shared" si="84"/>
        <v>2016</v>
      </c>
      <c r="AH129" s="157">
        <f t="shared" si="85"/>
        <v>-8.3333333333333329E-2</v>
      </c>
    </row>
    <row r="130" spans="1:34">
      <c r="B130" s="156" t="s">
        <v>54</v>
      </c>
      <c r="C130" s="156">
        <v>23</v>
      </c>
      <c r="D130" s="156" t="s">
        <v>73</v>
      </c>
      <c r="E130" s="156">
        <v>2002</v>
      </c>
      <c r="F130" s="156">
        <v>12</v>
      </c>
      <c r="I130" s="156" t="s">
        <v>52</v>
      </c>
      <c r="J130" s="156">
        <v>5</v>
      </c>
      <c r="K130" s="156">
        <f t="shared" si="69"/>
        <v>2007</v>
      </c>
      <c r="N130" s="157">
        <v>6092.8</v>
      </c>
      <c r="O130" s="157">
        <v>0</v>
      </c>
      <c r="P130" s="157">
        <f t="shared" si="70"/>
        <v>6092.8</v>
      </c>
      <c r="Q130" s="157">
        <f t="shared" si="71"/>
        <v>101.54666666666667</v>
      </c>
      <c r="R130" s="157">
        <f t="shared" si="72"/>
        <v>0</v>
      </c>
      <c r="S130" s="157">
        <f t="shared" si="73"/>
        <v>0</v>
      </c>
      <c r="T130" s="157">
        <f t="shared" si="74"/>
        <v>0</v>
      </c>
      <c r="U130" s="157">
        <v>1</v>
      </c>
      <c r="V130" s="157">
        <f t="shared" si="75"/>
        <v>0</v>
      </c>
      <c r="X130" s="157">
        <f t="shared" si="76"/>
        <v>6092.8</v>
      </c>
      <c r="Y130" s="157">
        <f t="shared" si="77"/>
        <v>6092.8</v>
      </c>
      <c r="Z130" s="157">
        <v>1</v>
      </c>
      <c r="AA130" s="157">
        <f t="shared" si="78"/>
        <v>6092.8</v>
      </c>
      <c r="AB130" s="157">
        <f t="shared" si="79"/>
        <v>6092.8</v>
      </c>
      <c r="AC130" s="157">
        <f t="shared" si="80"/>
        <v>0</v>
      </c>
      <c r="AD130" s="157">
        <f t="shared" si="81"/>
        <v>2002.9166666666667</v>
      </c>
      <c r="AE130" s="157">
        <f t="shared" si="82"/>
        <v>2017</v>
      </c>
      <c r="AF130" s="157">
        <f t="shared" si="83"/>
        <v>2007.9166666666667</v>
      </c>
      <c r="AG130" s="157">
        <f t="shared" si="84"/>
        <v>2016</v>
      </c>
      <c r="AH130" s="157">
        <f t="shared" si="85"/>
        <v>-8.3333333333333329E-2</v>
      </c>
    </row>
    <row r="131" spans="1:34">
      <c r="B131" s="156" t="s">
        <v>88</v>
      </c>
      <c r="D131" s="156" t="s">
        <v>166</v>
      </c>
      <c r="E131" s="156">
        <v>2008</v>
      </c>
      <c r="F131" s="156">
        <v>4</v>
      </c>
      <c r="G131" s="156">
        <v>0.2</v>
      </c>
      <c r="I131" s="156" t="s">
        <v>52</v>
      </c>
      <c r="J131" s="156">
        <v>7</v>
      </c>
      <c r="K131" s="156">
        <f t="shared" si="69"/>
        <v>2015</v>
      </c>
      <c r="N131" s="157">
        <v>560.39</v>
      </c>
      <c r="P131" s="157">
        <f t="shared" si="70"/>
        <v>448.31200000000001</v>
      </c>
      <c r="Q131" s="157">
        <f t="shared" si="71"/>
        <v>5.3370476190476195</v>
      </c>
      <c r="R131" s="157">
        <f t="shared" si="72"/>
        <v>0</v>
      </c>
      <c r="S131" s="157">
        <f t="shared" si="73"/>
        <v>0</v>
      </c>
      <c r="T131" s="157">
        <f t="shared" si="74"/>
        <v>0</v>
      </c>
      <c r="U131" s="157">
        <v>1</v>
      </c>
      <c r="V131" s="157">
        <f t="shared" si="75"/>
        <v>0</v>
      </c>
      <c r="X131" s="157">
        <f t="shared" si="76"/>
        <v>448.31200000000001</v>
      </c>
      <c r="Y131" s="157">
        <f t="shared" si="77"/>
        <v>448.31200000000001</v>
      </c>
      <c r="Z131" s="157">
        <v>1</v>
      </c>
      <c r="AA131" s="157">
        <f t="shared" si="78"/>
        <v>448.31200000000001</v>
      </c>
      <c r="AB131" s="157">
        <f t="shared" si="79"/>
        <v>448.31200000000001</v>
      </c>
      <c r="AC131" s="157">
        <f t="shared" si="80"/>
        <v>112.07799999999997</v>
      </c>
      <c r="AD131" s="157">
        <f t="shared" si="81"/>
        <v>2008.25</v>
      </c>
      <c r="AE131" s="157">
        <f t="shared" si="82"/>
        <v>2017</v>
      </c>
      <c r="AF131" s="157">
        <f t="shared" si="83"/>
        <v>2015.25</v>
      </c>
      <c r="AG131" s="157">
        <f t="shared" si="84"/>
        <v>2016</v>
      </c>
      <c r="AH131" s="157">
        <f t="shared" si="85"/>
        <v>-8.3333333333333329E-2</v>
      </c>
    </row>
    <row r="132" spans="1:34">
      <c r="A132" s="156">
        <v>102188</v>
      </c>
      <c r="B132" s="156" t="s">
        <v>88</v>
      </c>
      <c r="C132" s="156">
        <v>624</v>
      </c>
      <c r="D132" s="156" t="s">
        <v>240</v>
      </c>
      <c r="E132" s="156">
        <v>2009</v>
      </c>
      <c r="F132" s="156">
        <v>5</v>
      </c>
      <c r="G132" s="156">
        <v>0.33</v>
      </c>
      <c r="I132" s="156" t="s">
        <v>52</v>
      </c>
      <c r="J132" s="156">
        <v>5</v>
      </c>
      <c r="K132" s="156">
        <f>E132+J132</f>
        <v>2014</v>
      </c>
      <c r="N132" s="157">
        <v>291802</v>
      </c>
      <c r="P132" s="157">
        <f>N132-N132*G132</f>
        <v>195507.34</v>
      </c>
      <c r="Q132" s="157">
        <f>P132/J132/12</f>
        <v>3258.4556666666667</v>
      </c>
      <c r="R132" s="157">
        <f>IF(O132&gt;0,0,IF(OR(AD132&gt;AE132,AF132&lt;AG132),0,IF(AND(AF132&gt;=AG132,AF132&lt;=AE132),Q132*((AF132-AG132)*12),IF(AND(AG132&lt;=AD132,AE132&gt;=AD132),((AE132-AD132)*12)*Q132,IF(AF132&gt;AE132,12*Q132,0)))))</f>
        <v>0</v>
      </c>
      <c r="S132" s="157">
        <f>IF(O132=0,0,IF(AND(AH132&gt;=AG132,AH132&lt;=AF132),((AH132-AG132)*12)*Q132,0))</f>
        <v>0</v>
      </c>
      <c r="T132" s="157">
        <f>IF(S132&gt;0,S132,R132)</f>
        <v>0</v>
      </c>
      <c r="U132" s="157">
        <v>1</v>
      </c>
      <c r="V132" s="157">
        <f>U132*SUM(R132:S132)</f>
        <v>0</v>
      </c>
      <c r="X132" s="157">
        <f>IF(AD132&gt;AE132,0,IF(AF132&lt;AG132,P132,IF(AND(AF132&gt;=AG132,AF132&lt;=AE132),(P132-T132),IF(AND(AG132&lt;=AD132,AE132&gt;=AD132),0,IF(AF132&gt;AE132,((AG132-AD132)*12)*Q132,0)))))</f>
        <v>195507.34</v>
      </c>
      <c r="Y132" s="157">
        <f>X132*U132</f>
        <v>195507.34</v>
      </c>
      <c r="Z132" s="157">
        <v>1</v>
      </c>
      <c r="AA132" s="157">
        <f>Y132*Z132</f>
        <v>195507.34</v>
      </c>
      <c r="AB132" s="157">
        <f>IF(O132&gt;0,0,AA132+V132*Z132)*Z132</f>
        <v>195507.34</v>
      </c>
      <c r="AC132" s="157">
        <f>IF(O132&gt;0,(N132-AA132)/2,IF(AD132&gt;=AG132,(((N132*U132)*Z132)-AB132)/2,((((N132*U132)*Z132)-AA132)+(((N132*U132)*Z132)-AB132))/2))</f>
        <v>96294.66</v>
      </c>
      <c r="AD132" s="157">
        <f>$E132+(($F132-1)/12)</f>
        <v>2009.3333333333333</v>
      </c>
      <c r="AE132" s="157">
        <f>($P$5+1)-($P$2/12)</f>
        <v>2017</v>
      </c>
      <c r="AF132" s="157">
        <f>$K132+(($F132-1)/12)</f>
        <v>2014.3333333333333</v>
      </c>
      <c r="AG132" s="157">
        <f>$P$4+($P$3/12)</f>
        <v>2016</v>
      </c>
      <c r="AH132" s="157">
        <f>$L132+(($M132-1)/12)</f>
        <v>-8.3333333333333329E-2</v>
      </c>
    </row>
    <row r="133" spans="1:34">
      <c r="A133" s="156">
        <v>107117</v>
      </c>
      <c r="B133" s="156" t="s">
        <v>88</v>
      </c>
      <c r="C133" s="156">
        <v>23</v>
      </c>
      <c r="D133" s="156" t="s">
        <v>275</v>
      </c>
      <c r="E133" s="156">
        <v>2013</v>
      </c>
      <c r="F133" s="156">
        <v>8</v>
      </c>
      <c r="G133" s="156">
        <v>0.2</v>
      </c>
      <c r="I133" s="156" t="s">
        <v>52</v>
      </c>
      <c r="J133" s="156">
        <v>7</v>
      </c>
      <c r="K133" s="156">
        <f t="shared" si="69"/>
        <v>2020</v>
      </c>
      <c r="N133" s="157">
        <v>6068.42</v>
      </c>
      <c r="P133" s="157">
        <f t="shared" si="70"/>
        <v>4854.7359999999999</v>
      </c>
      <c r="Q133" s="157">
        <f t="shared" si="71"/>
        <v>57.794476190476189</v>
      </c>
      <c r="R133" s="157">
        <f t="shared" si="72"/>
        <v>693.53371428571427</v>
      </c>
      <c r="S133" s="157">
        <f t="shared" si="73"/>
        <v>0</v>
      </c>
      <c r="T133" s="157">
        <f t="shared" si="74"/>
        <v>693.53371428571427</v>
      </c>
      <c r="U133" s="157">
        <v>1</v>
      </c>
      <c r="V133" s="157">
        <f t="shared" si="75"/>
        <v>693.53371428571427</v>
      </c>
      <c r="X133" s="157">
        <f t="shared" si="76"/>
        <v>1676.039809523862</v>
      </c>
      <c r="Y133" s="157">
        <f t="shared" si="77"/>
        <v>1676.039809523862</v>
      </c>
      <c r="Z133" s="157">
        <v>1</v>
      </c>
      <c r="AA133" s="157">
        <f t="shared" si="78"/>
        <v>1676.039809523862</v>
      </c>
      <c r="AB133" s="157">
        <f t="shared" si="79"/>
        <v>2369.5735238095763</v>
      </c>
      <c r="AC133" s="157">
        <f t="shared" si="80"/>
        <v>4045.6133333332809</v>
      </c>
      <c r="AD133" s="157">
        <f t="shared" si="81"/>
        <v>2013.5833333333333</v>
      </c>
      <c r="AE133" s="157">
        <f t="shared" si="82"/>
        <v>2017</v>
      </c>
      <c r="AF133" s="157">
        <f t="shared" si="83"/>
        <v>2020.5833333333333</v>
      </c>
      <c r="AG133" s="157">
        <f t="shared" si="84"/>
        <v>2016</v>
      </c>
      <c r="AH133" s="157">
        <f t="shared" si="85"/>
        <v>-8.3333333333333329E-2</v>
      </c>
    </row>
    <row r="134" spans="1:34">
      <c r="A134" s="156" t="s">
        <v>419</v>
      </c>
      <c r="D134" s="156" t="s">
        <v>422</v>
      </c>
      <c r="E134" s="156">
        <v>2016</v>
      </c>
      <c r="F134" s="156">
        <v>3</v>
      </c>
      <c r="G134" s="156">
        <v>0</v>
      </c>
      <c r="I134" s="156" t="s">
        <v>52</v>
      </c>
      <c r="J134" s="156">
        <v>1</v>
      </c>
      <c r="K134" s="156">
        <f t="shared" si="69"/>
        <v>2017</v>
      </c>
      <c r="N134" s="157">
        <f>(25892.28+23056.62)/104*2</f>
        <v>941.32499999999993</v>
      </c>
      <c r="P134" s="157">
        <f t="shared" si="70"/>
        <v>941.32499999999993</v>
      </c>
      <c r="Q134" s="157">
        <f t="shared" si="71"/>
        <v>78.443749999999994</v>
      </c>
      <c r="R134" s="157">
        <f t="shared" si="72"/>
        <v>784.4374999999286</v>
      </c>
      <c r="S134" s="157">
        <f t="shared" si="73"/>
        <v>0</v>
      </c>
      <c r="T134" s="157">
        <f t="shared" si="74"/>
        <v>784.4374999999286</v>
      </c>
      <c r="U134" s="157">
        <v>1</v>
      </c>
      <c r="V134" s="157">
        <f t="shared" si="75"/>
        <v>784.4374999999286</v>
      </c>
      <c r="X134" s="157">
        <f t="shared" si="76"/>
        <v>0</v>
      </c>
      <c r="Y134" s="157">
        <f t="shared" si="77"/>
        <v>0</v>
      </c>
      <c r="Z134" s="157">
        <v>1</v>
      </c>
      <c r="AA134" s="157">
        <f t="shared" si="78"/>
        <v>0</v>
      </c>
      <c r="AB134" s="157">
        <f t="shared" si="79"/>
        <v>784.4374999999286</v>
      </c>
      <c r="AC134" s="157">
        <f t="shared" si="80"/>
        <v>78.443750000035664</v>
      </c>
      <c r="AD134" s="157">
        <f t="shared" si="81"/>
        <v>2016.1666666666667</v>
      </c>
      <c r="AE134" s="157">
        <f t="shared" si="82"/>
        <v>2017</v>
      </c>
      <c r="AF134" s="157">
        <f t="shared" si="83"/>
        <v>2017.1666666666667</v>
      </c>
      <c r="AG134" s="157">
        <f t="shared" si="84"/>
        <v>2016</v>
      </c>
      <c r="AH134" s="157">
        <f t="shared" si="85"/>
        <v>-8.3333333333333329E-2</v>
      </c>
    </row>
    <row r="136" spans="1:34" ht="13.5" thickBot="1">
      <c r="D136" s="156" t="s">
        <v>90</v>
      </c>
      <c r="N136" s="157">
        <f>SUM(N127:N135)</f>
        <v>411925.78500000003</v>
      </c>
      <c r="P136" s="157">
        <f t="shared" ref="P136:AC136" si="86">SUM(P127:P135)</f>
        <v>293405.58499999996</v>
      </c>
      <c r="Q136" s="157">
        <f t="shared" si="86"/>
        <v>4529.5044642857147</v>
      </c>
      <c r="R136" s="157">
        <f t="shared" si="86"/>
        <v>1477.9712142856429</v>
      </c>
      <c r="S136" s="157">
        <f t="shared" si="86"/>
        <v>0</v>
      </c>
      <c r="T136" s="157">
        <f t="shared" si="86"/>
        <v>1477.9712142856429</v>
      </c>
      <c r="V136" s="157">
        <f t="shared" si="86"/>
        <v>1477.9712142856429</v>
      </c>
      <c r="W136" s="157">
        <f t="shared" si="86"/>
        <v>0</v>
      </c>
      <c r="X136" s="157">
        <f t="shared" si="86"/>
        <v>289285.56380952382</v>
      </c>
      <c r="Y136" s="157">
        <f t="shared" si="86"/>
        <v>289285.56380952382</v>
      </c>
      <c r="AA136" s="157">
        <f t="shared" si="86"/>
        <v>289285.56380952382</v>
      </c>
      <c r="AB136" s="157">
        <f t="shared" si="86"/>
        <v>290763.53502380947</v>
      </c>
      <c r="AC136" s="157">
        <f t="shared" si="86"/>
        <v>121430.57308333332</v>
      </c>
    </row>
    <row r="137" spans="1:34">
      <c r="C137" s="156" t="s">
        <v>57</v>
      </c>
    </row>
    <row r="138" spans="1:34">
      <c r="D138" s="156" t="s">
        <v>91</v>
      </c>
    </row>
    <row r="139" spans="1:34">
      <c r="B139" s="156" t="s">
        <v>92</v>
      </c>
      <c r="D139" s="156" t="s">
        <v>93</v>
      </c>
      <c r="E139" s="156">
        <v>1990</v>
      </c>
      <c r="F139" s="156">
        <v>5</v>
      </c>
      <c r="I139" s="156" t="s">
        <v>52</v>
      </c>
      <c r="J139" s="156">
        <v>5</v>
      </c>
      <c r="K139" s="156">
        <f>E139+J139</f>
        <v>1995</v>
      </c>
      <c r="N139" s="157">
        <v>5812.79</v>
      </c>
      <c r="P139" s="157">
        <f>N139-N139*G139</f>
        <v>5812.79</v>
      </c>
      <c r="Q139" s="157">
        <f>P139/J139/12</f>
        <v>96.879833333333337</v>
      </c>
      <c r="R139" s="157">
        <f>IF(O139&gt;0,0,IF(OR(AD139&gt;AE139,AF139&lt;AG139),0,IF(AND(AF139&gt;=AG139,AF139&lt;=AE139),Q139*((AF139-AG139)*12),IF(AND(AG139&lt;=AD139,AE139&gt;=AD139),((AE139-AD139)*12)*Q139,IF(AF139&gt;AE139,12*Q139,0)))))</f>
        <v>0</v>
      </c>
      <c r="S139" s="157">
        <f>IF(O139=0,0,IF(AND(AH139&gt;=AG139,AH139&lt;=AF139),((AH139-AG139)*12)*Q139,0))</f>
        <v>0</v>
      </c>
      <c r="T139" s="157">
        <f>IF(S139&gt;0,S139,R139)</f>
        <v>0</v>
      </c>
      <c r="U139" s="157">
        <v>1</v>
      </c>
      <c r="V139" s="157">
        <f>U139*SUM(R139:S139)</f>
        <v>0</v>
      </c>
      <c r="X139" s="157">
        <f>IF(AD139&gt;AE139,0,IF(AF139&lt;AG139,P139,IF(AND(AF139&gt;=AG139,AF139&lt;=AE139),(P139-T139),IF(AND(AG139&lt;=AD139,AE139&gt;=AD139),0,IF(AF139&gt;AE139,((AG139-AD139)*12)*Q139,0)))))</f>
        <v>5812.79</v>
      </c>
      <c r="Y139" s="157">
        <f>X139*U139</f>
        <v>5812.79</v>
      </c>
      <c r="Z139" s="157">
        <v>1</v>
      </c>
      <c r="AA139" s="157">
        <f>Y139*Z139</f>
        <v>5812.79</v>
      </c>
      <c r="AB139" s="157">
        <f>IF(O139&gt;0,0,AA139+V139*Z139)*Z139</f>
        <v>5812.79</v>
      </c>
      <c r="AC139" s="157">
        <f>IF(O139&gt;0,(N139-AA139)/2,IF(AD139&gt;=AG139,(((N139*U139)*Z139)-AB139)/2,((((N139*U139)*Z139)-AA139)+(((N139*U139)*Z139)-AB139))/2))</f>
        <v>0</v>
      </c>
      <c r="AD139" s="157">
        <f>$E139+(($F139-1)/12)</f>
        <v>1990.3333333333333</v>
      </c>
      <c r="AE139" s="157">
        <f t="shared" ref="AE139:AE152" si="87">($P$5+1)-($P$2/12)</f>
        <v>2017</v>
      </c>
      <c r="AF139" s="157">
        <f>$K139+(($F139-1)/12)</f>
        <v>1995.3333333333333</v>
      </c>
      <c r="AG139" s="157">
        <f t="shared" ref="AG139:AG152" si="88">$P$4+($P$3/12)</f>
        <v>2016</v>
      </c>
      <c r="AH139" s="157">
        <f>$L139+(($M139-1)/12)</f>
        <v>-8.3333333333333329E-2</v>
      </c>
    </row>
    <row r="140" spans="1:34">
      <c r="B140" s="156" t="s">
        <v>92</v>
      </c>
      <c r="D140" s="156" t="s">
        <v>70</v>
      </c>
      <c r="E140" s="156">
        <v>1990</v>
      </c>
      <c r="F140" s="156">
        <v>7</v>
      </c>
      <c r="I140" s="156" t="s">
        <v>52</v>
      </c>
      <c r="J140" s="156">
        <v>5</v>
      </c>
      <c r="K140" s="156">
        <f>E140+J140</f>
        <v>1995</v>
      </c>
      <c r="N140" s="157">
        <v>3727.73</v>
      </c>
      <c r="P140" s="157">
        <f>N140-N140*G140</f>
        <v>3727.73</v>
      </c>
      <c r="Q140" s="157">
        <f>P140/J140/12</f>
        <v>62.12883333333334</v>
      </c>
      <c r="R140" s="157">
        <f>IF(O140&gt;0,0,IF(OR(AD140&gt;AE140,AF140&lt;AG140),0,IF(AND(AF140&gt;=AG140,AF140&lt;=AE140),Q140*((AF140-AG140)*12),IF(AND(AG140&lt;=AD140,AE140&gt;=AD140),((AE140-AD140)*12)*Q140,IF(AF140&gt;AE140,12*Q140,0)))))</f>
        <v>0</v>
      </c>
      <c r="S140" s="157">
        <f>IF(O140=0,0,IF(AND(AH140&gt;=AG140,AH140&lt;=AF140),((AH140-AG140)*12)*Q140,0))</f>
        <v>0</v>
      </c>
      <c r="T140" s="157">
        <f>IF(S140&gt;0,S140,R140)</f>
        <v>0</v>
      </c>
      <c r="U140" s="157">
        <v>1</v>
      </c>
      <c r="V140" s="157">
        <f>U140*SUM(R140:S140)</f>
        <v>0</v>
      </c>
      <c r="X140" s="157">
        <f>IF(AD140&gt;AE140,0,IF(AF140&lt;AG140,P140,IF(AND(AF140&gt;=AG140,AF140&lt;=AE140),(P140-T140),IF(AND(AG140&lt;=AD140,AE140&gt;=AD140),0,IF(AF140&gt;AE140,((AG140-AD140)*12)*Q140,0)))))</f>
        <v>3727.73</v>
      </c>
      <c r="Y140" s="157">
        <f>X140*U140</f>
        <v>3727.73</v>
      </c>
      <c r="Z140" s="157">
        <v>1</v>
      </c>
      <c r="AA140" s="157">
        <f>Y140*Z140</f>
        <v>3727.73</v>
      </c>
      <c r="AB140" s="157">
        <f>IF(O140&gt;0,0,AA140+V140*Z140)*Z140</f>
        <v>3727.73</v>
      </c>
      <c r="AC140" s="157">
        <f>IF(O140&gt;0,(N140-AA140)/2,IF(AD140&gt;=AG140,(((N140*U140)*Z140)-AB140)/2,((((N140*U140)*Z140)-AA140)+(((N140*U140)*Z140)-AB140))/2))</f>
        <v>0</v>
      </c>
      <c r="AD140" s="157">
        <f>$E140+(($F140-1)/12)</f>
        <v>1990.5</v>
      </c>
      <c r="AE140" s="157">
        <f t="shared" si="87"/>
        <v>2017</v>
      </c>
      <c r="AF140" s="157">
        <f>$K140+(($F140-1)/12)</f>
        <v>1995.5</v>
      </c>
      <c r="AG140" s="157">
        <f t="shared" si="88"/>
        <v>2016</v>
      </c>
      <c r="AH140" s="157">
        <f>$L140+(($M140-1)/12)</f>
        <v>-8.3333333333333329E-2</v>
      </c>
    </row>
    <row r="141" spans="1:34">
      <c r="A141" s="156">
        <v>28522</v>
      </c>
      <c r="B141" s="156" t="s">
        <v>71</v>
      </c>
      <c r="C141" s="156" t="s">
        <v>94</v>
      </c>
      <c r="D141" s="156" t="s">
        <v>362</v>
      </c>
      <c r="E141" s="156">
        <v>2004</v>
      </c>
      <c r="F141" s="156">
        <v>9</v>
      </c>
      <c r="G141" s="156">
        <v>0.2</v>
      </c>
      <c r="I141" s="156" t="s">
        <v>52</v>
      </c>
      <c r="J141" s="156">
        <v>7</v>
      </c>
      <c r="K141" s="156">
        <f>E141+J141</f>
        <v>2011</v>
      </c>
      <c r="N141" s="157">
        <f>58641.25+8595.55</f>
        <v>67236.800000000003</v>
      </c>
      <c r="P141" s="157">
        <f>N141-N141*G141</f>
        <v>53789.440000000002</v>
      </c>
      <c r="Q141" s="157">
        <f>P141/J141/12</f>
        <v>640.35047619047623</v>
      </c>
      <c r="R141" s="157">
        <f>IF(O141&gt;0,0,IF(OR(AD141&gt;AE141,AF141&lt;AG141),0,IF(AND(AF141&gt;=AG141,AF141&lt;=AE141),Q141*((AF141-AG141)*12),IF(AND(AG141&lt;=AD141,AE141&gt;=AD141),((AE141-AD141)*12)*Q141,IF(AF141&gt;AE141,12*Q141,0)))))</f>
        <v>0</v>
      </c>
      <c r="S141" s="157">
        <f>IF(O141=0,0,IF(AND(AH141&gt;=AG141,AH141&lt;=AF141),((AH141-AG141)*12)*Q141,0))</f>
        <v>0</v>
      </c>
      <c r="T141" s="157">
        <f>IF(S141&gt;0,S141,R141)</f>
        <v>0</v>
      </c>
      <c r="U141" s="157">
        <v>1</v>
      </c>
      <c r="V141" s="157">
        <f>U141*SUM(R141:S141)</f>
        <v>0</v>
      </c>
      <c r="X141" s="157">
        <f>IF(AD141&gt;AE141,0,IF(AF141&lt;AG141,P141,IF(AND(AF141&gt;=AG141,AF141&lt;=AE141),(P141-T141),IF(AND(AG141&lt;=AD141,AE141&gt;=AD141),0,IF(AF141&gt;AE141,((AG141-AD141)*12)*Q141,0)))))</f>
        <v>53789.440000000002</v>
      </c>
      <c r="Y141" s="157">
        <f>X141*U141</f>
        <v>53789.440000000002</v>
      </c>
      <c r="Z141" s="157">
        <v>1</v>
      </c>
      <c r="AA141" s="157">
        <f>Y141*Z141</f>
        <v>53789.440000000002</v>
      </c>
      <c r="AB141" s="157">
        <f>IF(O141&gt;0,0,AA141+V141*Z141)*Z141</f>
        <v>53789.440000000002</v>
      </c>
      <c r="AC141" s="157">
        <f>IF(O141&gt;0,(N141-AA141)/2,IF(AD141&gt;=AG141,(((N141*U141)*Z141)-AB141)/2,((((N141*U141)*Z141)-AA141)+(((N141*U141)*Z141)-AB141))/2))</f>
        <v>13447.36</v>
      </c>
      <c r="AD141" s="157">
        <f>$E141+(($F141-1)/12)</f>
        <v>2004.6666666666667</v>
      </c>
      <c r="AE141" s="157">
        <f t="shared" si="87"/>
        <v>2017</v>
      </c>
      <c r="AF141" s="157">
        <f>$K141+(($F141-1)/12)</f>
        <v>2011.6666666666667</v>
      </c>
      <c r="AG141" s="157">
        <f t="shared" si="88"/>
        <v>2016</v>
      </c>
      <c r="AH141" s="157">
        <f>$L141+(($M141-1)/12)</f>
        <v>-8.3333333333333329E-2</v>
      </c>
    </row>
    <row r="142" spans="1:34">
      <c r="A142" s="156">
        <v>31390</v>
      </c>
      <c r="B142" s="156" t="s">
        <v>92</v>
      </c>
      <c r="C142" s="156">
        <v>806</v>
      </c>
      <c r="D142" s="156" t="s">
        <v>95</v>
      </c>
      <c r="E142" s="156">
        <v>2005</v>
      </c>
      <c r="F142" s="156">
        <v>3</v>
      </c>
      <c r="G142" s="156">
        <v>0.2</v>
      </c>
      <c r="I142" s="156" t="s">
        <v>52</v>
      </c>
      <c r="J142" s="156">
        <v>7</v>
      </c>
      <c r="K142" s="156">
        <f t="shared" ref="K142:K152" si="89">E142+J142</f>
        <v>2012</v>
      </c>
      <c r="N142" s="157">
        <v>198658.47</v>
      </c>
      <c r="P142" s="157">
        <f t="shared" ref="P142:P147" si="90">N142-N142*G142</f>
        <v>158926.77600000001</v>
      </c>
      <c r="Q142" s="157">
        <f t="shared" ref="Q142:Q147" si="91">P142/J142/12</f>
        <v>1891.9854285714289</v>
      </c>
      <c r="R142" s="157">
        <f t="shared" ref="R142:R147" si="92">IF(O142&gt;0,0,IF(OR(AD142&gt;AE142,AF142&lt;AG142),0,IF(AND(AF142&gt;=AG142,AF142&lt;=AE142),Q142*((AF142-AG142)*12),IF(AND(AG142&lt;=AD142,AE142&gt;=AD142),((AE142-AD142)*12)*Q142,IF(AF142&gt;AE142,12*Q142,0)))))</f>
        <v>0</v>
      </c>
      <c r="S142" s="157">
        <f t="shared" ref="S142:S147" si="93">IF(O142=0,0,IF(AND(AH142&gt;=AG142,AH142&lt;=AF142),((AH142-AG142)*12)*Q142,0))</f>
        <v>0</v>
      </c>
      <c r="T142" s="157">
        <f t="shared" ref="T142:T147" si="94">IF(S142&gt;0,S142,R142)</f>
        <v>0</v>
      </c>
      <c r="U142" s="157">
        <v>1</v>
      </c>
      <c r="V142" s="157">
        <f t="shared" ref="V142:V147" si="95">U142*SUM(R142:S142)</f>
        <v>0</v>
      </c>
      <c r="X142" s="157">
        <f t="shared" ref="X142:X147" si="96">IF(AD142&gt;AE142,0,IF(AF142&lt;AG142,P142,IF(AND(AF142&gt;=AG142,AF142&lt;=AE142),(P142-T142),IF(AND(AG142&lt;=AD142,AE142&gt;=AD142),0,IF(AF142&gt;AE142,((AG142-AD142)*12)*Q142,0)))))</f>
        <v>158926.77600000001</v>
      </c>
      <c r="Y142" s="157">
        <f t="shared" ref="Y142:Y147" si="97">X142*U142</f>
        <v>158926.77600000001</v>
      </c>
      <c r="Z142" s="157">
        <v>1</v>
      </c>
      <c r="AA142" s="157">
        <f t="shared" ref="AA142:AA147" si="98">Y142*Z142</f>
        <v>158926.77600000001</v>
      </c>
      <c r="AB142" s="157">
        <f t="shared" ref="AB142:AB147" si="99">IF(O142&gt;0,0,AA142+V142*Z142)*Z142</f>
        <v>158926.77600000001</v>
      </c>
      <c r="AC142" s="157">
        <f t="shared" ref="AC142:AC147" si="100">IF(O142&gt;0,(N142-AA142)/2,IF(AD142&gt;=AG142,(((N142*U142)*Z142)-AB142)/2,((((N142*U142)*Z142)-AA142)+(((N142*U142)*Z142)-AB142))/2))</f>
        <v>39731.693999999989</v>
      </c>
      <c r="AD142" s="157">
        <f t="shared" ref="AD142:AD152" si="101">$E142+(($F142-1)/12)</f>
        <v>2005.1666666666667</v>
      </c>
      <c r="AE142" s="157">
        <f t="shared" si="87"/>
        <v>2017</v>
      </c>
      <c r="AF142" s="157">
        <f t="shared" ref="AF142:AF152" si="102">$K142+(($F142-1)/12)</f>
        <v>2012.1666666666667</v>
      </c>
      <c r="AG142" s="157">
        <f t="shared" si="88"/>
        <v>2016</v>
      </c>
      <c r="AH142" s="157">
        <f t="shared" ref="AH142:AH152" si="103">$L142+(($M142-1)/12)</f>
        <v>-8.3333333333333329E-2</v>
      </c>
    </row>
    <row r="143" spans="1:34">
      <c r="A143" s="156">
        <v>31392</v>
      </c>
      <c r="B143" s="156" t="s">
        <v>92</v>
      </c>
      <c r="C143" s="156">
        <v>808</v>
      </c>
      <c r="D143" s="156" t="s">
        <v>96</v>
      </c>
      <c r="E143" s="156">
        <v>2005</v>
      </c>
      <c r="F143" s="156">
        <v>3</v>
      </c>
      <c r="G143" s="156">
        <v>0.2</v>
      </c>
      <c r="I143" s="156" t="s">
        <v>52</v>
      </c>
      <c r="J143" s="156">
        <v>7</v>
      </c>
      <c r="K143" s="156">
        <f t="shared" si="89"/>
        <v>2012</v>
      </c>
      <c r="N143" s="157">
        <v>202260.86</v>
      </c>
      <c r="P143" s="157">
        <f t="shared" si="90"/>
        <v>161808.68799999999</v>
      </c>
      <c r="Q143" s="157">
        <f t="shared" si="91"/>
        <v>1926.2939047619047</v>
      </c>
      <c r="R143" s="157">
        <f t="shared" si="92"/>
        <v>0</v>
      </c>
      <c r="S143" s="157">
        <f t="shared" si="93"/>
        <v>0</v>
      </c>
      <c r="T143" s="157">
        <f t="shared" si="94"/>
        <v>0</v>
      </c>
      <c r="U143" s="157">
        <v>1</v>
      </c>
      <c r="V143" s="157">
        <f t="shared" si="95"/>
        <v>0</v>
      </c>
      <c r="X143" s="157">
        <f t="shared" si="96"/>
        <v>161808.68799999999</v>
      </c>
      <c r="Y143" s="157">
        <f t="shared" si="97"/>
        <v>161808.68799999999</v>
      </c>
      <c r="Z143" s="157">
        <v>1</v>
      </c>
      <c r="AA143" s="157">
        <f t="shared" si="98"/>
        <v>161808.68799999999</v>
      </c>
      <c r="AB143" s="157">
        <f t="shared" si="99"/>
        <v>161808.68799999999</v>
      </c>
      <c r="AC143" s="157">
        <f t="shared" si="100"/>
        <v>40452.171999999991</v>
      </c>
      <c r="AD143" s="157">
        <f t="shared" si="101"/>
        <v>2005.1666666666667</v>
      </c>
      <c r="AE143" s="157">
        <f t="shared" si="87"/>
        <v>2017</v>
      </c>
      <c r="AF143" s="157">
        <f t="shared" si="102"/>
        <v>2012.1666666666667</v>
      </c>
      <c r="AG143" s="157">
        <f t="shared" si="88"/>
        <v>2016</v>
      </c>
      <c r="AH143" s="157">
        <f t="shared" si="103"/>
        <v>-8.3333333333333329E-2</v>
      </c>
    </row>
    <row r="144" spans="1:34">
      <c r="A144" s="156">
        <v>31394</v>
      </c>
      <c r="B144" s="156" t="s">
        <v>92</v>
      </c>
      <c r="C144" s="156">
        <v>810</v>
      </c>
      <c r="D144" s="156" t="s">
        <v>95</v>
      </c>
      <c r="E144" s="156">
        <v>2005</v>
      </c>
      <c r="F144" s="156">
        <v>3</v>
      </c>
      <c r="G144" s="156">
        <v>0.2</v>
      </c>
      <c r="I144" s="156" t="s">
        <v>52</v>
      </c>
      <c r="J144" s="156">
        <v>7</v>
      </c>
      <c r="K144" s="156">
        <f t="shared" si="89"/>
        <v>2012</v>
      </c>
      <c r="N144" s="157">
        <v>198658.47</v>
      </c>
      <c r="P144" s="157">
        <f t="shared" si="90"/>
        <v>158926.77600000001</v>
      </c>
      <c r="Q144" s="157">
        <f t="shared" si="91"/>
        <v>1891.9854285714289</v>
      </c>
      <c r="R144" s="157">
        <f t="shared" si="92"/>
        <v>0</v>
      </c>
      <c r="S144" s="157">
        <f t="shared" si="93"/>
        <v>0</v>
      </c>
      <c r="T144" s="157">
        <f t="shared" si="94"/>
        <v>0</v>
      </c>
      <c r="U144" s="157">
        <v>1</v>
      </c>
      <c r="V144" s="157">
        <f t="shared" si="95"/>
        <v>0</v>
      </c>
      <c r="X144" s="157">
        <f t="shared" si="96"/>
        <v>158926.77600000001</v>
      </c>
      <c r="Y144" s="157">
        <f t="shared" si="97"/>
        <v>158926.77600000001</v>
      </c>
      <c r="Z144" s="157">
        <v>1</v>
      </c>
      <c r="AA144" s="157">
        <f t="shared" si="98"/>
        <v>158926.77600000001</v>
      </c>
      <c r="AB144" s="157">
        <f t="shared" si="99"/>
        <v>158926.77600000001</v>
      </c>
      <c r="AC144" s="157">
        <f t="shared" si="100"/>
        <v>39731.693999999989</v>
      </c>
      <c r="AD144" s="157">
        <f t="shared" si="101"/>
        <v>2005.1666666666667</v>
      </c>
      <c r="AE144" s="157">
        <f t="shared" si="87"/>
        <v>2017</v>
      </c>
      <c r="AF144" s="157">
        <f t="shared" si="102"/>
        <v>2012.1666666666667</v>
      </c>
      <c r="AG144" s="157">
        <f t="shared" si="88"/>
        <v>2016</v>
      </c>
      <c r="AH144" s="157">
        <f t="shared" si="103"/>
        <v>-8.3333333333333329E-2</v>
      </c>
    </row>
    <row r="145" spans="1:34">
      <c r="B145" s="156" t="s">
        <v>92</v>
      </c>
      <c r="D145" s="156" t="s">
        <v>164</v>
      </c>
      <c r="E145" s="156">
        <v>2008</v>
      </c>
      <c r="F145" s="156">
        <v>3</v>
      </c>
      <c r="G145" s="156">
        <v>0.2</v>
      </c>
      <c r="I145" s="156" t="s">
        <v>52</v>
      </c>
      <c r="J145" s="156">
        <v>7</v>
      </c>
      <c r="K145" s="156">
        <f t="shared" si="89"/>
        <v>2015</v>
      </c>
      <c r="N145" s="157">
        <v>2980.8</v>
      </c>
      <c r="P145" s="157">
        <f t="shared" si="90"/>
        <v>2384.6400000000003</v>
      </c>
      <c r="Q145" s="157">
        <f t="shared" si="91"/>
        <v>28.388571428571435</v>
      </c>
      <c r="R145" s="157">
        <f t="shared" si="92"/>
        <v>0</v>
      </c>
      <c r="S145" s="157">
        <f t="shared" si="93"/>
        <v>0</v>
      </c>
      <c r="T145" s="157">
        <f t="shared" si="94"/>
        <v>0</v>
      </c>
      <c r="U145" s="157">
        <v>1</v>
      </c>
      <c r="V145" s="157">
        <f t="shared" si="95"/>
        <v>0</v>
      </c>
      <c r="X145" s="157">
        <f t="shared" si="96"/>
        <v>2384.6400000000003</v>
      </c>
      <c r="Y145" s="157">
        <f t="shared" si="97"/>
        <v>2384.6400000000003</v>
      </c>
      <c r="Z145" s="157">
        <v>1</v>
      </c>
      <c r="AA145" s="157">
        <f t="shared" si="98"/>
        <v>2384.6400000000003</v>
      </c>
      <c r="AB145" s="157">
        <f t="shared" si="99"/>
        <v>2384.6400000000003</v>
      </c>
      <c r="AC145" s="157">
        <f t="shared" si="100"/>
        <v>596.15999999999985</v>
      </c>
      <c r="AD145" s="157">
        <f t="shared" si="101"/>
        <v>2008.1666666666667</v>
      </c>
      <c r="AE145" s="157">
        <f t="shared" si="87"/>
        <v>2017</v>
      </c>
      <c r="AF145" s="157">
        <f t="shared" si="102"/>
        <v>2015.1666666666667</v>
      </c>
      <c r="AG145" s="157">
        <f t="shared" si="88"/>
        <v>2016</v>
      </c>
      <c r="AH145" s="157">
        <f t="shared" si="103"/>
        <v>-8.3333333333333329E-2</v>
      </c>
    </row>
    <row r="146" spans="1:34">
      <c r="A146" s="156">
        <v>109254</v>
      </c>
      <c r="B146" s="156" t="s">
        <v>298</v>
      </c>
      <c r="C146" s="156">
        <v>132</v>
      </c>
      <c r="D146" s="156" t="s">
        <v>299</v>
      </c>
      <c r="E146" s="156">
        <v>2010</v>
      </c>
      <c r="F146" s="156">
        <v>7</v>
      </c>
      <c r="G146" s="156">
        <v>0.33</v>
      </c>
      <c r="I146" s="156" t="s">
        <v>52</v>
      </c>
      <c r="J146" s="156">
        <v>5</v>
      </c>
      <c r="K146" s="156">
        <f>E146+J146</f>
        <v>2015</v>
      </c>
      <c r="N146" s="157">
        <v>46580</v>
      </c>
      <c r="P146" s="157">
        <f>N146-N146*G146</f>
        <v>31208.6</v>
      </c>
      <c r="Q146" s="157">
        <f>P146/J146/12</f>
        <v>520.14333333333332</v>
      </c>
      <c r="R146" s="157">
        <f>IF(O146&gt;0,0,IF(OR(AD146&gt;AE146,AF146&lt;AG146),0,IF(AND(AF146&gt;=AG146,AF146&lt;=AE146),Q146*((AF146-AG146)*12),IF(AND(AG146&lt;=AD146,AE146&gt;=AD146),((AE146-AD146)*12)*Q146,IF(AF146&gt;AE146,12*Q146,0)))))</f>
        <v>0</v>
      </c>
      <c r="S146" s="157">
        <f>IF(O146=0,0,IF(AND(AH146&gt;=AG146,AH146&lt;=AF146),((AH146-AG146)*12)*Q146,0))</f>
        <v>0</v>
      </c>
      <c r="T146" s="157">
        <f>IF(S146&gt;0,S146,R146)</f>
        <v>0</v>
      </c>
      <c r="U146" s="157">
        <v>1</v>
      </c>
      <c r="V146" s="157">
        <f>U146*SUM(R146:S146)</f>
        <v>0</v>
      </c>
      <c r="X146" s="157">
        <f>IF(AD146&gt;AE146,0,IF(AF146&lt;AG146,P146,IF(AND(AF146&gt;=AG146,AF146&lt;=AE146),(P146-T146),IF(AND(AG146&lt;=AD146,AE146&gt;=AD146),0,IF(AF146&gt;AE146,((AG146-AD146)*12)*Q146,0)))))</f>
        <v>31208.6</v>
      </c>
      <c r="Y146" s="157">
        <f>X146*U146</f>
        <v>31208.6</v>
      </c>
      <c r="Z146" s="157">
        <v>1</v>
      </c>
      <c r="AA146" s="157">
        <f>Y146*Z146</f>
        <v>31208.6</v>
      </c>
      <c r="AB146" s="157">
        <f>IF(O146&gt;0,0,AA146+V146*Z146)*Z146</f>
        <v>31208.6</v>
      </c>
      <c r="AC146" s="157">
        <f>IF(O146&gt;0,(N146-AA146)/2,IF(AD146&gt;=AG146,(((N146*U146)*Z146)-AB146)/2,((((N146*U146)*Z146)-AA146)+(((N146*U146)*Z146)-AB146))/2))</f>
        <v>15371.400000000001</v>
      </c>
      <c r="AD146" s="157">
        <f>$E146+(($F146-1)/12)</f>
        <v>2010.5</v>
      </c>
      <c r="AE146" s="157">
        <f t="shared" si="87"/>
        <v>2017</v>
      </c>
      <c r="AF146" s="157">
        <f>$K146+(($F146-1)/12)</f>
        <v>2015.5</v>
      </c>
      <c r="AG146" s="157">
        <f t="shared" si="88"/>
        <v>2016</v>
      </c>
      <c r="AH146" s="157">
        <f>$L146+(($M146-1)/12)</f>
        <v>-8.3333333333333329E-2</v>
      </c>
    </row>
    <row r="147" spans="1:34">
      <c r="C147" s="156">
        <v>4</v>
      </c>
      <c r="D147" s="156" t="s">
        <v>213</v>
      </c>
      <c r="E147" s="156">
        <v>2010</v>
      </c>
      <c r="F147" s="156">
        <v>7</v>
      </c>
      <c r="G147" s="156">
        <v>0.2</v>
      </c>
      <c r="I147" s="156" t="s">
        <v>52</v>
      </c>
      <c r="J147" s="156">
        <v>7</v>
      </c>
      <c r="K147" s="156">
        <f t="shared" si="89"/>
        <v>2017</v>
      </c>
      <c r="N147" s="157">
        <f>1119.82+1119.82</f>
        <v>2239.64</v>
      </c>
      <c r="P147" s="157">
        <f t="shared" si="90"/>
        <v>1791.712</v>
      </c>
      <c r="Q147" s="157">
        <f t="shared" si="91"/>
        <v>21.329904761904761</v>
      </c>
      <c r="R147" s="157">
        <f t="shared" si="92"/>
        <v>255.95885714285714</v>
      </c>
      <c r="S147" s="157">
        <f t="shared" si="93"/>
        <v>0</v>
      </c>
      <c r="T147" s="157">
        <f t="shared" si="94"/>
        <v>255.95885714285714</v>
      </c>
      <c r="U147" s="157">
        <v>1</v>
      </c>
      <c r="V147" s="157">
        <f t="shared" si="95"/>
        <v>255.95885714285714</v>
      </c>
      <c r="X147" s="157">
        <f t="shared" si="96"/>
        <v>1407.7737142857143</v>
      </c>
      <c r="Y147" s="157">
        <f t="shared" si="97"/>
        <v>1407.7737142857143</v>
      </c>
      <c r="Z147" s="157">
        <v>1</v>
      </c>
      <c r="AA147" s="157">
        <f t="shared" si="98"/>
        <v>1407.7737142857143</v>
      </c>
      <c r="AB147" s="157">
        <f t="shared" si="99"/>
        <v>1663.7325714285714</v>
      </c>
      <c r="AC147" s="157">
        <f t="shared" si="100"/>
        <v>703.88685714285702</v>
      </c>
      <c r="AD147" s="157">
        <f t="shared" si="101"/>
        <v>2010.5</v>
      </c>
      <c r="AE147" s="157">
        <f t="shared" si="87"/>
        <v>2017</v>
      </c>
      <c r="AF147" s="157">
        <f t="shared" si="102"/>
        <v>2017.5</v>
      </c>
      <c r="AG147" s="157">
        <f t="shared" si="88"/>
        <v>2016</v>
      </c>
      <c r="AH147" s="157">
        <f t="shared" si="103"/>
        <v>-8.3333333333333329E-2</v>
      </c>
    </row>
    <row r="148" spans="1:34">
      <c r="A148" s="156">
        <v>99657</v>
      </c>
      <c r="B148" s="156" t="s">
        <v>92</v>
      </c>
      <c r="C148" s="156">
        <v>822</v>
      </c>
      <c r="D148" s="156" t="s">
        <v>241</v>
      </c>
      <c r="E148" s="156">
        <v>2012</v>
      </c>
      <c r="F148" s="156">
        <v>12</v>
      </c>
      <c r="G148" s="156">
        <v>0.2</v>
      </c>
      <c r="I148" s="156" t="s">
        <v>52</v>
      </c>
      <c r="J148" s="156">
        <v>7</v>
      </c>
      <c r="K148" s="156">
        <f t="shared" si="89"/>
        <v>2019</v>
      </c>
      <c r="N148" s="157">
        <v>313664.14</v>
      </c>
      <c r="P148" s="157">
        <f>N148-N148*G148</f>
        <v>250931.31200000001</v>
      </c>
      <c r="Q148" s="157">
        <f>P148/J148/12</f>
        <v>2987.2775238095237</v>
      </c>
      <c r="R148" s="157">
        <f>IF(O148&gt;0,0,IF(OR(AD148&gt;AE148,AF148&lt;AG148),0,IF(AND(AF148&gt;=AG148,AF148&lt;=AE148),Q148*((AF148-AG148)*12),IF(AND(AG148&lt;=AD148,AE148&gt;=AD148),((AE148-AD148)*12)*Q148,IF(AF148&gt;AE148,12*Q148,0)))))</f>
        <v>35847.330285714284</v>
      </c>
      <c r="S148" s="157">
        <f>IF(O148=0,0,IF(AND(AH148&gt;=AG148,AH148&lt;=AF148),((AH148-AG148)*12)*Q148,0))</f>
        <v>0</v>
      </c>
      <c r="T148" s="157">
        <f>IF(S148&gt;0,S148,R148)</f>
        <v>35847.330285714284</v>
      </c>
      <c r="U148" s="157">
        <v>1</v>
      </c>
      <c r="V148" s="157">
        <f>U148*SUM(R148:S148)</f>
        <v>35847.330285714284</v>
      </c>
      <c r="X148" s="157">
        <f>IF(AD148&gt;AE148,0,IF(AF148&lt;AG148,P148,IF(AND(AF148&gt;=AG148,AF148&lt;=AE148),(P148-T148),IF(AND(AG148&lt;=AD148,AE148&gt;=AD148),0,IF(AF148&gt;AE148,((AG148-AD148)*12)*Q148,0)))))</f>
        <v>110529.26838094967</v>
      </c>
      <c r="Y148" s="157">
        <f>X148*U148</f>
        <v>110529.26838094967</v>
      </c>
      <c r="Z148" s="157">
        <v>1</v>
      </c>
      <c r="AA148" s="157">
        <f>Y148*Z148</f>
        <v>110529.26838094967</v>
      </c>
      <c r="AB148" s="157">
        <f>IF(O148&gt;0,0,AA148+V148*Z148)*Z148</f>
        <v>146376.59866666395</v>
      </c>
      <c r="AC148" s="157">
        <f>IF(O148&gt;0,(N148-AA148)/2,IF(AD148&gt;=AG148,(((N148*U148)*Z148)-AB148)/2,((((N148*U148)*Z148)-AA148)+(((N148*U148)*Z148)-AB148))/2))</f>
        <v>185211.20647619321</v>
      </c>
      <c r="AD148" s="157">
        <f t="shared" si="101"/>
        <v>2012.9166666666667</v>
      </c>
      <c r="AE148" s="157">
        <f t="shared" si="87"/>
        <v>2017</v>
      </c>
      <c r="AF148" s="157">
        <f t="shared" si="102"/>
        <v>2019.9166666666667</v>
      </c>
      <c r="AG148" s="157">
        <f t="shared" si="88"/>
        <v>2016</v>
      </c>
      <c r="AH148" s="157">
        <f t="shared" si="103"/>
        <v>-8.3333333333333329E-2</v>
      </c>
    </row>
    <row r="149" spans="1:34">
      <c r="A149" s="156">
        <v>110968</v>
      </c>
      <c r="B149" s="156" t="s">
        <v>92</v>
      </c>
      <c r="C149" s="156">
        <v>825</v>
      </c>
      <c r="D149" s="156" t="s">
        <v>309</v>
      </c>
      <c r="E149" s="156">
        <v>2014</v>
      </c>
      <c r="F149" s="156">
        <v>2</v>
      </c>
      <c r="G149" s="156">
        <v>0.2</v>
      </c>
      <c r="I149" s="156" t="s">
        <v>52</v>
      </c>
      <c r="J149" s="156">
        <v>7</v>
      </c>
      <c r="K149" s="156">
        <f t="shared" si="89"/>
        <v>2021</v>
      </c>
      <c r="N149" s="157">
        <v>318992.86</v>
      </c>
      <c r="P149" s="157">
        <f>N149-N149*G149</f>
        <v>255194.288</v>
      </c>
      <c r="Q149" s="157">
        <f>P149/J149/12</f>
        <v>3038.0272380952379</v>
      </c>
      <c r="R149" s="157">
        <f>IF(O149&gt;0,0,IF(OR(AD149&gt;AE149,AF149&lt;AG149),0,IF(AND(AF149&gt;=AG149,AF149&lt;=AE149),Q149*((AF149-AG149)*12),IF(AND(AG149&lt;=AD149,AE149&gt;=AD149),((AE149-AD149)*12)*Q149,IF(AF149&gt;AE149,12*Q149,0)))))</f>
        <v>36456.326857142856</v>
      </c>
      <c r="S149" s="157">
        <f>IF(O149=0,0,IF(AND(AH149&gt;=AG149,AH149&lt;=AF149),((AH149-AG149)*12)*Q149,0))</f>
        <v>0</v>
      </c>
      <c r="T149" s="157">
        <f>IF(S149&gt;0,S149,R149)</f>
        <v>36456.326857142856</v>
      </c>
      <c r="U149" s="157">
        <v>1</v>
      </c>
      <c r="V149" s="157">
        <f>U149*SUM(R149:S149)</f>
        <v>36456.326857142856</v>
      </c>
      <c r="X149" s="157">
        <f>IF(AD149&gt;AE149,0,IF(AF149&lt;AG149,P149,IF(AND(AF149&gt;=AG149,AF149&lt;=AE149),(P149-T149),IF(AND(AG149&lt;=AD149,AE149&gt;=AD149),0,IF(AF149&gt;AE149,((AG149-AD149)*12)*Q149,0)))))</f>
        <v>69874.62647619324</v>
      </c>
      <c r="Y149" s="157">
        <f>X149*U149</f>
        <v>69874.62647619324</v>
      </c>
      <c r="Z149" s="157">
        <v>1</v>
      </c>
      <c r="AA149" s="157">
        <f>Y149*Z149</f>
        <v>69874.62647619324</v>
      </c>
      <c r="AB149" s="157">
        <f>IF(O149&gt;0,0,AA149+V149*Z149)*Z149</f>
        <v>106330.9533333361</v>
      </c>
      <c r="AC149" s="157">
        <f>IF(O149&gt;0,(N149-AA149)/2,IF(AD149&gt;=AG149,(((N149*U149)*Z149)-AB149)/2,((((N149*U149)*Z149)-AA149)+(((N149*U149)*Z149)-AB149))/2))</f>
        <v>230890.07009523531</v>
      </c>
      <c r="AD149" s="157">
        <f t="shared" si="101"/>
        <v>2014.0833333333333</v>
      </c>
      <c r="AE149" s="157">
        <f t="shared" si="87"/>
        <v>2017</v>
      </c>
      <c r="AF149" s="157">
        <f t="shared" si="102"/>
        <v>2021.0833333333333</v>
      </c>
      <c r="AG149" s="157">
        <f t="shared" si="88"/>
        <v>2016</v>
      </c>
      <c r="AH149" s="157">
        <f t="shared" si="103"/>
        <v>-8.3333333333333329E-2</v>
      </c>
    </row>
    <row r="150" spans="1:34">
      <c r="A150" s="156">
        <v>116566</v>
      </c>
      <c r="B150" s="156" t="s">
        <v>92</v>
      </c>
      <c r="C150" s="156">
        <v>826</v>
      </c>
      <c r="D150" s="156" t="s">
        <v>315</v>
      </c>
      <c r="E150" s="156">
        <v>2014</v>
      </c>
      <c r="F150" s="156">
        <v>10</v>
      </c>
      <c r="G150" s="156">
        <v>0.2</v>
      </c>
      <c r="I150" s="156" t="s">
        <v>52</v>
      </c>
      <c r="J150" s="156">
        <v>7</v>
      </c>
      <c r="K150" s="156">
        <f t="shared" si="89"/>
        <v>2021</v>
      </c>
      <c r="N150" s="157">
        <v>325033.65999999997</v>
      </c>
      <c r="P150" s="157">
        <f>N150-N150*G150</f>
        <v>260026.92799999999</v>
      </c>
      <c r="Q150" s="157">
        <f>P150/J150/12</f>
        <v>3095.5586666666663</v>
      </c>
      <c r="R150" s="157">
        <f>IF(O150&gt;0,0,IF(OR(AD150&gt;AE150,AF150&lt;AG150),0,IF(AND(AF150&gt;=AG150,AF150&lt;=AE150),Q150*((AF150-AG150)*12),IF(AND(AG150&lt;=AD150,AE150&gt;=AD150),((AE150-AD150)*12)*Q150,IF(AF150&gt;AE150,12*Q150,0)))))</f>
        <v>37146.703999999998</v>
      </c>
      <c r="S150" s="157">
        <f>IF(O150=0,0,IF(AND(AH150&gt;=AG150,AH150&lt;=AF150),((AH150-AG150)*12)*Q150,0))</f>
        <v>0</v>
      </c>
      <c r="T150" s="157">
        <f>IF(S150&gt;0,S150,R150)</f>
        <v>37146.703999999998</v>
      </c>
      <c r="U150" s="157">
        <v>1</v>
      </c>
      <c r="V150" s="157">
        <f>U150*SUM(R150:S150)</f>
        <v>37146.703999999998</v>
      </c>
      <c r="X150" s="157">
        <f>IF(AD150&gt;AE150,0,IF(AF150&lt;AG150,P150,IF(AND(AF150&gt;=AG150,AF150&lt;=AE150),(P150-T150),IF(AND(AG150&lt;=AD150,AE150&gt;=AD150),0,IF(AF150&gt;AE150,((AG150-AD150)*12)*Q150,0)))))</f>
        <v>46433.38</v>
      </c>
      <c r="Y150" s="157">
        <f>X150*U150</f>
        <v>46433.38</v>
      </c>
      <c r="Z150" s="157">
        <v>1</v>
      </c>
      <c r="AA150" s="157">
        <f>Y150*Z150</f>
        <v>46433.38</v>
      </c>
      <c r="AB150" s="157">
        <f>IF(O150&gt;0,0,AA150+V150*Z150)*Z150</f>
        <v>83580.084000000003</v>
      </c>
      <c r="AC150" s="157">
        <f>IF(O150&gt;0,(N150-AA150)/2,IF(AD150&gt;=AG150,(((N150*U150)*Z150)-AB150)/2,((((N150*U150)*Z150)-AA150)+(((N150*U150)*Z150)-AB150))/2))</f>
        <v>260026.92799999996</v>
      </c>
      <c r="AD150" s="157">
        <f t="shared" si="101"/>
        <v>2014.75</v>
      </c>
      <c r="AE150" s="157">
        <f t="shared" si="87"/>
        <v>2017</v>
      </c>
      <c r="AF150" s="157">
        <f t="shared" si="102"/>
        <v>2021.75</v>
      </c>
      <c r="AG150" s="157">
        <f t="shared" si="88"/>
        <v>2016</v>
      </c>
      <c r="AH150" s="157">
        <f t="shared" si="103"/>
        <v>-8.3333333333333329E-2</v>
      </c>
    </row>
    <row r="151" spans="1:34">
      <c r="A151" s="156">
        <v>121030</v>
      </c>
      <c r="B151" s="156" t="s">
        <v>92</v>
      </c>
      <c r="C151" s="156">
        <v>806</v>
      </c>
      <c r="D151" s="156" t="s">
        <v>328</v>
      </c>
      <c r="E151" s="156">
        <v>2015</v>
      </c>
      <c r="F151" s="156">
        <v>2</v>
      </c>
      <c r="G151" s="156">
        <v>0</v>
      </c>
      <c r="I151" s="156" t="s">
        <v>52</v>
      </c>
      <c r="J151" s="156">
        <v>3</v>
      </c>
      <c r="K151" s="156">
        <f t="shared" si="89"/>
        <v>2018</v>
      </c>
      <c r="N151" s="157">
        <v>7364.29</v>
      </c>
      <c r="P151" s="157">
        <f>N151-N151*G151</f>
        <v>7364.29</v>
      </c>
      <c r="Q151" s="157">
        <f>P151/J151/12</f>
        <v>204.5636111111111</v>
      </c>
      <c r="R151" s="157">
        <f>IF(O151&gt;0,0,IF(OR(AD151&gt;AE151,AF151&lt;AG151),0,IF(AND(AF151&gt;=AG151,AF151&lt;=AE151),Q151*((AF151-AG151)*12),IF(AND(AG151&lt;=AD151,AE151&gt;=AD151),((AE151-AD151)*12)*Q151,IF(AF151&gt;AE151,12*Q151,0)))))</f>
        <v>2454.7633333333333</v>
      </c>
      <c r="S151" s="157">
        <f>IF(O151=0,0,IF(AND(AH151&gt;=AG151,AH151&lt;=AF151),((AH151-AG151)*12)*Q151,0))</f>
        <v>0</v>
      </c>
      <c r="T151" s="157">
        <f>IF(S151&gt;0,S151,R151)</f>
        <v>2454.7633333333333</v>
      </c>
      <c r="U151" s="157">
        <v>1</v>
      </c>
      <c r="V151" s="157">
        <f>U151*SUM(R151:S151)</f>
        <v>2454.7633333333333</v>
      </c>
      <c r="X151" s="157">
        <f>IF(AD151&gt;AE151,0,IF(AF151&lt;AG151,P151,IF(AND(AF151&gt;=AG151,AF151&lt;=AE151),(P151-T151),IF(AND(AG151&lt;=AD151,AE151&gt;=AD151),0,IF(AF151&gt;AE151,((AG151-AD151)*12)*Q151,0)))))</f>
        <v>2250.1997222224081</v>
      </c>
      <c r="Y151" s="157">
        <f>X151*U151</f>
        <v>2250.1997222224081</v>
      </c>
      <c r="Z151" s="157">
        <v>1</v>
      </c>
      <c r="AA151" s="157">
        <f>Y151*Z151</f>
        <v>2250.1997222224081</v>
      </c>
      <c r="AB151" s="157">
        <f>IF(O151&gt;0,0,AA151+V151*Z151)*Z151</f>
        <v>4704.9630555557414</v>
      </c>
      <c r="AC151" s="157">
        <f>IF(O151&gt;0,(N151-AA151)/2,IF(AD151&gt;=AG151,(((N151*U151)*Z151)-AB151)/2,((((N151*U151)*Z151)-AA151)+(((N151*U151)*Z151)-AB151))/2))</f>
        <v>3886.7086111109252</v>
      </c>
      <c r="AD151" s="157">
        <f t="shared" si="101"/>
        <v>2015.0833333333333</v>
      </c>
      <c r="AE151" s="157">
        <f t="shared" si="87"/>
        <v>2017</v>
      </c>
      <c r="AF151" s="157">
        <f t="shared" si="102"/>
        <v>2018.0833333333333</v>
      </c>
      <c r="AG151" s="157">
        <f t="shared" si="88"/>
        <v>2016</v>
      </c>
      <c r="AH151" s="157">
        <f t="shared" si="103"/>
        <v>-8.3333333333333329E-2</v>
      </c>
    </row>
    <row r="152" spans="1:34">
      <c r="A152" s="156" t="s">
        <v>419</v>
      </c>
      <c r="D152" s="156" t="s">
        <v>423</v>
      </c>
      <c r="E152" s="156">
        <v>2016</v>
      </c>
      <c r="F152" s="156">
        <v>3</v>
      </c>
      <c r="G152" s="156">
        <v>0</v>
      </c>
      <c r="I152" s="156" t="s">
        <v>52</v>
      </c>
      <c r="J152" s="156">
        <v>1</v>
      </c>
      <c r="K152" s="156">
        <f t="shared" si="89"/>
        <v>2017</v>
      </c>
      <c r="N152" s="157">
        <f>(25892.28+23056.62)/104*8</f>
        <v>3765.2999999999997</v>
      </c>
      <c r="P152" s="157">
        <f>N152-N152*G152</f>
        <v>3765.2999999999997</v>
      </c>
      <c r="Q152" s="157">
        <f>P152/J152/12</f>
        <v>313.77499999999998</v>
      </c>
      <c r="R152" s="157">
        <f>IF(O152&gt;0,0,IF(OR(AD152&gt;AE152,AF152&lt;AG152),0,IF(AND(AF152&gt;=AG152,AF152&lt;=AE152),Q152*((AF152-AG152)*12),IF(AND(AG152&lt;=AD152,AE152&gt;=AD152),((AE152-AD152)*12)*Q152,IF(AF152&gt;AE152,12*Q152,0)))))</f>
        <v>3137.7499999997144</v>
      </c>
      <c r="S152" s="157">
        <f>IF(O152=0,0,IF(AND(AH152&gt;=AG152,AH152&lt;=AF152),((AH152-AG152)*12)*Q152,0))</f>
        <v>0</v>
      </c>
      <c r="T152" s="157">
        <f>IF(S152&gt;0,S152,R152)</f>
        <v>3137.7499999997144</v>
      </c>
      <c r="U152" s="157">
        <v>1</v>
      </c>
      <c r="V152" s="157">
        <f>U152*SUM(R152:S152)</f>
        <v>3137.7499999997144</v>
      </c>
      <c r="X152" s="157">
        <f>IF(AD152&gt;AE152,0,IF(AF152&lt;AG152,P152,IF(AND(AF152&gt;=AG152,AF152&lt;=AE152),(P152-T152),IF(AND(AG152&lt;=AD152,AE152&gt;=AD152),0,IF(AF152&gt;AE152,((AG152-AD152)*12)*Q152,0)))))</f>
        <v>0</v>
      </c>
      <c r="Y152" s="157">
        <f>X152*U152</f>
        <v>0</v>
      </c>
      <c r="Z152" s="157">
        <v>1</v>
      </c>
      <c r="AA152" s="157">
        <f>Y152*Z152</f>
        <v>0</v>
      </c>
      <c r="AB152" s="157">
        <f>IF(O152&gt;0,0,AA152+V152*Z152)*Z152</f>
        <v>3137.7499999997144</v>
      </c>
      <c r="AC152" s="157">
        <f>IF(O152&gt;0,(N152-AA152)/2,IF(AD152&gt;=AG152,(((N152*U152)*Z152)-AB152)/2,((((N152*U152)*Z152)-AA152)+(((N152*U152)*Z152)-AB152))/2))</f>
        <v>313.77500000014265</v>
      </c>
      <c r="AD152" s="157">
        <f t="shared" si="101"/>
        <v>2016.1666666666667</v>
      </c>
      <c r="AE152" s="157">
        <f t="shared" si="87"/>
        <v>2017</v>
      </c>
      <c r="AF152" s="157">
        <f t="shared" si="102"/>
        <v>2017.1666666666667</v>
      </c>
      <c r="AG152" s="157">
        <f t="shared" si="88"/>
        <v>2016</v>
      </c>
      <c r="AH152" s="157">
        <f t="shared" si="103"/>
        <v>-8.3333333333333329E-2</v>
      </c>
    </row>
    <row r="154" spans="1:34" ht="13.5" thickBot="1">
      <c r="D154" s="156" t="s">
        <v>97</v>
      </c>
      <c r="N154" s="157">
        <f>SUM(N139:N153)</f>
        <v>1696975.81</v>
      </c>
      <c r="P154" s="157">
        <f>SUM(P139:P153)</f>
        <v>1355659.2700000003</v>
      </c>
      <c r="Q154" s="157">
        <f>SUM(Q139:Q153)</f>
        <v>16718.687753968254</v>
      </c>
      <c r="R154" s="157">
        <f>SUM(R139:R153)</f>
        <v>115298.83333333304</v>
      </c>
      <c r="S154" s="157">
        <f>SUM(S139:S153)</f>
        <v>0</v>
      </c>
      <c r="T154" s="157">
        <f>SUM(T139:T153)</f>
        <v>115298.83333333304</v>
      </c>
      <c r="V154" s="157">
        <f>SUM(V139:V153)</f>
        <v>115298.83333333304</v>
      </c>
      <c r="AA154" s="157">
        <f>SUM(AA139:AA153)</f>
        <v>807080.68829365086</v>
      </c>
      <c r="AB154" s="157">
        <f>SUM(AB139:AB153)</f>
        <v>922379.521626984</v>
      </c>
      <c r="AC154" s="157">
        <f>SUM(AC139:AC153)</f>
        <v>830363.05503968231</v>
      </c>
    </row>
    <row r="156" spans="1:34">
      <c r="D156" s="156" t="s">
        <v>98</v>
      </c>
    </row>
    <row r="158" spans="1:34">
      <c r="B158" s="156" t="s">
        <v>99</v>
      </c>
      <c r="D158" s="156" t="s">
        <v>167</v>
      </c>
      <c r="E158" s="156">
        <v>2008</v>
      </c>
      <c r="F158" s="156">
        <v>3</v>
      </c>
      <c r="G158" s="156">
        <v>0.2</v>
      </c>
      <c r="I158" s="156" t="s">
        <v>52</v>
      </c>
      <c r="J158" s="156">
        <v>7</v>
      </c>
      <c r="K158" s="156">
        <f t="shared" ref="K158:K163" si="104">E158+J158</f>
        <v>2015</v>
      </c>
      <c r="N158" s="157">
        <f>560.39*3</f>
        <v>1681.17</v>
      </c>
      <c r="P158" s="157">
        <f t="shared" ref="P158:P165" si="105">N158-N158*G158</f>
        <v>1344.9360000000001</v>
      </c>
      <c r="Q158" s="157">
        <f t="shared" ref="Q158:Q165" si="106">P158/J158/12</f>
        <v>16.011142857142861</v>
      </c>
      <c r="R158" s="157">
        <f t="shared" ref="R158:R165" si="107">IF(O158&gt;0,0,IF(OR(AD158&gt;AE158,AF158&lt;AG158),0,IF(AND(AF158&gt;=AG158,AF158&lt;=AE158),Q158*((AF158-AG158)*12),IF(AND(AG158&lt;=AD158,AE158&gt;=AD158),((AE158-AD158)*12)*Q158,IF(AF158&gt;AE158,12*Q158,0)))))</f>
        <v>0</v>
      </c>
      <c r="S158" s="157">
        <f t="shared" ref="S158:S165" si="108">IF(O158=0,0,IF(AND(AH158&gt;=AG158,AH158&lt;=AF158),((AH158-AG158)*12)*Q158,0))</f>
        <v>0</v>
      </c>
      <c r="T158" s="157">
        <f t="shared" ref="T158:T165" si="109">IF(S158&gt;0,S158,R158)</f>
        <v>0</v>
      </c>
      <c r="U158" s="157">
        <v>1</v>
      </c>
      <c r="V158" s="157">
        <f t="shared" ref="V158:V165" si="110">U158*SUM(R158:S158)</f>
        <v>0</v>
      </c>
      <c r="X158" s="157">
        <f t="shared" ref="X158:X165" si="111">IF(AD158&gt;AE158,0,IF(AF158&lt;AG158,P158,IF(AND(AF158&gt;=AG158,AF158&lt;=AE158),(P158-T158),IF(AND(AG158&lt;=AD158,AE158&gt;=AD158),0,IF(AF158&gt;AE158,((AG158-AD158)*12)*Q158,0)))))</f>
        <v>1344.9360000000001</v>
      </c>
      <c r="Y158" s="157">
        <f t="shared" ref="Y158:Y165" si="112">X158*U158</f>
        <v>1344.9360000000001</v>
      </c>
      <c r="Z158" s="157">
        <v>1</v>
      </c>
      <c r="AA158" s="157">
        <f t="shared" ref="AA158:AA165" si="113">Y158*Z158</f>
        <v>1344.9360000000001</v>
      </c>
      <c r="AB158" s="157">
        <f t="shared" ref="AB158:AB165" si="114">IF(O158&gt;0,0,AA158+V158*Z158)*Z158</f>
        <v>1344.9360000000001</v>
      </c>
      <c r="AC158" s="157">
        <f t="shared" ref="AC158:AC165" si="115">IF(O158&gt;0,(N158-AA158)/2,IF(AD158&gt;=AG158,(((N158*U158)*Z158)-AB158)/2,((((N158*U158)*Z158)-AA158)+(((N158*U158)*Z158)-AB158))/2))</f>
        <v>336.23399999999992</v>
      </c>
      <c r="AD158" s="157">
        <f t="shared" ref="AD158:AD165" si="116">$E158+(($F158-1)/12)</f>
        <v>2008.1666666666667</v>
      </c>
      <c r="AE158" s="157">
        <f t="shared" ref="AE158:AE165" si="117">($P$5+1)-($P$2/12)</f>
        <v>2017</v>
      </c>
      <c r="AF158" s="157">
        <f t="shared" ref="AF158:AF165" si="118">$K158+(($F158-1)/12)</f>
        <v>2015.1666666666667</v>
      </c>
      <c r="AG158" s="157">
        <f t="shared" ref="AG158:AG165" si="119">$P$4+($P$3/12)</f>
        <v>2016</v>
      </c>
      <c r="AH158" s="157">
        <f t="shared" ref="AH158:AH165" si="120">$L158+(($M158-1)/12)</f>
        <v>-8.3333333333333329E-2</v>
      </c>
    </row>
    <row r="159" spans="1:34">
      <c r="A159" s="156">
        <v>58436</v>
      </c>
      <c r="B159" s="156" t="s">
        <v>170</v>
      </c>
      <c r="C159" s="156">
        <v>814</v>
      </c>
      <c r="D159" s="156" t="s">
        <v>177</v>
      </c>
      <c r="E159" s="156">
        <v>2008</v>
      </c>
      <c r="F159" s="156">
        <v>6</v>
      </c>
      <c r="G159" s="156">
        <v>0.2</v>
      </c>
      <c r="I159" s="156" t="s">
        <v>52</v>
      </c>
      <c r="J159" s="156">
        <v>7</v>
      </c>
      <c r="K159" s="156">
        <f t="shared" si="104"/>
        <v>2015</v>
      </c>
      <c r="N159" s="157">
        <f>232760.51</f>
        <v>232760.51</v>
      </c>
      <c r="P159" s="157">
        <f t="shared" si="105"/>
        <v>186208.408</v>
      </c>
      <c r="Q159" s="157">
        <f t="shared" si="106"/>
        <v>2216.766761904762</v>
      </c>
      <c r="R159" s="157">
        <f t="shared" si="107"/>
        <v>0</v>
      </c>
      <c r="S159" s="157">
        <f t="shared" si="108"/>
        <v>0</v>
      </c>
      <c r="T159" s="157">
        <f t="shared" si="109"/>
        <v>0</v>
      </c>
      <c r="U159" s="157">
        <v>1</v>
      </c>
      <c r="V159" s="157">
        <f t="shared" si="110"/>
        <v>0</v>
      </c>
      <c r="X159" s="157">
        <f t="shared" si="111"/>
        <v>186208.408</v>
      </c>
      <c r="Y159" s="157">
        <f t="shared" si="112"/>
        <v>186208.408</v>
      </c>
      <c r="Z159" s="157">
        <v>1</v>
      </c>
      <c r="AA159" s="157">
        <f t="shared" si="113"/>
        <v>186208.408</v>
      </c>
      <c r="AB159" s="157">
        <f t="shared" si="114"/>
        <v>186208.408</v>
      </c>
      <c r="AC159" s="157">
        <f t="shared" si="115"/>
        <v>46552.102000000014</v>
      </c>
      <c r="AD159" s="157">
        <f t="shared" si="116"/>
        <v>2008.4166666666667</v>
      </c>
      <c r="AE159" s="157">
        <f t="shared" si="117"/>
        <v>2017</v>
      </c>
      <c r="AF159" s="157">
        <f t="shared" si="118"/>
        <v>2015.4166666666667</v>
      </c>
      <c r="AG159" s="157">
        <f t="shared" si="119"/>
        <v>2016</v>
      </c>
      <c r="AH159" s="157">
        <f t="shared" si="120"/>
        <v>-8.3333333333333329E-2</v>
      </c>
    </row>
    <row r="160" spans="1:34">
      <c r="A160" s="156">
        <v>75879</v>
      </c>
      <c r="B160" s="156" t="s">
        <v>99</v>
      </c>
      <c r="C160" s="156">
        <v>820</v>
      </c>
      <c r="D160" s="156" t="s">
        <v>202</v>
      </c>
      <c r="E160" s="156">
        <v>2010</v>
      </c>
      <c r="F160" s="156">
        <v>7</v>
      </c>
      <c r="G160" s="156">
        <v>0.2</v>
      </c>
      <c r="I160" s="156" t="s">
        <v>52</v>
      </c>
      <c r="J160" s="156">
        <v>7</v>
      </c>
      <c r="K160" s="156">
        <f t="shared" si="104"/>
        <v>2017</v>
      </c>
      <c r="N160" s="157">
        <f>277646.47+1916.25</f>
        <v>279562.71999999997</v>
      </c>
      <c r="P160" s="157">
        <f t="shared" si="105"/>
        <v>223650.17599999998</v>
      </c>
      <c r="Q160" s="157">
        <f t="shared" si="106"/>
        <v>2662.5020952380951</v>
      </c>
      <c r="R160" s="157">
        <f t="shared" si="107"/>
        <v>31950.025142857143</v>
      </c>
      <c r="S160" s="157">
        <f t="shared" si="108"/>
        <v>0</v>
      </c>
      <c r="T160" s="157">
        <f t="shared" si="109"/>
        <v>31950.025142857143</v>
      </c>
      <c r="U160" s="157">
        <v>1</v>
      </c>
      <c r="V160" s="157">
        <f t="shared" si="110"/>
        <v>31950.025142857143</v>
      </c>
      <c r="X160" s="157">
        <f t="shared" si="111"/>
        <v>175725.13828571429</v>
      </c>
      <c r="Y160" s="157">
        <f t="shared" si="112"/>
        <v>175725.13828571429</v>
      </c>
      <c r="Z160" s="157">
        <v>1</v>
      </c>
      <c r="AA160" s="157">
        <f t="shared" si="113"/>
        <v>175725.13828571429</v>
      </c>
      <c r="AB160" s="157">
        <f t="shared" si="114"/>
        <v>207675.16342857142</v>
      </c>
      <c r="AC160" s="157">
        <f t="shared" si="115"/>
        <v>87862.569142857115</v>
      </c>
      <c r="AD160" s="157">
        <f t="shared" si="116"/>
        <v>2010.5</v>
      </c>
      <c r="AE160" s="157">
        <f t="shared" si="117"/>
        <v>2017</v>
      </c>
      <c r="AF160" s="157">
        <f t="shared" si="118"/>
        <v>2017.5</v>
      </c>
      <c r="AG160" s="157">
        <f t="shared" si="119"/>
        <v>2016</v>
      </c>
      <c r="AH160" s="157">
        <f t="shared" si="120"/>
        <v>-8.3333333333333329E-2</v>
      </c>
    </row>
    <row r="161" spans="1:34">
      <c r="B161" s="156" t="s">
        <v>99</v>
      </c>
      <c r="D161" s="156" t="s">
        <v>223</v>
      </c>
      <c r="E161" s="156">
        <v>2011</v>
      </c>
      <c r="F161" s="156">
        <v>1</v>
      </c>
      <c r="G161" s="156">
        <v>0.2</v>
      </c>
      <c r="I161" s="156" t="s">
        <v>52</v>
      </c>
      <c r="J161" s="156">
        <v>7</v>
      </c>
      <c r="K161" s="156">
        <f t="shared" si="104"/>
        <v>2018</v>
      </c>
      <c r="N161" s="157">
        <f>6260.49/11*5</f>
        <v>2845.6772727272728</v>
      </c>
      <c r="P161" s="157">
        <f t="shared" si="105"/>
        <v>2276.5418181818181</v>
      </c>
      <c r="Q161" s="157">
        <f t="shared" si="106"/>
        <v>27.10168831168831</v>
      </c>
      <c r="R161" s="157">
        <f t="shared" si="107"/>
        <v>325.22025974025973</v>
      </c>
      <c r="S161" s="157">
        <f t="shared" si="108"/>
        <v>0</v>
      </c>
      <c r="T161" s="157">
        <f t="shared" si="109"/>
        <v>325.22025974025973</v>
      </c>
      <c r="U161" s="157">
        <v>1</v>
      </c>
      <c r="V161" s="157">
        <f t="shared" si="110"/>
        <v>325.22025974025973</v>
      </c>
      <c r="X161" s="157">
        <f t="shared" si="111"/>
        <v>1626.1012987012987</v>
      </c>
      <c r="Y161" s="157">
        <f t="shared" si="112"/>
        <v>1626.1012987012987</v>
      </c>
      <c r="Z161" s="157">
        <v>1</v>
      </c>
      <c r="AA161" s="157">
        <f t="shared" si="113"/>
        <v>1626.1012987012987</v>
      </c>
      <c r="AB161" s="157">
        <f t="shared" si="114"/>
        <v>1951.3215584415584</v>
      </c>
      <c r="AC161" s="157">
        <f t="shared" si="115"/>
        <v>1056.9658441558443</v>
      </c>
      <c r="AD161" s="157">
        <f t="shared" si="116"/>
        <v>2011</v>
      </c>
      <c r="AE161" s="157">
        <f t="shared" si="117"/>
        <v>2017</v>
      </c>
      <c r="AF161" s="157">
        <f t="shared" si="118"/>
        <v>2018</v>
      </c>
      <c r="AG161" s="157">
        <f t="shared" si="119"/>
        <v>2016</v>
      </c>
      <c r="AH161" s="157">
        <f t="shared" si="120"/>
        <v>-8.3333333333333329E-2</v>
      </c>
    </row>
    <row r="162" spans="1:34">
      <c r="A162" s="156">
        <v>122580</v>
      </c>
      <c r="B162" s="156" t="s">
        <v>99</v>
      </c>
      <c r="C162" s="156">
        <v>831</v>
      </c>
      <c r="D162" s="156" t="s">
        <v>329</v>
      </c>
      <c r="E162" s="156">
        <v>2015</v>
      </c>
      <c r="F162" s="156">
        <v>5</v>
      </c>
      <c r="G162" s="156">
        <v>0.2</v>
      </c>
      <c r="I162" s="156" t="s">
        <v>52</v>
      </c>
      <c r="J162" s="156">
        <v>7</v>
      </c>
      <c r="K162" s="156">
        <f t="shared" si="104"/>
        <v>2022</v>
      </c>
      <c r="N162" s="157">
        <v>326336.78000000003</v>
      </c>
      <c r="P162" s="157">
        <f t="shared" si="105"/>
        <v>261069.42400000003</v>
      </c>
      <c r="Q162" s="157">
        <f t="shared" si="106"/>
        <v>3107.9693333333339</v>
      </c>
      <c r="R162" s="157">
        <f t="shared" si="107"/>
        <v>37295.632000000005</v>
      </c>
      <c r="S162" s="157">
        <f t="shared" si="108"/>
        <v>0</v>
      </c>
      <c r="T162" s="157">
        <f t="shared" si="109"/>
        <v>37295.632000000005</v>
      </c>
      <c r="U162" s="157">
        <v>1</v>
      </c>
      <c r="V162" s="157">
        <f t="shared" si="110"/>
        <v>37295.632000000005</v>
      </c>
      <c r="X162" s="157">
        <f t="shared" si="111"/>
        <v>24863.754666669498</v>
      </c>
      <c r="Y162" s="157">
        <f t="shared" si="112"/>
        <v>24863.754666669498</v>
      </c>
      <c r="Z162" s="157">
        <v>1</v>
      </c>
      <c r="AA162" s="157">
        <f t="shared" si="113"/>
        <v>24863.754666669498</v>
      </c>
      <c r="AB162" s="157">
        <f t="shared" si="114"/>
        <v>62159.386666669503</v>
      </c>
      <c r="AC162" s="157">
        <f t="shared" si="115"/>
        <v>282825.20933333051</v>
      </c>
      <c r="AD162" s="157">
        <f t="shared" si="116"/>
        <v>2015.3333333333333</v>
      </c>
      <c r="AE162" s="157">
        <f t="shared" si="117"/>
        <v>2017</v>
      </c>
      <c r="AF162" s="157">
        <f t="shared" si="118"/>
        <v>2022.3333333333333</v>
      </c>
      <c r="AG162" s="157">
        <f t="shared" si="119"/>
        <v>2016</v>
      </c>
      <c r="AH162" s="157">
        <f t="shared" si="120"/>
        <v>-8.3333333333333329E-2</v>
      </c>
    </row>
    <row r="163" spans="1:34">
      <c r="A163" s="156" t="s">
        <v>419</v>
      </c>
      <c r="D163" s="156" t="s">
        <v>421</v>
      </c>
      <c r="E163" s="156">
        <v>2016</v>
      </c>
      <c r="F163" s="156">
        <v>3</v>
      </c>
      <c r="G163" s="156">
        <v>0</v>
      </c>
      <c r="I163" s="156" t="s">
        <v>52</v>
      </c>
      <c r="J163" s="156">
        <v>1</v>
      </c>
      <c r="K163" s="156">
        <f t="shared" si="104"/>
        <v>2017</v>
      </c>
      <c r="N163" s="157">
        <f>(25892.28+23056.62)/104*5</f>
        <v>2353.3125</v>
      </c>
      <c r="P163" s="157">
        <f t="shared" si="105"/>
        <v>2353.3125</v>
      </c>
      <c r="Q163" s="157">
        <f t="shared" si="106"/>
        <v>196.109375</v>
      </c>
      <c r="R163" s="157">
        <f t="shared" si="107"/>
        <v>1961.0937499998217</v>
      </c>
      <c r="S163" s="157">
        <f t="shared" si="108"/>
        <v>0</v>
      </c>
      <c r="T163" s="157">
        <f t="shared" si="109"/>
        <v>1961.0937499998217</v>
      </c>
      <c r="U163" s="157">
        <v>1</v>
      </c>
      <c r="V163" s="157">
        <f t="shared" si="110"/>
        <v>1961.0937499998217</v>
      </c>
      <c r="X163" s="157">
        <f t="shared" si="111"/>
        <v>0</v>
      </c>
      <c r="Y163" s="157">
        <f t="shared" si="112"/>
        <v>0</v>
      </c>
      <c r="Z163" s="157">
        <v>1</v>
      </c>
      <c r="AA163" s="157">
        <f t="shared" si="113"/>
        <v>0</v>
      </c>
      <c r="AB163" s="157">
        <f t="shared" si="114"/>
        <v>1961.0937499998217</v>
      </c>
      <c r="AC163" s="157">
        <f t="shared" si="115"/>
        <v>196.10937500008913</v>
      </c>
      <c r="AD163" s="157">
        <f t="shared" si="116"/>
        <v>2016.1666666666667</v>
      </c>
      <c r="AE163" s="157">
        <f t="shared" si="117"/>
        <v>2017</v>
      </c>
      <c r="AF163" s="157">
        <f t="shared" si="118"/>
        <v>2017.1666666666667</v>
      </c>
      <c r="AG163" s="157">
        <f t="shared" si="119"/>
        <v>2016</v>
      </c>
      <c r="AH163" s="157">
        <f t="shared" si="120"/>
        <v>-8.3333333333333329E-2</v>
      </c>
    </row>
    <row r="164" spans="1:34">
      <c r="A164" s="156">
        <v>132074</v>
      </c>
      <c r="B164" s="156" t="s">
        <v>99</v>
      </c>
      <c r="C164" s="156">
        <v>837</v>
      </c>
      <c r="D164" s="156" t="s">
        <v>390</v>
      </c>
      <c r="E164" s="156">
        <v>2016</v>
      </c>
      <c r="F164" s="156">
        <v>4</v>
      </c>
      <c r="G164" s="156">
        <v>0</v>
      </c>
      <c r="I164" s="156" t="s">
        <v>52</v>
      </c>
      <c r="J164" s="156">
        <v>10</v>
      </c>
      <c r="K164" s="156">
        <f>E164+J164</f>
        <v>2026</v>
      </c>
      <c r="N164" s="157">
        <v>327729.76</v>
      </c>
      <c r="P164" s="157">
        <f t="shared" si="105"/>
        <v>327729.76</v>
      </c>
      <c r="Q164" s="157">
        <f t="shared" si="106"/>
        <v>2731.0813333333335</v>
      </c>
      <c r="R164" s="157">
        <f t="shared" si="107"/>
        <v>24579.732000000004</v>
      </c>
      <c r="S164" s="157">
        <f t="shared" si="108"/>
        <v>0</v>
      </c>
      <c r="T164" s="157">
        <f t="shared" si="109"/>
        <v>24579.732000000004</v>
      </c>
      <c r="U164" s="157">
        <v>1</v>
      </c>
      <c r="V164" s="157">
        <f t="shared" si="110"/>
        <v>24579.732000000004</v>
      </c>
      <c r="X164" s="157">
        <f t="shared" si="111"/>
        <v>0</v>
      </c>
      <c r="Y164" s="157">
        <f t="shared" si="112"/>
        <v>0</v>
      </c>
      <c r="Z164" s="157">
        <v>1</v>
      </c>
      <c r="AA164" s="157">
        <f t="shared" si="113"/>
        <v>0</v>
      </c>
      <c r="AB164" s="157">
        <f t="shared" si="114"/>
        <v>24579.732000000004</v>
      </c>
      <c r="AC164" s="157">
        <f t="shared" si="115"/>
        <v>151575.014</v>
      </c>
      <c r="AD164" s="157">
        <f t="shared" si="116"/>
        <v>2016.25</v>
      </c>
      <c r="AE164" s="157">
        <f t="shared" si="117"/>
        <v>2017</v>
      </c>
      <c r="AF164" s="157">
        <f t="shared" si="118"/>
        <v>2026.25</v>
      </c>
      <c r="AG164" s="157">
        <f t="shared" si="119"/>
        <v>2016</v>
      </c>
      <c r="AH164" s="157">
        <f t="shared" si="120"/>
        <v>-8.3333333333333329E-2</v>
      </c>
    </row>
    <row r="165" spans="1:34">
      <c r="A165" s="156">
        <v>166834</v>
      </c>
      <c r="C165" s="156">
        <v>812</v>
      </c>
      <c r="D165" s="156" t="s">
        <v>403</v>
      </c>
      <c r="E165" s="156">
        <v>2016</v>
      </c>
      <c r="F165" s="156">
        <v>7</v>
      </c>
      <c r="G165" s="156">
        <v>0</v>
      </c>
      <c r="I165" s="156" t="s">
        <v>52</v>
      </c>
      <c r="J165" s="156">
        <v>3</v>
      </c>
      <c r="K165" s="156">
        <f>E165+J165</f>
        <v>2019</v>
      </c>
      <c r="N165" s="157">
        <v>25528.62</v>
      </c>
      <c r="P165" s="157">
        <f t="shared" si="105"/>
        <v>25528.62</v>
      </c>
      <c r="Q165" s="157">
        <f t="shared" si="106"/>
        <v>709.12833333333322</v>
      </c>
      <c r="R165" s="157">
        <f t="shared" si="107"/>
        <v>4254.7699999999995</v>
      </c>
      <c r="S165" s="157">
        <f t="shared" si="108"/>
        <v>0</v>
      </c>
      <c r="T165" s="157">
        <f t="shared" si="109"/>
        <v>4254.7699999999995</v>
      </c>
      <c r="U165" s="157">
        <v>1</v>
      </c>
      <c r="V165" s="157">
        <f t="shared" si="110"/>
        <v>4254.7699999999995</v>
      </c>
      <c r="X165" s="157">
        <f t="shared" si="111"/>
        <v>0</v>
      </c>
      <c r="Y165" s="157">
        <f t="shared" si="112"/>
        <v>0</v>
      </c>
      <c r="Z165" s="157">
        <v>1</v>
      </c>
      <c r="AA165" s="157">
        <f t="shared" si="113"/>
        <v>0</v>
      </c>
      <c r="AB165" s="157">
        <f t="shared" si="114"/>
        <v>4254.7699999999995</v>
      </c>
      <c r="AC165" s="157">
        <f t="shared" si="115"/>
        <v>10636.924999999999</v>
      </c>
      <c r="AD165" s="157">
        <f t="shared" si="116"/>
        <v>2016.5</v>
      </c>
      <c r="AE165" s="157">
        <f t="shared" si="117"/>
        <v>2017</v>
      </c>
      <c r="AF165" s="157">
        <f t="shared" si="118"/>
        <v>2019.5</v>
      </c>
      <c r="AG165" s="157">
        <f t="shared" si="119"/>
        <v>2016</v>
      </c>
      <c r="AH165" s="157">
        <f t="shared" si="120"/>
        <v>-8.3333333333333329E-2</v>
      </c>
    </row>
    <row r="167" spans="1:34" ht="13.5" thickBot="1">
      <c r="D167" s="156" t="s">
        <v>100</v>
      </c>
      <c r="N167" s="157">
        <f>SUM(N157:N166)</f>
        <v>1198798.5497727273</v>
      </c>
      <c r="P167" s="157">
        <f>SUM(P157:P166)</f>
        <v>1030161.1783181818</v>
      </c>
      <c r="Q167" s="157">
        <f>SUM(Q157:Q166)</f>
        <v>11666.670063311689</v>
      </c>
      <c r="R167" s="157">
        <f>SUM(R157:R166)</f>
        <v>100366.47315259725</v>
      </c>
      <c r="S167" s="157">
        <f>SUM(S157:S166)</f>
        <v>0</v>
      </c>
      <c r="T167" s="157">
        <f>SUM(T157:T166)</f>
        <v>100366.47315259725</v>
      </c>
      <c r="V167" s="157">
        <f>SUM(V157:V166)</f>
        <v>100366.47315259725</v>
      </c>
      <c r="W167" s="157">
        <f>SUM(W157:W166)</f>
        <v>0</v>
      </c>
      <c r="X167" s="157">
        <f>SUM(X157:X166)</f>
        <v>389768.33825108502</v>
      </c>
      <c r="Y167" s="157">
        <f>SUM(Y157:Y166)</f>
        <v>389768.33825108502</v>
      </c>
      <c r="AA167" s="157">
        <f>SUM(AA157:AA166)</f>
        <v>389768.33825108502</v>
      </c>
      <c r="AB167" s="157">
        <f>SUM(AB157:AB166)</f>
        <v>490134.81140368234</v>
      </c>
      <c r="AC167" s="157">
        <f>SUM(AC157:AC166)</f>
        <v>581041.12869534362</v>
      </c>
    </row>
    <row r="169" spans="1:34">
      <c r="D169" s="156" t="s">
        <v>160</v>
      </c>
    </row>
    <row r="170" spans="1:34">
      <c r="B170" s="156" t="s">
        <v>72</v>
      </c>
      <c r="D170" s="156" t="s">
        <v>147</v>
      </c>
      <c r="E170" s="156">
        <v>2006</v>
      </c>
      <c r="F170" s="156">
        <v>6</v>
      </c>
      <c r="G170" s="156">
        <v>0.33</v>
      </c>
      <c r="I170" s="156" t="s">
        <v>52</v>
      </c>
      <c r="J170" s="156">
        <v>5</v>
      </c>
      <c r="K170" s="156">
        <f>E170+J170</f>
        <v>2011</v>
      </c>
      <c r="N170" s="157">
        <v>2720</v>
      </c>
      <c r="P170" s="157">
        <f>N170-N170*G170</f>
        <v>1822.4</v>
      </c>
      <c r="Q170" s="157">
        <f>P170/J170/12</f>
        <v>30.373333333333335</v>
      </c>
      <c r="R170" s="157">
        <f>IF(O170&gt;0,0,IF(OR(AD170&gt;AE170,AF170&lt;AG170),0,IF(AND(AF170&gt;=AG170,AF170&lt;=AE170),Q170*((AF170-AG170)*12),IF(AND(AG170&lt;=AD170,AE170&gt;=AD170),((AE170-AD170)*12)*Q170,IF(AF170&gt;AE170,12*Q170,0)))))</f>
        <v>0</v>
      </c>
      <c r="S170" s="157">
        <f>IF(O170=0,0,IF(AND(AH170&gt;=AG170,AH170&lt;=AF170),((AH170-AG170)*12)*Q170,0))</f>
        <v>0</v>
      </c>
      <c r="T170" s="157">
        <f>IF(S170&gt;0,S170,R170)</f>
        <v>0</v>
      </c>
      <c r="U170" s="157">
        <v>1</v>
      </c>
      <c r="V170" s="157">
        <f>U170*SUM(R170:S170)</f>
        <v>0</v>
      </c>
      <c r="X170" s="157">
        <f>IF(AD170&gt;AE170,0,IF(AF170&lt;AG170,P170,IF(AND(AF170&gt;=AG170,AF170&lt;=AE170),(P170-T170),IF(AND(AG170&lt;=AD170,AE170&gt;=AD170),0,IF(AF170&gt;AE170,((AG170-AD170)*12)*Q170,0)))))</f>
        <v>1822.4</v>
      </c>
      <c r="Y170" s="157">
        <f>X170*U170</f>
        <v>1822.4</v>
      </c>
      <c r="Z170" s="157">
        <v>1</v>
      </c>
      <c r="AA170" s="157">
        <f>Y170*Z170</f>
        <v>1822.4</v>
      </c>
      <c r="AB170" s="157">
        <f>IF(O170&gt;0,0,AA170+V170*Z170)*Z170</f>
        <v>1822.4</v>
      </c>
      <c r="AC170" s="157">
        <f>IF(O170&gt;0,(N170-AA170)/2,IF(AD170&gt;=AG170,(((N170*U170)*Z170)-AB170)/2,((((N170*U170)*Z170)-AA170)+(((N170*U170)*Z170)-AB170))/2))</f>
        <v>897.59999999999991</v>
      </c>
      <c r="AD170" s="157">
        <f>$E170+(($F170-1)/12)</f>
        <v>2006.4166666666667</v>
      </c>
      <c r="AE170" s="157">
        <f>($P$5+1)-($P$2/12)</f>
        <v>2017</v>
      </c>
      <c r="AF170" s="157">
        <f>$K170+(($F170-1)/12)</f>
        <v>2011.4166666666667</v>
      </c>
      <c r="AG170" s="157">
        <f>$P$4+($P$3/12)</f>
        <v>2016</v>
      </c>
      <c r="AH170" s="157">
        <f>$L170+(($M170-1)/12)</f>
        <v>-8.3333333333333329E-2</v>
      </c>
    </row>
    <row r="171" spans="1:34">
      <c r="B171" s="156" t="s">
        <v>72</v>
      </c>
      <c r="C171" s="156" t="s">
        <v>227</v>
      </c>
      <c r="D171" s="156" t="s">
        <v>247</v>
      </c>
      <c r="E171" s="156">
        <v>2010</v>
      </c>
      <c r="F171" s="156">
        <v>4</v>
      </c>
      <c r="G171" s="156">
        <v>0.2</v>
      </c>
      <c r="I171" s="156" t="s">
        <v>52</v>
      </c>
      <c r="J171" s="156">
        <v>7</v>
      </c>
      <c r="K171" s="156">
        <f>E171+J171</f>
        <v>2017</v>
      </c>
      <c r="N171" s="157">
        <v>35496</v>
      </c>
      <c r="P171" s="157">
        <f>N171-N171*G171</f>
        <v>28396.799999999999</v>
      </c>
      <c r="Q171" s="157">
        <f>P171/J171/12</f>
        <v>338.05714285714288</v>
      </c>
      <c r="R171" s="157">
        <f>IF(O171&gt;0,0,IF(OR(AD171&gt;AE171,AF171&lt;AG171),0,IF(AND(AF171&gt;=AG171,AF171&lt;=AE171),Q171*((AF171-AG171)*12),IF(AND(AG171&lt;=AD171,AE171&gt;=AD171),((AE171-AD171)*12)*Q171,IF(AF171&gt;AE171,12*Q171,0)))))</f>
        <v>4056.6857142857143</v>
      </c>
      <c r="S171" s="157">
        <f>IF(O171=0,0,IF(AND(AH171&gt;=AG171,AH171&lt;=AF171),((AH171-AG171)*12)*Q171,0))</f>
        <v>0</v>
      </c>
      <c r="T171" s="157">
        <f>IF(S171&gt;0,S171,R171)</f>
        <v>4056.6857142857143</v>
      </c>
      <c r="U171" s="157">
        <v>1</v>
      </c>
      <c r="V171" s="157">
        <f>U171*SUM(R171:S171)</f>
        <v>4056.6857142857143</v>
      </c>
      <c r="X171" s="157">
        <f>IF(AD171&gt;AE171,0,IF(AF171&lt;AG171,P171,IF(AND(AF171&gt;=AG171,AF171&lt;=AE171),(P171-T171),IF(AND(AG171&lt;=AD171,AE171&gt;=AD171),0,IF(AF171&gt;AE171,((AG171-AD171)*12)*Q171,0)))))</f>
        <v>23325.942857142858</v>
      </c>
      <c r="Y171" s="157">
        <f>X171*U171</f>
        <v>23325.942857142858</v>
      </c>
      <c r="Z171" s="157">
        <v>1</v>
      </c>
      <c r="AA171" s="157">
        <f>Y171*Z171</f>
        <v>23325.942857142858</v>
      </c>
      <c r="AB171" s="157">
        <f>IF(O171&gt;0,0,AA171+V171*Z171)*Z171</f>
        <v>27382.628571428573</v>
      </c>
      <c r="AC171" s="157">
        <f>IF(O171&gt;0,(N171-AA171)/2,IF(AD171&gt;=AG171,(((N171*U171)*Z171)-AB171)/2,((((N171*U171)*Z171)-AA171)+(((N171*U171)*Z171)-AB171))/2))</f>
        <v>10141.714285714284</v>
      </c>
      <c r="AD171" s="157">
        <f>$E171+(($F171-1)/12)</f>
        <v>2010.25</v>
      </c>
      <c r="AE171" s="157">
        <f>($P$5+1)-($P$2/12)</f>
        <v>2017</v>
      </c>
      <c r="AF171" s="157">
        <f>$K171+(($F171-1)/12)</f>
        <v>2017.25</v>
      </c>
      <c r="AG171" s="157">
        <f>$P$4+($P$3/12)</f>
        <v>2016</v>
      </c>
      <c r="AH171" s="157">
        <f>$L171+(($M171-1)/12)</f>
        <v>-8.3333333333333329E-2</v>
      </c>
    </row>
    <row r="172" spans="1:34">
      <c r="A172" s="156" t="s">
        <v>419</v>
      </c>
      <c r="D172" s="156" t="s">
        <v>424</v>
      </c>
      <c r="E172" s="156">
        <v>2016</v>
      </c>
      <c r="F172" s="156">
        <v>3</v>
      </c>
      <c r="G172" s="156">
        <v>0</v>
      </c>
      <c r="I172" s="156" t="s">
        <v>52</v>
      </c>
      <c r="J172" s="156">
        <v>1</v>
      </c>
      <c r="K172" s="156">
        <f>E172+J172</f>
        <v>2017</v>
      </c>
      <c r="N172" s="157">
        <f>(25892.28+23056.62)/104*1</f>
        <v>470.66249999999997</v>
      </c>
      <c r="P172" s="157">
        <f>N172-N172*G172</f>
        <v>470.66249999999997</v>
      </c>
      <c r="Q172" s="157">
        <f>P172/J172/12</f>
        <v>39.221874999999997</v>
      </c>
      <c r="R172" s="157">
        <f>IF(O172&gt;0,0,IF(OR(AD172&gt;AE172,AF172&lt;AG172),0,IF(AND(AF172&gt;=AG172,AF172&lt;=AE172),Q172*((AF172-AG172)*12),IF(AND(AG172&lt;=AD172,AE172&gt;=AD172),((AE172-AD172)*12)*Q172,IF(AF172&gt;AE172,12*Q172,0)))))</f>
        <v>392.2187499999643</v>
      </c>
      <c r="S172" s="157">
        <f>IF(O172=0,0,IF(AND(AH172&gt;=AG172,AH172&lt;=AF172),((AH172-AG172)*12)*Q172,0))</f>
        <v>0</v>
      </c>
      <c r="T172" s="157">
        <f>IF(S172&gt;0,S172,R172)</f>
        <v>392.2187499999643</v>
      </c>
      <c r="U172" s="157">
        <v>1</v>
      </c>
      <c r="V172" s="157">
        <f>U172*SUM(R172:S172)</f>
        <v>392.2187499999643</v>
      </c>
      <c r="X172" s="157">
        <f>IF(AD172&gt;AE172,0,IF(AF172&lt;AG172,P172,IF(AND(AF172&gt;=AG172,AF172&lt;=AE172),(P172-T172),IF(AND(AG172&lt;=AD172,AE172&gt;=AD172),0,IF(AF172&gt;AE172,((AG172-AD172)*12)*Q172,0)))))</f>
        <v>0</v>
      </c>
      <c r="Y172" s="157">
        <f>X172*U172</f>
        <v>0</v>
      </c>
      <c r="Z172" s="157">
        <v>1</v>
      </c>
      <c r="AA172" s="157">
        <f>Y172*Z172</f>
        <v>0</v>
      </c>
      <c r="AB172" s="157">
        <f>IF(O172&gt;0,0,AA172+V172*Z172)*Z172</f>
        <v>392.2187499999643</v>
      </c>
      <c r="AC172" s="157">
        <f>IF(O172&gt;0,(N172-AA172)/2,IF(AD172&gt;=AG172,(((N172*U172)*Z172)-AB172)/2,((((N172*U172)*Z172)-AA172)+(((N172*U172)*Z172)-AB172))/2))</f>
        <v>39.221875000017832</v>
      </c>
      <c r="AD172" s="157">
        <f>$E172+(($F172-1)/12)</f>
        <v>2016.1666666666667</v>
      </c>
      <c r="AE172" s="157">
        <f>($P$5+1)-($P$2/12)</f>
        <v>2017</v>
      </c>
      <c r="AF172" s="157">
        <f>$K172+(($F172-1)/12)</f>
        <v>2017.1666666666667</v>
      </c>
      <c r="AG172" s="157">
        <f>$P$4+($P$3/12)</f>
        <v>2016</v>
      </c>
      <c r="AH172" s="157">
        <f>$L172+(($M172-1)/12)</f>
        <v>-8.3333333333333329E-2</v>
      </c>
    </row>
    <row r="173" spans="1:34" ht="13.5" thickBot="1">
      <c r="D173" s="156" t="s">
        <v>161</v>
      </c>
      <c r="N173" s="157">
        <f>SUM(N170:N172)</f>
        <v>38686.662499999999</v>
      </c>
      <c r="P173" s="157">
        <f t="shared" ref="P173:AC173" si="121">SUM(P170:P172)</f>
        <v>30689.862499999999</v>
      </c>
      <c r="Q173" s="157">
        <f t="shared" si="121"/>
        <v>407.65235119047622</v>
      </c>
      <c r="R173" s="157">
        <f t="shared" si="121"/>
        <v>4448.9044642856788</v>
      </c>
      <c r="S173" s="157">
        <f t="shared" si="121"/>
        <v>0</v>
      </c>
      <c r="T173" s="157">
        <f t="shared" si="121"/>
        <v>4448.9044642856788</v>
      </c>
      <c r="V173" s="157">
        <f t="shared" si="121"/>
        <v>4448.9044642856788</v>
      </c>
      <c r="W173" s="157">
        <f t="shared" si="121"/>
        <v>0</v>
      </c>
      <c r="X173" s="157">
        <f t="shared" si="121"/>
        <v>25148.342857142859</v>
      </c>
      <c r="Y173" s="157">
        <f t="shared" si="121"/>
        <v>25148.342857142859</v>
      </c>
      <c r="AA173" s="157">
        <f t="shared" si="121"/>
        <v>25148.342857142859</v>
      </c>
      <c r="AB173" s="157">
        <f t="shared" si="121"/>
        <v>29597.247321428538</v>
      </c>
      <c r="AC173" s="157">
        <f t="shared" si="121"/>
        <v>11078.536160714302</v>
      </c>
    </row>
    <row r="177" spans="4:29" ht="13.5" thickBot="1">
      <c r="D177" s="156" t="s">
        <v>336</v>
      </c>
      <c r="N177" s="157">
        <f>N49+N97+N120+N122+N136+N154+N167+N173</f>
        <v>9604960.3647727277</v>
      </c>
      <c r="P177" s="157">
        <f>P49+P97+P120+P122+P136+P154+P167+P173</f>
        <v>7798206.6667181812</v>
      </c>
      <c r="Q177" s="157">
        <f>Q49+Q97+Q120+Q122+Q136+Q154+Q167+Q173</f>
        <v>103120.64233093073</v>
      </c>
      <c r="R177" s="157">
        <f>R49+R97+R120+R122+R136+R154+R167+R173</f>
        <v>506161.74995258992</v>
      </c>
      <c r="V177" s="157">
        <f>V49+V97+V120+V122+V136+V154+V167+V173</f>
        <v>506161.74995258992</v>
      </c>
      <c r="X177" s="157">
        <f>X49+X97+X120+X122+X136+X154+X167+X173</f>
        <v>3013145.0370368012</v>
      </c>
      <c r="AA177" s="157">
        <f>AA49+AA97+AA120+AA122+AA136+AA154+AA167+AA173</f>
        <v>5318484.4120018762</v>
      </c>
      <c r="AB177" s="157">
        <f>AB49+AB97+AB120+AB122+AB136+AB154+AB167+AB173</f>
        <v>5824646.1619544653</v>
      </c>
      <c r="AC177" s="157">
        <f>AC49+AC97+AC120+AC122+AC136+AC154+AC167+AC173</f>
        <v>3509104.9840445574</v>
      </c>
    </row>
  </sheetData>
  <pageMargins left="0.75" right="0.75" top="1" bottom="1" header="0.5" footer="0.5"/>
  <pageSetup scale="50" fitToHeight="3" orientation="landscape" r:id="rId1"/>
  <headerFooter alignWithMargins="0"/>
  <rowBreaks count="1" manualBreakCount="1">
    <brk id="177" min="2" max="28"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J110"/>
  <sheetViews>
    <sheetView tabSelected="1" workbookViewId="0">
      <selection activeCell="H4" sqref="H4:H6"/>
    </sheetView>
  </sheetViews>
  <sheetFormatPr defaultColWidth="8.88671875" defaultRowHeight="12.75"/>
  <cols>
    <col min="1" max="1" width="6.88671875" style="156" bestFit="1" customWidth="1"/>
    <col min="2" max="2" width="3" style="156" customWidth="1"/>
    <col min="3" max="3" width="22" style="156" customWidth="1"/>
    <col min="4" max="4" width="5.77734375" style="156" bestFit="1" customWidth="1"/>
    <col min="5" max="5" width="2.88671875" style="156" bestFit="1" customWidth="1"/>
    <col min="6" max="6" width="5.5546875" style="156" bestFit="1" customWidth="1"/>
    <col min="7" max="7" width="1.21875" style="156" bestFit="1" customWidth="1"/>
    <col min="8" max="8" width="1.77734375" style="156" customWidth="1"/>
    <col min="9" max="9" width="4.44140625" style="156" bestFit="1" customWidth="1"/>
    <col min="10" max="10" width="4.33203125" style="156" bestFit="1" customWidth="1"/>
    <col min="11" max="11" width="4.44140625" style="156" customWidth="1"/>
    <col min="12" max="12" width="3.109375" style="156" customWidth="1"/>
    <col min="13" max="13" width="8.88671875" style="156" customWidth="1"/>
    <col min="14" max="14" width="5.21875" style="157" customWidth="1"/>
    <col min="15" max="15" width="8.5546875" style="157" customWidth="1"/>
    <col min="16" max="16" width="6.5546875" style="157" customWidth="1"/>
    <col min="17" max="17" width="8.5546875" style="157" bestFit="1" customWidth="1"/>
    <col min="18" max="18" width="5.21875" style="157" customWidth="1"/>
    <col min="19" max="19" width="8.5546875" style="157" bestFit="1" customWidth="1"/>
    <col min="20" max="20" width="4.6640625" style="157" customWidth="1"/>
    <col min="21" max="21" width="8.5546875" style="157" bestFit="1" customWidth="1"/>
    <col min="22" max="22" width="0.88671875" style="157" customWidth="1"/>
    <col min="23" max="24" width="9.6640625" style="157" bestFit="1" customWidth="1"/>
    <col min="25" max="25" width="4.5546875" style="157" customWidth="1"/>
    <col min="26" max="28" width="9.6640625" style="157" bestFit="1" customWidth="1"/>
    <col min="29" max="29" width="7" style="157" bestFit="1" customWidth="1"/>
    <col min="30" max="30" width="7.77734375" style="157" bestFit="1" customWidth="1"/>
    <col min="31" max="31" width="7.109375" style="157" customWidth="1"/>
    <col min="32" max="32" width="7" style="157" bestFit="1" customWidth="1"/>
    <col min="33" max="33" width="4.77734375" style="157" bestFit="1" customWidth="1"/>
    <col min="34" max="36" width="8.88671875" style="157"/>
    <col min="37" max="16384" width="8.88671875" style="156"/>
  </cols>
  <sheetData>
    <row r="1" spans="1:33">
      <c r="C1" s="156" t="s">
        <v>101</v>
      </c>
      <c r="M1" s="156" t="s">
        <v>255</v>
      </c>
      <c r="O1" s="157" t="s">
        <v>263</v>
      </c>
      <c r="AD1" s="157">
        <f>Summary!F6</f>
        <v>45383</v>
      </c>
    </row>
    <row r="2" spans="1:33">
      <c r="C2" s="156" t="s">
        <v>0</v>
      </c>
      <c r="M2" s="156" t="s">
        <v>258</v>
      </c>
      <c r="O2" s="157">
        <f>+'2111 Trks - Orig'!P2</f>
        <v>12</v>
      </c>
      <c r="P2" s="157" t="s">
        <v>1</v>
      </c>
    </row>
    <row r="3" spans="1:33">
      <c r="C3" s="156">
        <f>Summary!H6</f>
        <v>0</v>
      </c>
      <c r="D3" s="159"/>
      <c r="M3" s="156" t="s">
        <v>253</v>
      </c>
      <c r="O3" s="157">
        <f>+'2111 Trks - Orig'!P3</f>
        <v>0</v>
      </c>
      <c r="P3" s="157" t="s">
        <v>3</v>
      </c>
      <c r="AD3" s="157" t="s">
        <v>4</v>
      </c>
      <c r="AE3" s="157" t="s">
        <v>5</v>
      </c>
    </row>
    <row r="4" spans="1:33">
      <c r="M4" s="156" t="s">
        <v>254</v>
      </c>
      <c r="O4" s="157">
        <f>+'2111 Trks - Orig'!P4</f>
        <v>2016</v>
      </c>
      <c r="P4" s="157" t="s">
        <v>6</v>
      </c>
      <c r="AD4" s="157" t="s">
        <v>7</v>
      </c>
      <c r="AE4" s="157" t="s">
        <v>8</v>
      </c>
    </row>
    <row r="5" spans="1:33">
      <c r="O5" s="157">
        <f>+'2111 Trks - Orig'!P5</f>
        <v>2017</v>
      </c>
      <c r="P5" s="157" t="s">
        <v>11</v>
      </c>
      <c r="AD5" s="157" t="s">
        <v>12</v>
      </c>
      <c r="AE5" s="157" t="s">
        <v>13</v>
      </c>
    </row>
    <row r="6" spans="1:33">
      <c r="AD6" s="157" t="s">
        <v>15</v>
      </c>
      <c r="AE6" s="157" t="s">
        <v>16</v>
      </c>
    </row>
    <row r="7" spans="1:33">
      <c r="AD7" s="157" t="s">
        <v>20</v>
      </c>
      <c r="AE7" s="157" t="s">
        <v>21</v>
      </c>
    </row>
    <row r="8" spans="1:33">
      <c r="M8" s="156">
        <f>+SUM(M15,M73:M74,M100:M105)</f>
        <v>84012.45</v>
      </c>
      <c r="R8" s="157" t="s">
        <v>25</v>
      </c>
      <c r="U8" s="157" t="s">
        <v>17</v>
      </c>
      <c r="W8" s="157" t="s">
        <v>18</v>
      </c>
      <c r="X8" s="157" t="s">
        <v>118</v>
      </c>
      <c r="Z8" s="157" t="s">
        <v>19</v>
      </c>
      <c r="AA8" s="157" t="s">
        <v>19</v>
      </c>
    </row>
    <row r="9" spans="1:33">
      <c r="B9" s="156" t="s">
        <v>57</v>
      </c>
      <c r="D9" s="156" t="s">
        <v>59</v>
      </c>
      <c r="F9" s="156" t="s">
        <v>23</v>
      </c>
      <c r="H9" s="156" t="s">
        <v>57</v>
      </c>
      <c r="J9" s="156" t="s">
        <v>24</v>
      </c>
      <c r="K9" s="156" t="s">
        <v>57</v>
      </c>
      <c r="M9" s="156" t="s">
        <v>57</v>
      </c>
      <c r="N9" s="157" t="s">
        <v>31</v>
      </c>
      <c r="O9" s="157" t="s">
        <v>57</v>
      </c>
      <c r="Q9" s="157" t="s">
        <v>68</v>
      </c>
      <c r="R9" s="157" t="s">
        <v>24</v>
      </c>
      <c r="S9" s="157" t="s">
        <v>17</v>
      </c>
      <c r="T9" s="157" t="s">
        <v>34</v>
      </c>
      <c r="U9" s="157" t="s">
        <v>19</v>
      </c>
      <c r="W9" s="157" t="s">
        <v>117</v>
      </c>
      <c r="X9" s="157" t="s">
        <v>117</v>
      </c>
      <c r="Y9" s="157" t="s">
        <v>27</v>
      </c>
      <c r="Z9" s="157" t="s">
        <v>28</v>
      </c>
      <c r="AA9" s="157" t="s">
        <v>28</v>
      </c>
      <c r="AB9" s="157" t="s">
        <v>38</v>
      </c>
    </row>
    <row r="10" spans="1:33">
      <c r="C10" s="156" t="s">
        <v>248</v>
      </c>
      <c r="D10" s="156" t="s">
        <v>61</v>
      </c>
      <c r="F10" s="156" t="s">
        <v>29</v>
      </c>
      <c r="H10" s="156" t="s">
        <v>30</v>
      </c>
      <c r="I10" s="156" t="s">
        <v>64</v>
      </c>
      <c r="J10" s="156" t="s">
        <v>65</v>
      </c>
      <c r="K10" s="156" t="s">
        <v>31</v>
      </c>
      <c r="L10" s="156" t="s">
        <v>41</v>
      </c>
      <c r="M10" s="156" t="s">
        <v>31</v>
      </c>
      <c r="N10" s="157" t="s">
        <v>25</v>
      </c>
      <c r="O10" s="157" t="s">
        <v>67</v>
      </c>
      <c r="P10" s="157" t="s">
        <v>69</v>
      </c>
      <c r="Q10" s="157" t="s">
        <v>24</v>
      </c>
      <c r="R10" s="157" t="s">
        <v>43</v>
      </c>
      <c r="S10" s="157" t="s">
        <v>33</v>
      </c>
      <c r="T10" s="157" t="s">
        <v>36</v>
      </c>
      <c r="U10" s="157" t="s">
        <v>32</v>
      </c>
      <c r="W10" s="157" t="s">
        <v>67</v>
      </c>
      <c r="X10" s="157" t="s">
        <v>67</v>
      </c>
      <c r="Y10" s="157" t="s">
        <v>36</v>
      </c>
      <c r="Z10" s="157" t="s">
        <v>37</v>
      </c>
      <c r="AA10" s="157" t="s">
        <v>37</v>
      </c>
      <c r="AB10" s="157" t="s">
        <v>45</v>
      </c>
      <c r="AC10" s="157" t="s">
        <v>4</v>
      </c>
      <c r="AD10" s="157" t="s">
        <v>46</v>
      </c>
      <c r="AE10" s="157" t="s">
        <v>47</v>
      </c>
      <c r="AF10" s="157" t="s">
        <v>15</v>
      </c>
      <c r="AG10" s="157" t="s">
        <v>20</v>
      </c>
    </row>
    <row r="11" spans="1:33">
      <c r="A11" s="156" t="s">
        <v>53</v>
      </c>
      <c r="B11" s="156" t="s">
        <v>62</v>
      </c>
      <c r="C11" s="156" t="s">
        <v>63</v>
      </c>
      <c r="D11" s="156" t="s">
        <v>24</v>
      </c>
      <c r="E11" s="156" t="s">
        <v>39</v>
      </c>
      <c r="F11" s="156" t="s">
        <v>34</v>
      </c>
      <c r="G11" s="156" t="s">
        <v>49</v>
      </c>
      <c r="H11" s="156" t="s">
        <v>40</v>
      </c>
      <c r="I11" s="156" t="s">
        <v>66</v>
      </c>
      <c r="J11" s="156" t="s">
        <v>67</v>
      </c>
      <c r="K11" s="156" t="s">
        <v>42</v>
      </c>
      <c r="L11" s="156" t="s">
        <v>49</v>
      </c>
      <c r="M11" s="156" t="s">
        <v>42</v>
      </c>
      <c r="N11" s="157" t="s">
        <v>49</v>
      </c>
      <c r="O11" s="157" t="s">
        <v>42</v>
      </c>
      <c r="P11" s="157" t="s">
        <v>67</v>
      </c>
      <c r="Q11" s="157" t="s">
        <v>67</v>
      </c>
      <c r="R11" s="157" t="s">
        <v>49</v>
      </c>
      <c r="S11" s="157" t="s">
        <v>44</v>
      </c>
      <c r="T11" s="157" t="s">
        <v>49</v>
      </c>
      <c r="U11" s="157" t="s">
        <v>37</v>
      </c>
      <c r="W11" s="157">
        <f>AD1</f>
        <v>45383</v>
      </c>
      <c r="X11" s="158">
        <f>+C3</f>
        <v>0</v>
      </c>
      <c r="Y11" s="158" t="s">
        <v>34</v>
      </c>
      <c r="Z11" s="158">
        <f>+W11</f>
        <v>45383</v>
      </c>
      <c r="AA11" s="158">
        <f>+C3</f>
        <v>0</v>
      </c>
      <c r="AB11" s="158">
        <f>AA11</f>
        <v>0</v>
      </c>
      <c r="AC11" s="158"/>
    </row>
    <row r="12" spans="1:33">
      <c r="C12" s="156" t="s">
        <v>219</v>
      </c>
      <c r="D12" s="156">
        <v>2011</v>
      </c>
      <c r="E12" s="156">
        <v>12</v>
      </c>
      <c r="F12" s="156">
        <v>0</v>
      </c>
      <c r="H12" s="156" t="s">
        <v>52</v>
      </c>
      <c r="I12" s="156">
        <v>20</v>
      </c>
      <c r="J12" s="156">
        <f>D12+I12</f>
        <v>2031</v>
      </c>
      <c r="M12" s="156">
        <f>1664.5</f>
        <v>1664.5</v>
      </c>
      <c r="O12" s="157">
        <f>M12-M12*F12</f>
        <v>1664.5</v>
      </c>
      <c r="P12" s="157">
        <f>O12/I12/12</f>
        <v>6.9354166666666659</v>
      </c>
      <c r="Q12" s="157">
        <f>IF(N12&gt;0,0,IF(OR(AC12&gt;AD12,AE12&lt;AF12),0,IF(AND(AE12&gt;=AF12,AE12&lt;=AD12),P12*((AE12-AF12)*12),IF(AND(AF12&lt;=AC12,AD12&gt;=AC12),((AD12-AC12)*12)*P12,IF(AE12&gt;AD12,12*P12,0)))))</f>
        <v>83.224999999999994</v>
      </c>
      <c r="R12" s="157">
        <f>IF(N12=0,0,IF(AND(AG12&gt;=AF12,AG12&lt;=AE12),((AG12-AF12)*12)*P12,0))</f>
        <v>0</v>
      </c>
      <c r="S12" s="157">
        <f>IF(R12&gt;0,R12,Q12)</f>
        <v>83.224999999999994</v>
      </c>
      <c r="T12" s="157">
        <v>1</v>
      </c>
      <c r="U12" s="157">
        <f>T12*SUM(Q12:R12)</f>
        <v>83.224999999999994</v>
      </c>
      <c r="W12" s="157">
        <f>IF(AC12&gt;AD12,0,IF(AE12&lt;AF12,O12,IF(AND(AE12&gt;=AF12,AE12&lt;=AD12),(O12-S12),IF(AND(AF12&lt;=AC12,AD12&gt;=AC12),0,IF(AE12&gt;AD12,((AF12-AC12)*12)*P12,0)))))</f>
        <v>339.83541666666031</v>
      </c>
      <c r="X12" s="157">
        <f>W12*T12</f>
        <v>339.83541666666031</v>
      </c>
      <c r="Y12" s="157">
        <v>1</v>
      </c>
      <c r="Z12" s="157">
        <f>X12*Y12</f>
        <v>339.83541666666031</v>
      </c>
      <c r="AA12" s="157">
        <f>IF(N12&gt;0,0,Z12+U12*Y12)*Y12</f>
        <v>423.06041666666033</v>
      </c>
      <c r="AB12" s="157">
        <f>IF(N12&gt;0,(M12-Z12)/2,IF(AC12&gt;=AF12,(((M12*T12)*Y12)-AA12)/2,((((M12*T12)*Y12)-Z12)+(((M12*T12)*Y12)-AA12))/2))</f>
        <v>1283.0520833333396</v>
      </c>
      <c r="AC12" s="157">
        <f>$D12+(($E12-1)/12)</f>
        <v>2011.9166666666667</v>
      </c>
      <c r="AD12" s="157">
        <f>($O$5+1)-($O$2/12)</f>
        <v>2017</v>
      </c>
      <c r="AE12" s="157">
        <f>$J12+(($E12-1)/12)</f>
        <v>2031.9166666666667</v>
      </c>
      <c r="AF12" s="157">
        <f>$O$4+($O$3/12)</f>
        <v>2016</v>
      </c>
      <c r="AG12" s="157">
        <f>$K12+(($L12-1)/12)</f>
        <v>-8.3333333333333329E-2</v>
      </c>
    </row>
    <row r="13" spans="1:33">
      <c r="A13" s="156">
        <v>98430</v>
      </c>
      <c r="C13" s="156" t="s">
        <v>245</v>
      </c>
      <c r="D13" s="156">
        <v>2012</v>
      </c>
      <c r="E13" s="156">
        <v>1</v>
      </c>
      <c r="F13" s="156">
        <v>0</v>
      </c>
      <c r="H13" s="156" t="s">
        <v>52</v>
      </c>
      <c r="I13" s="156">
        <v>30</v>
      </c>
      <c r="J13" s="156">
        <f>D13+I13</f>
        <v>2042</v>
      </c>
      <c r="M13" s="156">
        <f>753818</f>
        <v>753818</v>
      </c>
      <c r="O13" s="157">
        <f>M13-M13*F13</f>
        <v>753818</v>
      </c>
      <c r="P13" s="157">
        <f>O13/I13/12</f>
        <v>2093.9388888888889</v>
      </c>
      <c r="Q13" s="157">
        <f>IF(N13&gt;0,0,IF(OR(AC13&gt;AD13,AE13&lt;AF13),0,IF(AND(AE13&gt;=AF13,AE13&lt;=AD13),P13*((AE13-AF13)*12),IF(AND(AF13&lt;=AC13,AD13&gt;=AC13),((AD13-AC13)*12)*P13,IF(AE13&gt;AD13,12*P13,0)))))</f>
        <v>25127.266666666666</v>
      </c>
      <c r="R13" s="157">
        <f>IF(N13=0,0,IF(AND(AG13&gt;=AF13,AG13&lt;=AE13),((AG13-AF13)*12)*P13,0))</f>
        <v>0</v>
      </c>
      <c r="S13" s="157">
        <f>IF(R13&gt;0,R13,Q13)</f>
        <v>25127.266666666666</v>
      </c>
      <c r="T13" s="157">
        <v>1</v>
      </c>
      <c r="U13" s="157">
        <f>T13*SUM(Q13:R13)</f>
        <v>25127.266666666666</v>
      </c>
      <c r="W13" s="157">
        <f>IF(AC13&gt;AD13,0,IF(AE13&lt;AF13,O13,IF(AND(AE13&gt;=AF13,AE13&lt;=AD13),(O13-S13),IF(AND(AF13&lt;=AC13,AD13&gt;=AC13),0,IF(AE13&gt;AD13,((AF13-AC13)*12)*P13,0)))))</f>
        <v>100509.06666666667</v>
      </c>
      <c r="X13" s="157">
        <f>W13*T13</f>
        <v>100509.06666666667</v>
      </c>
      <c r="Y13" s="157">
        <v>1</v>
      </c>
      <c r="Z13" s="157">
        <f>X13*Y13</f>
        <v>100509.06666666667</v>
      </c>
      <c r="AA13" s="157">
        <f>IF(N13&gt;0,0,Z13+U13*Y13)*Y13</f>
        <v>125636.33333333333</v>
      </c>
      <c r="AB13" s="157">
        <f>IF(N13&gt;0,(M13-Z13)/2,IF(AC13&gt;=AF13,(((M13*T13)*Y13)-AA13)/2,((((M13*T13)*Y13)-Z13)+(((M13*T13)*Y13)-AA13))/2))</f>
        <v>640745.30000000005</v>
      </c>
      <c r="AC13" s="157">
        <f>$D13+(($E13-1)/12)</f>
        <v>2012</v>
      </c>
      <c r="AD13" s="157">
        <f>($O$5+1)-($O$2/12)</f>
        <v>2017</v>
      </c>
      <c r="AE13" s="157">
        <f>$J13+(($E13-1)/12)</f>
        <v>2042</v>
      </c>
      <c r="AF13" s="157">
        <f>$O$4+($O$3/12)</f>
        <v>2016</v>
      </c>
      <c r="AG13" s="157">
        <f>$K13+(($L13-1)/12)</f>
        <v>-8.3333333333333329E-2</v>
      </c>
    </row>
    <row r="14" spans="1:33">
      <c r="A14" s="156">
        <v>109566</v>
      </c>
      <c r="C14" s="156" t="s">
        <v>295</v>
      </c>
      <c r="D14" s="156">
        <v>2013</v>
      </c>
      <c r="E14" s="156">
        <v>12</v>
      </c>
      <c r="F14" s="156">
        <v>0</v>
      </c>
      <c r="H14" s="156" t="s">
        <v>52</v>
      </c>
      <c r="I14" s="156">
        <v>40</v>
      </c>
      <c r="J14" s="156">
        <f>D14+I14</f>
        <v>2053</v>
      </c>
      <c r="M14" s="156">
        <f>5573344.73+1650.8+3969.58+42201.92+306599.73+1301.63+11814.1+29651.93+2520+742.58-1288.93+631.14</f>
        <v>5973139.209999999</v>
      </c>
      <c r="O14" s="157">
        <f>M14-M14*F14</f>
        <v>5973139.209999999</v>
      </c>
      <c r="P14" s="157">
        <f>O14/I14/12</f>
        <v>12444.04002083333</v>
      </c>
      <c r="Q14" s="157">
        <f>IF(N14&gt;0,0,IF(OR(AC14&gt;AD14,AE14&lt;AF14),0,IF(AND(AE14&gt;=AF14,AE14&lt;=AD14),P14*((AE14-AF14)*12),IF(AND(AF14&lt;=AC14,AD14&gt;=AC14),((AD14-AC14)*12)*P14,IF(AE14&gt;AD14,12*P14,0)))))</f>
        <v>149328.48024999996</v>
      </c>
      <c r="R14" s="157">
        <f>IF(N14=0,0,IF(AND(AG14&gt;=AF14,AG14&lt;=AE14),((AG14-AF14)*12)*P14,0))</f>
        <v>0</v>
      </c>
      <c r="S14" s="157">
        <f>IF(R14&gt;0,R14,Q14)</f>
        <v>149328.48024999996</v>
      </c>
      <c r="T14" s="157">
        <v>1</v>
      </c>
      <c r="U14" s="157">
        <f>T14*SUM(Q14:R14)</f>
        <v>149328.48024999996</v>
      </c>
      <c r="W14" s="157">
        <f>IF(AC14&gt;AD14,0,IF(AE14&lt;AF14,O14,IF(AND(AE14&gt;=AF14,AE14&lt;=AD14),(O14-S14),IF(AND(AF14&lt;=AC14,AD14&gt;=AC14),0,IF(AE14&gt;AD14,((AF14-AC14)*12)*P14,0)))))</f>
        <v>311101.00052082195</v>
      </c>
      <c r="X14" s="157">
        <f>W14*T14</f>
        <v>311101.00052082195</v>
      </c>
      <c r="Y14" s="157">
        <v>1</v>
      </c>
      <c r="Z14" s="157">
        <f>X14*Y14</f>
        <v>311101.00052082195</v>
      </c>
      <c r="AA14" s="157">
        <f>IF(N14&gt;0,0,Z14+U14*Y14)*Y14</f>
        <v>460429.48077082192</v>
      </c>
      <c r="AB14" s="157">
        <f>IF(N14&gt;0,(M14-Z14)/2,IF(AC14&gt;=AF14,(((M14*T14)*Y14)-AA14)/2,((((M14*T14)*Y14)-Z14)+(((M14*T14)*Y14)-AA14))/2))</f>
        <v>5587373.9693541769</v>
      </c>
      <c r="AC14" s="157">
        <f>$D14+(($E14-1)/12)</f>
        <v>2013.9166666666667</v>
      </c>
      <c r="AD14" s="157">
        <f>($O$5+1)-($O$2/12)</f>
        <v>2017</v>
      </c>
      <c r="AE14" s="157">
        <f>$J14+(($E14-1)/12)</f>
        <v>2053.9166666666665</v>
      </c>
      <c r="AF14" s="157">
        <f>$O$4+($O$3/12)</f>
        <v>2016</v>
      </c>
      <c r="AG14" s="157">
        <f>$K14+(($L14-1)/12)</f>
        <v>-8.3333333333333329E-2</v>
      </c>
    </row>
    <row r="15" spans="1:33">
      <c r="A15" s="156">
        <v>170429</v>
      </c>
      <c r="C15" s="156" t="s">
        <v>409</v>
      </c>
      <c r="D15" s="156">
        <v>2016</v>
      </c>
      <c r="E15" s="156">
        <v>11</v>
      </c>
      <c r="F15" s="156">
        <v>0</v>
      </c>
      <c r="H15" s="156" t="s">
        <v>52</v>
      </c>
      <c r="I15" s="156">
        <v>10</v>
      </c>
      <c r="J15" s="156">
        <f>D15+I15</f>
        <v>2026</v>
      </c>
      <c r="M15" s="156">
        <v>17748.240000000002</v>
      </c>
      <c r="O15" s="157">
        <f>M15-M15*F15</f>
        <v>17748.240000000002</v>
      </c>
      <c r="P15" s="157">
        <f>O15/I15/12</f>
        <v>147.90200000000002</v>
      </c>
      <c r="Q15" s="157">
        <f>IF(N15&gt;0,0,IF(OR(AC15&gt;AD15,AE15&lt;AF15),0,IF(AND(AE15&gt;=AF15,AE15&lt;=AD15),P15*((AE15-AF15)*12),IF(AND(AF15&lt;=AC15,AD15&gt;=AC15),((AD15-AC15)*12)*P15,IF(AE15&gt;AD15,12*P15,0)))))</f>
        <v>295.80400000013452</v>
      </c>
      <c r="R15" s="157">
        <f>IF(N15=0,0,IF(AND(AG15&gt;=AF15,AG15&lt;=AE15),((AG15-AF15)*12)*P15,0))</f>
        <v>0</v>
      </c>
      <c r="S15" s="157">
        <f>IF(R15&gt;0,R15,Q15)</f>
        <v>295.80400000013452</v>
      </c>
      <c r="T15" s="157">
        <v>1</v>
      </c>
      <c r="U15" s="157">
        <f>T15*SUM(Q15:R15)</f>
        <v>295.80400000013452</v>
      </c>
      <c r="W15" s="157">
        <f>IF(AC15&gt;AD15,0,IF(AE15&lt;AF15,O15,IF(AND(AE15&gt;=AF15,AE15&lt;=AD15),(O15-S15),IF(AND(AF15&lt;=AC15,AD15&gt;=AC15),0,IF(AE15&gt;AD15,((AF15-AC15)*12)*P15,0)))))</f>
        <v>0</v>
      </c>
      <c r="X15" s="157">
        <f>W15*T15</f>
        <v>0</v>
      </c>
      <c r="Y15" s="157">
        <v>1</v>
      </c>
      <c r="Z15" s="157">
        <f>X15*Y15</f>
        <v>0</v>
      </c>
      <c r="AA15" s="157">
        <f>IF(N15&gt;0,0,Z15+U15*Y15)*Y15</f>
        <v>295.80400000013452</v>
      </c>
      <c r="AB15" s="157">
        <f>IF(N15&gt;0,(M15-Z15)/2,IF(AC15&gt;=AF15,(((M15*T15)*Y15)-AA15)/2,((((M15*T15)*Y15)-Z15)+(((M15*T15)*Y15)-AA15))/2))</f>
        <v>8726.2179999999335</v>
      </c>
      <c r="AC15" s="157">
        <f>$D15+(($E15-1)/12)</f>
        <v>2016.8333333333333</v>
      </c>
      <c r="AD15" s="157">
        <f>($O$5+1)-($O$2/12)</f>
        <v>2017</v>
      </c>
      <c r="AE15" s="157">
        <f>$J15+(($E15-1)/12)</f>
        <v>2026.8333333333333</v>
      </c>
      <c r="AF15" s="157">
        <f>$O$4+($O$3/12)</f>
        <v>2016</v>
      </c>
      <c r="AG15" s="157">
        <f>$K15+(($L15-1)/12)</f>
        <v>-8.3333333333333329E-2</v>
      </c>
    </row>
    <row r="17" spans="1:34" ht="13.5" thickBot="1">
      <c r="C17" s="156" t="s">
        <v>249</v>
      </c>
      <c r="M17" s="156">
        <f>SUM(M12:M16)</f>
        <v>6746369.9499999993</v>
      </c>
      <c r="O17" s="157">
        <f>SUM(O12:O16)</f>
        <v>6746369.9499999993</v>
      </c>
      <c r="P17" s="157">
        <f>SUM(P12:P16)</f>
        <v>14692.816326388885</v>
      </c>
      <c r="Q17" s="157">
        <f>SUM(Q12:Q16)</f>
        <v>174834.77591666675</v>
      </c>
      <c r="R17" s="157">
        <f>SUM(R12:R16)</f>
        <v>0</v>
      </c>
      <c r="S17" s="157">
        <f>SUM(S12:S16)</f>
        <v>174834.77591666675</v>
      </c>
      <c r="U17" s="157">
        <f>SUM(U12:U16)</f>
        <v>174834.77591666675</v>
      </c>
      <c r="V17" s="157">
        <f>SUM(V12:V16)</f>
        <v>0</v>
      </c>
      <c r="W17" s="157">
        <f>SUM(W12:W16)</f>
        <v>411949.90260415524</v>
      </c>
      <c r="X17" s="157">
        <f>SUM(X12:X16)</f>
        <v>411949.90260415524</v>
      </c>
      <c r="Z17" s="157">
        <f>SUM(Z12:Z16)</f>
        <v>411949.90260415524</v>
      </c>
      <c r="AA17" s="157">
        <f>SUM(AA12:AA16)</f>
        <v>586784.67852082208</v>
      </c>
      <c r="AB17" s="157">
        <f>SUM(AB12:AB16)</f>
        <v>6238128.539437511</v>
      </c>
    </row>
    <row r="22" spans="1:34">
      <c r="C22" s="156" t="s">
        <v>266</v>
      </c>
    </row>
    <row r="23" spans="1:34">
      <c r="B23" s="156" t="s">
        <v>77</v>
      </c>
      <c r="C23" s="156" t="s">
        <v>137</v>
      </c>
      <c r="D23" s="156">
        <v>2000</v>
      </c>
      <c r="E23" s="156">
        <v>7</v>
      </c>
      <c r="F23" s="156">
        <v>0</v>
      </c>
      <c r="H23" s="156" t="s">
        <v>52</v>
      </c>
      <c r="I23" s="156">
        <v>15</v>
      </c>
      <c r="J23" s="156">
        <f t="shared" ref="J23:J32" si="0">D23+I23</f>
        <v>2015</v>
      </c>
      <c r="M23" s="156">
        <v>5273.66</v>
      </c>
      <c r="O23" s="157">
        <f t="shared" ref="O23:O30" si="1">M23-M23*F23</f>
        <v>5273.66</v>
      </c>
      <c r="P23" s="157">
        <f t="shared" ref="P23:P30" si="2">O23/I23/12</f>
        <v>29.298111111111112</v>
      </c>
      <c r="Q23" s="157">
        <f t="shared" ref="Q23:Q28" si="3">IF(N23&gt;0,0,IF(OR(AC23&gt;AD23,AE23&lt;AF23),0,IF(AND(AE23&gt;=AF23,AE23&lt;=AD23),P23*((AE23-AF23)*12),IF(AND(AF23&lt;=AC23,AD23&gt;=AC23),((AD23-AC23)*12)*P23,IF(AE23&gt;AD23,12*P23,0)))))</f>
        <v>0</v>
      </c>
      <c r="R23" s="157">
        <f t="shared" ref="R23:R28" si="4">IF(N23=0,0,IF(AND(AG23&gt;=AF23,AG23&lt;=AE23),((AG23-AF23)*12)*P23,0))</f>
        <v>0</v>
      </c>
      <c r="S23" s="157">
        <f t="shared" ref="S23:S28" si="5">IF(R23&gt;0,R23,Q23)</f>
        <v>0</v>
      </c>
      <c r="T23" s="157">
        <v>1</v>
      </c>
      <c r="U23" s="157">
        <f t="shared" ref="U23:U30" si="6">T23*SUM(Q23:R23)</f>
        <v>0</v>
      </c>
      <c r="W23" s="157">
        <f t="shared" ref="W23:W28" si="7">IF(AC23&gt;AD23,0,IF(AE23&lt;AF23,O23,IF(AND(AE23&gt;=AF23,AE23&lt;=AD23),(O23-S23),IF(AND(AF23&lt;=AC23,AD23&gt;=AC23),0,IF(AE23&gt;AD23,((AF23-AC23)*12)*P23,0)))))</f>
        <v>5273.66</v>
      </c>
      <c r="X23" s="157">
        <f t="shared" ref="X23:X30" si="8">W23*T23</f>
        <v>5273.66</v>
      </c>
      <c r="Y23" s="157">
        <v>1</v>
      </c>
      <c r="Z23" s="157">
        <f t="shared" ref="Z23:Z30" si="9">X23*Y23</f>
        <v>5273.66</v>
      </c>
      <c r="AA23" s="157">
        <f t="shared" ref="AA23:AA30" si="10">IF(N23&gt;0,0,Z23+U23*Y23)*Y23</f>
        <v>5273.66</v>
      </c>
      <c r="AB23" s="157">
        <f t="shared" ref="AB23:AB28" si="11">IF(N23&gt;0,(M23-Z23)/2,IF(AC23&gt;=AF23,(((M23*T23)*Y23)-AA23)/2,((((M23*T23)*Y23)-Z23)+(((M23*T23)*Y23)-AA23))/2))</f>
        <v>0</v>
      </c>
      <c r="AC23" s="157">
        <f t="shared" ref="AC23:AC32" si="12">$D23+(($E23-1)/12)</f>
        <v>2000.5</v>
      </c>
      <c r="AD23" s="157">
        <f t="shared" ref="AD23:AD32" si="13">($O$5+1)-($O$2/12)</f>
        <v>2017</v>
      </c>
      <c r="AE23" s="157">
        <f t="shared" ref="AE23:AE32" si="14">$J23+(($E23-1)/12)</f>
        <v>2015.5</v>
      </c>
      <c r="AF23" s="157">
        <f t="shared" ref="AF23:AF32" si="15">$O$4+($O$3/12)</f>
        <v>2016</v>
      </c>
      <c r="AG23" s="157">
        <f t="shared" ref="AG23:AG32" si="16">$K23+(($L23-1)/12)</f>
        <v>-8.3333333333333329E-2</v>
      </c>
      <c r="AH23" s="157" t="s">
        <v>262</v>
      </c>
    </row>
    <row r="24" spans="1:34">
      <c r="B24" s="156" t="s">
        <v>77</v>
      </c>
      <c r="C24" s="156" t="s">
        <v>138</v>
      </c>
      <c r="D24" s="156">
        <v>2000</v>
      </c>
      <c r="E24" s="156">
        <v>7</v>
      </c>
      <c r="F24" s="156">
        <v>0</v>
      </c>
      <c r="H24" s="156" t="s">
        <v>52</v>
      </c>
      <c r="I24" s="156">
        <v>15</v>
      </c>
      <c r="J24" s="156">
        <f t="shared" si="0"/>
        <v>2015</v>
      </c>
      <c r="M24" s="156">
        <v>16198.88</v>
      </c>
      <c r="O24" s="157">
        <f t="shared" si="1"/>
        <v>16198.88</v>
      </c>
      <c r="P24" s="157">
        <f t="shared" si="2"/>
        <v>89.99377777777778</v>
      </c>
      <c r="Q24" s="157">
        <f t="shared" si="3"/>
        <v>0</v>
      </c>
      <c r="R24" s="157">
        <f t="shared" si="4"/>
        <v>0</v>
      </c>
      <c r="S24" s="157">
        <f t="shared" si="5"/>
        <v>0</v>
      </c>
      <c r="T24" s="157">
        <v>1</v>
      </c>
      <c r="U24" s="157">
        <f t="shared" si="6"/>
        <v>0</v>
      </c>
      <c r="W24" s="157">
        <f t="shared" si="7"/>
        <v>16198.88</v>
      </c>
      <c r="X24" s="157">
        <f t="shared" si="8"/>
        <v>16198.88</v>
      </c>
      <c r="Y24" s="157">
        <v>1</v>
      </c>
      <c r="Z24" s="157">
        <f t="shared" si="9"/>
        <v>16198.88</v>
      </c>
      <c r="AA24" s="157">
        <f t="shared" si="10"/>
        <v>16198.88</v>
      </c>
      <c r="AB24" s="157">
        <f t="shared" si="11"/>
        <v>0</v>
      </c>
      <c r="AC24" s="157">
        <f t="shared" si="12"/>
        <v>2000.5</v>
      </c>
      <c r="AD24" s="157">
        <f t="shared" si="13"/>
        <v>2017</v>
      </c>
      <c r="AE24" s="157">
        <f t="shared" si="14"/>
        <v>2015.5</v>
      </c>
      <c r="AF24" s="157">
        <f t="shared" si="15"/>
        <v>2016</v>
      </c>
      <c r="AG24" s="157">
        <f t="shared" si="16"/>
        <v>-8.3333333333333329E-2</v>
      </c>
      <c r="AH24" s="157" t="s">
        <v>262</v>
      </c>
    </row>
    <row r="25" spans="1:34">
      <c r="C25" s="156" t="s">
        <v>139</v>
      </c>
      <c r="D25" s="156">
        <v>2007</v>
      </c>
      <c r="E25" s="156">
        <v>7</v>
      </c>
      <c r="F25" s="156">
        <v>0</v>
      </c>
      <c r="H25" s="156" t="s">
        <v>52</v>
      </c>
      <c r="I25" s="156">
        <v>20</v>
      </c>
      <c r="J25" s="156">
        <f>D25+I25</f>
        <v>2027</v>
      </c>
      <c r="M25" s="156">
        <f>[12]Reconciliation!$F$8</f>
        <v>734487.29999999993</v>
      </c>
      <c r="O25" s="157">
        <f>M25-M25*F25</f>
        <v>734487.29999999993</v>
      </c>
      <c r="P25" s="157">
        <f>O25/I25/12</f>
        <v>3060.36375</v>
      </c>
      <c r="Q25" s="157">
        <f t="shared" si="3"/>
        <v>36724.364999999998</v>
      </c>
      <c r="R25" s="157">
        <f t="shared" si="4"/>
        <v>0</v>
      </c>
      <c r="S25" s="157">
        <f t="shared" si="5"/>
        <v>36724.364999999998</v>
      </c>
      <c r="T25" s="157">
        <v>1</v>
      </c>
      <c r="U25" s="157">
        <f>T25*SUM(Q25:R25)</f>
        <v>36724.364999999998</v>
      </c>
      <c r="W25" s="157">
        <f t="shared" si="7"/>
        <v>312157.10249999998</v>
      </c>
      <c r="X25" s="157">
        <f>W25*T25</f>
        <v>312157.10249999998</v>
      </c>
      <c r="Y25" s="157">
        <v>1</v>
      </c>
      <c r="Z25" s="157">
        <f>X25*Y25</f>
        <v>312157.10249999998</v>
      </c>
      <c r="AA25" s="157">
        <f>IF(N25&gt;0,0,Z25+U25*Y25)*Y25</f>
        <v>348881.46749999997</v>
      </c>
      <c r="AB25" s="157">
        <f t="shared" si="11"/>
        <v>403968.01499999996</v>
      </c>
      <c r="AC25" s="157">
        <f>$D25+(($E25-1)/12)</f>
        <v>2007.5</v>
      </c>
      <c r="AD25" s="157">
        <f t="shared" si="13"/>
        <v>2017</v>
      </c>
      <c r="AE25" s="157">
        <f>$J25+(($E25-1)/12)</f>
        <v>2027.5</v>
      </c>
      <c r="AF25" s="157">
        <f t="shared" si="15"/>
        <v>2016</v>
      </c>
      <c r="AG25" s="157">
        <f>$K25+(($L25-1)/12)</f>
        <v>-8.3333333333333329E-2</v>
      </c>
      <c r="AH25" s="157" t="s">
        <v>262</v>
      </c>
    </row>
    <row r="26" spans="1:34">
      <c r="C26" s="156" t="s">
        <v>256</v>
      </c>
      <c r="D26" s="156">
        <v>2007</v>
      </c>
      <c r="E26" s="156">
        <v>7</v>
      </c>
      <c r="F26" s="156">
        <v>0</v>
      </c>
      <c r="H26" s="156" t="s">
        <v>52</v>
      </c>
      <c r="I26" s="156">
        <v>20</v>
      </c>
      <c r="J26" s="156">
        <f>D26+I26</f>
        <v>2027</v>
      </c>
      <c r="M26" s="156">
        <f>[12]Reconciliation!$F$9</f>
        <v>1306485.8600000001</v>
      </c>
      <c r="O26" s="157">
        <f>M26-M26*F26</f>
        <v>1306485.8600000001</v>
      </c>
      <c r="P26" s="157">
        <f>O26/I26/12</f>
        <v>5443.6910833333341</v>
      </c>
      <c r="Q26" s="157">
        <f t="shared" si="3"/>
        <v>65324.293000000005</v>
      </c>
      <c r="R26" s="157">
        <f t="shared" si="4"/>
        <v>0</v>
      </c>
      <c r="S26" s="157">
        <f t="shared" si="5"/>
        <v>65324.293000000005</v>
      </c>
      <c r="T26" s="157">
        <v>1</v>
      </c>
      <c r="U26" s="157">
        <f>T26*SUM(Q26:R26)</f>
        <v>65324.293000000005</v>
      </c>
      <c r="W26" s="157">
        <f t="shared" si="7"/>
        <v>555256.49050000007</v>
      </c>
      <c r="X26" s="157">
        <f>W26*T26</f>
        <v>555256.49050000007</v>
      </c>
      <c r="Y26" s="157">
        <v>1</v>
      </c>
      <c r="Z26" s="157">
        <f>X26*Y26</f>
        <v>555256.49050000007</v>
      </c>
      <c r="AA26" s="157">
        <f>IF(N26&gt;0,0,Z26+U26*Y26)*Y26</f>
        <v>620580.78350000014</v>
      </c>
      <c r="AB26" s="157">
        <f t="shared" si="11"/>
        <v>718567.223</v>
      </c>
      <c r="AC26" s="157">
        <f>$D26+(($E26-1)/12)</f>
        <v>2007.5</v>
      </c>
      <c r="AD26" s="157">
        <f t="shared" si="13"/>
        <v>2017</v>
      </c>
      <c r="AE26" s="157">
        <f>$J26+(($E26-1)/12)</f>
        <v>2027.5</v>
      </c>
      <c r="AF26" s="157">
        <f t="shared" si="15"/>
        <v>2016</v>
      </c>
      <c r="AG26" s="157">
        <f>$K26+(($L26-1)/12)</f>
        <v>-8.3333333333333329E-2</v>
      </c>
      <c r="AH26" s="157" t="s">
        <v>262</v>
      </c>
    </row>
    <row r="27" spans="1:34">
      <c r="C27" s="156" t="s">
        <v>257</v>
      </c>
      <c r="D27" s="156">
        <v>2008</v>
      </c>
      <c r="E27" s="156">
        <v>1</v>
      </c>
      <c r="F27" s="156">
        <v>0</v>
      </c>
      <c r="H27" s="156" t="s">
        <v>52</v>
      </c>
      <c r="I27" s="156">
        <v>20</v>
      </c>
      <c r="J27" s="156">
        <f t="shared" si="0"/>
        <v>2028</v>
      </c>
      <c r="M27" s="156">
        <f>[12]Reconciliation!$F$10</f>
        <v>226036.81</v>
      </c>
      <c r="O27" s="157">
        <f t="shared" si="1"/>
        <v>226036.81</v>
      </c>
      <c r="P27" s="157">
        <f t="shared" si="2"/>
        <v>941.82004166666673</v>
      </c>
      <c r="Q27" s="157">
        <f t="shared" si="3"/>
        <v>11301.8405</v>
      </c>
      <c r="R27" s="157">
        <f t="shared" si="4"/>
        <v>0</v>
      </c>
      <c r="S27" s="157">
        <f t="shared" si="5"/>
        <v>11301.8405</v>
      </c>
      <c r="T27" s="157">
        <v>1</v>
      </c>
      <c r="U27" s="157">
        <f t="shared" si="6"/>
        <v>11301.8405</v>
      </c>
      <c r="W27" s="157">
        <f t="shared" si="7"/>
        <v>90414.724000000002</v>
      </c>
      <c r="X27" s="157">
        <f t="shared" si="8"/>
        <v>90414.724000000002</v>
      </c>
      <c r="Y27" s="157">
        <v>1</v>
      </c>
      <c r="Z27" s="157">
        <f t="shared" si="9"/>
        <v>90414.724000000002</v>
      </c>
      <c r="AA27" s="157">
        <f t="shared" si="10"/>
        <v>101716.56450000001</v>
      </c>
      <c r="AB27" s="157">
        <f t="shared" si="11"/>
        <v>129971.16575</v>
      </c>
      <c r="AC27" s="157">
        <f t="shared" si="12"/>
        <v>2008</v>
      </c>
      <c r="AD27" s="157">
        <f t="shared" si="13"/>
        <v>2017</v>
      </c>
      <c r="AE27" s="157">
        <f t="shared" si="14"/>
        <v>2028</v>
      </c>
      <c r="AF27" s="157">
        <f t="shared" si="15"/>
        <v>2016</v>
      </c>
      <c r="AG27" s="157">
        <f t="shared" si="16"/>
        <v>-8.3333333333333329E-2</v>
      </c>
      <c r="AH27" s="157" t="s">
        <v>262</v>
      </c>
    </row>
    <row r="28" spans="1:34">
      <c r="B28" s="156" t="s">
        <v>77</v>
      </c>
      <c r="C28" s="156" t="s">
        <v>218</v>
      </c>
      <c r="D28" s="156">
        <v>2011</v>
      </c>
      <c r="E28" s="156">
        <v>12</v>
      </c>
      <c r="F28" s="156">
        <v>0</v>
      </c>
      <c r="H28" s="156" t="s">
        <v>52</v>
      </c>
      <c r="I28" s="156">
        <v>10</v>
      </c>
      <c r="J28" s="156">
        <f t="shared" si="0"/>
        <v>2021</v>
      </c>
      <c r="M28" s="156">
        <v>458063.9</v>
      </c>
      <c r="O28" s="157">
        <f t="shared" si="1"/>
        <v>458063.9</v>
      </c>
      <c r="P28" s="157">
        <f t="shared" si="2"/>
        <v>3817.1991666666668</v>
      </c>
      <c r="Q28" s="157">
        <f t="shared" si="3"/>
        <v>45806.39</v>
      </c>
      <c r="R28" s="157">
        <f t="shared" si="4"/>
        <v>0</v>
      </c>
      <c r="S28" s="157">
        <f t="shared" si="5"/>
        <v>45806.39</v>
      </c>
      <c r="T28" s="157">
        <v>1</v>
      </c>
      <c r="U28" s="157">
        <f t="shared" si="6"/>
        <v>45806.39</v>
      </c>
      <c r="W28" s="157">
        <f t="shared" si="7"/>
        <v>187042.75916666319</v>
      </c>
      <c r="X28" s="157">
        <f t="shared" si="8"/>
        <v>187042.75916666319</v>
      </c>
      <c r="Y28" s="157">
        <v>1</v>
      </c>
      <c r="Z28" s="157">
        <f t="shared" si="9"/>
        <v>187042.75916666319</v>
      </c>
      <c r="AA28" s="157">
        <f t="shared" si="10"/>
        <v>232849.14916666318</v>
      </c>
      <c r="AB28" s="157">
        <f t="shared" si="11"/>
        <v>248117.94583333685</v>
      </c>
      <c r="AC28" s="157">
        <f t="shared" si="12"/>
        <v>2011.9166666666667</v>
      </c>
      <c r="AD28" s="157">
        <f t="shared" si="13"/>
        <v>2017</v>
      </c>
      <c r="AE28" s="157">
        <f t="shared" si="14"/>
        <v>2021.9166666666667</v>
      </c>
      <c r="AF28" s="157">
        <f t="shared" si="15"/>
        <v>2016</v>
      </c>
      <c r="AG28" s="157">
        <f t="shared" si="16"/>
        <v>-8.3333333333333329E-2</v>
      </c>
      <c r="AH28" s="157" t="s">
        <v>262</v>
      </c>
    </row>
    <row r="29" spans="1:34">
      <c r="C29" s="156" t="s">
        <v>251</v>
      </c>
      <c r="D29" s="156">
        <v>2012</v>
      </c>
      <c r="E29" s="156">
        <v>3</v>
      </c>
      <c r="F29" s="156">
        <v>0</v>
      </c>
      <c r="H29" s="156" t="s">
        <v>52</v>
      </c>
      <c r="I29" s="156">
        <v>20</v>
      </c>
      <c r="J29" s="156">
        <f t="shared" si="0"/>
        <v>2032</v>
      </c>
      <c r="M29" s="156">
        <v>157686.68</v>
      </c>
      <c r="O29" s="157">
        <f t="shared" si="1"/>
        <v>157686.68</v>
      </c>
      <c r="P29" s="157">
        <f t="shared" si="2"/>
        <v>657.02783333333332</v>
      </c>
      <c r="Q29" s="157">
        <f>IF(N29&gt;0,0,IF(OR(AC29&gt;AD29,AE29&lt;AF29),0,IF(AND(AE29&gt;=AF29,AE29&lt;=AD29),P29*((AE29-AF29)*12),IF(AND(AF29&lt;=AC29,AD29&gt;=AC29),((AD29-AC29)*12)*P29,IF(AE29&gt;AD29,12*P29,0)))))</f>
        <v>7884.3339999999998</v>
      </c>
      <c r="R29" s="157">
        <f>IF(N29=0,0,IF(AND(AG29&gt;=AF29,AG29&lt;=AE29),((AG29-AF29)*12)*P29,0))</f>
        <v>0</v>
      </c>
      <c r="S29" s="157">
        <f>IF(R29&gt;0,R29,Q29)</f>
        <v>7884.3339999999998</v>
      </c>
      <c r="T29" s="157">
        <v>1</v>
      </c>
      <c r="U29" s="157">
        <f t="shared" si="6"/>
        <v>7884.3339999999998</v>
      </c>
      <c r="W29" s="157">
        <f>IF(AC29&gt;AD29,0,IF(AE29&lt;AF29,O29,IF(AND(AE29&gt;=AF29,AE29&lt;=AD29),(O29-S29),IF(AND(AF29&lt;=AC29,AD29&gt;=AC29),0,IF(AE29&gt;AD29,((AF29-AC29)*12)*P29,0)))))</f>
        <v>30223.280333332736</v>
      </c>
      <c r="X29" s="157">
        <f t="shared" si="8"/>
        <v>30223.280333332736</v>
      </c>
      <c r="Y29" s="157">
        <v>1</v>
      </c>
      <c r="Z29" s="157">
        <f t="shared" si="9"/>
        <v>30223.280333332736</v>
      </c>
      <c r="AA29" s="157">
        <f t="shared" si="10"/>
        <v>38107.614333332735</v>
      </c>
      <c r="AB29" s="157">
        <f>IF(N29&gt;0,(M29-Z29)/2,IF(AC29&gt;=AF29,(((M29*T29)*Y29)-AA29)/2,((((M29*T29)*Y29)-Z29)+(((M29*T29)*Y29)-AA29))/2))</f>
        <v>123521.23266666726</v>
      </c>
      <c r="AC29" s="157">
        <f t="shared" si="12"/>
        <v>2012.1666666666667</v>
      </c>
      <c r="AD29" s="157">
        <f t="shared" si="13"/>
        <v>2017</v>
      </c>
      <c r="AE29" s="157">
        <f t="shared" si="14"/>
        <v>2032.1666666666667</v>
      </c>
      <c r="AF29" s="157">
        <f t="shared" si="15"/>
        <v>2016</v>
      </c>
      <c r="AG29" s="157">
        <f t="shared" si="16"/>
        <v>-8.3333333333333329E-2</v>
      </c>
      <c r="AH29" s="157" t="s">
        <v>262</v>
      </c>
    </row>
    <row r="30" spans="1:34">
      <c r="A30" s="156">
        <v>102874</v>
      </c>
      <c r="C30" s="156" t="s">
        <v>268</v>
      </c>
      <c r="D30" s="156">
        <v>2013</v>
      </c>
      <c r="E30" s="156">
        <v>3</v>
      </c>
      <c r="F30" s="156">
        <v>0</v>
      </c>
      <c r="H30" s="156" t="s">
        <v>52</v>
      </c>
      <c r="I30" s="156">
        <v>5</v>
      </c>
      <c r="J30" s="156">
        <f t="shared" si="0"/>
        <v>2018</v>
      </c>
      <c r="M30" s="156">
        <v>34953.300000000003</v>
      </c>
      <c r="O30" s="157">
        <f t="shared" si="1"/>
        <v>34953.300000000003</v>
      </c>
      <c r="P30" s="157">
        <f t="shared" si="2"/>
        <v>582.55500000000006</v>
      </c>
      <c r="Q30" s="157">
        <f>IF(N30&gt;0,0,IF(OR(AC30&gt;AD30,AE30&lt;AF30),0,IF(AND(AE30&gt;=AF30,AE30&lt;=AD30),P30*((AE30-AF30)*12),IF(AND(AF30&lt;=AC30,AD30&gt;=AC30),((AD30-AC30)*12)*P30,IF(AE30&gt;AD30,12*P30,0)))))</f>
        <v>6990.6600000000008</v>
      </c>
      <c r="R30" s="157">
        <f>IF(N30=0,0,IF(AND(AG30&gt;=AF30,AG30&lt;=AE30),((AG30-AF30)*12)*P30,0))</f>
        <v>0</v>
      </c>
      <c r="S30" s="157">
        <f>IF(R30&gt;0,R30,Q30)</f>
        <v>6990.6600000000008</v>
      </c>
      <c r="T30" s="157">
        <v>1</v>
      </c>
      <c r="U30" s="157">
        <f t="shared" si="6"/>
        <v>6990.6600000000008</v>
      </c>
      <c r="W30" s="157">
        <f>IF(AC30&gt;AD30,0,IF(AE30&lt;AF30,O30,IF(AND(AE30&gt;=AF30,AE30&lt;=AD30),(O30-S30),IF(AND(AF30&lt;=AC30,AD30&gt;=AC30),0,IF(AE30&gt;AD30,((AF30-AC30)*12)*P30,0)))))</f>
        <v>19806.869999999471</v>
      </c>
      <c r="X30" s="157">
        <f t="shared" si="8"/>
        <v>19806.869999999471</v>
      </c>
      <c r="Y30" s="157">
        <v>1</v>
      </c>
      <c r="Z30" s="157">
        <f t="shared" si="9"/>
        <v>19806.869999999471</v>
      </c>
      <c r="AA30" s="157">
        <f t="shared" si="10"/>
        <v>26797.529999999471</v>
      </c>
      <c r="AB30" s="157">
        <f>IF(N30&gt;0,(M30-Z30)/2,IF(AC30&gt;=AF30,(((M30*T30)*Y30)-AA30)/2,((((M30*T30)*Y30)-Z30)+(((M30*T30)*Y30)-AA30))/2))</f>
        <v>11651.100000000532</v>
      </c>
      <c r="AC30" s="157">
        <f t="shared" si="12"/>
        <v>2013.1666666666667</v>
      </c>
      <c r="AD30" s="157">
        <f t="shared" si="13"/>
        <v>2017</v>
      </c>
      <c r="AE30" s="157">
        <f t="shared" si="14"/>
        <v>2018.1666666666667</v>
      </c>
      <c r="AF30" s="157">
        <f t="shared" si="15"/>
        <v>2016</v>
      </c>
      <c r="AG30" s="157">
        <f t="shared" si="16"/>
        <v>-8.3333333333333329E-2</v>
      </c>
      <c r="AH30" s="157" t="s">
        <v>262</v>
      </c>
    </row>
    <row r="31" spans="1:34">
      <c r="A31" s="156">
        <v>107185</v>
      </c>
      <c r="B31" s="156" t="s">
        <v>77</v>
      </c>
      <c r="C31" s="156" t="s">
        <v>302</v>
      </c>
      <c r="D31" s="156">
        <v>2013</v>
      </c>
      <c r="E31" s="156">
        <v>10</v>
      </c>
      <c r="F31" s="156">
        <v>0</v>
      </c>
      <c r="H31" s="156" t="s">
        <v>52</v>
      </c>
      <c r="I31" s="156">
        <v>5</v>
      </c>
      <c r="J31" s="156">
        <f t="shared" si="0"/>
        <v>2018</v>
      </c>
      <c r="M31" s="156">
        <f>(42435.72/84)*59</f>
        <v>29806.041428571429</v>
      </c>
      <c r="O31" s="157">
        <f>M31-M31*F31</f>
        <v>29806.041428571429</v>
      </c>
      <c r="P31" s="157">
        <f>O31/I31/12</f>
        <v>496.76735714285718</v>
      </c>
      <c r="Q31" s="157">
        <f>IF(N31&gt;0,0,IF(OR(AC31&gt;AD31,AE31&lt;AF31),0,IF(AND(AE31&gt;=AF31,AE31&lt;=AD31),P31*((AE31-AF31)*12),IF(AND(AF31&lt;=AC31,AD31&gt;=AC31),((AD31-AC31)*12)*P31,IF(AE31&gt;AD31,12*P31,0)))))</f>
        <v>5961.2082857142859</v>
      </c>
      <c r="R31" s="157">
        <f>IF(N31=0,0,IF(AND(AG31&gt;=AF31,AG31&lt;=AE31),((AG31-AF31)*12)*P31,0))</f>
        <v>0</v>
      </c>
      <c r="S31" s="157">
        <f>IF(R31&gt;0,R31,Q31)</f>
        <v>5961.2082857142859</v>
      </c>
      <c r="T31" s="157">
        <v>1</v>
      </c>
      <c r="U31" s="157">
        <f>T31*SUM(Q31:R31)</f>
        <v>5961.2082857142859</v>
      </c>
      <c r="W31" s="157">
        <f>IF(AC31&gt;AD31,0,IF(AE31&lt;AF31,O31,IF(AND(AE31&gt;=AF31,AE31&lt;=AD31),(O31-S31),IF(AND(AF31&lt;=AC31,AD31&gt;=AC31),0,IF(AE31&gt;AD31,((AF31-AC31)*12)*P31,0)))))</f>
        <v>13412.718642857144</v>
      </c>
      <c r="X31" s="157">
        <f>W31*T31</f>
        <v>13412.718642857144</v>
      </c>
      <c r="Y31" s="157">
        <v>1</v>
      </c>
      <c r="Z31" s="157">
        <f>X31*Y31</f>
        <v>13412.718642857144</v>
      </c>
      <c r="AA31" s="157">
        <f>IF(N31&gt;0,0,Z31+U31*Y31)*Y31</f>
        <v>19373.926928571429</v>
      </c>
      <c r="AB31" s="157">
        <f>IF(N31&gt;0,(M31-Z31)/2,IF(AC31&gt;=AF31,(((M31*T31)*Y31)-AA31)/2,((((M31*T31)*Y31)-Z31)+(((M31*T31)*Y31)-AA31))/2))</f>
        <v>13412.718642857142</v>
      </c>
      <c r="AC31" s="157">
        <f t="shared" si="12"/>
        <v>2013.75</v>
      </c>
      <c r="AD31" s="157">
        <f t="shared" si="13"/>
        <v>2017</v>
      </c>
      <c r="AE31" s="157">
        <f t="shared" si="14"/>
        <v>2018.75</v>
      </c>
      <c r="AF31" s="157">
        <f t="shared" si="15"/>
        <v>2016</v>
      </c>
      <c r="AG31" s="157">
        <f t="shared" si="16"/>
        <v>-8.3333333333333329E-2</v>
      </c>
      <c r="AH31" s="157" t="s">
        <v>262</v>
      </c>
    </row>
    <row r="32" spans="1:34">
      <c r="A32" s="156">
        <v>107166</v>
      </c>
      <c r="B32" s="156" t="s">
        <v>300</v>
      </c>
      <c r="C32" s="156" t="s">
        <v>303</v>
      </c>
      <c r="D32" s="156">
        <v>2013</v>
      </c>
      <c r="E32" s="156">
        <v>10</v>
      </c>
      <c r="F32" s="156">
        <v>0</v>
      </c>
      <c r="H32" s="156" t="s">
        <v>52</v>
      </c>
      <c r="I32" s="156">
        <v>5</v>
      </c>
      <c r="J32" s="156">
        <f t="shared" si="0"/>
        <v>2018</v>
      </c>
      <c r="M32" s="156">
        <f>(116633.6/84)*9</f>
        <v>12496.457142857143</v>
      </c>
      <c r="O32" s="157">
        <f>M32-M32*F32</f>
        <v>12496.457142857143</v>
      </c>
      <c r="P32" s="157">
        <f>O32/I32/12</f>
        <v>208.27428571428572</v>
      </c>
      <c r="Q32" s="157">
        <f>IF(N32&gt;0,0,IF(OR(AC32&gt;AD32,AE32&lt;AF32),0,IF(AND(AE32&gt;=AF32,AE32&lt;=AD32),P32*((AE32-AF32)*12),IF(AND(AF32&lt;=AC32,AD32&gt;=AC32),((AD32-AC32)*12)*P32,IF(AE32&gt;AD32,12*P32,0)))))</f>
        <v>2499.2914285714287</v>
      </c>
      <c r="R32" s="157">
        <f>IF(N32=0,0,IF(AND(AG32&gt;=AF32,AG32&lt;=AE32),((AG32-AF32)*12)*P32,0))</f>
        <v>0</v>
      </c>
      <c r="S32" s="157">
        <f>IF(R32&gt;0,R32,Q32)</f>
        <v>2499.2914285714287</v>
      </c>
      <c r="T32" s="157">
        <v>1</v>
      </c>
      <c r="U32" s="157">
        <f>T32*SUM(Q32:R32)</f>
        <v>2499.2914285714287</v>
      </c>
      <c r="W32" s="157">
        <f>IF(AC32&gt;AD32,0,IF(AE32&lt;AF32,O32,IF(AND(AE32&gt;=AF32,AE32&lt;=AD32),(O32-S32),IF(AND(AF32&lt;=AC32,AD32&gt;=AC32),0,IF(AE32&gt;AD32,((AF32-AC32)*12)*P32,0)))))</f>
        <v>5623.4057142857146</v>
      </c>
      <c r="X32" s="157">
        <f>W32*T32</f>
        <v>5623.4057142857146</v>
      </c>
      <c r="Y32" s="157">
        <v>1</v>
      </c>
      <c r="Z32" s="157">
        <f>X32*Y32</f>
        <v>5623.4057142857146</v>
      </c>
      <c r="AA32" s="157">
        <f>IF(N32&gt;0,0,Z32+U32*Y32)*Y32</f>
        <v>8122.6971428571433</v>
      </c>
      <c r="AB32" s="157">
        <f>IF(N32&gt;0,(M32-Z32)/2,IF(AC32&gt;=AF32,(((M32*T32)*Y32)-AA32)/2,((((M32*T32)*Y32)-Z32)+(((M32*T32)*Y32)-AA32))/2))</f>
        <v>5623.4057142857146</v>
      </c>
      <c r="AC32" s="157">
        <f t="shared" si="12"/>
        <v>2013.75</v>
      </c>
      <c r="AD32" s="157">
        <f t="shared" si="13"/>
        <v>2017</v>
      </c>
      <c r="AE32" s="157">
        <f t="shared" si="14"/>
        <v>2018.75</v>
      </c>
      <c r="AF32" s="157">
        <f t="shared" si="15"/>
        <v>2016</v>
      </c>
      <c r="AG32" s="157">
        <f t="shared" si="16"/>
        <v>-8.3333333333333329E-2</v>
      </c>
      <c r="AH32" s="157" t="s">
        <v>262</v>
      </c>
    </row>
    <row r="34" spans="1:33" ht="13.5" thickBot="1">
      <c r="C34" s="156" t="s">
        <v>267</v>
      </c>
      <c r="M34" s="156">
        <f>SUM(M23:M33)</f>
        <v>2981488.8885714291</v>
      </c>
      <c r="O34" s="157">
        <f>SUM(O23:O33)</f>
        <v>2981488.8885714291</v>
      </c>
      <c r="P34" s="157">
        <f>SUM(P23:P33)</f>
        <v>15326.990406746032</v>
      </c>
      <c r="Q34" s="157">
        <f>SUM(Q23:Q33)</f>
        <v>182492.38221428572</v>
      </c>
      <c r="R34" s="157">
        <f>SUM(R12:R33)</f>
        <v>0</v>
      </c>
      <c r="S34" s="157">
        <f>SUM(S23:S33)</f>
        <v>182492.38221428572</v>
      </c>
      <c r="U34" s="157">
        <f>SUM(U23:U33)</f>
        <v>182492.38221428572</v>
      </c>
      <c r="V34" s="157">
        <f>SUM(V12:V33)</f>
        <v>0</v>
      </c>
      <c r="W34" s="157">
        <f t="shared" ref="W34:AB34" si="17">SUM(W23:W33)</f>
        <v>1235409.8908571384</v>
      </c>
      <c r="X34" s="157">
        <f t="shared" si="17"/>
        <v>1235409.8908571384</v>
      </c>
      <c r="Z34" s="157">
        <f t="shared" si="17"/>
        <v>1235409.8908571384</v>
      </c>
      <c r="AA34" s="157">
        <f t="shared" si="17"/>
        <v>1417902.2730714241</v>
      </c>
      <c r="AB34" s="157">
        <f t="shared" si="17"/>
        <v>1654832.8066071474</v>
      </c>
    </row>
    <row r="35" spans="1:33" ht="15.75" customHeight="1"/>
    <row r="36" spans="1:33" ht="12.75" customHeight="1">
      <c r="R36" s="157" t="s">
        <v>25</v>
      </c>
      <c r="U36" s="157" t="s">
        <v>17</v>
      </c>
      <c r="W36" s="157" t="s">
        <v>18</v>
      </c>
      <c r="X36" s="157" t="s">
        <v>118</v>
      </c>
      <c r="Z36" s="157" t="s">
        <v>19</v>
      </c>
      <c r="AA36" s="157" t="s">
        <v>19</v>
      </c>
    </row>
    <row r="37" spans="1:33">
      <c r="B37" s="156" t="s">
        <v>57</v>
      </c>
      <c r="D37" s="156" t="s">
        <v>59</v>
      </c>
      <c r="F37" s="156" t="s">
        <v>23</v>
      </c>
      <c r="H37" s="156" t="s">
        <v>57</v>
      </c>
      <c r="J37" s="156" t="s">
        <v>24</v>
      </c>
      <c r="K37" s="156" t="s">
        <v>57</v>
      </c>
      <c r="N37" s="157" t="s">
        <v>31</v>
      </c>
      <c r="O37" s="157" t="s">
        <v>57</v>
      </c>
      <c r="Q37" s="157" t="s">
        <v>68</v>
      </c>
      <c r="R37" s="157" t="s">
        <v>24</v>
      </c>
      <c r="S37" s="157" t="s">
        <v>17</v>
      </c>
      <c r="T37" s="157" t="s">
        <v>34</v>
      </c>
      <c r="U37" s="157" t="s">
        <v>19</v>
      </c>
      <c r="W37" s="157" t="s">
        <v>117</v>
      </c>
      <c r="X37" s="157" t="s">
        <v>117</v>
      </c>
      <c r="Y37" s="157" t="s">
        <v>27</v>
      </c>
      <c r="Z37" s="157" t="s">
        <v>28</v>
      </c>
      <c r="AA37" s="157" t="s">
        <v>28</v>
      </c>
      <c r="AB37" s="157" t="s">
        <v>38</v>
      </c>
    </row>
    <row r="38" spans="1:33">
      <c r="C38" s="156" t="s">
        <v>141</v>
      </c>
      <c r="D38" s="156" t="s">
        <v>61</v>
      </c>
      <c r="F38" s="156" t="s">
        <v>29</v>
      </c>
      <c r="H38" s="156" t="s">
        <v>30</v>
      </c>
      <c r="I38" s="156" t="s">
        <v>64</v>
      </c>
      <c r="J38" s="156" t="s">
        <v>65</v>
      </c>
      <c r="K38" s="156" t="s">
        <v>31</v>
      </c>
      <c r="L38" s="156" t="s">
        <v>41</v>
      </c>
      <c r="M38" s="156" t="s">
        <v>31</v>
      </c>
      <c r="N38" s="157" t="s">
        <v>25</v>
      </c>
      <c r="O38" s="157" t="s">
        <v>67</v>
      </c>
      <c r="P38" s="157" t="s">
        <v>69</v>
      </c>
      <c r="Q38" s="157" t="s">
        <v>24</v>
      </c>
      <c r="R38" s="157" t="s">
        <v>43</v>
      </c>
      <c r="S38" s="157" t="s">
        <v>33</v>
      </c>
      <c r="T38" s="157" t="s">
        <v>36</v>
      </c>
      <c r="U38" s="157" t="s">
        <v>32</v>
      </c>
      <c r="W38" s="157" t="s">
        <v>67</v>
      </c>
      <c r="X38" s="157" t="s">
        <v>67</v>
      </c>
      <c r="Y38" s="157" t="s">
        <v>36</v>
      </c>
      <c r="Z38" s="157" t="s">
        <v>37</v>
      </c>
      <c r="AA38" s="157" t="s">
        <v>37</v>
      </c>
      <c r="AB38" s="157" t="s">
        <v>45</v>
      </c>
      <c r="AC38" s="157" t="s">
        <v>4</v>
      </c>
      <c r="AD38" s="157" t="s">
        <v>46</v>
      </c>
      <c r="AE38" s="157" t="s">
        <v>47</v>
      </c>
      <c r="AF38" s="157" t="s">
        <v>15</v>
      </c>
      <c r="AG38" s="157" t="s">
        <v>20</v>
      </c>
    </row>
    <row r="39" spans="1:33">
      <c r="A39" s="156" t="s">
        <v>53</v>
      </c>
      <c r="B39" s="156" t="s">
        <v>62</v>
      </c>
      <c r="C39" s="156" t="s">
        <v>63</v>
      </c>
      <c r="D39" s="156" t="s">
        <v>24</v>
      </c>
      <c r="E39" s="156" t="s">
        <v>39</v>
      </c>
      <c r="F39" s="156" t="s">
        <v>34</v>
      </c>
      <c r="G39" s="156" t="s">
        <v>49</v>
      </c>
      <c r="H39" s="156" t="s">
        <v>40</v>
      </c>
      <c r="I39" s="156" t="s">
        <v>66</v>
      </c>
      <c r="J39" s="156" t="s">
        <v>67</v>
      </c>
      <c r="K39" s="156" t="s">
        <v>42</v>
      </c>
      <c r="L39" s="156" t="s">
        <v>49</v>
      </c>
      <c r="M39" s="156" t="s">
        <v>42</v>
      </c>
      <c r="N39" s="157" t="s">
        <v>49</v>
      </c>
      <c r="O39" s="157" t="s">
        <v>42</v>
      </c>
      <c r="P39" s="157" t="s">
        <v>67</v>
      </c>
      <c r="Q39" s="157" t="s">
        <v>67</v>
      </c>
      <c r="R39" s="157" t="s">
        <v>49</v>
      </c>
      <c r="S39" s="157" t="s">
        <v>44</v>
      </c>
      <c r="T39" s="157" t="s">
        <v>49</v>
      </c>
      <c r="U39" s="157" t="s">
        <v>37</v>
      </c>
    </row>
    <row r="40" spans="1:33">
      <c r="A40" s="156">
        <v>17346</v>
      </c>
      <c r="B40" s="156">
        <v>6</v>
      </c>
      <c r="C40" s="156" t="s">
        <v>363</v>
      </c>
      <c r="D40" s="156">
        <v>2002</v>
      </c>
      <c r="E40" s="156">
        <v>11</v>
      </c>
      <c r="F40" s="156">
        <v>0.2</v>
      </c>
      <c r="H40" s="156" t="s">
        <v>52</v>
      </c>
      <c r="I40" s="156">
        <v>7</v>
      </c>
      <c r="J40" s="156">
        <f>D40+I40</f>
        <v>2009</v>
      </c>
      <c r="M40" s="156">
        <f>29999.74</f>
        <v>29999.74</v>
      </c>
      <c r="N40" s="157">
        <v>0</v>
      </c>
      <c r="O40" s="157">
        <f>M40-M40*F40</f>
        <v>23999.792000000001</v>
      </c>
      <c r="P40" s="157">
        <f>O40/I40/12</f>
        <v>285.71180952380956</v>
      </c>
      <c r="Q40" s="157">
        <f>IF(N40&gt;0,0,IF(OR(AC40&gt;AD40,AE40&lt;AF40),0,IF(AND(AE40&gt;=AF40,AE40&lt;=AD40),P40*((AE40-AF40)*12),IF(AND(AF40&lt;=AC40,AD40&gt;=AC40),((AD40-AC40)*12)*P40,IF(AE40&gt;AD40,12*P40,0)))))</f>
        <v>0</v>
      </c>
      <c r="R40" s="157">
        <f>IF(N40=0,0,IF(AND(AG40&gt;=AF40,AG40&lt;=AE40),((AG40-AF40)*12)*P40,0))</f>
        <v>0</v>
      </c>
      <c r="S40" s="157">
        <f>IF(R40&gt;0,R40,Q40)</f>
        <v>0</v>
      </c>
      <c r="T40" s="157">
        <v>1</v>
      </c>
      <c r="U40" s="157">
        <f>T40*SUM(Q40:R40)</f>
        <v>0</v>
      </c>
      <c r="W40" s="157">
        <f>IF(AC40&gt;AD40,0,IF(AE40&lt;AF40,O40,IF(AND(AE40&gt;=AF40,AE40&lt;=AD40),(O40-S40),IF(AND(AF40&lt;=AC40,AD40&gt;=AC40),0,IF(AE40&gt;AD40,((AF40-AC40)*12)*P40,0)))))</f>
        <v>23999.792000000001</v>
      </c>
      <c r="X40" s="157">
        <f>W40*T40</f>
        <v>23999.792000000001</v>
      </c>
      <c r="Y40" s="157">
        <v>1</v>
      </c>
      <c r="Z40" s="157">
        <f>X40*Y40</f>
        <v>23999.792000000001</v>
      </c>
      <c r="AA40" s="157">
        <f>IF(N40&gt;0,0,Z40+U40*Y40)*Y40</f>
        <v>23999.792000000001</v>
      </c>
      <c r="AB40" s="157">
        <f>IF(N40&gt;0,(M40-Z40)/2,IF(AC40&gt;=AF40,(((M40*T40)*Y40)-AA40)/2,((((M40*T40)*Y40)-Z40)+(((M40*T40)*Y40)-AA40))/2))</f>
        <v>5999.9480000000003</v>
      </c>
      <c r="AC40" s="157">
        <f>$D40+(($E40-1)/12)</f>
        <v>2002.8333333333333</v>
      </c>
      <c r="AD40" s="157">
        <f>($O$5+1)-($O$2/12)</f>
        <v>2017</v>
      </c>
      <c r="AE40" s="157">
        <f>$J40+(($E40-1)/12)</f>
        <v>2009.8333333333333</v>
      </c>
      <c r="AF40" s="157">
        <f>$O$4+($O$3/12)</f>
        <v>2016</v>
      </c>
      <c r="AG40" s="157">
        <f>$K40+(($L40-1)/12)</f>
        <v>-8.3333333333333329E-2</v>
      </c>
    </row>
    <row r="41" spans="1:33">
      <c r="A41" s="156">
        <v>75142</v>
      </c>
      <c r="B41" s="156">
        <v>3</v>
      </c>
      <c r="C41" s="156" t="s">
        <v>188</v>
      </c>
      <c r="D41" s="156">
        <v>2010</v>
      </c>
      <c r="E41" s="156">
        <v>6</v>
      </c>
      <c r="F41" s="156">
        <v>0.33</v>
      </c>
      <c r="H41" s="156" t="s">
        <v>52</v>
      </c>
      <c r="I41" s="156">
        <v>5</v>
      </c>
      <c r="J41" s="156">
        <f>D41+I41</f>
        <v>2015</v>
      </c>
      <c r="M41" s="156">
        <f>25131.7</f>
        <v>25131.7</v>
      </c>
      <c r="N41" s="157">
        <v>0</v>
      </c>
      <c r="O41" s="157">
        <f>M41-M41*F41</f>
        <v>16838.239000000001</v>
      </c>
      <c r="P41" s="157">
        <f>O41/I41/12</f>
        <v>280.63731666666666</v>
      </c>
      <c r="Q41" s="157">
        <f>IF(N41&gt;0,0,IF(OR(AC41&gt;AD41,AE41&lt;AF41),0,IF(AND(AE41&gt;=AF41,AE41&lt;=AD41),P41*((AE41-AF41)*12),IF(AND(AF41&lt;=AC41,AD41&gt;=AC41),((AD41-AC41)*12)*P41,IF(AE41&gt;AD41,12*P41,0)))))</f>
        <v>0</v>
      </c>
      <c r="R41" s="157">
        <f>IF(N41=0,0,IF(AND(AG41&gt;=AF41,AG41&lt;=AE41),((AG41-AF41)*12)*P41,0))</f>
        <v>0</v>
      </c>
      <c r="S41" s="157">
        <f>IF(R41&gt;0,R41,Q41)</f>
        <v>0</v>
      </c>
      <c r="T41" s="157">
        <v>1</v>
      </c>
      <c r="U41" s="157">
        <f>T41*SUM(Q41:R41)</f>
        <v>0</v>
      </c>
      <c r="W41" s="157">
        <f>IF(AC41&gt;AD41,0,IF(AE41&lt;AF41,O41,IF(AND(AE41&gt;=AF41,AE41&lt;=AD41),(O41-S41),IF(AND(AF41&lt;=AC41,AD41&gt;=AC41),0,IF(AE41&gt;AD41,((AF41-AC41)*12)*P41,0)))))</f>
        <v>16838.239000000001</v>
      </c>
      <c r="X41" s="157">
        <f>W41*T41</f>
        <v>16838.239000000001</v>
      </c>
      <c r="Y41" s="157">
        <v>1</v>
      </c>
      <c r="Z41" s="157">
        <f>X41*Y41</f>
        <v>16838.239000000001</v>
      </c>
      <c r="AA41" s="157">
        <f>IF(N41&gt;0,0,Z41+U41*Y41)*Y41</f>
        <v>16838.239000000001</v>
      </c>
      <c r="AB41" s="157">
        <f>IF(N41&gt;0,(M41-Z41)/2,IF(AC41&gt;=AF41,(((M41*T41)*Y41)-AA41)/2,((((M41*T41)*Y41)-Z41)+(((M41*T41)*Y41)-AA41))/2))</f>
        <v>8293.4609999999993</v>
      </c>
      <c r="AC41" s="157">
        <f>$D41+(($E41-1)/12)</f>
        <v>2010.4166666666667</v>
      </c>
      <c r="AD41" s="157">
        <f>($O$5+1)-($O$2/12)</f>
        <v>2017</v>
      </c>
      <c r="AE41" s="157">
        <f>$J41+(($E41-1)/12)</f>
        <v>2015.4166666666667</v>
      </c>
      <c r="AF41" s="157">
        <f>$O$4+($O$3/12)</f>
        <v>2016</v>
      </c>
      <c r="AG41" s="157">
        <f>$K41+(($L41-1)/12)</f>
        <v>-8.3333333333333329E-2</v>
      </c>
    </row>
    <row r="42" spans="1:33">
      <c r="A42" s="156">
        <v>118197</v>
      </c>
      <c r="B42" s="156">
        <v>13</v>
      </c>
      <c r="C42" s="156" t="s">
        <v>335</v>
      </c>
      <c r="D42" s="156">
        <v>2013</v>
      </c>
      <c r="E42" s="156">
        <v>8</v>
      </c>
      <c r="F42" s="156">
        <v>0.2</v>
      </c>
      <c r="H42" s="156" t="s">
        <v>52</v>
      </c>
      <c r="I42" s="156">
        <v>7</v>
      </c>
      <c r="J42" s="156">
        <f>D42+I42</f>
        <v>2020</v>
      </c>
      <c r="M42" s="156">
        <f>26744.9+1811.35</f>
        <v>28556.25</v>
      </c>
      <c r="O42" s="157">
        <f>M42-M42*F42</f>
        <v>22845</v>
      </c>
      <c r="P42" s="157">
        <f>O42/I42/12</f>
        <v>271.96428571428572</v>
      </c>
      <c r="Q42" s="157">
        <f>IF(N42&gt;0,0,IF(OR(AC42&gt;AD42,AE42&lt;AF42),0,IF(AND(AE42&gt;=AF42,AE42&lt;=AD42),P42*((AE42-AF42)*12),IF(AND(AF42&lt;=AC42,AD42&gt;=AC42),((AD42-AC42)*12)*P42,IF(AE42&gt;AD42,12*P42,0)))))</f>
        <v>3263.5714285714284</v>
      </c>
      <c r="R42" s="157">
        <f>IF(N42=0,0,IF(AND(AG42&gt;=AF42,AG42&lt;=AE42),((AG42-AF42)*12)*P42,0))</f>
        <v>0</v>
      </c>
      <c r="S42" s="157">
        <f>IF(R42&gt;0,R42,Q42)</f>
        <v>3263.5714285714284</v>
      </c>
      <c r="T42" s="157">
        <v>1</v>
      </c>
      <c r="U42" s="157">
        <f>T42*SUM(Q42:R42)</f>
        <v>3263.5714285714284</v>
      </c>
      <c r="W42" s="157">
        <f>IF(AC42&gt;AD42,0,IF(AE42&lt;AF42,O42,IF(AND(AE42&gt;=AF42,AE42&lt;=AD42),(O42-S42),IF(AND(AF42&lt;=AC42,AD42&gt;=AC42),0,IF(AE42&gt;AD42,((AF42-AC42)*12)*P42,0)))))</f>
        <v>7886.9642857145336</v>
      </c>
      <c r="X42" s="157">
        <f>W42*T42</f>
        <v>7886.9642857145336</v>
      </c>
      <c r="Y42" s="157">
        <v>1</v>
      </c>
      <c r="Z42" s="157">
        <f>X42*Y42</f>
        <v>7886.9642857145336</v>
      </c>
      <c r="AA42" s="157">
        <f>IF(N42&gt;0,0,Z42+U42*Y42)*Y42</f>
        <v>11150.535714285961</v>
      </c>
      <c r="AB42" s="157">
        <f>IF(N42&gt;0,(M42-Z42)/2,IF(AC42&gt;=AF42,(((M42*T42)*Y42)-AA42)/2,((((M42*T42)*Y42)-Z42)+(((M42*T42)*Y42)-AA42))/2))</f>
        <v>19037.499999999753</v>
      </c>
      <c r="AC42" s="157">
        <f>$D42+(($E42-1)/12)</f>
        <v>2013.5833333333333</v>
      </c>
      <c r="AD42" s="157">
        <f>($O$5+1)-($O$2/12)</f>
        <v>2017</v>
      </c>
      <c r="AE42" s="157">
        <f>$J42+(($E42-1)/12)</f>
        <v>2020.5833333333333</v>
      </c>
      <c r="AF42" s="157">
        <f>$O$4+($O$3/12)</f>
        <v>2016</v>
      </c>
      <c r="AG42" s="157">
        <f>$K42+(($L42-1)/12)</f>
        <v>-8.3333333333333329E-2</v>
      </c>
    </row>
    <row r="43" spans="1:33">
      <c r="C43" s="156" t="s">
        <v>57</v>
      </c>
    </row>
    <row r="44" spans="1:33" ht="13.5" thickBot="1">
      <c r="C44" s="156" t="s">
        <v>140</v>
      </c>
      <c r="M44" s="156">
        <f>SUM(M40:M43)</f>
        <v>83687.69</v>
      </c>
      <c r="O44" s="157">
        <f>SUM(O40:O43)</f>
        <v>63683.031000000003</v>
      </c>
      <c r="P44" s="157">
        <f>SUM(P40:P43)</f>
        <v>838.31341190476201</v>
      </c>
      <c r="Q44" s="157">
        <f>SUM(Q40:Q43)</f>
        <v>3263.5714285714284</v>
      </c>
      <c r="S44" s="157">
        <f>SUM(S40:S43)</f>
        <v>3263.5714285714284</v>
      </c>
      <c r="U44" s="157">
        <f t="shared" ref="U44:AB44" si="18">SUM(U40:U43)</f>
        <v>3263.5714285714284</v>
      </c>
      <c r="V44" s="157">
        <f t="shared" si="18"/>
        <v>0</v>
      </c>
      <c r="W44" s="157">
        <f t="shared" si="18"/>
        <v>48724.99528571454</v>
      </c>
      <c r="X44" s="157">
        <f t="shared" si="18"/>
        <v>48724.99528571454</v>
      </c>
      <c r="Z44" s="157">
        <f t="shared" si="18"/>
        <v>48724.99528571454</v>
      </c>
      <c r="AA44" s="157">
        <f t="shared" si="18"/>
        <v>51988.56671428596</v>
      </c>
      <c r="AB44" s="157">
        <f t="shared" si="18"/>
        <v>33330.908999999752</v>
      </c>
    </row>
    <row r="47" spans="1:33">
      <c r="R47" s="157" t="s">
        <v>25</v>
      </c>
      <c r="U47" s="157" t="s">
        <v>17</v>
      </c>
      <c r="W47" s="157" t="s">
        <v>18</v>
      </c>
      <c r="X47" s="157" t="s">
        <v>118</v>
      </c>
      <c r="Z47" s="157" t="s">
        <v>19</v>
      </c>
      <c r="AA47" s="157" t="s">
        <v>19</v>
      </c>
    </row>
    <row r="48" spans="1:33">
      <c r="B48" s="156" t="s">
        <v>57</v>
      </c>
      <c r="D48" s="156" t="s">
        <v>59</v>
      </c>
      <c r="F48" s="156" t="s">
        <v>23</v>
      </c>
      <c r="H48" s="156" t="s">
        <v>57</v>
      </c>
      <c r="J48" s="156" t="s">
        <v>24</v>
      </c>
      <c r="K48" s="156" t="s">
        <v>57</v>
      </c>
      <c r="M48" s="156" t="s">
        <v>57</v>
      </c>
      <c r="N48" s="157" t="s">
        <v>31</v>
      </c>
      <c r="O48" s="157" t="s">
        <v>57</v>
      </c>
      <c r="Q48" s="157" t="s">
        <v>68</v>
      </c>
      <c r="R48" s="157" t="s">
        <v>24</v>
      </c>
      <c r="S48" s="157" t="s">
        <v>17</v>
      </c>
      <c r="T48" s="157" t="s">
        <v>34</v>
      </c>
      <c r="U48" s="157" t="s">
        <v>19</v>
      </c>
      <c r="W48" s="157" t="s">
        <v>117</v>
      </c>
      <c r="X48" s="157" t="s">
        <v>117</v>
      </c>
      <c r="Y48" s="157" t="s">
        <v>27</v>
      </c>
      <c r="Z48" s="157" t="s">
        <v>28</v>
      </c>
      <c r="AA48" s="157" t="s">
        <v>28</v>
      </c>
      <c r="AB48" s="157" t="s">
        <v>38</v>
      </c>
    </row>
    <row r="49" spans="1:33">
      <c r="C49" s="156" t="s">
        <v>134</v>
      </c>
      <c r="D49" s="156" t="s">
        <v>61</v>
      </c>
      <c r="F49" s="156" t="s">
        <v>29</v>
      </c>
      <c r="H49" s="156" t="s">
        <v>30</v>
      </c>
      <c r="I49" s="156" t="s">
        <v>64</v>
      </c>
      <c r="J49" s="156" t="s">
        <v>65</v>
      </c>
      <c r="K49" s="156" t="s">
        <v>31</v>
      </c>
      <c r="L49" s="156" t="s">
        <v>41</v>
      </c>
      <c r="M49" s="156" t="s">
        <v>31</v>
      </c>
      <c r="N49" s="157" t="s">
        <v>25</v>
      </c>
      <c r="O49" s="157" t="s">
        <v>67</v>
      </c>
      <c r="P49" s="157" t="s">
        <v>69</v>
      </c>
      <c r="Q49" s="157" t="s">
        <v>24</v>
      </c>
      <c r="R49" s="157" t="s">
        <v>43</v>
      </c>
      <c r="S49" s="157" t="s">
        <v>33</v>
      </c>
      <c r="T49" s="157" t="s">
        <v>36</v>
      </c>
      <c r="U49" s="157" t="s">
        <v>32</v>
      </c>
      <c r="W49" s="157" t="s">
        <v>67</v>
      </c>
      <c r="X49" s="157" t="s">
        <v>67</v>
      </c>
      <c r="Y49" s="157" t="s">
        <v>36</v>
      </c>
      <c r="Z49" s="157" t="s">
        <v>37</v>
      </c>
      <c r="AA49" s="157" t="s">
        <v>37</v>
      </c>
      <c r="AB49" s="157" t="s">
        <v>45</v>
      </c>
      <c r="AC49" s="157" t="s">
        <v>4</v>
      </c>
      <c r="AD49" s="157" t="s">
        <v>46</v>
      </c>
      <c r="AE49" s="157" t="s">
        <v>47</v>
      </c>
      <c r="AF49" s="157" t="s">
        <v>15</v>
      </c>
      <c r="AG49" s="157" t="s">
        <v>20</v>
      </c>
    </row>
    <row r="50" spans="1:33">
      <c r="B50" s="156" t="s">
        <v>62</v>
      </c>
      <c r="C50" s="156" t="s">
        <v>63</v>
      </c>
      <c r="D50" s="156" t="s">
        <v>24</v>
      </c>
      <c r="E50" s="156" t="s">
        <v>39</v>
      </c>
      <c r="F50" s="156" t="s">
        <v>34</v>
      </c>
      <c r="G50" s="156" t="s">
        <v>49</v>
      </c>
      <c r="H50" s="156" t="s">
        <v>40</v>
      </c>
      <c r="I50" s="156" t="s">
        <v>66</v>
      </c>
      <c r="J50" s="156" t="s">
        <v>67</v>
      </c>
      <c r="K50" s="156" t="s">
        <v>42</v>
      </c>
      <c r="L50" s="156" t="s">
        <v>49</v>
      </c>
      <c r="M50" s="156" t="s">
        <v>42</v>
      </c>
      <c r="N50" s="157" t="s">
        <v>49</v>
      </c>
      <c r="O50" s="157" t="s">
        <v>42</v>
      </c>
      <c r="P50" s="157" t="s">
        <v>67</v>
      </c>
      <c r="Q50" s="157" t="s">
        <v>67</v>
      </c>
      <c r="R50" s="157" t="s">
        <v>49</v>
      </c>
      <c r="S50" s="157" t="s">
        <v>44</v>
      </c>
      <c r="T50" s="157" t="s">
        <v>49</v>
      </c>
      <c r="U50" s="157" t="s">
        <v>37</v>
      </c>
    </row>
    <row r="51" spans="1:33">
      <c r="A51" s="156" t="s">
        <v>290</v>
      </c>
      <c r="B51" s="156">
        <v>14</v>
      </c>
      <c r="C51" s="156" t="s">
        <v>291</v>
      </c>
      <c r="D51" s="156">
        <v>2001</v>
      </c>
      <c r="E51" s="156">
        <v>9</v>
      </c>
      <c r="F51" s="156">
        <v>0.33</v>
      </c>
      <c r="H51" s="156" t="s">
        <v>52</v>
      </c>
      <c r="I51" s="156">
        <v>5</v>
      </c>
      <c r="J51" s="156">
        <f t="shared" ref="J51:J73" si="19">D51+I51</f>
        <v>2006</v>
      </c>
      <c r="M51" s="156">
        <v>16221.35</v>
      </c>
      <c r="O51" s="157">
        <f t="shared" ref="O51:O73" si="20">M51-M51*F51</f>
        <v>10868.3045</v>
      </c>
      <c r="P51" s="157">
        <f t="shared" ref="P51:P73" si="21">O51/I51/12</f>
        <v>181.13840833333333</v>
      </c>
      <c r="Q51" s="157">
        <f t="shared" ref="Q51:Q72" si="22">IF(N51&gt;0,0,IF(OR(AC51&gt;AD51,AE51&lt;AF51),0,IF(AND(AE51&gt;=AF51,AE51&lt;=AD51),P51*((AE51-AF51)*12),IF(AND(AF51&lt;=AC51,AD51&gt;=AC51),((AD51-AC51)*12)*P51,IF(AE51&gt;AD51,12*P51,0)))))</f>
        <v>0</v>
      </c>
      <c r="R51" s="157">
        <f t="shared" ref="R51:R72" si="23">IF(N51=0,0,IF(AND(AG51&gt;=AF51,AG51&lt;=AE51),((AG51-AF51)*12)*P51,0))</f>
        <v>0</v>
      </c>
      <c r="S51" s="157">
        <f t="shared" ref="S51:S72" si="24">IF(R51&gt;0,R51,Q51)</f>
        <v>0</v>
      </c>
      <c r="T51" s="157">
        <v>1</v>
      </c>
      <c r="U51" s="157">
        <f t="shared" ref="U51:U72" si="25">T51*SUM(Q51:R51)</f>
        <v>0</v>
      </c>
      <c r="W51" s="157">
        <f t="shared" ref="W51:W72" si="26">IF(AC51&gt;AD51,0,IF(AE51&lt;AF51,O51,IF(AND(AE51&gt;=AF51,AE51&lt;=AD51),(O51-S51),IF(AND(AF51&lt;=AC51,AD51&gt;=AC51),0,IF(AE51&gt;AD51,((AF51-AC51)*12)*P51,0)))))</f>
        <v>10868.3045</v>
      </c>
      <c r="X51" s="157">
        <f t="shared" ref="X51:X72" si="27">W51*T51</f>
        <v>10868.3045</v>
      </c>
      <c r="Y51" s="157">
        <v>1</v>
      </c>
      <c r="Z51" s="157">
        <f t="shared" ref="Z51:Z72" si="28">X51*Y51</f>
        <v>10868.3045</v>
      </c>
      <c r="AA51" s="157">
        <f t="shared" ref="AA51:AA72" si="29">IF(N51&gt;0,0,Z51+U51*Y51)*Y51</f>
        <v>10868.3045</v>
      </c>
      <c r="AB51" s="157">
        <f t="shared" ref="AB51:AB72" si="30">IF(N51&gt;0,(M51-Z51)/2,IF(AC51&gt;=AF51,(((M51*T51)*Y51)-AA51)/2,((((M51*T51)*Y51)-Z51)+(((M51*T51)*Y51)-AA51))/2))</f>
        <v>5353.0455000000002</v>
      </c>
      <c r="AC51" s="157">
        <f t="shared" ref="AC51:AC76" si="31">$D51+(($E51-1)/12)</f>
        <v>2001.6666666666667</v>
      </c>
      <c r="AD51" s="157">
        <f t="shared" ref="AD51:AD76" si="32">($O$5+1)-($O$2/12)</f>
        <v>2017</v>
      </c>
      <c r="AE51" s="157">
        <f t="shared" ref="AE51:AE76" si="33">$J51+(($E51-1)/12)</f>
        <v>2006.6666666666667</v>
      </c>
      <c r="AF51" s="157">
        <f t="shared" ref="AF51:AF76" si="34">$O$4+($O$3/12)</f>
        <v>2016</v>
      </c>
      <c r="AG51" s="157">
        <f t="shared" ref="AG51:AG76" si="35">$K51+(($L51-1)/12)</f>
        <v>-8.3333333333333329E-2</v>
      </c>
    </row>
    <row r="52" spans="1:33">
      <c r="C52" s="156" t="s">
        <v>142</v>
      </c>
      <c r="D52" s="156">
        <v>2002</v>
      </c>
      <c r="E52" s="156">
        <v>11</v>
      </c>
      <c r="F52" s="156">
        <v>0</v>
      </c>
      <c r="H52" s="156" t="s">
        <v>52</v>
      </c>
      <c r="I52" s="156">
        <v>7</v>
      </c>
      <c r="J52" s="156">
        <f t="shared" si="19"/>
        <v>2009</v>
      </c>
      <c r="M52" s="156">
        <v>77235</v>
      </c>
      <c r="O52" s="157">
        <f t="shared" si="20"/>
        <v>77235</v>
      </c>
      <c r="P52" s="157">
        <f t="shared" si="21"/>
        <v>919.46428571428578</v>
      </c>
      <c r="Q52" s="157">
        <f t="shared" si="22"/>
        <v>0</v>
      </c>
      <c r="R52" s="157">
        <f t="shared" si="23"/>
        <v>0</v>
      </c>
      <c r="S52" s="157">
        <f t="shared" si="24"/>
        <v>0</v>
      </c>
      <c r="T52" s="157">
        <v>1</v>
      </c>
      <c r="U52" s="157">
        <f t="shared" si="25"/>
        <v>0</v>
      </c>
      <c r="W52" s="157">
        <f t="shared" si="26"/>
        <v>77235</v>
      </c>
      <c r="X52" s="157">
        <f t="shared" si="27"/>
        <v>77235</v>
      </c>
      <c r="Y52" s="157">
        <v>1</v>
      </c>
      <c r="Z52" s="157">
        <f t="shared" si="28"/>
        <v>77235</v>
      </c>
      <c r="AA52" s="157">
        <f t="shared" si="29"/>
        <v>77235</v>
      </c>
      <c r="AB52" s="157">
        <f t="shared" si="30"/>
        <v>0</v>
      </c>
      <c r="AC52" s="157">
        <f t="shared" si="31"/>
        <v>2002.8333333333333</v>
      </c>
      <c r="AD52" s="157">
        <f t="shared" si="32"/>
        <v>2017</v>
      </c>
      <c r="AE52" s="157">
        <f t="shared" si="33"/>
        <v>2009.8333333333333</v>
      </c>
      <c r="AF52" s="157">
        <f t="shared" si="34"/>
        <v>2016</v>
      </c>
      <c r="AG52" s="157">
        <f t="shared" si="35"/>
        <v>-8.3333333333333329E-2</v>
      </c>
    </row>
    <row r="53" spans="1:33">
      <c r="C53" s="156" t="s">
        <v>143</v>
      </c>
      <c r="D53" s="156">
        <v>2002</v>
      </c>
      <c r="E53" s="156">
        <v>11</v>
      </c>
      <c r="F53" s="156">
        <v>0</v>
      </c>
      <c r="H53" s="156" t="s">
        <v>52</v>
      </c>
      <c r="I53" s="156">
        <v>5</v>
      </c>
      <c r="J53" s="156">
        <f t="shared" si="19"/>
        <v>2007</v>
      </c>
      <c r="M53" s="156">
        <v>6348.86</v>
      </c>
      <c r="O53" s="157">
        <f t="shared" si="20"/>
        <v>6348.86</v>
      </c>
      <c r="P53" s="157">
        <f t="shared" si="21"/>
        <v>105.81433333333332</v>
      </c>
      <c r="Q53" s="157">
        <f t="shared" si="22"/>
        <v>0</v>
      </c>
      <c r="R53" s="157">
        <f t="shared" si="23"/>
        <v>0</v>
      </c>
      <c r="S53" s="157">
        <f t="shared" si="24"/>
        <v>0</v>
      </c>
      <c r="T53" s="157">
        <v>1</v>
      </c>
      <c r="U53" s="157">
        <f t="shared" si="25"/>
        <v>0</v>
      </c>
      <c r="W53" s="157">
        <f t="shared" si="26"/>
        <v>6348.86</v>
      </c>
      <c r="X53" s="157">
        <f t="shared" si="27"/>
        <v>6348.86</v>
      </c>
      <c r="Y53" s="157">
        <v>1</v>
      </c>
      <c r="Z53" s="157">
        <f t="shared" si="28"/>
        <v>6348.86</v>
      </c>
      <c r="AA53" s="157">
        <f t="shared" si="29"/>
        <v>6348.86</v>
      </c>
      <c r="AB53" s="157">
        <f t="shared" si="30"/>
        <v>0</v>
      </c>
      <c r="AC53" s="157">
        <f t="shared" si="31"/>
        <v>2002.8333333333333</v>
      </c>
      <c r="AD53" s="157">
        <f t="shared" si="32"/>
        <v>2017</v>
      </c>
      <c r="AE53" s="157">
        <f t="shared" si="33"/>
        <v>2007.8333333333333</v>
      </c>
      <c r="AF53" s="157">
        <f t="shared" si="34"/>
        <v>2016</v>
      </c>
      <c r="AG53" s="157">
        <f t="shared" si="35"/>
        <v>-8.3333333333333329E-2</v>
      </c>
    </row>
    <row r="54" spans="1:33">
      <c r="A54" s="156">
        <v>48345</v>
      </c>
      <c r="B54" s="156">
        <v>5</v>
      </c>
      <c r="C54" s="156" t="s">
        <v>154</v>
      </c>
      <c r="D54" s="156">
        <v>2006</v>
      </c>
      <c r="E54" s="156">
        <v>3</v>
      </c>
      <c r="F54" s="156">
        <v>0.2</v>
      </c>
      <c r="H54" s="156" t="s">
        <v>52</v>
      </c>
      <c r="I54" s="156">
        <v>7</v>
      </c>
      <c r="J54" s="156">
        <f t="shared" si="19"/>
        <v>2013</v>
      </c>
      <c r="M54" s="156">
        <f>19775.94</f>
        <v>19775.939999999999</v>
      </c>
      <c r="O54" s="157">
        <f t="shared" si="20"/>
        <v>15820.751999999999</v>
      </c>
      <c r="P54" s="157">
        <f t="shared" si="21"/>
        <v>188.34228571428571</v>
      </c>
      <c r="Q54" s="157">
        <f t="shared" si="22"/>
        <v>0</v>
      </c>
      <c r="R54" s="157">
        <f t="shared" si="23"/>
        <v>0</v>
      </c>
      <c r="S54" s="157">
        <f t="shared" si="24"/>
        <v>0</v>
      </c>
      <c r="T54" s="157">
        <v>1</v>
      </c>
      <c r="U54" s="157">
        <f t="shared" si="25"/>
        <v>0</v>
      </c>
      <c r="W54" s="157">
        <f t="shared" si="26"/>
        <v>15820.751999999999</v>
      </c>
      <c r="X54" s="157">
        <f t="shared" si="27"/>
        <v>15820.751999999999</v>
      </c>
      <c r="Y54" s="157">
        <v>1</v>
      </c>
      <c r="Z54" s="157">
        <f t="shared" si="28"/>
        <v>15820.751999999999</v>
      </c>
      <c r="AA54" s="157">
        <f t="shared" si="29"/>
        <v>15820.751999999999</v>
      </c>
      <c r="AB54" s="157">
        <f t="shared" si="30"/>
        <v>3955.1880000000001</v>
      </c>
      <c r="AC54" s="157">
        <f t="shared" si="31"/>
        <v>2006.1666666666667</v>
      </c>
      <c r="AD54" s="157">
        <f t="shared" si="32"/>
        <v>2017</v>
      </c>
      <c r="AE54" s="157">
        <f t="shared" si="33"/>
        <v>2013.1666666666667</v>
      </c>
      <c r="AF54" s="157">
        <f t="shared" si="34"/>
        <v>2016</v>
      </c>
      <c r="AG54" s="157">
        <f t="shared" si="35"/>
        <v>-8.3333333333333329E-2</v>
      </c>
    </row>
    <row r="55" spans="1:33">
      <c r="A55" s="156">
        <v>58549</v>
      </c>
      <c r="B55" s="156">
        <v>126</v>
      </c>
      <c r="C55" s="156" t="s">
        <v>174</v>
      </c>
      <c r="D55" s="156">
        <v>2008</v>
      </c>
      <c r="E55" s="156">
        <v>7</v>
      </c>
      <c r="F55" s="156">
        <v>0.2</v>
      </c>
      <c r="H55" s="156" t="s">
        <v>52</v>
      </c>
      <c r="I55" s="156">
        <v>7</v>
      </c>
      <c r="J55" s="156">
        <f t="shared" si="19"/>
        <v>2015</v>
      </c>
      <c r="M55" s="156">
        <f>(46818.35+2714.56)</f>
        <v>49532.909999999996</v>
      </c>
      <c r="O55" s="157">
        <f t="shared" si="20"/>
        <v>39626.327999999994</v>
      </c>
      <c r="P55" s="157">
        <f t="shared" si="21"/>
        <v>471.74199999999996</v>
      </c>
      <c r="Q55" s="157">
        <f t="shared" si="22"/>
        <v>0</v>
      </c>
      <c r="R55" s="157">
        <f t="shared" si="23"/>
        <v>0</v>
      </c>
      <c r="S55" s="157">
        <f t="shared" si="24"/>
        <v>0</v>
      </c>
      <c r="T55" s="157">
        <v>1</v>
      </c>
      <c r="U55" s="157">
        <f t="shared" si="25"/>
        <v>0</v>
      </c>
      <c r="W55" s="157">
        <f t="shared" si="26"/>
        <v>39626.327999999994</v>
      </c>
      <c r="X55" s="157">
        <f t="shared" si="27"/>
        <v>39626.327999999994</v>
      </c>
      <c r="Y55" s="157">
        <v>1</v>
      </c>
      <c r="Z55" s="157">
        <f t="shared" si="28"/>
        <v>39626.327999999994</v>
      </c>
      <c r="AA55" s="157">
        <f t="shared" si="29"/>
        <v>39626.327999999994</v>
      </c>
      <c r="AB55" s="157">
        <f t="shared" si="30"/>
        <v>9906.5820000000022</v>
      </c>
      <c r="AC55" s="157">
        <f t="shared" si="31"/>
        <v>2008.5</v>
      </c>
      <c r="AD55" s="157">
        <f t="shared" si="32"/>
        <v>2017</v>
      </c>
      <c r="AE55" s="157">
        <f t="shared" si="33"/>
        <v>2015.5</v>
      </c>
      <c r="AF55" s="157">
        <f t="shared" si="34"/>
        <v>2016</v>
      </c>
      <c r="AG55" s="157">
        <f t="shared" si="35"/>
        <v>-8.3333333333333329E-2</v>
      </c>
    </row>
    <row r="56" spans="1:33">
      <c r="B56" s="156">
        <v>1</v>
      </c>
      <c r="C56" s="156" t="s">
        <v>184</v>
      </c>
      <c r="D56" s="156">
        <v>2009</v>
      </c>
      <c r="E56" s="156">
        <v>6</v>
      </c>
      <c r="F56" s="156">
        <v>0</v>
      </c>
      <c r="H56" s="156" t="s">
        <v>52</v>
      </c>
      <c r="I56" s="156">
        <v>7</v>
      </c>
      <c r="J56" s="156">
        <f t="shared" si="19"/>
        <v>2016</v>
      </c>
      <c r="M56" s="156">
        <f>13737.83</f>
        <v>13737.83</v>
      </c>
      <c r="O56" s="157">
        <f t="shared" si="20"/>
        <v>13737.83</v>
      </c>
      <c r="P56" s="157">
        <f t="shared" si="21"/>
        <v>163.54559523809525</v>
      </c>
      <c r="Q56" s="157">
        <f t="shared" si="22"/>
        <v>817.72797619062499</v>
      </c>
      <c r="R56" s="157">
        <f t="shared" si="23"/>
        <v>0</v>
      </c>
      <c r="S56" s="157">
        <f t="shared" si="24"/>
        <v>817.72797619062499</v>
      </c>
      <c r="T56" s="157">
        <v>1</v>
      </c>
      <c r="U56" s="157">
        <f t="shared" si="25"/>
        <v>817.72797619062499</v>
      </c>
      <c r="W56" s="157">
        <f t="shared" si="26"/>
        <v>12920.102023809375</v>
      </c>
      <c r="X56" s="157">
        <f t="shared" si="27"/>
        <v>12920.102023809375</v>
      </c>
      <c r="Y56" s="157">
        <v>1</v>
      </c>
      <c r="Z56" s="157">
        <f t="shared" si="28"/>
        <v>12920.102023809375</v>
      </c>
      <c r="AA56" s="157">
        <f t="shared" si="29"/>
        <v>13737.83</v>
      </c>
      <c r="AB56" s="157">
        <f t="shared" si="30"/>
        <v>408.86398809531238</v>
      </c>
      <c r="AC56" s="157">
        <f t="shared" si="31"/>
        <v>2009.4166666666667</v>
      </c>
      <c r="AD56" s="157">
        <f t="shared" si="32"/>
        <v>2017</v>
      </c>
      <c r="AE56" s="157">
        <f t="shared" si="33"/>
        <v>2016.4166666666667</v>
      </c>
      <c r="AF56" s="157">
        <f t="shared" si="34"/>
        <v>2016</v>
      </c>
      <c r="AG56" s="157">
        <f t="shared" si="35"/>
        <v>-8.3333333333333329E-2</v>
      </c>
    </row>
    <row r="57" spans="1:33">
      <c r="C57" s="156" t="s">
        <v>196</v>
      </c>
      <c r="D57" s="156">
        <v>2010</v>
      </c>
      <c r="E57" s="156">
        <v>11</v>
      </c>
      <c r="F57" s="156">
        <v>0</v>
      </c>
      <c r="H57" s="156" t="s">
        <v>52</v>
      </c>
      <c r="I57" s="156">
        <v>5</v>
      </c>
      <c r="J57" s="156">
        <f t="shared" si="19"/>
        <v>2015</v>
      </c>
      <c r="M57" s="156">
        <f>7651</f>
        <v>7651</v>
      </c>
      <c r="O57" s="157">
        <f t="shared" si="20"/>
        <v>7651</v>
      </c>
      <c r="P57" s="157">
        <f t="shared" si="21"/>
        <v>127.51666666666667</v>
      </c>
      <c r="Q57" s="157">
        <f t="shared" si="22"/>
        <v>0</v>
      </c>
      <c r="R57" s="157">
        <f t="shared" si="23"/>
        <v>0</v>
      </c>
      <c r="S57" s="157">
        <f t="shared" si="24"/>
        <v>0</v>
      </c>
      <c r="T57" s="157">
        <v>1</v>
      </c>
      <c r="U57" s="157">
        <f t="shared" si="25"/>
        <v>0</v>
      </c>
      <c r="W57" s="157">
        <f t="shared" si="26"/>
        <v>7651</v>
      </c>
      <c r="X57" s="157">
        <f t="shared" si="27"/>
        <v>7651</v>
      </c>
      <c r="Y57" s="157">
        <v>1</v>
      </c>
      <c r="Z57" s="157">
        <f t="shared" si="28"/>
        <v>7651</v>
      </c>
      <c r="AA57" s="157">
        <f t="shared" si="29"/>
        <v>7651</v>
      </c>
      <c r="AB57" s="157">
        <f t="shared" si="30"/>
        <v>0</v>
      </c>
      <c r="AC57" s="157">
        <f t="shared" si="31"/>
        <v>2010.8333333333333</v>
      </c>
      <c r="AD57" s="157">
        <f t="shared" si="32"/>
        <v>2017</v>
      </c>
      <c r="AE57" s="157">
        <f t="shared" si="33"/>
        <v>2015.8333333333333</v>
      </c>
      <c r="AF57" s="157">
        <f t="shared" si="34"/>
        <v>2016</v>
      </c>
      <c r="AG57" s="157">
        <f t="shared" si="35"/>
        <v>-8.3333333333333329E-2</v>
      </c>
    </row>
    <row r="58" spans="1:33">
      <c r="C58" s="156" t="s">
        <v>197</v>
      </c>
      <c r="D58" s="156">
        <v>2010</v>
      </c>
      <c r="E58" s="156">
        <v>4</v>
      </c>
      <c r="F58" s="156">
        <v>0</v>
      </c>
      <c r="H58" s="156" t="s">
        <v>52</v>
      </c>
      <c r="I58" s="156">
        <v>5</v>
      </c>
      <c r="J58" s="156">
        <f t="shared" si="19"/>
        <v>2015</v>
      </c>
      <c r="M58" s="156">
        <f>5464.99</f>
        <v>5464.99</v>
      </c>
      <c r="O58" s="157">
        <f t="shared" si="20"/>
        <v>5464.99</v>
      </c>
      <c r="P58" s="157">
        <f t="shared" si="21"/>
        <v>91.083166666666671</v>
      </c>
      <c r="Q58" s="157">
        <f t="shared" si="22"/>
        <v>0</v>
      </c>
      <c r="R58" s="157">
        <f t="shared" si="23"/>
        <v>0</v>
      </c>
      <c r="S58" s="157">
        <f t="shared" si="24"/>
        <v>0</v>
      </c>
      <c r="T58" s="157">
        <v>1</v>
      </c>
      <c r="U58" s="157">
        <f t="shared" si="25"/>
        <v>0</v>
      </c>
      <c r="W58" s="157">
        <f t="shared" si="26"/>
        <v>5464.99</v>
      </c>
      <c r="X58" s="157">
        <f t="shared" si="27"/>
        <v>5464.99</v>
      </c>
      <c r="Y58" s="157">
        <v>1</v>
      </c>
      <c r="Z58" s="157">
        <f t="shared" si="28"/>
        <v>5464.99</v>
      </c>
      <c r="AA58" s="157">
        <f t="shared" si="29"/>
        <v>5464.99</v>
      </c>
      <c r="AB58" s="157">
        <f t="shared" si="30"/>
        <v>0</v>
      </c>
      <c r="AC58" s="157">
        <f t="shared" si="31"/>
        <v>2010.25</v>
      </c>
      <c r="AD58" s="157">
        <f t="shared" si="32"/>
        <v>2017</v>
      </c>
      <c r="AE58" s="157">
        <f t="shared" si="33"/>
        <v>2015.25</v>
      </c>
      <c r="AF58" s="157">
        <f t="shared" si="34"/>
        <v>2016</v>
      </c>
      <c r="AG58" s="157">
        <f t="shared" si="35"/>
        <v>-8.3333333333333329E-2</v>
      </c>
    </row>
    <row r="59" spans="1:33">
      <c r="A59" s="156">
        <v>89091</v>
      </c>
      <c r="B59" s="156">
        <v>1</v>
      </c>
      <c r="C59" s="156" t="s">
        <v>226</v>
      </c>
      <c r="D59" s="156">
        <v>2011</v>
      </c>
      <c r="E59" s="156">
        <v>12</v>
      </c>
      <c r="F59" s="156">
        <v>0</v>
      </c>
      <c r="H59" s="156" t="s">
        <v>52</v>
      </c>
      <c r="I59" s="156">
        <v>5</v>
      </c>
      <c r="J59" s="156">
        <f t="shared" si="19"/>
        <v>2016</v>
      </c>
      <c r="M59" s="156">
        <f>858</f>
        <v>858</v>
      </c>
      <c r="O59" s="157">
        <f t="shared" si="20"/>
        <v>858</v>
      </c>
      <c r="P59" s="157">
        <f t="shared" si="21"/>
        <v>14.299999999999999</v>
      </c>
      <c r="Q59" s="157">
        <f t="shared" si="22"/>
        <v>157.300000000013</v>
      </c>
      <c r="R59" s="157">
        <f t="shared" si="23"/>
        <v>0</v>
      </c>
      <c r="S59" s="157">
        <f t="shared" si="24"/>
        <v>157.300000000013</v>
      </c>
      <c r="T59" s="157">
        <v>1</v>
      </c>
      <c r="U59" s="157">
        <f t="shared" si="25"/>
        <v>157.300000000013</v>
      </c>
      <c r="W59" s="157">
        <f t="shared" si="26"/>
        <v>700.69999999998697</v>
      </c>
      <c r="X59" s="157">
        <f t="shared" si="27"/>
        <v>700.69999999998697</v>
      </c>
      <c r="Y59" s="157">
        <v>1</v>
      </c>
      <c r="Z59" s="157">
        <f t="shared" si="28"/>
        <v>700.69999999998697</v>
      </c>
      <c r="AA59" s="157">
        <f t="shared" si="29"/>
        <v>858</v>
      </c>
      <c r="AB59" s="157">
        <f t="shared" si="30"/>
        <v>78.650000000006514</v>
      </c>
      <c r="AC59" s="157">
        <f t="shared" si="31"/>
        <v>2011.9166666666667</v>
      </c>
      <c r="AD59" s="157">
        <f t="shared" si="32"/>
        <v>2017</v>
      </c>
      <c r="AE59" s="157">
        <f t="shared" si="33"/>
        <v>2016.9166666666667</v>
      </c>
      <c r="AF59" s="157">
        <f t="shared" si="34"/>
        <v>2016</v>
      </c>
      <c r="AG59" s="157">
        <f t="shared" si="35"/>
        <v>-8.3333333333333329E-2</v>
      </c>
    </row>
    <row r="60" spans="1:33">
      <c r="A60" s="156" t="s">
        <v>292</v>
      </c>
      <c r="C60" s="156" t="s">
        <v>293</v>
      </c>
      <c r="D60" s="156">
        <v>2011</v>
      </c>
      <c r="E60" s="156">
        <v>3</v>
      </c>
      <c r="F60" s="156">
        <v>0</v>
      </c>
      <c r="H60" s="156" t="s">
        <v>52</v>
      </c>
      <c r="I60" s="156">
        <v>5</v>
      </c>
      <c r="J60" s="156">
        <f t="shared" si="19"/>
        <v>2016</v>
      </c>
      <c r="M60" s="156">
        <v>9838.58</v>
      </c>
      <c r="O60" s="157">
        <f t="shared" si="20"/>
        <v>9838.58</v>
      </c>
      <c r="P60" s="157">
        <f t="shared" si="21"/>
        <v>163.97633333333332</v>
      </c>
      <c r="Q60" s="157">
        <f t="shared" si="22"/>
        <v>327.95266666681579</v>
      </c>
      <c r="R60" s="157">
        <f t="shared" si="23"/>
        <v>0</v>
      </c>
      <c r="S60" s="157">
        <f t="shared" si="24"/>
        <v>327.95266666681579</v>
      </c>
      <c r="T60" s="157">
        <v>1</v>
      </c>
      <c r="U60" s="157">
        <f t="shared" si="25"/>
        <v>327.95266666681579</v>
      </c>
      <c r="W60" s="157">
        <f t="shared" si="26"/>
        <v>9510.6273333331847</v>
      </c>
      <c r="X60" s="157">
        <f t="shared" si="27"/>
        <v>9510.6273333331847</v>
      </c>
      <c r="Y60" s="157">
        <v>1</v>
      </c>
      <c r="Z60" s="157">
        <f t="shared" si="28"/>
        <v>9510.6273333331847</v>
      </c>
      <c r="AA60" s="157">
        <f t="shared" si="29"/>
        <v>9838.58</v>
      </c>
      <c r="AB60" s="157">
        <f t="shared" si="30"/>
        <v>163.97633333340764</v>
      </c>
      <c r="AC60" s="157">
        <f t="shared" si="31"/>
        <v>2011.1666666666667</v>
      </c>
      <c r="AD60" s="157">
        <f t="shared" si="32"/>
        <v>2017</v>
      </c>
      <c r="AE60" s="157">
        <f t="shared" si="33"/>
        <v>2016.1666666666667</v>
      </c>
      <c r="AF60" s="157">
        <f t="shared" si="34"/>
        <v>2016</v>
      </c>
      <c r="AG60" s="157">
        <f t="shared" si="35"/>
        <v>-8.3333333333333329E-2</v>
      </c>
    </row>
    <row r="61" spans="1:33">
      <c r="A61" s="156">
        <v>95043</v>
      </c>
      <c r="C61" s="156" t="s">
        <v>244</v>
      </c>
      <c r="D61" s="156">
        <v>2012</v>
      </c>
      <c r="E61" s="156">
        <v>4</v>
      </c>
      <c r="F61" s="156">
        <v>0</v>
      </c>
      <c r="H61" s="156" t="s">
        <v>52</v>
      </c>
      <c r="I61" s="156">
        <v>5</v>
      </c>
      <c r="J61" s="156">
        <f t="shared" si="19"/>
        <v>2017</v>
      </c>
      <c r="M61" s="156">
        <f>1398.18</f>
        <v>1398.18</v>
      </c>
      <c r="O61" s="157">
        <f t="shared" si="20"/>
        <v>1398.18</v>
      </c>
      <c r="P61" s="157">
        <f t="shared" si="21"/>
        <v>23.303000000000001</v>
      </c>
      <c r="Q61" s="157">
        <f t="shared" si="22"/>
        <v>279.63600000000002</v>
      </c>
      <c r="R61" s="157">
        <f t="shared" si="23"/>
        <v>0</v>
      </c>
      <c r="S61" s="157">
        <f t="shared" si="24"/>
        <v>279.63600000000002</v>
      </c>
      <c r="T61" s="157">
        <v>1</v>
      </c>
      <c r="U61" s="157">
        <f t="shared" si="25"/>
        <v>279.63600000000002</v>
      </c>
      <c r="W61" s="157">
        <f t="shared" si="26"/>
        <v>1048.635</v>
      </c>
      <c r="X61" s="157">
        <f t="shared" si="27"/>
        <v>1048.635</v>
      </c>
      <c r="Y61" s="157">
        <v>1</v>
      </c>
      <c r="Z61" s="157">
        <f t="shared" si="28"/>
        <v>1048.635</v>
      </c>
      <c r="AA61" s="157">
        <f t="shared" si="29"/>
        <v>1328.271</v>
      </c>
      <c r="AB61" s="157">
        <f t="shared" si="30"/>
        <v>209.72700000000009</v>
      </c>
      <c r="AC61" s="157">
        <f t="shared" si="31"/>
        <v>2012.25</v>
      </c>
      <c r="AD61" s="157">
        <f t="shared" si="32"/>
        <v>2017</v>
      </c>
      <c r="AE61" s="157">
        <f t="shared" si="33"/>
        <v>2017.25</v>
      </c>
      <c r="AF61" s="157">
        <f t="shared" si="34"/>
        <v>2016</v>
      </c>
      <c r="AG61" s="157">
        <f t="shared" si="35"/>
        <v>-8.3333333333333329E-2</v>
      </c>
    </row>
    <row r="62" spans="1:33">
      <c r="A62" s="156">
        <v>107188</v>
      </c>
      <c r="C62" s="156" t="s">
        <v>283</v>
      </c>
      <c r="D62" s="156">
        <v>2012</v>
      </c>
      <c r="E62" s="156">
        <v>7</v>
      </c>
      <c r="F62" s="156">
        <v>0</v>
      </c>
      <c r="H62" s="156" t="s">
        <v>52</v>
      </c>
      <c r="I62" s="156">
        <v>5</v>
      </c>
      <c r="J62" s="156">
        <f t="shared" si="19"/>
        <v>2017</v>
      </c>
      <c r="M62" s="156">
        <v>649.16999999999996</v>
      </c>
      <c r="O62" s="157">
        <f t="shared" si="20"/>
        <v>649.16999999999996</v>
      </c>
      <c r="P62" s="157">
        <f t="shared" si="21"/>
        <v>10.8195</v>
      </c>
      <c r="Q62" s="157">
        <f t="shared" si="22"/>
        <v>129.834</v>
      </c>
      <c r="R62" s="157">
        <f t="shared" si="23"/>
        <v>0</v>
      </c>
      <c r="S62" s="157">
        <f t="shared" si="24"/>
        <v>129.834</v>
      </c>
      <c r="T62" s="157">
        <v>1</v>
      </c>
      <c r="U62" s="157">
        <f t="shared" si="25"/>
        <v>129.834</v>
      </c>
      <c r="W62" s="157">
        <f t="shared" si="26"/>
        <v>454.41899999999998</v>
      </c>
      <c r="X62" s="157">
        <f t="shared" si="27"/>
        <v>454.41899999999998</v>
      </c>
      <c r="Y62" s="157">
        <v>1</v>
      </c>
      <c r="Z62" s="157">
        <f t="shared" si="28"/>
        <v>454.41899999999998</v>
      </c>
      <c r="AA62" s="157">
        <f t="shared" si="29"/>
        <v>584.25299999999993</v>
      </c>
      <c r="AB62" s="157">
        <f t="shared" si="30"/>
        <v>129.834</v>
      </c>
      <c r="AC62" s="157">
        <f t="shared" si="31"/>
        <v>2012.5</v>
      </c>
      <c r="AD62" s="157">
        <f t="shared" si="32"/>
        <v>2017</v>
      </c>
      <c r="AE62" s="157">
        <f t="shared" si="33"/>
        <v>2017.5</v>
      </c>
      <c r="AF62" s="157">
        <f t="shared" si="34"/>
        <v>2016</v>
      </c>
      <c r="AG62" s="157">
        <f t="shared" si="35"/>
        <v>-8.3333333333333329E-2</v>
      </c>
    </row>
    <row r="63" spans="1:33">
      <c r="A63" s="156">
        <v>107187</v>
      </c>
      <c r="C63" s="156" t="s">
        <v>282</v>
      </c>
      <c r="D63" s="156">
        <v>2012</v>
      </c>
      <c r="E63" s="156">
        <v>1</v>
      </c>
      <c r="F63" s="156">
        <v>0</v>
      </c>
      <c r="H63" s="156" t="s">
        <v>52</v>
      </c>
      <c r="I63" s="156">
        <v>5</v>
      </c>
      <c r="J63" s="156">
        <f t="shared" si="19"/>
        <v>2017</v>
      </c>
      <c r="M63" s="156">
        <v>564.44000000000005</v>
      </c>
      <c r="O63" s="157">
        <f t="shared" si="20"/>
        <v>564.44000000000005</v>
      </c>
      <c r="P63" s="157">
        <f t="shared" si="21"/>
        <v>9.4073333333333338</v>
      </c>
      <c r="Q63" s="157">
        <f t="shared" si="22"/>
        <v>112.88800000000001</v>
      </c>
      <c r="R63" s="157">
        <f t="shared" si="23"/>
        <v>0</v>
      </c>
      <c r="S63" s="157">
        <f t="shared" si="24"/>
        <v>112.88800000000001</v>
      </c>
      <c r="T63" s="157">
        <v>1</v>
      </c>
      <c r="U63" s="157">
        <f t="shared" si="25"/>
        <v>112.88800000000001</v>
      </c>
      <c r="W63" s="157">
        <f t="shared" si="26"/>
        <v>451.55200000000002</v>
      </c>
      <c r="X63" s="157">
        <f t="shared" si="27"/>
        <v>451.55200000000002</v>
      </c>
      <c r="Y63" s="157">
        <v>1</v>
      </c>
      <c r="Z63" s="157">
        <f t="shared" si="28"/>
        <v>451.55200000000002</v>
      </c>
      <c r="AA63" s="157">
        <f t="shared" si="29"/>
        <v>564.44000000000005</v>
      </c>
      <c r="AB63" s="157">
        <f t="shared" si="30"/>
        <v>56.444000000000017</v>
      </c>
      <c r="AC63" s="157">
        <f t="shared" si="31"/>
        <v>2012</v>
      </c>
      <c r="AD63" s="157">
        <f t="shared" si="32"/>
        <v>2017</v>
      </c>
      <c r="AE63" s="157">
        <f t="shared" si="33"/>
        <v>2017</v>
      </c>
      <c r="AF63" s="157">
        <f t="shared" si="34"/>
        <v>2016</v>
      </c>
      <c r="AG63" s="157">
        <f t="shared" si="35"/>
        <v>-8.3333333333333329E-2</v>
      </c>
    </row>
    <row r="64" spans="1:33">
      <c r="A64" s="156">
        <v>110092</v>
      </c>
      <c r="C64" s="156" t="s">
        <v>284</v>
      </c>
      <c r="D64" s="156">
        <v>2013</v>
      </c>
      <c r="E64" s="156">
        <v>12</v>
      </c>
      <c r="F64" s="156">
        <v>0</v>
      </c>
      <c r="H64" s="156" t="s">
        <v>52</v>
      </c>
      <c r="I64" s="156">
        <v>5</v>
      </c>
      <c r="J64" s="156">
        <f t="shared" si="19"/>
        <v>2018</v>
      </c>
      <c r="M64" s="156">
        <v>2337.39</v>
      </c>
      <c r="O64" s="157">
        <f t="shared" si="20"/>
        <v>2337.39</v>
      </c>
      <c r="P64" s="157">
        <f t="shared" si="21"/>
        <v>38.956499999999998</v>
      </c>
      <c r="Q64" s="157">
        <f t="shared" si="22"/>
        <v>467.47799999999995</v>
      </c>
      <c r="R64" s="157">
        <f t="shared" si="23"/>
        <v>0</v>
      </c>
      <c r="S64" s="157">
        <f t="shared" si="24"/>
        <v>467.47799999999995</v>
      </c>
      <c r="T64" s="157">
        <v>1</v>
      </c>
      <c r="U64" s="157">
        <f t="shared" si="25"/>
        <v>467.47799999999995</v>
      </c>
      <c r="W64" s="157">
        <f t="shared" si="26"/>
        <v>973.91249999996455</v>
      </c>
      <c r="X64" s="157">
        <f t="shared" si="27"/>
        <v>973.91249999996455</v>
      </c>
      <c r="Y64" s="157">
        <v>1</v>
      </c>
      <c r="Z64" s="157">
        <f t="shared" si="28"/>
        <v>973.91249999996455</v>
      </c>
      <c r="AA64" s="157">
        <f t="shared" si="29"/>
        <v>1441.3904999999645</v>
      </c>
      <c r="AB64" s="157">
        <f t="shared" si="30"/>
        <v>1129.7385000000354</v>
      </c>
      <c r="AC64" s="157">
        <f t="shared" si="31"/>
        <v>2013.9166666666667</v>
      </c>
      <c r="AD64" s="157">
        <f t="shared" si="32"/>
        <v>2017</v>
      </c>
      <c r="AE64" s="157">
        <f t="shared" si="33"/>
        <v>2018.9166666666667</v>
      </c>
      <c r="AF64" s="157">
        <f t="shared" si="34"/>
        <v>2016</v>
      </c>
      <c r="AG64" s="157">
        <f t="shared" si="35"/>
        <v>-8.3333333333333329E-2</v>
      </c>
    </row>
    <row r="65" spans="1:33">
      <c r="A65" s="156">
        <v>110093</v>
      </c>
      <c r="C65" s="156" t="s">
        <v>285</v>
      </c>
      <c r="D65" s="156">
        <v>2013</v>
      </c>
      <c r="E65" s="156">
        <v>12</v>
      </c>
      <c r="F65" s="156">
        <v>0</v>
      </c>
      <c r="H65" s="156" t="s">
        <v>52</v>
      </c>
      <c r="I65" s="156">
        <v>5</v>
      </c>
      <c r="J65" s="156">
        <f t="shared" si="19"/>
        <v>2018</v>
      </c>
      <c r="M65" s="156">
        <v>5343.25</v>
      </c>
      <c r="O65" s="157">
        <f t="shared" si="20"/>
        <v>5343.25</v>
      </c>
      <c r="P65" s="157">
        <f t="shared" si="21"/>
        <v>89.054166666666674</v>
      </c>
      <c r="Q65" s="157">
        <f t="shared" si="22"/>
        <v>1068.6500000000001</v>
      </c>
      <c r="R65" s="157">
        <f t="shared" si="23"/>
        <v>0</v>
      </c>
      <c r="S65" s="157">
        <f t="shared" si="24"/>
        <v>1068.6500000000001</v>
      </c>
      <c r="T65" s="157">
        <v>1</v>
      </c>
      <c r="U65" s="157">
        <f t="shared" si="25"/>
        <v>1068.6500000000001</v>
      </c>
      <c r="W65" s="157">
        <f t="shared" si="26"/>
        <v>2226.354166666586</v>
      </c>
      <c r="X65" s="157">
        <f t="shared" si="27"/>
        <v>2226.354166666586</v>
      </c>
      <c r="Y65" s="157">
        <v>1</v>
      </c>
      <c r="Z65" s="157">
        <f t="shared" si="28"/>
        <v>2226.354166666586</v>
      </c>
      <c r="AA65" s="157">
        <f t="shared" si="29"/>
        <v>3295.0041666665861</v>
      </c>
      <c r="AB65" s="157">
        <f t="shared" si="30"/>
        <v>2582.5708333334142</v>
      </c>
      <c r="AC65" s="157">
        <f t="shared" si="31"/>
        <v>2013.9166666666667</v>
      </c>
      <c r="AD65" s="157">
        <f t="shared" si="32"/>
        <v>2017</v>
      </c>
      <c r="AE65" s="157">
        <f t="shared" si="33"/>
        <v>2018.9166666666667</v>
      </c>
      <c r="AF65" s="157">
        <f t="shared" si="34"/>
        <v>2016</v>
      </c>
      <c r="AG65" s="157">
        <f t="shared" si="35"/>
        <v>-8.3333333333333329E-2</v>
      </c>
    </row>
    <row r="66" spans="1:33">
      <c r="A66" s="156">
        <v>110094</v>
      </c>
      <c r="C66" s="156" t="s">
        <v>296</v>
      </c>
      <c r="D66" s="156">
        <v>2013</v>
      </c>
      <c r="E66" s="156">
        <v>12</v>
      </c>
      <c r="F66" s="156">
        <v>0</v>
      </c>
      <c r="H66" s="156" t="s">
        <v>52</v>
      </c>
      <c r="I66" s="156">
        <v>5</v>
      </c>
      <c r="J66" s="156">
        <f t="shared" si="19"/>
        <v>2018</v>
      </c>
      <c r="M66" s="156">
        <v>14544.51</v>
      </c>
      <c r="O66" s="157">
        <f t="shared" si="20"/>
        <v>14544.51</v>
      </c>
      <c r="P66" s="157">
        <f t="shared" si="21"/>
        <v>242.4085</v>
      </c>
      <c r="Q66" s="157">
        <f t="shared" si="22"/>
        <v>2908.902</v>
      </c>
      <c r="R66" s="157">
        <f t="shared" si="23"/>
        <v>0</v>
      </c>
      <c r="S66" s="157">
        <f t="shared" si="24"/>
        <v>2908.902</v>
      </c>
      <c r="T66" s="157">
        <v>1</v>
      </c>
      <c r="U66" s="157">
        <f t="shared" si="25"/>
        <v>2908.902</v>
      </c>
      <c r="W66" s="157">
        <f t="shared" si="26"/>
        <v>6060.2124999997795</v>
      </c>
      <c r="X66" s="157">
        <f t="shared" si="27"/>
        <v>6060.2124999997795</v>
      </c>
      <c r="Y66" s="157">
        <v>1</v>
      </c>
      <c r="Z66" s="157">
        <f t="shared" si="28"/>
        <v>6060.2124999997795</v>
      </c>
      <c r="AA66" s="157">
        <f t="shared" si="29"/>
        <v>8969.1144999997796</v>
      </c>
      <c r="AB66" s="157">
        <f t="shared" si="30"/>
        <v>7029.8465000002207</v>
      </c>
      <c r="AC66" s="157">
        <f t="shared" si="31"/>
        <v>2013.9166666666667</v>
      </c>
      <c r="AD66" s="157">
        <f t="shared" si="32"/>
        <v>2017</v>
      </c>
      <c r="AE66" s="157">
        <f t="shared" si="33"/>
        <v>2018.9166666666667</v>
      </c>
      <c r="AF66" s="157">
        <f t="shared" si="34"/>
        <v>2016</v>
      </c>
      <c r="AG66" s="157">
        <f t="shared" si="35"/>
        <v>-8.3333333333333329E-2</v>
      </c>
    </row>
    <row r="67" spans="1:33">
      <c r="A67" s="156">
        <v>110969</v>
      </c>
      <c r="B67" s="156">
        <v>127</v>
      </c>
      <c r="C67" s="156" t="s">
        <v>308</v>
      </c>
      <c r="D67" s="156">
        <v>2014</v>
      </c>
      <c r="E67" s="156">
        <v>2</v>
      </c>
      <c r="F67" s="156">
        <v>0.2</v>
      </c>
      <c r="H67" s="156" t="s">
        <v>52</v>
      </c>
      <c r="I67" s="156">
        <v>7</v>
      </c>
      <c r="J67" s="156">
        <f t="shared" si="19"/>
        <v>2021</v>
      </c>
      <c r="M67" s="156">
        <v>74932.75</v>
      </c>
      <c r="O67" s="157">
        <f t="shared" si="20"/>
        <v>59946.2</v>
      </c>
      <c r="P67" s="157">
        <f t="shared" si="21"/>
        <v>713.64523809523814</v>
      </c>
      <c r="Q67" s="157">
        <f t="shared" si="22"/>
        <v>8563.7428571428572</v>
      </c>
      <c r="R67" s="157">
        <f t="shared" si="23"/>
        <v>0</v>
      </c>
      <c r="S67" s="157">
        <f t="shared" si="24"/>
        <v>8563.7428571428572</v>
      </c>
      <c r="T67" s="157">
        <v>1</v>
      </c>
      <c r="U67" s="157">
        <f t="shared" si="25"/>
        <v>8563.7428571428572</v>
      </c>
      <c r="W67" s="157">
        <f t="shared" si="26"/>
        <v>16413.840476191126</v>
      </c>
      <c r="X67" s="157">
        <f t="shared" si="27"/>
        <v>16413.840476191126</v>
      </c>
      <c r="Y67" s="157">
        <v>1</v>
      </c>
      <c r="Z67" s="157">
        <f t="shared" si="28"/>
        <v>16413.840476191126</v>
      </c>
      <c r="AA67" s="157">
        <f t="shared" si="29"/>
        <v>24977.583333333983</v>
      </c>
      <c r="AB67" s="157">
        <f t="shared" si="30"/>
        <v>54237.038095237447</v>
      </c>
      <c r="AC67" s="157">
        <f t="shared" si="31"/>
        <v>2014.0833333333333</v>
      </c>
      <c r="AD67" s="157">
        <f t="shared" si="32"/>
        <v>2017</v>
      </c>
      <c r="AE67" s="157">
        <f t="shared" si="33"/>
        <v>2021.0833333333333</v>
      </c>
      <c r="AF67" s="157">
        <f t="shared" si="34"/>
        <v>2016</v>
      </c>
      <c r="AG67" s="157">
        <f t="shared" si="35"/>
        <v>-8.3333333333333329E-2</v>
      </c>
    </row>
    <row r="68" spans="1:33">
      <c r="A68" s="156">
        <v>113987</v>
      </c>
      <c r="C68" s="156" t="s">
        <v>307</v>
      </c>
      <c r="D68" s="156">
        <v>2014</v>
      </c>
      <c r="E68" s="156">
        <v>6</v>
      </c>
      <c r="F68" s="156">
        <v>0</v>
      </c>
      <c r="H68" s="156" t="s">
        <v>52</v>
      </c>
      <c r="I68" s="156">
        <v>5</v>
      </c>
      <c r="J68" s="156">
        <f t="shared" si="19"/>
        <v>2019</v>
      </c>
      <c r="M68" s="156">
        <v>10194.98</v>
      </c>
      <c r="O68" s="157">
        <f t="shared" si="20"/>
        <v>10194.98</v>
      </c>
      <c r="P68" s="157">
        <f t="shared" si="21"/>
        <v>169.91633333333331</v>
      </c>
      <c r="Q68" s="157">
        <f t="shared" si="22"/>
        <v>2038.9959999999996</v>
      </c>
      <c r="R68" s="157">
        <f t="shared" si="23"/>
        <v>0</v>
      </c>
      <c r="S68" s="157">
        <f t="shared" si="24"/>
        <v>2038.9959999999996</v>
      </c>
      <c r="T68" s="157">
        <v>1</v>
      </c>
      <c r="U68" s="157">
        <f t="shared" si="25"/>
        <v>2038.9959999999996</v>
      </c>
      <c r="W68" s="157">
        <f t="shared" si="26"/>
        <v>3228.4103333331782</v>
      </c>
      <c r="X68" s="157">
        <f t="shared" si="27"/>
        <v>3228.4103333331782</v>
      </c>
      <c r="Y68" s="157">
        <v>1</v>
      </c>
      <c r="Z68" s="157">
        <f t="shared" si="28"/>
        <v>3228.4103333331782</v>
      </c>
      <c r="AA68" s="157">
        <f t="shared" si="29"/>
        <v>5267.4063333331778</v>
      </c>
      <c r="AB68" s="157">
        <f t="shared" si="30"/>
        <v>5947.0716666668213</v>
      </c>
      <c r="AC68" s="157">
        <f t="shared" si="31"/>
        <v>2014.4166666666667</v>
      </c>
      <c r="AD68" s="157">
        <f t="shared" si="32"/>
        <v>2017</v>
      </c>
      <c r="AE68" s="157">
        <f t="shared" si="33"/>
        <v>2019.4166666666667</v>
      </c>
      <c r="AF68" s="157">
        <f t="shared" si="34"/>
        <v>2016</v>
      </c>
      <c r="AG68" s="157">
        <f t="shared" si="35"/>
        <v>-8.3333333333333329E-2</v>
      </c>
    </row>
    <row r="69" spans="1:33">
      <c r="A69" s="156">
        <v>118290</v>
      </c>
      <c r="C69" s="156" t="s">
        <v>316</v>
      </c>
      <c r="D69" s="156">
        <v>2014</v>
      </c>
      <c r="E69" s="156">
        <v>11</v>
      </c>
      <c r="F69" s="156">
        <v>0</v>
      </c>
      <c r="H69" s="156" t="s">
        <v>52</v>
      </c>
      <c r="I69" s="156">
        <v>5</v>
      </c>
      <c r="J69" s="156">
        <f t="shared" si="19"/>
        <v>2019</v>
      </c>
      <c r="M69" s="156">
        <v>46736.34</v>
      </c>
      <c r="O69" s="157">
        <f t="shared" si="20"/>
        <v>46736.34</v>
      </c>
      <c r="P69" s="157">
        <f t="shared" si="21"/>
        <v>778.93899999999996</v>
      </c>
      <c r="Q69" s="157">
        <f t="shared" si="22"/>
        <v>9347.268</v>
      </c>
      <c r="R69" s="157">
        <f t="shared" si="23"/>
        <v>0</v>
      </c>
      <c r="S69" s="157">
        <f t="shared" si="24"/>
        <v>9347.268</v>
      </c>
      <c r="T69" s="157">
        <v>1</v>
      </c>
      <c r="U69" s="157">
        <f t="shared" si="25"/>
        <v>9347.268</v>
      </c>
      <c r="W69" s="157">
        <f t="shared" si="26"/>
        <v>10905.146000000708</v>
      </c>
      <c r="X69" s="157">
        <f t="shared" si="27"/>
        <v>10905.146000000708</v>
      </c>
      <c r="Y69" s="157">
        <v>1</v>
      </c>
      <c r="Z69" s="157">
        <f t="shared" si="28"/>
        <v>10905.146000000708</v>
      </c>
      <c r="AA69" s="157">
        <f t="shared" si="29"/>
        <v>20252.41400000071</v>
      </c>
      <c r="AB69" s="157">
        <f t="shared" si="30"/>
        <v>31157.559999999288</v>
      </c>
      <c r="AC69" s="157">
        <f t="shared" si="31"/>
        <v>2014.8333333333333</v>
      </c>
      <c r="AD69" s="157">
        <f t="shared" si="32"/>
        <v>2017</v>
      </c>
      <c r="AE69" s="157">
        <f t="shared" si="33"/>
        <v>2019.8333333333333</v>
      </c>
      <c r="AF69" s="157">
        <f t="shared" si="34"/>
        <v>2016</v>
      </c>
      <c r="AG69" s="157">
        <f t="shared" si="35"/>
        <v>-8.3333333333333329E-2</v>
      </c>
    </row>
    <row r="70" spans="1:33">
      <c r="A70" s="156">
        <v>117607</v>
      </c>
      <c r="C70" s="156" t="s">
        <v>317</v>
      </c>
      <c r="D70" s="156">
        <v>2014</v>
      </c>
      <c r="E70" s="156">
        <v>11</v>
      </c>
      <c r="F70" s="156">
        <v>0.2</v>
      </c>
      <c r="H70" s="156" t="s">
        <v>52</v>
      </c>
      <c r="I70" s="156">
        <v>7</v>
      </c>
      <c r="J70" s="156">
        <f t="shared" si="19"/>
        <v>2021</v>
      </c>
      <c r="M70" s="156">
        <v>6499.27</v>
      </c>
      <c r="O70" s="157">
        <f t="shared" si="20"/>
        <v>5199.4160000000002</v>
      </c>
      <c r="P70" s="157">
        <f t="shared" si="21"/>
        <v>61.897809523809521</v>
      </c>
      <c r="Q70" s="157">
        <f t="shared" si="22"/>
        <v>742.77371428571428</v>
      </c>
      <c r="R70" s="157">
        <f t="shared" si="23"/>
        <v>0</v>
      </c>
      <c r="S70" s="157">
        <f t="shared" si="24"/>
        <v>742.77371428571428</v>
      </c>
      <c r="T70" s="157">
        <v>1</v>
      </c>
      <c r="U70" s="157">
        <f t="shared" si="25"/>
        <v>742.77371428571428</v>
      </c>
      <c r="W70" s="157">
        <f t="shared" si="26"/>
        <v>866.56933333338964</v>
      </c>
      <c r="X70" s="157">
        <f t="shared" si="27"/>
        <v>866.56933333338964</v>
      </c>
      <c r="Y70" s="157">
        <v>1</v>
      </c>
      <c r="Z70" s="157">
        <f t="shared" si="28"/>
        <v>866.56933333338964</v>
      </c>
      <c r="AA70" s="157">
        <f t="shared" si="29"/>
        <v>1609.3430476191038</v>
      </c>
      <c r="AB70" s="157">
        <f t="shared" si="30"/>
        <v>5261.3138095237537</v>
      </c>
      <c r="AC70" s="157">
        <f t="shared" si="31"/>
        <v>2014.8333333333333</v>
      </c>
      <c r="AD70" s="157">
        <f t="shared" si="32"/>
        <v>2017</v>
      </c>
      <c r="AE70" s="157">
        <f t="shared" si="33"/>
        <v>2021.8333333333333</v>
      </c>
      <c r="AF70" s="157">
        <f t="shared" si="34"/>
        <v>2016</v>
      </c>
      <c r="AG70" s="157">
        <f t="shared" si="35"/>
        <v>-8.3333333333333329E-2</v>
      </c>
    </row>
    <row r="71" spans="1:33">
      <c r="A71" s="156">
        <v>118482</v>
      </c>
      <c r="C71" s="156" t="s">
        <v>318</v>
      </c>
      <c r="D71" s="156">
        <v>2014</v>
      </c>
      <c r="E71" s="156">
        <v>12</v>
      </c>
      <c r="F71" s="156">
        <v>0</v>
      </c>
      <c r="H71" s="156" t="s">
        <v>52</v>
      </c>
      <c r="I71" s="156">
        <v>5</v>
      </c>
      <c r="J71" s="156">
        <f t="shared" si="19"/>
        <v>2019</v>
      </c>
      <c r="M71" s="156">
        <v>14933.1</v>
      </c>
      <c r="O71" s="157">
        <f t="shared" si="20"/>
        <v>14933.1</v>
      </c>
      <c r="P71" s="157">
        <f t="shared" si="21"/>
        <v>248.88499999999999</v>
      </c>
      <c r="Q71" s="157">
        <f t="shared" si="22"/>
        <v>2986.62</v>
      </c>
      <c r="R71" s="157">
        <f t="shared" si="23"/>
        <v>0</v>
      </c>
      <c r="S71" s="157">
        <f t="shared" si="24"/>
        <v>2986.62</v>
      </c>
      <c r="T71" s="157">
        <v>1</v>
      </c>
      <c r="U71" s="157">
        <f t="shared" si="25"/>
        <v>2986.62</v>
      </c>
      <c r="W71" s="157">
        <f t="shared" si="26"/>
        <v>3235.5049999997736</v>
      </c>
      <c r="X71" s="157">
        <f t="shared" si="27"/>
        <v>3235.5049999997736</v>
      </c>
      <c r="Y71" s="157">
        <v>1</v>
      </c>
      <c r="Z71" s="157">
        <f t="shared" si="28"/>
        <v>3235.5049999997736</v>
      </c>
      <c r="AA71" s="157">
        <f t="shared" si="29"/>
        <v>6222.1249999997735</v>
      </c>
      <c r="AB71" s="157">
        <f t="shared" si="30"/>
        <v>10204.285000000227</v>
      </c>
      <c r="AC71" s="157">
        <f t="shared" si="31"/>
        <v>2014.9166666666667</v>
      </c>
      <c r="AD71" s="157">
        <f t="shared" si="32"/>
        <v>2017</v>
      </c>
      <c r="AE71" s="157">
        <f t="shared" si="33"/>
        <v>2019.9166666666667</v>
      </c>
      <c r="AF71" s="157">
        <f t="shared" si="34"/>
        <v>2016</v>
      </c>
      <c r="AG71" s="157">
        <f t="shared" si="35"/>
        <v>-8.3333333333333329E-2</v>
      </c>
    </row>
    <row r="72" spans="1:33">
      <c r="A72" s="156">
        <v>128632</v>
      </c>
      <c r="C72" s="156" t="s">
        <v>333</v>
      </c>
      <c r="D72" s="156">
        <v>2015</v>
      </c>
      <c r="E72" s="156">
        <v>12</v>
      </c>
      <c r="F72" s="156">
        <v>0</v>
      </c>
      <c r="H72" s="156" t="s">
        <v>52</v>
      </c>
      <c r="I72" s="156">
        <v>5</v>
      </c>
      <c r="J72" s="156">
        <f t="shared" si="19"/>
        <v>2020</v>
      </c>
      <c r="M72" s="156">
        <v>9807.82</v>
      </c>
      <c r="O72" s="157">
        <f t="shared" si="20"/>
        <v>9807.82</v>
      </c>
      <c r="P72" s="157">
        <f t="shared" si="21"/>
        <v>163.46366666666665</v>
      </c>
      <c r="Q72" s="157">
        <f t="shared" si="22"/>
        <v>1961.5639999999999</v>
      </c>
      <c r="R72" s="157">
        <f t="shared" si="23"/>
        <v>0</v>
      </c>
      <c r="S72" s="157">
        <f t="shared" si="24"/>
        <v>1961.5639999999999</v>
      </c>
      <c r="T72" s="157">
        <v>1</v>
      </c>
      <c r="U72" s="157">
        <f t="shared" si="25"/>
        <v>1961.5639999999999</v>
      </c>
      <c r="W72" s="157">
        <f t="shared" si="26"/>
        <v>163.46366666651798</v>
      </c>
      <c r="X72" s="157">
        <f t="shared" si="27"/>
        <v>163.46366666651798</v>
      </c>
      <c r="Y72" s="157">
        <v>1</v>
      </c>
      <c r="Z72" s="157">
        <f t="shared" si="28"/>
        <v>163.46366666651798</v>
      </c>
      <c r="AA72" s="157">
        <f t="shared" si="29"/>
        <v>2125.0276666665177</v>
      </c>
      <c r="AB72" s="157">
        <f t="shared" si="30"/>
        <v>8663.5743333334831</v>
      </c>
      <c r="AC72" s="157">
        <f t="shared" si="31"/>
        <v>2015.9166666666667</v>
      </c>
      <c r="AD72" s="157">
        <f t="shared" si="32"/>
        <v>2017</v>
      </c>
      <c r="AE72" s="157">
        <f t="shared" si="33"/>
        <v>2020.9166666666667</v>
      </c>
      <c r="AF72" s="157">
        <f t="shared" si="34"/>
        <v>2016</v>
      </c>
      <c r="AG72" s="157">
        <f t="shared" si="35"/>
        <v>-8.3333333333333329E-2</v>
      </c>
    </row>
    <row r="73" spans="1:33">
      <c r="A73" s="156">
        <v>129739</v>
      </c>
      <c r="C73" s="156" t="s">
        <v>388</v>
      </c>
      <c r="D73" s="156">
        <v>2016</v>
      </c>
      <c r="E73" s="156">
        <v>1</v>
      </c>
      <c r="F73" s="156">
        <v>0</v>
      </c>
      <c r="H73" s="156" t="s">
        <v>52</v>
      </c>
      <c r="I73" s="156">
        <v>5</v>
      </c>
      <c r="J73" s="156">
        <f t="shared" si="19"/>
        <v>2021</v>
      </c>
      <c r="M73" s="156">
        <v>51034.44</v>
      </c>
      <c r="O73" s="157">
        <f t="shared" si="20"/>
        <v>51034.44</v>
      </c>
      <c r="P73" s="157">
        <f t="shared" si="21"/>
        <v>850.57400000000007</v>
      </c>
      <c r="Q73" s="157">
        <f>IF(N73&gt;0,0,IF(OR(AC73&gt;AD73,AE73&lt;AF73),0,IF(AND(AE73&gt;=AF73,AE73&lt;=AD73),P73*((AE73-AF73)*12),IF(AND(AF73&lt;=AC73,AD73&gt;=AC73),((AD73-AC73)*12)*P73,IF(AE73&gt;AD73,12*P73,0)))))</f>
        <v>10206.888000000001</v>
      </c>
      <c r="R73" s="157">
        <f>IF(N73=0,0,IF(AND(AG73&gt;=AF73,AG73&lt;=AE73),((AG73-AF73)*12)*P73,0))</f>
        <v>0</v>
      </c>
      <c r="S73" s="157">
        <f>IF(R73&gt;0,R73,Q73)</f>
        <v>10206.888000000001</v>
      </c>
      <c r="T73" s="157">
        <v>1</v>
      </c>
      <c r="U73" s="157">
        <f>T73*SUM(Q73:R73)</f>
        <v>10206.888000000001</v>
      </c>
      <c r="W73" s="157">
        <f>IF(AC73&gt;AD73,0,IF(AE73&lt;AF73,O73,IF(AND(AE73&gt;=AF73,AE73&lt;=AD73),(O73-S73),IF(AND(AF73&lt;=AC73,AD73&gt;=AC73),0,IF(AE73&gt;AD73,((AF73-AC73)*12)*P73,0)))))</f>
        <v>0</v>
      </c>
      <c r="X73" s="157">
        <f>W73*T73</f>
        <v>0</v>
      </c>
      <c r="Y73" s="157">
        <v>1</v>
      </c>
      <c r="Z73" s="157">
        <f>X73*Y73</f>
        <v>0</v>
      </c>
      <c r="AA73" s="157">
        <f>IF(N73&gt;0,0,Z73+U73*Y73)*Y73</f>
        <v>10206.888000000001</v>
      </c>
      <c r="AB73" s="157">
        <f>IF(N73&gt;0,(M73-Z73)/2,IF(AC73&gt;=AF73,(((M73*T73)*Y73)-AA73)/2,((((M73*T73)*Y73)-Z73)+(((M73*T73)*Y73)-AA73))/2))</f>
        <v>20413.776000000002</v>
      </c>
      <c r="AC73" s="157">
        <f t="shared" si="31"/>
        <v>2016</v>
      </c>
      <c r="AD73" s="157">
        <f t="shared" si="32"/>
        <v>2017</v>
      </c>
      <c r="AE73" s="157">
        <f t="shared" si="33"/>
        <v>2021</v>
      </c>
      <c r="AF73" s="157">
        <f t="shared" si="34"/>
        <v>2016</v>
      </c>
      <c r="AG73" s="157">
        <f t="shared" si="35"/>
        <v>-8.3333333333333329E-2</v>
      </c>
    </row>
    <row r="74" spans="1:33">
      <c r="A74" s="156">
        <v>165849</v>
      </c>
      <c r="C74" s="156" t="s">
        <v>399</v>
      </c>
      <c r="D74" s="156">
        <v>2016</v>
      </c>
      <c r="E74" s="156">
        <v>6</v>
      </c>
      <c r="F74" s="156">
        <v>0</v>
      </c>
      <c r="H74" s="156" t="s">
        <v>52</v>
      </c>
      <c r="I74" s="156">
        <v>5</v>
      </c>
      <c r="J74" s="156">
        <f>D74+I74</f>
        <v>2021</v>
      </c>
      <c r="M74" s="156">
        <v>7659.9</v>
      </c>
      <c r="O74" s="157">
        <f>M74-M74*F74</f>
        <v>7659.9</v>
      </c>
      <c r="P74" s="157">
        <f>O74/I74/12</f>
        <v>127.66500000000001</v>
      </c>
      <c r="Q74" s="157">
        <f>IF(N74&gt;0,0,IF(OR(AC74&gt;AD74,AE74&lt;AF74),0,IF(AND(AE74&gt;=AF74,AE74&lt;=AD74),P74*((AE74-AF74)*12),IF(AND(AF74&lt;=AC74,AD74&gt;=AC74),((AD74-AC74)*12)*P74,IF(AE74&gt;AD74,12*P74,0)))))</f>
        <v>893.6549999998839</v>
      </c>
      <c r="R74" s="157">
        <f>IF(N74=0,0,IF(AND(AG74&gt;=AF74,AG74&lt;=AE74),((AG74-AF74)*12)*P74,0))</f>
        <v>0</v>
      </c>
      <c r="S74" s="157">
        <f>IF(R74&gt;0,R74,Q74)</f>
        <v>893.6549999998839</v>
      </c>
      <c r="T74" s="157">
        <v>1</v>
      </c>
      <c r="U74" s="157">
        <f>T74*SUM(Q74:R74)</f>
        <v>893.6549999998839</v>
      </c>
      <c r="W74" s="157">
        <f>IF(AC74&gt;AD74,0,IF(AE74&lt;AF74,O74,IF(AND(AE74&gt;=AF74,AE74&lt;=AD74),(O74-S74),IF(AND(AF74&lt;=AC74,AD74&gt;=AC74),0,IF(AE74&gt;AD74,((AF74-AC74)*12)*P74,0)))))</f>
        <v>0</v>
      </c>
      <c r="X74" s="157">
        <f>W74*T74</f>
        <v>0</v>
      </c>
      <c r="Y74" s="157">
        <v>1</v>
      </c>
      <c r="Z74" s="157">
        <f>X74*Y74</f>
        <v>0</v>
      </c>
      <c r="AA74" s="157">
        <f>IF(N74&gt;0,0,Z74+U74*Y74)*Y74</f>
        <v>893.6549999998839</v>
      </c>
      <c r="AB74" s="157">
        <f>IF(N74&gt;0,(M74-Z74)/2,IF(AC74&gt;=AF74,(((M74*T74)*Y74)-AA74)/2,((((M74*T74)*Y74)-Z74)+(((M74*T74)*Y74)-AA74))/2))</f>
        <v>3383.1225000000577</v>
      </c>
      <c r="AC74" s="157">
        <f t="shared" si="31"/>
        <v>2016.4166666666667</v>
      </c>
      <c r="AD74" s="157">
        <f t="shared" si="32"/>
        <v>2017</v>
      </c>
      <c r="AE74" s="157">
        <f t="shared" si="33"/>
        <v>2021.4166666666667</v>
      </c>
      <c r="AF74" s="157">
        <f t="shared" si="34"/>
        <v>2016</v>
      </c>
      <c r="AG74" s="157">
        <f t="shared" si="35"/>
        <v>-8.3333333333333329E-2</v>
      </c>
    </row>
    <row r="75" spans="1:33">
      <c r="A75" s="156">
        <v>170429</v>
      </c>
      <c r="C75" s="156" t="s">
        <v>417</v>
      </c>
      <c r="D75" s="156">
        <v>2016</v>
      </c>
      <c r="E75" s="156">
        <v>11</v>
      </c>
      <c r="F75" s="156">
        <v>0</v>
      </c>
      <c r="H75" s="156" t="s">
        <v>52</v>
      </c>
      <c r="I75" s="156">
        <v>5</v>
      </c>
      <c r="J75" s="156">
        <f>D75+I75</f>
        <v>2021</v>
      </c>
      <c r="M75" s="156">
        <v>17748.240000000002</v>
      </c>
      <c r="O75" s="157">
        <f>M75-M75*F75</f>
        <v>17748.240000000002</v>
      </c>
      <c r="P75" s="157">
        <f>O75/I75/12</f>
        <v>295.80400000000003</v>
      </c>
      <c r="Q75" s="157">
        <f>IF(N75&gt;0,0,IF(OR(AC75&gt;AD75,AE75&lt;AF75),0,IF(AND(AE75&gt;=AF75,AE75&lt;=AD75),P75*((AE75-AF75)*12),IF(AND(AF75&lt;=AC75,AD75&gt;=AC75),((AD75-AC75)*12)*P75,IF(AE75&gt;AD75,12*P75,0)))))</f>
        <v>591.60800000026904</v>
      </c>
      <c r="R75" s="157">
        <f>IF(N75=0,0,IF(AND(AG75&gt;=AF75,AG75&lt;=AE75),((AG75-AF75)*12)*P75,0))</f>
        <v>0</v>
      </c>
      <c r="S75" s="157">
        <f>IF(R75&gt;0,R75,Q75)</f>
        <v>591.60800000026904</v>
      </c>
      <c r="T75" s="157">
        <v>1</v>
      </c>
      <c r="U75" s="157">
        <f>T75*SUM(Q75:R75)</f>
        <v>591.60800000026904</v>
      </c>
      <c r="W75" s="157">
        <f>IF(AC75&gt;AD75,0,IF(AE75&lt;AF75,O75,IF(AND(AE75&gt;=AF75,AE75&lt;=AD75),(O75-S75),IF(AND(AF75&lt;=AC75,AD75&gt;=AC75),0,IF(AE75&gt;AD75,((AF75-AC75)*12)*P75,0)))))</f>
        <v>0</v>
      </c>
      <c r="X75" s="157">
        <f>W75*T75</f>
        <v>0</v>
      </c>
      <c r="Y75" s="157">
        <v>1</v>
      </c>
      <c r="Z75" s="157">
        <f>X75*Y75</f>
        <v>0</v>
      </c>
      <c r="AA75" s="157">
        <f>IF(N75&gt;0,0,Z75+U75*Y75)*Y75</f>
        <v>591.60800000026904</v>
      </c>
      <c r="AB75" s="157">
        <f>IF(N75&gt;0,(M75-Z75)/2,IF(AC75&gt;=AF75,(((M75*T75)*Y75)-AA75)/2,((((M75*T75)*Y75)-Z75)+(((M75*T75)*Y75)-AA75))/2))</f>
        <v>8578.3159999998661</v>
      </c>
      <c r="AC75" s="157">
        <f t="shared" si="31"/>
        <v>2016.8333333333333</v>
      </c>
      <c r="AD75" s="157">
        <f t="shared" si="32"/>
        <v>2017</v>
      </c>
      <c r="AE75" s="157">
        <f t="shared" si="33"/>
        <v>2021.8333333333333</v>
      </c>
      <c r="AF75" s="157">
        <f t="shared" si="34"/>
        <v>2016</v>
      </c>
      <c r="AG75" s="157">
        <f t="shared" si="35"/>
        <v>-8.3333333333333329E-2</v>
      </c>
    </row>
    <row r="76" spans="1:33">
      <c r="A76" s="156">
        <v>171824</v>
      </c>
      <c r="C76" s="156" t="s">
        <v>418</v>
      </c>
      <c r="D76" s="156">
        <v>2016</v>
      </c>
      <c r="E76" s="156">
        <v>12</v>
      </c>
      <c r="F76" s="156">
        <v>0</v>
      </c>
      <c r="H76" s="156" t="s">
        <v>52</v>
      </c>
      <c r="I76" s="156">
        <v>2</v>
      </c>
      <c r="J76" s="156">
        <f>D76+I76</f>
        <v>2018</v>
      </c>
      <c r="M76" s="156">
        <v>1311.89</v>
      </c>
      <c r="O76" s="157">
        <f>M76-M76*F76</f>
        <v>1311.89</v>
      </c>
      <c r="P76" s="157">
        <f>O76/I76/12</f>
        <v>54.662083333333335</v>
      </c>
      <c r="Q76" s="157">
        <f>IF(N76&gt;0,0,IF(OR(AC76&gt;AD76,AE76&lt;AF76),0,IF(AND(AE76&gt;=AF76,AE76&lt;=AD76),P76*((AE76-AF76)*12),IF(AND(AF76&lt;=AC76,AD76&gt;=AC76),((AD76-AC76)*12)*P76,IF(AE76&gt;AD76,12*P76,0)))))</f>
        <v>54.662083333283618</v>
      </c>
      <c r="R76" s="157">
        <f>IF(N76=0,0,IF(AND(AG76&gt;=AF76,AG76&lt;=AE76),((AG76-AF76)*12)*P76,0))</f>
        <v>0</v>
      </c>
      <c r="S76" s="157">
        <f>IF(R76&gt;0,R76,Q76)</f>
        <v>54.662083333283618</v>
      </c>
      <c r="T76" s="157">
        <v>1</v>
      </c>
      <c r="U76" s="157">
        <f>T76*SUM(Q76:R76)</f>
        <v>54.662083333283618</v>
      </c>
      <c r="W76" s="157">
        <f>IF(AC76&gt;AD76,0,IF(AE76&lt;AF76,O76,IF(AND(AE76&gt;=AF76,AE76&lt;=AD76),(O76-S76),IF(AND(AF76&lt;=AC76,AD76&gt;=AC76),0,IF(AE76&gt;AD76,((AF76-AC76)*12)*P76,0)))))</f>
        <v>0</v>
      </c>
      <c r="X76" s="157">
        <f>W76*T76</f>
        <v>0</v>
      </c>
      <c r="Y76" s="157">
        <v>1</v>
      </c>
      <c r="Z76" s="157">
        <f>X76*Y76</f>
        <v>0</v>
      </c>
      <c r="AA76" s="157">
        <f>IF(N76&gt;0,0,Z76+U76*Y76)*Y76</f>
        <v>54.662083333283618</v>
      </c>
      <c r="AB76" s="157">
        <f>IF(N76&gt;0,(M76-Z76)/2,IF(AC76&gt;=AF76,(((M76*T76)*Y76)-AA76)/2,((((M76*T76)*Y76)-Z76)+(((M76*T76)*Y76)-AA76))/2))</f>
        <v>628.61395833335826</v>
      </c>
      <c r="AC76" s="157">
        <f t="shared" si="31"/>
        <v>2016.9166666666667</v>
      </c>
      <c r="AD76" s="157">
        <f t="shared" si="32"/>
        <v>2017</v>
      </c>
      <c r="AE76" s="157">
        <f t="shared" si="33"/>
        <v>2018.9166666666667</v>
      </c>
      <c r="AF76" s="157">
        <f t="shared" si="34"/>
        <v>2016</v>
      </c>
      <c r="AG76" s="157">
        <f t="shared" si="35"/>
        <v>-8.3333333333333329E-2</v>
      </c>
    </row>
    <row r="77" spans="1:33">
      <c r="C77" s="156" t="s">
        <v>57</v>
      </c>
    </row>
    <row r="78" spans="1:33" ht="13.5" thickBot="1">
      <c r="C78" s="156" t="s">
        <v>144</v>
      </c>
      <c r="M78" s="156">
        <f>SUM(M51:M77)</f>
        <v>472360.13</v>
      </c>
      <c r="O78" s="157">
        <f>SUM(O51:O77)</f>
        <v>436858.91049999994</v>
      </c>
      <c r="P78" s="157">
        <f>SUM(P51:P77)</f>
        <v>6306.3242059523818</v>
      </c>
      <c r="Q78" s="157">
        <f>SUM(Q51:Q77)</f>
        <v>43658.14629761946</v>
      </c>
      <c r="S78" s="157">
        <f>SUM(S51:S77)</f>
        <v>43658.14629761946</v>
      </c>
      <c r="U78" s="157">
        <f t="shared" ref="U78:AB78" si="36">SUM(U51:U77)</f>
        <v>43658.14629761946</v>
      </c>
      <c r="V78" s="157">
        <f t="shared" si="36"/>
        <v>0</v>
      </c>
      <c r="W78" s="157">
        <f t="shared" si="36"/>
        <v>232174.68383333358</v>
      </c>
      <c r="X78" s="157">
        <f t="shared" si="36"/>
        <v>232174.68383333358</v>
      </c>
      <c r="Y78" s="157">
        <f t="shared" si="36"/>
        <v>26</v>
      </c>
      <c r="Z78" s="157">
        <f t="shared" si="36"/>
        <v>232174.68383333358</v>
      </c>
      <c r="AA78" s="157">
        <f t="shared" si="36"/>
        <v>275832.83013095299</v>
      </c>
      <c r="AB78" s="157">
        <f t="shared" si="36"/>
        <v>179479.13801785672</v>
      </c>
    </row>
    <row r="80" spans="1:33">
      <c r="R80" s="157" t="s">
        <v>25</v>
      </c>
      <c r="U80" s="157" t="s">
        <v>17</v>
      </c>
      <c r="W80" s="157" t="s">
        <v>18</v>
      </c>
      <c r="X80" s="157" t="s">
        <v>118</v>
      </c>
      <c r="Z80" s="157" t="s">
        <v>19</v>
      </c>
      <c r="AA80" s="157" t="s">
        <v>19</v>
      </c>
    </row>
    <row r="81" spans="1:33">
      <c r="B81" s="156" t="s">
        <v>57</v>
      </c>
      <c r="D81" s="156" t="s">
        <v>59</v>
      </c>
      <c r="F81" s="156" t="s">
        <v>23</v>
      </c>
      <c r="H81" s="156" t="s">
        <v>57</v>
      </c>
      <c r="J81" s="156" t="s">
        <v>24</v>
      </c>
      <c r="K81" s="156" t="s">
        <v>57</v>
      </c>
      <c r="M81" s="156" t="s">
        <v>57</v>
      </c>
      <c r="N81" s="157" t="s">
        <v>31</v>
      </c>
      <c r="O81" s="157" t="s">
        <v>57</v>
      </c>
      <c r="Q81" s="157" t="s">
        <v>68</v>
      </c>
      <c r="R81" s="157" t="s">
        <v>24</v>
      </c>
      <c r="S81" s="157" t="s">
        <v>17</v>
      </c>
      <c r="T81" s="157" t="s">
        <v>34</v>
      </c>
      <c r="U81" s="157" t="s">
        <v>19</v>
      </c>
      <c r="W81" s="157" t="s">
        <v>117</v>
      </c>
      <c r="X81" s="157" t="s">
        <v>117</v>
      </c>
      <c r="Y81" s="157" t="s">
        <v>27</v>
      </c>
      <c r="Z81" s="157" t="s">
        <v>28</v>
      </c>
      <c r="AA81" s="157" t="s">
        <v>28</v>
      </c>
      <c r="AB81" s="157" t="s">
        <v>38</v>
      </c>
    </row>
    <row r="82" spans="1:33">
      <c r="C82" s="156" t="s">
        <v>211</v>
      </c>
      <c r="D82" s="156" t="s">
        <v>61</v>
      </c>
      <c r="F82" s="156" t="s">
        <v>29</v>
      </c>
      <c r="H82" s="156" t="s">
        <v>30</v>
      </c>
      <c r="I82" s="156" t="s">
        <v>64</v>
      </c>
      <c r="J82" s="156" t="s">
        <v>65</v>
      </c>
      <c r="K82" s="156" t="s">
        <v>31</v>
      </c>
      <c r="L82" s="156" t="s">
        <v>41</v>
      </c>
      <c r="M82" s="156" t="s">
        <v>31</v>
      </c>
      <c r="N82" s="157" t="s">
        <v>25</v>
      </c>
      <c r="O82" s="157" t="s">
        <v>67</v>
      </c>
      <c r="P82" s="157" t="s">
        <v>69</v>
      </c>
      <c r="Q82" s="157" t="s">
        <v>24</v>
      </c>
      <c r="R82" s="157" t="s">
        <v>43</v>
      </c>
      <c r="S82" s="157" t="s">
        <v>33</v>
      </c>
      <c r="T82" s="157" t="s">
        <v>36</v>
      </c>
      <c r="U82" s="157" t="s">
        <v>32</v>
      </c>
      <c r="W82" s="157" t="s">
        <v>67</v>
      </c>
      <c r="X82" s="157" t="s">
        <v>67</v>
      </c>
      <c r="Y82" s="157" t="s">
        <v>36</v>
      </c>
      <c r="Z82" s="157" t="s">
        <v>37</v>
      </c>
      <c r="AA82" s="157" t="s">
        <v>37</v>
      </c>
      <c r="AB82" s="157" t="s">
        <v>45</v>
      </c>
      <c r="AC82" s="157" t="s">
        <v>4</v>
      </c>
      <c r="AD82" s="157" t="s">
        <v>46</v>
      </c>
      <c r="AE82" s="157" t="s">
        <v>47</v>
      </c>
      <c r="AF82" s="157" t="s">
        <v>15</v>
      </c>
      <c r="AG82" s="157" t="s">
        <v>20</v>
      </c>
    </row>
    <row r="83" spans="1:33">
      <c r="B83" s="156" t="s">
        <v>62</v>
      </c>
      <c r="C83" s="156" t="s">
        <v>63</v>
      </c>
      <c r="D83" s="156" t="s">
        <v>24</v>
      </c>
      <c r="E83" s="156" t="s">
        <v>39</v>
      </c>
      <c r="F83" s="156" t="s">
        <v>34</v>
      </c>
      <c r="G83" s="156" t="s">
        <v>49</v>
      </c>
      <c r="H83" s="156" t="s">
        <v>40</v>
      </c>
      <c r="I83" s="156" t="s">
        <v>66</v>
      </c>
      <c r="J83" s="156" t="s">
        <v>67</v>
      </c>
      <c r="K83" s="156" t="s">
        <v>42</v>
      </c>
      <c r="L83" s="156" t="s">
        <v>49</v>
      </c>
      <c r="M83" s="156" t="s">
        <v>42</v>
      </c>
      <c r="N83" s="157" t="s">
        <v>49</v>
      </c>
      <c r="O83" s="157" t="s">
        <v>42</v>
      </c>
      <c r="P83" s="157" t="s">
        <v>67</v>
      </c>
      <c r="Q83" s="157" t="s">
        <v>67</v>
      </c>
      <c r="R83" s="157" t="s">
        <v>49</v>
      </c>
      <c r="S83" s="157" t="s">
        <v>44</v>
      </c>
      <c r="T83" s="157" t="s">
        <v>49</v>
      </c>
      <c r="U83" s="157" t="s">
        <v>37</v>
      </c>
    </row>
    <row r="84" spans="1:33">
      <c r="C84" s="156" t="s">
        <v>198</v>
      </c>
      <c r="D84" s="156">
        <v>2010</v>
      </c>
      <c r="E84" s="156">
        <v>4</v>
      </c>
      <c r="F84" s="156">
        <v>0</v>
      </c>
      <c r="H84" s="156" t="s">
        <v>52</v>
      </c>
      <c r="I84" s="156">
        <v>7</v>
      </c>
      <c r="J84" s="156">
        <f t="shared" ref="J84:J100" si="37">D84+I84</f>
        <v>2017</v>
      </c>
      <c r="M84" s="156">
        <f>5000+30050.55+18781.59+21294.24</f>
        <v>75126.38</v>
      </c>
      <c r="O84" s="157">
        <f t="shared" ref="O84:O100" si="38">M84-M84*F84</f>
        <v>75126.38</v>
      </c>
      <c r="P84" s="157">
        <f t="shared" ref="P84:P100" si="39">O84/I84/12</f>
        <v>894.36166666666668</v>
      </c>
      <c r="Q84" s="157">
        <f t="shared" ref="Q84:Q90" si="40">IF(N84&gt;0,0,IF(OR(AC84&gt;AD84,AE84&lt;AF84),0,IF(AND(AE84&gt;=AF84,AE84&lt;=AD84),P84*((AE84-AF84)*12),IF(AND(AF84&lt;=AC84,AD84&gt;=AC84),((AD84-AC84)*12)*P84,IF(AE84&gt;AD84,12*P84,0)))))</f>
        <v>10732.34</v>
      </c>
      <c r="R84" s="157">
        <f t="shared" ref="R84:R90" si="41">IF(N84=0,0,IF(AND(AG84&gt;=AF84,AG84&lt;=AE84),((AG84-AF84)*12)*P84,0))</f>
        <v>0</v>
      </c>
      <c r="S84" s="157">
        <f t="shared" ref="S84:S90" si="42">IF(R84&gt;0,R84,Q84)</f>
        <v>10732.34</v>
      </c>
      <c r="T84" s="157">
        <v>1</v>
      </c>
      <c r="U84" s="157">
        <f t="shared" ref="U84:U90" si="43">T84*SUM(Q84:R84)</f>
        <v>10732.34</v>
      </c>
      <c r="W84" s="157">
        <f t="shared" ref="W84:W90" si="44">IF(AC84&gt;AD84,0,IF(AE84&lt;AF84,O84,IF(AND(AE84&gt;=AF84,AE84&lt;=AD84),(O84-S84),IF(AND(AF84&lt;=AC84,AD84&gt;=AC84),0,IF(AE84&gt;AD84,((AF84-AC84)*12)*P84,0)))))</f>
        <v>61710.955000000002</v>
      </c>
      <c r="X84" s="157">
        <f t="shared" ref="X84:X90" si="45">W84*T84</f>
        <v>61710.955000000002</v>
      </c>
      <c r="Y84" s="157">
        <v>1</v>
      </c>
      <c r="Z84" s="157">
        <f t="shared" ref="Z84:Z90" si="46">X84*Y84</f>
        <v>61710.955000000002</v>
      </c>
      <c r="AA84" s="157">
        <f t="shared" ref="AA84:AA90" si="47">IF(N84&gt;0,0,Z84+U84*Y84)*Y84</f>
        <v>72443.294999999998</v>
      </c>
      <c r="AB84" s="157">
        <f t="shared" ref="AB84:AB90" si="48">IF(N84&gt;0,(M84-Z84)/2,IF(AC84&gt;=AF84,(((M84*T84)*Y84)-AA84)/2,((((M84*T84)*Y84)-Z84)+(((M84*T84)*Y84)-AA84))/2))</f>
        <v>8049.2550000000047</v>
      </c>
      <c r="AC84" s="157">
        <f t="shared" ref="AC84:AC105" si="49">$D84+(($E84-1)/12)</f>
        <v>2010.25</v>
      </c>
      <c r="AD84" s="157">
        <f t="shared" ref="AD84:AD105" si="50">($O$5+1)-($O$2/12)</f>
        <v>2017</v>
      </c>
      <c r="AE84" s="157">
        <f t="shared" ref="AE84:AE105" si="51">$J84+(($E84-1)/12)</f>
        <v>2017.25</v>
      </c>
      <c r="AF84" s="157">
        <f t="shared" ref="AF84:AF105" si="52">$O$4+($O$3/12)</f>
        <v>2016</v>
      </c>
      <c r="AG84" s="157">
        <f t="shared" ref="AG84:AG105" si="53">$K84+(($L84-1)/12)</f>
        <v>-8.3333333333333329E-2</v>
      </c>
    </row>
    <row r="85" spans="1:33">
      <c r="C85" s="156" t="s">
        <v>199</v>
      </c>
      <c r="D85" s="156">
        <v>2010</v>
      </c>
      <c r="E85" s="156">
        <v>5</v>
      </c>
      <c r="F85" s="156">
        <v>0</v>
      </c>
      <c r="H85" s="156" t="s">
        <v>52</v>
      </c>
      <c r="I85" s="156">
        <v>3</v>
      </c>
      <c r="J85" s="156">
        <f t="shared" si="37"/>
        <v>2013</v>
      </c>
      <c r="M85" s="156">
        <v>1573.39</v>
      </c>
      <c r="O85" s="157">
        <f t="shared" si="38"/>
        <v>1573.39</v>
      </c>
      <c r="P85" s="157">
        <f t="shared" si="39"/>
        <v>43.705277777777781</v>
      </c>
      <c r="Q85" s="157">
        <f t="shared" si="40"/>
        <v>0</v>
      </c>
      <c r="R85" s="157">
        <f t="shared" si="41"/>
        <v>0</v>
      </c>
      <c r="S85" s="157">
        <f t="shared" si="42"/>
        <v>0</v>
      </c>
      <c r="T85" s="157">
        <v>1</v>
      </c>
      <c r="U85" s="157">
        <f t="shared" si="43"/>
        <v>0</v>
      </c>
      <c r="W85" s="157">
        <f t="shared" si="44"/>
        <v>1573.39</v>
      </c>
      <c r="X85" s="157">
        <f t="shared" si="45"/>
        <v>1573.39</v>
      </c>
      <c r="Y85" s="157">
        <v>1</v>
      </c>
      <c r="Z85" s="157">
        <f t="shared" si="46"/>
        <v>1573.39</v>
      </c>
      <c r="AA85" s="157">
        <f t="shared" si="47"/>
        <v>1573.39</v>
      </c>
      <c r="AB85" s="157">
        <f t="shared" si="48"/>
        <v>0</v>
      </c>
      <c r="AC85" s="157">
        <f t="shared" si="49"/>
        <v>2010.3333333333333</v>
      </c>
      <c r="AD85" s="157">
        <f t="shared" si="50"/>
        <v>2017</v>
      </c>
      <c r="AE85" s="157">
        <f t="shared" si="51"/>
        <v>2013.3333333333333</v>
      </c>
      <c r="AF85" s="157">
        <f t="shared" si="52"/>
        <v>2016</v>
      </c>
      <c r="AG85" s="157">
        <f t="shared" si="53"/>
        <v>-8.3333333333333329E-2</v>
      </c>
    </row>
    <row r="86" spans="1:33">
      <c r="C86" s="156" t="s">
        <v>200</v>
      </c>
      <c r="D86" s="156">
        <v>2010</v>
      </c>
      <c r="E86" s="156">
        <v>8</v>
      </c>
      <c r="F86" s="156">
        <v>0</v>
      </c>
      <c r="H86" s="156" t="s">
        <v>52</v>
      </c>
      <c r="I86" s="156">
        <v>3</v>
      </c>
      <c r="J86" s="156">
        <f t="shared" si="37"/>
        <v>2013</v>
      </c>
      <c r="M86" s="156">
        <v>611.54999999999995</v>
      </c>
      <c r="O86" s="157">
        <f t="shared" si="38"/>
        <v>611.54999999999995</v>
      </c>
      <c r="P86" s="157">
        <f t="shared" si="39"/>
        <v>16.987500000000001</v>
      </c>
      <c r="Q86" s="157">
        <f t="shared" si="40"/>
        <v>0</v>
      </c>
      <c r="R86" s="157">
        <f t="shared" si="41"/>
        <v>0</v>
      </c>
      <c r="S86" s="157">
        <f t="shared" si="42"/>
        <v>0</v>
      </c>
      <c r="T86" s="157">
        <v>1</v>
      </c>
      <c r="U86" s="157">
        <f t="shared" si="43"/>
        <v>0</v>
      </c>
      <c r="W86" s="157">
        <f t="shared" si="44"/>
        <v>611.54999999999995</v>
      </c>
      <c r="X86" s="157">
        <f t="shared" si="45"/>
        <v>611.54999999999995</v>
      </c>
      <c r="Y86" s="157">
        <v>1</v>
      </c>
      <c r="Z86" s="157">
        <f t="shared" si="46"/>
        <v>611.54999999999995</v>
      </c>
      <c r="AA86" s="157">
        <f t="shared" si="47"/>
        <v>611.54999999999995</v>
      </c>
      <c r="AB86" s="157">
        <f t="shared" si="48"/>
        <v>0</v>
      </c>
      <c r="AC86" s="157">
        <f t="shared" si="49"/>
        <v>2010.5833333333333</v>
      </c>
      <c r="AD86" s="157">
        <f t="shared" si="50"/>
        <v>2017</v>
      </c>
      <c r="AE86" s="157">
        <f t="shared" si="51"/>
        <v>2013.5833333333333</v>
      </c>
      <c r="AF86" s="157">
        <f t="shared" si="52"/>
        <v>2016</v>
      </c>
      <c r="AG86" s="157">
        <f t="shared" si="53"/>
        <v>-8.3333333333333329E-2</v>
      </c>
    </row>
    <row r="87" spans="1:33">
      <c r="B87" s="156">
        <v>2</v>
      </c>
      <c r="C87" s="156" t="s">
        <v>187</v>
      </c>
      <c r="D87" s="156">
        <v>2011</v>
      </c>
      <c r="E87" s="156">
        <v>4</v>
      </c>
      <c r="F87" s="156">
        <v>0</v>
      </c>
      <c r="H87" s="156" t="s">
        <v>52</v>
      </c>
      <c r="I87" s="156">
        <v>3</v>
      </c>
      <c r="J87" s="156">
        <f t="shared" si="37"/>
        <v>2014</v>
      </c>
      <c r="M87" s="156">
        <f>1750+162.75</f>
        <v>1912.75</v>
      </c>
      <c r="O87" s="157">
        <f t="shared" si="38"/>
        <v>1912.75</v>
      </c>
      <c r="P87" s="157">
        <f t="shared" si="39"/>
        <v>53.13194444444445</v>
      </c>
      <c r="Q87" s="157">
        <f t="shared" si="40"/>
        <v>0</v>
      </c>
      <c r="R87" s="157">
        <f t="shared" si="41"/>
        <v>0</v>
      </c>
      <c r="S87" s="157">
        <f t="shared" si="42"/>
        <v>0</v>
      </c>
      <c r="T87" s="157">
        <v>1</v>
      </c>
      <c r="U87" s="157">
        <f t="shared" si="43"/>
        <v>0</v>
      </c>
      <c r="W87" s="157">
        <f t="shared" si="44"/>
        <v>1912.75</v>
      </c>
      <c r="X87" s="157">
        <f t="shared" si="45"/>
        <v>1912.75</v>
      </c>
      <c r="Y87" s="157">
        <v>1</v>
      </c>
      <c r="Z87" s="157">
        <f t="shared" si="46"/>
        <v>1912.75</v>
      </c>
      <c r="AA87" s="157">
        <f t="shared" si="47"/>
        <v>1912.75</v>
      </c>
      <c r="AB87" s="157">
        <f t="shared" si="48"/>
        <v>0</v>
      </c>
      <c r="AC87" s="157">
        <f t="shared" si="49"/>
        <v>2011.25</v>
      </c>
      <c r="AD87" s="157">
        <f t="shared" si="50"/>
        <v>2017</v>
      </c>
      <c r="AE87" s="157">
        <f t="shared" si="51"/>
        <v>2014.25</v>
      </c>
      <c r="AF87" s="157">
        <f t="shared" si="52"/>
        <v>2016</v>
      </c>
      <c r="AG87" s="157">
        <f t="shared" si="53"/>
        <v>-8.3333333333333329E-2</v>
      </c>
    </row>
    <row r="88" spans="1:33">
      <c r="A88" s="156" t="s">
        <v>311</v>
      </c>
      <c r="C88" s="156" t="s">
        <v>312</v>
      </c>
      <c r="D88" s="156">
        <v>2011</v>
      </c>
      <c r="E88" s="156">
        <v>7</v>
      </c>
      <c r="F88" s="156">
        <v>0</v>
      </c>
      <c r="H88" s="156" t="s">
        <v>52</v>
      </c>
      <c r="I88" s="156">
        <v>3</v>
      </c>
      <c r="J88" s="156">
        <f t="shared" si="37"/>
        <v>2014</v>
      </c>
      <c r="M88" s="156">
        <f>16910.03+2292.02</f>
        <v>19202.05</v>
      </c>
      <c r="O88" s="157">
        <f>M88-M88*F88</f>
        <v>19202.05</v>
      </c>
      <c r="P88" s="157">
        <f>O88/I88/12</f>
        <v>533.39027777777778</v>
      </c>
      <c r="Q88" s="157">
        <f>IF(N88&gt;0,0,IF(OR(AC88&gt;AD88,AE88&lt;AF88),0,IF(AND(AE88&gt;=AF88,AE88&lt;=AD88),P88*((AE88-AF88)*12),IF(AND(AF88&lt;=AC88,AD88&gt;=AC88),((AD88-AC88)*12)*P88,IF(AE88&gt;AD88,12*P88,0)))))</f>
        <v>0</v>
      </c>
      <c r="R88" s="157">
        <f>IF(N88=0,0,IF(AND(AG88&gt;=AF88,AG88&lt;=AE88),((AG88-AF88)*12)*P88,0))</f>
        <v>0</v>
      </c>
      <c r="S88" s="157">
        <f>IF(R88&gt;0,R88,Q88)</f>
        <v>0</v>
      </c>
      <c r="T88" s="157">
        <v>1</v>
      </c>
      <c r="U88" s="157">
        <f>T88*SUM(Q88:R88)</f>
        <v>0</v>
      </c>
      <c r="W88" s="157">
        <f>IF(AC88&gt;AD88,0,IF(AE88&lt;AF88,O88,IF(AND(AE88&gt;=AF88,AE88&lt;=AD88),(O88-S88),IF(AND(AF88&lt;=AC88,AD88&gt;=AC88),0,IF(AE88&gt;AD88,((AF88-AC88)*12)*P88,0)))))</f>
        <v>19202.05</v>
      </c>
      <c r="X88" s="157">
        <f>W88*T88</f>
        <v>19202.05</v>
      </c>
      <c r="Y88" s="157">
        <v>1</v>
      </c>
      <c r="Z88" s="157">
        <f>X88*Y88</f>
        <v>19202.05</v>
      </c>
      <c r="AA88" s="157">
        <f>IF(N88&gt;0,0,Z88+U88*Y88)*Y88</f>
        <v>19202.05</v>
      </c>
      <c r="AB88" s="157">
        <f>IF(N88&gt;0,(M88-Z88)/2,IF(AC88&gt;=AF88,(((M88*T88)*Y88)-AA88)/2,((((M88*T88)*Y88)-Z88)+(((M88*T88)*Y88)-AA88))/2))</f>
        <v>0</v>
      </c>
      <c r="AC88" s="157">
        <f t="shared" si="49"/>
        <v>2011.5</v>
      </c>
      <c r="AD88" s="157">
        <f t="shared" si="50"/>
        <v>2017</v>
      </c>
      <c r="AE88" s="157">
        <f t="shared" si="51"/>
        <v>2014.5</v>
      </c>
      <c r="AF88" s="157">
        <f t="shared" si="52"/>
        <v>2016</v>
      </c>
      <c r="AG88" s="157">
        <f t="shared" si="53"/>
        <v>-8.3333333333333329E-2</v>
      </c>
    </row>
    <row r="89" spans="1:33">
      <c r="A89" s="156" t="s">
        <v>297</v>
      </c>
      <c r="C89" s="156" t="s">
        <v>187</v>
      </c>
      <c r="D89" s="156">
        <v>2011</v>
      </c>
      <c r="E89" s="156">
        <v>8</v>
      </c>
      <c r="F89" s="156">
        <v>0</v>
      </c>
      <c r="H89" s="156" t="s">
        <v>52</v>
      </c>
      <c r="I89" s="156">
        <v>3</v>
      </c>
      <c r="J89" s="156">
        <f t="shared" si="37"/>
        <v>2014</v>
      </c>
      <c r="M89" s="156">
        <v>5492.32</v>
      </c>
      <c r="O89" s="157">
        <f>M89-M89*F89</f>
        <v>5492.32</v>
      </c>
      <c r="P89" s="157">
        <f>O89/I89/12</f>
        <v>152.56444444444443</v>
      </c>
      <c r="Q89" s="157">
        <f>IF(N89&gt;0,0,IF(OR(AC89&gt;AD89,AE89&lt;AF89),0,IF(AND(AE89&gt;=AF89,AE89&lt;=AD89),P89*((AE89-AF89)*12),IF(AND(AF89&lt;=AC89,AD89&gt;=AC89),((AD89-AC89)*12)*P89,IF(AE89&gt;AD89,12*P89,0)))))</f>
        <v>0</v>
      </c>
      <c r="R89" s="157">
        <f>IF(N89=0,0,IF(AND(AG89&gt;=AF89,AG89&lt;=AE89),((AG89-AF89)*12)*P89,0))</f>
        <v>0</v>
      </c>
      <c r="S89" s="157">
        <f>IF(R89&gt;0,R89,Q89)</f>
        <v>0</v>
      </c>
      <c r="T89" s="157">
        <v>1</v>
      </c>
      <c r="U89" s="157">
        <f>T89*SUM(Q89:R89)</f>
        <v>0</v>
      </c>
      <c r="W89" s="157">
        <f>IF(AC89&gt;AD89,0,IF(AE89&lt;AF89,O89,IF(AND(AE89&gt;=AF89,AE89&lt;=AD89),(O89-S89),IF(AND(AF89&lt;=AC89,AD89&gt;=AC89),0,IF(AE89&gt;AD89,((AF89-AC89)*12)*P89,0)))))</f>
        <v>5492.32</v>
      </c>
      <c r="X89" s="157">
        <f>W89*T89</f>
        <v>5492.32</v>
      </c>
      <c r="Y89" s="157">
        <v>1</v>
      </c>
      <c r="Z89" s="157">
        <f>X89*Y89</f>
        <v>5492.32</v>
      </c>
      <c r="AA89" s="157">
        <f>IF(N89&gt;0,0,Z89+U89*Y89)*Y89</f>
        <v>5492.32</v>
      </c>
      <c r="AB89" s="157">
        <f>IF(N89&gt;0,(M89-Z89)/2,IF(AC89&gt;=AF89,(((M89*T89)*Y89)-AA89)/2,((((M89*T89)*Y89)-Z89)+(((M89*T89)*Y89)-AA89))/2))</f>
        <v>0</v>
      </c>
      <c r="AC89" s="157">
        <f t="shared" si="49"/>
        <v>2011.5833333333333</v>
      </c>
      <c r="AD89" s="157">
        <f t="shared" si="50"/>
        <v>2017</v>
      </c>
      <c r="AE89" s="157">
        <f t="shared" si="51"/>
        <v>2014.5833333333333</v>
      </c>
      <c r="AF89" s="157">
        <f t="shared" si="52"/>
        <v>2016</v>
      </c>
      <c r="AG89" s="157">
        <f t="shared" si="53"/>
        <v>-8.3333333333333329E-2</v>
      </c>
    </row>
    <row r="90" spans="1:33">
      <c r="C90" s="156" t="s">
        <v>201</v>
      </c>
      <c r="D90" s="156">
        <v>2011</v>
      </c>
      <c r="E90" s="156">
        <v>9</v>
      </c>
      <c r="F90" s="156">
        <v>0</v>
      </c>
      <c r="H90" s="156" t="s">
        <v>52</v>
      </c>
      <c r="I90" s="156">
        <v>3</v>
      </c>
      <c r="J90" s="156">
        <f t="shared" si="37"/>
        <v>2014</v>
      </c>
      <c r="M90" s="156">
        <v>593.86</v>
      </c>
      <c r="O90" s="157">
        <f t="shared" si="38"/>
        <v>593.86</v>
      </c>
      <c r="P90" s="157">
        <f t="shared" si="39"/>
        <v>16.496111111111112</v>
      </c>
      <c r="Q90" s="157">
        <f t="shared" si="40"/>
        <v>0</v>
      </c>
      <c r="R90" s="157">
        <f t="shared" si="41"/>
        <v>0</v>
      </c>
      <c r="S90" s="157">
        <f t="shared" si="42"/>
        <v>0</v>
      </c>
      <c r="T90" s="157">
        <v>1</v>
      </c>
      <c r="U90" s="157">
        <f t="shared" si="43"/>
        <v>0</v>
      </c>
      <c r="W90" s="157">
        <f t="shared" si="44"/>
        <v>593.86</v>
      </c>
      <c r="X90" s="157">
        <f t="shared" si="45"/>
        <v>593.86</v>
      </c>
      <c r="Y90" s="157">
        <v>1</v>
      </c>
      <c r="Z90" s="157">
        <f t="shared" si="46"/>
        <v>593.86</v>
      </c>
      <c r="AA90" s="157">
        <f t="shared" si="47"/>
        <v>593.86</v>
      </c>
      <c r="AB90" s="157">
        <f t="shared" si="48"/>
        <v>0</v>
      </c>
      <c r="AC90" s="157">
        <f t="shared" si="49"/>
        <v>2011.6666666666667</v>
      </c>
      <c r="AD90" s="157">
        <f t="shared" si="50"/>
        <v>2017</v>
      </c>
      <c r="AE90" s="157">
        <f t="shared" si="51"/>
        <v>2014.6666666666667</v>
      </c>
      <c r="AF90" s="157">
        <f t="shared" si="52"/>
        <v>2016</v>
      </c>
      <c r="AG90" s="157">
        <f t="shared" si="53"/>
        <v>-8.3333333333333329E-2</v>
      </c>
    </row>
    <row r="91" spans="1:33">
      <c r="A91" s="156">
        <v>89091</v>
      </c>
      <c r="C91" s="156" t="s">
        <v>226</v>
      </c>
      <c r="D91" s="156">
        <v>2011</v>
      </c>
      <c r="E91" s="156">
        <v>12</v>
      </c>
      <c r="F91" s="156">
        <v>0</v>
      </c>
      <c r="H91" s="156" t="s">
        <v>52</v>
      </c>
      <c r="I91" s="156">
        <v>5</v>
      </c>
      <c r="J91" s="156">
        <f t="shared" si="37"/>
        <v>2016</v>
      </c>
      <c r="M91" s="156">
        <v>858</v>
      </c>
      <c r="O91" s="157">
        <f t="shared" si="38"/>
        <v>858</v>
      </c>
      <c r="P91" s="157">
        <f t="shared" si="39"/>
        <v>14.299999999999999</v>
      </c>
      <c r="Q91" s="157">
        <f>IF(N91&gt;0,0,IF(OR(AC91&gt;AD91,AE91&lt;AF91),0,IF(AND(AE91&gt;=AF91,AE91&lt;=AD91),P91*((AE91-AF91)*12),IF(AND(AF91&lt;=AC91,AD91&gt;=AC91),((AD91-AC91)*12)*P91,IF(AE91&gt;AD91,12*P91,0)))))</f>
        <v>157.300000000013</v>
      </c>
      <c r="R91" s="157">
        <f>IF(N91=0,0,IF(AND(AG91&gt;=AF91,AG91&lt;=AE91),((AG91-AF91)*12)*P91,0))</f>
        <v>0</v>
      </c>
      <c r="S91" s="157">
        <f>IF(R91&gt;0,R91,Q91)</f>
        <v>157.300000000013</v>
      </c>
      <c r="T91" s="157">
        <v>1</v>
      </c>
      <c r="U91" s="157">
        <f>T91*SUM(Q91:R91)</f>
        <v>157.300000000013</v>
      </c>
      <c r="W91" s="157">
        <f>IF(AC91&gt;AD91,0,IF(AE91&lt;AF91,O91,IF(AND(AE91&gt;=AF91,AE91&lt;=AD91),(O91-S91),IF(AND(AF91&lt;=AC91,AD91&gt;=AC91),0,IF(AE91&gt;AD91,((AF91-AC91)*12)*P91,0)))))</f>
        <v>700.69999999998697</v>
      </c>
      <c r="X91" s="157">
        <f>W91*T91</f>
        <v>700.69999999998697</v>
      </c>
      <c r="Y91" s="157">
        <v>1</v>
      </c>
      <c r="Z91" s="157">
        <f>X91*Y91</f>
        <v>700.69999999998697</v>
      </c>
      <c r="AA91" s="157">
        <f>IF(N91&gt;0,0,Z91+U91*Y91)*Y91</f>
        <v>858</v>
      </c>
      <c r="AB91" s="157">
        <f>IF(N91&gt;0,(M91-Z91)/2,IF(AC91&gt;=AF91,(((M91*T91)*Y91)-AA91)/2,((((M91*T91)*Y91)-Z91)+(((M91*T91)*Y91)-AA91))/2))</f>
        <v>78.650000000006514</v>
      </c>
      <c r="AC91" s="157">
        <f t="shared" si="49"/>
        <v>2011.9166666666667</v>
      </c>
      <c r="AD91" s="157">
        <f t="shared" si="50"/>
        <v>2017</v>
      </c>
      <c r="AE91" s="157">
        <f t="shared" si="51"/>
        <v>2016.9166666666667</v>
      </c>
      <c r="AF91" s="157">
        <f t="shared" si="52"/>
        <v>2016</v>
      </c>
      <c r="AG91" s="157">
        <f t="shared" si="53"/>
        <v>-8.3333333333333329E-2</v>
      </c>
    </row>
    <row r="92" spans="1:33">
      <c r="A92" s="156">
        <v>105140</v>
      </c>
      <c r="C92" s="156" t="s">
        <v>273</v>
      </c>
      <c r="D92" s="156">
        <v>2013</v>
      </c>
      <c r="E92" s="156">
        <v>6</v>
      </c>
      <c r="F92" s="156">
        <v>0</v>
      </c>
      <c r="H92" s="156" t="s">
        <v>52</v>
      </c>
      <c r="I92" s="156">
        <v>3</v>
      </c>
      <c r="J92" s="156">
        <f t="shared" si="37"/>
        <v>2016</v>
      </c>
      <c r="M92" s="156">
        <v>1020.44</v>
      </c>
      <c r="O92" s="157">
        <f t="shared" si="38"/>
        <v>1020.44</v>
      </c>
      <c r="P92" s="157">
        <f t="shared" si="39"/>
        <v>28.34555555555556</v>
      </c>
      <c r="Q92" s="157">
        <f t="shared" ref="Q92:Q105" si="54">IF(N92&gt;0,0,IF(OR(AC92&gt;AD92,AE92&lt;AF92),0,IF(AND(AE92&gt;=AF92,AE92&lt;=AD92),P92*((AE92-AF92)*12),IF(AND(AF92&lt;=AC92,AD92&gt;=AC92),((AD92-AC92)*12)*P92,IF(AE92&gt;AD92,12*P92,0)))))</f>
        <v>141.72777777780357</v>
      </c>
      <c r="R92" s="157">
        <f t="shared" ref="R92:R105" si="55">IF(N92=0,0,IF(AND(AG92&gt;=AF92,AG92&lt;=AE92),((AG92-AF92)*12)*P92,0))</f>
        <v>0</v>
      </c>
      <c r="S92" s="157">
        <f t="shared" ref="S92:S105" si="56">IF(R92&gt;0,R92,Q92)</f>
        <v>141.72777777780357</v>
      </c>
      <c r="T92" s="157">
        <v>1</v>
      </c>
      <c r="U92" s="157">
        <f t="shared" ref="U92:U105" si="57">T92*SUM(Q92:R92)</f>
        <v>141.72777777780357</v>
      </c>
      <c r="W92" s="157">
        <f t="shared" ref="W92:W105" si="58">IF(AC92&gt;AD92,0,IF(AE92&lt;AF92,O92,IF(AND(AE92&gt;=AF92,AE92&lt;=AD92),(O92-S92),IF(AND(AF92&lt;=AC92,AD92&gt;=AC92),0,IF(AE92&gt;AD92,((AF92-AC92)*12)*P92,0)))))</f>
        <v>878.71222222219649</v>
      </c>
      <c r="X92" s="157">
        <f t="shared" ref="X92:X105" si="59">W92*T92</f>
        <v>878.71222222219649</v>
      </c>
      <c r="Y92" s="157">
        <v>1</v>
      </c>
      <c r="Z92" s="157">
        <f t="shared" ref="Z92:Z105" si="60">X92*Y92</f>
        <v>878.71222222219649</v>
      </c>
      <c r="AA92" s="157">
        <f t="shared" ref="AA92:AA105" si="61">IF(N92&gt;0,0,Z92+U92*Y92)*Y92</f>
        <v>1020.44</v>
      </c>
      <c r="AB92" s="157">
        <f t="shared" ref="AB92:AB105" si="62">IF(N92&gt;0,(M92-Z92)/2,IF(AC92&gt;=AF92,(((M92*T92)*Y92)-AA92)/2,((((M92*T92)*Y92)-Z92)+(((M92*T92)*Y92)-AA92))/2))</f>
        <v>70.863888888901784</v>
      </c>
      <c r="AC92" s="157">
        <f t="shared" si="49"/>
        <v>2013.4166666666667</v>
      </c>
      <c r="AD92" s="157">
        <f t="shared" si="50"/>
        <v>2017</v>
      </c>
      <c r="AE92" s="157">
        <f t="shared" si="51"/>
        <v>2016.4166666666667</v>
      </c>
      <c r="AF92" s="157">
        <f t="shared" si="52"/>
        <v>2016</v>
      </c>
      <c r="AG92" s="157">
        <f t="shared" si="53"/>
        <v>-8.3333333333333329E-2</v>
      </c>
    </row>
    <row r="93" spans="1:33">
      <c r="A93" s="156">
        <v>113265</v>
      </c>
      <c r="B93" s="156">
        <v>8</v>
      </c>
      <c r="C93" s="156" t="s">
        <v>305</v>
      </c>
      <c r="D93" s="156">
        <v>2014</v>
      </c>
      <c r="E93" s="156">
        <v>4</v>
      </c>
      <c r="F93" s="156">
        <v>0</v>
      </c>
      <c r="H93" s="156" t="s">
        <v>52</v>
      </c>
      <c r="I93" s="156">
        <v>3</v>
      </c>
      <c r="J93" s="156">
        <f t="shared" si="37"/>
        <v>2017</v>
      </c>
      <c r="M93" s="156">
        <v>2780.14</v>
      </c>
      <c r="O93" s="157">
        <f t="shared" si="38"/>
        <v>2780.14</v>
      </c>
      <c r="P93" s="157">
        <f t="shared" si="39"/>
        <v>77.226111111111109</v>
      </c>
      <c r="Q93" s="157">
        <f t="shared" si="54"/>
        <v>926.71333333333337</v>
      </c>
      <c r="R93" s="157">
        <f t="shared" si="55"/>
        <v>0</v>
      </c>
      <c r="S93" s="157">
        <f t="shared" si="56"/>
        <v>926.71333333333337</v>
      </c>
      <c r="T93" s="157">
        <v>1</v>
      </c>
      <c r="U93" s="157">
        <f t="shared" si="57"/>
        <v>926.71333333333337</v>
      </c>
      <c r="W93" s="157">
        <f t="shared" si="58"/>
        <v>1621.7483333333332</v>
      </c>
      <c r="X93" s="157">
        <f t="shared" si="59"/>
        <v>1621.7483333333332</v>
      </c>
      <c r="Y93" s="157">
        <v>1</v>
      </c>
      <c r="Z93" s="157">
        <f t="shared" si="60"/>
        <v>1621.7483333333332</v>
      </c>
      <c r="AA93" s="157">
        <f t="shared" si="61"/>
        <v>2548.4616666666666</v>
      </c>
      <c r="AB93" s="157">
        <f t="shared" si="62"/>
        <v>695.03499999999997</v>
      </c>
      <c r="AC93" s="157">
        <f t="shared" si="49"/>
        <v>2014.25</v>
      </c>
      <c r="AD93" s="157">
        <f t="shared" si="50"/>
        <v>2017</v>
      </c>
      <c r="AE93" s="157">
        <f t="shared" si="51"/>
        <v>2017.25</v>
      </c>
      <c r="AF93" s="157">
        <f t="shared" si="52"/>
        <v>2016</v>
      </c>
      <c r="AG93" s="157">
        <f t="shared" si="53"/>
        <v>-8.3333333333333329E-2</v>
      </c>
    </row>
    <row r="94" spans="1:33">
      <c r="A94" s="156">
        <v>112769</v>
      </c>
      <c r="C94" s="156" t="s">
        <v>310</v>
      </c>
      <c r="D94" s="156">
        <v>2013</v>
      </c>
      <c r="E94" s="156">
        <v>2</v>
      </c>
      <c r="F94" s="156">
        <v>0</v>
      </c>
      <c r="H94" s="156" t="s">
        <v>52</v>
      </c>
      <c r="I94" s="156">
        <v>3</v>
      </c>
      <c r="J94" s="156">
        <f t="shared" si="37"/>
        <v>2016</v>
      </c>
      <c r="M94" s="156">
        <v>976.33</v>
      </c>
      <c r="O94" s="157">
        <f t="shared" si="38"/>
        <v>976.33</v>
      </c>
      <c r="P94" s="157">
        <f t="shared" si="39"/>
        <v>27.120277777777776</v>
      </c>
      <c r="Q94" s="157">
        <f t="shared" si="54"/>
        <v>27.12027777775311</v>
      </c>
      <c r="R94" s="157">
        <f t="shared" si="55"/>
        <v>0</v>
      </c>
      <c r="S94" s="157">
        <f t="shared" si="56"/>
        <v>27.12027777775311</v>
      </c>
      <c r="T94" s="157">
        <v>1</v>
      </c>
      <c r="U94" s="157">
        <f t="shared" si="57"/>
        <v>27.12027777775311</v>
      </c>
      <c r="W94" s="157">
        <f t="shared" si="58"/>
        <v>949.20972222224691</v>
      </c>
      <c r="X94" s="157">
        <f t="shared" si="59"/>
        <v>949.20972222224691</v>
      </c>
      <c r="Y94" s="157">
        <v>1</v>
      </c>
      <c r="Z94" s="157">
        <f t="shared" si="60"/>
        <v>949.20972222224691</v>
      </c>
      <c r="AA94" s="157">
        <f t="shared" si="61"/>
        <v>976.33</v>
      </c>
      <c r="AB94" s="157">
        <f t="shared" si="62"/>
        <v>13.560138888876565</v>
      </c>
      <c r="AC94" s="157">
        <f t="shared" si="49"/>
        <v>2013.0833333333333</v>
      </c>
      <c r="AD94" s="157">
        <f t="shared" si="50"/>
        <v>2017</v>
      </c>
      <c r="AE94" s="157">
        <f t="shared" si="51"/>
        <v>2016.0833333333333</v>
      </c>
      <c r="AF94" s="157">
        <f t="shared" si="52"/>
        <v>2016</v>
      </c>
      <c r="AG94" s="157">
        <f t="shared" si="53"/>
        <v>-8.3333333333333329E-2</v>
      </c>
    </row>
    <row r="95" spans="1:33">
      <c r="A95" s="156" t="s">
        <v>321</v>
      </c>
      <c r="B95" s="156">
        <f>26+8</f>
        <v>34</v>
      </c>
      <c r="C95" s="156" t="s">
        <v>322</v>
      </c>
      <c r="D95" s="156">
        <v>2015</v>
      </c>
      <c r="E95" s="156">
        <v>2</v>
      </c>
      <c r="F95" s="156">
        <v>0</v>
      </c>
      <c r="H95" s="156" t="s">
        <v>52</v>
      </c>
      <c r="I95" s="156">
        <v>3</v>
      </c>
      <c r="J95" s="156">
        <f t="shared" si="37"/>
        <v>2018</v>
      </c>
      <c r="M95" s="156">
        <f>2768.16+8597.08</f>
        <v>11365.24</v>
      </c>
      <c r="O95" s="157">
        <f t="shared" si="38"/>
        <v>11365.24</v>
      </c>
      <c r="P95" s="157">
        <f t="shared" si="39"/>
        <v>315.70111111111112</v>
      </c>
      <c r="Q95" s="157">
        <f t="shared" si="54"/>
        <v>3788.4133333333334</v>
      </c>
      <c r="R95" s="157">
        <f t="shared" si="55"/>
        <v>0</v>
      </c>
      <c r="S95" s="157">
        <f t="shared" si="56"/>
        <v>3788.4133333333334</v>
      </c>
      <c r="T95" s="157">
        <v>1</v>
      </c>
      <c r="U95" s="157">
        <f t="shared" si="57"/>
        <v>3788.4133333333334</v>
      </c>
      <c r="W95" s="157">
        <f t="shared" si="58"/>
        <v>3472.7122222225094</v>
      </c>
      <c r="X95" s="157">
        <f t="shared" si="59"/>
        <v>3472.7122222225094</v>
      </c>
      <c r="Y95" s="157">
        <v>1</v>
      </c>
      <c r="Z95" s="157">
        <f t="shared" si="60"/>
        <v>3472.7122222225094</v>
      </c>
      <c r="AA95" s="157">
        <f t="shared" si="61"/>
        <v>7261.1255555558428</v>
      </c>
      <c r="AB95" s="157">
        <f t="shared" si="62"/>
        <v>5998.321111110823</v>
      </c>
      <c r="AC95" s="157">
        <f t="shared" si="49"/>
        <v>2015.0833333333333</v>
      </c>
      <c r="AD95" s="157">
        <f t="shared" si="50"/>
        <v>2017</v>
      </c>
      <c r="AE95" s="157">
        <f t="shared" si="51"/>
        <v>2018.0833333333333</v>
      </c>
      <c r="AF95" s="157">
        <f t="shared" si="52"/>
        <v>2016</v>
      </c>
      <c r="AG95" s="157">
        <f t="shared" si="53"/>
        <v>-8.3333333333333329E-2</v>
      </c>
    </row>
    <row r="96" spans="1:33">
      <c r="A96" s="156">
        <v>120339</v>
      </c>
      <c r="B96" s="156">
        <v>1</v>
      </c>
      <c r="C96" s="156" t="s">
        <v>323</v>
      </c>
      <c r="D96" s="156">
        <v>2015</v>
      </c>
      <c r="E96" s="156">
        <v>2</v>
      </c>
      <c r="F96" s="156">
        <v>0</v>
      </c>
      <c r="H96" s="156" t="s">
        <v>52</v>
      </c>
      <c r="I96" s="156">
        <v>3</v>
      </c>
      <c r="J96" s="156">
        <f t="shared" si="37"/>
        <v>2018</v>
      </c>
      <c r="M96" s="156">
        <v>747.14</v>
      </c>
      <c r="O96" s="157">
        <f t="shared" si="38"/>
        <v>747.14</v>
      </c>
      <c r="P96" s="157">
        <f t="shared" si="39"/>
        <v>20.753888888888888</v>
      </c>
      <c r="Q96" s="157">
        <f t="shared" si="54"/>
        <v>249.04666666666665</v>
      </c>
      <c r="R96" s="157">
        <f t="shared" si="55"/>
        <v>0</v>
      </c>
      <c r="S96" s="157">
        <f t="shared" si="56"/>
        <v>249.04666666666665</v>
      </c>
      <c r="T96" s="157">
        <v>1</v>
      </c>
      <c r="U96" s="157">
        <f t="shared" si="57"/>
        <v>249.04666666666665</v>
      </c>
      <c r="W96" s="157">
        <f t="shared" si="58"/>
        <v>228.29277777779663</v>
      </c>
      <c r="X96" s="157">
        <f t="shared" si="59"/>
        <v>228.29277777779663</v>
      </c>
      <c r="Y96" s="157">
        <v>1</v>
      </c>
      <c r="Z96" s="157">
        <f t="shared" si="60"/>
        <v>228.29277777779663</v>
      </c>
      <c r="AA96" s="157">
        <f t="shared" si="61"/>
        <v>477.33944444446331</v>
      </c>
      <c r="AB96" s="157">
        <f t="shared" si="62"/>
        <v>394.32388888886999</v>
      </c>
      <c r="AC96" s="157">
        <f t="shared" si="49"/>
        <v>2015.0833333333333</v>
      </c>
      <c r="AD96" s="157">
        <f t="shared" si="50"/>
        <v>2017</v>
      </c>
      <c r="AE96" s="157">
        <f t="shared" si="51"/>
        <v>2018.0833333333333</v>
      </c>
      <c r="AF96" s="157">
        <f t="shared" si="52"/>
        <v>2016</v>
      </c>
      <c r="AG96" s="157">
        <f t="shared" si="53"/>
        <v>-8.3333333333333329E-2</v>
      </c>
    </row>
    <row r="97" spans="1:33">
      <c r="A97" s="156">
        <v>122827</v>
      </c>
      <c r="B97" s="156">
        <v>3</v>
      </c>
      <c r="C97" s="156" t="s">
        <v>324</v>
      </c>
      <c r="D97" s="156">
        <v>2015</v>
      </c>
      <c r="E97" s="156">
        <v>5</v>
      </c>
      <c r="F97" s="156">
        <v>0</v>
      </c>
      <c r="H97" s="156" t="s">
        <v>52</v>
      </c>
      <c r="I97" s="156">
        <v>3</v>
      </c>
      <c r="J97" s="156">
        <f t="shared" si="37"/>
        <v>2018</v>
      </c>
      <c r="M97" s="156">
        <v>3126.31</v>
      </c>
      <c r="O97" s="157">
        <f t="shared" si="38"/>
        <v>3126.31</v>
      </c>
      <c r="P97" s="157">
        <f t="shared" si="39"/>
        <v>86.841944444444437</v>
      </c>
      <c r="Q97" s="157">
        <f t="shared" si="54"/>
        <v>1042.1033333333332</v>
      </c>
      <c r="R97" s="157">
        <f t="shared" si="55"/>
        <v>0</v>
      </c>
      <c r="S97" s="157">
        <f t="shared" si="56"/>
        <v>1042.1033333333332</v>
      </c>
      <c r="T97" s="157">
        <v>1</v>
      </c>
      <c r="U97" s="157">
        <f t="shared" si="57"/>
        <v>1042.1033333333332</v>
      </c>
      <c r="W97" s="157">
        <f t="shared" si="58"/>
        <v>694.73555555563451</v>
      </c>
      <c r="X97" s="157">
        <f t="shared" si="59"/>
        <v>694.73555555563451</v>
      </c>
      <c r="Y97" s="157">
        <v>1</v>
      </c>
      <c r="Z97" s="157">
        <f t="shared" si="60"/>
        <v>694.73555555563451</v>
      </c>
      <c r="AA97" s="157">
        <f t="shared" si="61"/>
        <v>1736.8388888889676</v>
      </c>
      <c r="AB97" s="157">
        <f t="shared" si="62"/>
        <v>1910.5227777776988</v>
      </c>
      <c r="AC97" s="157">
        <f t="shared" si="49"/>
        <v>2015.3333333333333</v>
      </c>
      <c r="AD97" s="157">
        <f t="shared" si="50"/>
        <v>2017</v>
      </c>
      <c r="AE97" s="157">
        <f t="shared" si="51"/>
        <v>2018.3333333333333</v>
      </c>
      <c r="AF97" s="157">
        <f t="shared" si="52"/>
        <v>2016</v>
      </c>
      <c r="AG97" s="157">
        <f t="shared" si="53"/>
        <v>-8.3333333333333329E-2</v>
      </c>
    </row>
    <row r="98" spans="1:33">
      <c r="A98" s="156">
        <v>127696</v>
      </c>
      <c r="C98" s="156" t="s">
        <v>331</v>
      </c>
      <c r="D98" s="156">
        <v>2015</v>
      </c>
      <c r="E98" s="156">
        <v>11</v>
      </c>
      <c r="F98" s="156">
        <v>0</v>
      </c>
      <c r="H98" s="156" t="s">
        <v>52</v>
      </c>
      <c r="I98" s="156">
        <v>3</v>
      </c>
      <c r="J98" s="156">
        <f t="shared" si="37"/>
        <v>2018</v>
      </c>
      <c r="M98" s="156">
        <v>864.3</v>
      </c>
      <c r="O98" s="157">
        <f t="shared" si="38"/>
        <v>864.3</v>
      </c>
      <c r="P98" s="157">
        <f t="shared" si="39"/>
        <v>24.008333333333329</v>
      </c>
      <c r="Q98" s="157">
        <f t="shared" si="54"/>
        <v>288.09999999999997</v>
      </c>
      <c r="R98" s="157">
        <f t="shared" si="55"/>
        <v>0</v>
      </c>
      <c r="S98" s="157">
        <f t="shared" si="56"/>
        <v>288.09999999999997</v>
      </c>
      <c r="T98" s="157">
        <v>1</v>
      </c>
      <c r="U98" s="157">
        <f t="shared" si="57"/>
        <v>288.09999999999997</v>
      </c>
      <c r="W98" s="157">
        <f t="shared" si="58"/>
        <v>48.016666666688494</v>
      </c>
      <c r="X98" s="157">
        <f t="shared" si="59"/>
        <v>48.016666666688494</v>
      </c>
      <c r="Y98" s="157">
        <v>1</v>
      </c>
      <c r="Z98" s="157">
        <f t="shared" si="60"/>
        <v>48.016666666688494</v>
      </c>
      <c r="AA98" s="157">
        <f t="shared" si="61"/>
        <v>336.11666666668845</v>
      </c>
      <c r="AB98" s="157">
        <f t="shared" si="62"/>
        <v>672.23333333331152</v>
      </c>
      <c r="AC98" s="157">
        <f t="shared" si="49"/>
        <v>2015.8333333333333</v>
      </c>
      <c r="AD98" s="157">
        <f t="shared" si="50"/>
        <v>2017</v>
      </c>
      <c r="AE98" s="157">
        <f t="shared" si="51"/>
        <v>2018.8333333333333</v>
      </c>
      <c r="AF98" s="157">
        <f t="shared" si="52"/>
        <v>2016</v>
      </c>
      <c r="AG98" s="157">
        <f t="shared" si="53"/>
        <v>-8.3333333333333329E-2</v>
      </c>
    </row>
    <row r="99" spans="1:33">
      <c r="A99" s="156">
        <v>128907</v>
      </c>
      <c r="C99" s="156" t="s">
        <v>332</v>
      </c>
      <c r="D99" s="156">
        <v>2015</v>
      </c>
      <c r="E99" s="156">
        <v>12</v>
      </c>
      <c r="F99" s="156">
        <v>0</v>
      </c>
      <c r="H99" s="156" t="s">
        <v>52</v>
      </c>
      <c r="I99" s="156">
        <v>3</v>
      </c>
      <c r="J99" s="156">
        <f t="shared" si="37"/>
        <v>2018</v>
      </c>
      <c r="M99" s="156">
        <v>1141.1300000000001</v>
      </c>
      <c r="O99" s="157">
        <f t="shared" si="38"/>
        <v>1141.1300000000001</v>
      </c>
      <c r="P99" s="157">
        <f t="shared" si="39"/>
        <v>31.698055555555559</v>
      </c>
      <c r="Q99" s="157">
        <f t="shared" si="54"/>
        <v>380.37666666666672</v>
      </c>
      <c r="R99" s="157">
        <f t="shared" si="55"/>
        <v>0</v>
      </c>
      <c r="S99" s="157">
        <f t="shared" si="56"/>
        <v>380.37666666666672</v>
      </c>
      <c r="T99" s="157">
        <v>1</v>
      </c>
      <c r="U99" s="157">
        <f t="shared" si="57"/>
        <v>380.37666666666672</v>
      </c>
      <c r="W99" s="157">
        <f t="shared" si="58"/>
        <v>31.698055555526729</v>
      </c>
      <c r="X99" s="157">
        <f t="shared" si="59"/>
        <v>31.698055555526729</v>
      </c>
      <c r="Y99" s="157">
        <v>1</v>
      </c>
      <c r="Z99" s="157">
        <f t="shared" si="60"/>
        <v>31.698055555526729</v>
      </c>
      <c r="AA99" s="157">
        <f t="shared" si="61"/>
        <v>412.07472222219343</v>
      </c>
      <c r="AB99" s="157">
        <f t="shared" si="62"/>
        <v>919.24361111114001</v>
      </c>
      <c r="AC99" s="157">
        <f t="shared" si="49"/>
        <v>2015.9166666666667</v>
      </c>
      <c r="AD99" s="157">
        <f t="shared" si="50"/>
        <v>2017</v>
      </c>
      <c r="AE99" s="157">
        <f t="shared" si="51"/>
        <v>2018.9166666666667</v>
      </c>
      <c r="AF99" s="157">
        <f t="shared" si="52"/>
        <v>2016</v>
      </c>
      <c r="AG99" s="157">
        <f t="shared" si="53"/>
        <v>-8.3333333333333329E-2</v>
      </c>
    </row>
    <row r="100" spans="1:33">
      <c r="A100" s="156">
        <v>129801</v>
      </c>
      <c r="B100" s="156">
        <v>2</v>
      </c>
      <c r="C100" s="156" t="s">
        <v>396</v>
      </c>
      <c r="D100" s="156">
        <v>2016</v>
      </c>
      <c r="E100" s="156">
        <v>1</v>
      </c>
      <c r="F100" s="156">
        <v>0</v>
      </c>
      <c r="H100" s="156" t="s">
        <v>52</v>
      </c>
      <c r="I100" s="156">
        <v>3</v>
      </c>
      <c r="J100" s="156">
        <f t="shared" si="37"/>
        <v>2019</v>
      </c>
      <c r="M100" s="156">
        <v>780.68</v>
      </c>
      <c r="O100" s="157">
        <f t="shared" si="38"/>
        <v>780.68</v>
      </c>
      <c r="P100" s="157">
        <f t="shared" si="39"/>
        <v>21.685555555555553</v>
      </c>
      <c r="Q100" s="157">
        <f t="shared" si="54"/>
        <v>260.22666666666663</v>
      </c>
      <c r="R100" s="157">
        <f t="shared" si="55"/>
        <v>0</v>
      </c>
      <c r="S100" s="157">
        <f t="shared" si="56"/>
        <v>260.22666666666663</v>
      </c>
      <c r="T100" s="157">
        <v>1</v>
      </c>
      <c r="U100" s="157">
        <f t="shared" si="57"/>
        <v>260.22666666666663</v>
      </c>
      <c r="W100" s="157">
        <f t="shared" si="58"/>
        <v>0</v>
      </c>
      <c r="X100" s="157">
        <f t="shared" si="59"/>
        <v>0</v>
      </c>
      <c r="Y100" s="157">
        <v>1</v>
      </c>
      <c r="Z100" s="157">
        <f t="shared" si="60"/>
        <v>0</v>
      </c>
      <c r="AA100" s="157">
        <f t="shared" si="61"/>
        <v>260.22666666666663</v>
      </c>
      <c r="AB100" s="157">
        <f t="shared" si="62"/>
        <v>260.22666666666669</v>
      </c>
      <c r="AC100" s="157">
        <f t="shared" si="49"/>
        <v>2016</v>
      </c>
      <c r="AD100" s="157">
        <f t="shared" si="50"/>
        <v>2017</v>
      </c>
      <c r="AE100" s="157">
        <f t="shared" si="51"/>
        <v>2019</v>
      </c>
      <c r="AF100" s="157">
        <f t="shared" si="52"/>
        <v>2016</v>
      </c>
      <c r="AG100" s="157">
        <f t="shared" si="53"/>
        <v>-8.3333333333333329E-2</v>
      </c>
    </row>
    <row r="101" spans="1:33">
      <c r="A101" s="156">
        <v>133016</v>
      </c>
      <c r="B101" s="156">
        <v>20</v>
      </c>
      <c r="C101" s="156" t="s">
        <v>395</v>
      </c>
      <c r="D101" s="156">
        <v>2016</v>
      </c>
      <c r="E101" s="156">
        <v>5</v>
      </c>
      <c r="F101" s="156">
        <v>0</v>
      </c>
      <c r="H101" s="156" t="s">
        <v>52</v>
      </c>
      <c r="I101" s="156">
        <v>3</v>
      </c>
      <c r="J101" s="156">
        <f>D101+I101</f>
        <v>2019</v>
      </c>
      <c r="M101" s="156">
        <v>2417.6999999999998</v>
      </c>
      <c r="O101" s="157">
        <f>M101-M101*F101</f>
        <v>2417.6999999999998</v>
      </c>
      <c r="P101" s="157">
        <f>O101/I101/12</f>
        <v>67.158333333333331</v>
      </c>
      <c r="Q101" s="157">
        <f t="shared" si="54"/>
        <v>537.2666666667277</v>
      </c>
      <c r="R101" s="157">
        <f t="shared" si="55"/>
        <v>0</v>
      </c>
      <c r="S101" s="157">
        <f t="shared" si="56"/>
        <v>537.2666666667277</v>
      </c>
      <c r="T101" s="157">
        <v>1</v>
      </c>
      <c r="U101" s="157">
        <f t="shared" si="57"/>
        <v>537.2666666667277</v>
      </c>
      <c r="W101" s="157">
        <f t="shared" si="58"/>
        <v>0</v>
      </c>
      <c r="X101" s="157">
        <f t="shared" si="59"/>
        <v>0</v>
      </c>
      <c r="Y101" s="157">
        <v>1</v>
      </c>
      <c r="Z101" s="157">
        <f t="shared" si="60"/>
        <v>0</v>
      </c>
      <c r="AA101" s="157">
        <f t="shared" si="61"/>
        <v>537.2666666667277</v>
      </c>
      <c r="AB101" s="157">
        <f t="shared" si="62"/>
        <v>940.216666666636</v>
      </c>
      <c r="AC101" s="157">
        <f t="shared" si="49"/>
        <v>2016.3333333333333</v>
      </c>
      <c r="AD101" s="157">
        <f t="shared" si="50"/>
        <v>2017</v>
      </c>
      <c r="AE101" s="157">
        <f t="shared" si="51"/>
        <v>2019.3333333333333</v>
      </c>
      <c r="AF101" s="157">
        <f t="shared" si="52"/>
        <v>2016</v>
      </c>
      <c r="AG101" s="157">
        <f t="shared" si="53"/>
        <v>-8.3333333333333329E-2</v>
      </c>
    </row>
    <row r="102" spans="1:33">
      <c r="A102" s="156">
        <v>133017</v>
      </c>
      <c r="C102" s="156" t="s">
        <v>397</v>
      </c>
      <c r="D102" s="156">
        <v>2016</v>
      </c>
      <c r="E102" s="156">
        <v>5</v>
      </c>
      <c r="F102" s="156">
        <v>0</v>
      </c>
      <c r="H102" s="156" t="s">
        <v>52</v>
      </c>
      <c r="I102" s="156">
        <v>3</v>
      </c>
      <c r="J102" s="156">
        <f>D102+I102</f>
        <v>2019</v>
      </c>
      <c r="M102" s="156">
        <v>1121.76</v>
      </c>
      <c r="O102" s="157">
        <f>M102-M102*F102</f>
        <v>1121.76</v>
      </c>
      <c r="P102" s="157">
        <f>O102/I102/12</f>
        <v>31.16</v>
      </c>
      <c r="Q102" s="157">
        <f t="shared" si="54"/>
        <v>249.28000000002834</v>
      </c>
      <c r="R102" s="157">
        <f t="shared" si="55"/>
        <v>0</v>
      </c>
      <c r="S102" s="157">
        <f t="shared" si="56"/>
        <v>249.28000000002834</v>
      </c>
      <c r="T102" s="157">
        <v>1</v>
      </c>
      <c r="U102" s="157">
        <f t="shared" si="57"/>
        <v>249.28000000002834</v>
      </c>
      <c r="W102" s="157">
        <f t="shared" si="58"/>
        <v>0</v>
      </c>
      <c r="X102" s="157">
        <f t="shared" si="59"/>
        <v>0</v>
      </c>
      <c r="Y102" s="157">
        <v>1</v>
      </c>
      <c r="Z102" s="157">
        <f t="shared" si="60"/>
        <v>0</v>
      </c>
      <c r="AA102" s="157">
        <f t="shared" si="61"/>
        <v>249.28000000002834</v>
      </c>
      <c r="AB102" s="157">
        <f t="shared" si="62"/>
        <v>436.2399999999858</v>
      </c>
      <c r="AC102" s="157">
        <f t="shared" si="49"/>
        <v>2016.3333333333333</v>
      </c>
      <c r="AD102" s="157">
        <f t="shared" si="50"/>
        <v>2017</v>
      </c>
      <c r="AE102" s="157">
        <f t="shared" si="51"/>
        <v>2019.3333333333333</v>
      </c>
      <c r="AF102" s="157">
        <f t="shared" si="52"/>
        <v>2016</v>
      </c>
      <c r="AG102" s="157">
        <f t="shared" si="53"/>
        <v>-8.3333333333333329E-2</v>
      </c>
    </row>
    <row r="103" spans="1:33">
      <c r="A103" s="156">
        <v>165562</v>
      </c>
      <c r="C103" s="156" t="s">
        <v>332</v>
      </c>
      <c r="D103" s="156">
        <v>2016</v>
      </c>
      <c r="E103" s="156">
        <v>4</v>
      </c>
      <c r="F103" s="156">
        <v>0</v>
      </c>
      <c r="H103" s="156" t="s">
        <v>52</v>
      </c>
      <c r="I103" s="156">
        <v>3</v>
      </c>
      <c r="J103" s="156">
        <f>D103+I103</f>
        <v>2019</v>
      </c>
      <c r="M103" s="156">
        <v>1019.16</v>
      </c>
      <c r="O103" s="157">
        <f>M103-M103*F103</f>
        <v>1019.16</v>
      </c>
      <c r="P103" s="157">
        <f>O103/I103/12</f>
        <v>28.31</v>
      </c>
      <c r="Q103" s="157">
        <f t="shared" si="54"/>
        <v>254.79</v>
      </c>
      <c r="R103" s="157">
        <f t="shared" si="55"/>
        <v>0</v>
      </c>
      <c r="S103" s="157">
        <f t="shared" si="56"/>
        <v>254.79</v>
      </c>
      <c r="T103" s="157">
        <v>1</v>
      </c>
      <c r="U103" s="157">
        <f t="shared" si="57"/>
        <v>254.79</v>
      </c>
      <c r="W103" s="157">
        <f t="shared" si="58"/>
        <v>0</v>
      </c>
      <c r="X103" s="157">
        <f t="shared" si="59"/>
        <v>0</v>
      </c>
      <c r="Y103" s="157">
        <v>1</v>
      </c>
      <c r="Z103" s="157">
        <f t="shared" si="60"/>
        <v>0</v>
      </c>
      <c r="AA103" s="157">
        <f t="shared" si="61"/>
        <v>254.79</v>
      </c>
      <c r="AB103" s="157">
        <f t="shared" si="62"/>
        <v>382.185</v>
      </c>
      <c r="AC103" s="157">
        <f t="shared" si="49"/>
        <v>2016.25</v>
      </c>
      <c r="AD103" s="157">
        <f t="shared" si="50"/>
        <v>2017</v>
      </c>
      <c r="AE103" s="157">
        <f t="shared" si="51"/>
        <v>2019.25</v>
      </c>
      <c r="AF103" s="157">
        <f t="shared" si="52"/>
        <v>2016</v>
      </c>
      <c r="AG103" s="157">
        <f t="shared" si="53"/>
        <v>-8.3333333333333329E-2</v>
      </c>
    </row>
    <row r="104" spans="1:33">
      <c r="A104" s="156">
        <v>165855</v>
      </c>
      <c r="C104" s="156" t="s">
        <v>400</v>
      </c>
      <c r="D104" s="156">
        <v>2016</v>
      </c>
      <c r="E104" s="156">
        <v>7</v>
      </c>
      <c r="F104" s="156">
        <v>0</v>
      </c>
      <c r="H104" s="156" t="s">
        <v>52</v>
      </c>
      <c r="I104" s="156">
        <v>3</v>
      </c>
      <c r="J104" s="156">
        <f>D104+I104</f>
        <v>2019</v>
      </c>
      <c r="M104" s="156">
        <v>1237.49</v>
      </c>
      <c r="O104" s="157">
        <f>M104-M104*F104</f>
        <v>1237.49</v>
      </c>
      <c r="P104" s="157">
        <f>O104/I104/12</f>
        <v>34.374722222222225</v>
      </c>
      <c r="Q104" s="157">
        <f t="shared" si="54"/>
        <v>206.24833333333333</v>
      </c>
      <c r="R104" s="157">
        <f t="shared" si="55"/>
        <v>0</v>
      </c>
      <c r="S104" s="157">
        <f t="shared" si="56"/>
        <v>206.24833333333333</v>
      </c>
      <c r="T104" s="157">
        <v>1</v>
      </c>
      <c r="U104" s="157">
        <f t="shared" si="57"/>
        <v>206.24833333333333</v>
      </c>
      <c r="W104" s="157">
        <f t="shared" si="58"/>
        <v>0</v>
      </c>
      <c r="X104" s="157">
        <f t="shared" si="59"/>
        <v>0</v>
      </c>
      <c r="Y104" s="157">
        <v>1</v>
      </c>
      <c r="Z104" s="157">
        <f t="shared" si="60"/>
        <v>0</v>
      </c>
      <c r="AA104" s="157">
        <f t="shared" si="61"/>
        <v>206.24833333333333</v>
      </c>
      <c r="AB104" s="157">
        <f t="shared" si="62"/>
        <v>515.62083333333339</v>
      </c>
      <c r="AC104" s="157">
        <f t="shared" si="49"/>
        <v>2016.5</v>
      </c>
      <c r="AD104" s="157">
        <f t="shared" si="50"/>
        <v>2017</v>
      </c>
      <c r="AE104" s="157">
        <f t="shared" si="51"/>
        <v>2019.5</v>
      </c>
      <c r="AF104" s="157">
        <f t="shared" si="52"/>
        <v>2016</v>
      </c>
      <c r="AG104" s="157">
        <f t="shared" si="53"/>
        <v>-8.3333333333333329E-2</v>
      </c>
    </row>
    <row r="105" spans="1:33">
      <c r="A105" s="156">
        <v>168021</v>
      </c>
      <c r="B105" s="156">
        <v>8</v>
      </c>
      <c r="C105" s="156" t="s">
        <v>405</v>
      </c>
      <c r="D105" s="156">
        <v>2016</v>
      </c>
      <c r="E105" s="156">
        <v>9</v>
      </c>
      <c r="F105" s="156">
        <v>0</v>
      </c>
      <c r="H105" s="156" t="s">
        <v>52</v>
      </c>
      <c r="I105" s="156">
        <v>3</v>
      </c>
      <c r="J105" s="156">
        <f>D105+I105</f>
        <v>2019</v>
      </c>
      <c r="M105" s="156">
        <v>993.08</v>
      </c>
      <c r="O105" s="157">
        <f>M105-M105*F105</f>
        <v>993.08</v>
      </c>
      <c r="P105" s="157">
        <f>O105/I105/12</f>
        <v>27.585555555555558</v>
      </c>
      <c r="Q105" s="157">
        <f t="shared" si="54"/>
        <v>110.34222222219715</v>
      </c>
      <c r="R105" s="157">
        <f t="shared" si="55"/>
        <v>0</v>
      </c>
      <c r="S105" s="157">
        <f t="shared" si="56"/>
        <v>110.34222222219715</v>
      </c>
      <c r="T105" s="157">
        <v>1</v>
      </c>
      <c r="U105" s="157">
        <f t="shared" si="57"/>
        <v>110.34222222219715</v>
      </c>
      <c r="W105" s="157">
        <f t="shared" si="58"/>
        <v>0</v>
      </c>
      <c r="X105" s="157">
        <f t="shared" si="59"/>
        <v>0</v>
      </c>
      <c r="Y105" s="157">
        <v>1</v>
      </c>
      <c r="Z105" s="157">
        <f t="shared" si="60"/>
        <v>0</v>
      </c>
      <c r="AA105" s="157">
        <f t="shared" si="61"/>
        <v>110.34222222219715</v>
      </c>
      <c r="AB105" s="157">
        <f t="shared" si="62"/>
        <v>441.36888888890144</v>
      </c>
      <c r="AC105" s="157">
        <f t="shared" si="49"/>
        <v>2016.6666666666667</v>
      </c>
      <c r="AD105" s="157">
        <f t="shared" si="50"/>
        <v>2017</v>
      </c>
      <c r="AE105" s="157">
        <f t="shared" si="51"/>
        <v>2019.6666666666667</v>
      </c>
      <c r="AF105" s="157">
        <f t="shared" si="52"/>
        <v>2016</v>
      </c>
      <c r="AG105" s="157">
        <f t="shared" si="53"/>
        <v>-8.3333333333333329E-2</v>
      </c>
    </row>
    <row r="107" spans="1:33" ht="13.5" thickBot="1">
      <c r="B107" s="156" t="s">
        <v>57</v>
      </c>
      <c r="C107" s="156" t="s">
        <v>145</v>
      </c>
      <c r="M107" s="156">
        <f>SUM(M84:M106)</f>
        <v>134961.19999999998</v>
      </c>
      <c r="O107" s="157">
        <f>SUM(O84:O106)</f>
        <v>134961.19999999998</v>
      </c>
      <c r="P107" s="157">
        <f>SUM(P84:P106)</f>
        <v>2546.9066666666668</v>
      </c>
      <c r="Q107" s="157">
        <f>SUM(Q84:Q106)</f>
        <v>19351.395277777854</v>
      </c>
      <c r="S107" s="157">
        <f>SUM(S84:S106)</f>
        <v>19351.395277777854</v>
      </c>
      <c r="U107" s="157">
        <f>SUM(U84:U106)</f>
        <v>19351.395277777854</v>
      </c>
      <c r="V107" s="157">
        <f>SUM(V84:V106)</f>
        <v>0</v>
      </c>
      <c r="W107" s="157">
        <f>SUM(W84:W106)</f>
        <v>99722.70055555593</v>
      </c>
      <c r="X107" s="157">
        <f>SUM(X84:X106)</f>
        <v>99722.70055555593</v>
      </c>
      <c r="Z107" s="157">
        <f>SUM(Z84:Z106)</f>
        <v>99722.70055555593</v>
      </c>
      <c r="AA107" s="157">
        <f>SUM(AA84:AA106)</f>
        <v>119074.09583333378</v>
      </c>
      <c r="AB107" s="157">
        <f>SUM(AB84:AB106)</f>
        <v>21777.866805555157</v>
      </c>
    </row>
    <row r="109" spans="1:33" ht="13.5" thickBot="1">
      <c r="C109" s="156" t="s">
        <v>246</v>
      </c>
      <c r="M109" s="156">
        <f>SUM(M107,M78,M44,M34,M17)</f>
        <v>10418867.858571429</v>
      </c>
      <c r="O109" s="157">
        <f>SUM(O107,O78,O44,O34,O17)</f>
        <v>10363361.980071429</v>
      </c>
      <c r="P109" s="157">
        <f>SUM(P107,P78,P44,P34,P17)</f>
        <v>39711.35101765873</v>
      </c>
      <c r="Q109" s="157">
        <f>SUM(Q107,Q78,Q44,Q34,Q17)</f>
        <v>423600.27113492123</v>
      </c>
      <c r="S109" s="157">
        <f>SUM(S107,S78,S44,S34,S17)</f>
        <v>423600.27113492123</v>
      </c>
      <c r="U109" s="157">
        <f>SUM(U107,U78,U44,U34,U17)</f>
        <v>423600.27113492123</v>
      </c>
      <c r="V109" s="157">
        <f>SUM(V107,V78,V44,V34,V17)</f>
        <v>0</v>
      </c>
      <c r="W109" s="157">
        <f>SUM(W107,W78,W44,W34,W17)</f>
        <v>2027982.1731358976</v>
      </c>
      <c r="X109" s="157">
        <f>SUM(X107,X78,X44,X34,X17)</f>
        <v>2027982.1731358976</v>
      </c>
      <c r="Z109" s="157">
        <f>SUM(Z107,Z78,Z44,Z34,Z17)</f>
        <v>2027982.1731358976</v>
      </c>
      <c r="AA109" s="157">
        <f>SUM(AA107,AA78,AA44,AA34,AA17)</f>
        <v>2451582.444270819</v>
      </c>
      <c r="AB109" s="157">
        <f>SUM(AB107,AB78,AB44,AB34,AB17)</f>
        <v>8127549.2598680705</v>
      </c>
    </row>
    <row r="110" spans="1:33" ht="13.5" thickTop="1"/>
  </sheetData>
  <pageMargins left="0.75" right="0.75" top="1" bottom="1" header="0.5" footer="0.5"/>
  <pageSetup scale="50" fitToHeight="4" orientation="landscape" horizontalDpi="300" vertic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dimension ref="A1:CB75"/>
  <sheetViews>
    <sheetView tabSelected="1" workbookViewId="0">
      <selection activeCell="H4" sqref="H4:H6"/>
    </sheetView>
  </sheetViews>
  <sheetFormatPr defaultColWidth="9.77734375" defaultRowHeight="12.75"/>
  <cols>
    <col min="1" max="1" width="5.44140625" style="156" customWidth="1"/>
    <col min="2" max="2" width="3.77734375" style="156" customWidth="1"/>
    <col min="3" max="3" width="5.33203125" style="156" customWidth="1"/>
    <col min="4" max="4" width="22.109375" style="156" customWidth="1"/>
    <col min="5" max="5" width="5.88671875" style="156" customWidth="1"/>
    <col min="6" max="6" width="2.6640625" style="156" customWidth="1"/>
    <col min="7" max="7" width="5.77734375" style="156" customWidth="1"/>
    <col min="8" max="8" width="1.77734375" style="156" customWidth="1"/>
    <col min="9" max="9" width="5.44140625" style="156" customWidth="1"/>
    <col min="10" max="10" width="4.44140625" style="156" customWidth="1"/>
    <col min="11" max="11" width="3.88671875" style="156" customWidth="1"/>
    <col min="12" max="12" width="4.44140625" style="156" customWidth="1"/>
    <col min="13" max="13" width="3.109375" style="156" customWidth="1"/>
    <col min="14" max="14" width="10" style="157" customWidth="1"/>
    <col min="15" max="15" width="5.21875" style="157" customWidth="1"/>
    <col min="16" max="17" width="8.77734375" style="157" customWidth="1"/>
    <col min="18" max="18" width="7.21875" style="157" customWidth="1"/>
    <col min="19" max="19" width="5.21875" style="157" customWidth="1"/>
    <col min="20" max="20" width="7.6640625" style="157" customWidth="1"/>
    <col min="21" max="21" width="3.44140625" style="157" customWidth="1"/>
    <col min="22" max="22" width="6.44140625" style="157" customWidth="1"/>
    <col min="23" max="23" width="1.77734375" style="157" customWidth="1"/>
    <col min="24" max="25" width="8.6640625" style="157" customWidth="1"/>
    <col min="26" max="26" width="5.109375" style="157" customWidth="1"/>
    <col min="27" max="28" width="7" style="157" customWidth="1"/>
    <col min="29" max="29" width="7.77734375" style="157" customWidth="1"/>
    <col min="30" max="30" width="6.109375" style="157" customWidth="1"/>
    <col min="31" max="31" width="6.5546875" style="157" customWidth="1"/>
    <col min="32" max="32" width="7.88671875" style="157" customWidth="1"/>
    <col min="33" max="33" width="6.109375" style="157" customWidth="1"/>
    <col min="34" max="34" width="3.88671875" style="157" customWidth="1"/>
    <col min="35" max="36" width="9.77734375" style="157"/>
    <col min="37" max="16384" width="9.77734375" style="156"/>
  </cols>
  <sheetData>
    <row r="1" spans="1:80">
      <c r="D1" s="156" t="s">
        <v>606</v>
      </c>
      <c r="N1" s="157" t="s">
        <v>255</v>
      </c>
      <c r="P1" s="157" t="s">
        <v>263</v>
      </c>
      <c r="AE1" s="157">
        <f>[13]Summary!F5</f>
        <v>42370</v>
      </c>
    </row>
    <row r="2" spans="1:80">
      <c r="D2" s="156" t="s">
        <v>0</v>
      </c>
      <c r="N2" s="157" t="s">
        <v>258</v>
      </c>
      <c r="P2" s="157">
        <v>12</v>
      </c>
      <c r="Q2" s="157" t="s">
        <v>1</v>
      </c>
      <c r="BX2" s="156" t="s">
        <v>2</v>
      </c>
    </row>
    <row r="3" spans="1:80">
      <c r="D3" s="159">
        <f>[13]Summary!H5</f>
        <v>42735</v>
      </c>
      <c r="N3" s="157" t="s">
        <v>253</v>
      </c>
      <c r="P3" s="157">
        <v>0</v>
      </c>
      <c r="Q3" s="157" t="s">
        <v>3</v>
      </c>
      <c r="AE3" s="157" t="s">
        <v>4</v>
      </c>
      <c r="AF3" s="157" t="s">
        <v>5</v>
      </c>
    </row>
    <row r="4" spans="1:80">
      <c r="N4" s="157" t="s">
        <v>254</v>
      </c>
      <c r="P4" s="157">
        <f>2016</f>
        <v>2016</v>
      </c>
      <c r="Q4" s="157" t="s">
        <v>6</v>
      </c>
      <c r="AE4" s="157" t="s">
        <v>7</v>
      </c>
      <c r="AF4" s="157" t="s">
        <v>8</v>
      </c>
      <c r="BW4" s="156">
        <v>1</v>
      </c>
      <c r="BX4" s="156" t="s">
        <v>9</v>
      </c>
      <c r="CA4" s="156">
        <v>12</v>
      </c>
      <c r="CB4" s="156" t="s">
        <v>10</v>
      </c>
    </row>
    <row r="5" spans="1:80">
      <c r="P5" s="157">
        <v>2017</v>
      </c>
      <c r="Q5" s="157" t="s">
        <v>11</v>
      </c>
      <c r="AE5" s="157" t="s">
        <v>12</v>
      </c>
      <c r="AF5" s="157" t="s">
        <v>13</v>
      </c>
      <c r="BX5" s="156">
        <v>1993</v>
      </c>
      <c r="CA5" s="156">
        <v>0</v>
      </c>
      <c r="CB5" s="156" t="s">
        <v>14</v>
      </c>
    </row>
    <row r="6" spans="1:80">
      <c r="AE6" s="157" t="s">
        <v>15</v>
      </c>
      <c r="AF6" s="157" t="s">
        <v>16</v>
      </c>
      <c r="CA6" s="156">
        <v>93</v>
      </c>
      <c r="CB6" s="156" t="s">
        <v>6</v>
      </c>
    </row>
    <row r="7" spans="1:80">
      <c r="AE7" s="157" t="s">
        <v>20</v>
      </c>
      <c r="AF7" s="157" t="s">
        <v>21</v>
      </c>
      <c r="CA7" s="156">
        <v>94</v>
      </c>
      <c r="CB7" s="156" t="s">
        <v>22</v>
      </c>
    </row>
    <row r="8" spans="1:80">
      <c r="S8" s="157" t="s">
        <v>25</v>
      </c>
      <c r="V8" s="157" t="s">
        <v>17</v>
      </c>
      <c r="X8" s="157" t="s">
        <v>18</v>
      </c>
      <c r="Y8" s="157" t="s">
        <v>19</v>
      </c>
      <c r="AA8" s="157" t="s">
        <v>19</v>
      </c>
      <c r="AB8" s="157" t="s">
        <v>19</v>
      </c>
    </row>
    <row r="9" spans="1:80">
      <c r="C9" s="156" t="s">
        <v>57</v>
      </c>
      <c r="D9" s="156" t="s">
        <v>58</v>
      </c>
      <c r="E9" s="156" t="s">
        <v>59</v>
      </c>
      <c r="G9" s="156" t="s">
        <v>23</v>
      </c>
      <c r="I9" s="156" t="s">
        <v>57</v>
      </c>
      <c r="K9" s="156" t="s">
        <v>24</v>
      </c>
      <c r="L9" s="156" t="s">
        <v>57</v>
      </c>
      <c r="N9" s="157" t="s">
        <v>57</v>
      </c>
      <c r="O9" s="157" t="s">
        <v>31</v>
      </c>
      <c r="P9" s="157" t="s">
        <v>57</v>
      </c>
      <c r="R9" s="157" t="s">
        <v>68</v>
      </c>
      <c r="S9" s="157" t="s">
        <v>24</v>
      </c>
      <c r="T9" s="157" t="s">
        <v>17</v>
      </c>
      <c r="U9" s="157" t="s">
        <v>34</v>
      </c>
      <c r="V9" s="157" t="s">
        <v>19</v>
      </c>
      <c r="X9" s="157" t="s">
        <v>26</v>
      </c>
      <c r="Y9" s="157" t="s">
        <v>26</v>
      </c>
      <c r="Z9" s="157" t="s">
        <v>27</v>
      </c>
      <c r="AA9" s="157" t="s">
        <v>28</v>
      </c>
      <c r="AB9" s="157" t="s">
        <v>28</v>
      </c>
      <c r="AC9" s="157" t="s">
        <v>38</v>
      </c>
    </row>
    <row r="10" spans="1:80">
      <c r="C10" s="156" t="s">
        <v>60</v>
      </c>
      <c r="E10" s="156" t="s">
        <v>61</v>
      </c>
      <c r="G10" s="156" t="s">
        <v>29</v>
      </c>
      <c r="I10" s="156" t="s">
        <v>30</v>
      </c>
      <c r="J10" s="156" t="s">
        <v>64</v>
      </c>
      <c r="K10" s="156" t="s">
        <v>65</v>
      </c>
      <c r="L10" s="156" t="s">
        <v>31</v>
      </c>
      <c r="M10" s="156" t="s">
        <v>41</v>
      </c>
      <c r="N10" s="157" t="s">
        <v>31</v>
      </c>
      <c r="O10" s="157" t="s">
        <v>25</v>
      </c>
      <c r="P10" s="157" t="s">
        <v>67</v>
      </c>
      <c r="Q10" s="157" t="s">
        <v>69</v>
      </c>
      <c r="R10" s="157" t="s">
        <v>24</v>
      </c>
      <c r="S10" s="157" t="s">
        <v>43</v>
      </c>
      <c r="T10" s="157" t="s">
        <v>33</v>
      </c>
      <c r="U10" s="157" t="s">
        <v>36</v>
      </c>
      <c r="V10" s="157" t="s">
        <v>32</v>
      </c>
      <c r="X10" s="157" t="s">
        <v>35</v>
      </c>
      <c r="Y10" s="157" t="s">
        <v>35</v>
      </c>
      <c r="Z10" s="157" t="s">
        <v>36</v>
      </c>
      <c r="AA10" s="157" t="s">
        <v>37</v>
      </c>
      <c r="AB10" s="157" t="s">
        <v>37</v>
      </c>
      <c r="AC10" s="157" t="s">
        <v>45</v>
      </c>
      <c r="AD10" s="157" t="s">
        <v>4</v>
      </c>
      <c r="AE10" s="157" t="s">
        <v>46</v>
      </c>
      <c r="AF10" s="157" t="s">
        <v>47</v>
      </c>
      <c r="AG10" s="157" t="s">
        <v>15</v>
      </c>
      <c r="AH10" s="157" t="s">
        <v>20</v>
      </c>
      <c r="BW10" s="156">
        <v>2</v>
      </c>
      <c r="BX10" s="156" t="s">
        <v>48</v>
      </c>
    </row>
    <row r="11" spans="1:80">
      <c r="A11" s="156" t="s">
        <v>225</v>
      </c>
      <c r="B11" s="156" t="s">
        <v>53</v>
      </c>
      <c r="C11" s="156" t="s">
        <v>62</v>
      </c>
      <c r="D11" s="156" t="s">
        <v>63</v>
      </c>
      <c r="E11" s="156" t="s">
        <v>24</v>
      </c>
      <c r="F11" s="156" t="s">
        <v>39</v>
      </c>
      <c r="G11" s="156" t="s">
        <v>34</v>
      </c>
      <c r="H11" s="156" t="s">
        <v>49</v>
      </c>
      <c r="I11" s="156" t="s">
        <v>40</v>
      </c>
      <c r="J11" s="156" t="s">
        <v>66</v>
      </c>
      <c r="K11" s="156" t="s">
        <v>67</v>
      </c>
      <c r="L11" s="156" t="s">
        <v>42</v>
      </c>
      <c r="M11" s="156" t="s">
        <v>49</v>
      </c>
      <c r="N11" s="157" t="s">
        <v>42</v>
      </c>
      <c r="O11" s="157" t="s">
        <v>49</v>
      </c>
      <c r="P11" s="157" t="s">
        <v>42</v>
      </c>
      <c r="Q11" s="157" t="s">
        <v>67</v>
      </c>
      <c r="R11" s="157" t="s">
        <v>67</v>
      </c>
      <c r="S11" s="157" t="s">
        <v>49</v>
      </c>
      <c r="T11" s="157" t="s">
        <v>44</v>
      </c>
      <c r="U11" s="157" t="s">
        <v>49</v>
      </c>
      <c r="V11" s="157" t="s">
        <v>37</v>
      </c>
      <c r="X11" s="158">
        <f>AE1</f>
        <v>42370</v>
      </c>
      <c r="Y11" s="158">
        <f>+D3</f>
        <v>42735</v>
      </c>
      <c r="Z11" s="158" t="s">
        <v>34</v>
      </c>
      <c r="AA11" s="158">
        <f>+X11</f>
        <v>42370</v>
      </c>
      <c r="AB11" s="158">
        <f>+D3</f>
        <v>42735</v>
      </c>
      <c r="AC11" s="158">
        <f>AB11</f>
        <v>42735</v>
      </c>
    </row>
    <row r="12" spans="1:80">
      <c r="A12" s="156">
        <v>6956</v>
      </c>
      <c r="B12" s="156" t="s">
        <v>156</v>
      </c>
      <c r="C12" s="156">
        <v>152</v>
      </c>
      <c r="D12" s="156" t="s">
        <v>426</v>
      </c>
      <c r="E12" s="156">
        <v>97</v>
      </c>
      <c r="F12" s="156">
        <v>8</v>
      </c>
      <c r="G12" s="156">
        <v>0.2</v>
      </c>
      <c r="I12" s="156" t="s">
        <v>52</v>
      </c>
      <c r="J12" s="156">
        <v>7</v>
      </c>
      <c r="K12" s="156">
        <f t="shared" ref="K12:K30" si="0">E12+J12</f>
        <v>104</v>
      </c>
      <c r="N12" s="157">
        <v>119807.54</v>
      </c>
      <c r="P12" s="157">
        <f t="shared" ref="P12:P30" si="1">N12-N12*G12</f>
        <v>95846.031999999992</v>
      </c>
      <c r="Q12" s="157">
        <f t="shared" ref="Q12:Q30" si="2">P12/J12/12</f>
        <v>1141.0241904761904</v>
      </c>
      <c r="R12" s="157">
        <f t="shared" ref="R12:R26" si="3">IF(O12&gt;0,0,IF(OR(AD12&gt;AE12,AF12&lt;AG12),0,IF(AND(AF12&gt;=AG12,AF12&lt;=AE12),Q12*((AF12-AG12)*12),IF(AND(AG12&lt;=AD12,AE12&gt;=AD12),((AE12-AD12)*12)*Q12,IF(AF12&gt;AE12,12*Q12,0)))))</f>
        <v>0</v>
      </c>
      <c r="S12" s="157">
        <f t="shared" ref="S12:S26" si="4">IF(O12=0,0,IF(AND(AH12&gt;=AG12,AH12&lt;=AF12),((AH12-AG12)*12)*Q12,0))</f>
        <v>0</v>
      </c>
      <c r="T12" s="157">
        <f t="shared" ref="T12:T26" si="5">IF(S12&gt;0,S12,R12)</f>
        <v>0</v>
      </c>
      <c r="U12" s="157">
        <v>1</v>
      </c>
      <c r="V12" s="157">
        <f t="shared" ref="V12:V26" si="6">U12*SUM(R12:S12)</f>
        <v>0</v>
      </c>
      <c r="X12" s="157">
        <f t="shared" ref="X12:X26" si="7">IF(AD12&gt;AE12,0,IF(AF12&lt;AG12,P12,IF(AND(AF12&gt;=AG12,AF12&lt;=AE12),(P12-T12),IF(AND(AG12&lt;=AD12,AE12&gt;=AD12),0,IF(AF12&gt;AE12,((AG12-AD12)*12)*Q12,0)))))</f>
        <v>95846.031999999992</v>
      </c>
      <c r="Y12" s="157">
        <f t="shared" ref="Y12:Y26" si="8">X12*U12</f>
        <v>95846.031999999992</v>
      </c>
      <c r="Z12" s="157">
        <v>1</v>
      </c>
      <c r="AA12" s="157">
        <f t="shared" ref="AA12:AA26" si="9">Y12*Z12</f>
        <v>95846.031999999992</v>
      </c>
      <c r="AB12" s="157">
        <f t="shared" ref="AB12:AB26" si="10">IF(O12&gt;0,0,AA12+V12*Z12)*Z12</f>
        <v>95846.031999999992</v>
      </c>
      <c r="AC12" s="157">
        <f t="shared" ref="AC12:AC26" si="11">IF(O12&gt;0,(N12-AA12)/2,IF(AD12&gt;=AG12,(((N12*U12)*Z12)-AB12)/2,((((N12*U12)*Z12)-AA12)+(((N12*U12)*Z12)-AB12))/2))</f>
        <v>23961.508000000002</v>
      </c>
      <c r="AD12" s="157">
        <f t="shared" ref="AD12:AD31" si="12">$E12+(($F12-1)/12)</f>
        <v>97.583333333333329</v>
      </c>
      <c r="AE12" s="157">
        <f t="shared" ref="AE12:AE31" si="13">($P$5+1)-($P$2/12)</f>
        <v>2017</v>
      </c>
      <c r="AF12" s="157">
        <f t="shared" ref="AF12:AF31" si="14">$K12+(($F12-1)/12)</f>
        <v>104.58333333333333</v>
      </c>
      <c r="AG12" s="157">
        <f t="shared" ref="AG12:AG31" si="15">$P$4+($P$3/12)</f>
        <v>2016</v>
      </c>
      <c r="AH12" s="157">
        <f t="shared" ref="AH12:AH31" si="16">$L12+(($M12-1)/12)</f>
        <v>-8.3333333333333329E-2</v>
      </c>
    </row>
    <row r="13" spans="1:80">
      <c r="A13" s="156">
        <v>6957</v>
      </c>
      <c r="B13" s="156" t="s">
        <v>54</v>
      </c>
      <c r="C13" s="156">
        <v>153</v>
      </c>
      <c r="D13" s="156" t="s">
        <v>427</v>
      </c>
      <c r="E13" s="156">
        <v>97</v>
      </c>
      <c r="F13" s="156">
        <v>7</v>
      </c>
      <c r="G13" s="156">
        <v>0.2</v>
      </c>
      <c r="I13" s="156" t="s">
        <v>52</v>
      </c>
      <c r="J13" s="156">
        <v>7</v>
      </c>
      <c r="K13" s="156">
        <f t="shared" si="0"/>
        <v>104</v>
      </c>
      <c r="N13" s="157">
        <v>119807.54</v>
      </c>
      <c r="P13" s="157">
        <f t="shared" si="1"/>
        <v>95846.031999999992</v>
      </c>
      <c r="Q13" s="157">
        <f t="shared" si="2"/>
        <v>1141.0241904761904</v>
      </c>
      <c r="R13" s="157">
        <f t="shared" si="3"/>
        <v>0</v>
      </c>
      <c r="S13" s="157">
        <f t="shared" si="4"/>
        <v>0</v>
      </c>
      <c r="T13" s="157">
        <f t="shared" si="5"/>
        <v>0</v>
      </c>
      <c r="U13" s="157">
        <v>1</v>
      </c>
      <c r="V13" s="157">
        <f t="shared" si="6"/>
        <v>0</v>
      </c>
      <c r="X13" s="157">
        <f t="shared" si="7"/>
        <v>95846.031999999992</v>
      </c>
      <c r="Y13" s="157">
        <f t="shared" si="8"/>
        <v>95846.031999999992</v>
      </c>
      <c r="Z13" s="157">
        <v>1</v>
      </c>
      <c r="AA13" s="157">
        <f t="shared" si="9"/>
        <v>95846.031999999992</v>
      </c>
      <c r="AB13" s="157">
        <f t="shared" si="10"/>
        <v>95846.031999999992</v>
      </c>
      <c r="AC13" s="157">
        <f t="shared" si="11"/>
        <v>23961.508000000002</v>
      </c>
      <c r="AD13" s="157">
        <f t="shared" si="12"/>
        <v>97.5</v>
      </c>
      <c r="AE13" s="157">
        <f t="shared" si="13"/>
        <v>2017</v>
      </c>
      <c r="AF13" s="157">
        <f t="shared" si="14"/>
        <v>104.5</v>
      </c>
      <c r="AG13" s="157">
        <f t="shared" si="15"/>
        <v>2016</v>
      </c>
      <c r="AH13" s="157">
        <f t="shared" si="16"/>
        <v>-8.3333333333333329E-2</v>
      </c>
    </row>
    <row r="14" spans="1:80">
      <c r="A14" s="156">
        <v>22369</v>
      </c>
      <c r="B14" s="156" t="s">
        <v>54</v>
      </c>
      <c r="C14" s="156">
        <v>318</v>
      </c>
      <c r="D14" s="156" t="s">
        <v>428</v>
      </c>
      <c r="E14" s="156">
        <v>2001</v>
      </c>
      <c r="F14" s="156">
        <v>8</v>
      </c>
      <c r="G14" s="156">
        <v>0.2</v>
      </c>
      <c r="I14" s="156" t="s">
        <v>52</v>
      </c>
      <c r="J14" s="156">
        <v>7</v>
      </c>
      <c r="K14" s="156">
        <f t="shared" si="0"/>
        <v>2008</v>
      </c>
      <c r="N14" s="157">
        <v>133281.46</v>
      </c>
      <c r="P14" s="157">
        <f t="shared" si="1"/>
        <v>106625.16799999999</v>
      </c>
      <c r="Q14" s="157">
        <f t="shared" si="2"/>
        <v>1269.347238095238</v>
      </c>
      <c r="R14" s="157">
        <f t="shared" si="3"/>
        <v>0</v>
      </c>
      <c r="S14" s="157">
        <f t="shared" si="4"/>
        <v>0</v>
      </c>
      <c r="T14" s="157">
        <f t="shared" si="5"/>
        <v>0</v>
      </c>
      <c r="U14" s="157">
        <v>1</v>
      </c>
      <c r="V14" s="157">
        <f t="shared" si="6"/>
        <v>0</v>
      </c>
      <c r="X14" s="157">
        <f t="shared" si="7"/>
        <v>106625.16799999999</v>
      </c>
      <c r="Y14" s="157">
        <f t="shared" si="8"/>
        <v>106625.16799999999</v>
      </c>
      <c r="Z14" s="157">
        <v>1</v>
      </c>
      <c r="AA14" s="157">
        <f t="shared" si="9"/>
        <v>106625.16799999999</v>
      </c>
      <c r="AB14" s="157">
        <f t="shared" si="10"/>
        <v>106625.16799999999</v>
      </c>
      <c r="AC14" s="157">
        <f t="shared" si="11"/>
        <v>26656.292000000001</v>
      </c>
      <c r="AD14" s="157">
        <f t="shared" si="12"/>
        <v>2001.5833333333333</v>
      </c>
      <c r="AE14" s="157">
        <f t="shared" si="13"/>
        <v>2017</v>
      </c>
      <c r="AF14" s="157">
        <f t="shared" si="14"/>
        <v>2008.5833333333333</v>
      </c>
      <c r="AG14" s="157">
        <f t="shared" si="15"/>
        <v>2016</v>
      </c>
      <c r="AH14" s="157">
        <f t="shared" si="16"/>
        <v>-8.3333333333333329E-2</v>
      </c>
    </row>
    <row r="15" spans="1:80">
      <c r="D15" s="156" t="s">
        <v>429</v>
      </c>
      <c r="E15" s="156">
        <v>2001</v>
      </c>
      <c r="F15" s="156">
        <v>11</v>
      </c>
      <c r="G15" s="156">
        <v>0</v>
      </c>
      <c r="I15" s="156" t="s">
        <v>52</v>
      </c>
      <c r="J15" s="156">
        <v>5</v>
      </c>
      <c r="K15" s="156">
        <f t="shared" si="0"/>
        <v>2006</v>
      </c>
      <c r="N15" s="157">
        <v>18734.91</v>
      </c>
      <c r="P15" s="157">
        <f t="shared" si="1"/>
        <v>18734.91</v>
      </c>
      <c r="Q15" s="157">
        <f t="shared" si="2"/>
        <v>312.24849999999998</v>
      </c>
      <c r="R15" s="157">
        <f t="shared" si="3"/>
        <v>0</v>
      </c>
      <c r="S15" s="157">
        <f t="shared" si="4"/>
        <v>0</v>
      </c>
      <c r="T15" s="157">
        <f t="shared" si="5"/>
        <v>0</v>
      </c>
      <c r="U15" s="157">
        <v>1</v>
      </c>
      <c r="V15" s="157">
        <f t="shared" si="6"/>
        <v>0</v>
      </c>
      <c r="X15" s="157">
        <f t="shared" si="7"/>
        <v>18734.91</v>
      </c>
      <c r="Y15" s="157">
        <f t="shared" si="8"/>
        <v>18734.91</v>
      </c>
      <c r="Z15" s="157">
        <v>1</v>
      </c>
      <c r="AA15" s="157">
        <f t="shared" si="9"/>
        <v>18734.91</v>
      </c>
      <c r="AB15" s="157">
        <f t="shared" si="10"/>
        <v>18734.91</v>
      </c>
      <c r="AC15" s="157">
        <f t="shared" si="11"/>
        <v>0</v>
      </c>
      <c r="AD15" s="157">
        <f t="shared" si="12"/>
        <v>2001.8333333333333</v>
      </c>
      <c r="AE15" s="157">
        <f t="shared" si="13"/>
        <v>2017</v>
      </c>
      <c r="AF15" s="157">
        <f t="shared" si="14"/>
        <v>2006.8333333333333</v>
      </c>
      <c r="AG15" s="157">
        <f t="shared" si="15"/>
        <v>2016</v>
      </c>
      <c r="AH15" s="157">
        <f t="shared" si="16"/>
        <v>-8.3333333333333329E-2</v>
      </c>
    </row>
    <row r="16" spans="1:80">
      <c r="B16" s="156" t="s">
        <v>54</v>
      </c>
      <c r="C16" s="156">
        <v>318</v>
      </c>
      <c r="D16" s="156" t="s">
        <v>430</v>
      </c>
      <c r="E16" s="156">
        <v>2001</v>
      </c>
      <c r="F16" s="156">
        <v>11</v>
      </c>
      <c r="G16" s="156">
        <v>0.2</v>
      </c>
      <c r="I16" s="156" t="s">
        <v>52</v>
      </c>
      <c r="J16" s="156">
        <v>7</v>
      </c>
      <c r="K16" s="156">
        <f t="shared" si="0"/>
        <v>2008</v>
      </c>
      <c r="N16" s="157">
        <v>1229.23</v>
      </c>
      <c r="P16" s="157">
        <f t="shared" si="1"/>
        <v>983.38400000000001</v>
      </c>
      <c r="Q16" s="157">
        <f t="shared" si="2"/>
        <v>11.70695238095238</v>
      </c>
      <c r="R16" s="157">
        <f t="shared" si="3"/>
        <v>0</v>
      </c>
      <c r="S16" s="157">
        <f t="shared" si="4"/>
        <v>0</v>
      </c>
      <c r="T16" s="157">
        <f t="shared" si="5"/>
        <v>0</v>
      </c>
      <c r="U16" s="157">
        <v>1</v>
      </c>
      <c r="V16" s="157">
        <f t="shared" si="6"/>
        <v>0</v>
      </c>
      <c r="X16" s="157">
        <f t="shared" si="7"/>
        <v>983.38400000000001</v>
      </c>
      <c r="Y16" s="157">
        <f t="shared" si="8"/>
        <v>983.38400000000001</v>
      </c>
      <c r="Z16" s="157">
        <v>1</v>
      </c>
      <c r="AA16" s="157">
        <f t="shared" si="9"/>
        <v>983.38400000000001</v>
      </c>
      <c r="AB16" s="157">
        <f t="shared" si="10"/>
        <v>983.38400000000001</v>
      </c>
      <c r="AC16" s="157">
        <f t="shared" si="11"/>
        <v>245.846</v>
      </c>
      <c r="AD16" s="157">
        <f t="shared" si="12"/>
        <v>2001.8333333333333</v>
      </c>
      <c r="AE16" s="157">
        <f t="shared" si="13"/>
        <v>2017</v>
      </c>
      <c r="AF16" s="157">
        <f t="shared" si="14"/>
        <v>2008.8333333333333</v>
      </c>
      <c r="AG16" s="157">
        <f t="shared" si="15"/>
        <v>2016</v>
      </c>
      <c r="AH16" s="157">
        <f t="shared" si="16"/>
        <v>-8.3333333333333329E-2</v>
      </c>
    </row>
    <row r="17" spans="1:34">
      <c r="D17" s="156" t="s">
        <v>431</v>
      </c>
      <c r="E17" s="156">
        <v>2002</v>
      </c>
      <c r="F17" s="156">
        <v>12</v>
      </c>
      <c r="G17" s="156">
        <v>0</v>
      </c>
      <c r="I17" s="156" t="s">
        <v>52</v>
      </c>
      <c r="J17" s="156">
        <v>3</v>
      </c>
      <c r="K17" s="156">
        <f t="shared" si="0"/>
        <v>2005</v>
      </c>
      <c r="N17" s="157">
        <v>6004.28</v>
      </c>
      <c r="P17" s="157">
        <f t="shared" si="1"/>
        <v>6004.28</v>
      </c>
      <c r="Q17" s="157">
        <f t="shared" si="2"/>
        <v>166.78555555555553</v>
      </c>
      <c r="R17" s="157">
        <f t="shared" si="3"/>
        <v>0</v>
      </c>
      <c r="S17" s="157">
        <f t="shared" si="4"/>
        <v>0</v>
      </c>
      <c r="T17" s="157">
        <f t="shared" si="5"/>
        <v>0</v>
      </c>
      <c r="U17" s="157">
        <v>1</v>
      </c>
      <c r="V17" s="157">
        <f t="shared" si="6"/>
        <v>0</v>
      </c>
      <c r="X17" s="157">
        <f t="shared" si="7"/>
        <v>6004.28</v>
      </c>
      <c r="Y17" s="157">
        <f t="shared" si="8"/>
        <v>6004.28</v>
      </c>
      <c r="Z17" s="157">
        <v>1</v>
      </c>
      <c r="AA17" s="157">
        <f t="shared" si="9"/>
        <v>6004.28</v>
      </c>
      <c r="AB17" s="157">
        <f t="shared" si="10"/>
        <v>6004.28</v>
      </c>
      <c r="AC17" s="157">
        <f t="shared" si="11"/>
        <v>0</v>
      </c>
      <c r="AD17" s="157">
        <f t="shared" si="12"/>
        <v>2002.9166666666667</v>
      </c>
      <c r="AE17" s="157">
        <f t="shared" si="13"/>
        <v>2017</v>
      </c>
      <c r="AF17" s="157">
        <f t="shared" si="14"/>
        <v>2005.9166666666667</v>
      </c>
      <c r="AG17" s="157">
        <f t="shared" si="15"/>
        <v>2016</v>
      </c>
      <c r="AH17" s="157">
        <f t="shared" si="16"/>
        <v>-8.3333333333333329E-2</v>
      </c>
    </row>
    <row r="18" spans="1:34">
      <c r="A18" s="156">
        <v>19650</v>
      </c>
      <c r="B18" s="156" t="s">
        <v>54</v>
      </c>
      <c r="C18" s="156">
        <v>609</v>
      </c>
      <c r="D18" s="156" t="s">
        <v>432</v>
      </c>
      <c r="E18" s="156">
        <v>2003</v>
      </c>
      <c r="F18" s="156">
        <v>1</v>
      </c>
      <c r="G18" s="156">
        <v>0.2</v>
      </c>
      <c r="I18" s="156" t="s">
        <v>52</v>
      </c>
      <c r="J18" s="156">
        <v>7</v>
      </c>
      <c r="K18" s="156">
        <f t="shared" si="0"/>
        <v>2010</v>
      </c>
      <c r="N18" s="157">
        <v>123452.02</v>
      </c>
      <c r="P18" s="157">
        <f t="shared" si="1"/>
        <v>98761.616000000009</v>
      </c>
      <c r="Q18" s="157">
        <f t="shared" si="2"/>
        <v>1175.7335238095241</v>
      </c>
      <c r="R18" s="157">
        <f t="shared" si="3"/>
        <v>0</v>
      </c>
      <c r="S18" s="157">
        <f t="shared" si="4"/>
        <v>0</v>
      </c>
      <c r="T18" s="157">
        <f t="shared" si="5"/>
        <v>0</v>
      </c>
      <c r="U18" s="157">
        <v>1</v>
      </c>
      <c r="V18" s="157">
        <f t="shared" si="6"/>
        <v>0</v>
      </c>
      <c r="X18" s="157">
        <f t="shared" si="7"/>
        <v>98761.616000000009</v>
      </c>
      <c r="Y18" s="157">
        <f t="shared" si="8"/>
        <v>98761.616000000009</v>
      </c>
      <c r="Z18" s="157">
        <v>1</v>
      </c>
      <c r="AA18" s="157">
        <f t="shared" si="9"/>
        <v>98761.616000000009</v>
      </c>
      <c r="AB18" s="157">
        <f t="shared" si="10"/>
        <v>98761.616000000009</v>
      </c>
      <c r="AC18" s="157">
        <f t="shared" si="11"/>
        <v>24690.403999999995</v>
      </c>
      <c r="AD18" s="157">
        <f t="shared" si="12"/>
        <v>2003</v>
      </c>
      <c r="AE18" s="157">
        <f t="shared" si="13"/>
        <v>2017</v>
      </c>
      <c r="AF18" s="157">
        <f t="shared" si="14"/>
        <v>2010</v>
      </c>
      <c r="AG18" s="157">
        <f t="shared" si="15"/>
        <v>2016</v>
      </c>
      <c r="AH18" s="157">
        <f t="shared" si="16"/>
        <v>-8.3333333333333329E-2</v>
      </c>
    </row>
    <row r="19" spans="1:34">
      <c r="D19" s="156" t="s">
        <v>433</v>
      </c>
      <c r="E19" s="156">
        <v>2005</v>
      </c>
      <c r="F19" s="156">
        <v>8</v>
      </c>
      <c r="I19" s="156" t="s">
        <v>52</v>
      </c>
      <c r="J19" s="156">
        <v>7</v>
      </c>
      <c r="K19" s="156">
        <f t="shared" si="0"/>
        <v>2012</v>
      </c>
      <c r="N19" s="157">
        <v>9411.5499999999993</v>
      </c>
      <c r="P19" s="157">
        <f t="shared" si="1"/>
        <v>9411.5499999999993</v>
      </c>
      <c r="Q19" s="157">
        <f t="shared" si="2"/>
        <v>112.0422619047619</v>
      </c>
      <c r="R19" s="157">
        <f t="shared" si="3"/>
        <v>0</v>
      </c>
      <c r="S19" s="157">
        <f t="shared" si="4"/>
        <v>0</v>
      </c>
      <c r="T19" s="157">
        <f t="shared" si="5"/>
        <v>0</v>
      </c>
      <c r="U19" s="157">
        <v>1</v>
      </c>
      <c r="V19" s="157">
        <f t="shared" si="6"/>
        <v>0</v>
      </c>
      <c r="X19" s="157">
        <f t="shared" si="7"/>
        <v>9411.5499999999993</v>
      </c>
      <c r="Y19" s="157">
        <f t="shared" si="8"/>
        <v>9411.5499999999993</v>
      </c>
      <c r="Z19" s="157">
        <v>1</v>
      </c>
      <c r="AA19" s="157">
        <f t="shared" si="9"/>
        <v>9411.5499999999993</v>
      </c>
      <c r="AB19" s="157">
        <f t="shared" si="10"/>
        <v>9411.5499999999993</v>
      </c>
      <c r="AC19" s="157">
        <f t="shared" si="11"/>
        <v>0</v>
      </c>
      <c r="AD19" s="157">
        <f t="shared" si="12"/>
        <v>2005.5833333333333</v>
      </c>
      <c r="AE19" s="157">
        <f t="shared" si="13"/>
        <v>2017</v>
      </c>
      <c r="AF19" s="157">
        <f t="shared" si="14"/>
        <v>2012.5833333333333</v>
      </c>
      <c r="AG19" s="157">
        <f t="shared" si="15"/>
        <v>2016</v>
      </c>
      <c r="AH19" s="157">
        <f t="shared" si="16"/>
        <v>-8.3333333333333329E-2</v>
      </c>
    </row>
    <row r="20" spans="1:34">
      <c r="A20" s="156">
        <v>43740</v>
      </c>
      <c r="B20" s="156" t="s">
        <v>54</v>
      </c>
      <c r="C20" s="156">
        <v>612</v>
      </c>
      <c r="D20" s="156" t="s">
        <v>434</v>
      </c>
      <c r="E20" s="156">
        <v>2006</v>
      </c>
      <c r="F20" s="156">
        <v>10</v>
      </c>
      <c r="G20" s="156">
        <v>0.2</v>
      </c>
      <c r="I20" s="156" t="s">
        <v>52</v>
      </c>
      <c r="J20" s="156">
        <v>7</v>
      </c>
      <c r="K20" s="156">
        <f t="shared" si="0"/>
        <v>2013</v>
      </c>
      <c r="N20" s="157">
        <f>120222.34+65281.09</f>
        <v>185503.43</v>
      </c>
      <c r="P20" s="157">
        <f t="shared" si="1"/>
        <v>148402.74400000001</v>
      </c>
      <c r="Q20" s="157">
        <f t="shared" si="2"/>
        <v>1766.6993333333332</v>
      </c>
      <c r="R20" s="157">
        <f t="shared" si="3"/>
        <v>0</v>
      </c>
      <c r="S20" s="157">
        <f t="shared" si="4"/>
        <v>0</v>
      </c>
      <c r="T20" s="157">
        <f t="shared" si="5"/>
        <v>0</v>
      </c>
      <c r="U20" s="157">
        <v>1</v>
      </c>
      <c r="V20" s="157">
        <f t="shared" si="6"/>
        <v>0</v>
      </c>
      <c r="X20" s="157">
        <f t="shared" si="7"/>
        <v>148402.74400000001</v>
      </c>
      <c r="Y20" s="157">
        <f t="shared" si="8"/>
        <v>148402.74400000001</v>
      </c>
      <c r="Z20" s="157">
        <v>1</v>
      </c>
      <c r="AA20" s="157">
        <f t="shared" si="9"/>
        <v>148402.74400000001</v>
      </c>
      <c r="AB20" s="157">
        <f t="shared" si="10"/>
        <v>148402.74400000001</v>
      </c>
      <c r="AC20" s="157">
        <f t="shared" si="11"/>
        <v>37100.685999999987</v>
      </c>
      <c r="AD20" s="157">
        <f t="shared" si="12"/>
        <v>2006.75</v>
      </c>
      <c r="AE20" s="157">
        <f t="shared" si="13"/>
        <v>2017</v>
      </c>
      <c r="AF20" s="157">
        <f t="shared" si="14"/>
        <v>2013.75</v>
      </c>
      <c r="AG20" s="157">
        <f t="shared" si="15"/>
        <v>2016</v>
      </c>
      <c r="AH20" s="157">
        <f t="shared" si="16"/>
        <v>-8.3333333333333329E-2</v>
      </c>
    </row>
    <row r="21" spans="1:34">
      <c r="A21" s="156">
        <v>53799</v>
      </c>
      <c r="B21" s="156" t="s">
        <v>54</v>
      </c>
      <c r="C21" s="156">
        <v>616</v>
      </c>
      <c r="D21" s="156" t="s">
        <v>435</v>
      </c>
      <c r="E21" s="156">
        <v>2007</v>
      </c>
      <c r="F21" s="156">
        <v>12</v>
      </c>
      <c r="G21" s="156">
        <v>0.2</v>
      </c>
      <c r="I21" s="156" t="s">
        <v>52</v>
      </c>
      <c r="J21" s="156">
        <v>7</v>
      </c>
      <c r="K21" s="156">
        <f t="shared" si="0"/>
        <v>2014</v>
      </c>
      <c r="N21" s="157">
        <v>138814.73000000001</v>
      </c>
      <c r="P21" s="157">
        <f t="shared" si="1"/>
        <v>111051.78400000001</v>
      </c>
      <c r="Q21" s="157">
        <f t="shared" si="2"/>
        <v>1322.0450476190479</v>
      </c>
      <c r="R21" s="157">
        <f t="shared" si="3"/>
        <v>0</v>
      </c>
      <c r="S21" s="157">
        <f t="shared" si="4"/>
        <v>0</v>
      </c>
      <c r="T21" s="157">
        <f t="shared" si="5"/>
        <v>0</v>
      </c>
      <c r="U21" s="157">
        <v>1</v>
      </c>
      <c r="V21" s="157">
        <f t="shared" si="6"/>
        <v>0</v>
      </c>
      <c r="X21" s="157">
        <f t="shared" si="7"/>
        <v>111051.78400000001</v>
      </c>
      <c r="Y21" s="157">
        <f t="shared" si="8"/>
        <v>111051.78400000001</v>
      </c>
      <c r="Z21" s="157">
        <v>1</v>
      </c>
      <c r="AA21" s="157">
        <f t="shared" si="9"/>
        <v>111051.78400000001</v>
      </c>
      <c r="AB21" s="157">
        <f t="shared" si="10"/>
        <v>111051.78400000001</v>
      </c>
      <c r="AC21" s="157">
        <f t="shared" si="11"/>
        <v>27762.945999999996</v>
      </c>
      <c r="AD21" s="157">
        <f t="shared" si="12"/>
        <v>2007.9166666666667</v>
      </c>
      <c r="AE21" s="157">
        <f t="shared" si="13"/>
        <v>2017</v>
      </c>
      <c r="AF21" s="157">
        <f t="shared" si="14"/>
        <v>2014.9166666666667</v>
      </c>
      <c r="AG21" s="157">
        <f t="shared" si="15"/>
        <v>2016</v>
      </c>
      <c r="AH21" s="157">
        <f t="shared" si="16"/>
        <v>-8.3333333333333329E-2</v>
      </c>
    </row>
    <row r="22" spans="1:34">
      <c r="B22" s="156" t="s">
        <v>57</v>
      </c>
      <c r="D22" s="156" t="s">
        <v>436</v>
      </c>
      <c r="E22" s="156">
        <v>2008</v>
      </c>
      <c r="F22" s="156">
        <v>4</v>
      </c>
      <c r="G22" s="156">
        <v>0.2</v>
      </c>
      <c r="I22" s="156" t="s">
        <v>52</v>
      </c>
      <c r="J22" s="156">
        <v>5</v>
      </c>
      <c r="K22" s="156">
        <f t="shared" si="0"/>
        <v>2013</v>
      </c>
      <c r="N22" s="157">
        <f>545.43*14</f>
        <v>7636.0199999999995</v>
      </c>
      <c r="P22" s="157">
        <f t="shared" si="1"/>
        <v>6108.8159999999998</v>
      </c>
      <c r="Q22" s="157">
        <f t="shared" si="2"/>
        <v>101.81359999999999</v>
      </c>
      <c r="R22" s="157">
        <f t="shared" si="3"/>
        <v>0</v>
      </c>
      <c r="S22" s="157">
        <f t="shared" si="4"/>
        <v>0</v>
      </c>
      <c r="T22" s="157">
        <f t="shared" si="5"/>
        <v>0</v>
      </c>
      <c r="U22" s="157">
        <v>1</v>
      </c>
      <c r="V22" s="157">
        <f t="shared" si="6"/>
        <v>0</v>
      </c>
      <c r="X22" s="157">
        <f t="shared" si="7"/>
        <v>6108.8159999999998</v>
      </c>
      <c r="Y22" s="157">
        <f t="shared" si="8"/>
        <v>6108.8159999999998</v>
      </c>
      <c r="Z22" s="157">
        <v>1</v>
      </c>
      <c r="AA22" s="157">
        <f t="shared" si="9"/>
        <v>6108.8159999999998</v>
      </c>
      <c r="AB22" s="157">
        <f t="shared" si="10"/>
        <v>6108.8159999999998</v>
      </c>
      <c r="AC22" s="157">
        <f t="shared" si="11"/>
        <v>1527.2039999999997</v>
      </c>
      <c r="AD22" s="157">
        <f>$E22+(($F22-1)/12)</f>
        <v>2008.25</v>
      </c>
      <c r="AE22" s="157">
        <f t="shared" si="13"/>
        <v>2017</v>
      </c>
      <c r="AF22" s="157">
        <f>$K22+(($F22-1)/12)</f>
        <v>2013.25</v>
      </c>
      <c r="AG22" s="157">
        <f t="shared" si="15"/>
        <v>2016</v>
      </c>
      <c r="AH22" s="157">
        <f>$L22+(($M22-1)/12)</f>
        <v>-8.3333333333333329E-2</v>
      </c>
    </row>
    <row r="23" spans="1:34">
      <c r="A23" s="156">
        <v>59664</v>
      </c>
      <c r="B23" s="156" t="s">
        <v>55</v>
      </c>
      <c r="C23" s="156">
        <v>906</v>
      </c>
      <c r="D23" s="156" t="s">
        <v>437</v>
      </c>
      <c r="E23" s="156">
        <v>2008</v>
      </c>
      <c r="F23" s="156">
        <v>10</v>
      </c>
      <c r="G23" s="156">
        <v>0.2</v>
      </c>
      <c r="I23" s="156" t="s">
        <v>52</v>
      </c>
      <c r="J23" s="156">
        <v>7</v>
      </c>
      <c r="K23" s="156">
        <f t="shared" si="0"/>
        <v>2015</v>
      </c>
      <c r="N23" s="157">
        <f>113448.07+132585.75+3070.3+191.1</f>
        <v>249295.22</v>
      </c>
      <c r="P23" s="157">
        <f t="shared" si="1"/>
        <v>199436.17600000001</v>
      </c>
      <c r="Q23" s="157">
        <f t="shared" si="2"/>
        <v>2374.2401904761905</v>
      </c>
      <c r="R23" s="157">
        <f t="shared" si="3"/>
        <v>0</v>
      </c>
      <c r="S23" s="157">
        <f t="shared" si="4"/>
        <v>0</v>
      </c>
      <c r="T23" s="157">
        <f t="shared" si="5"/>
        <v>0</v>
      </c>
      <c r="U23" s="157">
        <v>1</v>
      </c>
      <c r="V23" s="157">
        <f t="shared" si="6"/>
        <v>0</v>
      </c>
      <c r="X23" s="157">
        <f t="shared" si="7"/>
        <v>199436.17600000001</v>
      </c>
      <c r="Y23" s="157">
        <f t="shared" si="8"/>
        <v>199436.17600000001</v>
      </c>
      <c r="Z23" s="157">
        <v>1</v>
      </c>
      <c r="AA23" s="157">
        <f t="shared" si="9"/>
        <v>199436.17600000001</v>
      </c>
      <c r="AB23" s="157">
        <f t="shared" si="10"/>
        <v>199436.17600000001</v>
      </c>
      <c r="AC23" s="157">
        <f t="shared" si="11"/>
        <v>49859.043999999994</v>
      </c>
      <c r="AD23" s="157">
        <f t="shared" si="12"/>
        <v>2008.75</v>
      </c>
      <c r="AE23" s="157">
        <f t="shared" si="13"/>
        <v>2017</v>
      </c>
      <c r="AF23" s="157">
        <f t="shared" si="14"/>
        <v>2015.75</v>
      </c>
      <c r="AG23" s="157">
        <f t="shared" si="15"/>
        <v>2016</v>
      </c>
      <c r="AH23" s="157">
        <f t="shared" si="16"/>
        <v>-8.3333333333333329E-2</v>
      </c>
    </row>
    <row r="24" spans="1:34">
      <c r="A24" s="156">
        <v>65003</v>
      </c>
      <c r="B24" s="156" t="s">
        <v>54</v>
      </c>
      <c r="C24" s="156">
        <v>623</v>
      </c>
      <c r="D24" s="156" t="s">
        <v>438</v>
      </c>
      <c r="E24" s="156">
        <v>2009</v>
      </c>
      <c r="F24" s="156">
        <v>6</v>
      </c>
      <c r="G24" s="156">
        <v>0.2</v>
      </c>
      <c r="I24" s="156" t="s">
        <v>52</v>
      </c>
      <c r="J24" s="156">
        <v>7</v>
      </c>
      <c r="K24" s="156">
        <f t="shared" si="0"/>
        <v>2016</v>
      </c>
      <c r="N24" s="157">
        <v>192679.89</v>
      </c>
      <c r="P24" s="157">
        <f t="shared" si="1"/>
        <v>154143.91200000001</v>
      </c>
      <c r="Q24" s="157">
        <f t="shared" si="2"/>
        <v>1835.0465714285717</v>
      </c>
      <c r="R24" s="157">
        <f t="shared" si="3"/>
        <v>9175.2328571445269</v>
      </c>
      <c r="S24" s="157">
        <f t="shared" si="4"/>
        <v>0</v>
      </c>
      <c r="T24" s="157">
        <f t="shared" si="5"/>
        <v>9175.2328571445269</v>
      </c>
      <c r="U24" s="157">
        <v>1</v>
      </c>
      <c r="V24" s="157">
        <f t="shared" si="6"/>
        <v>9175.2328571445269</v>
      </c>
      <c r="X24" s="157">
        <f t="shared" si="7"/>
        <v>144968.67914285549</v>
      </c>
      <c r="Y24" s="157">
        <f t="shared" si="8"/>
        <v>144968.67914285549</v>
      </c>
      <c r="Z24" s="157">
        <v>1</v>
      </c>
      <c r="AA24" s="157">
        <f t="shared" si="9"/>
        <v>144968.67914285549</v>
      </c>
      <c r="AB24" s="157">
        <f t="shared" si="10"/>
        <v>154143.91200000001</v>
      </c>
      <c r="AC24" s="157">
        <f t="shared" si="11"/>
        <v>43123.594428572265</v>
      </c>
      <c r="AD24" s="157">
        <f t="shared" si="12"/>
        <v>2009.4166666666667</v>
      </c>
      <c r="AE24" s="157">
        <f t="shared" si="13"/>
        <v>2017</v>
      </c>
      <c r="AF24" s="157">
        <f t="shared" si="14"/>
        <v>2016.4166666666667</v>
      </c>
      <c r="AG24" s="157">
        <f t="shared" si="15"/>
        <v>2016</v>
      </c>
      <c r="AH24" s="157">
        <f t="shared" si="16"/>
        <v>-8.3333333333333329E-2</v>
      </c>
    </row>
    <row r="25" spans="1:34">
      <c r="A25" s="156">
        <v>98299</v>
      </c>
      <c r="B25" s="156" t="s">
        <v>54</v>
      </c>
      <c r="C25" s="156">
        <v>628</v>
      </c>
      <c r="D25" s="156" t="s">
        <v>439</v>
      </c>
      <c r="E25" s="156">
        <v>2012</v>
      </c>
      <c r="F25" s="156">
        <v>9</v>
      </c>
      <c r="G25" s="156">
        <v>0.2</v>
      </c>
      <c r="I25" s="156" t="s">
        <v>52</v>
      </c>
      <c r="J25" s="156">
        <v>7</v>
      </c>
      <c r="K25" s="156">
        <f t="shared" si="0"/>
        <v>2019</v>
      </c>
      <c r="N25" s="157">
        <v>249752</v>
      </c>
      <c r="P25" s="157">
        <f t="shared" si="1"/>
        <v>199801.60000000001</v>
      </c>
      <c r="Q25" s="157">
        <f t="shared" si="2"/>
        <v>2378.5904761904762</v>
      </c>
      <c r="R25" s="157">
        <f t="shared" si="3"/>
        <v>28543.085714285713</v>
      </c>
      <c r="S25" s="157">
        <f t="shared" si="4"/>
        <v>0</v>
      </c>
      <c r="T25" s="157">
        <f t="shared" si="5"/>
        <v>28543.085714285713</v>
      </c>
      <c r="U25" s="157">
        <v>1</v>
      </c>
      <c r="V25" s="157">
        <f t="shared" si="6"/>
        <v>28543.085714285713</v>
      </c>
      <c r="X25" s="157">
        <f t="shared" si="7"/>
        <v>95143.619047616885</v>
      </c>
      <c r="Y25" s="157">
        <f t="shared" si="8"/>
        <v>95143.619047616885</v>
      </c>
      <c r="Z25" s="157">
        <v>1</v>
      </c>
      <c r="AA25" s="157">
        <f t="shared" si="9"/>
        <v>95143.619047616885</v>
      </c>
      <c r="AB25" s="157">
        <f t="shared" si="10"/>
        <v>123686.7047619026</v>
      </c>
      <c r="AC25" s="157">
        <f t="shared" si="11"/>
        <v>140336.83809524024</v>
      </c>
      <c r="AD25" s="157">
        <f t="shared" si="12"/>
        <v>2012.6666666666667</v>
      </c>
      <c r="AE25" s="157">
        <f t="shared" si="13"/>
        <v>2017</v>
      </c>
      <c r="AF25" s="157">
        <f t="shared" si="14"/>
        <v>2019.6666666666667</v>
      </c>
      <c r="AG25" s="157">
        <f t="shared" si="15"/>
        <v>2016</v>
      </c>
      <c r="AH25" s="157">
        <f t="shared" si="16"/>
        <v>-8.3333333333333329E-2</v>
      </c>
    </row>
    <row r="26" spans="1:34">
      <c r="A26" s="156">
        <v>102219</v>
      </c>
      <c r="B26" s="156" t="s">
        <v>54</v>
      </c>
      <c r="C26" s="156">
        <v>629</v>
      </c>
      <c r="D26" s="156" t="s">
        <v>439</v>
      </c>
      <c r="E26" s="156">
        <v>2012</v>
      </c>
      <c r="F26" s="156">
        <v>12</v>
      </c>
      <c r="G26" s="156">
        <v>0.2</v>
      </c>
      <c r="I26" s="156" t="s">
        <v>52</v>
      </c>
      <c r="J26" s="156">
        <v>7</v>
      </c>
      <c r="K26" s="156">
        <f t="shared" si="0"/>
        <v>2019</v>
      </c>
      <c r="N26" s="157">
        <v>249953</v>
      </c>
      <c r="P26" s="157">
        <f t="shared" si="1"/>
        <v>199962.4</v>
      </c>
      <c r="Q26" s="157">
        <f t="shared" si="2"/>
        <v>2380.5047619047618</v>
      </c>
      <c r="R26" s="157">
        <f t="shared" si="3"/>
        <v>28566.057142857142</v>
      </c>
      <c r="S26" s="157">
        <f t="shared" si="4"/>
        <v>0</v>
      </c>
      <c r="T26" s="157">
        <f t="shared" si="5"/>
        <v>28566.057142857142</v>
      </c>
      <c r="U26" s="157">
        <v>1</v>
      </c>
      <c r="V26" s="157">
        <f t="shared" si="6"/>
        <v>28566.057142857142</v>
      </c>
      <c r="X26" s="157">
        <f t="shared" si="7"/>
        <v>88078.676190474027</v>
      </c>
      <c r="Y26" s="157">
        <f t="shared" si="8"/>
        <v>88078.676190474027</v>
      </c>
      <c r="Z26" s="157">
        <v>1</v>
      </c>
      <c r="AA26" s="157">
        <f t="shared" si="9"/>
        <v>88078.676190474027</v>
      </c>
      <c r="AB26" s="157">
        <f t="shared" si="10"/>
        <v>116644.73333333117</v>
      </c>
      <c r="AC26" s="157">
        <f t="shared" si="11"/>
        <v>147591.2952380974</v>
      </c>
      <c r="AD26" s="157">
        <f t="shared" si="12"/>
        <v>2012.9166666666667</v>
      </c>
      <c r="AE26" s="157">
        <f t="shared" si="13"/>
        <v>2017</v>
      </c>
      <c r="AF26" s="157">
        <f t="shared" si="14"/>
        <v>2019.9166666666667</v>
      </c>
      <c r="AG26" s="157">
        <f t="shared" si="15"/>
        <v>2016</v>
      </c>
      <c r="AH26" s="157">
        <f t="shared" si="16"/>
        <v>-8.3333333333333329E-2</v>
      </c>
    </row>
    <row r="27" spans="1:34">
      <c r="A27" s="156">
        <v>109512</v>
      </c>
      <c r="B27" s="156" t="s">
        <v>55</v>
      </c>
      <c r="C27" s="156">
        <v>909</v>
      </c>
      <c r="D27" s="156" t="s">
        <v>440</v>
      </c>
      <c r="E27" s="156">
        <v>2013</v>
      </c>
      <c r="F27" s="156">
        <v>12</v>
      </c>
      <c r="G27" s="156">
        <v>0.2</v>
      </c>
      <c r="I27" s="156" t="s">
        <v>52</v>
      </c>
      <c r="J27" s="156">
        <v>7</v>
      </c>
      <c r="K27" s="156">
        <f t="shared" si="0"/>
        <v>2020</v>
      </c>
      <c r="N27" s="157">
        <v>296076.26</v>
      </c>
      <c r="P27" s="157">
        <f t="shared" si="1"/>
        <v>236861.008</v>
      </c>
      <c r="Q27" s="157">
        <f t="shared" si="2"/>
        <v>2819.7739047619048</v>
      </c>
      <c r="R27" s="157">
        <f>IF(O27&gt;0,0,IF(OR(AD27&gt;AE27,AF27&lt;AG27),0,IF(AND(AF27&gt;=AG27,AF27&lt;=AE27),Q27*((AF27-AG27)*12),IF(AND(AG27&lt;=AD27,AE27&gt;=AD27),((AE27-AD27)*12)*Q27,IF(AF27&gt;AE27,12*Q27,0)))))</f>
        <v>33837.286857142855</v>
      </c>
      <c r="S27" s="157">
        <f>IF(O27=0,0,IF(AND(AH27&gt;=AG27,AH27&lt;=AF27),((AH27-AG27)*12)*Q27,0))</f>
        <v>0</v>
      </c>
      <c r="T27" s="157">
        <f>IF(S27&gt;0,S27,R27)</f>
        <v>33837.286857142855</v>
      </c>
      <c r="U27" s="157">
        <v>1</v>
      </c>
      <c r="V27" s="157">
        <f>U27*SUM(R27:S27)</f>
        <v>33837.286857142855</v>
      </c>
      <c r="X27" s="157">
        <f>IF(AD27&gt;AE27,0,IF(AF27&lt;AG27,P27,IF(AND(AF27&gt;=AG27,AF27&lt;=AE27),(P27-T27),IF(AND(AG27&lt;=AD27,AE27&gt;=AD27),0,IF(AF27&gt;AE27,((AG27-AD27)*12)*Q27,0)))))</f>
        <v>70494.34761904506</v>
      </c>
      <c r="Y27" s="157">
        <f>X27*U27</f>
        <v>70494.34761904506</v>
      </c>
      <c r="Z27" s="157">
        <v>1</v>
      </c>
      <c r="AA27" s="157">
        <f>Y27*Z27</f>
        <v>70494.34761904506</v>
      </c>
      <c r="AB27" s="157">
        <f>IF(O27&gt;0,0,AA27+V27*Z27)*Z27</f>
        <v>104331.63447618792</v>
      </c>
      <c r="AC27" s="157">
        <f>IF(O27&gt;0,(N27-AA27)/2,IF(AD27&gt;=AG27,(((N27*U27)*Z27)-AB27)/2,((((N27*U27)*Z27)-AA27)+(((N27*U27)*Z27)-AB27))/2))</f>
        <v>208663.26895238351</v>
      </c>
      <c r="AD27" s="157">
        <f t="shared" si="12"/>
        <v>2013.9166666666667</v>
      </c>
      <c r="AE27" s="157">
        <f t="shared" si="13"/>
        <v>2017</v>
      </c>
      <c r="AF27" s="157">
        <f t="shared" si="14"/>
        <v>2020.9166666666667</v>
      </c>
      <c r="AG27" s="157">
        <f t="shared" si="15"/>
        <v>2016</v>
      </c>
      <c r="AH27" s="157">
        <f t="shared" si="16"/>
        <v>-8.3333333333333329E-2</v>
      </c>
    </row>
    <row r="28" spans="1:34">
      <c r="A28" s="156">
        <v>115354</v>
      </c>
      <c r="C28" s="156">
        <v>609</v>
      </c>
      <c r="D28" s="156" t="s">
        <v>441</v>
      </c>
      <c r="E28" s="156">
        <v>2014</v>
      </c>
      <c r="F28" s="156">
        <v>8</v>
      </c>
      <c r="G28" s="156">
        <v>0</v>
      </c>
      <c r="I28" s="156" t="s">
        <v>52</v>
      </c>
      <c r="J28" s="156">
        <v>3</v>
      </c>
      <c r="K28" s="156">
        <f t="shared" si="0"/>
        <v>2017</v>
      </c>
      <c r="N28" s="157">
        <v>5046.9399999999996</v>
      </c>
      <c r="P28" s="157">
        <f t="shared" si="1"/>
        <v>5046.9399999999996</v>
      </c>
      <c r="Q28" s="157">
        <f t="shared" si="2"/>
        <v>140.19277777777776</v>
      </c>
      <c r="R28" s="157">
        <f>IF(O28&gt;0,0,IF(OR(AD28&gt;AE28,AF28&lt;AG28),0,IF(AND(AF28&gt;=AG28,AF28&lt;=AE28),Q28*((AF28-AG28)*12),IF(AND(AG28&lt;=AD28,AE28&gt;=AD28),((AE28-AD28)*12)*Q28,IF(AF28&gt;AE28,12*Q28,0)))))</f>
        <v>1682.313333333333</v>
      </c>
      <c r="S28" s="157">
        <f>IF(O28=0,0,IF(AND(AH28&gt;=AG28,AH28&lt;=AF28),((AH28-AG28)*12)*Q28,0))</f>
        <v>0</v>
      </c>
      <c r="T28" s="157">
        <f>IF(S28&gt;0,S28,R28)</f>
        <v>1682.313333333333</v>
      </c>
      <c r="U28" s="157">
        <v>1</v>
      </c>
      <c r="V28" s="157">
        <f>U28*SUM(R28:S28)</f>
        <v>1682.313333333333</v>
      </c>
      <c r="X28" s="157">
        <f>IF(AD28&gt;AE28,0,IF(AF28&lt;AG28,P28,IF(AND(AF28&gt;=AG28,AF28&lt;=AE28),(P28-T28),IF(AND(AG28&lt;=AD28,AE28&gt;=AD28),0,IF(AF28&gt;AE28,((AG28-AD28)*12)*Q28,0)))))</f>
        <v>2383.2772222223493</v>
      </c>
      <c r="Y28" s="157">
        <f>X28*U28</f>
        <v>2383.2772222223493</v>
      </c>
      <c r="Z28" s="157">
        <v>1</v>
      </c>
      <c r="AA28" s="157">
        <f>Y28*Z28</f>
        <v>2383.2772222223493</v>
      </c>
      <c r="AB28" s="157">
        <f>IF(O28&gt;0,0,AA28+V28*Z28)*Z28</f>
        <v>4065.5905555556824</v>
      </c>
      <c r="AC28" s="157">
        <f>IF(O28&gt;0,(N28-AA28)/2,IF(AD28&gt;=AG28,(((N28*U28)*Z28)-AB28)/2,((((N28*U28)*Z28)-AA28)+(((N28*U28)*Z28)-AB28))/2))</f>
        <v>1822.5061111109837</v>
      </c>
      <c r="AD28" s="157">
        <f t="shared" si="12"/>
        <v>2014.5833333333333</v>
      </c>
      <c r="AE28" s="157">
        <f t="shared" si="13"/>
        <v>2017</v>
      </c>
      <c r="AF28" s="157">
        <f t="shared" si="14"/>
        <v>2017.5833333333333</v>
      </c>
      <c r="AG28" s="157">
        <f t="shared" si="15"/>
        <v>2016</v>
      </c>
      <c r="AH28" s="157">
        <f t="shared" si="16"/>
        <v>-8.3333333333333329E-2</v>
      </c>
    </row>
    <row r="29" spans="1:34">
      <c r="A29" s="156">
        <v>115353</v>
      </c>
      <c r="C29" s="156">
        <v>612</v>
      </c>
      <c r="D29" s="156" t="s">
        <v>442</v>
      </c>
      <c r="E29" s="156">
        <v>2014</v>
      </c>
      <c r="F29" s="156">
        <v>7</v>
      </c>
      <c r="G29" s="156">
        <v>0</v>
      </c>
      <c r="I29" s="156" t="s">
        <v>52</v>
      </c>
      <c r="J29" s="156">
        <v>3</v>
      </c>
      <c r="K29" s="156">
        <f t="shared" si="0"/>
        <v>2017</v>
      </c>
      <c r="N29" s="157">
        <v>18555.36</v>
      </c>
      <c r="P29" s="157">
        <f t="shared" si="1"/>
        <v>18555.36</v>
      </c>
      <c r="Q29" s="157">
        <f t="shared" si="2"/>
        <v>515.42666666666662</v>
      </c>
      <c r="R29" s="157">
        <f>IF(O29&gt;0,0,IF(OR(AD29&gt;AE29,AF29&lt;AG29),0,IF(AND(AF29&gt;=AG29,AF29&lt;=AE29),Q29*((AF29-AG29)*12),IF(AND(AG29&lt;=AD29,AE29&gt;=AD29),((AE29-AD29)*12)*Q29,IF(AF29&gt;AE29,12*Q29,0)))))</f>
        <v>6185.119999999999</v>
      </c>
      <c r="S29" s="157">
        <f>IF(O29=0,0,IF(AND(AH29&gt;=AG29,AH29&lt;=AF29),((AH29-AG29)*12)*Q29,0))</f>
        <v>0</v>
      </c>
      <c r="T29" s="157">
        <f>IF(S29&gt;0,S29,R29)</f>
        <v>6185.119999999999</v>
      </c>
      <c r="U29" s="157">
        <v>1</v>
      </c>
      <c r="V29" s="157">
        <f>U29*SUM(R29:S29)</f>
        <v>6185.119999999999</v>
      </c>
      <c r="X29" s="157">
        <f>IF(AD29&gt;AE29,0,IF(AF29&lt;AG29,P29,IF(AND(AF29&gt;=AG29,AF29&lt;=AE29),(P29-T29),IF(AND(AG29&lt;=AD29,AE29&gt;=AD29),0,IF(AF29&gt;AE29,((AG29-AD29)*12)*Q29,0)))))</f>
        <v>9277.6799999999985</v>
      </c>
      <c r="Y29" s="157">
        <f>X29*U29</f>
        <v>9277.6799999999985</v>
      </c>
      <c r="Z29" s="157">
        <v>1</v>
      </c>
      <c r="AA29" s="157">
        <f>Y29*Z29</f>
        <v>9277.6799999999985</v>
      </c>
      <c r="AB29" s="157">
        <f>IF(O29&gt;0,0,AA29+V29*Z29)*Z29</f>
        <v>15462.799999999997</v>
      </c>
      <c r="AC29" s="157">
        <f>IF(O29&gt;0,(N29-AA29)/2,IF(AD29&gt;=AG29,(((N29*U29)*Z29)-AB29)/2,((((N29*U29)*Z29)-AA29)+(((N29*U29)*Z29)-AB29))/2))</f>
        <v>6185.1200000000026</v>
      </c>
      <c r="AD29" s="157">
        <f t="shared" si="12"/>
        <v>2014.5</v>
      </c>
      <c r="AE29" s="157">
        <f t="shared" si="13"/>
        <v>2017</v>
      </c>
      <c r="AF29" s="157">
        <f t="shared" si="14"/>
        <v>2017.5</v>
      </c>
      <c r="AG29" s="157">
        <f t="shared" si="15"/>
        <v>2016</v>
      </c>
      <c r="AH29" s="157">
        <f t="shared" si="16"/>
        <v>-8.3333333333333329E-2</v>
      </c>
    </row>
    <row r="30" spans="1:34">
      <c r="A30" s="156">
        <v>127288</v>
      </c>
      <c r="C30" s="156">
        <v>153</v>
      </c>
      <c r="D30" s="156" t="s">
        <v>443</v>
      </c>
      <c r="E30" s="156">
        <v>2015</v>
      </c>
      <c r="F30" s="156">
        <v>10</v>
      </c>
      <c r="G30" s="156">
        <v>0</v>
      </c>
      <c r="I30" s="156" t="s">
        <v>52</v>
      </c>
      <c r="J30" s="156">
        <v>3</v>
      </c>
      <c r="K30" s="156">
        <f t="shared" si="0"/>
        <v>2018</v>
      </c>
      <c r="N30" s="157">
        <v>7490.62</v>
      </c>
      <c r="P30" s="157">
        <f t="shared" si="1"/>
        <v>7490.62</v>
      </c>
      <c r="Q30" s="157">
        <f t="shared" si="2"/>
        <v>208.07277777777779</v>
      </c>
      <c r="R30" s="157">
        <f>IF(O30&gt;0,0,IF(OR(AD30&gt;AE30,AF30&lt;AG30),0,IF(AND(AF30&gt;=AG30,AF30&lt;=AE30),Q30*((AF30-AG30)*12),IF(AND(AG30&lt;=AD30,AE30&gt;=AD30),((AE30-AD30)*12)*Q30,IF(AF30&gt;AE30,12*Q30,0)))))</f>
        <v>2496.8733333333334</v>
      </c>
      <c r="S30" s="157">
        <f>IF(O30=0,0,IF(AND(AH30&gt;=AG30,AH30&lt;=AF30),((AH30-AG30)*12)*Q30,0))</f>
        <v>0</v>
      </c>
      <c r="T30" s="157">
        <f>IF(S30&gt;0,S30,R30)</f>
        <v>2496.8733333333334</v>
      </c>
      <c r="U30" s="157">
        <v>1</v>
      </c>
      <c r="V30" s="157">
        <f>U30*SUM(R30:S30)</f>
        <v>2496.8733333333334</v>
      </c>
      <c r="X30" s="157">
        <f>IF(AD30&gt;AE30,0,IF(AF30&lt;AG30,P30,IF(AND(AF30&gt;=AG30,AF30&lt;=AE30),(P30-T30),IF(AND(AG30&lt;=AD30,AE30&gt;=AD30),0,IF(AF30&gt;AE30,((AG30-AD30)*12)*Q30,0)))))</f>
        <v>624.21833333333336</v>
      </c>
      <c r="Y30" s="157">
        <f>X30*U30</f>
        <v>624.21833333333336</v>
      </c>
      <c r="Z30" s="157">
        <v>1</v>
      </c>
      <c r="AA30" s="157">
        <f>Y30*Z30</f>
        <v>624.21833333333336</v>
      </c>
      <c r="AB30" s="157">
        <f>IF(O30&gt;0,0,AA30+V30*Z30)*Z30</f>
        <v>3121.0916666666667</v>
      </c>
      <c r="AC30" s="157">
        <f>IF(O30&gt;0,(N30-AA30)/2,IF(AD30&gt;=AG30,(((N30*U30)*Z30)-AB30)/2,((((N30*U30)*Z30)-AA30)+(((N30*U30)*Z30)-AB30))/2))</f>
        <v>5617.9650000000001</v>
      </c>
      <c r="AD30" s="157">
        <f t="shared" si="12"/>
        <v>2015.75</v>
      </c>
      <c r="AE30" s="157">
        <f t="shared" si="13"/>
        <v>2017</v>
      </c>
      <c r="AF30" s="157">
        <f t="shared" si="14"/>
        <v>2018.75</v>
      </c>
      <c r="AG30" s="157">
        <f t="shared" si="15"/>
        <v>2016</v>
      </c>
      <c r="AH30" s="157">
        <f t="shared" si="16"/>
        <v>-8.3333333333333329E-2</v>
      </c>
    </row>
    <row r="31" spans="1:34">
      <c r="A31" s="156">
        <v>165835</v>
      </c>
      <c r="C31" s="156">
        <v>318</v>
      </c>
      <c r="D31" s="156" t="s">
        <v>444</v>
      </c>
      <c r="E31" s="156">
        <v>2016</v>
      </c>
      <c r="F31" s="156">
        <v>6</v>
      </c>
      <c r="G31" s="156">
        <v>0</v>
      </c>
      <c r="I31" s="156" t="s">
        <v>52</v>
      </c>
      <c r="J31" s="156">
        <v>3</v>
      </c>
      <c r="K31" s="156">
        <f>E31+J31</f>
        <v>2019</v>
      </c>
      <c r="N31" s="157">
        <v>20959</v>
      </c>
      <c r="P31" s="157">
        <f>N31-N31*G31</f>
        <v>20959</v>
      </c>
      <c r="Q31" s="157">
        <f>P31/J31/12</f>
        <v>582.19444444444446</v>
      </c>
      <c r="R31" s="157">
        <f>IF(O31&gt;0,0,IF(OR(AD31&gt;AE31,AF31&lt;AG31),0,IF(AND(AF31&gt;=AG31,AF31&lt;=AE31),Q31*((AF31-AG31)*12),IF(AND(AG31&lt;=AD31,AE31&gt;=AD31),((AE31-AD31)*12)*Q31,IF(AF31&gt;AE31,12*Q31,0)))))</f>
        <v>4075.3611111105815</v>
      </c>
      <c r="S31" s="157">
        <f>IF(O31=0,0,IF(AND(AH31&gt;=AG31,AH31&lt;=AF31),((AH31-AG31)*12)*Q31,0))</f>
        <v>0</v>
      </c>
      <c r="T31" s="157">
        <f>IF(S31&gt;0,S31,R31)</f>
        <v>4075.3611111105815</v>
      </c>
      <c r="U31" s="157">
        <v>1</v>
      </c>
      <c r="V31" s="157">
        <f>U31*SUM(R31:S31)</f>
        <v>4075.3611111105815</v>
      </c>
      <c r="X31" s="157">
        <f>IF(AD31&gt;AE31,0,IF(AF31&lt;AG31,P31,IF(AND(AF31&gt;=AG31,AF31&lt;=AE31),(P31-T31),IF(AND(AG31&lt;=AD31,AE31&gt;=AD31),0,IF(AF31&gt;AE31,((AG31-AD31)*12)*Q31,0)))))</f>
        <v>0</v>
      </c>
      <c r="Y31" s="157">
        <f>X31*U31</f>
        <v>0</v>
      </c>
      <c r="Z31" s="157">
        <v>1</v>
      </c>
      <c r="AA31" s="157">
        <f>Y31*Z31</f>
        <v>0</v>
      </c>
      <c r="AB31" s="157">
        <f>IF(O31&gt;0,0,AA31+V31*Z31)*Z31</f>
        <v>4075.3611111105815</v>
      </c>
      <c r="AC31" s="157">
        <f>IF(O31&gt;0,(N31-AA31)/2,IF(AD31&gt;=AG31,(((N31*U31)*Z31)-AB31)/2,((((N31*U31)*Z31)-AA31)+(((N31*U31)*Z31)-AB31))/2))</f>
        <v>8441.819444444709</v>
      </c>
      <c r="AD31" s="157">
        <f t="shared" si="12"/>
        <v>2016.4166666666667</v>
      </c>
      <c r="AE31" s="157">
        <f t="shared" si="13"/>
        <v>2017</v>
      </c>
      <c r="AF31" s="157">
        <f t="shared" si="14"/>
        <v>2019.4166666666667</v>
      </c>
      <c r="AG31" s="157">
        <f t="shared" si="15"/>
        <v>2016</v>
      </c>
      <c r="AH31" s="157">
        <f t="shared" si="16"/>
        <v>-8.3333333333333329E-2</v>
      </c>
    </row>
    <row r="33" spans="1:34" ht="13.5" thickBot="1">
      <c r="D33" s="156" t="s">
        <v>50</v>
      </c>
      <c r="N33" s="157">
        <f>SUM(N12:N32)</f>
        <v>2153491</v>
      </c>
      <c r="P33" s="157">
        <f>SUM(P12:P32)</f>
        <v>1740033.3320000002</v>
      </c>
      <c r="Q33" s="157">
        <f>SUM(Q12:Q32)</f>
        <v>21754.512965079364</v>
      </c>
      <c r="R33" s="157">
        <f>SUM(R12:R32)</f>
        <v>114561.33034920749</v>
      </c>
      <c r="T33" s="157">
        <f>IF(S33&gt;0,S33,R33)</f>
        <v>114561.33034920749</v>
      </c>
      <c r="V33" s="157">
        <f>U33*SUM(R33:S33)</f>
        <v>0</v>
      </c>
      <c r="X33" s="157">
        <f>IF(AD33&gt;AE33,0,IF(AF33&lt;AG33,P33,IF(AND(AF33&gt;=AG33,AF33&lt;=AE33),(P33-T33),IF(AND(AG33&lt;=AD33,AE33&gt;=AD33),0,IF(AF33&gt;AE33,((AG33-AD33)*12)*Q33,0)))))</f>
        <v>1625472.0016507928</v>
      </c>
      <c r="Y33" s="157">
        <f>X33*U33</f>
        <v>0</v>
      </c>
      <c r="AA33" s="157">
        <f>SUM(AA12:AA32)</f>
        <v>1308182.989555547</v>
      </c>
      <c r="AB33" s="157">
        <f>SUM(AB12:AB32)</f>
        <v>1422744.3199047544</v>
      </c>
      <c r="AC33" s="157">
        <f>SUM(AC12:AC32)</f>
        <v>777547.84526984917</v>
      </c>
    </row>
    <row r="35" spans="1:34">
      <c r="D35" s="156" t="s">
        <v>82</v>
      </c>
    </row>
    <row r="36" spans="1:34">
      <c r="A36" s="156">
        <v>102100</v>
      </c>
      <c r="B36" s="156" t="s">
        <v>56</v>
      </c>
      <c r="C36" s="156">
        <v>409</v>
      </c>
      <c r="D36" s="156" t="s">
        <v>445</v>
      </c>
      <c r="E36" s="156">
        <v>2004</v>
      </c>
      <c r="F36" s="156">
        <v>4</v>
      </c>
      <c r="G36" s="156">
        <v>0.2</v>
      </c>
      <c r="I36" s="156" t="s">
        <v>52</v>
      </c>
      <c r="J36" s="156">
        <v>7</v>
      </c>
      <c r="K36" s="156">
        <f>E36+J36</f>
        <v>2011</v>
      </c>
      <c r="N36" s="157">
        <v>86998.71</v>
      </c>
      <c r="P36" s="157">
        <f>N36-N36*G36</f>
        <v>69598.968000000008</v>
      </c>
      <c r="Q36" s="157">
        <f>P36/J36/12</f>
        <v>828.55914285714289</v>
      </c>
      <c r="R36" s="157">
        <f>IF(O36&gt;0,0,IF(OR(AD36&gt;AE36,AF36&lt;AG36),0,IF(AND(AF36&gt;=AG36,AF36&lt;=AE36),Q36*((AF36-AG36)*12),IF(AND(AG36&lt;=AD36,AE36&gt;=AD36),((AE36-AD36)*12)*Q36,IF(AF36&gt;AE36,12*Q36,0)))))</f>
        <v>0</v>
      </c>
      <c r="S36" s="157">
        <f>IF(O36=0,0,IF(AND(AH36&gt;=AG36,AH36&lt;=AF36),((AH36-AG36)*12)*Q36,0))</f>
        <v>0</v>
      </c>
      <c r="T36" s="157">
        <f>IF(S36&gt;0,S36,R36)</f>
        <v>0</v>
      </c>
      <c r="U36" s="157">
        <v>1</v>
      </c>
      <c r="V36" s="157">
        <f>U36*SUM(R36:S36)</f>
        <v>0</v>
      </c>
      <c r="X36" s="157">
        <f>IF(AD36&gt;AE36,0,IF(AF36&lt;AG36,P36,IF(AND(AF36&gt;=AG36,AF36&lt;=AE36),(P36-T36),IF(AND(AG36&lt;=AD36,AE36&gt;=AD36),0,IF(AF36&gt;AE36,((AG36-AD36)*12)*Q36,0)))))</f>
        <v>69598.968000000008</v>
      </c>
      <c r="Y36" s="157">
        <f>X36*U36</f>
        <v>69598.968000000008</v>
      </c>
      <c r="Z36" s="157">
        <v>1</v>
      </c>
      <c r="AA36" s="157">
        <f>Y36*Z36</f>
        <v>69598.968000000008</v>
      </c>
      <c r="AB36" s="157">
        <f>IF(O36&gt;0,0,AA36+V36*Z36)*Z36</f>
        <v>69598.968000000008</v>
      </c>
      <c r="AC36" s="157">
        <f>IF(O36&gt;0,(N36-AA36)/2,IF(AD36&gt;=AG36,(((N36*U36)*Z36)-AB36)/2,((((N36*U36)*Z36)-AA36)+(((N36*U36)*Z36)-AB36))/2))</f>
        <v>17399.741999999998</v>
      </c>
      <c r="AD36" s="157">
        <f>$E36+(($F36-1)/12)</f>
        <v>2004.25</v>
      </c>
      <c r="AE36" s="157">
        <f>($P$5+1)-($P$2/12)</f>
        <v>2017</v>
      </c>
      <c r="AF36" s="157">
        <f>$K36+(($F36-1)/12)</f>
        <v>2011.25</v>
      </c>
      <c r="AG36" s="157">
        <f>$P$4+($P$3/12)</f>
        <v>2016</v>
      </c>
      <c r="AH36" s="157">
        <f>$L36+(($M36-1)/12)</f>
        <v>-8.3333333333333329E-2</v>
      </c>
    </row>
    <row r="37" spans="1:34">
      <c r="A37" s="156">
        <v>102101</v>
      </c>
      <c r="B37" s="156" t="s">
        <v>56</v>
      </c>
      <c r="C37" s="156">
        <v>409</v>
      </c>
      <c r="D37" s="156" t="s">
        <v>446</v>
      </c>
      <c r="E37" s="156">
        <v>2004</v>
      </c>
      <c r="F37" s="156">
        <v>4</v>
      </c>
      <c r="G37" s="156">
        <v>0.2</v>
      </c>
      <c r="I37" s="156" t="s">
        <v>52</v>
      </c>
      <c r="J37" s="156">
        <v>7</v>
      </c>
      <c r="K37" s="156">
        <f>E37+J37</f>
        <v>2011</v>
      </c>
      <c r="N37" s="157">
        <v>32990.49</v>
      </c>
      <c r="P37" s="157">
        <f>N37-N37*G37</f>
        <v>26392.392</v>
      </c>
      <c r="Q37" s="157">
        <f>P37/J37/12</f>
        <v>314.19514285714286</v>
      </c>
      <c r="R37" s="157">
        <f>IF(O37&gt;0,0,IF(OR(AD37&gt;AE37,AF37&lt;AG37),0,IF(AND(AF37&gt;=AG37,AF37&lt;=AE37),Q37*((AF37-AG37)*12),IF(AND(AG37&lt;=AD37,AE37&gt;=AD37),((AE37-AD37)*12)*Q37,IF(AF37&gt;AE37,12*Q37,0)))))</f>
        <v>0</v>
      </c>
      <c r="S37" s="157">
        <f>IF(O37=0,0,IF(AND(AH37&gt;=AG37,AH37&lt;=AF37),((AH37-AG37)*12)*Q37,0))</f>
        <v>0</v>
      </c>
      <c r="T37" s="157">
        <f>IF(S37&gt;0,S37,R37)</f>
        <v>0</v>
      </c>
      <c r="U37" s="157">
        <v>1</v>
      </c>
      <c r="V37" s="157">
        <f>U37*SUM(R37:S37)</f>
        <v>0</v>
      </c>
      <c r="X37" s="157">
        <f>IF(AD37&gt;AE37,0,IF(AF37&lt;AG37,P37,IF(AND(AF37&gt;=AG37,AF37&lt;=AE37),(P37-T37),IF(AND(AG37&lt;=AD37,AE37&gt;=AD37),0,IF(AF37&gt;AE37,((AG37-AD37)*12)*Q37,0)))))</f>
        <v>26392.392</v>
      </c>
      <c r="Y37" s="157">
        <f>X37*U37</f>
        <v>26392.392</v>
      </c>
      <c r="Z37" s="157">
        <v>1</v>
      </c>
      <c r="AA37" s="157">
        <f>Y37*Z37</f>
        <v>26392.392</v>
      </c>
      <c r="AB37" s="157">
        <f>IF(O37&gt;0,0,AA37+V37*Z37)*Z37</f>
        <v>26392.392</v>
      </c>
      <c r="AC37" s="157">
        <f>IF(O37&gt;0,(N37-AA37)/2,IF(AD37&gt;=AG37,(((N37*U37)*Z37)-AB37)/2,((((N37*U37)*Z37)-AA37)+(((N37*U37)*Z37)-AB37))/2))</f>
        <v>6598.0979999999981</v>
      </c>
      <c r="AD37" s="157">
        <f>$E37+(($F37-1)/12)</f>
        <v>2004.25</v>
      </c>
      <c r="AE37" s="157">
        <f>($P$5+1)-($P$2/12)</f>
        <v>2017</v>
      </c>
      <c r="AF37" s="157">
        <f>$K37+(($F37-1)/12)</f>
        <v>2011.25</v>
      </c>
      <c r="AG37" s="157">
        <f>$P$4+($P$3/12)</f>
        <v>2016</v>
      </c>
      <c r="AH37" s="157">
        <f>$L37+(($M37-1)/12)</f>
        <v>-8.3333333333333329E-2</v>
      </c>
    </row>
    <row r="38" spans="1:34">
      <c r="B38" s="156" t="s">
        <v>56</v>
      </c>
      <c r="D38" s="156" t="s">
        <v>447</v>
      </c>
      <c r="E38" s="156">
        <v>2008</v>
      </c>
      <c r="F38" s="156">
        <v>4</v>
      </c>
      <c r="G38" s="156">
        <v>0.2</v>
      </c>
      <c r="I38" s="156" t="s">
        <v>52</v>
      </c>
      <c r="J38" s="156">
        <v>7</v>
      </c>
      <c r="K38" s="156">
        <f>E38+J38</f>
        <v>2015</v>
      </c>
      <c r="N38" s="157">
        <v>545.42999999999995</v>
      </c>
      <c r="P38" s="157">
        <f>N38-N38*G38</f>
        <v>436.34399999999994</v>
      </c>
      <c r="Q38" s="157">
        <f>P38/J38/12</f>
        <v>5.194571428571428</v>
      </c>
      <c r="R38" s="157">
        <f>IF(O38&gt;0,0,IF(OR(AD38&gt;AE38,AF38&lt;AG38),0,IF(AND(AF38&gt;=AG38,AF38&lt;=AE38),Q38*((AF38-AG38)*12),IF(AND(AG38&lt;=AD38,AE38&gt;=AD38),((AE38-AD38)*12)*Q38,IF(AF38&gt;AE38,12*Q38,0)))))</f>
        <v>0</v>
      </c>
      <c r="S38" s="157">
        <f>IF(O38=0,0,IF(AND(AH38&gt;=AG38,AH38&lt;=AF38),((AH38-AG38)*12)*Q38,0))</f>
        <v>0</v>
      </c>
      <c r="T38" s="157">
        <f>IF(S38&gt;0,S38,R38)</f>
        <v>0</v>
      </c>
      <c r="U38" s="157">
        <v>1</v>
      </c>
      <c r="V38" s="157">
        <f>U38*SUM(R38:S38)</f>
        <v>0</v>
      </c>
      <c r="X38" s="157">
        <f>IF(AD38&gt;AE38,0,IF(AF38&lt;AG38,P38,IF(AND(AF38&gt;=AG38,AF38&lt;=AE38),(P38-T38),IF(AND(AG38&lt;=AD38,AE38&gt;=AD38),0,IF(AF38&gt;AE38,((AG38-AD38)*12)*Q38,0)))))</f>
        <v>436.34399999999994</v>
      </c>
      <c r="Y38" s="157">
        <f>X38*U38</f>
        <v>436.34399999999994</v>
      </c>
      <c r="Z38" s="157">
        <v>1</v>
      </c>
      <c r="AA38" s="157">
        <f>Y38*Z38</f>
        <v>436.34399999999994</v>
      </c>
      <c r="AB38" s="157">
        <f>IF(O38&gt;0,0,AA38+V38*Z38)*Z38</f>
        <v>436.34399999999994</v>
      </c>
      <c r="AC38" s="157">
        <f>IF(O38&gt;0,(N38-AA38)/2,IF(AD38&gt;=AG38,(((N38*U38)*Z38)-AB38)/2,((((N38*U38)*Z38)-AA38)+(((N38*U38)*Z38)-AB38))/2))</f>
        <v>109.08600000000001</v>
      </c>
      <c r="AD38" s="157">
        <f>$E38+(($F38-1)/12)</f>
        <v>2008.25</v>
      </c>
      <c r="AE38" s="157">
        <f>($P$5+1)-($P$2/12)</f>
        <v>2017</v>
      </c>
      <c r="AF38" s="157">
        <f>$K38+(($F38-1)/12)</f>
        <v>2015.25</v>
      </c>
      <c r="AG38" s="157">
        <f>$P$4+($P$3/12)</f>
        <v>2016</v>
      </c>
      <c r="AH38" s="157">
        <f>$L38+(($M38-1)/12)</f>
        <v>-8.3333333333333329E-2</v>
      </c>
    </row>
    <row r="39" spans="1:34">
      <c r="A39" s="156">
        <v>102102</v>
      </c>
      <c r="B39" s="156" t="s">
        <v>56</v>
      </c>
      <c r="C39" s="156">
        <v>409</v>
      </c>
      <c r="D39" s="156" t="s">
        <v>181</v>
      </c>
      <c r="E39" s="156">
        <v>2009</v>
      </c>
      <c r="F39" s="156">
        <v>1</v>
      </c>
      <c r="G39" s="156">
        <v>0.2</v>
      </c>
      <c r="I39" s="156" t="s">
        <v>52</v>
      </c>
      <c r="J39" s="156">
        <v>7</v>
      </c>
      <c r="K39" s="156">
        <f>E39+J39</f>
        <v>2016</v>
      </c>
      <c r="N39" s="157">
        <v>6818.83</v>
      </c>
      <c r="P39" s="157">
        <f>N39-N39*G39</f>
        <v>5455.0640000000003</v>
      </c>
      <c r="Q39" s="157">
        <f>P39/J39/12</f>
        <v>64.941238095238091</v>
      </c>
      <c r="R39" s="157">
        <f>IF(O39&gt;0,0,IF(OR(AD39&gt;AE39,AF39&lt;AG39),0,IF(AND(AF39&gt;=AG39,AF39&lt;=AE39),Q39*((AF39-AG39)*12),IF(AND(AG39&lt;=AD39,AE39&gt;=AD39),((AE39-AD39)*12)*Q39,IF(AF39&gt;AE39,12*Q39,0)))))</f>
        <v>0</v>
      </c>
      <c r="S39" s="157">
        <f>IF(O39=0,0,IF(AND(AH39&gt;=AG39,AH39&lt;=AF39),((AH39-AG39)*12)*Q39,0))</f>
        <v>0</v>
      </c>
      <c r="T39" s="157">
        <f>IF(S39&gt;0,S39,R39)</f>
        <v>0</v>
      </c>
      <c r="U39" s="157">
        <v>1</v>
      </c>
      <c r="V39" s="157">
        <f>U39*SUM(R39:S39)</f>
        <v>0</v>
      </c>
      <c r="X39" s="157">
        <f>IF(AD39&gt;AE39,0,IF(AF39&lt;AG39,P39,IF(AND(AF39&gt;=AG39,AF39&lt;=AE39),(P39-T39),IF(AND(AG39&lt;=AD39,AE39&gt;=AD39),0,IF(AF39&gt;AE39,((AG39-AD39)*12)*Q39,0)))))</f>
        <v>5455.0640000000003</v>
      </c>
      <c r="Y39" s="157">
        <f>X39*U39</f>
        <v>5455.0640000000003</v>
      </c>
      <c r="Z39" s="157">
        <v>1</v>
      </c>
      <c r="AA39" s="157">
        <f>Y39*Z39</f>
        <v>5455.0640000000003</v>
      </c>
      <c r="AB39" s="157">
        <f>IF(O39&gt;0,0,AA39+V39*Z39)*Z39</f>
        <v>5455.0640000000003</v>
      </c>
      <c r="AC39" s="157">
        <f>IF(O39&gt;0,(N39-AA39)/2,IF(AD39&gt;=AG39,(((N39*U39)*Z39)-AB39)/2,((((N39*U39)*Z39)-AA39)+(((N39*U39)*Z39)-AB39))/2))</f>
        <v>1363.7659999999996</v>
      </c>
      <c r="AD39" s="157">
        <f>$E39+(($F39-1)/12)</f>
        <v>2009</v>
      </c>
      <c r="AE39" s="157">
        <f>($P$5+1)-($P$2/12)</f>
        <v>2017</v>
      </c>
      <c r="AF39" s="157">
        <f>$K39+(($F39-1)/12)</f>
        <v>2016</v>
      </c>
      <c r="AG39" s="157">
        <f>$P$4+($P$3/12)</f>
        <v>2016</v>
      </c>
      <c r="AH39" s="157">
        <f>$L39+(($M39-1)/12)</f>
        <v>-8.3333333333333329E-2</v>
      </c>
    </row>
    <row r="40" spans="1:34">
      <c r="A40" s="156">
        <v>166339</v>
      </c>
      <c r="B40" s="156" t="s">
        <v>56</v>
      </c>
      <c r="C40" s="156">
        <v>426</v>
      </c>
      <c r="D40" s="156" t="s">
        <v>448</v>
      </c>
      <c r="E40" s="156">
        <v>2016</v>
      </c>
      <c r="F40" s="156">
        <v>8</v>
      </c>
      <c r="G40" s="156">
        <v>0</v>
      </c>
      <c r="I40" s="156" t="s">
        <v>52</v>
      </c>
      <c r="J40" s="156">
        <v>10</v>
      </c>
      <c r="K40" s="156">
        <f>E40+J40</f>
        <v>2026</v>
      </c>
      <c r="N40" s="157">
        <v>222553.29</v>
      </c>
      <c r="P40" s="157">
        <f>N40-N40*G40</f>
        <v>222553.29</v>
      </c>
      <c r="Q40" s="157">
        <f>P40/J40/12</f>
        <v>1854.6107500000001</v>
      </c>
      <c r="R40" s="157">
        <f>IF(O40&gt;0,0,IF(OR(AD40&gt;AE40,AF40&lt;AG40),0,IF(AND(AF40&gt;=AG40,AF40&lt;=AE40),Q40*((AF40-AG40)*12),IF(AND(AG40&lt;=AD40,AE40&gt;=AD40),((AE40-AD40)*12)*Q40,IF(AF40&gt;AE40,12*Q40,0)))))</f>
        <v>9273.0537500016871</v>
      </c>
      <c r="S40" s="157">
        <f>IF(O40=0,0,IF(AND(AH40&gt;=AG40,AH40&lt;=AF40),((AH40-AG40)*12)*Q40,0))</f>
        <v>0</v>
      </c>
      <c r="T40" s="157">
        <f>IF(S40&gt;0,S40,R40)</f>
        <v>9273.0537500016871</v>
      </c>
      <c r="U40" s="157">
        <v>1</v>
      </c>
      <c r="V40" s="157">
        <f>U40*SUM(R40:S40)</f>
        <v>9273.0537500016871</v>
      </c>
      <c r="X40" s="157">
        <f>IF(AD40&gt;AE40,0,IF(AF40&lt;AG40,P40,IF(AND(AF40&gt;=AG40,AF40&lt;=AE40),(P40-T40),IF(AND(AG40&lt;=AD40,AE40&gt;=AD40),0,IF(AF40&gt;AE40,((AG40-AD40)*12)*Q40,0)))))</f>
        <v>0</v>
      </c>
      <c r="Y40" s="157">
        <f>X40*U40</f>
        <v>0</v>
      </c>
      <c r="Z40" s="157">
        <v>1</v>
      </c>
      <c r="AA40" s="157">
        <f>Y40*Z40</f>
        <v>0</v>
      </c>
      <c r="AB40" s="157">
        <f>IF(O40&gt;0,0,AA40+V40*Z40)*Z40</f>
        <v>9273.0537500016871</v>
      </c>
      <c r="AC40" s="157">
        <f>IF(O40&gt;0,(N40-AA40)/2,IF(AD40&gt;=AG40,(((N40*U40)*Z40)-AB40)/2,((((N40*U40)*Z40)-AA40)+(((N40*U40)*Z40)-AB40))/2))</f>
        <v>106640.11812499916</v>
      </c>
      <c r="AD40" s="157">
        <f>$E40+(($F40-1)/12)</f>
        <v>2016.5833333333333</v>
      </c>
      <c r="AE40" s="157">
        <f>($P$5+1)-($P$2/12)</f>
        <v>2017</v>
      </c>
      <c r="AF40" s="157">
        <f>$K40+(($F40-1)/12)</f>
        <v>2026.5833333333333</v>
      </c>
      <c r="AG40" s="157">
        <f>$P$4+($P$3/12)</f>
        <v>2016</v>
      </c>
      <c r="AH40" s="157">
        <f>$L40+(($M40-1)/12)</f>
        <v>-8.3333333333333329E-2</v>
      </c>
    </row>
    <row r="42" spans="1:34" ht="13.5" thickBot="1">
      <c r="D42" s="156" t="s">
        <v>51</v>
      </c>
      <c r="N42" s="157">
        <f>SUM(N36:N41)</f>
        <v>349906.75</v>
      </c>
      <c r="P42" s="157">
        <f>SUM(P36:P41)</f>
        <v>324436.05800000002</v>
      </c>
      <c r="Q42" s="157">
        <f>SUM(Q36:Q41)</f>
        <v>3067.5008452380953</v>
      </c>
      <c r="R42" s="157">
        <f>SUM(R36:R41)</f>
        <v>9273.0537500016871</v>
      </c>
      <c r="T42" s="157">
        <f>SUM(T36:T41)</f>
        <v>9273.0537500016871</v>
      </c>
      <c r="V42" s="157">
        <f>SUM(V36:V41)</f>
        <v>9273.0537500016871</v>
      </c>
      <c r="X42" s="157">
        <f>SUM(X36:X41)</f>
        <v>101882.76800000001</v>
      </c>
      <c r="Y42" s="157">
        <f>SUM(Y36:Y41)</f>
        <v>101882.76800000001</v>
      </c>
      <c r="AA42" s="157">
        <f>SUM(AA36:AA41)</f>
        <v>101882.76800000001</v>
      </c>
      <c r="AB42" s="157">
        <f>SUM(AB36:AB41)</f>
        <v>111155.82175000169</v>
      </c>
      <c r="AC42" s="157">
        <f>SUM(AC36:AC41)</f>
        <v>132110.81012499915</v>
      </c>
    </row>
    <row r="44" spans="1:34" ht="13.5" thickBot="1">
      <c r="D44" s="156" t="s">
        <v>607</v>
      </c>
      <c r="N44" s="157">
        <f>N33+N42</f>
        <v>2503397.75</v>
      </c>
      <c r="P44" s="157">
        <f>P33+P42</f>
        <v>2064469.3900000001</v>
      </c>
      <c r="Q44" s="157">
        <f>Q33+Q42</f>
        <v>24822.013810317461</v>
      </c>
      <c r="R44" s="157">
        <f>R33+R42</f>
        <v>123834.38409920919</v>
      </c>
      <c r="V44" s="157">
        <f>V33+V42</f>
        <v>9273.0537500016871</v>
      </c>
      <c r="AA44" s="157">
        <f>AA33+AA42</f>
        <v>1410065.7575555469</v>
      </c>
      <c r="AB44" s="157">
        <f>AB33+AB42</f>
        <v>1533900.1416547562</v>
      </c>
      <c r="AC44" s="157">
        <f>AC33+AC42</f>
        <v>909658.65539484832</v>
      </c>
    </row>
    <row r="45" spans="1:34" ht="13.5" thickTop="1"/>
    <row r="46" spans="1:34">
      <c r="D46" s="156" t="s">
        <v>608</v>
      </c>
    </row>
    <row r="48" spans="1:34">
      <c r="D48" s="156" t="s">
        <v>609</v>
      </c>
      <c r="N48" s="157">
        <f>SUM(N47:N47)</f>
        <v>0</v>
      </c>
      <c r="P48" s="157">
        <f>SUM(P47:P47)</f>
        <v>0</v>
      </c>
      <c r="Q48" s="157">
        <f>SUM(Q47:Q47)</f>
        <v>0</v>
      </c>
      <c r="R48" s="157">
        <f>SUM(R47:R47)</f>
        <v>0</v>
      </c>
      <c r="V48" s="157">
        <f>SUM(V47:V47)</f>
        <v>0</v>
      </c>
      <c r="AA48" s="157">
        <f>SUM(AA47:AA47)</f>
        <v>0</v>
      </c>
      <c r="AB48" s="157">
        <f>SUM(AB47:AB47)</f>
        <v>0</v>
      </c>
      <c r="AC48" s="157">
        <f>SUM(AC47:AC47)</f>
        <v>0</v>
      </c>
    </row>
    <row r="51" spans="1:34">
      <c r="D51" s="156" t="s">
        <v>91</v>
      </c>
    </row>
    <row r="52" spans="1:34">
      <c r="A52" s="156">
        <v>39506</v>
      </c>
      <c r="B52" s="156" t="s">
        <v>92</v>
      </c>
      <c r="C52" s="156">
        <v>800</v>
      </c>
      <c r="D52" s="156" t="s">
        <v>449</v>
      </c>
      <c r="E52" s="156">
        <v>2004</v>
      </c>
      <c r="F52" s="156">
        <v>6</v>
      </c>
      <c r="G52" s="156">
        <v>0.2</v>
      </c>
      <c r="I52" s="156" t="s">
        <v>52</v>
      </c>
      <c r="J52" s="156">
        <v>7</v>
      </c>
      <c r="K52" s="156">
        <f t="shared" ref="K52:K60" si="17">E52+J52</f>
        <v>2011</v>
      </c>
      <c r="N52" s="157">
        <v>109002.31</v>
      </c>
      <c r="P52" s="157">
        <f t="shared" ref="P52:P58" si="18">N52-N52*G52</f>
        <v>87201.847999999998</v>
      </c>
      <c r="Q52" s="157">
        <f t="shared" ref="Q52:Q58" si="19">P52/J52/12</f>
        <v>1038.117238095238</v>
      </c>
      <c r="R52" s="157">
        <f t="shared" ref="R52:R58" si="20">IF(O52&gt;0,0,IF(OR(AD52&gt;AE52,AF52&lt;AG52),0,IF(AND(AF52&gt;=AG52,AF52&lt;=AE52),Q52*((AF52-AG52)*12),IF(AND(AG52&lt;=AD52,AE52&gt;=AD52),((AE52-AD52)*12)*Q52,IF(AF52&gt;AE52,12*Q52,0)))))</f>
        <v>0</v>
      </c>
      <c r="S52" s="157">
        <f t="shared" ref="S52:S58" si="21">IF(O52=0,0,IF(AND(AH52&gt;=AG52,AH52&lt;=AF52),((AH52-AG52)*12)*Q52,0))</f>
        <v>0</v>
      </c>
      <c r="T52" s="157">
        <f t="shared" ref="T52:T58" si="22">IF(S52&gt;0,S52,R52)</f>
        <v>0</v>
      </c>
      <c r="U52" s="157">
        <v>1</v>
      </c>
      <c r="V52" s="157">
        <f t="shared" ref="V52:V58" si="23">U52*SUM(R52:S52)</f>
        <v>0</v>
      </c>
      <c r="X52" s="157">
        <f t="shared" ref="X52:X58" si="24">IF(AD52&gt;AE52,0,IF(AF52&lt;AG52,P52,IF(AND(AF52&gt;=AG52,AF52&lt;=AE52),(P52-T52),IF(AND(AG52&lt;=AD52,AE52&gt;=AD52),0,IF(AF52&gt;AE52,((AG52-AD52)*12)*Q52,0)))))</f>
        <v>87201.847999999998</v>
      </c>
      <c r="Y52" s="157">
        <f t="shared" ref="Y52:Y58" si="25">X52*U52</f>
        <v>87201.847999999998</v>
      </c>
      <c r="Z52" s="157">
        <v>1</v>
      </c>
      <c r="AA52" s="157">
        <f t="shared" ref="AA52:AA58" si="26">Y52*Z52</f>
        <v>87201.847999999998</v>
      </c>
      <c r="AB52" s="157">
        <f t="shared" ref="AB52:AB58" si="27">IF(O52&gt;0,0,AA52+V52*Z52)*Z52</f>
        <v>87201.847999999998</v>
      </c>
      <c r="AC52" s="157">
        <f t="shared" ref="AC52:AC58" si="28">IF(O52&gt;0,(N52-AA52)/2,IF(AD52&gt;=AG52,(((N52*U52)*Z52)-AB52)/2,((((N52*U52)*Z52)-AA52)+(((N52*U52)*Z52)-AB52))/2))</f>
        <v>21800.462</v>
      </c>
      <c r="AD52" s="157">
        <f t="shared" ref="AD52:AD59" si="29">$E52+(($F52-1)/12)</f>
        <v>2004.4166666666667</v>
      </c>
      <c r="AE52" s="157">
        <f t="shared" ref="AE52:AE68" si="30">($P$5+1)-($P$2/12)</f>
        <v>2017</v>
      </c>
      <c r="AF52" s="157">
        <f t="shared" ref="AF52:AF59" si="31">$K52+(($F52-1)/12)</f>
        <v>2011.4166666666667</v>
      </c>
      <c r="AG52" s="157">
        <f t="shared" ref="AG52:AG68" si="32">$P$4+($P$3/12)</f>
        <v>2016</v>
      </c>
      <c r="AH52" s="157">
        <f t="shared" ref="AH52:AH59" si="33">$L52+(($M52-1)/12)</f>
        <v>-8.3333333333333329E-2</v>
      </c>
    </row>
    <row r="53" spans="1:34">
      <c r="B53" s="156" t="s">
        <v>92</v>
      </c>
      <c r="C53" s="156">
        <v>800</v>
      </c>
      <c r="D53" s="156" t="s">
        <v>450</v>
      </c>
      <c r="E53" s="156">
        <v>2004</v>
      </c>
      <c r="F53" s="156">
        <v>6</v>
      </c>
      <c r="G53" s="156">
        <v>0.2</v>
      </c>
      <c r="I53" s="156" t="s">
        <v>52</v>
      </c>
      <c r="J53" s="156">
        <v>7</v>
      </c>
      <c r="K53" s="156">
        <f t="shared" si="17"/>
        <v>2011</v>
      </c>
      <c r="N53" s="157">
        <v>77974.23</v>
      </c>
      <c r="P53" s="157">
        <f t="shared" si="18"/>
        <v>62379.383999999998</v>
      </c>
      <c r="Q53" s="157">
        <f t="shared" si="19"/>
        <v>742.61171428571424</v>
      </c>
      <c r="R53" s="157">
        <f t="shared" si="20"/>
        <v>0</v>
      </c>
      <c r="S53" s="157">
        <f t="shared" si="21"/>
        <v>0</v>
      </c>
      <c r="T53" s="157">
        <f t="shared" si="22"/>
        <v>0</v>
      </c>
      <c r="U53" s="157">
        <v>1</v>
      </c>
      <c r="V53" s="157">
        <f t="shared" si="23"/>
        <v>0</v>
      </c>
      <c r="X53" s="157">
        <f t="shared" si="24"/>
        <v>62379.383999999998</v>
      </c>
      <c r="Y53" s="157">
        <f t="shared" si="25"/>
        <v>62379.383999999998</v>
      </c>
      <c r="Z53" s="157">
        <v>1</v>
      </c>
      <c r="AA53" s="157">
        <f t="shared" si="26"/>
        <v>62379.383999999998</v>
      </c>
      <c r="AB53" s="157">
        <f t="shared" si="27"/>
        <v>62379.383999999998</v>
      </c>
      <c r="AC53" s="157">
        <f t="shared" si="28"/>
        <v>15594.845999999998</v>
      </c>
      <c r="AD53" s="157">
        <f t="shared" si="29"/>
        <v>2004.4166666666667</v>
      </c>
      <c r="AE53" s="157">
        <f t="shared" si="30"/>
        <v>2017</v>
      </c>
      <c r="AF53" s="157">
        <f t="shared" si="31"/>
        <v>2011.4166666666667</v>
      </c>
      <c r="AG53" s="157">
        <f t="shared" si="32"/>
        <v>2016</v>
      </c>
      <c r="AH53" s="157">
        <f t="shared" si="33"/>
        <v>-8.3333333333333329E-2</v>
      </c>
    </row>
    <row r="54" spans="1:34">
      <c r="A54" s="156">
        <v>31408</v>
      </c>
      <c r="B54" s="156" t="s">
        <v>92</v>
      </c>
      <c r="C54" s="156">
        <v>801</v>
      </c>
      <c r="D54" s="156" t="s">
        <v>451</v>
      </c>
      <c r="E54" s="156">
        <v>2005</v>
      </c>
      <c r="F54" s="156">
        <v>3</v>
      </c>
      <c r="G54" s="156">
        <v>0.2</v>
      </c>
      <c r="I54" s="156" t="s">
        <v>52</v>
      </c>
      <c r="J54" s="156">
        <v>7</v>
      </c>
      <c r="K54" s="156">
        <f t="shared" si="17"/>
        <v>2012</v>
      </c>
      <c r="N54" s="157">
        <f>100692.45+97960.58+3602.39</f>
        <v>202255.42</v>
      </c>
      <c r="P54" s="157">
        <f t="shared" si="18"/>
        <v>161804.33600000001</v>
      </c>
      <c r="Q54" s="157">
        <f t="shared" si="19"/>
        <v>1926.2420952380953</v>
      </c>
      <c r="R54" s="157">
        <f t="shared" si="20"/>
        <v>0</v>
      </c>
      <c r="S54" s="157">
        <f t="shared" si="21"/>
        <v>0</v>
      </c>
      <c r="T54" s="157">
        <f t="shared" si="22"/>
        <v>0</v>
      </c>
      <c r="U54" s="157">
        <v>1</v>
      </c>
      <c r="V54" s="157">
        <f t="shared" si="23"/>
        <v>0</v>
      </c>
      <c r="X54" s="157">
        <f t="shared" si="24"/>
        <v>161804.33600000001</v>
      </c>
      <c r="Y54" s="157">
        <f t="shared" si="25"/>
        <v>161804.33600000001</v>
      </c>
      <c r="Z54" s="157">
        <v>1</v>
      </c>
      <c r="AA54" s="157">
        <f t="shared" si="26"/>
        <v>161804.33600000001</v>
      </c>
      <c r="AB54" s="157">
        <f t="shared" si="27"/>
        <v>161804.33600000001</v>
      </c>
      <c r="AC54" s="157">
        <f t="shared" si="28"/>
        <v>40451.084000000003</v>
      </c>
      <c r="AD54" s="157">
        <f t="shared" si="29"/>
        <v>2005.1666666666667</v>
      </c>
      <c r="AE54" s="157">
        <f t="shared" si="30"/>
        <v>2017</v>
      </c>
      <c r="AF54" s="157">
        <f t="shared" si="31"/>
        <v>2012.1666666666667</v>
      </c>
      <c r="AG54" s="157">
        <f t="shared" si="32"/>
        <v>2016</v>
      </c>
      <c r="AH54" s="157">
        <f t="shared" si="33"/>
        <v>-8.3333333333333329E-2</v>
      </c>
    </row>
    <row r="55" spans="1:34">
      <c r="A55" s="156">
        <v>31409</v>
      </c>
      <c r="B55" s="156" t="s">
        <v>92</v>
      </c>
      <c r="C55" s="156">
        <v>802</v>
      </c>
      <c r="D55" s="156" t="s">
        <v>451</v>
      </c>
      <c r="E55" s="156">
        <v>2005</v>
      </c>
      <c r="F55" s="156">
        <v>3</v>
      </c>
      <c r="G55" s="156">
        <v>0.2</v>
      </c>
      <c r="I55" s="156" t="s">
        <v>52</v>
      </c>
      <c r="J55" s="156">
        <v>7</v>
      </c>
      <c r="K55" s="156">
        <f t="shared" si="17"/>
        <v>2012</v>
      </c>
      <c r="N55" s="157">
        <f>100692.45+97960.58+3602.39</f>
        <v>202255.42</v>
      </c>
      <c r="P55" s="157">
        <f t="shared" si="18"/>
        <v>161804.33600000001</v>
      </c>
      <c r="Q55" s="157">
        <f t="shared" si="19"/>
        <v>1926.2420952380953</v>
      </c>
      <c r="R55" s="157">
        <f t="shared" si="20"/>
        <v>0</v>
      </c>
      <c r="S55" s="157">
        <f t="shared" si="21"/>
        <v>0</v>
      </c>
      <c r="T55" s="157">
        <f t="shared" si="22"/>
        <v>0</v>
      </c>
      <c r="U55" s="157">
        <v>1</v>
      </c>
      <c r="V55" s="157">
        <f t="shared" si="23"/>
        <v>0</v>
      </c>
      <c r="X55" s="157">
        <f t="shared" si="24"/>
        <v>161804.33600000001</v>
      </c>
      <c r="Y55" s="157">
        <f t="shared" si="25"/>
        <v>161804.33600000001</v>
      </c>
      <c r="Z55" s="157">
        <v>1</v>
      </c>
      <c r="AA55" s="157">
        <f t="shared" si="26"/>
        <v>161804.33600000001</v>
      </c>
      <c r="AB55" s="157">
        <f t="shared" si="27"/>
        <v>161804.33600000001</v>
      </c>
      <c r="AC55" s="157">
        <f t="shared" si="28"/>
        <v>40451.084000000003</v>
      </c>
      <c r="AD55" s="157">
        <f t="shared" si="29"/>
        <v>2005.1666666666667</v>
      </c>
      <c r="AE55" s="157">
        <f t="shared" si="30"/>
        <v>2017</v>
      </c>
      <c r="AF55" s="157">
        <f t="shared" si="31"/>
        <v>2012.1666666666667</v>
      </c>
      <c r="AG55" s="157">
        <f t="shared" si="32"/>
        <v>2016</v>
      </c>
      <c r="AH55" s="157">
        <f t="shared" si="33"/>
        <v>-8.3333333333333329E-2</v>
      </c>
    </row>
    <row r="56" spans="1:34">
      <c r="B56" s="156" t="s">
        <v>92</v>
      </c>
      <c r="D56" s="156" t="s">
        <v>452</v>
      </c>
      <c r="E56" s="156">
        <v>2008</v>
      </c>
      <c r="F56" s="156">
        <v>4</v>
      </c>
      <c r="G56" s="156">
        <v>0.2</v>
      </c>
      <c r="I56" s="156" t="s">
        <v>52</v>
      </c>
      <c r="J56" s="156">
        <v>7</v>
      </c>
      <c r="K56" s="156">
        <f t="shared" si="17"/>
        <v>2015</v>
      </c>
      <c r="N56" s="157">
        <f>545.43+545.43</f>
        <v>1090.8599999999999</v>
      </c>
      <c r="P56" s="157">
        <f t="shared" si="18"/>
        <v>872.68799999999987</v>
      </c>
      <c r="Q56" s="157">
        <f t="shared" si="19"/>
        <v>10.389142857142856</v>
      </c>
      <c r="R56" s="157">
        <f t="shared" si="20"/>
        <v>0</v>
      </c>
      <c r="S56" s="157">
        <f t="shared" si="21"/>
        <v>0</v>
      </c>
      <c r="T56" s="157">
        <f t="shared" si="22"/>
        <v>0</v>
      </c>
      <c r="U56" s="157">
        <v>1</v>
      </c>
      <c r="V56" s="157">
        <f t="shared" si="23"/>
        <v>0</v>
      </c>
      <c r="X56" s="157">
        <f t="shared" si="24"/>
        <v>872.68799999999987</v>
      </c>
      <c r="Y56" s="157">
        <f t="shared" si="25"/>
        <v>872.68799999999987</v>
      </c>
      <c r="Z56" s="157">
        <v>1</v>
      </c>
      <c r="AA56" s="157">
        <f t="shared" si="26"/>
        <v>872.68799999999987</v>
      </c>
      <c r="AB56" s="157">
        <f t="shared" si="27"/>
        <v>872.68799999999987</v>
      </c>
      <c r="AC56" s="157">
        <f t="shared" si="28"/>
        <v>218.17200000000003</v>
      </c>
      <c r="AD56" s="157">
        <f t="shared" si="29"/>
        <v>2008.25</v>
      </c>
      <c r="AE56" s="157">
        <f t="shared" si="30"/>
        <v>2017</v>
      </c>
      <c r="AF56" s="157">
        <f t="shared" si="31"/>
        <v>2015.25</v>
      </c>
      <c r="AG56" s="157">
        <f t="shared" si="32"/>
        <v>2016</v>
      </c>
      <c r="AH56" s="157">
        <f t="shared" si="33"/>
        <v>-8.3333333333333329E-2</v>
      </c>
    </row>
    <row r="57" spans="1:34">
      <c r="A57" s="156">
        <v>88705</v>
      </c>
      <c r="B57" s="156" t="s">
        <v>54</v>
      </c>
      <c r="C57" s="156">
        <v>139</v>
      </c>
      <c r="D57" s="156" t="s">
        <v>453</v>
      </c>
      <c r="E57" s="156">
        <v>2011</v>
      </c>
      <c r="F57" s="156">
        <v>12</v>
      </c>
      <c r="G57" s="156">
        <v>0.2</v>
      </c>
      <c r="I57" s="156" t="s">
        <v>52</v>
      </c>
      <c r="J57" s="156">
        <v>7</v>
      </c>
      <c r="K57" s="156">
        <f t="shared" si="17"/>
        <v>2018</v>
      </c>
      <c r="N57" s="157">
        <v>105733.19</v>
      </c>
      <c r="P57" s="157">
        <f t="shared" si="18"/>
        <v>84586.551999999996</v>
      </c>
      <c r="Q57" s="157">
        <f t="shared" si="19"/>
        <v>1006.9827619047619</v>
      </c>
      <c r="R57" s="157">
        <f t="shared" si="20"/>
        <v>12083.793142857143</v>
      </c>
      <c r="S57" s="157">
        <f t="shared" si="21"/>
        <v>0</v>
      </c>
      <c r="T57" s="157">
        <f t="shared" si="22"/>
        <v>12083.793142857143</v>
      </c>
      <c r="U57" s="157">
        <v>1</v>
      </c>
      <c r="V57" s="157">
        <f t="shared" si="23"/>
        <v>12083.793142857143</v>
      </c>
      <c r="X57" s="157">
        <f t="shared" si="24"/>
        <v>49342.155333332419</v>
      </c>
      <c r="Y57" s="157">
        <f t="shared" si="25"/>
        <v>49342.155333332419</v>
      </c>
      <c r="Z57" s="157">
        <v>1</v>
      </c>
      <c r="AA57" s="157">
        <f t="shared" si="26"/>
        <v>49342.155333332419</v>
      </c>
      <c r="AB57" s="157">
        <f t="shared" si="27"/>
        <v>61425.948476189558</v>
      </c>
      <c r="AC57" s="157">
        <f t="shared" si="28"/>
        <v>50349.138095239017</v>
      </c>
      <c r="AD57" s="157">
        <f t="shared" si="29"/>
        <v>2011.9166666666667</v>
      </c>
      <c r="AE57" s="157">
        <f t="shared" si="30"/>
        <v>2017</v>
      </c>
      <c r="AF57" s="157">
        <f t="shared" si="31"/>
        <v>2018.9166666666667</v>
      </c>
      <c r="AG57" s="157">
        <f t="shared" si="32"/>
        <v>2016</v>
      </c>
      <c r="AH57" s="157">
        <f t="shared" si="33"/>
        <v>-8.3333333333333329E-2</v>
      </c>
    </row>
    <row r="58" spans="1:34">
      <c r="C58" s="156">
        <v>139</v>
      </c>
      <c r="D58" s="156" t="s">
        <v>454</v>
      </c>
      <c r="E58" s="156">
        <v>2011</v>
      </c>
      <c r="F58" s="156">
        <v>12</v>
      </c>
      <c r="G58" s="156">
        <v>0.2</v>
      </c>
      <c r="I58" s="156" t="s">
        <v>52</v>
      </c>
      <c r="J58" s="156">
        <v>7</v>
      </c>
      <c r="K58" s="156">
        <f t="shared" si="17"/>
        <v>2018</v>
      </c>
      <c r="N58" s="157">
        <f>642*2</f>
        <v>1284</v>
      </c>
      <c r="P58" s="157">
        <f t="shared" si="18"/>
        <v>1027.2</v>
      </c>
      <c r="Q58" s="157">
        <f t="shared" si="19"/>
        <v>12.22857142857143</v>
      </c>
      <c r="R58" s="157">
        <f t="shared" si="20"/>
        <v>146.74285714285716</v>
      </c>
      <c r="S58" s="157">
        <f t="shared" si="21"/>
        <v>0</v>
      </c>
      <c r="T58" s="157">
        <f t="shared" si="22"/>
        <v>146.74285714285716</v>
      </c>
      <c r="U58" s="157">
        <v>1</v>
      </c>
      <c r="V58" s="157">
        <f t="shared" si="23"/>
        <v>146.74285714285716</v>
      </c>
      <c r="X58" s="157">
        <f t="shared" si="24"/>
        <v>599.1999999999889</v>
      </c>
      <c r="Y58" s="157">
        <f t="shared" si="25"/>
        <v>599.1999999999889</v>
      </c>
      <c r="Z58" s="157">
        <v>1</v>
      </c>
      <c r="AA58" s="157">
        <f t="shared" si="26"/>
        <v>599.1999999999889</v>
      </c>
      <c r="AB58" s="157">
        <f t="shared" si="27"/>
        <v>745.94285714284604</v>
      </c>
      <c r="AC58" s="157">
        <f t="shared" si="28"/>
        <v>611.42857142858247</v>
      </c>
      <c r="AD58" s="157">
        <f t="shared" si="29"/>
        <v>2011.9166666666667</v>
      </c>
      <c r="AE58" s="157">
        <f t="shared" si="30"/>
        <v>2017</v>
      </c>
      <c r="AF58" s="157">
        <f t="shared" si="31"/>
        <v>2018.9166666666667</v>
      </c>
      <c r="AG58" s="157">
        <f t="shared" si="32"/>
        <v>2016</v>
      </c>
      <c r="AH58" s="157">
        <f t="shared" si="33"/>
        <v>-8.3333333333333329E-2</v>
      </c>
    </row>
    <row r="59" spans="1:34">
      <c r="A59" s="156">
        <v>116567</v>
      </c>
      <c r="C59" s="156">
        <v>829</v>
      </c>
      <c r="D59" s="156" t="s">
        <v>315</v>
      </c>
      <c r="E59" s="156">
        <v>2014</v>
      </c>
      <c r="F59" s="156">
        <v>10</v>
      </c>
      <c r="G59" s="156">
        <v>0.2</v>
      </c>
      <c r="I59" s="156" t="s">
        <v>52</v>
      </c>
      <c r="J59" s="156">
        <v>7</v>
      </c>
      <c r="K59" s="156">
        <f t="shared" si="17"/>
        <v>2021</v>
      </c>
      <c r="N59" s="157">
        <v>324730.3</v>
      </c>
      <c r="P59" s="157">
        <f>N59-N59*G59</f>
        <v>259784.24</v>
      </c>
      <c r="Q59" s="157">
        <f>P59/J59/12</f>
        <v>3092.6695238095235</v>
      </c>
      <c r="R59" s="157">
        <f>IF(O59&gt;0,0,IF(OR(AD59&gt;AE59,AF59&lt;AG59),0,IF(AND(AF59&gt;=AG59,AF59&lt;=AE59),Q59*((AF59-AG59)*12),IF(AND(AG59&lt;=AD59,AE59&gt;=AD59),((AE59-AD59)*12)*Q59,IF(AF59&gt;AE59,12*Q59,0)))))</f>
        <v>37112.034285714282</v>
      </c>
      <c r="S59" s="157">
        <f>IF(O59=0,0,IF(AND(AH59&gt;=AG59,AH59&lt;=AF59),((AH59-AG59)*12)*Q59,0))</f>
        <v>0</v>
      </c>
      <c r="T59" s="157">
        <f>IF(S59&gt;0,S59,R59)</f>
        <v>37112.034285714282</v>
      </c>
      <c r="U59" s="157">
        <v>1</v>
      </c>
      <c r="V59" s="157">
        <f>U59*SUM(R59:S59)</f>
        <v>37112.034285714282</v>
      </c>
      <c r="X59" s="157">
        <f>IF(AD59&gt;AE59,0,IF(AF59&lt;AG59,P59,IF(AND(AF59&gt;=AG59,AF59&lt;=AE59),(P59-T59),IF(AND(AG59&lt;=AD59,AE59&gt;=AD59),0,IF(AF59&gt;AE59,((AG59-AD59)*12)*Q59,0)))))</f>
        <v>46390.042857142849</v>
      </c>
      <c r="Y59" s="157">
        <f>X59*U59</f>
        <v>46390.042857142849</v>
      </c>
      <c r="Z59" s="157">
        <v>1</v>
      </c>
      <c r="AA59" s="157">
        <f>Y59*Z59</f>
        <v>46390.042857142849</v>
      </c>
      <c r="AB59" s="157">
        <f>IF(O59&gt;0,0,AA59+V59*Z59)*Z59</f>
        <v>83502.077142857132</v>
      </c>
      <c r="AC59" s="157">
        <f>IF(O59&gt;0,(N59-AA59)/2,IF(AD59&gt;=AG59,(((N59*U59)*Z59)-AB59)/2,((((N59*U59)*Z59)-AA59)+(((N59*U59)*Z59)-AB59))/2))</f>
        <v>259784.24</v>
      </c>
      <c r="AD59" s="157">
        <f t="shared" si="29"/>
        <v>2014.75</v>
      </c>
      <c r="AE59" s="157">
        <f t="shared" si="30"/>
        <v>2017</v>
      </c>
      <c r="AF59" s="157">
        <f t="shared" si="31"/>
        <v>2021.75</v>
      </c>
      <c r="AG59" s="157">
        <f t="shared" si="32"/>
        <v>2016</v>
      </c>
      <c r="AH59" s="157">
        <f t="shared" si="33"/>
        <v>-8.3333333333333329E-2</v>
      </c>
    </row>
    <row r="60" spans="1:34">
      <c r="A60" s="156">
        <v>132076</v>
      </c>
      <c r="C60" s="156">
        <v>836</v>
      </c>
      <c r="D60" s="156" t="s">
        <v>455</v>
      </c>
      <c r="E60" s="156">
        <v>2016</v>
      </c>
      <c r="F60" s="156">
        <v>3</v>
      </c>
      <c r="G60" s="156">
        <v>0</v>
      </c>
      <c r="I60" s="156" t="s">
        <v>52</v>
      </c>
      <c r="J60" s="156">
        <v>10</v>
      </c>
      <c r="K60" s="156">
        <f t="shared" si="17"/>
        <v>2026</v>
      </c>
      <c r="N60" s="157">
        <v>326844.58</v>
      </c>
      <c r="P60" s="157">
        <f>N60-N60*G60</f>
        <v>326844.58</v>
      </c>
      <c r="Q60" s="157">
        <f>P60/J60/12</f>
        <v>2723.7048333333337</v>
      </c>
      <c r="R60" s="157">
        <f>IF(O60&gt;0,0,IF(OR(AD60&gt;AE60,AF60&lt;AG60),0,IF(AND(AF60&gt;=AG60,AF60&lt;=AE60),Q60*((AF60-AG60)*12),IF(AND(AG60&lt;=AD60,AE60&gt;=AD60),((AE60-AD60)*12)*Q60,IF(AF60&gt;AE60,12*Q60,0)))))</f>
        <v>27237.048333330858</v>
      </c>
      <c r="S60" s="157">
        <f>IF(O60=0,0,IF(AND(AH60&gt;=AG60,AH60&lt;=AF60),((AH60-AG60)*12)*Q60,0))</f>
        <v>0</v>
      </c>
      <c r="T60" s="157">
        <f>IF(S60&gt;0,S60,R60)</f>
        <v>27237.048333330858</v>
      </c>
      <c r="U60" s="157">
        <v>1</v>
      </c>
      <c r="V60" s="157">
        <f>U60*SUM(R60:S60)</f>
        <v>27237.048333330858</v>
      </c>
      <c r="X60" s="157">
        <f>IF(AD60&gt;AE60,0,IF(AF60&lt;AG60,P60,IF(AND(AF60&gt;=AG60,AF60&lt;=AE60),(P60-T60),IF(AND(AG60&lt;=AD60,AE60&gt;=AD60),0,IF(AF60&gt;AE60,((AG60-AD60)*12)*Q60,0)))))</f>
        <v>0</v>
      </c>
      <c r="Y60" s="157">
        <f>X60*U60</f>
        <v>0</v>
      </c>
      <c r="Z60" s="157">
        <v>1</v>
      </c>
      <c r="AA60" s="157">
        <f>Y60*Z60</f>
        <v>0</v>
      </c>
      <c r="AB60" s="157">
        <f>IF(O60&gt;0,0,AA60+V60*Z60)*Z60</f>
        <v>27237.048333330858</v>
      </c>
      <c r="AC60" s="157">
        <f>IF(O60&gt;0,(N60-AA60)/2,IF(AD60&gt;=AG60,(((N60*U60)*Z60)-AB60)/2,((((N60*U60)*Z60)-AA60)+(((N60*U60)*Z60)-AB60))/2))</f>
        <v>149803.76583333459</v>
      </c>
      <c r="AD60" s="157">
        <f>$E60+(($F60-1)/12)</f>
        <v>2016.1666666666667</v>
      </c>
      <c r="AE60" s="157">
        <f t="shared" si="30"/>
        <v>2017</v>
      </c>
      <c r="AF60" s="157">
        <f>$K60+(($F60-1)/12)</f>
        <v>2026.1666666666667</v>
      </c>
      <c r="AG60" s="157">
        <f t="shared" si="32"/>
        <v>2016</v>
      </c>
      <c r="AH60" s="157">
        <f>$L60+(($M60-1)/12)</f>
        <v>-8.3333333333333329E-2</v>
      </c>
    </row>
    <row r="62" spans="1:34" ht="13.5" thickBot="1">
      <c r="D62" s="156" t="s">
        <v>97</v>
      </c>
      <c r="N62" s="157">
        <f>SUM(N52:N61)</f>
        <v>1351170.31</v>
      </c>
      <c r="P62" s="157">
        <f>SUM(P52:P61)</f>
        <v>1146305.1639999999</v>
      </c>
      <c r="Q62" s="157">
        <f>SUM(Q52:Q61)</f>
        <v>12479.187976190477</v>
      </c>
      <c r="R62" s="157">
        <f>SUM(R52:R61)</f>
        <v>76579.618619045141</v>
      </c>
      <c r="V62" s="157">
        <f>SUM(V52:V61)</f>
        <v>76579.618619045141</v>
      </c>
      <c r="AA62" s="157">
        <f>SUM(AA52:AA61)</f>
        <v>570393.99019047525</v>
      </c>
      <c r="AB62" s="157">
        <f>SUM(AB52:AB61)</f>
        <v>646973.60880952049</v>
      </c>
      <c r="AC62" s="157">
        <f>SUM(AC52:AC61)</f>
        <v>579064.22050000215</v>
      </c>
    </row>
    <row r="64" spans="1:34">
      <c r="D64" s="156" t="s">
        <v>98</v>
      </c>
    </row>
    <row r="65" spans="1:34">
      <c r="B65" s="156" t="s">
        <v>99</v>
      </c>
      <c r="C65" s="156" t="s">
        <v>57</v>
      </c>
      <c r="D65" s="156" t="s">
        <v>456</v>
      </c>
      <c r="E65" s="156">
        <v>91</v>
      </c>
      <c r="F65" s="156">
        <v>12</v>
      </c>
      <c r="G65" s="156">
        <v>0</v>
      </c>
      <c r="I65" s="156" t="s">
        <v>52</v>
      </c>
      <c r="J65" s="156">
        <v>5</v>
      </c>
      <c r="K65" s="156">
        <f t="shared" ref="K65:K70" si="34">E65+J65</f>
        <v>96</v>
      </c>
      <c r="N65" s="157">
        <v>980.98</v>
      </c>
      <c r="P65" s="157">
        <f t="shared" ref="P65:P70" si="35">N65-N65*G65</f>
        <v>980.98</v>
      </c>
      <c r="Q65" s="157">
        <f t="shared" ref="Q65:Q70" si="36">P65/J65/12</f>
        <v>16.349666666666668</v>
      </c>
      <c r="R65" s="157">
        <f t="shared" ref="R65:R70" si="37">IF(O65&gt;0,0,IF(OR(AD65&gt;AE65,AF65&lt;AG65),0,IF(AND(AF65&gt;=AG65,AF65&lt;=AE65),Q65*((AF65-AG65)*12),IF(AND(AG65&lt;=AD65,AE65&gt;=AD65),((AE65-AD65)*12)*Q65,IF(AF65&gt;AE65,12*Q65,0)))))</f>
        <v>0</v>
      </c>
      <c r="S65" s="157">
        <f t="shared" ref="S65:S70" si="38">IF(O65=0,0,IF(AND(AH65&gt;=AG65,AH65&lt;=AF65),((AH65-AG65)*12)*Q65,0))</f>
        <v>0</v>
      </c>
      <c r="T65" s="157">
        <f t="shared" ref="T65:T70" si="39">IF(S65&gt;0,S65,R65)</f>
        <v>0</v>
      </c>
      <c r="U65" s="157">
        <v>1</v>
      </c>
      <c r="V65" s="157">
        <f t="shared" ref="V65:V70" si="40">U65*SUM(R65:S65)</f>
        <v>0</v>
      </c>
      <c r="X65" s="157">
        <f t="shared" ref="X65:X70" si="41">IF(AD65&gt;AE65,0,IF(AF65&lt;AG65,P65,IF(AND(AF65&gt;=AG65,AF65&lt;=AE65),(P65-T65),IF(AND(AG65&lt;=AD65,AE65&gt;=AD65),0,IF(AF65&gt;AE65,((AG65-AD65)*12)*Q65,0)))))</f>
        <v>980.98</v>
      </c>
      <c r="Y65" s="157">
        <f t="shared" ref="Y65:Y70" si="42">X65*U65</f>
        <v>980.98</v>
      </c>
      <c r="Z65" s="157">
        <v>1</v>
      </c>
      <c r="AA65" s="157">
        <f t="shared" ref="AA65:AA70" si="43">Y65*Z65</f>
        <v>980.98</v>
      </c>
      <c r="AB65" s="157">
        <f t="shared" ref="AB65:AB70" si="44">IF(O65&gt;0,0,AA65+V65*Z65)*Z65</f>
        <v>980.98</v>
      </c>
      <c r="AC65" s="157">
        <f t="shared" ref="AC65:AC70" si="45">IF(O65&gt;0,(N65-AA65)/2,IF(AD65&gt;=AG65,(((N65*U65)*Z65)-AB65)/2,((((N65*U65)*Z65)-AA65)+(((N65*U65)*Z65)-AB65))/2))</f>
        <v>0</v>
      </c>
      <c r="AD65" s="157">
        <f t="shared" ref="AD65:AD70" si="46">$E65+(($F65-1)/12)</f>
        <v>91.916666666666671</v>
      </c>
      <c r="AE65" s="157">
        <f>($P$5+1)-($P$2/12)</f>
        <v>2017</v>
      </c>
      <c r="AF65" s="157">
        <f t="shared" ref="AF65:AF70" si="47">$K65+(($F65-1)/12)</f>
        <v>96.916666666666671</v>
      </c>
      <c r="AG65" s="157">
        <f>$P$4+($P$3/12)</f>
        <v>2016</v>
      </c>
      <c r="AH65" s="157">
        <f t="shared" ref="AH65:AH70" si="48">$L65+(($M65-1)/12)</f>
        <v>-8.3333333333333329E-2</v>
      </c>
    </row>
    <row r="66" spans="1:34">
      <c r="B66" s="156" t="s">
        <v>99</v>
      </c>
      <c r="D66" s="156" t="s">
        <v>452</v>
      </c>
      <c r="E66" s="156">
        <v>2008</v>
      </c>
      <c r="F66" s="156">
        <v>4</v>
      </c>
      <c r="G66" s="156">
        <v>0.2</v>
      </c>
      <c r="I66" s="156" t="s">
        <v>52</v>
      </c>
      <c r="J66" s="156">
        <v>7</v>
      </c>
      <c r="K66" s="156">
        <f t="shared" si="34"/>
        <v>2015</v>
      </c>
      <c r="N66" s="157">
        <f>560.39+560.39</f>
        <v>1120.78</v>
      </c>
      <c r="P66" s="157">
        <f t="shared" si="35"/>
        <v>896.62400000000002</v>
      </c>
      <c r="Q66" s="157">
        <f t="shared" si="36"/>
        <v>10.674095238095239</v>
      </c>
      <c r="R66" s="157">
        <f t="shared" si="37"/>
        <v>0</v>
      </c>
      <c r="S66" s="157">
        <f t="shared" si="38"/>
        <v>0</v>
      </c>
      <c r="T66" s="157">
        <f t="shared" si="39"/>
        <v>0</v>
      </c>
      <c r="U66" s="157">
        <v>1</v>
      </c>
      <c r="V66" s="157">
        <f t="shared" si="40"/>
        <v>0</v>
      </c>
      <c r="X66" s="157">
        <f t="shared" si="41"/>
        <v>896.62400000000002</v>
      </c>
      <c r="Y66" s="157">
        <f t="shared" si="42"/>
        <v>896.62400000000002</v>
      </c>
      <c r="Z66" s="157">
        <v>1</v>
      </c>
      <c r="AA66" s="157">
        <f t="shared" si="43"/>
        <v>896.62400000000002</v>
      </c>
      <c r="AB66" s="157">
        <f t="shared" si="44"/>
        <v>896.62400000000002</v>
      </c>
      <c r="AC66" s="157">
        <f t="shared" si="45"/>
        <v>224.15599999999995</v>
      </c>
      <c r="AD66" s="157">
        <f t="shared" si="46"/>
        <v>2008.25</v>
      </c>
      <c r="AE66" s="157">
        <f>($P$5+1)-($P$2/12)</f>
        <v>2017</v>
      </c>
      <c r="AF66" s="157">
        <f t="shared" si="47"/>
        <v>2015.25</v>
      </c>
      <c r="AG66" s="157">
        <f>$P$4+($P$3/12)</f>
        <v>2016</v>
      </c>
      <c r="AH66" s="157">
        <f t="shared" si="48"/>
        <v>-8.3333333333333329E-2</v>
      </c>
    </row>
    <row r="67" spans="1:34">
      <c r="A67" s="156">
        <v>64782</v>
      </c>
      <c r="B67" s="156" t="s">
        <v>99</v>
      </c>
      <c r="C67" s="156">
        <v>816</v>
      </c>
      <c r="D67" s="156" t="s">
        <v>457</v>
      </c>
      <c r="E67" s="156">
        <v>2009</v>
      </c>
      <c r="F67" s="156">
        <v>5</v>
      </c>
      <c r="G67" s="156">
        <v>0.33</v>
      </c>
      <c r="I67" s="156" t="s">
        <v>52</v>
      </c>
      <c r="J67" s="156">
        <v>5</v>
      </c>
      <c r="K67" s="156">
        <f t="shared" si="34"/>
        <v>2014</v>
      </c>
      <c r="N67" s="157">
        <v>212304.54</v>
      </c>
      <c r="P67" s="157">
        <f t="shared" si="35"/>
        <v>142244.04180000001</v>
      </c>
      <c r="Q67" s="157">
        <f t="shared" si="36"/>
        <v>2370.7340300000001</v>
      </c>
      <c r="R67" s="157">
        <f t="shared" si="37"/>
        <v>0</v>
      </c>
      <c r="S67" s="157">
        <f t="shared" si="38"/>
        <v>0</v>
      </c>
      <c r="T67" s="157">
        <f t="shared" si="39"/>
        <v>0</v>
      </c>
      <c r="U67" s="157">
        <v>1</v>
      </c>
      <c r="V67" s="157">
        <f t="shared" si="40"/>
        <v>0</v>
      </c>
      <c r="X67" s="157">
        <f t="shared" si="41"/>
        <v>142244.04180000001</v>
      </c>
      <c r="Y67" s="157">
        <f t="shared" si="42"/>
        <v>142244.04180000001</v>
      </c>
      <c r="Z67" s="157">
        <v>1</v>
      </c>
      <c r="AA67" s="157">
        <f t="shared" si="43"/>
        <v>142244.04180000001</v>
      </c>
      <c r="AB67" s="157">
        <f t="shared" si="44"/>
        <v>142244.04180000001</v>
      </c>
      <c r="AC67" s="157">
        <f t="shared" si="45"/>
        <v>70060.498200000002</v>
      </c>
      <c r="AD67" s="157">
        <f t="shared" si="46"/>
        <v>2009.3333333333333</v>
      </c>
      <c r="AE67" s="157">
        <f>($P$5+1)-($P$2/12)</f>
        <v>2017</v>
      </c>
      <c r="AF67" s="157">
        <f t="shared" si="47"/>
        <v>2014.3333333333333</v>
      </c>
      <c r="AG67" s="157">
        <f>$P$4+($P$3/12)</f>
        <v>2016</v>
      </c>
      <c r="AH67" s="157">
        <f t="shared" si="48"/>
        <v>-8.3333333333333329E-2</v>
      </c>
    </row>
    <row r="68" spans="1:34">
      <c r="A68" s="156" t="s">
        <v>610</v>
      </c>
      <c r="C68" s="156">
        <v>817</v>
      </c>
      <c r="D68" s="156" t="s">
        <v>458</v>
      </c>
      <c r="E68" s="156">
        <v>2010</v>
      </c>
      <c r="F68" s="156">
        <v>6</v>
      </c>
      <c r="G68" s="156">
        <v>0</v>
      </c>
      <c r="I68" s="156" t="s">
        <v>52</v>
      </c>
      <c r="J68" s="156">
        <v>10</v>
      </c>
      <c r="K68" s="156">
        <f>E68+J68</f>
        <v>2020</v>
      </c>
      <c r="N68" s="157">
        <f>138066.26+133793.45+137.06+1916.25</f>
        <v>273913.02</v>
      </c>
      <c r="P68" s="157">
        <f>N68-N68*G68</f>
        <v>273913.02</v>
      </c>
      <c r="Q68" s="157">
        <f>P68/J68/12</f>
        <v>2282.6085000000003</v>
      </c>
      <c r="R68" s="157">
        <f>IF(O68&gt;0,0,IF(OR(AD68&gt;AE68,AF68&lt;AG68),0,IF(AND(AF68&gt;=AG68,AF68&lt;=AE68),Q68*((AF68-AG68)*12),IF(AND(AG68&lt;=AD68,AE68&gt;=AD68),((AE68-AD68)*12)*Q68,IF(AF68&gt;AE68,12*Q68,0)))))</f>
        <v>27391.302000000003</v>
      </c>
      <c r="S68" s="157">
        <f>IF(O68=0,0,IF(AND(AH68&gt;=AG68,AH68&lt;=AF68),((AH68-AG68)*12)*Q68,0))</f>
        <v>0</v>
      </c>
      <c r="T68" s="157">
        <f>IF(S68&gt;0,S68,R68)</f>
        <v>27391.302000000003</v>
      </c>
      <c r="U68" s="157">
        <v>1</v>
      </c>
      <c r="V68" s="157">
        <f>U68*SUM(R68:S68)</f>
        <v>27391.302000000003</v>
      </c>
      <c r="X68" s="157">
        <f>IF(AD68&gt;AE68,0,IF(AF68&lt;AG68,P68,IF(AND(AF68&gt;=AG68,AF68&lt;=AE68),(P68-T68),IF(AND(AG68&lt;=AD68,AE68&gt;=AD68),0,IF(AF68&gt;AE68,((AG68-AD68)*12)*Q68,0)))))</f>
        <v>152934.76949999793</v>
      </c>
      <c r="Y68" s="157">
        <f>X68*U68</f>
        <v>152934.76949999793</v>
      </c>
      <c r="Z68" s="157">
        <v>1</v>
      </c>
      <c r="AA68" s="157">
        <f>Y68*Z68</f>
        <v>152934.76949999793</v>
      </c>
      <c r="AB68" s="157">
        <f>IF(O68&gt;0,0,AA68+V68*Z68)*Z68</f>
        <v>180326.07149999792</v>
      </c>
      <c r="AC68" s="157">
        <f>IF(O68&gt;0,(N68-AA68)/2,IF(AD68&gt;=AG68,(((N68*U68)*Z68)-AB68)/2,((((N68*U68)*Z68)-AA68)+(((N68*U68)*Z68)-AB68))/2))</f>
        <v>107282.59950000209</v>
      </c>
      <c r="AD68" s="157">
        <f>$E68+(($F68-1)/12)</f>
        <v>2010.4166666666667</v>
      </c>
      <c r="AE68" s="157">
        <f t="shared" si="30"/>
        <v>2017</v>
      </c>
      <c r="AF68" s="157">
        <f>$K68+(($F68-1)/12)</f>
        <v>2020.4166666666667</v>
      </c>
      <c r="AG68" s="157">
        <f t="shared" si="32"/>
        <v>2016</v>
      </c>
      <c r="AH68" s="157">
        <f>$L68+(($M68-1)/12)</f>
        <v>-8.3333333333333329E-2</v>
      </c>
    </row>
    <row r="69" spans="1:34">
      <c r="A69" s="156">
        <v>110575</v>
      </c>
      <c r="B69" s="156" t="s">
        <v>99</v>
      </c>
      <c r="C69" s="156">
        <v>823</v>
      </c>
      <c r="D69" s="156" t="s">
        <v>309</v>
      </c>
      <c r="E69" s="156">
        <v>2014</v>
      </c>
      <c r="F69" s="156">
        <v>1</v>
      </c>
      <c r="G69" s="156">
        <v>0.2</v>
      </c>
      <c r="I69" s="156" t="s">
        <v>52</v>
      </c>
      <c r="J69" s="156">
        <v>7</v>
      </c>
      <c r="K69" s="156">
        <f t="shared" si="34"/>
        <v>2021</v>
      </c>
      <c r="N69" s="157">
        <v>319176.65000000002</v>
      </c>
      <c r="P69" s="157">
        <f t="shared" si="35"/>
        <v>255341.32</v>
      </c>
      <c r="Q69" s="157">
        <f t="shared" si="36"/>
        <v>3039.7776190476193</v>
      </c>
      <c r="R69" s="157">
        <f t="shared" si="37"/>
        <v>0</v>
      </c>
      <c r="S69" s="157">
        <f t="shared" si="38"/>
        <v>0</v>
      </c>
      <c r="T69" s="157">
        <f t="shared" si="39"/>
        <v>0</v>
      </c>
      <c r="U69" s="157">
        <v>1</v>
      </c>
      <c r="V69" s="157">
        <f t="shared" si="40"/>
        <v>0</v>
      </c>
      <c r="X69" s="157">
        <f t="shared" si="41"/>
        <v>0</v>
      </c>
      <c r="Y69" s="157">
        <f t="shared" si="42"/>
        <v>0</v>
      </c>
      <c r="Z69" s="157">
        <v>1</v>
      </c>
      <c r="AA69" s="157">
        <f t="shared" si="43"/>
        <v>0</v>
      </c>
      <c r="AB69" s="157">
        <f t="shared" si="44"/>
        <v>0</v>
      </c>
      <c r="AC69" s="157">
        <f t="shared" si="45"/>
        <v>159588.32500000001</v>
      </c>
      <c r="AD69" s="157">
        <f t="shared" si="46"/>
        <v>2014</v>
      </c>
      <c r="AE69" s="157">
        <v>2013</v>
      </c>
      <c r="AF69" s="157">
        <f t="shared" si="47"/>
        <v>2021</v>
      </c>
      <c r="AG69" s="157">
        <v>2012</v>
      </c>
      <c r="AH69" s="157">
        <f t="shared" si="48"/>
        <v>-8.3333333333333329E-2</v>
      </c>
    </row>
    <row r="70" spans="1:34">
      <c r="A70" s="156">
        <v>122581</v>
      </c>
      <c r="B70" s="156" t="s">
        <v>99</v>
      </c>
      <c r="C70" s="156">
        <v>832</v>
      </c>
      <c r="D70" s="156" t="s">
        <v>459</v>
      </c>
      <c r="E70" s="156">
        <v>2015</v>
      </c>
      <c r="F70" s="156">
        <v>5</v>
      </c>
      <c r="G70" s="156">
        <v>0.2</v>
      </c>
      <c r="I70" s="156" t="s">
        <v>52</v>
      </c>
      <c r="J70" s="156">
        <v>7</v>
      </c>
      <c r="K70" s="156">
        <f t="shared" si="34"/>
        <v>2022</v>
      </c>
      <c r="N70" s="157">
        <v>326336.78000000003</v>
      </c>
      <c r="P70" s="157">
        <f t="shared" si="35"/>
        <v>261069.42400000003</v>
      </c>
      <c r="Q70" s="157">
        <f t="shared" si="36"/>
        <v>3107.9693333333339</v>
      </c>
      <c r="R70" s="157">
        <f t="shared" si="37"/>
        <v>0</v>
      </c>
      <c r="S70" s="157">
        <f t="shared" si="38"/>
        <v>0</v>
      </c>
      <c r="T70" s="157">
        <f t="shared" si="39"/>
        <v>0</v>
      </c>
      <c r="U70" s="157">
        <v>1</v>
      </c>
      <c r="V70" s="157">
        <f t="shared" si="40"/>
        <v>0</v>
      </c>
      <c r="X70" s="157">
        <f t="shared" si="41"/>
        <v>0</v>
      </c>
      <c r="Y70" s="157">
        <f t="shared" si="42"/>
        <v>0</v>
      </c>
      <c r="Z70" s="157">
        <v>1</v>
      </c>
      <c r="AA70" s="157">
        <f t="shared" si="43"/>
        <v>0</v>
      </c>
      <c r="AB70" s="157">
        <f t="shared" si="44"/>
        <v>0</v>
      </c>
      <c r="AC70" s="157">
        <f t="shared" si="45"/>
        <v>163168.39000000001</v>
      </c>
      <c r="AD70" s="157">
        <f t="shared" si="46"/>
        <v>2015.3333333333333</v>
      </c>
      <c r="AE70" s="157">
        <v>2013</v>
      </c>
      <c r="AF70" s="157">
        <f t="shared" si="47"/>
        <v>2022.3333333333333</v>
      </c>
      <c r="AG70" s="157">
        <v>2012</v>
      </c>
      <c r="AH70" s="157">
        <f t="shared" si="48"/>
        <v>-8.3333333333333329E-2</v>
      </c>
    </row>
    <row r="72" spans="1:34" ht="13.5" thickBot="1">
      <c r="D72" s="156" t="s">
        <v>611</v>
      </c>
      <c r="N72" s="157">
        <f>SUM(N65:N71)</f>
        <v>1133832.75</v>
      </c>
      <c r="P72" s="157">
        <f>SUM(P65:P71)</f>
        <v>934445.40980000002</v>
      </c>
      <c r="Q72" s="157">
        <f>SUM(Q65:Q71)</f>
        <v>10828.113244285716</v>
      </c>
      <c r="R72" s="157">
        <f>SUM(R65:R71)</f>
        <v>27391.302000000003</v>
      </c>
      <c r="V72" s="157">
        <f>SUM(V65:V71)</f>
        <v>27391.302000000003</v>
      </c>
      <c r="AA72" s="157">
        <f>SUM(AA65:AA71)</f>
        <v>297056.4152999979</v>
      </c>
      <c r="AB72" s="157">
        <f>SUM(AB65:AB71)</f>
        <v>324447.71729999792</v>
      </c>
      <c r="AC72" s="157">
        <f>SUM(AC65:AC71)</f>
        <v>500323.96870000212</v>
      </c>
    </row>
    <row r="74" spans="1:34" ht="13.5" thickBot="1">
      <c r="D74" s="156" t="s">
        <v>612</v>
      </c>
      <c r="N74" s="157">
        <f>N33+N42+N62+N72+N48</f>
        <v>4988400.8100000005</v>
      </c>
      <c r="O74" s="157">
        <f>O33+O42+O62+O72+O48</f>
        <v>0</v>
      </c>
      <c r="P74" s="157">
        <f>P33+P42+P62+P72+P48</f>
        <v>4145219.9638</v>
      </c>
      <c r="Q74" s="157">
        <f>Q33+Q42+Q62+Q72+Q48</f>
        <v>48129.315030793659</v>
      </c>
      <c r="R74" s="157">
        <f>R33+R42+R62+R72+R48</f>
        <v>227805.30471825434</v>
      </c>
      <c r="V74" s="157">
        <f>V33+V42+V62+V72+V48</f>
        <v>113243.97436904683</v>
      </c>
      <c r="AA74" s="157">
        <f>AA33+AA42+AA62+AA72+AA48</f>
        <v>2277516.1630460201</v>
      </c>
      <c r="AB74" s="157">
        <f>AB33+AB42+AB62+AB72+AB48</f>
        <v>2505321.4677642742</v>
      </c>
      <c r="AC74" s="157">
        <f>AC33+AC42+AC62+AC72+AC48</f>
        <v>1989046.8445948528</v>
      </c>
    </row>
    <row r="75" spans="1:34" ht="13.5" thickTop="1"/>
  </sheetData>
  <pageMargins left="0.75" right="0.75" top="1" bottom="1" header="0.5" footer="0.5"/>
  <pageSetup scale="50" orientation="landscape"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J33"/>
  <sheetViews>
    <sheetView tabSelected="1" workbookViewId="0">
      <selection activeCell="H4" sqref="H4:H6"/>
    </sheetView>
  </sheetViews>
  <sheetFormatPr defaultColWidth="8.88671875" defaultRowHeight="12.75"/>
  <cols>
    <col min="1" max="1" width="6.88671875" style="156" bestFit="1" customWidth="1"/>
    <col min="2" max="2" width="1.33203125" style="156" customWidth="1"/>
    <col min="3" max="3" width="3.109375" style="156" customWidth="1"/>
    <col min="4" max="4" width="23.77734375" style="156" customWidth="1"/>
    <col min="5" max="5" width="5.88671875" style="156" bestFit="1" customWidth="1"/>
    <col min="6" max="6" width="2.6640625" style="156" bestFit="1" customWidth="1"/>
    <col min="7" max="7" width="5.77734375" style="156" bestFit="1" customWidth="1"/>
    <col min="8" max="8" width="1.77734375" style="156" customWidth="1"/>
    <col min="9" max="9" width="5.44140625" style="156" bestFit="1" customWidth="1"/>
    <col min="10" max="10" width="4.44140625" style="156" bestFit="1" customWidth="1"/>
    <col min="11" max="11" width="4.21875" style="156" bestFit="1" customWidth="1"/>
    <col min="12" max="12" width="4.44140625" style="156" customWidth="1"/>
    <col min="13" max="13" width="3.109375" style="156" customWidth="1"/>
    <col min="14" max="14" width="8.5546875" style="157" customWidth="1"/>
    <col min="15" max="15" width="5.21875" style="157" customWidth="1"/>
    <col min="16" max="16" width="7.77734375" style="157" bestFit="1" customWidth="1"/>
    <col min="17" max="17" width="6.44140625" style="157" customWidth="1"/>
    <col min="18" max="18" width="6.109375" style="157" customWidth="1"/>
    <col min="19" max="19" width="5.21875" style="157" customWidth="1"/>
    <col min="20" max="20" width="7" style="157" bestFit="1" customWidth="1"/>
    <col min="21" max="21" width="4.5546875" style="157" customWidth="1"/>
    <col min="22" max="22" width="7" style="157" bestFit="1" customWidth="1"/>
    <col min="23" max="23" width="1.5546875" style="157" customWidth="1"/>
    <col min="24" max="24" width="7.88671875" style="157" bestFit="1" customWidth="1"/>
    <col min="25" max="25" width="8.109375" style="157" bestFit="1" customWidth="1"/>
    <col min="26" max="26" width="4.5546875" style="157" customWidth="1"/>
    <col min="27" max="27" width="7.88671875" style="157" bestFit="1" customWidth="1"/>
    <col min="28" max="29" width="8.109375" style="157" bestFit="1" customWidth="1"/>
    <col min="30" max="30" width="7" style="157" bestFit="1" customWidth="1"/>
    <col min="31" max="31" width="7.77734375" style="157" bestFit="1" customWidth="1"/>
    <col min="32" max="32" width="7.5546875" style="157" customWidth="1"/>
    <col min="33" max="33" width="7" style="157" bestFit="1" customWidth="1"/>
    <col min="34" max="34" width="4.77734375" style="157" bestFit="1" customWidth="1"/>
    <col min="35" max="36" width="8.88671875" style="157"/>
    <col min="37" max="16384" width="8.88671875" style="156"/>
  </cols>
  <sheetData>
    <row r="1" spans="1:34">
      <c r="D1" s="156" t="s">
        <v>606</v>
      </c>
      <c r="N1" s="157" t="s">
        <v>255</v>
      </c>
      <c r="AE1" s="157">
        <f>[13]Summary!F5</f>
        <v>42370</v>
      </c>
    </row>
    <row r="2" spans="1:34">
      <c r="D2" s="156" t="s">
        <v>0</v>
      </c>
      <c r="N2" s="157" t="s">
        <v>252</v>
      </c>
      <c r="P2" s="157">
        <f>+'2131 Trks - Orig'!P2</f>
        <v>12</v>
      </c>
      <c r="Q2" s="157" t="s">
        <v>1</v>
      </c>
    </row>
    <row r="3" spans="1:34">
      <c r="D3" s="159">
        <f>[13]Summary!H5</f>
        <v>42735</v>
      </c>
      <c r="N3" s="157" t="s">
        <v>253</v>
      </c>
      <c r="P3" s="157">
        <f>+'2131 Trks - Orig'!P3</f>
        <v>0</v>
      </c>
      <c r="Q3" s="157" t="s">
        <v>3</v>
      </c>
      <c r="AE3" s="157" t="s">
        <v>4</v>
      </c>
      <c r="AF3" s="157" t="s">
        <v>5</v>
      </c>
    </row>
    <row r="4" spans="1:34">
      <c r="N4" s="157" t="s">
        <v>254</v>
      </c>
      <c r="P4" s="157">
        <f>+'2131 Trks - Orig'!P4</f>
        <v>2016</v>
      </c>
      <c r="Q4" s="157" t="s">
        <v>6</v>
      </c>
      <c r="AE4" s="157" t="s">
        <v>7</v>
      </c>
      <c r="AF4" s="157" t="s">
        <v>8</v>
      </c>
    </row>
    <row r="5" spans="1:34">
      <c r="P5" s="157">
        <f>+'2131 Trks - Orig'!P5</f>
        <v>2017</v>
      </c>
      <c r="Q5" s="157" t="s">
        <v>11</v>
      </c>
      <c r="AE5" s="157" t="s">
        <v>12</v>
      </c>
      <c r="AF5" s="157" t="s">
        <v>13</v>
      </c>
    </row>
    <row r="6" spans="1:34">
      <c r="AE6" s="157" t="s">
        <v>15</v>
      </c>
      <c r="AF6" s="157" t="s">
        <v>16</v>
      </c>
    </row>
    <row r="7" spans="1:34">
      <c r="AE7" s="157" t="s">
        <v>20</v>
      </c>
      <c r="AF7" s="157" t="s">
        <v>21</v>
      </c>
    </row>
    <row r="8" spans="1:34">
      <c r="S8" s="157" t="s">
        <v>25</v>
      </c>
      <c r="V8" s="157" t="s">
        <v>17</v>
      </c>
      <c r="X8" s="157" t="s">
        <v>18</v>
      </c>
      <c r="Y8" s="157" t="s">
        <v>118</v>
      </c>
      <c r="AA8" s="157" t="s">
        <v>19</v>
      </c>
      <c r="AB8" s="157" t="s">
        <v>19</v>
      </c>
    </row>
    <row r="9" spans="1:34">
      <c r="C9" s="156" t="s">
        <v>57</v>
      </c>
      <c r="E9" s="156" t="s">
        <v>59</v>
      </c>
      <c r="G9" s="156" t="s">
        <v>23</v>
      </c>
      <c r="I9" s="156" t="s">
        <v>57</v>
      </c>
      <c r="K9" s="156" t="s">
        <v>24</v>
      </c>
      <c r="L9" s="156" t="s">
        <v>57</v>
      </c>
      <c r="N9" s="157" t="s">
        <v>57</v>
      </c>
      <c r="O9" s="157" t="s">
        <v>31</v>
      </c>
      <c r="P9" s="157" t="s">
        <v>57</v>
      </c>
      <c r="R9" s="157" t="s">
        <v>68</v>
      </c>
      <c r="S9" s="157" t="s">
        <v>24</v>
      </c>
      <c r="T9" s="157" t="s">
        <v>17</v>
      </c>
      <c r="U9" s="157" t="s">
        <v>34</v>
      </c>
      <c r="V9" s="157" t="s">
        <v>19</v>
      </c>
      <c r="X9" s="157" t="s">
        <v>117</v>
      </c>
      <c r="Y9" s="157" t="s">
        <v>117</v>
      </c>
      <c r="Z9" s="157" t="s">
        <v>27</v>
      </c>
      <c r="AA9" s="157" t="s">
        <v>28</v>
      </c>
      <c r="AB9" s="157" t="s">
        <v>28</v>
      </c>
      <c r="AC9" s="157" t="s">
        <v>38</v>
      </c>
    </row>
    <row r="10" spans="1:34">
      <c r="E10" s="156" t="s">
        <v>61</v>
      </c>
      <c r="G10" s="156" t="s">
        <v>29</v>
      </c>
      <c r="I10" s="156" t="s">
        <v>30</v>
      </c>
      <c r="J10" s="156" t="s">
        <v>64</v>
      </c>
      <c r="K10" s="156" t="s">
        <v>65</v>
      </c>
      <c r="L10" s="156" t="s">
        <v>31</v>
      </c>
      <c r="M10" s="156" t="s">
        <v>41</v>
      </c>
      <c r="N10" s="157" t="s">
        <v>31</v>
      </c>
      <c r="O10" s="157" t="s">
        <v>25</v>
      </c>
      <c r="P10" s="157" t="s">
        <v>67</v>
      </c>
      <c r="Q10" s="157" t="s">
        <v>69</v>
      </c>
      <c r="R10" s="157" t="s">
        <v>24</v>
      </c>
      <c r="S10" s="157" t="s">
        <v>43</v>
      </c>
      <c r="T10" s="157" t="s">
        <v>33</v>
      </c>
      <c r="U10" s="157" t="s">
        <v>36</v>
      </c>
      <c r="V10" s="157" t="s">
        <v>32</v>
      </c>
      <c r="X10" s="157" t="s">
        <v>67</v>
      </c>
      <c r="Y10" s="157" t="s">
        <v>67</v>
      </c>
      <c r="Z10" s="157" t="s">
        <v>36</v>
      </c>
      <c r="AA10" s="157" t="s">
        <v>37</v>
      </c>
      <c r="AB10" s="157" t="s">
        <v>37</v>
      </c>
      <c r="AC10" s="157" t="s">
        <v>45</v>
      </c>
      <c r="AD10" s="157" t="s">
        <v>4</v>
      </c>
      <c r="AE10" s="157" t="s">
        <v>46</v>
      </c>
      <c r="AF10" s="157" t="s">
        <v>47</v>
      </c>
      <c r="AG10" s="157" t="s">
        <v>15</v>
      </c>
      <c r="AH10" s="157" t="s">
        <v>20</v>
      </c>
    </row>
    <row r="11" spans="1:34">
      <c r="A11" s="156" t="s">
        <v>53</v>
      </c>
      <c r="C11" s="156" t="s">
        <v>62</v>
      </c>
      <c r="D11" s="156" t="s">
        <v>63</v>
      </c>
      <c r="E11" s="156" t="s">
        <v>24</v>
      </c>
      <c r="F11" s="156" t="s">
        <v>39</v>
      </c>
      <c r="G11" s="156" t="s">
        <v>34</v>
      </c>
      <c r="H11" s="156" t="s">
        <v>49</v>
      </c>
      <c r="I11" s="156" t="s">
        <v>40</v>
      </c>
      <c r="J11" s="156" t="s">
        <v>66</v>
      </c>
      <c r="K11" s="156" t="s">
        <v>67</v>
      </c>
      <c r="L11" s="156" t="s">
        <v>42</v>
      </c>
      <c r="M11" s="156" t="s">
        <v>49</v>
      </c>
      <c r="N11" s="157" t="s">
        <v>42</v>
      </c>
      <c r="O11" s="157" t="s">
        <v>49</v>
      </c>
      <c r="P11" s="157" t="s">
        <v>42</v>
      </c>
      <c r="Q11" s="157" t="s">
        <v>67</v>
      </c>
      <c r="R11" s="157" t="s">
        <v>67</v>
      </c>
      <c r="S11" s="157" t="s">
        <v>49</v>
      </c>
      <c r="T11" s="157" t="s">
        <v>44</v>
      </c>
      <c r="U11" s="157" t="s">
        <v>49</v>
      </c>
      <c r="V11" s="157" t="s">
        <v>37</v>
      </c>
      <c r="X11" s="158">
        <f>AE1</f>
        <v>42370</v>
      </c>
      <c r="Y11" s="158">
        <f>+D3</f>
        <v>42735</v>
      </c>
      <c r="Z11" s="158" t="s">
        <v>34</v>
      </c>
      <c r="AA11" s="158">
        <f>+X11</f>
        <v>42370</v>
      </c>
      <c r="AB11" s="158">
        <f>+D3</f>
        <v>42735</v>
      </c>
      <c r="AC11" s="158">
        <f>AB11</f>
        <v>42735</v>
      </c>
    </row>
    <row r="13" spans="1:34">
      <c r="D13" s="156" t="s">
        <v>613</v>
      </c>
    </row>
    <row r="14" spans="1:34">
      <c r="A14" s="156">
        <v>102216</v>
      </c>
      <c r="C14" s="156">
        <v>12</v>
      </c>
      <c r="D14" s="156" t="s">
        <v>477</v>
      </c>
      <c r="E14" s="156">
        <v>2011</v>
      </c>
      <c r="F14" s="156">
        <v>12</v>
      </c>
      <c r="G14" s="156">
        <v>0.33</v>
      </c>
      <c r="I14" s="156" t="s">
        <v>52</v>
      </c>
      <c r="J14" s="156">
        <v>5</v>
      </c>
      <c r="K14" s="156">
        <f>E14+J14</f>
        <v>2016</v>
      </c>
      <c r="N14" s="157">
        <f>19878.1*[14]May!$B$121</f>
        <v>5387.5224299065412</v>
      </c>
      <c r="P14" s="157">
        <f>N14-N14*G14</f>
        <v>3609.6400280373828</v>
      </c>
      <c r="Q14" s="157">
        <f>P14/J14/12</f>
        <v>60.160667133956373</v>
      </c>
      <c r="R14" s="157">
        <f>IF(O14&gt;0,0,IF(OR(AD14&gt;AE14,AF14&lt;AG14),0,IF(AND(AF14&gt;=AG14,AF14&lt;=AE14),Q14*((AF14-AG14)*12),IF(AND(AG14&lt;=AD14,AE14&gt;=AD14),((AE14-AD14)*12)*Q14,IF(AF14&gt;AE14,12*Q14,0)))))</f>
        <v>721.92800560747651</v>
      </c>
      <c r="T14" s="157">
        <f>IF(S14&gt;0,S14,R14)</f>
        <v>721.92800560747651</v>
      </c>
      <c r="U14" s="157">
        <v>1</v>
      </c>
      <c r="V14" s="157">
        <f>U14*SUM(R14:S14)</f>
        <v>721.92800560747651</v>
      </c>
      <c r="X14" s="157">
        <f>IF(AD14&gt;AE14,0,IF(AF14&lt;AG14,P14,IF(AND(AF14&gt;=AG14,AF14&lt;=AE14),(P14-T14),IF(AND(AG14&lt;=AD14,AE14&gt;=AD14),0,IF(AF14&gt;AE14,((AG14-AD14)*12)*Q14,0)))))</f>
        <v>60.160667133901654</v>
      </c>
      <c r="Y14" s="157">
        <f>X14*U14</f>
        <v>60.160667133901654</v>
      </c>
      <c r="Z14" s="157">
        <v>1</v>
      </c>
      <c r="AA14" s="157">
        <f>Y14*Z14</f>
        <v>60.160667133901654</v>
      </c>
      <c r="AB14" s="157">
        <f>IF(O14&gt;0,0,AA14+V14*Z14)*Z14</f>
        <v>782.0886727413781</v>
      </c>
      <c r="AC14" s="157">
        <f>IF(O14&gt;0,(N14-AA14)/2,IF(AD14&gt;=AG14,(((N14*U14)*Z14)-AB14)/2,((((N14*U14)*Z14)-AA14)+(((N14*U14)*Z14)-AB14))/2))</f>
        <v>4966.3977599689015</v>
      </c>
      <c r="AD14" s="157">
        <f>$E14+(($F14-1)/12)</f>
        <v>2011.9166666666667</v>
      </c>
      <c r="AE14" s="157">
        <v>2013</v>
      </c>
      <c r="AF14" s="157">
        <f>$K14+(($F14-1)/12)</f>
        <v>2016.9166666666667</v>
      </c>
      <c r="AG14" s="157">
        <v>2012</v>
      </c>
      <c r="AH14" s="157">
        <f>$L14+(($M14-1)/12)</f>
        <v>-8.3333333333333329E-2</v>
      </c>
    </row>
    <row r="15" spans="1:34">
      <c r="A15" s="156">
        <v>126584</v>
      </c>
      <c r="C15" s="156">
        <v>2</v>
      </c>
      <c r="D15" s="156" t="s">
        <v>478</v>
      </c>
      <c r="E15" s="156">
        <v>2015</v>
      </c>
      <c r="F15" s="156">
        <v>10</v>
      </c>
      <c r="G15" s="156">
        <v>0.33</v>
      </c>
      <c r="I15" s="156" t="s">
        <v>52</v>
      </c>
      <c r="J15" s="156">
        <v>5</v>
      </c>
      <c r="K15" s="156">
        <f>E15+J15</f>
        <v>2020</v>
      </c>
      <c r="N15" s="157">
        <v>29424</v>
      </c>
      <c r="P15" s="157">
        <f>N15-N15*G15</f>
        <v>19714.080000000002</v>
      </c>
      <c r="Q15" s="157">
        <f>P15/J15/12</f>
        <v>328.56800000000004</v>
      </c>
      <c r="R15" s="157">
        <f>IF(O15&gt;0,0,IF(OR(AD15&gt;AE15,AF15&lt;AG15),0,IF(AND(AF15&gt;=AG15,AF15&lt;=AE15),Q15*((AF15-AG15)*12),IF(AND(AG15&lt;=AD15,AE15&gt;=AD15),((AE15-AD15)*12)*Q15,IF(AF15&gt;AE15,12*Q15,0)))))</f>
        <v>0</v>
      </c>
      <c r="T15" s="157">
        <f>IF(S15&gt;0,S15,R15)</f>
        <v>0</v>
      </c>
      <c r="U15" s="157">
        <v>1</v>
      </c>
      <c r="V15" s="157">
        <f>U15*SUM(R15:S15)</f>
        <v>0</v>
      </c>
      <c r="X15" s="157">
        <f>IF(AD15&gt;AE15,0,IF(AF15&lt;AG15,P15,IF(AND(AF15&gt;=AG15,AF15&lt;=AE15),(P15-T15),IF(AND(AG15&lt;=AD15,AE15&gt;=AD15),0,IF(AF15&gt;AE15,((AG15-AD15)*12)*Q15,0)))))</f>
        <v>0</v>
      </c>
      <c r="Y15" s="157">
        <f>X15*U15</f>
        <v>0</v>
      </c>
      <c r="Z15" s="157">
        <v>1</v>
      </c>
      <c r="AA15" s="157">
        <f>Y15*Z15</f>
        <v>0</v>
      </c>
      <c r="AB15" s="157">
        <f>IF(O15&gt;0,0,AA15+V15*Z15)*Z15</f>
        <v>0</v>
      </c>
      <c r="AC15" s="157">
        <f>IF(O15&gt;0,(N15-AA15)/2,IF(AD15&gt;=AG15,(((N15*U15)*Z15)-AB15)/2,((((N15*U15)*Z15)-AA15)+(((N15*U15)*Z15)-AB15))/2))</f>
        <v>14712</v>
      </c>
      <c r="AD15" s="157">
        <f>$E15+(($F15-1)/12)</f>
        <v>2015.75</v>
      </c>
      <c r="AE15" s="157">
        <v>2013</v>
      </c>
      <c r="AF15" s="157">
        <f>$K15+(($F15-1)/12)</f>
        <v>2020.75</v>
      </c>
      <c r="AG15" s="157">
        <v>2012</v>
      </c>
      <c r="AH15" s="157">
        <f>$L15+(($M15-1)/12)</f>
        <v>-8.3333333333333329E-2</v>
      </c>
    </row>
    <row r="17" spans="1:34" ht="13.5" thickBot="1">
      <c r="D17" s="156" t="s">
        <v>614</v>
      </c>
      <c r="N17" s="157">
        <f>SUM(N14:N16)</f>
        <v>34811.522429906545</v>
      </c>
      <c r="P17" s="157">
        <f>SUM(P14:P16)</f>
        <v>23323.720028037384</v>
      </c>
      <c r="Q17" s="157">
        <f>SUM(Q14:Q16)</f>
        <v>388.72866713395644</v>
      </c>
      <c r="R17" s="157">
        <f>SUM(R14:R16)</f>
        <v>721.92800560747651</v>
      </c>
      <c r="T17" s="157">
        <f>SUM(T14:T16)</f>
        <v>721.92800560747651</v>
      </c>
      <c r="V17" s="157">
        <f>SUM(V14:V16)</f>
        <v>721.92800560747651</v>
      </c>
      <c r="X17" s="157">
        <f>SUM(X14:X16)</f>
        <v>60.160667133901654</v>
      </c>
      <c r="Y17" s="157">
        <f>SUM(Y14:Y16)</f>
        <v>60.160667133901654</v>
      </c>
      <c r="AA17" s="157">
        <f>SUM(AA14:AA16)</f>
        <v>60.160667133901654</v>
      </c>
      <c r="AB17" s="157">
        <f>SUM(AB14:AB16)</f>
        <v>782.0886727413781</v>
      </c>
      <c r="AC17" s="157">
        <f>SUM(AC14:AC16)</f>
        <v>19678.397759968902</v>
      </c>
    </row>
    <row r="19" spans="1:34">
      <c r="D19" s="156" t="s">
        <v>615</v>
      </c>
    </row>
    <row r="20" spans="1:34">
      <c r="A20" s="156" t="s">
        <v>479</v>
      </c>
      <c r="D20" s="156" t="s">
        <v>480</v>
      </c>
      <c r="E20" s="156">
        <v>1997</v>
      </c>
      <c r="F20" s="156">
        <v>8</v>
      </c>
      <c r="G20" s="156">
        <v>0</v>
      </c>
      <c r="I20" s="156" t="s">
        <v>52</v>
      </c>
      <c r="J20" s="156">
        <v>7</v>
      </c>
      <c r="K20" s="156">
        <f>E20+J20</f>
        <v>2004</v>
      </c>
      <c r="N20" s="157">
        <v>4119.2</v>
      </c>
      <c r="P20" s="157">
        <f>N20-N20*G20</f>
        <v>4119.2</v>
      </c>
      <c r="Q20" s="157">
        <f>P20/J20/12</f>
        <v>49.038095238095231</v>
      </c>
      <c r="R20" s="157">
        <f>IF(O20&gt;0,0,IF(OR(AD20&gt;AE20,AF20&lt;AG20),0,IF(AND(AF20&gt;=AG20,AF20&lt;=AE20),Q20*((AF20-AG20)*12),IF(AND(AG20&lt;=AD20,AE20&gt;=AD20),((AE20-AD20)*12)*Q20,IF(AF20&gt;AE20,12*Q20,0)))))</f>
        <v>0</v>
      </c>
      <c r="T20" s="157">
        <f>IF(S20&gt;0,S20,R20)</f>
        <v>0</v>
      </c>
      <c r="U20" s="157">
        <v>1</v>
      </c>
      <c r="V20" s="157">
        <f>U20*SUM(R20:S20)</f>
        <v>0</v>
      </c>
      <c r="X20" s="157">
        <f>IF(AD20&gt;AE20,0,IF(AF20&lt;AG20,P20,IF(AND(AF20&gt;=AG20,AF20&lt;=AE20),(P20-T20),IF(AND(AG20&lt;=AD20,AE20&gt;=AD20),0,IF(AF20&gt;AE20,((AG20-AD20)*12)*Q20,0)))))</f>
        <v>4119.2</v>
      </c>
      <c r="Y20" s="157">
        <f>X20*U20</f>
        <v>4119.2</v>
      </c>
      <c r="Z20" s="157">
        <v>1</v>
      </c>
      <c r="AA20" s="157">
        <f>Y20*Z20</f>
        <v>4119.2</v>
      </c>
      <c r="AB20" s="157">
        <f>IF(O20&gt;0,0,AA20+V20*Z20)*Z20</f>
        <v>4119.2</v>
      </c>
      <c r="AC20" s="157">
        <f>IF(O20&gt;0,(N20-AA20)/2,IF(AD20&gt;=AG20,(((N20*U20)*Z20)-AB20)/2,((((N20*U20)*Z20)-AA20)+(((N20*U20)*Z20)-AB20))/2))</f>
        <v>0</v>
      </c>
      <c r="AD20" s="157">
        <f>$E20+(($F20-1)/12)</f>
        <v>1997.5833333333333</v>
      </c>
      <c r="AE20" s="157">
        <f>($P$5+1)-($P$2/12)</f>
        <v>2017</v>
      </c>
      <c r="AF20" s="157">
        <f>$K20+(($F20-1)/12)</f>
        <v>2004.5833333333333</v>
      </c>
      <c r="AG20" s="157">
        <f>$P$4+($P$3/12)</f>
        <v>2016</v>
      </c>
      <c r="AH20" s="157">
        <f>$L20+(($M20-1)/12)</f>
        <v>-8.3333333333333329E-2</v>
      </c>
    </row>
    <row r="21" spans="1:34">
      <c r="A21" s="156">
        <v>102174</v>
      </c>
      <c r="C21" s="156">
        <v>48</v>
      </c>
      <c r="D21" s="156" t="s">
        <v>481</v>
      </c>
      <c r="E21" s="156">
        <v>2010</v>
      </c>
      <c r="F21" s="156">
        <v>7</v>
      </c>
      <c r="G21" s="156">
        <v>0.2</v>
      </c>
      <c r="I21" s="156" t="s">
        <v>52</v>
      </c>
      <c r="J21" s="156">
        <v>7</v>
      </c>
      <c r="K21" s="156">
        <f>E21+J21</f>
        <v>2017</v>
      </c>
      <c r="N21" s="157">
        <f>33819</f>
        <v>33819</v>
      </c>
      <c r="P21" s="157">
        <f>N21-N21*G21</f>
        <v>27055.200000000001</v>
      </c>
      <c r="Q21" s="157">
        <f>P21/J21/12</f>
        <v>322.08571428571429</v>
      </c>
      <c r="R21" s="157">
        <f>IF(O21&gt;0,0,IF(OR(AD21&gt;AE21,AF21&lt;AG21),0,IF(AND(AF21&gt;=AG21,AF21&lt;=AE21),Q21*((AF21-AG21)*12),IF(AND(AG21&lt;=AD21,AE21&gt;=AD21),((AE21-AD21)*12)*Q21,IF(AF21&gt;AE21,12*Q21,0)))))</f>
        <v>3865.0285714285715</v>
      </c>
      <c r="T21" s="157">
        <f>IF(S21&gt;0,S21,R21)</f>
        <v>3865.0285714285715</v>
      </c>
      <c r="U21" s="157">
        <v>1</v>
      </c>
      <c r="V21" s="157">
        <f>U21*SUM(R21:S21)</f>
        <v>3865.0285714285715</v>
      </c>
      <c r="X21" s="157">
        <f>IF(AD21&gt;AE21,0,IF(AF21&lt;AG21,P21,IF(AND(AF21&gt;=AG21,AF21&lt;=AE21),(P21-T21),IF(AND(AG21&lt;=AD21,AE21&gt;=AD21),0,IF(AF21&gt;AE21,((AG21-AD21)*12)*Q21,0)))))</f>
        <v>5797.5428571428574</v>
      </c>
      <c r="Y21" s="157">
        <f>X21*U21</f>
        <v>5797.5428571428574</v>
      </c>
      <c r="Z21" s="157">
        <v>1</v>
      </c>
      <c r="AA21" s="157">
        <f>Y21*Z21</f>
        <v>5797.5428571428574</v>
      </c>
      <c r="AB21" s="157">
        <f>IF(O21&gt;0,0,AA21+V21*Z21)*Z21</f>
        <v>9662.5714285714294</v>
      </c>
      <c r="AC21" s="157">
        <f>IF(O21&gt;0,(N21-AA21)/2,IF(AD21&gt;=AG21,(((N21*U21)*Z21)-AB21)/2,((((N21*U21)*Z21)-AA21)+(((N21*U21)*Z21)-AB21))/2))</f>
        <v>26088.942857142858</v>
      </c>
      <c r="AD21" s="157">
        <f>$E21+(($F21-1)/12)</f>
        <v>2010.5</v>
      </c>
      <c r="AE21" s="157">
        <v>2013</v>
      </c>
      <c r="AF21" s="157">
        <f>$K21+(($F21-1)/12)</f>
        <v>2017.5</v>
      </c>
      <c r="AG21" s="157">
        <v>2012</v>
      </c>
      <c r="AH21" s="157">
        <f>$L21+(($M21-1)/12)</f>
        <v>-8.3333333333333329E-2</v>
      </c>
    </row>
    <row r="22" spans="1:34">
      <c r="A22" s="156">
        <v>93780</v>
      </c>
      <c r="C22" s="156" t="s">
        <v>482</v>
      </c>
      <c r="D22" s="156" t="s">
        <v>483</v>
      </c>
      <c r="E22" s="156">
        <v>2012</v>
      </c>
      <c r="F22" s="156">
        <v>5</v>
      </c>
      <c r="G22" s="156">
        <v>0</v>
      </c>
      <c r="I22" s="156" t="s">
        <v>52</v>
      </c>
      <c r="J22" s="156">
        <v>7</v>
      </c>
      <c r="K22" s="156">
        <f>E22+J22</f>
        <v>2019</v>
      </c>
      <c r="N22" s="157">
        <f>26700</f>
        <v>26700</v>
      </c>
      <c r="P22" s="157">
        <f>N22-N22*G22</f>
        <v>26700</v>
      </c>
      <c r="Q22" s="157">
        <f>P22/J22/12</f>
        <v>317.85714285714283</v>
      </c>
      <c r="R22" s="157">
        <f>IF(O22&gt;0,0,IF(OR(AD22&gt;AE22,AF22&lt;AG22),0,IF(AND(AF22&gt;=AG22,AF22&lt;=AE22),Q22*((AF22-AG22)*12),IF(AND(AG22&lt;=AD22,AE22&gt;=AD22),((AE22-AD22)*12)*Q22,IF(AF22&gt;AE22,12*Q22,0)))))</f>
        <v>3814.2857142857138</v>
      </c>
      <c r="T22" s="157">
        <f>IF(S22&gt;0,S22,R22)</f>
        <v>3814.2857142857138</v>
      </c>
      <c r="U22" s="157">
        <v>1</v>
      </c>
      <c r="V22" s="157">
        <f>U22*SUM(R22:S22)</f>
        <v>3814.2857142857138</v>
      </c>
      <c r="X22" s="157">
        <f>IF(AD22&gt;AE22,0,IF(AF22&lt;AG22,P22,IF(AND(AF22&gt;=AG22,AF22&lt;=AE22),(P22-T22),IF(AND(AG22&lt;=AD22,AE22&gt;=AD22),0,IF(AF22&gt;AE22,((AG22-AD22)*12)*Q22,0)))))</f>
        <v>13985.714285714574</v>
      </c>
      <c r="Y22" s="157">
        <f>X22*U22</f>
        <v>13985.714285714574</v>
      </c>
      <c r="Z22" s="157">
        <v>1</v>
      </c>
      <c r="AA22" s="157">
        <f>Y22*Z22</f>
        <v>13985.714285714574</v>
      </c>
      <c r="AB22" s="157">
        <f>IF(O22&gt;0,0,AA22+V22*Z22)*Z22</f>
        <v>17800.000000000287</v>
      </c>
      <c r="AC22" s="157">
        <f>IF(O22&gt;0,(N22-AA22)/2,IF(AD22&gt;=AG22,(((N22*U22)*Z22)-AB22)/2,((((N22*U22)*Z22)-AA22)+(((N22*U22)*Z22)-AB22))/2))</f>
        <v>10807.142857142569</v>
      </c>
      <c r="AD22" s="157">
        <f>$E22+(($F22-1)/12)</f>
        <v>2012.3333333333333</v>
      </c>
      <c r="AE22" s="157">
        <f>($P$5+1)-($P$2/12)</f>
        <v>2017</v>
      </c>
      <c r="AF22" s="157">
        <f>$K22+(($F22-1)/12)</f>
        <v>2019.3333333333333</v>
      </c>
      <c r="AG22" s="157">
        <f>$P$4+($P$3/12)</f>
        <v>2016</v>
      </c>
      <c r="AH22" s="157">
        <f>$L22+(($M22-1)/12)</f>
        <v>-8.3333333333333329E-2</v>
      </c>
    </row>
    <row r="24" spans="1:34" ht="13.5" thickBot="1">
      <c r="D24" s="156" t="s">
        <v>616</v>
      </c>
      <c r="N24" s="157">
        <f>SUM(N20:N23)</f>
        <v>64638.2</v>
      </c>
      <c r="P24" s="157">
        <f>SUM(P20:P23)</f>
        <v>57874.400000000001</v>
      </c>
      <c r="Q24" s="157">
        <f>SUM(Q20:Q23)</f>
        <v>688.98095238095243</v>
      </c>
      <c r="R24" s="157">
        <f>SUM(R20:R23)</f>
        <v>7679.3142857142848</v>
      </c>
      <c r="T24" s="157">
        <f>SUM(T20:T23)</f>
        <v>7679.3142857142848</v>
      </c>
      <c r="V24" s="157">
        <f>SUM(V20:V23)</f>
        <v>7679.3142857142848</v>
      </c>
      <c r="AA24" s="157">
        <f>SUM(AA20:AA23)</f>
        <v>23902.457142857431</v>
      </c>
      <c r="AB24" s="157">
        <f>SUM(AB20:AB23)</f>
        <v>31581.771428571716</v>
      </c>
      <c r="AC24" s="157">
        <f>SUM(AC20:AC23)</f>
        <v>36896.085714285429</v>
      </c>
    </row>
    <row r="26" spans="1:34">
      <c r="D26" s="156" t="s">
        <v>617</v>
      </c>
    </row>
    <row r="27" spans="1:34">
      <c r="D27" s="156" t="s">
        <v>57</v>
      </c>
      <c r="E27" s="156" t="s">
        <v>57</v>
      </c>
    </row>
    <row r="28" spans="1:34">
      <c r="D28" s="156" t="s">
        <v>484</v>
      </c>
      <c r="E28" s="156">
        <v>2010</v>
      </c>
      <c r="F28" s="156">
        <v>12</v>
      </c>
      <c r="I28" s="156" t="s">
        <v>52</v>
      </c>
      <c r="J28" s="156">
        <v>5</v>
      </c>
      <c r="K28" s="156">
        <f>E28+J28</f>
        <v>2015</v>
      </c>
      <c r="N28" s="157">
        <v>875</v>
      </c>
      <c r="P28" s="157">
        <f>N28-N28*G28</f>
        <v>875</v>
      </c>
      <c r="Q28" s="157">
        <f>P28/J28/12</f>
        <v>14.583333333333334</v>
      </c>
      <c r="R28" s="157">
        <f>IF(O28&gt;0,0,IF(OR(AD28&gt;AE28,AF28&lt;AG28),0,IF(AND(AF28&gt;=AG28,AF28&lt;=AE28),Q28*((AF28-AG28)*12),IF(AND(AG28&lt;=AD28,AE28&gt;=AD28),((AE28-AD28)*12)*Q28,IF(AF28&gt;AE28,12*Q28,0)))))</f>
        <v>0</v>
      </c>
      <c r="T28" s="157">
        <f>IF(S28&gt;0,S28,R28)</f>
        <v>0</v>
      </c>
      <c r="U28" s="157">
        <v>1</v>
      </c>
      <c r="V28" s="157">
        <f>U28*SUM(R28:S28)</f>
        <v>0</v>
      </c>
      <c r="X28" s="157">
        <f>IF(AD28&gt;AE28,0,IF(AF28&lt;AG28,P28,IF(AND(AF28&gt;=AG28,AF28&lt;=AE28),(P28-T28),IF(AND(AG28&lt;=AD28,AE28&gt;=AD28),0,IF(AF28&gt;AE28,((AG28-AD28)*12)*Q28,0)))))</f>
        <v>875</v>
      </c>
      <c r="Y28" s="157">
        <f>X28*U28</f>
        <v>875</v>
      </c>
      <c r="Z28" s="157">
        <v>1</v>
      </c>
      <c r="AA28" s="157">
        <f>Y28*Z28</f>
        <v>875</v>
      </c>
      <c r="AB28" s="157">
        <f>IF(O28&gt;0,0,AA28+V28*Z28)*Z28</f>
        <v>875</v>
      </c>
      <c r="AC28" s="157">
        <f>IF(O28&gt;0,(N28-AA28)/2,IF(AD28&gt;=AG28,(((N28*U28)*Z28)-AB28)/2,((((N28*U28)*Z28)-AA28)+(((N28*U28)*Z28)-AB28))/2))</f>
        <v>0</v>
      </c>
      <c r="AD28" s="157">
        <f>$E28+(($F28-1)/12)</f>
        <v>2010.9166666666667</v>
      </c>
      <c r="AE28" s="157">
        <f>($P$5+1)-($P$2/12)</f>
        <v>2017</v>
      </c>
      <c r="AF28" s="157">
        <f>$K28+(($F28-1)/12)</f>
        <v>2015.9166666666667</v>
      </c>
      <c r="AG28" s="157">
        <f>$P$4+($P$3/12)</f>
        <v>2016</v>
      </c>
      <c r="AH28" s="157">
        <f>$L28+(($M28-1)/12)</f>
        <v>-8.3333333333333329E-2</v>
      </c>
    </row>
    <row r="30" spans="1:34" ht="13.5" thickBot="1">
      <c r="D30" s="156" t="s">
        <v>618</v>
      </c>
      <c r="N30" s="157">
        <f>SUM(N28:N29)</f>
        <v>875</v>
      </c>
      <c r="P30" s="157">
        <f>SUM(P28:P29)</f>
        <v>875</v>
      </c>
      <c r="Q30" s="157">
        <f>SUM(Q28:Q29)</f>
        <v>14.583333333333334</v>
      </c>
      <c r="R30" s="157">
        <f>SUM(R28:R29)</f>
        <v>0</v>
      </c>
      <c r="T30" s="157">
        <f>SUM(T28:T29)</f>
        <v>0</v>
      </c>
      <c r="V30" s="157">
        <f>SUM(V28:V29)</f>
        <v>0</v>
      </c>
      <c r="X30" s="157">
        <f>SUM(X28:X29)</f>
        <v>875</v>
      </c>
      <c r="Y30" s="157">
        <f>SUM(Y28:Y29)</f>
        <v>875</v>
      </c>
      <c r="AA30" s="157">
        <f>SUM(AA28:AA29)</f>
        <v>875</v>
      </c>
      <c r="AB30" s="157">
        <f>SUM(AB28:AB29)</f>
        <v>875</v>
      </c>
      <c r="AC30" s="157">
        <f>SUM(AC28:AC29)</f>
        <v>0</v>
      </c>
    </row>
    <row r="32" spans="1:34" ht="13.5" thickBot="1">
      <c r="D32" s="156" t="s">
        <v>246</v>
      </c>
      <c r="N32" s="157">
        <f>N30+N24+N17</f>
        <v>100324.72242990654</v>
      </c>
      <c r="P32" s="157">
        <f>P30+P24+P17</f>
        <v>82073.120028037389</v>
      </c>
      <c r="Q32" s="157">
        <f>Q30+Q24+Q17</f>
        <v>1092.2929528482423</v>
      </c>
      <c r="R32" s="157">
        <f>R30+R24+R17</f>
        <v>8401.2422913217615</v>
      </c>
      <c r="T32" s="157">
        <f>T30+T24+T17</f>
        <v>8401.2422913217615</v>
      </c>
      <c r="V32" s="157">
        <f>V30+V24+V17</f>
        <v>8401.2422913217615</v>
      </c>
      <c r="X32" s="157">
        <f>X30+X24+X17</f>
        <v>935.1606671339016</v>
      </c>
      <c r="Y32" s="157">
        <f>Y30+Y24+Y17</f>
        <v>935.1606671339016</v>
      </c>
      <c r="AA32" s="157">
        <f>AA30+AA24+AA17</f>
        <v>24837.617809991334</v>
      </c>
      <c r="AB32" s="157">
        <f>AB30+AB24+AB17</f>
        <v>33238.860101313097</v>
      </c>
      <c r="AC32" s="157">
        <f>AC30+AC24+AC17</f>
        <v>56574.483474254332</v>
      </c>
    </row>
    <row r="33" ht="13.5" thickTop="1"/>
  </sheetData>
  <pageMargins left="0.75" right="0.75" top="1" bottom="1" header="0.5" footer="0.5"/>
  <pageSetup scale="50" fitToHeight="3" orientation="landscape" horizontalDpi="300" verticalDpi="300" r:id="rId1"/>
  <headerFooter alignWithMargins="0"/>
  <colBreaks count="1" manualBreakCount="1">
    <brk id="29"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74"/>
  <sheetViews>
    <sheetView tabSelected="1" view="pageBreakPreview" topLeftCell="A4" zoomScale="60" zoomScaleNormal="100" workbookViewId="0">
      <selection activeCell="H4" sqref="H4:H6"/>
    </sheetView>
  </sheetViews>
  <sheetFormatPr defaultRowHeight="15"/>
  <cols>
    <col min="1" max="1" width="20" style="3" customWidth="1"/>
    <col min="2" max="2" width="12.77734375" style="3" customWidth="1"/>
    <col min="3" max="3" width="9" style="3" bestFit="1" customWidth="1"/>
    <col min="4" max="4" width="12.6640625" style="3" bestFit="1" customWidth="1"/>
    <col min="5" max="5" width="12.5546875" style="3" customWidth="1"/>
    <col min="6" max="7" width="13.109375" style="3" bestFit="1" customWidth="1"/>
    <col min="8" max="8" width="12.6640625" style="3" bestFit="1" customWidth="1"/>
    <col min="9" max="9" width="2" style="3" customWidth="1"/>
    <col min="10" max="10" width="8.88671875" style="3"/>
    <col min="11" max="11" width="19.88671875" style="3" bestFit="1" customWidth="1"/>
    <col min="12" max="12" width="12.6640625" style="3" bestFit="1" customWidth="1"/>
    <col min="13" max="13" width="9.5546875" style="3" bestFit="1" customWidth="1"/>
    <col min="14" max="14" width="12.6640625" style="3" bestFit="1" customWidth="1"/>
    <col min="15" max="15" width="11.5546875" style="3" bestFit="1" customWidth="1"/>
    <col min="16" max="16" width="13.109375" style="3" bestFit="1" customWidth="1"/>
    <col min="17" max="17" width="11.109375" style="3" customWidth="1"/>
    <col min="18" max="18" width="12.6640625" style="3" bestFit="1" customWidth="1"/>
    <col min="19" max="19" width="8.88671875" style="3"/>
    <col min="20" max="20" width="22.109375" style="3" customWidth="1"/>
    <col min="21" max="21" width="11.5546875" style="3" bestFit="1" customWidth="1"/>
    <col min="22" max="22" width="8.88671875" style="3"/>
    <col min="23" max="23" width="11.5546875" style="3" bestFit="1" customWidth="1"/>
    <col min="24" max="24" width="10.6640625" style="3" bestFit="1" customWidth="1"/>
    <col min="25" max="26" width="13.109375" style="3" bestFit="1" customWidth="1"/>
    <col min="27" max="27" width="11.5546875" style="3" bestFit="1" customWidth="1"/>
    <col min="28" max="28" width="8.88671875" style="3"/>
    <col min="29" max="29" width="24.44140625" style="3" bestFit="1" customWidth="1"/>
    <col min="30" max="30" width="12.6640625" style="3" bestFit="1" customWidth="1"/>
    <col min="31" max="31" width="8.88671875" style="3"/>
    <col min="32" max="32" width="12.6640625" style="3" bestFit="1" customWidth="1"/>
    <col min="33" max="33" width="12" style="3" bestFit="1" customWidth="1"/>
    <col min="34" max="35" width="13.109375" style="3" bestFit="1" customWidth="1"/>
    <col min="36" max="36" width="12.6640625" style="3" bestFit="1" customWidth="1"/>
    <col min="37" max="228" width="8.88671875" style="3"/>
    <col min="229" max="229" width="16.44140625" style="3" customWidth="1"/>
    <col min="230" max="236" width="10.33203125" style="3" customWidth="1"/>
    <col min="237" max="237" width="4.6640625" style="3" customWidth="1"/>
    <col min="238" max="238" width="1.6640625" style="3" customWidth="1"/>
    <col min="239" max="240" width="10.44140625" style="3" customWidth="1"/>
    <col min="241" max="241" width="1.21875" style="3" customWidth="1"/>
    <col min="242" max="243" width="10.44140625" style="3" customWidth="1"/>
    <col min="244" max="244" width="1.21875" style="3" customWidth="1"/>
    <col min="245" max="246" width="10.44140625" style="3" customWidth="1"/>
    <col min="247" max="247" width="1.21875" style="3" customWidth="1"/>
    <col min="248" max="252" width="10.44140625" style="3" customWidth="1"/>
    <col min="253" max="253" width="1.21875" style="3" customWidth="1"/>
    <col min="254" max="254" width="17.109375" style="3" customWidth="1"/>
    <col min="255" max="256" width="12.33203125" style="3" customWidth="1"/>
    <col min="257" max="257" width="13.5546875" style="3" customWidth="1"/>
    <col min="258" max="262" width="11.33203125" style="3" customWidth="1"/>
    <col min="263" max="263" width="7.44140625" style="3" customWidth="1"/>
    <col min="264" max="484" width="8.88671875" style="3"/>
    <col min="485" max="485" width="16.44140625" style="3" customWidth="1"/>
    <col min="486" max="492" width="10.33203125" style="3" customWidth="1"/>
    <col min="493" max="493" width="4.6640625" style="3" customWidth="1"/>
    <col min="494" max="494" width="1.6640625" style="3" customWidth="1"/>
    <col min="495" max="496" width="10.44140625" style="3" customWidth="1"/>
    <col min="497" max="497" width="1.21875" style="3" customWidth="1"/>
    <col min="498" max="499" width="10.44140625" style="3" customWidth="1"/>
    <col min="500" max="500" width="1.21875" style="3" customWidth="1"/>
    <col min="501" max="502" width="10.44140625" style="3" customWidth="1"/>
    <col min="503" max="503" width="1.21875" style="3" customWidth="1"/>
    <col min="504" max="508" width="10.44140625" style="3" customWidth="1"/>
    <col min="509" max="509" width="1.21875" style="3" customWidth="1"/>
    <col min="510" max="510" width="17.109375" style="3" customWidth="1"/>
    <col min="511" max="512" width="12.33203125" style="3" customWidth="1"/>
    <col min="513" max="513" width="13.5546875" style="3" customWidth="1"/>
    <col min="514" max="518" width="11.33203125" style="3" customWidth="1"/>
    <col min="519" max="519" width="7.44140625" style="3" customWidth="1"/>
    <col min="520" max="740" width="8.88671875" style="3"/>
    <col min="741" max="741" width="16.44140625" style="3" customWidth="1"/>
    <col min="742" max="748" width="10.33203125" style="3" customWidth="1"/>
    <col min="749" max="749" width="4.6640625" style="3" customWidth="1"/>
    <col min="750" max="750" width="1.6640625" style="3" customWidth="1"/>
    <col min="751" max="752" width="10.44140625" style="3" customWidth="1"/>
    <col min="753" max="753" width="1.21875" style="3" customWidth="1"/>
    <col min="754" max="755" width="10.44140625" style="3" customWidth="1"/>
    <col min="756" max="756" width="1.21875" style="3" customWidth="1"/>
    <col min="757" max="758" width="10.44140625" style="3" customWidth="1"/>
    <col min="759" max="759" width="1.21875" style="3" customWidth="1"/>
    <col min="760" max="764" width="10.44140625" style="3" customWidth="1"/>
    <col min="765" max="765" width="1.21875" style="3" customWidth="1"/>
    <col min="766" max="766" width="17.109375" style="3" customWidth="1"/>
    <col min="767" max="768" width="12.33203125" style="3" customWidth="1"/>
    <col min="769" max="769" width="13.5546875" style="3" customWidth="1"/>
    <col min="770" max="774" width="11.33203125" style="3" customWidth="1"/>
    <col min="775" max="775" width="7.44140625" style="3" customWidth="1"/>
    <col min="776" max="996" width="8.88671875" style="3"/>
    <col min="997" max="997" width="16.44140625" style="3" customWidth="1"/>
    <col min="998" max="1004" width="10.33203125" style="3" customWidth="1"/>
    <col min="1005" max="1005" width="4.6640625" style="3" customWidth="1"/>
    <col min="1006" max="1006" width="1.6640625" style="3" customWidth="1"/>
    <col min="1007" max="1008" width="10.44140625" style="3" customWidth="1"/>
    <col min="1009" max="1009" width="1.21875" style="3" customWidth="1"/>
    <col min="1010" max="1011" width="10.44140625" style="3" customWidth="1"/>
    <col min="1012" max="1012" width="1.21875" style="3" customWidth="1"/>
    <col min="1013" max="1014" width="10.44140625" style="3" customWidth="1"/>
    <col min="1015" max="1015" width="1.21875" style="3" customWidth="1"/>
    <col min="1016" max="1020" width="10.44140625" style="3" customWidth="1"/>
    <col min="1021" max="1021" width="1.21875" style="3" customWidth="1"/>
    <col min="1022" max="1022" width="17.109375" style="3" customWidth="1"/>
    <col min="1023" max="1024" width="12.33203125" style="3" customWidth="1"/>
    <col min="1025" max="1025" width="13.5546875" style="3" customWidth="1"/>
    <col min="1026" max="1030" width="11.33203125" style="3" customWidth="1"/>
    <col min="1031" max="1031" width="7.44140625" style="3" customWidth="1"/>
    <col min="1032" max="1252" width="8.88671875" style="3"/>
    <col min="1253" max="1253" width="16.44140625" style="3" customWidth="1"/>
    <col min="1254" max="1260" width="10.33203125" style="3" customWidth="1"/>
    <col min="1261" max="1261" width="4.6640625" style="3" customWidth="1"/>
    <col min="1262" max="1262" width="1.6640625" style="3" customWidth="1"/>
    <col min="1263" max="1264" width="10.44140625" style="3" customWidth="1"/>
    <col min="1265" max="1265" width="1.21875" style="3" customWidth="1"/>
    <col min="1266" max="1267" width="10.44140625" style="3" customWidth="1"/>
    <col min="1268" max="1268" width="1.21875" style="3" customWidth="1"/>
    <col min="1269" max="1270" width="10.44140625" style="3" customWidth="1"/>
    <col min="1271" max="1271" width="1.21875" style="3" customWidth="1"/>
    <col min="1272" max="1276" width="10.44140625" style="3" customWidth="1"/>
    <col min="1277" max="1277" width="1.21875" style="3" customWidth="1"/>
    <col min="1278" max="1278" width="17.109375" style="3" customWidth="1"/>
    <col min="1279" max="1280" width="12.33203125" style="3" customWidth="1"/>
    <col min="1281" max="1281" width="13.5546875" style="3" customWidth="1"/>
    <col min="1282" max="1286" width="11.33203125" style="3" customWidth="1"/>
    <col min="1287" max="1287" width="7.44140625" style="3" customWidth="1"/>
    <col min="1288" max="1508" width="8.88671875" style="3"/>
    <col min="1509" max="1509" width="16.44140625" style="3" customWidth="1"/>
    <col min="1510" max="1516" width="10.33203125" style="3" customWidth="1"/>
    <col min="1517" max="1517" width="4.6640625" style="3" customWidth="1"/>
    <col min="1518" max="1518" width="1.6640625" style="3" customWidth="1"/>
    <col min="1519" max="1520" width="10.44140625" style="3" customWidth="1"/>
    <col min="1521" max="1521" width="1.21875" style="3" customWidth="1"/>
    <col min="1522" max="1523" width="10.44140625" style="3" customWidth="1"/>
    <col min="1524" max="1524" width="1.21875" style="3" customWidth="1"/>
    <col min="1525" max="1526" width="10.44140625" style="3" customWidth="1"/>
    <col min="1527" max="1527" width="1.21875" style="3" customWidth="1"/>
    <col min="1528" max="1532" width="10.44140625" style="3" customWidth="1"/>
    <col min="1533" max="1533" width="1.21875" style="3" customWidth="1"/>
    <col min="1534" max="1534" width="17.109375" style="3" customWidth="1"/>
    <col min="1535" max="1536" width="12.33203125" style="3" customWidth="1"/>
    <col min="1537" max="1537" width="13.5546875" style="3" customWidth="1"/>
    <col min="1538" max="1542" width="11.33203125" style="3" customWidth="1"/>
    <col min="1543" max="1543" width="7.44140625" style="3" customWidth="1"/>
    <col min="1544" max="1764" width="8.88671875" style="3"/>
    <col min="1765" max="1765" width="16.44140625" style="3" customWidth="1"/>
    <col min="1766" max="1772" width="10.33203125" style="3" customWidth="1"/>
    <col min="1773" max="1773" width="4.6640625" style="3" customWidth="1"/>
    <col min="1774" max="1774" width="1.6640625" style="3" customWidth="1"/>
    <col min="1775" max="1776" width="10.44140625" style="3" customWidth="1"/>
    <col min="1777" max="1777" width="1.21875" style="3" customWidth="1"/>
    <col min="1778" max="1779" width="10.44140625" style="3" customWidth="1"/>
    <col min="1780" max="1780" width="1.21875" style="3" customWidth="1"/>
    <col min="1781" max="1782" width="10.44140625" style="3" customWidth="1"/>
    <col min="1783" max="1783" width="1.21875" style="3" customWidth="1"/>
    <col min="1784" max="1788" width="10.44140625" style="3" customWidth="1"/>
    <col min="1789" max="1789" width="1.21875" style="3" customWidth="1"/>
    <col min="1790" max="1790" width="17.109375" style="3" customWidth="1"/>
    <col min="1791" max="1792" width="12.33203125" style="3" customWidth="1"/>
    <col min="1793" max="1793" width="13.5546875" style="3" customWidth="1"/>
    <col min="1794" max="1798" width="11.33203125" style="3" customWidth="1"/>
    <col min="1799" max="1799" width="7.44140625" style="3" customWidth="1"/>
    <col min="1800" max="2020" width="8.88671875" style="3"/>
    <col min="2021" max="2021" width="16.44140625" style="3" customWidth="1"/>
    <col min="2022" max="2028" width="10.33203125" style="3" customWidth="1"/>
    <col min="2029" max="2029" width="4.6640625" style="3" customWidth="1"/>
    <col min="2030" max="2030" width="1.6640625" style="3" customWidth="1"/>
    <col min="2031" max="2032" width="10.44140625" style="3" customWidth="1"/>
    <col min="2033" max="2033" width="1.21875" style="3" customWidth="1"/>
    <col min="2034" max="2035" width="10.44140625" style="3" customWidth="1"/>
    <col min="2036" max="2036" width="1.21875" style="3" customWidth="1"/>
    <col min="2037" max="2038" width="10.44140625" style="3" customWidth="1"/>
    <col min="2039" max="2039" width="1.21875" style="3" customWidth="1"/>
    <col min="2040" max="2044" width="10.44140625" style="3" customWidth="1"/>
    <col min="2045" max="2045" width="1.21875" style="3" customWidth="1"/>
    <col min="2046" max="2046" width="17.109375" style="3" customWidth="1"/>
    <col min="2047" max="2048" width="12.33203125" style="3" customWidth="1"/>
    <col min="2049" max="2049" width="13.5546875" style="3" customWidth="1"/>
    <col min="2050" max="2054" width="11.33203125" style="3" customWidth="1"/>
    <col min="2055" max="2055" width="7.44140625" style="3" customWidth="1"/>
    <col min="2056" max="2276" width="8.88671875" style="3"/>
    <col min="2277" max="2277" width="16.44140625" style="3" customWidth="1"/>
    <col min="2278" max="2284" width="10.33203125" style="3" customWidth="1"/>
    <col min="2285" max="2285" width="4.6640625" style="3" customWidth="1"/>
    <col min="2286" max="2286" width="1.6640625" style="3" customWidth="1"/>
    <col min="2287" max="2288" width="10.44140625" style="3" customWidth="1"/>
    <col min="2289" max="2289" width="1.21875" style="3" customWidth="1"/>
    <col min="2290" max="2291" width="10.44140625" style="3" customWidth="1"/>
    <col min="2292" max="2292" width="1.21875" style="3" customWidth="1"/>
    <col min="2293" max="2294" width="10.44140625" style="3" customWidth="1"/>
    <col min="2295" max="2295" width="1.21875" style="3" customWidth="1"/>
    <col min="2296" max="2300" width="10.44140625" style="3" customWidth="1"/>
    <col min="2301" max="2301" width="1.21875" style="3" customWidth="1"/>
    <col min="2302" max="2302" width="17.109375" style="3" customWidth="1"/>
    <col min="2303" max="2304" width="12.33203125" style="3" customWidth="1"/>
    <col min="2305" max="2305" width="13.5546875" style="3" customWidth="1"/>
    <col min="2306" max="2310" width="11.33203125" style="3" customWidth="1"/>
    <col min="2311" max="2311" width="7.44140625" style="3" customWidth="1"/>
    <col min="2312" max="2532" width="8.88671875" style="3"/>
    <col min="2533" max="2533" width="16.44140625" style="3" customWidth="1"/>
    <col min="2534" max="2540" width="10.33203125" style="3" customWidth="1"/>
    <col min="2541" max="2541" width="4.6640625" style="3" customWidth="1"/>
    <col min="2542" max="2542" width="1.6640625" style="3" customWidth="1"/>
    <col min="2543" max="2544" width="10.44140625" style="3" customWidth="1"/>
    <col min="2545" max="2545" width="1.21875" style="3" customWidth="1"/>
    <col min="2546" max="2547" width="10.44140625" style="3" customWidth="1"/>
    <col min="2548" max="2548" width="1.21875" style="3" customWidth="1"/>
    <col min="2549" max="2550" width="10.44140625" style="3" customWidth="1"/>
    <col min="2551" max="2551" width="1.21875" style="3" customWidth="1"/>
    <col min="2552" max="2556" width="10.44140625" style="3" customWidth="1"/>
    <col min="2557" max="2557" width="1.21875" style="3" customWidth="1"/>
    <col min="2558" max="2558" width="17.109375" style="3" customWidth="1"/>
    <col min="2559" max="2560" width="12.33203125" style="3" customWidth="1"/>
    <col min="2561" max="2561" width="13.5546875" style="3" customWidth="1"/>
    <col min="2562" max="2566" width="11.33203125" style="3" customWidth="1"/>
    <col min="2567" max="2567" width="7.44140625" style="3" customWidth="1"/>
    <col min="2568" max="2788" width="8.88671875" style="3"/>
    <col min="2789" max="2789" width="16.44140625" style="3" customWidth="1"/>
    <col min="2790" max="2796" width="10.33203125" style="3" customWidth="1"/>
    <col min="2797" max="2797" width="4.6640625" style="3" customWidth="1"/>
    <col min="2798" max="2798" width="1.6640625" style="3" customWidth="1"/>
    <col min="2799" max="2800" width="10.44140625" style="3" customWidth="1"/>
    <col min="2801" max="2801" width="1.21875" style="3" customWidth="1"/>
    <col min="2802" max="2803" width="10.44140625" style="3" customWidth="1"/>
    <col min="2804" max="2804" width="1.21875" style="3" customWidth="1"/>
    <col min="2805" max="2806" width="10.44140625" style="3" customWidth="1"/>
    <col min="2807" max="2807" width="1.21875" style="3" customWidth="1"/>
    <col min="2808" max="2812" width="10.44140625" style="3" customWidth="1"/>
    <col min="2813" max="2813" width="1.21875" style="3" customWidth="1"/>
    <col min="2814" max="2814" width="17.109375" style="3" customWidth="1"/>
    <col min="2815" max="2816" width="12.33203125" style="3" customWidth="1"/>
    <col min="2817" max="2817" width="13.5546875" style="3" customWidth="1"/>
    <col min="2818" max="2822" width="11.33203125" style="3" customWidth="1"/>
    <col min="2823" max="2823" width="7.44140625" style="3" customWidth="1"/>
    <col min="2824" max="3044" width="8.88671875" style="3"/>
    <col min="3045" max="3045" width="16.44140625" style="3" customWidth="1"/>
    <col min="3046" max="3052" width="10.33203125" style="3" customWidth="1"/>
    <col min="3053" max="3053" width="4.6640625" style="3" customWidth="1"/>
    <col min="3054" max="3054" width="1.6640625" style="3" customWidth="1"/>
    <col min="3055" max="3056" width="10.44140625" style="3" customWidth="1"/>
    <col min="3057" max="3057" width="1.21875" style="3" customWidth="1"/>
    <col min="3058" max="3059" width="10.44140625" style="3" customWidth="1"/>
    <col min="3060" max="3060" width="1.21875" style="3" customWidth="1"/>
    <col min="3061" max="3062" width="10.44140625" style="3" customWidth="1"/>
    <col min="3063" max="3063" width="1.21875" style="3" customWidth="1"/>
    <col min="3064" max="3068" width="10.44140625" style="3" customWidth="1"/>
    <col min="3069" max="3069" width="1.21875" style="3" customWidth="1"/>
    <col min="3070" max="3070" width="17.109375" style="3" customWidth="1"/>
    <col min="3071" max="3072" width="12.33203125" style="3" customWidth="1"/>
    <col min="3073" max="3073" width="13.5546875" style="3" customWidth="1"/>
    <col min="3074" max="3078" width="11.33203125" style="3" customWidth="1"/>
    <col min="3079" max="3079" width="7.44140625" style="3" customWidth="1"/>
    <col min="3080" max="3300" width="8.88671875" style="3"/>
    <col min="3301" max="3301" width="16.44140625" style="3" customWidth="1"/>
    <col min="3302" max="3308" width="10.33203125" style="3" customWidth="1"/>
    <col min="3309" max="3309" width="4.6640625" style="3" customWidth="1"/>
    <col min="3310" max="3310" width="1.6640625" style="3" customWidth="1"/>
    <col min="3311" max="3312" width="10.44140625" style="3" customWidth="1"/>
    <col min="3313" max="3313" width="1.21875" style="3" customWidth="1"/>
    <col min="3314" max="3315" width="10.44140625" style="3" customWidth="1"/>
    <col min="3316" max="3316" width="1.21875" style="3" customWidth="1"/>
    <col min="3317" max="3318" width="10.44140625" style="3" customWidth="1"/>
    <col min="3319" max="3319" width="1.21875" style="3" customWidth="1"/>
    <col min="3320" max="3324" width="10.44140625" style="3" customWidth="1"/>
    <col min="3325" max="3325" width="1.21875" style="3" customWidth="1"/>
    <col min="3326" max="3326" width="17.109375" style="3" customWidth="1"/>
    <col min="3327" max="3328" width="12.33203125" style="3" customWidth="1"/>
    <col min="3329" max="3329" width="13.5546875" style="3" customWidth="1"/>
    <col min="3330" max="3334" width="11.33203125" style="3" customWidth="1"/>
    <col min="3335" max="3335" width="7.44140625" style="3" customWidth="1"/>
    <col min="3336" max="3556" width="8.88671875" style="3"/>
    <col min="3557" max="3557" width="16.44140625" style="3" customWidth="1"/>
    <col min="3558" max="3564" width="10.33203125" style="3" customWidth="1"/>
    <col min="3565" max="3565" width="4.6640625" style="3" customWidth="1"/>
    <col min="3566" max="3566" width="1.6640625" style="3" customWidth="1"/>
    <col min="3567" max="3568" width="10.44140625" style="3" customWidth="1"/>
    <col min="3569" max="3569" width="1.21875" style="3" customWidth="1"/>
    <col min="3570" max="3571" width="10.44140625" style="3" customWidth="1"/>
    <col min="3572" max="3572" width="1.21875" style="3" customWidth="1"/>
    <col min="3573" max="3574" width="10.44140625" style="3" customWidth="1"/>
    <col min="3575" max="3575" width="1.21875" style="3" customWidth="1"/>
    <col min="3576" max="3580" width="10.44140625" style="3" customWidth="1"/>
    <col min="3581" max="3581" width="1.21875" style="3" customWidth="1"/>
    <col min="3582" max="3582" width="17.109375" style="3" customWidth="1"/>
    <col min="3583" max="3584" width="12.33203125" style="3" customWidth="1"/>
    <col min="3585" max="3585" width="13.5546875" style="3" customWidth="1"/>
    <col min="3586" max="3590" width="11.33203125" style="3" customWidth="1"/>
    <col min="3591" max="3591" width="7.44140625" style="3" customWidth="1"/>
    <col min="3592" max="3812" width="8.88671875" style="3"/>
    <col min="3813" max="3813" width="16.44140625" style="3" customWidth="1"/>
    <col min="3814" max="3820" width="10.33203125" style="3" customWidth="1"/>
    <col min="3821" max="3821" width="4.6640625" style="3" customWidth="1"/>
    <col min="3822" max="3822" width="1.6640625" style="3" customWidth="1"/>
    <col min="3823" max="3824" width="10.44140625" style="3" customWidth="1"/>
    <col min="3825" max="3825" width="1.21875" style="3" customWidth="1"/>
    <col min="3826" max="3827" width="10.44140625" style="3" customWidth="1"/>
    <col min="3828" max="3828" width="1.21875" style="3" customWidth="1"/>
    <col min="3829" max="3830" width="10.44140625" style="3" customWidth="1"/>
    <col min="3831" max="3831" width="1.21875" style="3" customWidth="1"/>
    <col min="3832" max="3836" width="10.44140625" style="3" customWidth="1"/>
    <col min="3837" max="3837" width="1.21875" style="3" customWidth="1"/>
    <col min="3838" max="3838" width="17.109375" style="3" customWidth="1"/>
    <col min="3839" max="3840" width="12.33203125" style="3" customWidth="1"/>
    <col min="3841" max="3841" width="13.5546875" style="3" customWidth="1"/>
    <col min="3842" max="3846" width="11.33203125" style="3" customWidth="1"/>
    <col min="3847" max="3847" width="7.44140625" style="3" customWidth="1"/>
    <col min="3848" max="4068" width="8.88671875" style="3"/>
    <col min="4069" max="4069" width="16.44140625" style="3" customWidth="1"/>
    <col min="4070" max="4076" width="10.33203125" style="3" customWidth="1"/>
    <col min="4077" max="4077" width="4.6640625" style="3" customWidth="1"/>
    <col min="4078" max="4078" width="1.6640625" style="3" customWidth="1"/>
    <col min="4079" max="4080" width="10.44140625" style="3" customWidth="1"/>
    <col min="4081" max="4081" width="1.21875" style="3" customWidth="1"/>
    <col min="4082" max="4083" width="10.44140625" style="3" customWidth="1"/>
    <col min="4084" max="4084" width="1.21875" style="3" customWidth="1"/>
    <col min="4085" max="4086" width="10.44140625" style="3" customWidth="1"/>
    <col min="4087" max="4087" width="1.21875" style="3" customWidth="1"/>
    <col min="4088" max="4092" width="10.44140625" style="3" customWidth="1"/>
    <col min="4093" max="4093" width="1.21875" style="3" customWidth="1"/>
    <col min="4094" max="4094" width="17.109375" style="3" customWidth="1"/>
    <col min="4095" max="4096" width="12.33203125" style="3" customWidth="1"/>
    <col min="4097" max="4097" width="13.5546875" style="3" customWidth="1"/>
    <col min="4098" max="4102" width="11.33203125" style="3" customWidth="1"/>
    <col min="4103" max="4103" width="7.44140625" style="3" customWidth="1"/>
    <col min="4104" max="4324" width="8.88671875" style="3"/>
    <col min="4325" max="4325" width="16.44140625" style="3" customWidth="1"/>
    <col min="4326" max="4332" width="10.33203125" style="3" customWidth="1"/>
    <col min="4333" max="4333" width="4.6640625" style="3" customWidth="1"/>
    <col min="4334" max="4334" width="1.6640625" style="3" customWidth="1"/>
    <col min="4335" max="4336" width="10.44140625" style="3" customWidth="1"/>
    <col min="4337" max="4337" width="1.21875" style="3" customWidth="1"/>
    <col min="4338" max="4339" width="10.44140625" style="3" customWidth="1"/>
    <col min="4340" max="4340" width="1.21875" style="3" customWidth="1"/>
    <col min="4341" max="4342" width="10.44140625" style="3" customWidth="1"/>
    <col min="4343" max="4343" width="1.21875" style="3" customWidth="1"/>
    <col min="4344" max="4348" width="10.44140625" style="3" customWidth="1"/>
    <col min="4349" max="4349" width="1.21875" style="3" customWidth="1"/>
    <col min="4350" max="4350" width="17.109375" style="3" customWidth="1"/>
    <col min="4351" max="4352" width="12.33203125" style="3" customWidth="1"/>
    <col min="4353" max="4353" width="13.5546875" style="3" customWidth="1"/>
    <col min="4354" max="4358" width="11.33203125" style="3" customWidth="1"/>
    <col min="4359" max="4359" width="7.44140625" style="3" customWidth="1"/>
    <col min="4360" max="4580" width="8.88671875" style="3"/>
    <col min="4581" max="4581" width="16.44140625" style="3" customWidth="1"/>
    <col min="4582" max="4588" width="10.33203125" style="3" customWidth="1"/>
    <col min="4589" max="4589" width="4.6640625" style="3" customWidth="1"/>
    <col min="4590" max="4590" width="1.6640625" style="3" customWidth="1"/>
    <col min="4591" max="4592" width="10.44140625" style="3" customWidth="1"/>
    <col min="4593" max="4593" width="1.21875" style="3" customWidth="1"/>
    <col min="4594" max="4595" width="10.44140625" style="3" customWidth="1"/>
    <col min="4596" max="4596" width="1.21875" style="3" customWidth="1"/>
    <col min="4597" max="4598" width="10.44140625" style="3" customWidth="1"/>
    <col min="4599" max="4599" width="1.21875" style="3" customWidth="1"/>
    <col min="4600" max="4604" width="10.44140625" style="3" customWidth="1"/>
    <col min="4605" max="4605" width="1.21875" style="3" customWidth="1"/>
    <col min="4606" max="4606" width="17.109375" style="3" customWidth="1"/>
    <col min="4607" max="4608" width="12.33203125" style="3" customWidth="1"/>
    <col min="4609" max="4609" width="13.5546875" style="3" customWidth="1"/>
    <col min="4610" max="4614" width="11.33203125" style="3" customWidth="1"/>
    <col min="4615" max="4615" width="7.44140625" style="3" customWidth="1"/>
    <col min="4616" max="4836" width="8.88671875" style="3"/>
    <col min="4837" max="4837" width="16.44140625" style="3" customWidth="1"/>
    <col min="4838" max="4844" width="10.33203125" style="3" customWidth="1"/>
    <col min="4845" max="4845" width="4.6640625" style="3" customWidth="1"/>
    <col min="4846" max="4846" width="1.6640625" style="3" customWidth="1"/>
    <col min="4847" max="4848" width="10.44140625" style="3" customWidth="1"/>
    <col min="4849" max="4849" width="1.21875" style="3" customWidth="1"/>
    <col min="4850" max="4851" width="10.44140625" style="3" customWidth="1"/>
    <col min="4852" max="4852" width="1.21875" style="3" customWidth="1"/>
    <col min="4853" max="4854" width="10.44140625" style="3" customWidth="1"/>
    <col min="4855" max="4855" width="1.21875" style="3" customWidth="1"/>
    <col min="4856" max="4860" width="10.44140625" style="3" customWidth="1"/>
    <col min="4861" max="4861" width="1.21875" style="3" customWidth="1"/>
    <col min="4862" max="4862" width="17.109375" style="3" customWidth="1"/>
    <col min="4863" max="4864" width="12.33203125" style="3" customWidth="1"/>
    <col min="4865" max="4865" width="13.5546875" style="3" customWidth="1"/>
    <col min="4866" max="4870" width="11.33203125" style="3" customWidth="1"/>
    <col min="4871" max="4871" width="7.44140625" style="3" customWidth="1"/>
    <col min="4872" max="5092" width="8.88671875" style="3"/>
    <col min="5093" max="5093" width="16.44140625" style="3" customWidth="1"/>
    <col min="5094" max="5100" width="10.33203125" style="3" customWidth="1"/>
    <col min="5101" max="5101" width="4.6640625" style="3" customWidth="1"/>
    <col min="5102" max="5102" width="1.6640625" style="3" customWidth="1"/>
    <col min="5103" max="5104" width="10.44140625" style="3" customWidth="1"/>
    <col min="5105" max="5105" width="1.21875" style="3" customWidth="1"/>
    <col min="5106" max="5107" width="10.44140625" style="3" customWidth="1"/>
    <col min="5108" max="5108" width="1.21875" style="3" customWidth="1"/>
    <col min="5109" max="5110" width="10.44140625" style="3" customWidth="1"/>
    <col min="5111" max="5111" width="1.21875" style="3" customWidth="1"/>
    <col min="5112" max="5116" width="10.44140625" style="3" customWidth="1"/>
    <col min="5117" max="5117" width="1.21875" style="3" customWidth="1"/>
    <col min="5118" max="5118" width="17.109375" style="3" customWidth="1"/>
    <col min="5119" max="5120" width="12.33203125" style="3" customWidth="1"/>
    <col min="5121" max="5121" width="13.5546875" style="3" customWidth="1"/>
    <col min="5122" max="5126" width="11.33203125" style="3" customWidth="1"/>
    <col min="5127" max="5127" width="7.44140625" style="3" customWidth="1"/>
    <col min="5128" max="5348" width="8.88671875" style="3"/>
    <col min="5349" max="5349" width="16.44140625" style="3" customWidth="1"/>
    <col min="5350" max="5356" width="10.33203125" style="3" customWidth="1"/>
    <col min="5357" max="5357" width="4.6640625" style="3" customWidth="1"/>
    <col min="5358" max="5358" width="1.6640625" style="3" customWidth="1"/>
    <col min="5359" max="5360" width="10.44140625" style="3" customWidth="1"/>
    <col min="5361" max="5361" width="1.21875" style="3" customWidth="1"/>
    <col min="5362" max="5363" width="10.44140625" style="3" customWidth="1"/>
    <col min="5364" max="5364" width="1.21875" style="3" customWidth="1"/>
    <col min="5365" max="5366" width="10.44140625" style="3" customWidth="1"/>
    <col min="5367" max="5367" width="1.21875" style="3" customWidth="1"/>
    <col min="5368" max="5372" width="10.44140625" style="3" customWidth="1"/>
    <col min="5373" max="5373" width="1.21875" style="3" customWidth="1"/>
    <col min="5374" max="5374" width="17.109375" style="3" customWidth="1"/>
    <col min="5375" max="5376" width="12.33203125" style="3" customWidth="1"/>
    <col min="5377" max="5377" width="13.5546875" style="3" customWidth="1"/>
    <col min="5378" max="5382" width="11.33203125" style="3" customWidth="1"/>
    <col min="5383" max="5383" width="7.44140625" style="3" customWidth="1"/>
    <col min="5384" max="5604" width="8.88671875" style="3"/>
    <col min="5605" max="5605" width="16.44140625" style="3" customWidth="1"/>
    <col min="5606" max="5612" width="10.33203125" style="3" customWidth="1"/>
    <col min="5613" max="5613" width="4.6640625" style="3" customWidth="1"/>
    <col min="5614" max="5614" width="1.6640625" style="3" customWidth="1"/>
    <col min="5615" max="5616" width="10.44140625" style="3" customWidth="1"/>
    <col min="5617" max="5617" width="1.21875" style="3" customWidth="1"/>
    <col min="5618" max="5619" width="10.44140625" style="3" customWidth="1"/>
    <col min="5620" max="5620" width="1.21875" style="3" customWidth="1"/>
    <col min="5621" max="5622" width="10.44140625" style="3" customWidth="1"/>
    <col min="5623" max="5623" width="1.21875" style="3" customWidth="1"/>
    <col min="5624" max="5628" width="10.44140625" style="3" customWidth="1"/>
    <col min="5629" max="5629" width="1.21875" style="3" customWidth="1"/>
    <col min="5630" max="5630" width="17.109375" style="3" customWidth="1"/>
    <col min="5631" max="5632" width="12.33203125" style="3" customWidth="1"/>
    <col min="5633" max="5633" width="13.5546875" style="3" customWidth="1"/>
    <col min="5634" max="5638" width="11.33203125" style="3" customWidth="1"/>
    <col min="5639" max="5639" width="7.44140625" style="3" customWidth="1"/>
    <col min="5640" max="5860" width="8.88671875" style="3"/>
    <col min="5861" max="5861" width="16.44140625" style="3" customWidth="1"/>
    <col min="5862" max="5868" width="10.33203125" style="3" customWidth="1"/>
    <col min="5869" max="5869" width="4.6640625" style="3" customWidth="1"/>
    <col min="5870" max="5870" width="1.6640625" style="3" customWidth="1"/>
    <col min="5871" max="5872" width="10.44140625" style="3" customWidth="1"/>
    <col min="5873" max="5873" width="1.21875" style="3" customWidth="1"/>
    <col min="5874" max="5875" width="10.44140625" style="3" customWidth="1"/>
    <col min="5876" max="5876" width="1.21875" style="3" customWidth="1"/>
    <col min="5877" max="5878" width="10.44140625" style="3" customWidth="1"/>
    <col min="5879" max="5879" width="1.21875" style="3" customWidth="1"/>
    <col min="5880" max="5884" width="10.44140625" style="3" customWidth="1"/>
    <col min="5885" max="5885" width="1.21875" style="3" customWidth="1"/>
    <col min="5886" max="5886" width="17.109375" style="3" customWidth="1"/>
    <col min="5887" max="5888" width="12.33203125" style="3" customWidth="1"/>
    <col min="5889" max="5889" width="13.5546875" style="3" customWidth="1"/>
    <col min="5890" max="5894" width="11.33203125" style="3" customWidth="1"/>
    <col min="5895" max="5895" width="7.44140625" style="3" customWidth="1"/>
    <col min="5896" max="6116" width="8.88671875" style="3"/>
    <col min="6117" max="6117" width="16.44140625" style="3" customWidth="1"/>
    <col min="6118" max="6124" width="10.33203125" style="3" customWidth="1"/>
    <col min="6125" max="6125" width="4.6640625" style="3" customWidth="1"/>
    <col min="6126" max="6126" width="1.6640625" style="3" customWidth="1"/>
    <col min="6127" max="6128" width="10.44140625" style="3" customWidth="1"/>
    <col min="6129" max="6129" width="1.21875" style="3" customWidth="1"/>
    <col min="6130" max="6131" width="10.44140625" style="3" customWidth="1"/>
    <col min="6132" max="6132" width="1.21875" style="3" customWidth="1"/>
    <col min="6133" max="6134" width="10.44140625" style="3" customWidth="1"/>
    <col min="6135" max="6135" width="1.21875" style="3" customWidth="1"/>
    <col min="6136" max="6140" width="10.44140625" style="3" customWidth="1"/>
    <col min="6141" max="6141" width="1.21875" style="3" customWidth="1"/>
    <col min="6142" max="6142" width="17.109375" style="3" customWidth="1"/>
    <col min="6143" max="6144" width="12.33203125" style="3" customWidth="1"/>
    <col min="6145" max="6145" width="13.5546875" style="3" customWidth="1"/>
    <col min="6146" max="6150" width="11.33203125" style="3" customWidth="1"/>
    <col min="6151" max="6151" width="7.44140625" style="3" customWidth="1"/>
    <col min="6152" max="6372" width="8.88671875" style="3"/>
    <col min="6373" max="6373" width="16.44140625" style="3" customWidth="1"/>
    <col min="6374" max="6380" width="10.33203125" style="3" customWidth="1"/>
    <col min="6381" max="6381" width="4.6640625" style="3" customWidth="1"/>
    <col min="6382" max="6382" width="1.6640625" style="3" customWidth="1"/>
    <col min="6383" max="6384" width="10.44140625" style="3" customWidth="1"/>
    <col min="6385" max="6385" width="1.21875" style="3" customWidth="1"/>
    <col min="6386" max="6387" width="10.44140625" style="3" customWidth="1"/>
    <col min="6388" max="6388" width="1.21875" style="3" customWidth="1"/>
    <col min="6389" max="6390" width="10.44140625" style="3" customWidth="1"/>
    <col min="6391" max="6391" width="1.21875" style="3" customWidth="1"/>
    <col min="6392" max="6396" width="10.44140625" style="3" customWidth="1"/>
    <col min="6397" max="6397" width="1.21875" style="3" customWidth="1"/>
    <col min="6398" max="6398" width="17.109375" style="3" customWidth="1"/>
    <col min="6399" max="6400" width="12.33203125" style="3" customWidth="1"/>
    <col min="6401" max="6401" width="13.5546875" style="3" customWidth="1"/>
    <col min="6402" max="6406" width="11.33203125" style="3" customWidth="1"/>
    <col min="6407" max="6407" width="7.44140625" style="3" customWidth="1"/>
    <col min="6408" max="6628" width="8.88671875" style="3"/>
    <col min="6629" max="6629" width="16.44140625" style="3" customWidth="1"/>
    <col min="6630" max="6636" width="10.33203125" style="3" customWidth="1"/>
    <col min="6637" max="6637" width="4.6640625" style="3" customWidth="1"/>
    <col min="6638" max="6638" width="1.6640625" style="3" customWidth="1"/>
    <col min="6639" max="6640" width="10.44140625" style="3" customWidth="1"/>
    <col min="6641" max="6641" width="1.21875" style="3" customWidth="1"/>
    <col min="6642" max="6643" width="10.44140625" style="3" customWidth="1"/>
    <col min="6644" max="6644" width="1.21875" style="3" customWidth="1"/>
    <col min="6645" max="6646" width="10.44140625" style="3" customWidth="1"/>
    <col min="6647" max="6647" width="1.21875" style="3" customWidth="1"/>
    <col min="6648" max="6652" width="10.44140625" style="3" customWidth="1"/>
    <col min="6653" max="6653" width="1.21875" style="3" customWidth="1"/>
    <col min="6654" max="6654" width="17.109375" style="3" customWidth="1"/>
    <col min="6655" max="6656" width="12.33203125" style="3" customWidth="1"/>
    <col min="6657" max="6657" width="13.5546875" style="3" customWidth="1"/>
    <col min="6658" max="6662" width="11.33203125" style="3" customWidth="1"/>
    <col min="6663" max="6663" width="7.44140625" style="3" customWidth="1"/>
    <col min="6664" max="6884" width="8.88671875" style="3"/>
    <col min="6885" max="6885" width="16.44140625" style="3" customWidth="1"/>
    <col min="6886" max="6892" width="10.33203125" style="3" customWidth="1"/>
    <col min="6893" max="6893" width="4.6640625" style="3" customWidth="1"/>
    <col min="6894" max="6894" width="1.6640625" style="3" customWidth="1"/>
    <col min="6895" max="6896" width="10.44140625" style="3" customWidth="1"/>
    <col min="6897" max="6897" width="1.21875" style="3" customWidth="1"/>
    <col min="6898" max="6899" width="10.44140625" style="3" customWidth="1"/>
    <col min="6900" max="6900" width="1.21875" style="3" customWidth="1"/>
    <col min="6901" max="6902" width="10.44140625" style="3" customWidth="1"/>
    <col min="6903" max="6903" width="1.21875" style="3" customWidth="1"/>
    <col min="6904" max="6908" width="10.44140625" style="3" customWidth="1"/>
    <col min="6909" max="6909" width="1.21875" style="3" customWidth="1"/>
    <col min="6910" max="6910" width="17.109375" style="3" customWidth="1"/>
    <col min="6911" max="6912" width="12.33203125" style="3" customWidth="1"/>
    <col min="6913" max="6913" width="13.5546875" style="3" customWidth="1"/>
    <col min="6914" max="6918" width="11.33203125" style="3" customWidth="1"/>
    <col min="6919" max="6919" width="7.44140625" style="3" customWidth="1"/>
    <col min="6920" max="7140" width="8.88671875" style="3"/>
    <col min="7141" max="7141" width="16.44140625" style="3" customWidth="1"/>
    <col min="7142" max="7148" width="10.33203125" style="3" customWidth="1"/>
    <col min="7149" max="7149" width="4.6640625" style="3" customWidth="1"/>
    <col min="7150" max="7150" width="1.6640625" style="3" customWidth="1"/>
    <col min="7151" max="7152" width="10.44140625" style="3" customWidth="1"/>
    <col min="7153" max="7153" width="1.21875" style="3" customWidth="1"/>
    <col min="7154" max="7155" width="10.44140625" style="3" customWidth="1"/>
    <col min="7156" max="7156" width="1.21875" style="3" customWidth="1"/>
    <col min="7157" max="7158" width="10.44140625" style="3" customWidth="1"/>
    <col min="7159" max="7159" width="1.21875" style="3" customWidth="1"/>
    <col min="7160" max="7164" width="10.44140625" style="3" customWidth="1"/>
    <col min="7165" max="7165" width="1.21875" style="3" customWidth="1"/>
    <col min="7166" max="7166" width="17.109375" style="3" customWidth="1"/>
    <col min="7167" max="7168" width="12.33203125" style="3" customWidth="1"/>
    <col min="7169" max="7169" width="13.5546875" style="3" customWidth="1"/>
    <col min="7170" max="7174" width="11.33203125" style="3" customWidth="1"/>
    <col min="7175" max="7175" width="7.44140625" style="3" customWidth="1"/>
    <col min="7176" max="7396" width="8.88671875" style="3"/>
    <col min="7397" max="7397" width="16.44140625" style="3" customWidth="1"/>
    <col min="7398" max="7404" width="10.33203125" style="3" customWidth="1"/>
    <col min="7405" max="7405" width="4.6640625" style="3" customWidth="1"/>
    <col min="7406" max="7406" width="1.6640625" style="3" customWidth="1"/>
    <col min="7407" max="7408" width="10.44140625" style="3" customWidth="1"/>
    <col min="7409" max="7409" width="1.21875" style="3" customWidth="1"/>
    <col min="7410" max="7411" width="10.44140625" style="3" customWidth="1"/>
    <col min="7412" max="7412" width="1.21875" style="3" customWidth="1"/>
    <col min="7413" max="7414" width="10.44140625" style="3" customWidth="1"/>
    <col min="7415" max="7415" width="1.21875" style="3" customWidth="1"/>
    <col min="7416" max="7420" width="10.44140625" style="3" customWidth="1"/>
    <col min="7421" max="7421" width="1.21875" style="3" customWidth="1"/>
    <col min="7422" max="7422" width="17.109375" style="3" customWidth="1"/>
    <col min="7423" max="7424" width="12.33203125" style="3" customWidth="1"/>
    <col min="7425" max="7425" width="13.5546875" style="3" customWidth="1"/>
    <col min="7426" max="7430" width="11.33203125" style="3" customWidth="1"/>
    <col min="7431" max="7431" width="7.44140625" style="3" customWidth="1"/>
    <col min="7432" max="7652" width="8.88671875" style="3"/>
    <col min="7653" max="7653" width="16.44140625" style="3" customWidth="1"/>
    <col min="7654" max="7660" width="10.33203125" style="3" customWidth="1"/>
    <col min="7661" max="7661" width="4.6640625" style="3" customWidth="1"/>
    <col min="7662" max="7662" width="1.6640625" style="3" customWidth="1"/>
    <col min="7663" max="7664" width="10.44140625" style="3" customWidth="1"/>
    <col min="7665" max="7665" width="1.21875" style="3" customWidth="1"/>
    <col min="7666" max="7667" width="10.44140625" style="3" customWidth="1"/>
    <col min="7668" max="7668" width="1.21875" style="3" customWidth="1"/>
    <col min="7669" max="7670" width="10.44140625" style="3" customWidth="1"/>
    <col min="7671" max="7671" width="1.21875" style="3" customWidth="1"/>
    <col min="7672" max="7676" width="10.44140625" style="3" customWidth="1"/>
    <col min="7677" max="7677" width="1.21875" style="3" customWidth="1"/>
    <col min="7678" max="7678" width="17.109375" style="3" customWidth="1"/>
    <col min="7679" max="7680" width="12.33203125" style="3" customWidth="1"/>
    <col min="7681" max="7681" width="13.5546875" style="3" customWidth="1"/>
    <col min="7682" max="7686" width="11.33203125" style="3" customWidth="1"/>
    <col min="7687" max="7687" width="7.44140625" style="3" customWidth="1"/>
    <col min="7688" max="7908" width="8.88671875" style="3"/>
    <col min="7909" max="7909" width="16.44140625" style="3" customWidth="1"/>
    <col min="7910" max="7916" width="10.33203125" style="3" customWidth="1"/>
    <col min="7917" max="7917" width="4.6640625" style="3" customWidth="1"/>
    <col min="7918" max="7918" width="1.6640625" style="3" customWidth="1"/>
    <col min="7919" max="7920" width="10.44140625" style="3" customWidth="1"/>
    <col min="7921" max="7921" width="1.21875" style="3" customWidth="1"/>
    <col min="7922" max="7923" width="10.44140625" style="3" customWidth="1"/>
    <col min="7924" max="7924" width="1.21875" style="3" customWidth="1"/>
    <col min="7925" max="7926" width="10.44140625" style="3" customWidth="1"/>
    <col min="7927" max="7927" width="1.21875" style="3" customWidth="1"/>
    <col min="7928" max="7932" width="10.44140625" style="3" customWidth="1"/>
    <col min="7933" max="7933" width="1.21875" style="3" customWidth="1"/>
    <col min="7934" max="7934" width="17.109375" style="3" customWidth="1"/>
    <col min="7935" max="7936" width="12.33203125" style="3" customWidth="1"/>
    <col min="7937" max="7937" width="13.5546875" style="3" customWidth="1"/>
    <col min="7938" max="7942" width="11.33203125" style="3" customWidth="1"/>
    <col min="7943" max="7943" width="7.44140625" style="3" customWidth="1"/>
    <col min="7944" max="8164" width="8.88671875" style="3"/>
    <col min="8165" max="8165" width="16.44140625" style="3" customWidth="1"/>
    <col min="8166" max="8172" width="10.33203125" style="3" customWidth="1"/>
    <col min="8173" max="8173" width="4.6640625" style="3" customWidth="1"/>
    <col min="8174" max="8174" width="1.6640625" style="3" customWidth="1"/>
    <col min="8175" max="8176" width="10.44140625" style="3" customWidth="1"/>
    <col min="8177" max="8177" width="1.21875" style="3" customWidth="1"/>
    <col min="8178" max="8179" width="10.44140625" style="3" customWidth="1"/>
    <col min="8180" max="8180" width="1.21875" style="3" customWidth="1"/>
    <col min="8181" max="8182" width="10.44140625" style="3" customWidth="1"/>
    <col min="8183" max="8183" width="1.21875" style="3" customWidth="1"/>
    <col min="8184" max="8188" width="10.44140625" style="3" customWidth="1"/>
    <col min="8189" max="8189" width="1.21875" style="3" customWidth="1"/>
    <col min="8190" max="8190" width="17.109375" style="3" customWidth="1"/>
    <col min="8191" max="8192" width="12.33203125" style="3" customWidth="1"/>
    <col min="8193" max="8193" width="13.5546875" style="3" customWidth="1"/>
    <col min="8194" max="8198" width="11.33203125" style="3" customWidth="1"/>
    <col min="8199" max="8199" width="7.44140625" style="3" customWidth="1"/>
    <col min="8200" max="8420" width="8.88671875" style="3"/>
    <col min="8421" max="8421" width="16.44140625" style="3" customWidth="1"/>
    <col min="8422" max="8428" width="10.33203125" style="3" customWidth="1"/>
    <col min="8429" max="8429" width="4.6640625" style="3" customWidth="1"/>
    <col min="8430" max="8430" width="1.6640625" style="3" customWidth="1"/>
    <col min="8431" max="8432" width="10.44140625" style="3" customWidth="1"/>
    <col min="8433" max="8433" width="1.21875" style="3" customWidth="1"/>
    <col min="8434" max="8435" width="10.44140625" style="3" customWidth="1"/>
    <col min="8436" max="8436" width="1.21875" style="3" customWidth="1"/>
    <col min="8437" max="8438" width="10.44140625" style="3" customWidth="1"/>
    <col min="8439" max="8439" width="1.21875" style="3" customWidth="1"/>
    <col min="8440" max="8444" width="10.44140625" style="3" customWidth="1"/>
    <col min="8445" max="8445" width="1.21875" style="3" customWidth="1"/>
    <col min="8446" max="8446" width="17.109375" style="3" customWidth="1"/>
    <col min="8447" max="8448" width="12.33203125" style="3" customWidth="1"/>
    <col min="8449" max="8449" width="13.5546875" style="3" customWidth="1"/>
    <col min="8450" max="8454" width="11.33203125" style="3" customWidth="1"/>
    <col min="8455" max="8455" width="7.44140625" style="3" customWidth="1"/>
    <col min="8456" max="8676" width="8.88671875" style="3"/>
    <col min="8677" max="8677" width="16.44140625" style="3" customWidth="1"/>
    <col min="8678" max="8684" width="10.33203125" style="3" customWidth="1"/>
    <col min="8685" max="8685" width="4.6640625" style="3" customWidth="1"/>
    <col min="8686" max="8686" width="1.6640625" style="3" customWidth="1"/>
    <col min="8687" max="8688" width="10.44140625" style="3" customWidth="1"/>
    <col min="8689" max="8689" width="1.21875" style="3" customWidth="1"/>
    <col min="8690" max="8691" width="10.44140625" style="3" customWidth="1"/>
    <col min="8692" max="8692" width="1.21875" style="3" customWidth="1"/>
    <col min="8693" max="8694" width="10.44140625" style="3" customWidth="1"/>
    <col min="8695" max="8695" width="1.21875" style="3" customWidth="1"/>
    <col min="8696" max="8700" width="10.44140625" style="3" customWidth="1"/>
    <col min="8701" max="8701" width="1.21875" style="3" customWidth="1"/>
    <col min="8702" max="8702" width="17.109375" style="3" customWidth="1"/>
    <col min="8703" max="8704" width="12.33203125" style="3" customWidth="1"/>
    <col min="8705" max="8705" width="13.5546875" style="3" customWidth="1"/>
    <col min="8706" max="8710" width="11.33203125" style="3" customWidth="1"/>
    <col min="8711" max="8711" width="7.44140625" style="3" customWidth="1"/>
    <col min="8712" max="8932" width="8.88671875" style="3"/>
    <col min="8933" max="8933" width="16.44140625" style="3" customWidth="1"/>
    <col min="8934" max="8940" width="10.33203125" style="3" customWidth="1"/>
    <col min="8941" max="8941" width="4.6640625" style="3" customWidth="1"/>
    <col min="8942" max="8942" width="1.6640625" style="3" customWidth="1"/>
    <col min="8943" max="8944" width="10.44140625" style="3" customWidth="1"/>
    <col min="8945" max="8945" width="1.21875" style="3" customWidth="1"/>
    <col min="8946" max="8947" width="10.44140625" style="3" customWidth="1"/>
    <col min="8948" max="8948" width="1.21875" style="3" customWidth="1"/>
    <col min="8949" max="8950" width="10.44140625" style="3" customWidth="1"/>
    <col min="8951" max="8951" width="1.21875" style="3" customWidth="1"/>
    <col min="8952" max="8956" width="10.44140625" style="3" customWidth="1"/>
    <col min="8957" max="8957" width="1.21875" style="3" customWidth="1"/>
    <col min="8958" max="8958" width="17.109375" style="3" customWidth="1"/>
    <col min="8959" max="8960" width="12.33203125" style="3" customWidth="1"/>
    <col min="8961" max="8961" width="13.5546875" style="3" customWidth="1"/>
    <col min="8962" max="8966" width="11.33203125" style="3" customWidth="1"/>
    <col min="8967" max="8967" width="7.44140625" style="3" customWidth="1"/>
    <col min="8968" max="9188" width="8.88671875" style="3"/>
    <col min="9189" max="9189" width="16.44140625" style="3" customWidth="1"/>
    <col min="9190" max="9196" width="10.33203125" style="3" customWidth="1"/>
    <col min="9197" max="9197" width="4.6640625" style="3" customWidth="1"/>
    <col min="9198" max="9198" width="1.6640625" style="3" customWidth="1"/>
    <col min="9199" max="9200" width="10.44140625" style="3" customWidth="1"/>
    <col min="9201" max="9201" width="1.21875" style="3" customWidth="1"/>
    <col min="9202" max="9203" width="10.44140625" style="3" customWidth="1"/>
    <col min="9204" max="9204" width="1.21875" style="3" customWidth="1"/>
    <col min="9205" max="9206" width="10.44140625" style="3" customWidth="1"/>
    <col min="9207" max="9207" width="1.21875" style="3" customWidth="1"/>
    <col min="9208" max="9212" width="10.44140625" style="3" customWidth="1"/>
    <col min="9213" max="9213" width="1.21875" style="3" customWidth="1"/>
    <col min="9214" max="9214" width="17.109375" style="3" customWidth="1"/>
    <col min="9215" max="9216" width="12.33203125" style="3" customWidth="1"/>
    <col min="9217" max="9217" width="13.5546875" style="3" customWidth="1"/>
    <col min="9218" max="9222" width="11.33203125" style="3" customWidth="1"/>
    <col min="9223" max="9223" width="7.44140625" style="3" customWidth="1"/>
    <col min="9224" max="9444" width="8.88671875" style="3"/>
    <col min="9445" max="9445" width="16.44140625" style="3" customWidth="1"/>
    <col min="9446" max="9452" width="10.33203125" style="3" customWidth="1"/>
    <col min="9453" max="9453" width="4.6640625" style="3" customWidth="1"/>
    <col min="9454" max="9454" width="1.6640625" style="3" customWidth="1"/>
    <col min="9455" max="9456" width="10.44140625" style="3" customWidth="1"/>
    <col min="9457" max="9457" width="1.21875" style="3" customWidth="1"/>
    <col min="9458" max="9459" width="10.44140625" style="3" customWidth="1"/>
    <col min="9460" max="9460" width="1.21875" style="3" customWidth="1"/>
    <col min="9461" max="9462" width="10.44140625" style="3" customWidth="1"/>
    <col min="9463" max="9463" width="1.21875" style="3" customWidth="1"/>
    <col min="9464" max="9468" width="10.44140625" style="3" customWidth="1"/>
    <col min="9469" max="9469" width="1.21875" style="3" customWidth="1"/>
    <col min="9470" max="9470" width="17.109375" style="3" customWidth="1"/>
    <col min="9471" max="9472" width="12.33203125" style="3" customWidth="1"/>
    <col min="9473" max="9473" width="13.5546875" style="3" customWidth="1"/>
    <col min="9474" max="9478" width="11.33203125" style="3" customWidth="1"/>
    <col min="9479" max="9479" width="7.44140625" style="3" customWidth="1"/>
    <col min="9480" max="9700" width="8.88671875" style="3"/>
    <col min="9701" max="9701" width="16.44140625" style="3" customWidth="1"/>
    <col min="9702" max="9708" width="10.33203125" style="3" customWidth="1"/>
    <col min="9709" max="9709" width="4.6640625" style="3" customWidth="1"/>
    <col min="9710" max="9710" width="1.6640625" style="3" customWidth="1"/>
    <col min="9711" max="9712" width="10.44140625" style="3" customWidth="1"/>
    <col min="9713" max="9713" width="1.21875" style="3" customWidth="1"/>
    <col min="9714" max="9715" width="10.44140625" style="3" customWidth="1"/>
    <col min="9716" max="9716" width="1.21875" style="3" customWidth="1"/>
    <col min="9717" max="9718" width="10.44140625" style="3" customWidth="1"/>
    <col min="9719" max="9719" width="1.21875" style="3" customWidth="1"/>
    <col min="9720" max="9724" width="10.44140625" style="3" customWidth="1"/>
    <col min="9725" max="9725" width="1.21875" style="3" customWidth="1"/>
    <col min="9726" max="9726" width="17.109375" style="3" customWidth="1"/>
    <col min="9727" max="9728" width="12.33203125" style="3" customWidth="1"/>
    <col min="9729" max="9729" width="13.5546875" style="3" customWidth="1"/>
    <col min="9730" max="9734" width="11.33203125" style="3" customWidth="1"/>
    <col min="9735" max="9735" width="7.44140625" style="3" customWidth="1"/>
    <col min="9736" max="9956" width="8.88671875" style="3"/>
    <col min="9957" max="9957" width="16.44140625" style="3" customWidth="1"/>
    <col min="9958" max="9964" width="10.33203125" style="3" customWidth="1"/>
    <col min="9965" max="9965" width="4.6640625" style="3" customWidth="1"/>
    <col min="9966" max="9966" width="1.6640625" style="3" customWidth="1"/>
    <col min="9967" max="9968" width="10.44140625" style="3" customWidth="1"/>
    <col min="9969" max="9969" width="1.21875" style="3" customWidth="1"/>
    <col min="9970" max="9971" width="10.44140625" style="3" customWidth="1"/>
    <col min="9972" max="9972" width="1.21875" style="3" customWidth="1"/>
    <col min="9973" max="9974" width="10.44140625" style="3" customWidth="1"/>
    <col min="9975" max="9975" width="1.21875" style="3" customWidth="1"/>
    <col min="9976" max="9980" width="10.44140625" style="3" customWidth="1"/>
    <col min="9981" max="9981" width="1.21875" style="3" customWidth="1"/>
    <col min="9982" max="9982" width="17.109375" style="3" customWidth="1"/>
    <col min="9983" max="9984" width="12.33203125" style="3" customWidth="1"/>
    <col min="9985" max="9985" width="13.5546875" style="3" customWidth="1"/>
    <col min="9986" max="9990" width="11.33203125" style="3" customWidth="1"/>
    <col min="9991" max="9991" width="7.44140625" style="3" customWidth="1"/>
    <col min="9992" max="10212" width="8.88671875" style="3"/>
    <col min="10213" max="10213" width="16.44140625" style="3" customWidth="1"/>
    <col min="10214" max="10220" width="10.33203125" style="3" customWidth="1"/>
    <col min="10221" max="10221" width="4.6640625" style="3" customWidth="1"/>
    <col min="10222" max="10222" width="1.6640625" style="3" customWidth="1"/>
    <col min="10223" max="10224" width="10.44140625" style="3" customWidth="1"/>
    <col min="10225" max="10225" width="1.21875" style="3" customWidth="1"/>
    <col min="10226" max="10227" width="10.44140625" style="3" customWidth="1"/>
    <col min="10228" max="10228" width="1.21875" style="3" customWidth="1"/>
    <col min="10229" max="10230" width="10.44140625" style="3" customWidth="1"/>
    <col min="10231" max="10231" width="1.21875" style="3" customWidth="1"/>
    <col min="10232" max="10236" width="10.44140625" style="3" customWidth="1"/>
    <col min="10237" max="10237" width="1.21875" style="3" customWidth="1"/>
    <col min="10238" max="10238" width="17.109375" style="3" customWidth="1"/>
    <col min="10239" max="10240" width="12.33203125" style="3" customWidth="1"/>
    <col min="10241" max="10241" width="13.5546875" style="3" customWidth="1"/>
    <col min="10242" max="10246" width="11.33203125" style="3" customWidth="1"/>
    <col min="10247" max="10247" width="7.44140625" style="3" customWidth="1"/>
    <col min="10248" max="10468" width="8.88671875" style="3"/>
    <col min="10469" max="10469" width="16.44140625" style="3" customWidth="1"/>
    <col min="10470" max="10476" width="10.33203125" style="3" customWidth="1"/>
    <col min="10477" max="10477" width="4.6640625" style="3" customWidth="1"/>
    <col min="10478" max="10478" width="1.6640625" style="3" customWidth="1"/>
    <col min="10479" max="10480" width="10.44140625" style="3" customWidth="1"/>
    <col min="10481" max="10481" width="1.21875" style="3" customWidth="1"/>
    <col min="10482" max="10483" width="10.44140625" style="3" customWidth="1"/>
    <col min="10484" max="10484" width="1.21875" style="3" customWidth="1"/>
    <col min="10485" max="10486" width="10.44140625" style="3" customWidth="1"/>
    <col min="10487" max="10487" width="1.21875" style="3" customWidth="1"/>
    <col min="10488" max="10492" width="10.44140625" style="3" customWidth="1"/>
    <col min="10493" max="10493" width="1.21875" style="3" customWidth="1"/>
    <col min="10494" max="10494" width="17.109375" style="3" customWidth="1"/>
    <col min="10495" max="10496" width="12.33203125" style="3" customWidth="1"/>
    <col min="10497" max="10497" width="13.5546875" style="3" customWidth="1"/>
    <col min="10498" max="10502" width="11.33203125" style="3" customWidth="1"/>
    <col min="10503" max="10503" width="7.44140625" style="3" customWidth="1"/>
    <col min="10504" max="10724" width="8.88671875" style="3"/>
    <col min="10725" max="10725" width="16.44140625" style="3" customWidth="1"/>
    <col min="10726" max="10732" width="10.33203125" style="3" customWidth="1"/>
    <col min="10733" max="10733" width="4.6640625" style="3" customWidth="1"/>
    <col min="10734" max="10734" width="1.6640625" style="3" customWidth="1"/>
    <col min="10735" max="10736" width="10.44140625" style="3" customWidth="1"/>
    <col min="10737" max="10737" width="1.21875" style="3" customWidth="1"/>
    <col min="10738" max="10739" width="10.44140625" style="3" customWidth="1"/>
    <col min="10740" max="10740" width="1.21875" style="3" customWidth="1"/>
    <col min="10741" max="10742" width="10.44140625" style="3" customWidth="1"/>
    <col min="10743" max="10743" width="1.21875" style="3" customWidth="1"/>
    <col min="10744" max="10748" width="10.44140625" style="3" customWidth="1"/>
    <col min="10749" max="10749" width="1.21875" style="3" customWidth="1"/>
    <col min="10750" max="10750" width="17.109375" style="3" customWidth="1"/>
    <col min="10751" max="10752" width="12.33203125" style="3" customWidth="1"/>
    <col min="10753" max="10753" width="13.5546875" style="3" customWidth="1"/>
    <col min="10754" max="10758" width="11.33203125" style="3" customWidth="1"/>
    <col min="10759" max="10759" width="7.44140625" style="3" customWidth="1"/>
    <col min="10760" max="10980" width="8.88671875" style="3"/>
    <col min="10981" max="10981" width="16.44140625" style="3" customWidth="1"/>
    <col min="10982" max="10988" width="10.33203125" style="3" customWidth="1"/>
    <col min="10989" max="10989" width="4.6640625" style="3" customWidth="1"/>
    <col min="10990" max="10990" width="1.6640625" style="3" customWidth="1"/>
    <col min="10991" max="10992" width="10.44140625" style="3" customWidth="1"/>
    <col min="10993" max="10993" width="1.21875" style="3" customWidth="1"/>
    <col min="10994" max="10995" width="10.44140625" style="3" customWidth="1"/>
    <col min="10996" max="10996" width="1.21875" style="3" customWidth="1"/>
    <col min="10997" max="10998" width="10.44140625" style="3" customWidth="1"/>
    <col min="10999" max="10999" width="1.21875" style="3" customWidth="1"/>
    <col min="11000" max="11004" width="10.44140625" style="3" customWidth="1"/>
    <col min="11005" max="11005" width="1.21875" style="3" customWidth="1"/>
    <col min="11006" max="11006" width="17.109375" style="3" customWidth="1"/>
    <col min="11007" max="11008" width="12.33203125" style="3" customWidth="1"/>
    <col min="11009" max="11009" width="13.5546875" style="3" customWidth="1"/>
    <col min="11010" max="11014" width="11.33203125" style="3" customWidth="1"/>
    <col min="11015" max="11015" width="7.44140625" style="3" customWidth="1"/>
    <col min="11016" max="11236" width="8.88671875" style="3"/>
    <col min="11237" max="11237" width="16.44140625" style="3" customWidth="1"/>
    <col min="11238" max="11244" width="10.33203125" style="3" customWidth="1"/>
    <col min="11245" max="11245" width="4.6640625" style="3" customWidth="1"/>
    <col min="11246" max="11246" width="1.6640625" style="3" customWidth="1"/>
    <col min="11247" max="11248" width="10.44140625" style="3" customWidth="1"/>
    <col min="11249" max="11249" width="1.21875" style="3" customWidth="1"/>
    <col min="11250" max="11251" width="10.44140625" style="3" customWidth="1"/>
    <col min="11252" max="11252" width="1.21875" style="3" customWidth="1"/>
    <col min="11253" max="11254" width="10.44140625" style="3" customWidth="1"/>
    <col min="11255" max="11255" width="1.21875" style="3" customWidth="1"/>
    <col min="11256" max="11260" width="10.44140625" style="3" customWidth="1"/>
    <col min="11261" max="11261" width="1.21875" style="3" customWidth="1"/>
    <col min="11262" max="11262" width="17.109375" style="3" customWidth="1"/>
    <col min="11263" max="11264" width="12.33203125" style="3" customWidth="1"/>
    <col min="11265" max="11265" width="13.5546875" style="3" customWidth="1"/>
    <col min="11266" max="11270" width="11.33203125" style="3" customWidth="1"/>
    <col min="11271" max="11271" width="7.44140625" style="3" customWidth="1"/>
    <col min="11272" max="11492" width="8.88671875" style="3"/>
    <col min="11493" max="11493" width="16.44140625" style="3" customWidth="1"/>
    <col min="11494" max="11500" width="10.33203125" style="3" customWidth="1"/>
    <col min="11501" max="11501" width="4.6640625" style="3" customWidth="1"/>
    <col min="11502" max="11502" width="1.6640625" style="3" customWidth="1"/>
    <col min="11503" max="11504" width="10.44140625" style="3" customWidth="1"/>
    <col min="11505" max="11505" width="1.21875" style="3" customWidth="1"/>
    <col min="11506" max="11507" width="10.44140625" style="3" customWidth="1"/>
    <col min="11508" max="11508" width="1.21875" style="3" customWidth="1"/>
    <col min="11509" max="11510" width="10.44140625" style="3" customWidth="1"/>
    <col min="11511" max="11511" width="1.21875" style="3" customWidth="1"/>
    <col min="11512" max="11516" width="10.44140625" style="3" customWidth="1"/>
    <col min="11517" max="11517" width="1.21875" style="3" customWidth="1"/>
    <col min="11518" max="11518" width="17.109375" style="3" customWidth="1"/>
    <col min="11519" max="11520" width="12.33203125" style="3" customWidth="1"/>
    <col min="11521" max="11521" width="13.5546875" style="3" customWidth="1"/>
    <col min="11522" max="11526" width="11.33203125" style="3" customWidth="1"/>
    <col min="11527" max="11527" width="7.44140625" style="3" customWidth="1"/>
    <col min="11528" max="11748" width="8.88671875" style="3"/>
    <col min="11749" max="11749" width="16.44140625" style="3" customWidth="1"/>
    <col min="11750" max="11756" width="10.33203125" style="3" customWidth="1"/>
    <col min="11757" max="11757" width="4.6640625" style="3" customWidth="1"/>
    <col min="11758" max="11758" width="1.6640625" style="3" customWidth="1"/>
    <col min="11759" max="11760" width="10.44140625" style="3" customWidth="1"/>
    <col min="11761" max="11761" width="1.21875" style="3" customWidth="1"/>
    <col min="11762" max="11763" width="10.44140625" style="3" customWidth="1"/>
    <col min="11764" max="11764" width="1.21875" style="3" customWidth="1"/>
    <col min="11765" max="11766" width="10.44140625" style="3" customWidth="1"/>
    <col min="11767" max="11767" width="1.21875" style="3" customWidth="1"/>
    <col min="11768" max="11772" width="10.44140625" style="3" customWidth="1"/>
    <col min="11773" max="11773" width="1.21875" style="3" customWidth="1"/>
    <col min="11774" max="11774" width="17.109375" style="3" customWidth="1"/>
    <col min="11775" max="11776" width="12.33203125" style="3" customWidth="1"/>
    <col min="11777" max="11777" width="13.5546875" style="3" customWidth="1"/>
    <col min="11778" max="11782" width="11.33203125" style="3" customWidth="1"/>
    <col min="11783" max="11783" width="7.44140625" style="3" customWidth="1"/>
    <col min="11784" max="12004" width="8.88671875" style="3"/>
    <col min="12005" max="12005" width="16.44140625" style="3" customWidth="1"/>
    <col min="12006" max="12012" width="10.33203125" style="3" customWidth="1"/>
    <col min="12013" max="12013" width="4.6640625" style="3" customWidth="1"/>
    <col min="12014" max="12014" width="1.6640625" style="3" customWidth="1"/>
    <col min="12015" max="12016" width="10.44140625" style="3" customWidth="1"/>
    <col min="12017" max="12017" width="1.21875" style="3" customWidth="1"/>
    <col min="12018" max="12019" width="10.44140625" style="3" customWidth="1"/>
    <col min="12020" max="12020" width="1.21875" style="3" customWidth="1"/>
    <col min="12021" max="12022" width="10.44140625" style="3" customWidth="1"/>
    <col min="12023" max="12023" width="1.21875" style="3" customWidth="1"/>
    <col min="12024" max="12028" width="10.44140625" style="3" customWidth="1"/>
    <col min="12029" max="12029" width="1.21875" style="3" customWidth="1"/>
    <col min="12030" max="12030" width="17.109375" style="3" customWidth="1"/>
    <col min="12031" max="12032" width="12.33203125" style="3" customWidth="1"/>
    <col min="12033" max="12033" width="13.5546875" style="3" customWidth="1"/>
    <col min="12034" max="12038" width="11.33203125" style="3" customWidth="1"/>
    <col min="12039" max="12039" width="7.44140625" style="3" customWidth="1"/>
    <col min="12040" max="12260" width="8.88671875" style="3"/>
    <col min="12261" max="12261" width="16.44140625" style="3" customWidth="1"/>
    <col min="12262" max="12268" width="10.33203125" style="3" customWidth="1"/>
    <col min="12269" max="12269" width="4.6640625" style="3" customWidth="1"/>
    <col min="12270" max="12270" width="1.6640625" style="3" customWidth="1"/>
    <col min="12271" max="12272" width="10.44140625" style="3" customWidth="1"/>
    <col min="12273" max="12273" width="1.21875" style="3" customWidth="1"/>
    <col min="12274" max="12275" width="10.44140625" style="3" customWidth="1"/>
    <col min="12276" max="12276" width="1.21875" style="3" customWidth="1"/>
    <col min="12277" max="12278" width="10.44140625" style="3" customWidth="1"/>
    <col min="12279" max="12279" width="1.21875" style="3" customWidth="1"/>
    <col min="12280" max="12284" width="10.44140625" style="3" customWidth="1"/>
    <col min="12285" max="12285" width="1.21875" style="3" customWidth="1"/>
    <col min="12286" max="12286" width="17.109375" style="3" customWidth="1"/>
    <col min="12287" max="12288" width="12.33203125" style="3" customWidth="1"/>
    <col min="12289" max="12289" width="13.5546875" style="3" customWidth="1"/>
    <col min="12290" max="12294" width="11.33203125" style="3" customWidth="1"/>
    <col min="12295" max="12295" width="7.44140625" style="3" customWidth="1"/>
    <col min="12296" max="12516" width="8.88671875" style="3"/>
    <col min="12517" max="12517" width="16.44140625" style="3" customWidth="1"/>
    <col min="12518" max="12524" width="10.33203125" style="3" customWidth="1"/>
    <col min="12525" max="12525" width="4.6640625" style="3" customWidth="1"/>
    <col min="12526" max="12526" width="1.6640625" style="3" customWidth="1"/>
    <col min="12527" max="12528" width="10.44140625" style="3" customWidth="1"/>
    <col min="12529" max="12529" width="1.21875" style="3" customWidth="1"/>
    <col min="12530" max="12531" width="10.44140625" style="3" customWidth="1"/>
    <col min="12532" max="12532" width="1.21875" style="3" customWidth="1"/>
    <col min="12533" max="12534" width="10.44140625" style="3" customWidth="1"/>
    <col min="12535" max="12535" width="1.21875" style="3" customWidth="1"/>
    <col min="12536" max="12540" width="10.44140625" style="3" customWidth="1"/>
    <col min="12541" max="12541" width="1.21875" style="3" customWidth="1"/>
    <col min="12542" max="12542" width="17.109375" style="3" customWidth="1"/>
    <col min="12543" max="12544" width="12.33203125" style="3" customWidth="1"/>
    <col min="12545" max="12545" width="13.5546875" style="3" customWidth="1"/>
    <col min="12546" max="12550" width="11.33203125" style="3" customWidth="1"/>
    <col min="12551" max="12551" width="7.44140625" style="3" customWidth="1"/>
    <col min="12552" max="12772" width="8.88671875" style="3"/>
    <col min="12773" max="12773" width="16.44140625" style="3" customWidth="1"/>
    <col min="12774" max="12780" width="10.33203125" style="3" customWidth="1"/>
    <col min="12781" max="12781" width="4.6640625" style="3" customWidth="1"/>
    <col min="12782" max="12782" width="1.6640625" style="3" customWidth="1"/>
    <col min="12783" max="12784" width="10.44140625" style="3" customWidth="1"/>
    <col min="12785" max="12785" width="1.21875" style="3" customWidth="1"/>
    <col min="12786" max="12787" width="10.44140625" style="3" customWidth="1"/>
    <col min="12788" max="12788" width="1.21875" style="3" customWidth="1"/>
    <col min="12789" max="12790" width="10.44140625" style="3" customWidth="1"/>
    <col min="12791" max="12791" width="1.21875" style="3" customWidth="1"/>
    <col min="12792" max="12796" width="10.44140625" style="3" customWidth="1"/>
    <col min="12797" max="12797" width="1.21875" style="3" customWidth="1"/>
    <col min="12798" max="12798" width="17.109375" style="3" customWidth="1"/>
    <col min="12799" max="12800" width="12.33203125" style="3" customWidth="1"/>
    <col min="12801" max="12801" width="13.5546875" style="3" customWidth="1"/>
    <col min="12802" max="12806" width="11.33203125" style="3" customWidth="1"/>
    <col min="12807" max="12807" width="7.44140625" style="3" customWidth="1"/>
    <col min="12808" max="13028" width="8.88671875" style="3"/>
    <col min="13029" max="13029" width="16.44140625" style="3" customWidth="1"/>
    <col min="13030" max="13036" width="10.33203125" style="3" customWidth="1"/>
    <col min="13037" max="13037" width="4.6640625" style="3" customWidth="1"/>
    <col min="13038" max="13038" width="1.6640625" style="3" customWidth="1"/>
    <col min="13039" max="13040" width="10.44140625" style="3" customWidth="1"/>
    <col min="13041" max="13041" width="1.21875" style="3" customWidth="1"/>
    <col min="13042" max="13043" width="10.44140625" style="3" customWidth="1"/>
    <col min="13044" max="13044" width="1.21875" style="3" customWidth="1"/>
    <col min="13045" max="13046" width="10.44140625" style="3" customWidth="1"/>
    <col min="13047" max="13047" width="1.21875" style="3" customWidth="1"/>
    <col min="13048" max="13052" width="10.44140625" style="3" customWidth="1"/>
    <col min="13053" max="13053" width="1.21875" style="3" customWidth="1"/>
    <col min="13054" max="13054" width="17.109375" style="3" customWidth="1"/>
    <col min="13055" max="13056" width="12.33203125" style="3" customWidth="1"/>
    <col min="13057" max="13057" width="13.5546875" style="3" customWidth="1"/>
    <col min="13058" max="13062" width="11.33203125" style="3" customWidth="1"/>
    <col min="13063" max="13063" width="7.44140625" style="3" customWidth="1"/>
    <col min="13064" max="13284" width="8.88671875" style="3"/>
    <col min="13285" max="13285" width="16.44140625" style="3" customWidth="1"/>
    <col min="13286" max="13292" width="10.33203125" style="3" customWidth="1"/>
    <col min="13293" max="13293" width="4.6640625" style="3" customWidth="1"/>
    <col min="13294" max="13294" width="1.6640625" style="3" customWidth="1"/>
    <col min="13295" max="13296" width="10.44140625" style="3" customWidth="1"/>
    <col min="13297" max="13297" width="1.21875" style="3" customWidth="1"/>
    <col min="13298" max="13299" width="10.44140625" style="3" customWidth="1"/>
    <col min="13300" max="13300" width="1.21875" style="3" customWidth="1"/>
    <col min="13301" max="13302" width="10.44140625" style="3" customWidth="1"/>
    <col min="13303" max="13303" width="1.21875" style="3" customWidth="1"/>
    <col min="13304" max="13308" width="10.44140625" style="3" customWidth="1"/>
    <col min="13309" max="13309" width="1.21875" style="3" customWidth="1"/>
    <col min="13310" max="13310" width="17.109375" style="3" customWidth="1"/>
    <col min="13311" max="13312" width="12.33203125" style="3" customWidth="1"/>
    <col min="13313" max="13313" width="13.5546875" style="3" customWidth="1"/>
    <col min="13314" max="13318" width="11.33203125" style="3" customWidth="1"/>
    <col min="13319" max="13319" width="7.44140625" style="3" customWidth="1"/>
    <col min="13320" max="13540" width="8.88671875" style="3"/>
    <col min="13541" max="13541" width="16.44140625" style="3" customWidth="1"/>
    <col min="13542" max="13548" width="10.33203125" style="3" customWidth="1"/>
    <col min="13549" max="13549" width="4.6640625" style="3" customWidth="1"/>
    <col min="13550" max="13550" width="1.6640625" style="3" customWidth="1"/>
    <col min="13551" max="13552" width="10.44140625" style="3" customWidth="1"/>
    <col min="13553" max="13553" width="1.21875" style="3" customWidth="1"/>
    <col min="13554" max="13555" width="10.44140625" style="3" customWidth="1"/>
    <col min="13556" max="13556" width="1.21875" style="3" customWidth="1"/>
    <col min="13557" max="13558" width="10.44140625" style="3" customWidth="1"/>
    <col min="13559" max="13559" width="1.21875" style="3" customWidth="1"/>
    <col min="13560" max="13564" width="10.44140625" style="3" customWidth="1"/>
    <col min="13565" max="13565" width="1.21875" style="3" customWidth="1"/>
    <col min="13566" max="13566" width="17.109375" style="3" customWidth="1"/>
    <col min="13567" max="13568" width="12.33203125" style="3" customWidth="1"/>
    <col min="13569" max="13569" width="13.5546875" style="3" customWidth="1"/>
    <col min="13570" max="13574" width="11.33203125" style="3" customWidth="1"/>
    <col min="13575" max="13575" width="7.44140625" style="3" customWidth="1"/>
    <col min="13576" max="13796" width="8.88671875" style="3"/>
    <col min="13797" max="13797" width="16.44140625" style="3" customWidth="1"/>
    <col min="13798" max="13804" width="10.33203125" style="3" customWidth="1"/>
    <col min="13805" max="13805" width="4.6640625" style="3" customWidth="1"/>
    <col min="13806" max="13806" width="1.6640625" style="3" customWidth="1"/>
    <col min="13807" max="13808" width="10.44140625" style="3" customWidth="1"/>
    <col min="13809" max="13809" width="1.21875" style="3" customWidth="1"/>
    <col min="13810" max="13811" width="10.44140625" style="3" customWidth="1"/>
    <col min="13812" max="13812" width="1.21875" style="3" customWidth="1"/>
    <col min="13813" max="13814" width="10.44140625" style="3" customWidth="1"/>
    <col min="13815" max="13815" width="1.21875" style="3" customWidth="1"/>
    <col min="13816" max="13820" width="10.44140625" style="3" customWidth="1"/>
    <col min="13821" max="13821" width="1.21875" style="3" customWidth="1"/>
    <col min="13822" max="13822" width="17.109375" style="3" customWidth="1"/>
    <col min="13823" max="13824" width="12.33203125" style="3" customWidth="1"/>
    <col min="13825" max="13825" width="13.5546875" style="3" customWidth="1"/>
    <col min="13826" max="13830" width="11.33203125" style="3" customWidth="1"/>
    <col min="13831" max="13831" width="7.44140625" style="3" customWidth="1"/>
    <col min="13832" max="14052" width="8.88671875" style="3"/>
    <col min="14053" max="14053" width="16.44140625" style="3" customWidth="1"/>
    <col min="14054" max="14060" width="10.33203125" style="3" customWidth="1"/>
    <col min="14061" max="14061" width="4.6640625" style="3" customWidth="1"/>
    <col min="14062" max="14062" width="1.6640625" style="3" customWidth="1"/>
    <col min="14063" max="14064" width="10.44140625" style="3" customWidth="1"/>
    <col min="14065" max="14065" width="1.21875" style="3" customWidth="1"/>
    <col min="14066" max="14067" width="10.44140625" style="3" customWidth="1"/>
    <col min="14068" max="14068" width="1.21875" style="3" customWidth="1"/>
    <col min="14069" max="14070" width="10.44140625" style="3" customWidth="1"/>
    <col min="14071" max="14071" width="1.21875" style="3" customWidth="1"/>
    <col min="14072" max="14076" width="10.44140625" style="3" customWidth="1"/>
    <col min="14077" max="14077" width="1.21875" style="3" customWidth="1"/>
    <col min="14078" max="14078" width="17.109375" style="3" customWidth="1"/>
    <col min="14079" max="14080" width="12.33203125" style="3" customWidth="1"/>
    <col min="14081" max="14081" width="13.5546875" style="3" customWidth="1"/>
    <col min="14082" max="14086" width="11.33203125" style="3" customWidth="1"/>
    <col min="14087" max="14087" width="7.44140625" style="3" customWidth="1"/>
    <col min="14088" max="14308" width="8.88671875" style="3"/>
    <col min="14309" max="14309" width="16.44140625" style="3" customWidth="1"/>
    <col min="14310" max="14316" width="10.33203125" style="3" customWidth="1"/>
    <col min="14317" max="14317" width="4.6640625" style="3" customWidth="1"/>
    <col min="14318" max="14318" width="1.6640625" style="3" customWidth="1"/>
    <col min="14319" max="14320" width="10.44140625" style="3" customWidth="1"/>
    <col min="14321" max="14321" width="1.21875" style="3" customWidth="1"/>
    <col min="14322" max="14323" width="10.44140625" style="3" customWidth="1"/>
    <col min="14324" max="14324" width="1.21875" style="3" customWidth="1"/>
    <col min="14325" max="14326" width="10.44140625" style="3" customWidth="1"/>
    <col min="14327" max="14327" width="1.21875" style="3" customWidth="1"/>
    <col min="14328" max="14332" width="10.44140625" style="3" customWidth="1"/>
    <col min="14333" max="14333" width="1.21875" style="3" customWidth="1"/>
    <col min="14334" max="14334" width="17.109375" style="3" customWidth="1"/>
    <col min="14335" max="14336" width="12.33203125" style="3" customWidth="1"/>
    <col min="14337" max="14337" width="13.5546875" style="3" customWidth="1"/>
    <col min="14338" max="14342" width="11.33203125" style="3" customWidth="1"/>
    <col min="14343" max="14343" width="7.44140625" style="3" customWidth="1"/>
    <col min="14344" max="14564" width="8.88671875" style="3"/>
    <col min="14565" max="14565" width="16.44140625" style="3" customWidth="1"/>
    <col min="14566" max="14572" width="10.33203125" style="3" customWidth="1"/>
    <col min="14573" max="14573" width="4.6640625" style="3" customWidth="1"/>
    <col min="14574" max="14574" width="1.6640625" style="3" customWidth="1"/>
    <col min="14575" max="14576" width="10.44140625" style="3" customWidth="1"/>
    <col min="14577" max="14577" width="1.21875" style="3" customWidth="1"/>
    <col min="14578" max="14579" width="10.44140625" style="3" customWidth="1"/>
    <col min="14580" max="14580" width="1.21875" style="3" customWidth="1"/>
    <col min="14581" max="14582" width="10.44140625" style="3" customWidth="1"/>
    <col min="14583" max="14583" width="1.21875" style="3" customWidth="1"/>
    <col min="14584" max="14588" width="10.44140625" style="3" customWidth="1"/>
    <col min="14589" max="14589" width="1.21875" style="3" customWidth="1"/>
    <col min="14590" max="14590" width="17.109375" style="3" customWidth="1"/>
    <col min="14591" max="14592" width="12.33203125" style="3" customWidth="1"/>
    <col min="14593" max="14593" width="13.5546875" style="3" customWidth="1"/>
    <col min="14594" max="14598" width="11.33203125" style="3" customWidth="1"/>
    <col min="14599" max="14599" width="7.44140625" style="3" customWidth="1"/>
    <col min="14600" max="14820" width="8.88671875" style="3"/>
    <col min="14821" max="14821" width="16.44140625" style="3" customWidth="1"/>
    <col min="14822" max="14828" width="10.33203125" style="3" customWidth="1"/>
    <col min="14829" max="14829" width="4.6640625" style="3" customWidth="1"/>
    <col min="14830" max="14830" width="1.6640625" style="3" customWidth="1"/>
    <col min="14831" max="14832" width="10.44140625" style="3" customWidth="1"/>
    <col min="14833" max="14833" width="1.21875" style="3" customWidth="1"/>
    <col min="14834" max="14835" width="10.44140625" style="3" customWidth="1"/>
    <col min="14836" max="14836" width="1.21875" style="3" customWidth="1"/>
    <col min="14837" max="14838" width="10.44140625" style="3" customWidth="1"/>
    <col min="14839" max="14839" width="1.21875" style="3" customWidth="1"/>
    <col min="14840" max="14844" width="10.44140625" style="3" customWidth="1"/>
    <col min="14845" max="14845" width="1.21875" style="3" customWidth="1"/>
    <col min="14846" max="14846" width="17.109375" style="3" customWidth="1"/>
    <col min="14847" max="14848" width="12.33203125" style="3" customWidth="1"/>
    <col min="14849" max="14849" width="13.5546875" style="3" customWidth="1"/>
    <col min="14850" max="14854" width="11.33203125" style="3" customWidth="1"/>
    <col min="14855" max="14855" width="7.44140625" style="3" customWidth="1"/>
    <col min="14856" max="15076" width="8.88671875" style="3"/>
    <col min="15077" max="15077" width="16.44140625" style="3" customWidth="1"/>
    <col min="15078" max="15084" width="10.33203125" style="3" customWidth="1"/>
    <col min="15085" max="15085" width="4.6640625" style="3" customWidth="1"/>
    <col min="15086" max="15086" width="1.6640625" style="3" customWidth="1"/>
    <col min="15087" max="15088" width="10.44140625" style="3" customWidth="1"/>
    <col min="15089" max="15089" width="1.21875" style="3" customWidth="1"/>
    <col min="15090" max="15091" width="10.44140625" style="3" customWidth="1"/>
    <col min="15092" max="15092" width="1.21875" style="3" customWidth="1"/>
    <col min="15093" max="15094" width="10.44140625" style="3" customWidth="1"/>
    <col min="15095" max="15095" width="1.21875" style="3" customWidth="1"/>
    <col min="15096" max="15100" width="10.44140625" style="3" customWidth="1"/>
    <col min="15101" max="15101" width="1.21875" style="3" customWidth="1"/>
    <col min="15102" max="15102" width="17.109375" style="3" customWidth="1"/>
    <col min="15103" max="15104" width="12.33203125" style="3" customWidth="1"/>
    <col min="15105" max="15105" width="13.5546875" style="3" customWidth="1"/>
    <col min="15106" max="15110" width="11.33203125" style="3" customWidth="1"/>
    <col min="15111" max="15111" width="7.44140625" style="3" customWidth="1"/>
    <col min="15112" max="15332" width="8.88671875" style="3"/>
    <col min="15333" max="15333" width="16.44140625" style="3" customWidth="1"/>
    <col min="15334" max="15340" width="10.33203125" style="3" customWidth="1"/>
    <col min="15341" max="15341" width="4.6640625" style="3" customWidth="1"/>
    <col min="15342" max="15342" width="1.6640625" style="3" customWidth="1"/>
    <col min="15343" max="15344" width="10.44140625" style="3" customWidth="1"/>
    <col min="15345" max="15345" width="1.21875" style="3" customWidth="1"/>
    <col min="15346" max="15347" width="10.44140625" style="3" customWidth="1"/>
    <col min="15348" max="15348" width="1.21875" style="3" customWidth="1"/>
    <col min="15349" max="15350" width="10.44140625" style="3" customWidth="1"/>
    <col min="15351" max="15351" width="1.21875" style="3" customWidth="1"/>
    <col min="15352" max="15356" width="10.44140625" style="3" customWidth="1"/>
    <col min="15357" max="15357" width="1.21875" style="3" customWidth="1"/>
    <col min="15358" max="15358" width="17.109375" style="3" customWidth="1"/>
    <col min="15359" max="15360" width="12.33203125" style="3" customWidth="1"/>
    <col min="15361" max="15361" width="13.5546875" style="3" customWidth="1"/>
    <col min="15362" max="15366" width="11.33203125" style="3" customWidth="1"/>
    <col min="15367" max="15367" width="7.44140625" style="3" customWidth="1"/>
    <col min="15368" max="15588" width="8.88671875" style="3"/>
    <col min="15589" max="15589" width="16.44140625" style="3" customWidth="1"/>
    <col min="15590" max="15596" width="10.33203125" style="3" customWidth="1"/>
    <col min="15597" max="15597" width="4.6640625" style="3" customWidth="1"/>
    <col min="15598" max="15598" width="1.6640625" style="3" customWidth="1"/>
    <col min="15599" max="15600" width="10.44140625" style="3" customWidth="1"/>
    <col min="15601" max="15601" width="1.21875" style="3" customWidth="1"/>
    <col min="15602" max="15603" width="10.44140625" style="3" customWidth="1"/>
    <col min="15604" max="15604" width="1.21875" style="3" customWidth="1"/>
    <col min="15605" max="15606" width="10.44140625" style="3" customWidth="1"/>
    <col min="15607" max="15607" width="1.21875" style="3" customWidth="1"/>
    <col min="15608" max="15612" width="10.44140625" style="3" customWidth="1"/>
    <col min="15613" max="15613" width="1.21875" style="3" customWidth="1"/>
    <col min="15614" max="15614" width="17.109375" style="3" customWidth="1"/>
    <col min="15615" max="15616" width="12.33203125" style="3" customWidth="1"/>
    <col min="15617" max="15617" width="13.5546875" style="3" customWidth="1"/>
    <col min="15618" max="15622" width="11.33203125" style="3" customWidth="1"/>
    <col min="15623" max="15623" width="7.44140625" style="3" customWidth="1"/>
    <col min="15624" max="15844" width="8.88671875" style="3"/>
    <col min="15845" max="15845" width="16.44140625" style="3" customWidth="1"/>
    <col min="15846" max="15852" width="10.33203125" style="3" customWidth="1"/>
    <col min="15853" max="15853" width="4.6640625" style="3" customWidth="1"/>
    <col min="15854" max="15854" width="1.6640625" style="3" customWidth="1"/>
    <col min="15855" max="15856" width="10.44140625" style="3" customWidth="1"/>
    <col min="15857" max="15857" width="1.21875" style="3" customWidth="1"/>
    <col min="15858" max="15859" width="10.44140625" style="3" customWidth="1"/>
    <col min="15860" max="15860" width="1.21875" style="3" customWidth="1"/>
    <col min="15861" max="15862" width="10.44140625" style="3" customWidth="1"/>
    <col min="15863" max="15863" width="1.21875" style="3" customWidth="1"/>
    <col min="15864" max="15868" width="10.44140625" style="3" customWidth="1"/>
    <col min="15869" max="15869" width="1.21875" style="3" customWidth="1"/>
    <col min="15870" max="15870" width="17.109375" style="3" customWidth="1"/>
    <col min="15871" max="15872" width="12.33203125" style="3" customWidth="1"/>
    <col min="15873" max="15873" width="13.5546875" style="3" customWidth="1"/>
    <col min="15874" max="15878" width="11.33203125" style="3" customWidth="1"/>
    <col min="15879" max="15879" width="7.44140625" style="3" customWidth="1"/>
    <col min="15880" max="16100" width="8.88671875" style="3"/>
    <col min="16101" max="16101" width="16.44140625" style="3" customWidth="1"/>
    <col min="16102" max="16108" width="10.33203125" style="3" customWidth="1"/>
    <col min="16109" max="16109" width="4.6640625" style="3" customWidth="1"/>
    <col min="16110" max="16110" width="1.6640625" style="3" customWidth="1"/>
    <col min="16111" max="16112" width="10.44140625" style="3" customWidth="1"/>
    <col min="16113" max="16113" width="1.21875" style="3" customWidth="1"/>
    <col min="16114" max="16115" width="10.44140625" style="3" customWidth="1"/>
    <col min="16116" max="16116" width="1.21875" style="3" customWidth="1"/>
    <col min="16117" max="16118" width="10.44140625" style="3" customWidth="1"/>
    <col min="16119" max="16119" width="1.21875" style="3" customWidth="1"/>
    <col min="16120" max="16124" width="10.44140625" style="3" customWidth="1"/>
    <col min="16125" max="16125" width="1.21875" style="3" customWidth="1"/>
    <col min="16126" max="16126" width="17.109375" style="3" customWidth="1"/>
    <col min="16127" max="16128" width="12.33203125" style="3" customWidth="1"/>
    <col min="16129" max="16129" width="13.5546875" style="3" customWidth="1"/>
    <col min="16130" max="16134" width="11.33203125" style="3" customWidth="1"/>
    <col min="16135" max="16135" width="7.44140625" style="3" customWidth="1"/>
    <col min="16136" max="16384" width="8.88671875" style="3"/>
  </cols>
  <sheetData>
    <row r="1" spans="1:36">
      <c r="A1" s="1" t="s">
        <v>1304</v>
      </c>
    </row>
    <row r="2" spans="1:36" ht="13.5" customHeight="1">
      <c r="A2" s="1" t="s">
        <v>242</v>
      </c>
      <c r="B2" s="2"/>
    </row>
    <row r="3" spans="1:36" ht="13.5" customHeight="1" thickBot="1">
      <c r="A3" s="1"/>
      <c r="B3" s="4"/>
    </row>
    <row r="4" spans="1:36" ht="13.5" customHeight="1">
      <c r="A4" s="539" t="s">
        <v>4150</v>
      </c>
      <c r="B4" s="540"/>
      <c r="C4" s="540"/>
      <c r="D4" s="540"/>
      <c r="E4" s="540"/>
      <c r="F4" s="540"/>
      <c r="G4" s="540"/>
      <c r="H4" s="541"/>
      <c r="K4" s="539" t="s">
        <v>3942</v>
      </c>
      <c r="L4" s="540"/>
      <c r="M4" s="540"/>
      <c r="N4" s="540"/>
      <c r="O4" s="540"/>
      <c r="P4" s="540"/>
      <c r="Q4" s="540"/>
      <c r="R4" s="541"/>
      <c r="T4" s="539" t="s">
        <v>3943</v>
      </c>
      <c r="U4" s="540"/>
      <c r="V4" s="540"/>
      <c r="W4" s="540"/>
      <c r="X4" s="540"/>
      <c r="Y4" s="540"/>
      <c r="Z4" s="540"/>
      <c r="AA4" s="541"/>
      <c r="AC4" s="539" t="s">
        <v>3949</v>
      </c>
      <c r="AD4" s="540"/>
      <c r="AE4" s="540"/>
      <c r="AF4" s="540"/>
      <c r="AG4" s="540"/>
      <c r="AH4" s="540"/>
      <c r="AI4" s="540"/>
      <c r="AJ4" s="541"/>
    </row>
    <row r="5" spans="1:36" ht="13.5" customHeight="1">
      <c r="A5" s="542"/>
      <c r="B5" s="543"/>
      <c r="C5" s="543"/>
      <c r="D5" s="543"/>
      <c r="E5" s="543"/>
      <c r="F5" s="543"/>
      <c r="G5" s="543"/>
      <c r="H5" s="544"/>
      <c r="K5" s="542"/>
      <c r="L5" s="543"/>
      <c r="M5" s="543"/>
      <c r="N5" s="543"/>
      <c r="O5" s="543"/>
      <c r="P5" s="543"/>
      <c r="Q5" s="543"/>
      <c r="R5" s="544"/>
      <c r="T5" s="542"/>
      <c r="U5" s="543"/>
      <c r="V5" s="543"/>
      <c r="W5" s="543"/>
      <c r="X5" s="543"/>
      <c r="Y5" s="543"/>
      <c r="Z5" s="543"/>
      <c r="AA5" s="544"/>
      <c r="AC5" s="542"/>
      <c r="AD5" s="543"/>
      <c r="AE5" s="543"/>
      <c r="AF5" s="543"/>
      <c r="AG5" s="543"/>
      <c r="AH5" s="543"/>
      <c r="AI5" s="543"/>
      <c r="AJ5" s="544"/>
    </row>
    <row r="6" spans="1:36" ht="13.5" customHeight="1">
      <c r="A6" s="273"/>
      <c r="F6" s="5" t="s">
        <v>18</v>
      </c>
      <c r="G6" s="5" t="s">
        <v>118</v>
      </c>
      <c r="H6" s="545" t="s">
        <v>4661</v>
      </c>
      <c r="I6" s="225"/>
      <c r="K6" s="273"/>
      <c r="P6" s="5" t="s">
        <v>18</v>
      </c>
      <c r="Q6" s="5" t="s">
        <v>118</v>
      </c>
      <c r="R6" s="545" t="str">
        <f>H6</f>
        <v>Average Investment 03/31/2025</v>
      </c>
      <c r="T6" s="273"/>
      <c r="Y6" s="5" t="s">
        <v>18</v>
      </c>
      <c r="Z6" s="5" t="s">
        <v>118</v>
      </c>
      <c r="AA6" s="545" t="str">
        <f>Q6</f>
        <v>Ending</v>
      </c>
      <c r="AC6" s="273"/>
      <c r="AH6" s="5" t="s">
        <v>18</v>
      </c>
      <c r="AI6" s="5" t="s">
        <v>118</v>
      </c>
      <c r="AJ6" s="545" t="str">
        <f>Z6</f>
        <v>Ending</v>
      </c>
    </row>
    <row r="7" spans="1:36" ht="13.5" customHeight="1">
      <c r="A7" s="274" t="s">
        <v>121</v>
      </c>
      <c r="B7" s="5" t="s">
        <v>42</v>
      </c>
      <c r="C7" s="5" t="s">
        <v>23</v>
      </c>
      <c r="D7" s="5" t="s">
        <v>67</v>
      </c>
      <c r="E7" s="5" t="s">
        <v>122</v>
      </c>
      <c r="F7" s="5" t="s">
        <v>123</v>
      </c>
      <c r="G7" s="5" t="s">
        <v>123</v>
      </c>
      <c r="H7" s="545"/>
      <c r="I7" s="225"/>
      <c r="K7" s="274" t="s">
        <v>121</v>
      </c>
      <c r="L7" s="5" t="s">
        <v>42</v>
      </c>
      <c r="M7" s="5" t="s">
        <v>23</v>
      </c>
      <c r="N7" s="5" t="s">
        <v>67</v>
      </c>
      <c r="O7" s="5" t="s">
        <v>122</v>
      </c>
      <c r="P7" s="5" t="s">
        <v>123</v>
      </c>
      <c r="Q7" s="5" t="s">
        <v>123</v>
      </c>
      <c r="R7" s="545"/>
      <c r="T7" s="274" t="s">
        <v>121</v>
      </c>
      <c r="U7" s="5" t="s">
        <v>42</v>
      </c>
      <c r="V7" s="5" t="s">
        <v>23</v>
      </c>
      <c r="W7" s="5" t="s">
        <v>67</v>
      </c>
      <c r="X7" s="5" t="s">
        <v>122</v>
      </c>
      <c r="Y7" s="5" t="s">
        <v>123</v>
      </c>
      <c r="Z7" s="5" t="s">
        <v>123</v>
      </c>
      <c r="AA7" s="545"/>
      <c r="AC7" s="274" t="s">
        <v>121</v>
      </c>
      <c r="AD7" s="5" t="s">
        <v>42</v>
      </c>
      <c r="AE7" s="5" t="s">
        <v>23</v>
      </c>
      <c r="AF7" s="5" t="s">
        <v>67</v>
      </c>
      <c r="AG7" s="5" t="s">
        <v>122</v>
      </c>
      <c r="AH7" s="5" t="s">
        <v>123</v>
      </c>
      <c r="AI7" s="5" t="s">
        <v>123</v>
      </c>
      <c r="AJ7" s="545"/>
    </row>
    <row r="8" spans="1:36" ht="22.5" customHeight="1">
      <c r="A8" s="274"/>
      <c r="B8" s="5"/>
      <c r="C8" s="5"/>
      <c r="D8" s="5" t="s">
        <v>42</v>
      </c>
      <c r="E8" s="5" t="s">
        <v>67</v>
      </c>
      <c r="F8" s="7">
        <v>45383</v>
      </c>
      <c r="G8" s="8">
        <v>45747</v>
      </c>
      <c r="H8" s="545"/>
      <c r="I8" s="225"/>
      <c r="K8" s="274"/>
      <c r="L8" s="5"/>
      <c r="M8" s="5"/>
      <c r="N8" s="5" t="s">
        <v>42</v>
      </c>
      <c r="O8" s="5" t="s">
        <v>67</v>
      </c>
      <c r="P8" s="7">
        <v>44927</v>
      </c>
      <c r="Q8" s="8">
        <v>45291</v>
      </c>
      <c r="R8" s="545"/>
      <c r="T8" s="274"/>
      <c r="U8" s="5"/>
      <c r="V8" s="5"/>
      <c r="W8" s="5" t="s">
        <v>42</v>
      </c>
      <c r="X8" s="5" t="s">
        <v>67</v>
      </c>
      <c r="Y8" s="7">
        <v>44562</v>
      </c>
      <c r="Z8" s="8">
        <v>44926</v>
      </c>
      <c r="AA8" s="545"/>
      <c r="AC8" s="274"/>
      <c r="AD8" s="5"/>
      <c r="AE8" s="5"/>
      <c r="AF8" s="5" t="s">
        <v>42</v>
      </c>
      <c r="AG8" s="5" t="s">
        <v>67</v>
      </c>
      <c r="AH8" s="7">
        <v>44927</v>
      </c>
      <c r="AI8" s="8">
        <v>45291</v>
      </c>
      <c r="AJ8" s="545"/>
    </row>
    <row r="9" spans="1:36" ht="13.5" customHeight="1">
      <c r="A9" s="275" t="s">
        <v>124</v>
      </c>
      <c r="B9" s="4"/>
      <c r="H9" s="76"/>
      <c r="K9" s="275" t="s">
        <v>124</v>
      </c>
      <c r="L9" s="4"/>
      <c r="R9" s="76"/>
      <c r="T9" s="275" t="s">
        <v>124</v>
      </c>
      <c r="U9" s="4"/>
      <c r="AA9" s="76"/>
      <c r="AC9" s="275" t="s">
        <v>124</v>
      </c>
      <c r="AD9" s="4"/>
      <c r="AJ9" s="76"/>
    </row>
    <row r="10" spans="1:36" ht="13.5" customHeight="1">
      <c r="A10" s="273" t="s">
        <v>3939</v>
      </c>
      <c r="B10" s="276">
        <f>'2111 Trks'!M101</f>
        <v>11355062.104999995</v>
      </c>
      <c r="C10" s="276">
        <f>B10-D10</f>
        <v>0</v>
      </c>
      <c r="D10" s="276">
        <f>'2111 Trks'!N101</f>
        <v>11355062.104999995</v>
      </c>
      <c r="E10" s="276">
        <f>'2111 Trks'!Q101</f>
        <v>964639.24511111097</v>
      </c>
      <c r="F10" s="276">
        <f>'2111 Trks'!S101</f>
        <v>7701429.4967314135</v>
      </c>
      <c r="G10" s="276">
        <f>'2111 Trks'!T101</f>
        <v>8666136.1471758541</v>
      </c>
      <c r="H10" s="277">
        <f>'2111 Trks'!V101</f>
        <v>2586198.2859908058</v>
      </c>
      <c r="I10" s="10"/>
      <c r="K10" s="273" t="s">
        <v>3939</v>
      </c>
      <c r="L10" s="276">
        <f>+SUMIF('FAR Dep Summary'!$A$26:$A$43,'Summary Breakdown'!$K10,'FAR Dep Summary'!B$26:B$43)</f>
        <v>11544277.929999992</v>
      </c>
      <c r="M10" s="276">
        <f ca="1">L10-N10</f>
        <v>0</v>
      </c>
      <c r="N10" s="276">
        <f ca="1">+SUMIF('FAR Dep Summary'!$A$26:$A$43,'Summary Breakdown'!$K10,'FAR Dep Summary'!B$26:B$40)</f>
        <v>11544277.929999992</v>
      </c>
      <c r="O10" s="276">
        <f ca="1">+SUMIF('FAR Dep Summary'!$A$26:$A$43,'Summary Breakdown'!$K10,'FAR Dep Summary'!C$26:C$40)</f>
        <v>1122836.7386071431</v>
      </c>
      <c r="P10" s="276">
        <f ca="1">+SUMIF('FAR Dep Summary'!$A$26:$A$43,'Summary Breakdown'!$K10,'FAR Dep Summary'!D$26:D$40)</f>
        <v>1719581.8570832729</v>
      </c>
      <c r="Q10" s="276">
        <f ca="1">+SUMIF('FAR Dep Summary'!$A$26:$A$43,'Summary Breakdown'!$K10,'FAR Dep Summary'!E$26:E$40)</f>
        <v>2842418.5956904171</v>
      </c>
      <c r="R10" s="277">
        <f ca="1">+SUMIF('FAR Dep Summary'!$A$26:$A$43,'Summary Breakdown'!$K10,'FAR Dep Summary'!F$26:F$40)</f>
        <v>8701859.3343095873</v>
      </c>
      <c r="T10" s="273" t="s">
        <v>3939</v>
      </c>
      <c r="U10" s="276">
        <f>+'Bud Capital Input-2111'!V46</f>
        <v>2004571</v>
      </c>
      <c r="V10" s="276">
        <f>U10-W10</f>
        <v>0</v>
      </c>
      <c r="W10" s="276">
        <f>+'Bud Capital Input-2111'!V46</f>
        <v>2004571</v>
      </c>
      <c r="X10" s="276">
        <f>+'Bud Capital Input-2111'!X46</f>
        <v>200457.1</v>
      </c>
      <c r="Y10" s="276">
        <v>0</v>
      </c>
      <c r="Z10" s="276">
        <f>+Y10+X10</f>
        <v>200457.1</v>
      </c>
      <c r="AA10" s="277">
        <f>+U10-Z10</f>
        <v>1804113.9</v>
      </c>
      <c r="AC10" s="273" t="s">
        <v>3939</v>
      </c>
      <c r="AD10" s="276">
        <f>+B10+L10+U10</f>
        <v>24903911.034999989</v>
      </c>
      <c r="AE10" s="276">
        <f ca="1">AD10-AF10</f>
        <v>0</v>
      </c>
      <c r="AF10" s="276">
        <f ca="1">+D10+N10+W10</f>
        <v>24903911.034999989</v>
      </c>
      <c r="AG10" s="276">
        <f ca="1">+E10+O10+X10</f>
        <v>2287933.0837182542</v>
      </c>
      <c r="AH10" s="276">
        <f ca="1">+F10+P10+Y10</f>
        <v>9421011.3538146857</v>
      </c>
      <c r="AI10" s="276">
        <f ca="1">+G10+Q10+Z10</f>
        <v>11709011.84286627</v>
      </c>
      <c r="AJ10" s="277">
        <f ca="1">+H10+R10+AA10</f>
        <v>13092171.520300394</v>
      </c>
    </row>
    <row r="11" spans="1:36" ht="13.5" customHeight="1">
      <c r="A11" s="273"/>
      <c r="B11" s="276"/>
      <c r="C11" s="276"/>
      <c r="D11" s="276"/>
      <c r="E11" s="276"/>
      <c r="F11" s="276"/>
      <c r="G11" s="276"/>
      <c r="H11" s="277"/>
      <c r="I11" s="10"/>
      <c r="K11" s="273"/>
      <c r="L11" s="276"/>
      <c r="M11" s="276"/>
      <c r="N11" s="276"/>
      <c r="O11" s="276"/>
      <c r="P11" s="276"/>
      <c r="Q11" s="276"/>
      <c r="R11" s="277"/>
      <c r="T11" s="273"/>
      <c r="U11" s="276"/>
      <c r="V11" s="276"/>
      <c r="W11" s="276"/>
      <c r="X11" s="276"/>
      <c r="Y11" s="276"/>
      <c r="Z11" s="276"/>
      <c r="AA11" s="277"/>
      <c r="AC11" s="273"/>
      <c r="AD11" s="276"/>
      <c r="AE11" s="276"/>
      <c r="AF11" s="276"/>
      <c r="AG11" s="276"/>
      <c r="AH11" s="276"/>
      <c r="AI11" s="276"/>
      <c r="AJ11" s="277"/>
    </row>
    <row r="12" spans="1:36" ht="13.5" customHeight="1">
      <c r="A12" s="273" t="s">
        <v>582</v>
      </c>
      <c r="B12" s="276">
        <f>+'2111 Trks'!M117</f>
        <v>386208.20999999996</v>
      </c>
      <c r="C12" s="276">
        <f>B12-D12</f>
        <v>0</v>
      </c>
      <c r="D12" s="276">
        <f>+'2111 Trks'!N117</f>
        <v>386208.20999999996</v>
      </c>
      <c r="E12" s="276">
        <f>+'2111 Trks'!Q117</f>
        <v>10284.748561428572</v>
      </c>
      <c r="F12" s="276">
        <f>+'2111 Trks'!S117</f>
        <v>363366.35193976096</v>
      </c>
      <c r="G12" s="276">
        <f>+'2111 Trks'!T117</f>
        <v>373651.10050118953</v>
      </c>
      <c r="H12" s="277">
        <f>+'2111 Trks'!V117</f>
        <v>12557.109498810443</v>
      </c>
      <c r="I12" s="10"/>
      <c r="K12" s="273" t="s">
        <v>582</v>
      </c>
      <c r="L12" s="276">
        <f ca="1">+SUMIF('FAR Dep Summary'!$A$26:$A$43,'Summary Breakdown'!$K12,'FAR Dep Summary'!B$26:B$40)</f>
        <v>616548.37</v>
      </c>
      <c r="M12" s="276">
        <f ca="1">L12-N12</f>
        <v>0</v>
      </c>
      <c r="N12" s="276">
        <f ca="1">+SUMIF('FAR Dep Summary'!$A$26:$A$43,'Summary Breakdown'!$K12,'FAR Dep Summary'!B$26:B$40)</f>
        <v>616548.37</v>
      </c>
      <c r="O12" s="276">
        <f ca="1">+SUMIF('FAR Dep Summary'!$A$26:$A$43,'Summary Breakdown'!$K12,'FAR Dep Summary'!C$26:C$40)</f>
        <v>68461.25295238095</v>
      </c>
      <c r="P12" s="276">
        <f ca="1">+SUMIF('FAR Dep Summary'!$A$26:$A$43,'Summary Breakdown'!$K12,'FAR Dep Summary'!D$26:D$40)</f>
        <v>153186.11394841224</v>
      </c>
      <c r="Q12" s="276">
        <f ca="1">+SUMIF('FAR Dep Summary'!$A$26:$A$43,'Summary Breakdown'!$K12,'FAR Dep Summary'!E$26:E$40)</f>
        <v>221647.36690079319</v>
      </c>
      <c r="R12" s="277">
        <f ca="1">+SUMIF('FAR Dep Summary'!$A$26:$A$43,'Summary Breakdown'!$K12,'FAR Dep Summary'!F$26:F$40)</f>
        <v>394901.00309920684</v>
      </c>
      <c r="T12" s="273" t="s">
        <v>582</v>
      </c>
      <c r="U12" s="276"/>
      <c r="V12" s="276">
        <f>U12-W12</f>
        <v>0</v>
      </c>
      <c r="W12" s="276"/>
      <c r="X12" s="276"/>
      <c r="Y12" s="276">
        <v>0</v>
      </c>
      <c r="Z12" s="276"/>
      <c r="AA12" s="277"/>
      <c r="AC12" s="273" t="s">
        <v>582</v>
      </c>
      <c r="AD12" s="276">
        <f ca="1">+B12+L12+U12</f>
        <v>1002756.58</v>
      </c>
      <c r="AE12" s="276">
        <f ca="1">AD12-AF12</f>
        <v>0</v>
      </c>
      <c r="AF12" s="276">
        <f ca="1">+D12+N12+W12</f>
        <v>1002756.58</v>
      </c>
      <c r="AG12" s="276">
        <f ca="1">+E12+O12+X12</f>
        <v>78746.001513809519</v>
      </c>
      <c r="AH12" s="276">
        <f ca="1">+F12+P12+Y12</f>
        <v>516552.4658881732</v>
      </c>
      <c r="AI12" s="276">
        <f ca="1">+G12+Q12+Z12</f>
        <v>595298.46740198275</v>
      </c>
      <c r="AJ12" s="277">
        <f ca="1">+H12+R12+AA12</f>
        <v>407458.11259801727</v>
      </c>
    </row>
    <row r="13" spans="1:36" ht="13.5" customHeight="1">
      <c r="A13" s="273"/>
      <c r="B13" s="276"/>
      <c r="C13" s="276"/>
      <c r="D13" s="276"/>
      <c r="E13" s="276"/>
      <c r="F13" s="276"/>
      <c r="G13" s="276"/>
      <c r="H13" s="277"/>
      <c r="I13" s="10"/>
      <c r="K13" s="273"/>
      <c r="L13" s="276"/>
      <c r="M13" s="276"/>
      <c r="N13" s="276"/>
      <c r="O13" s="276"/>
      <c r="P13" s="276"/>
      <c r="Q13" s="276"/>
      <c r="R13" s="277"/>
      <c r="T13" s="273"/>
      <c r="U13" s="276"/>
      <c r="V13" s="276"/>
      <c r="W13" s="276"/>
      <c r="X13" s="276"/>
      <c r="Y13" s="276"/>
      <c r="Z13" s="276"/>
      <c r="AA13" s="277"/>
      <c r="AC13" s="273"/>
      <c r="AD13" s="276"/>
      <c r="AE13" s="276"/>
      <c r="AF13" s="276"/>
      <c r="AG13" s="276"/>
      <c r="AH13" s="276"/>
      <c r="AI13" s="276"/>
      <c r="AJ13" s="277"/>
    </row>
    <row r="14" spans="1:36" s="1" customFormat="1" ht="13.5" customHeight="1">
      <c r="A14" s="273" t="s">
        <v>1316</v>
      </c>
      <c r="B14" s="276">
        <f>+'2111 Trks'!M127</f>
        <v>468480.65</v>
      </c>
      <c r="C14" s="276">
        <f>B14-D14</f>
        <v>0</v>
      </c>
      <c r="D14" s="276">
        <f>+'2111 Trks'!N127</f>
        <v>468480.65</v>
      </c>
      <c r="E14" s="276">
        <f>+'2111 Trks'!Q127</f>
        <v>35697.098989898994</v>
      </c>
      <c r="F14" s="276">
        <f>+'2111 Trks'!S127</f>
        <v>266768.92109426775</v>
      </c>
      <c r="G14" s="276">
        <f>+'2111 Trks'!T127</f>
        <v>308833.13119528076</v>
      </c>
      <c r="H14" s="277">
        <f>+'2111 Trks'!V127</f>
        <v>159647.51880471924</v>
      </c>
      <c r="I14" s="10"/>
      <c r="K14" s="273" t="s">
        <v>1316</v>
      </c>
      <c r="L14" s="276">
        <f ca="1">+SUMIF('FAR Dep Summary'!$A$26:$A$43,'Summary Breakdown'!$K14,'FAR Dep Summary'!B$26:B$40)</f>
        <v>651256.54999999993</v>
      </c>
      <c r="M14" s="276">
        <f ca="1">L14-N14</f>
        <v>0</v>
      </c>
      <c r="N14" s="276">
        <f ca="1">+SUMIF('FAR Dep Summary'!$A$26:$A$43,'Summary Breakdown'!$K14,'FAR Dep Summary'!B$26:B$40)</f>
        <v>651256.54999999993</v>
      </c>
      <c r="O14" s="276">
        <f ca="1">+SUMIF('FAR Dep Summary'!$A$26:$A$43,'Summary Breakdown'!$K14,'FAR Dep Summary'!C$26:C$40)</f>
        <v>66642.598571428578</v>
      </c>
      <c r="P14" s="276">
        <f ca="1">+SUMIF('FAR Dep Summary'!$A$26:$A$43,'Summary Breakdown'!$K14,'FAR Dep Summary'!D$26:D$40)</f>
        <v>223428.64964285717</v>
      </c>
      <c r="Q14" s="276">
        <f ca="1">+SUMIF('FAR Dep Summary'!$A$26:$A$43,'Summary Breakdown'!$K14,'FAR Dep Summary'!E$26:E$40)</f>
        <v>290071.2482142857</v>
      </c>
      <c r="R14" s="277">
        <f ca="1">+SUMIF('FAR Dep Summary'!$A$26:$A$43,'Summary Breakdown'!$K14,'FAR Dep Summary'!F$26:F$40)</f>
        <v>361185.30178571423</v>
      </c>
      <c r="T14" s="273" t="s">
        <v>1316</v>
      </c>
      <c r="U14" s="276"/>
      <c r="V14" s="276">
        <f>U14-W14</f>
        <v>0</v>
      </c>
      <c r="W14" s="276"/>
      <c r="X14" s="276"/>
      <c r="Y14" s="276">
        <v>0</v>
      </c>
      <c r="Z14" s="276"/>
      <c r="AA14" s="277"/>
      <c r="AC14" s="273" t="s">
        <v>1316</v>
      </c>
      <c r="AD14" s="276">
        <f ca="1">+B14+L14+U14</f>
        <v>1119737.2</v>
      </c>
      <c r="AE14" s="276">
        <f ca="1">AD14-AF14</f>
        <v>0</v>
      </c>
      <c r="AF14" s="276">
        <f ca="1">+D14+N14+W14</f>
        <v>1119737.2</v>
      </c>
      <c r="AG14" s="276">
        <f ca="1">+E14+O14+X14</f>
        <v>102339.69756132757</v>
      </c>
      <c r="AH14" s="276">
        <f ca="1">+F14+P14+Y14</f>
        <v>490197.57073712489</v>
      </c>
      <c r="AI14" s="276">
        <f ca="1">+G14+Q14+Z14</f>
        <v>598904.37940956652</v>
      </c>
      <c r="AJ14" s="277">
        <f ca="1">+H14+R14+AA14</f>
        <v>520832.82059043343</v>
      </c>
    </row>
    <row r="15" spans="1:36" ht="13.5" customHeight="1">
      <c r="A15" s="273"/>
      <c r="B15" s="276"/>
      <c r="C15" s="276"/>
      <c r="D15" s="276"/>
      <c r="E15" s="276"/>
      <c r="F15" s="276"/>
      <c r="G15" s="276"/>
      <c r="H15" s="277"/>
      <c r="I15" s="10"/>
      <c r="K15" s="273"/>
      <c r="L15" s="276"/>
      <c r="M15" s="276"/>
      <c r="N15" s="276"/>
      <c r="O15" s="276"/>
      <c r="P15" s="276"/>
      <c r="Q15" s="276"/>
      <c r="R15" s="277"/>
      <c r="T15" s="273"/>
      <c r="U15" s="276"/>
      <c r="V15" s="276"/>
      <c r="W15" s="276"/>
      <c r="X15" s="276"/>
      <c r="Y15" s="276"/>
      <c r="Z15" s="276"/>
      <c r="AA15" s="277"/>
      <c r="AC15" s="273"/>
      <c r="AD15" s="276"/>
      <c r="AE15" s="276"/>
      <c r="AF15" s="276"/>
      <c r="AG15" s="276"/>
      <c r="AH15" s="276"/>
      <c r="AI15" s="276"/>
      <c r="AJ15" s="277"/>
    </row>
    <row r="16" spans="1:36" ht="13.5" customHeight="1">
      <c r="A16" s="273" t="s">
        <v>3944</v>
      </c>
      <c r="B16" s="276">
        <f>+'2111 Trks'!M172</f>
        <v>1472383.74</v>
      </c>
      <c r="C16" s="276">
        <f>B16-D16</f>
        <v>1091.0127999999095</v>
      </c>
      <c r="D16" s="276">
        <f>+'2111 Trks'!N172</f>
        <v>1471292.7272000001</v>
      </c>
      <c r="E16" s="276">
        <f>+'2111 Trks'!Q172</f>
        <v>84549.628400000001</v>
      </c>
      <c r="F16" s="276">
        <f>+'2111 Trks'!S175</f>
        <v>102685.552</v>
      </c>
      <c r="G16" s="276">
        <f>+'2111 Trks'!T175</f>
        <v>102685.552</v>
      </c>
      <c r="H16" s="277">
        <f>'2111 Trks'!V172</f>
        <v>283525.8174166737</v>
      </c>
      <c r="I16" s="10"/>
      <c r="K16" s="273" t="s">
        <v>126</v>
      </c>
      <c r="L16" s="276">
        <f ca="1">+SUMIF('FAR Dep Summary'!$A$26:$A$43,'Summary Breakdown'!$K16,'FAR Dep Summary'!B$26:B$40)</f>
        <v>107841.12</v>
      </c>
      <c r="M16" s="276">
        <f ca="1">L16-N16</f>
        <v>0</v>
      </c>
      <c r="N16" s="276">
        <f ca="1">+SUMIF('FAR Dep Summary'!$A$26:$A$43,'Summary Breakdown'!$K16,'FAR Dep Summary'!B$26:B$40)</f>
        <v>107841.12</v>
      </c>
      <c r="O16" s="276">
        <f ca="1">+SUMIF('FAR Dep Summary'!$A$26:$A$43,'Summary Breakdown'!$K16,'FAR Dep Summary'!C$26:C$40)</f>
        <v>10784.112000000001</v>
      </c>
      <c r="P16" s="276">
        <f ca="1">+SUMIF('FAR Dep Summary'!$A$26:$A$43,'Summary Breakdown'!$K16,'FAR Dep Summary'!D$26:D$40)</f>
        <v>2696.0279999999962</v>
      </c>
      <c r="Q16" s="276">
        <f ca="1">+SUMIF('FAR Dep Summary'!$A$26:$A$43,'Summary Breakdown'!$K16,'FAR Dep Summary'!E$26:E$40)</f>
        <v>13480.139999999996</v>
      </c>
      <c r="R16" s="277">
        <f ca="1">+SUMIF('FAR Dep Summary'!$A$26:$A$43,'Summary Breakdown'!$K16,'FAR Dep Summary'!F$26:F$40)</f>
        <v>94360.98000000001</v>
      </c>
      <c r="T16" s="273" t="s">
        <v>3944</v>
      </c>
      <c r="U16" s="276"/>
      <c r="V16" s="276">
        <f>U16-W16</f>
        <v>0</v>
      </c>
      <c r="W16" s="276"/>
      <c r="X16" s="276"/>
      <c r="Y16" s="276">
        <v>0</v>
      </c>
      <c r="Z16" s="276"/>
      <c r="AA16" s="277"/>
      <c r="AC16" s="273" t="s">
        <v>3944</v>
      </c>
      <c r="AD16" s="276">
        <f ca="1">+B16+L16+U16</f>
        <v>1580224.8599999999</v>
      </c>
      <c r="AE16" s="276">
        <f ca="1">AD16-AF16</f>
        <v>1091.0127999996766</v>
      </c>
      <c r="AF16" s="276">
        <f ca="1">+D16+N16+W16</f>
        <v>1579133.8472000002</v>
      </c>
      <c r="AG16" s="276">
        <f ca="1">+E16+O16+X16</f>
        <v>95333.74040000001</v>
      </c>
      <c r="AH16" s="276">
        <f ca="1">+F16+P16+Y16</f>
        <v>105381.57999999999</v>
      </c>
      <c r="AI16" s="276">
        <f ca="1">+G16+Q16+Z16</f>
        <v>116165.692</v>
      </c>
      <c r="AJ16" s="277">
        <f ca="1">+H16+R16+AA16</f>
        <v>377886.79741667374</v>
      </c>
    </row>
    <row r="17" spans="1:36" ht="13.5" customHeight="1">
      <c r="A17" s="273"/>
      <c r="B17" s="276"/>
      <c r="C17" s="276"/>
      <c r="D17" s="276"/>
      <c r="E17" s="276"/>
      <c r="F17" s="276"/>
      <c r="G17" s="276"/>
      <c r="H17" s="277"/>
      <c r="I17" s="10"/>
      <c r="K17" s="273"/>
      <c r="L17" s="276"/>
      <c r="M17" s="276"/>
      <c r="N17" s="276"/>
      <c r="O17" s="276"/>
      <c r="P17" s="276"/>
      <c r="Q17" s="276"/>
      <c r="R17" s="277"/>
      <c r="T17" s="273"/>
      <c r="U17" s="276"/>
      <c r="V17" s="276"/>
      <c r="W17" s="276"/>
      <c r="X17" s="276"/>
      <c r="Y17" s="276"/>
      <c r="Z17" s="276"/>
      <c r="AA17" s="277"/>
      <c r="AC17" s="273"/>
      <c r="AD17" s="276"/>
      <c r="AE17" s="276"/>
      <c r="AF17" s="276"/>
      <c r="AG17" s="276"/>
      <c r="AH17" s="276"/>
      <c r="AI17" s="276"/>
      <c r="AJ17" s="277"/>
    </row>
    <row r="18" spans="1:36" ht="13.5" customHeight="1">
      <c r="A18" s="273" t="s">
        <v>178</v>
      </c>
      <c r="B18" s="276">
        <f>'2111 Trks'!M178</f>
        <v>128356.94</v>
      </c>
      <c r="C18" s="276">
        <f>B18-D18</f>
        <v>0</v>
      </c>
      <c r="D18" s="276">
        <f>'2111 Trks'!N178</f>
        <v>128356.94</v>
      </c>
      <c r="E18" s="276">
        <f>+'2111 Trks'!Q178</f>
        <v>2567.1388000000006</v>
      </c>
      <c r="F18" s="276">
        <f>+'2111 Trks'!S178</f>
        <v>119371.95420000001</v>
      </c>
      <c r="G18" s="276">
        <f>+'2111 Trks'!T178</f>
        <v>121939.09299999999</v>
      </c>
      <c r="H18" s="277">
        <f>+'2111 Trks'!V178</f>
        <v>6417.8470000000016</v>
      </c>
      <c r="I18" s="10"/>
      <c r="K18" s="273" t="s">
        <v>178</v>
      </c>
      <c r="L18" s="276">
        <f ca="1">+SUMIF('FAR Dep Summary'!$A$26:$A$43,'Summary Breakdown'!$K18,'FAR Dep Summary'!B$26:B$40)</f>
        <v>404017.99</v>
      </c>
      <c r="M18" s="276">
        <f ca="1">L18-N18</f>
        <v>0</v>
      </c>
      <c r="N18" s="276">
        <f ca="1">+SUMIF('FAR Dep Summary'!$A$26:$A$43,'Summary Breakdown'!$K18,'FAR Dep Summary'!B$26:B$40)</f>
        <v>404017.99</v>
      </c>
      <c r="O18" s="276">
        <f ca="1">+SUMIF('FAR Dep Summary'!$A$26:$A$43,'Summary Breakdown'!$K18,'FAR Dep Summary'!C$26:C$40)</f>
        <v>38961.191111111111</v>
      </c>
      <c r="P18" s="276">
        <f ca="1">+SUMIF('FAR Dep Summary'!$A$26:$A$43,'Summary Breakdown'!$K18,'FAR Dep Summary'!D$26:D$40)</f>
        <v>158268.10249999998</v>
      </c>
      <c r="Q18" s="276">
        <f ca="1">+SUMIF('FAR Dep Summary'!$A$26:$A$43,'Summary Breakdown'!$K18,'FAR Dep Summary'!E$26:E$40)</f>
        <v>204941.28861111111</v>
      </c>
      <c r="R18" s="277">
        <f ca="1">+SUMIF('FAR Dep Summary'!$A$26:$A$43,'Summary Breakdown'!$K18,'FAR Dep Summary'!F$26:F$40)</f>
        <v>199076.70138888888</v>
      </c>
      <c r="T18" s="273" t="s">
        <v>178</v>
      </c>
      <c r="U18" s="276"/>
      <c r="V18" s="276">
        <f>U18-W18</f>
        <v>0</v>
      </c>
      <c r="W18" s="276"/>
      <c r="X18" s="276"/>
      <c r="Y18" s="276">
        <v>0</v>
      </c>
      <c r="Z18" s="276"/>
      <c r="AA18" s="277"/>
      <c r="AC18" s="273" t="s">
        <v>178</v>
      </c>
      <c r="AD18" s="276">
        <f ca="1">+B18+L18+U18</f>
        <v>532374.92999999993</v>
      </c>
      <c r="AE18" s="276">
        <f ca="1">AD18-AF18</f>
        <v>0</v>
      </c>
      <c r="AF18" s="276">
        <f ca="1">+D18+N18+W18</f>
        <v>532374.92999999993</v>
      </c>
      <c r="AG18" s="276">
        <f ca="1">+E18+O18+X18</f>
        <v>41528.329911111112</v>
      </c>
      <c r="AH18" s="276">
        <f ca="1">+F18+P18+Y18</f>
        <v>277640.05669999996</v>
      </c>
      <c r="AI18" s="276">
        <f ca="1">+G18+Q18+Z18</f>
        <v>326880.38161111111</v>
      </c>
      <c r="AJ18" s="277">
        <f ca="1">+H18+R18+AA18</f>
        <v>205494.54838888888</v>
      </c>
    </row>
    <row r="19" spans="1:36" ht="13.5" customHeight="1">
      <c r="A19" s="273"/>
      <c r="B19" s="276"/>
      <c r="C19" s="276"/>
      <c r="D19" s="276"/>
      <c r="E19" s="276"/>
      <c r="F19" s="276"/>
      <c r="G19" s="276"/>
      <c r="H19" s="277"/>
      <c r="I19" s="10"/>
      <c r="K19" s="273"/>
      <c r="L19" s="276"/>
      <c r="M19" s="276"/>
      <c r="N19" s="276"/>
      <c r="O19" s="276"/>
      <c r="P19" s="276"/>
      <c r="Q19" s="276"/>
      <c r="R19" s="277"/>
      <c r="T19" s="273"/>
      <c r="U19" s="276"/>
      <c r="V19" s="276"/>
      <c r="W19" s="276"/>
      <c r="X19" s="276"/>
      <c r="Y19" s="276"/>
      <c r="Z19" s="276"/>
      <c r="AA19" s="277"/>
      <c r="AC19" s="273"/>
      <c r="AD19" s="276"/>
      <c r="AE19" s="276"/>
      <c r="AF19" s="276"/>
      <c r="AG19" s="276"/>
      <c r="AH19" s="276"/>
      <c r="AI19" s="276"/>
      <c r="AJ19" s="277"/>
    </row>
    <row r="20" spans="1:36" ht="13.5" customHeight="1">
      <c r="A20" s="273" t="s">
        <v>127</v>
      </c>
      <c r="B20" s="276">
        <f>'2111 Trks'!M192</f>
        <v>1262196.83</v>
      </c>
      <c r="C20" s="276">
        <f>B20-D20</f>
        <v>0</v>
      </c>
      <c r="D20" s="276">
        <f>'2111 Trks'!N192</f>
        <v>1262196.83</v>
      </c>
      <c r="E20" s="276">
        <f>+'2111 Trks'!Q192</f>
        <v>83896.929000000004</v>
      </c>
      <c r="F20" s="276">
        <f>+'2111 Trks'!S192</f>
        <v>722832.43733332283</v>
      </c>
      <c r="G20" s="276">
        <f>+'2111 Trks'!T192</f>
        <v>806729.36633332307</v>
      </c>
      <c r="H20" s="277">
        <f>+'2111 Trks'!V192</f>
        <v>455467.46366667707</v>
      </c>
      <c r="I20" s="10"/>
      <c r="K20" s="273" t="s">
        <v>127</v>
      </c>
      <c r="L20" s="276">
        <f ca="1">+SUMIF('FAR Dep Summary'!$A$26:$A$43,'Summary Breakdown'!$K20,'FAR Dep Summary'!B$26:B$40)</f>
        <v>12731.400000000001</v>
      </c>
      <c r="M20" s="276">
        <f ca="1">L20-N20</f>
        <v>0</v>
      </c>
      <c r="N20" s="276">
        <f ca="1">+SUMIF('FAR Dep Summary'!$A$26:$A$43,'Summary Breakdown'!$K20,'FAR Dep Summary'!B$26:B$40)</f>
        <v>12731.400000000001</v>
      </c>
      <c r="O20" s="276">
        <f ca="1">+SUMIF('FAR Dep Summary'!$A$26:$A$43,'Summary Breakdown'!$K20,'FAR Dep Summary'!C$26:C$40)</f>
        <v>2546.2799999999997</v>
      </c>
      <c r="P20" s="276">
        <f ca="1">+SUMIF('FAR Dep Summary'!$A$26:$A$43,'Summary Breakdown'!$K20,'FAR Dep Summary'!D$26:D$40)</f>
        <v>0</v>
      </c>
      <c r="Q20" s="276">
        <f ca="1">+SUMIF('FAR Dep Summary'!$A$26:$A$43,'Summary Breakdown'!$K20,'FAR Dep Summary'!E$26:E$40)</f>
        <v>2546.2799999999997</v>
      </c>
      <c r="R20" s="277">
        <f ca="1">+SUMIF('FAR Dep Summary'!$A$26:$A$43,'Summary Breakdown'!$K20,'FAR Dep Summary'!F$26:F$40)</f>
        <v>10185.119999999999</v>
      </c>
      <c r="T20" s="273" t="s">
        <v>127</v>
      </c>
      <c r="U20" s="276"/>
      <c r="V20" s="276">
        <f>U20-W20</f>
        <v>0</v>
      </c>
      <c r="W20" s="276"/>
      <c r="X20" s="276"/>
      <c r="Y20" s="276">
        <v>0</v>
      </c>
      <c r="Z20" s="276"/>
      <c r="AA20" s="277"/>
      <c r="AC20" s="273" t="s">
        <v>127</v>
      </c>
      <c r="AD20" s="276">
        <f ca="1">+B20+L20+U20</f>
        <v>1274928.23</v>
      </c>
      <c r="AE20" s="276">
        <f ca="1">AD20-AF20</f>
        <v>0</v>
      </c>
      <c r="AF20" s="276">
        <f ca="1">+D20+N20+W20</f>
        <v>1274928.23</v>
      </c>
      <c r="AG20" s="276">
        <f ca="1">+E20+O20+X20</f>
        <v>86443.209000000003</v>
      </c>
      <c r="AH20" s="276">
        <f ca="1">+F20+P20+Y20</f>
        <v>722832.43733332283</v>
      </c>
      <c r="AI20" s="276">
        <f ca="1">+G20+Q20+Z20</f>
        <v>809275.64633332309</v>
      </c>
      <c r="AJ20" s="277">
        <f ca="1">+H20+R20+AA20</f>
        <v>465652.58366667706</v>
      </c>
    </row>
    <row r="21" spans="1:36" ht="13.5" customHeight="1">
      <c r="A21" s="273"/>
      <c r="B21" s="276"/>
      <c r="C21" s="276"/>
      <c r="D21" s="276"/>
      <c r="E21" s="276"/>
      <c r="F21" s="276"/>
      <c r="G21" s="276"/>
      <c r="H21" s="277"/>
      <c r="I21" s="10"/>
      <c r="K21" s="273"/>
      <c r="L21" s="276"/>
      <c r="M21" s="276"/>
      <c r="N21" s="276"/>
      <c r="O21" s="276"/>
      <c r="P21" s="276"/>
      <c r="Q21" s="276"/>
      <c r="R21" s="277"/>
      <c r="T21" s="273"/>
      <c r="U21" s="276"/>
      <c r="V21" s="276"/>
      <c r="W21" s="276"/>
      <c r="X21" s="276"/>
      <c r="Y21" s="276"/>
      <c r="Z21" s="276"/>
      <c r="AA21" s="277"/>
      <c r="AC21" s="273"/>
      <c r="AD21" s="276"/>
      <c r="AE21" s="276"/>
      <c r="AF21" s="276"/>
      <c r="AG21" s="276"/>
      <c r="AH21" s="276"/>
      <c r="AI21" s="276"/>
      <c r="AJ21" s="277"/>
    </row>
    <row r="22" spans="1:36" ht="13.5" customHeight="1">
      <c r="A22" s="273" t="s">
        <v>3940</v>
      </c>
      <c r="B22" s="276">
        <f>'2111 Trks'!M255</f>
        <v>8289903.2297727279</v>
      </c>
      <c r="C22" s="276">
        <f>B22-D22</f>
        <v>448.31200000084937</v>
      </c>
      <c r="D22" s="276">
        <f>'2111 Trks'!N255</f>
        <v>8289454.9177727271</v>
      </c>
      <c r="E22" s="276">
        <f>'2111 Trks'!Q255</f>
        <v>414342.4391454545</v>
      </c>
      <c r="F22" s="276">
        <f>'2111 Trks'!S255</f>
        <v>6744713.0774117587</v>
      </c>
      <c r="G22" s="276">
        <f>'2111 Trks'!T255</f>
        <v>7210232.0127424048</v>
      </c>
      <c r="H22" s="277">
        <f>'2111 Trks'!V255</f>
        <v>1079671.2170303233</v>
      </c>
      <c r="I22" s="10"/>
      <c r="K22" s="273" t="s">
        <v>3940</v>
      </c>
      <c r="L22" s="276">
        <f ca="1">+SUMIF('FAR Dep Summary'!$A$26:$A$43,'Summary Breakdown'!$K22,'FAR Dep Summary'!B$26:B$40)</f>
        <v>3165989.8099999996</v>
      </c>
      <c r="M22" s="276">
        <f ca="1">L22-N22</f>
        <v>0</v>
      </c>
      <c r="N22" s="276">
        <f ca="1">+SUMIF('FAR Dep Summary'!$A$26:$A$43,'Summary Breakdown'!$K22,'FAR Dep Summary'!B$26:B$40)</f>
        <v>3165989.8099999996</v>
      </c>
      <c r="O22" s="276">
        <f ca="1">+SUMIF('FAR Dep Summary'!$A$26:$A$43,'Summary Breakdown'!$K22,'FAR Dep Summary'!C$26:C$40)</f>
        <v>117803.87485714286</v>
      </c>
      <c r="P22" s="276">
        <f ca="1">+SUMIF('FAR Dep Summary'!$A$26:$A$43,'Summary Breakdown'!$K22,'FAR Dep Summary'!D$26:D$40)</f>
        <v>2884898.656100506</v>
      </c>
      <c r="Q22" s="276">
        <f ca="1">+SUMIF('FAR Dep Summary'!$A$26:$A$43,'Summary Breakdown'!$K22,'FAR Dep Summary'!E$26:E$40)</f>
        <v>3053879.0271428414</v>
      </c>
      <c r="R22" s="277">
        <f ca="1">+SUMIF('FAR Dep Summary'!$A$26:$A$43,'Summary Breakdown'!$K22,'FAR Dep Summary'!F$26:F$40)</f>
        <v>112110.78285715812</v>
      </c>
      <c r="T22" s="273" t="s">
        <v>3940</v>
      </c>
      <c r="U22" s="276"/>
      <c r="V22" s="276">
        <f>U22-W22</f>
        <v>0</v>
      </c>
      <c r="W22" s="276"/>
      <c r="X22" s="276"/>
      <c r="Y22" s="276">
        <v>0</v>
      </c>
      <c r="Z22" s="276"/>
      <c r="AA22" s="277"/>
      <c r="AC22" s="273" t="s">
        <v>3940</v>
      </c>
      <c r="AD22" s="276">
        <f ca="1">+B22+L22+U22</f>
        <v>11455893.039772727</v>
      </c>
      <c r="AE22" s="276">
        <f ca="1">AD22-AF22</f>
        <v>448.31199999898672</v>
      </c>
      <c r="AF22" s="276">
        <f ca="1">+D22+N22+W22</f>
        <v>11455444.727772728</v>
      </c>
      <c r="AG22" s="276">
        <f ca="1">+E22+O22+X22</f>
        <v>532146.31400259736</v>
      </c>
      <c r="AH22" s="276">
        <f ca="1">+F22+P22+Y22</f>
        <v>9629611.7335122637</v>
      </c>
      <c r="AI22" s="276">
        <f ca="1">+G22+Q22+Z22</f>
        <v>10264111.039885245</v>
      </c>
      <c r="AJ22" s="277">
        <f ca="1">+H22+R22+AA22</f>
        <v>1191781.9998874816</v>
      </c>
    </row>
    <row r="23" spans="1:36" ht="13.5" customHeight="1">
      <c r="A23" s="273"/>
      <c r="B23" s="276"/>
      <c r="C23" s="276"/>
      <c r="D23" s="276"/>
      <c r="E23" s="276"/>
      <c r="F23" s="276"/>
      <c r="G23" s="276"/>
      <c r="H23" s="277"/>
      <c r="I23" s="10"/>
      <c r="K23" s="273"/>
      <c r="L23" s="276"/>
      <c r="M23" s="276"/>
      <c r="N23" s="276"/>
      <c r="O23" s="276"/>
      <c r="P23" s="276"/>
      <c r="Q23" s="276"/>
      <c r="R23" s="277"/>
      <c r="T23" s="273"/>
      <c r="U23" s="276"/>
      <c r="V23" s="276"/>
      <c r="W23" s="276"/>
      <c r="X23" s="276"/>
      <c r="Y23" s="276"/>
      <c r="Z23" s="276"/>
      <c r="AA23" s="277"/>
      <c r="AC23" s="273"/>
      <c r="AD23" s="276"/>
      <c r="AE23" s="276"/>
      <c r="AF23" s="276"/>
      <c r="AG23" s="276"/>
      <c r="AH23" s="276"/>
      <c r="AI23" s="276"/>
      <c r="AJ23" s="277"/>
    </row>
    <row r="24" spans="1:36" ht="13.5" customHeight="1">
      <c r="A24" s="273" t="s">
        <v>3945</v>
      </c>
      <c r="B24" s="276">
        <f>+'2111 Trks'!M264</f>
        <v>38686.662499999999</v>
      </c>
      <c r="C24" s="276">
        <f>B24-D24</f>
        <v>897.59999999999854</v>
      </c>
      <c r="D24" s="276">
        <f>'2111 Trks'!N264</f>
        <v>37789.0625</v>
      </c>
      <c r="E24" s="276">
        <f>+'2111 Trks'!Q264</f>
        <v>709.92000000000007</v>
      </c>
      <c r="F24" s="276">
        <f>+'2111 Trks'!S264</f>
        <v>36201.942499999997</v>
      </c>
      <c r="G24" s="276">
        <f>+'2111 Trks'!T264</f>
        <v>36911.862499999996</v>
      </c>
      <c r="H24" s="277">
        <f>+'2111 Trks'!V264</f>
        <v>1774.8000000000002</v>
      </c>
      <c r="I24" s="10"/>
      <c r="K24" s="273" t="s">
        <v>3945</v>
      </c>
      <c r="L24" s="276">
        <f ca="1">+SUMIF('FAR Dep Summary'!$A$26:$A$43,'Summary Breakdown'!$K24,'FAR Dep Summary'!B$26:B$40)</f>
        <v>0</v>
      </c>
      <c r="M24" s="276">
        <f ca="1">L24-N24</f>
        <v>0</v>
      </c>
      <c r="N24" s="276">
        <f ca="1">+SUMIF('FAR Dep Summary'!$A$26:$A$43,'Summary Breakdown'!$K24,'FAR Dep Summary'!B$26:B$40)</f>
        <v>0</v>
      </c>
      <c r="O24" s="276">
        <f ca="1">+SUMIF('FAR Dep Summary'!$A$26:$A$43,'Summary Breakdown'!$K24,'FAR Dep Summary'!C$26:C$40)</f>
        <v>0</v>
      </c>
      <c r="P24" s="276">
        <f ca="1">+SUMIF('FAR Dep Summary'!$A$26:$A$43,'Summary Breakdown'!$K24,'FAR Dep Summary'!D$26:D$40)</f>
        <v>0</v>
      </c>
      <c r="Q24" s="276">
        <f ca="1">+SUMIF('FAR Dep Summary'!$A$26:$A$43,'Summary Breakdown'!$K24,'FAR Dep Summary'!E$26:E$40)</f>
        <v>0</v>
      </c>
      <c r="R24" s="277">
        <f ca="1">+SUMIF('FAR Dep Summary'!$A$26:$A$43,'Summary Breakdown'!$K24,'FAR Dep Summary'!F$26:F$40)</f>
        <v>0</v>
      </c>
      <c r="T24" s="273" t="s">
        <v>3945</v>
      </c>
      <c r="U24" s="276"/>
      <c r="V24" s="276">
        <f>U24-W24</f>
        <v>0</v>
      </c>
      <c r="W24" s="276"/>
      <c r="X24" s="276"/>
      <c r="Y24" s="276">
        <v>0</v>
      </c>
      <c r="Z24" s="276"/>
      <c r="AA24" s="277"/>
      <c r="AC24" s="273" t="s">
        <v>3945</v>
      </c>
      <c r="AD24" s="276">
        <f ca="1">+B24+L24+U24</f>
        <v>38686.662499999999</v>
      </c>
      <c r="AE24" s="276">
        <f ca="1">AD24-AF24</f>
        <v>897.59999999999854</v>
      </c>
      <c r="AF24" s="276">
        <f ca="1">+D24+N24+W24</f>
        <v>37789.0625</v>
      </c>
      <c r="AG24" s="276">
        <f ca="1">+E24+O24+X24</f>
        <v>709.92000000000007</v>
      </c>
      <c r="AH24" s="276">
        <f ca="1">+F24+P24+Y24</f>
        <v>36201.942499999997</v>
      </c>
      <c r="AI24" s="276">
        <f ca="1">+G24+Q24+Z24</f>
        <v>36911.862499999996</v>
      </c>
      <c r="AJ24" s="277">
        <f ca="1">+H24+R24+AA24</f>
        <v>1774.8000000000002</v>
      </c>
    </row>
    <row r="25" spans="1:36" ht="13.5" customHeight="1">
      <c r="A25" s="273"/>
      <c r="B25" s="276"/>
      <c r="C25" s="276"/>
      <c r="D25" s="276"/>
      <c r="E25" s="276"/>
      <c r="G25" s="276"/>
      <c r="H25" s="277"/>
      <c r="I25" s="10"/>
      <c r="K25" s="273"/>
      <c r="L25" s="276"/>
      <c r="M25" s="276"/>
      <c r="N25" s="276"/>
      <c r="O25" s="276"/>
      <c r="Q25" s="276"/>
      <c r="R25" s="277"/>
      <c r="T25" s="273"/>
      <c r="U25" s="276"/>
      <c r="V25" s="276"/>
      <c r="W25" s="276"/>
      <c r="X25" s="276"/>
      <c r="Y25" s="276"/>
      <c r="Z25" s="276"/>
      <c r="AA25" s="277"/>
      <c r="AC25" s="273"/>
      <c r="AD25" s="276"/>
      <c r="AE25" s="276"/>
      <c r="AF25" s="276"/>
      <c r="AG25" s="276"/>
      <c r="AI25" s="276"/>
      <c r="AJ25" s="277"/>
    </row>
    <row r="26" spans="1:36" ht="13.5" customHeight="1">
      <c r="A26" s="273" t="s">
        <v>3946</v>
      </c>
      <c r="B26" s="276">
        <f>'2111 Trks'!M270</f>
        <v>46580</v>
      </c>
      <c r="C26" s="276">
        <f>B26-D26</f>
        <v>0</v>
      </c>
      <c r="D26" s="276">
        <f>'2111 Trks'!N270</f>
        <v>46580</v>
      </c>
      <c r="E26" s="276">
        <f>'2111 Trks'!Q270</f>
        <v>1537.1399999999999</v>
      </c>
      <c r="F26" s="276">
        <f>'2111 Trks'!S270</f>
        <v>41200.01</v>
      </c>
      <c r="G26" s="276">
        <f>'2111 Trks'!T270</f>
        <v>42737.15</v>
      </c>
      <c r="H26" s="277">
        <f>'2111 Trks'!V270</f>
        <v>3842.8500000000004</v>
      </c>
      <c r="I26" s="10"/>
      <c r="K26" s="273" t="s">
        <v>3946</v>
      </c>
      <c r="L26" s="276">
        <f ca="1">+SUMIF('FAR Dep Summary'!$A$26:$A$43,'Summary Breakdown'!$K26,'FAR Dep Summary'!B$26:B$40)</f>
        <v>0</v>
      </c>
      <c r="M26" s="276">
        <f ca="1">L26-N26</f>
        <v>0</v>
      </c>
      <c r="N26" s="276">
        <f ca="1">+SUMIF('FAR Dep Summary'!$A$26:$A$43,'Summary Breakdown'!$K26,'FAR Dep Summary'!B$26:B$40)</f>
        <v>0</v>
      </c>
      <c r="O26" s="276">
        <f ca="1">+SUMIF('FAR Dep Summary'!$A$26:$A$43,'Summary Breakdown'!$K26,'FAR Dep Summary'!C$26:C$40)</f>
        <v>0</v>
      </c>
      <c r="P26" s="276">
        <f ca="1">+SUMIF('FAR Dep Summary'!$A$26:$A$43,'Summary Breakdown'!$K26,'FAR Dep Summary'!D$26:D$40)</f>
        <v>0</v>
      </c>
      <c r="Q26" s="276">
        <f ca="1">+SUMIF('FAR Dep Summary'!$A$26:$A$43,'Summary Breakdown'!$K26,'FAR Dep Summary'!E$26:E$40)</f>
        <v>0</v>
      </c>
      <c r="R26" s="277">
        <f ca="1">+SUMIF('FAR Dep Summary'!$A$26:$A$43,'Summary Breakdown'!$K26,'FAR Dep Summary'!F$26:F$40)</f>
        <v>0</v>
      </c>
      <c r="T26" s="273" t="s">
        <v>3946</v>
      </c>
      <c r="U26" s="276"/>
      <c r="V26" s="276">
        <f>U26-W26</f>
        <v>0</v>
      </c>
      <c r="W26" s="276"/>
      <c r="X26" s="276"/>
      <c r="Y26" s="276">
        <v>0</v>
      </c>
      <c r="Z26" s="276"/>
      <c r="AA26" s="277"/>
      <c r="AC26" s="273" t="s">
        <v>3946</v>
      </c>
      <c r="AD26" s="276">
        <f ca="1">+B26+L26+U26</f>
        <v>46580</v>
      </c>
      <c r="AE26" s="276">
        <f ca="1">AD26-AF26</f>
        <v>0</v>
      </c>
      <c r="AF26" s="276">
        <f ca="1">+D26+N26+W26</f>
        <v>46580</v>
      </c>
      <c r="AG26" s="276">
        <f ca="1">+E26+O26+X26</f>
        <v>1537.1399999999999</v>
      </c>
      <c r="AH26" s="276">
        <f ca="1">+F26+P26+Y26</f>
        <v>41200.01</v>
      </c>
      <c r="AI26" s="276">
        <f ca="1">+G26+Q26+Z26</f>
        <v>42737.15</v>
      </c>
      <c r="AJ26" s="277">
        <f ca="1">+H26+R26+AA26</f>
        <v>3842.8500000000004</v>
      </c>
    </row>
    <row r="27" spans="1:36" ht="13.5" customHeight="1">
      <c r="A27" s="273"/>
      <c r="B27" s="276"/>
      <c r="C27" s="276"/>
      <c r="D27" s="276"/>
      <c r="E27" s="276"/>
      <c r="F27" s="276"/>
      <c r="G27" s="276"/>
      <c r="H27" s="277"/>
      <c r="I27" s="10"/>
      <c r="K27" s="273"/>
      <c r="L27" s="276"/>
      <c r="M27" s="276"/>
      <c r="N27" s="276"/>
      <c r="O27" s="276"/>
      <c r="P27" s="276"/>
      <c r="Q27" s="276"/>
      <c r="R27" s="277"/>
      <c r="T27" s="273"/>
      <c r="U27" s="276"/>
      <c r="V27" s="276"/>
      <c r="W27" s="276"/>
      <c r="X27" s="276"/>
      <c r="Y27" s="276"/>
      <c r="Z27" s="276"/>
      <c r="AA27" s="277"/>
      <c r="AC27" s="273"/>
      <c r="AD27" s="276"/>
      <c r="AE27" s="276"/>
      <c r="AF27" s="276"/>
      <c r="AG27" s="276"/>
      <c r="AH27" s="276"/>
      <c r="AI27" s="276"/>
      <c r="AJ27" s="277"/>
    </row>
    <row r="28" spans="1:36" ht="13.5" customHeight="1" thickBot="1">
      <c r="A28" s="278" t="s">
        <v>50</v>
      </c>
      <c r="B28" s="25">
        <f t="shared" ref="B28:H28" si="0">SUM(B10:B27)</f>
        <v>23447858.367272723</v>
      </c>
      <c r="C28" s="25">
        <f t="shared" si="0"/>
        <v>2436.9248000007574</v>
      </c>
      <c r="D28" s="25">
        <f t="shared" si="0"/>
        <v>23445421.442472719</v>
      </c>
      <c r="E28" s="25">
        <f t="shared" si="0"/>
        <v>1598224.2880078929</v>
      </c>
      <c r="F28" s="25">
        <f t="shared" si="0"/>
        <v>16098569.743210524</v>
      </c>
      <c r="G28" s="25">
        <f t="shared" si="0"/>
        <v>17669855.415448051</v>
      </c>
      <c r="H28" s="279">
        <f t="shared" si="0"/>
        <v>4589102.9094080087</v>
      </c>
      <c r="I28" s="226"/>
      <c r="K28" s="278" t="s">
        <v>50</v>
      </c>
      <c r="L28" s="25">
        <f t="shared" ref="L28:R28" ca="1" si="1">SUM(L10:L27)</f>
        <v>16502663.169999991</v>
      </c>
      <c r="M28" s="25">
        <f t="shared" ca="1" si="1"/>
        <v>0</v>
      </c>
      <c r="N28" s="25">
        <f t="shared" ca="1" si="1"/>
        <v>16502663.169999991</v>
      </c>
      <c r="O28" s="25">
        <f t="shared" ca="1" si="1"/>
        <v>1428036.0480992065</v>
      </c>
      <c r="P28" s="25">
        <f t="shared" ca="1" si="1"/>
        <v>5142059.407275049</v>
      </c>
      <c r="Q28" s="25">
        <f t="shared" ca="1" si="1"/>
        <v>6628983.9465594487</v>
      </c>
      <c r="R28" s="279">
        <f t="shared" ca="1" si="1"/>
        <v>9873679.223440554</v>
      </c>
      <c r="T28" s="278" t="s">
        <v>50</v>
      </c>
      <c r="U28" s="25">
        <f t="shared" ref="U28:AA28" si="2">SUM(U10:U27)</f>
        <v>2004571</v>
      </c>
      <c r="V28" s="25">
        <f t="shared" si="2"/>
        <v>0</v>
      </c>
      <c r="W28" s="25">
        <f t="shared" si="2"/>
        <v>2004571</v>
      </c>
      <c r="X28" s="25">
        <f t="shared" si="2"/>
        <v>200457.1</v>
      </c>
      <c r="Y28" s="25">
        <f t="shared" si="2"/>
        <v>0</v>
      </c>
      <c r="Z28" s="25">
        <f t="shared" si="2"/>
        <v>200457.1</v>
      </c>
      <c r="AA28" s="279">
        <f t="shared" si="2"/>
        <v>1804113.9</v>
      </c>
      <c r="AC28" s="278" t="s">
        <v>50</v>
      </c>
      <c r="AD28" s="25">
        <f t="shared" ref="AD28:AJ28" ca="1" si="3">SUM(AD10:AD27)</f>
        <v>41955092.537272714</v>
      </c>
      <c r="AE28" s="25">
        <f t="shared" ca="1" si="3"/>
        <v>2436.9247999986619</v>
      </c>
      <c r="AF28" s="25">
        <f t="shared" ca="1" si="3"/>
        <v>41952655.612472713</v>
      </c>
      <c r="AG28" s="25">
        <f t="shared" ca="1" si="3"/>
        <v>3226717.4361070991</v>
      </c>
      <c r="AH28" s="25">
        <f t="shared" ca="1" si="3"/>
        <v>21240629.150485571</v>
      </c>
      <c r="AI28" s="25">
        <f t="shared" ca="1" si="3"/>
        <v>24499296.462007497</v>
      </c>
      <c r="AJ28" s="279">
        <f t="shared" ca="1" si="3"/>
        <v>16266896.032848565</v>
      </c>
    </row>
    <row r="29" spans="1:36" ht="13.5" customHeight="1">
      <c r="A29" s="273"/>
      <c r="B29" s="65"/>
      <c r="C29" s="65"/>
      <c r="D29" s="65"/>
      <c r="E29" s="65">
        <f>E28-'2111 Trks'!Q272</f>
        <v>0</v>
      </c>
      <c r="F29" s="65"/>
      <c r="G29" s="65"/>
      <c r="H29" s="277">
        <f>H28-'2111 Trks'!U272</f>
        <v>-354.96000000089407</v>
      </c>
      <c r="I29" s="10"/>
      <c r="K29" s="273"/>
      <c r="L29" s="65"/>
      <c r="M29" s="65"/>
      <c r="N29" s="65"/>
      <c r="O29" s="65"/>
      <c r="P29" s="65"/>
      <c r="Q29" s="65"/>
      <c r="R29" s="277"/>
      <c r="T29" s="273"/>
      <c r="U29" s="65"/>
      <c r="V29" s="65"/>
      <c r="W29" s="65"/>
      <c r="X29" s="65"/>
      <c r="Y29" s="65"/>
      <c r="Z29" s="65"/>
      <c r="AA29" s="277"/>
      <c r="AC29" s="273"/>
      <c r="AD29" s="65"/>
      <c r="AE29" s="65"/>
      <c r="AF29" s="65"/>
      <c r="AG29" s="65"/>
      <c r="AH29" s="65"/>
      <c r="AI29" s="65"/>
      <c r="AJ29" s="277"/>
    </row>
    <row r="30" spans="1:36" ht="13.5" customHeight="1">
      <c r="A30" s="275" t="s">
        <v>129</v>
      </c>
      <c r="B30" s="65"/>
      <c r="C30" s="65"/>
      <c r="D30" s="65"/>
      <c r="E30" s="65"/>
      <c r="F30" s="65"/>
      <c r="G30" s="65"/>
      <c r="H30" s="277"/>
      <c r="I30" s="10"/>
      <c r="K30" s="275" t="s">
        <v>129</v>
      </c>
      <c r="L30" s="65"/>
      <c r="M30" s="65"/>
      <c r="N30" s="65"/>
      <c r="O30" s="65"/>
      <c r="P30" s="65"/>
      <c r="Q30" s="65"/>
      <c r="R30" s="277"/>
      <c r="T30" s="275" t="s">
        <v>129</v>
      </c>
      <c r="U30" s="65"/>
      <c r="V30" s="65"/>
      <c r="W30" s="65"/>
      <c r="X30" s="65"/>
      <c r="Y30" s="65"/>
      <c r="Z30" s="65"/>
      <c r="AA30" s="277"/>
      <c r="AC30" s="275" t="s">
        <v>129</v>
      </c>
      <c r="AD30" s="65"/>
      <c r="AE30" s="65"/>
      <c r="AF30" s="65"/>
      <c r="AG30" s="65"/>
      <c r="AH30" s="65"/>
      <c r="AI30" s="65"/>
      <c r="AJ30" s="277"/>
    </row>
    <row r="31" spans="1:36" ht="13.5" customHeight="1">
      <c r="A31" s="275"/>
      <c r="B31" s="65"/>
      <c r="C31" s="65"/>
      <c r="D31" s="65"/>
      <c r="E31" s="65"/>
      <c r="F31" s="65"/>
      <c r="G31" s="65"/>
      <c r="H31" s="277"/>
      <c r="I31" s="10"/>
      <c r="K31" s="275"/>
      <c r="L31" s="65"/>
      <c r="M31" s="65"/>
      <c r="N31" s="65"/>
      <c r="O31" s="65"/>
      <c r="P31" s="65"/>
      <c r="Q31" s="65"/>
      <c r="R31" s="277"/>
      <c r="T31" s="275"/>
      <c r="U31" s="65"/>
      <c r="V31" s="65"/>
      <c r="W31" s="65"/>
      <c r="X31" s="65"/>
      <c r="Y31" s="65"/>
      <c r="Z31" s="65"/>
      <c r="AA31" s="277"/>
      <c r="AC31" s="275"/>
      <c r="AD31" s="65"/>
      <c r="AE31" s="65"/>
      <c r="AF31" s="65"/>
      <c r="AG31" s="65"/>
      <c r="AH31" s="65"/>
      <c r="AI31" s="65"/>
      <c r="AJ31" s="277"/>
    </row>
    <row r="32" spans="1:36" ht="13.5" customHeight="1">
      <c r="A32" s="273" t="s">
        <v>1341</v>
      </c>
      <c r="B32" s="276">
        <f>'2111 Cont, DB'!M254</f>
        <v>2069174.3000000007</v>
      </c>
      <c r="C32" s="65">
        <f>B32-D32</f>
        <v>0</v>
      </c>
      <c r="D32" s="65">
        <f>'2111 Cont, DB'!N254</f>
        <v>2069174.3000000007</v>
      </c>
      <c r="E32" s="65">
        <f>(+'2111 Cont, DB'!Q254)</f>
        <v>85799.428999999946</v>
      </c>
      <c r="F32" s="65">
        <f>+'2111 Cont, DB'!S254</f>
        <v>1638423.3580416576</v>
      </c>
      <c r="G32" s="65">
        <f>+'2111 Cont, DB'!S254</f>
        <v>1638423.3580416576</v>
      </c>
      <c r="H32" s="277">
        <f>'2111 Cont, DB'!V254</f>
        <v>342959.29337500769</v>
      </c>
      <c r="I32" s="10"/>
      <c r="K32" s="273" t="s">
        <v>1341</v>
      </c>
      <c r="L32" s="276">
        <f ca="1">+SUMIF('FAR Dep Summary'!$A$26:$A$43,'Summary Breakdown'!$K32,'FAR Dep Summary'!B$26:B$40)</f>
        <v>1228278.22</v>
      </c>
      <c r="M32" s="276">
        <f ca="1">L32-N32</f>
        <v>0</v>
      </c>
      <c r="N32" s="276">
        <f ca="1">+SUMIF('FAR Dep Summary'!$A$26:$A$43,'Summary Breakdown'!$K32,'FAR Dep Summary'!B$26:B$40)</f>
        <v>1228278.22</v>
      </c>
      <c r="O32" s="276">
        <f ca="1">+SUMIF('FAR Dep Summary'!$A$26:$A$43,'Summary Breakdown'!$K32,'FAR Dep Summary'!C$26:C$40)</f>
        <v>97171.088499999983</v>
      </c>
      <c r="P32" s="276">
        <f ca="1">+SUMIF('FAR Dep Summary'!$A$26:$A$43,'Summary Breakdown'!$K32,'FAR Dep Summary'!D$26:D$40)</f>
        <v>218177.01469443931</v>
      </c>
      <c r="Q32" s="276">
        <f ca="1">+SUMIF('FAR Dep Summary'!$A$26:$A$43,'Summary Breakdown'!$K32,'FAR Dep Summary'!E$26:E$40)</f>
        <v>315348.10319443938</v>
      </c>
      <c r="R32" s="277">
        <f ca="1">+SUMIF('FAR Dep Summary'!$A$26:$A$43,'Summary Breakdown'!$K32,'FAR Dep Summary'!F$26:F$40)</f>
        <v>912930.11680556054</v>
      </c>
      <c r="T32" s="273" t="s">
        <v>1341</v>
      </c>
      <c r="U32" s="276"/>
      <c r="V32" s="276">
        <f t="shared" ref="V32:V46" si="4">U32-W32</f>
        <v>0</v>
      </c>
      <c r="W32" s="276"/>
      <c r="X32" s="276"/>
      <c r="Y32" s="276">
        <v>0</v>
      </c>
      <c r="Z32" s="276"/>
      <c r="AA32" s="277"/>
      <c r="AC32" s="273" t="s">
        <v>1341</v>
      </c>
      <c r="AD32" s="276">
        <f ca="1">+B32+L32+U32</f>
        <v>3297452.5200000005</v>
      </c>
      <c r="AE32" s="276">
        <f ca="1">AD32-AF32</f>
        <v>0</v>
      </c>
      <c r="AF32" s="276">
        <f ca="1">+D32+N32+W32</f>
        <v>3297452.5200000005</v>
      </c>
      <c r="AG32" s="276">
        <f ca="1">+E32+O32+X32</f>
        <v>182970.51749999993</v>
      </c>
      <c r="AH32" s="276">
        <f ca="1">+F32+P32+Y32</f>
        <v>1856600.3727360968</v>
      </c>
      <c r="AI32" s="276">
        <f ca="1">+G32+Q32+Z32</f>
        <v>1953771.4612360969</v>
      </c>
      <c r="AJ32" s="277">
        <f ca="1">+H32+R32+AA32</f>
        <v>1255889.4101805682</v>
      </c>
    </row>
    <row r="33" spans="1:36" ht="13.5" customHeight="1">
      <c r="A33" s="273"/>
      <c r="B33" s="276"/>
      <c r="C33" s="65"/>
      <c r="D33" s="65"/>
      <c r="E33" s="65"/>
      <c r="F33" s="65"/>
      <c r="G33" s="65"/>
      <c r="H33" s="277"/>
      <c r="I33" s="10"/>
      <c r="J33" s="548" t="s">
        <v>3941</v>
      </c>
      <c r="K33" s="273"/>
      <c r="L33" s="276"/>
      <c r="M33" s="65"/>
      <c r="N33" s="65"/>
      <c r="O33" s="65"/>
      <c r="P33" s="65"/>
      <c r="Q33" s="65"/>
      <c r="R33" s="277"/>
      <c r="S33" s="546" t="s">
        <v>3941</v>
      </c>
      <c r="T33" s="273"/>
      <c r="U33" s="276"/>
      <c r="V33" s="276"/>
      <c r="W33" s="276"/>
      <c r="X33" s="276"/>
      <c r="Y33" s="276"/>
      <c r="Z33" s="276"/>
      <c r="AA33" s="277"/>
      <c r="AB33" s="546" t="s">
        <v>3948</v>
      </c>
      <c r="AC33" s="273"/>
      <c r="AD33" s="276"/>
      <c r="AE33" s="65"/>
      <c r="AF33" s="65"/>
      <c r="AG33" s="65"/>
      <c r="AH33" s="65"/>
      <c r="AI33" s="65"/>
      <c r="AJ33" s="277"/>
    </row>
    <row r="34" spans="1:36" ht="13.5" customHeight="1">
      <c r="A34" s="273" t="s">
        <v>1019</v>
      </c>
      <c r="B34" s="276">
        <f>'2111 Cont, DB'!M568</f>
        <v>2476582.35</v>
      </c>
      <c r="C34" s="65">
        <f>B34-D34</f>
        <v>0</v>
      </c>
      <c r="D34" s="65">
        <f>'2111 Cont, DB'!N568</f>
        <v>2476582.35</v>
      </c>
      <c r="E34" s="65">
        <f>'2111 Cont, DB'!Q568</f>
        <v>115260.46857142859</v>
      </c>
      <c r="F34" s="65">
        <f>'2111 Cont, DB'!S568</f>
        <v>2132308.973928561</v>
      </c>
      <c r="G34" s="65">
        <f>'2111 Cont, DB'!T568</f>
        <v>2261329.6301190397</v>
      </c>
      <c r="H34" s="277">
        <f>'2111 Cont, DB'!V568</f>
        <v>215252.71988096042</v>
      </c>
      <c r="I34" s="10"/>
      <c r="J34" s="549"/>
      <c r="K34" s="273" t="s">
        <v>1019</v>
      </c>
      <c r="L34" s="276">
        <f ca="1">+SUMIF('FAR Dep Summary'!$A$26:$A$43,'Summary Breakdown'!$K34,'FAR Dep Summary'!B$26:B$40)</f>
        <v>1438164.6800000002</v>
      </c>
      <c r="M34" s="276">
        <f ca="1">L34-N34</f>
        <v>0</v>
      </c>
      <c r="N34" s="276">
        <f ca="1">+SUMIF('FAR Dep Summary'!$A$26:$A$43,'Summary Breakdown'!$K34,'FAR Dep Summary'!B$26:B$40)</f>
        <v>1438164.6800000002</v>
      </c>
      <c r="O34" s="276">
        <f ca="1">+SUMIF('FAR Dep Summary'!$A$26:$A$43,'Summary Breakdown'!$K34,'FAR Dep Summary'!C$26:C$40)</f>
        <v>205452.09714285709</v>
      </c>
      <c r="P34" s="276">
        <f ca="1">+SUMIF('FAR Dep Summary'!$A$26:$A$43,'Summary Breakdown'!$K34,'FAR Dep Summary'!D$26:D$40)</f>
        <v>219831.81464284935</v>
      </c>
      <c r="Q34" s="276">
        <f ca="1">+SUMIF('FAR Dep Summary'!$A$26:$A$43,'Summary Breakdown'!$K34,'FAR Dep Summary'!E$26:E$40)</f>
        <v>425283.91178570659</v>
      </c>
      <c r="R34" s="277">
        <f ca="1">+SUMIF('FAR Dep Summary'!$A$26:$A$43,'Summary Breakdown'!$K34,'FAR Dep Summary'!F$26:F$40)</f>
        <v>1012880.7682142934</v>
      </c>
      <c r="S34" s="547"/>
      <c r="T34" s="273" t="s">
        <v>1019</v>
      </c>
      <c r="U34" s="276"/>
      <c r="V34" s="276">
        <f t="shared" si="4"/>
        <v>0</v>
      </c>
      <c r="W34" s="276"/>
      <c r="X34" s="276"/>
      <c r="Y34" s="276">
        <v>0</v>
      </c>
      <c r="Z34" s="276"/>
      <c r="AA34" s="277"/>
      <c r="AB34" s="547"/>
      <c r="AC34" s="273" t="s">
        <v>1019</v>
      </c>
      <c r="AD34" s="276">
        <f ca="1">+B34+L34+U34</f>
        <v>3914747.0300000003</v>
      </c>
      <c r="AE34" s="276">
        <f ca="1">AD34-AF34</f>
        <v>0</v>
      </c>
      <c r="AF34" s="276">
        <f ca="1">+D34+N34+W34</f>
        <v>3914747.0300000003</v>
      </c>
      <c r="AG34" s="276">
        <f ca="1">+E34+O34+X34</f>
        <v>320712.56571428571</v>
      </c>
      <c r="AH34" s="276">
        <f ca="1">+F34+P34+Y34</f>
        <v>2352140.7885714103</v>
      </c>
      <c r="AI34" s="276">
        <f ca="1">+G34+Q34+Z34</f>
        <v>2686613.5419047461</v>
      </c>
      <c r="AJ34" s="277">
        <f ca="1">+H34+R34+AA34</f>
        <v>1228133.4880952537</v>
      </c>
    </row>
    <row r="35" spans="1:36" ht="13.5" customHeight="1">
      <c r="A35" s="273"/>
      <c r="B35" s="65"/>
      <c r="C35" s="65"/>
      <c r="D35" s="65"/>
      <c r="E35" s="65"/>
      <c r="F35" s="65"/>
      <c r="G35" s="65"/>
      <c r="H35" s="277"/>
      <c r="I35" s="10"/>
      <c r="K35" s="273"/>
      <c r="L35" s="65"/>
      <c r="M35" s="65"/>
      <c r="N35" s="65"/>
      <c r="O35" s="65"/>
      <c r="P35" s="65"/>
      <c r="Q35" s="65"/>
      <c r="R35" s="277"/>
      <c r="T35" s="273"/>
      <c r="U35" s="276"/>
      <c r="V35" s="276"/>
      <c r="W35" s="276"/>
      <c r="X35" s="276"/>
      <c r="Y35" s="276"/>
      <c r="Z35" s="276"/>
      <c r="AA35" s="277"/>
      <c r="AC35" s="273"/>
      <c r="AD35" s="65"/>
      <c r="AE35" s="65"/>
      <c r="AF35" s="65"/>
      <c r="AG35" s="65"/>
      <c r="AH35" s="65"/>
      <c r="AI35" s="65"/>
      <c r="AJ35" s="277"/>
    </row>
    <row r="36" spans="1:36" ht="13.5" customHeight="1">
      <c r="A36" s="273" t="s">
        <v>130</v>
      </c>
      <c r="B36" s="65">
        <f>'2111 Cont, DB'!M405</f>
        <v>3347561.8199999984</v>
      </c>
      <c r="C36" s="65">
        <f>B36-D36</f>
        <v>0</v>
      </c>
      <c r="D36" s="65">
        <f>'2111 Cont, DB'!N405</f>
        <v>3347561.8199999984</v>
      </c>
      <c r="E36" s="65">
        <f>+'2111 Cont, DB'!Q405</f>
        <v>135342.39750000002</v>
      </c>
      <c r="F36" s="65">
        <f>+'2111 Cont, DB'!S405</f>
        <v>2635401.5168194338</v>
      </c>
      <c r="G36" s="65">
        <f>+'2111 Cont, DB'!T405</f>
        <v>2771208.5596527676</v>
      </c>
      <c r="H36" s="277">
        <f>+'2111 Cont, DB'!V405</f>
        <v>576353.26034723164</v>
      </c>
      <c r="I36" s="10"/>
      <c r="K36" s="273" t="s">
        <v>130</v>
      </c>
      <c r="L36" s="276">
        <f ca="1">+SUMIF('FAR Dep Summary'!$A$26:$A$43,'Summary Breakdown'!$K36,'FAR Dep Summary'!B$26:B$40)</f>
        <v>298919.82999999996</v>
      </c>
      <c r="M36" s="276">
        <f ca="1">L36-N36</f>
        <v>0</v>
      </c>
      <c r="N36" s="276">
        <f ca="1">+SUMIF('FAR Dep Summary'!$A$26:$A$43,'Summary Breakdown'!$K36,'FAR Dep Summary'!B$26:B$40)</f>
        <v>298919.82999999996</v>
      </c>
      <c r="O36" s="276">
        <f ca="1">+SUMIF('FAR Dep Summary'!$A$26:$A$43,'Summary Breakdown'!$K36,'FAR Dep Summary'!C$26:C$40)</f>
        <v>5142.8571428571431</v>
      </c>
      <c r="P36" s="276">
        <f ca="1">+SUMIF('FAR Dep Summary'!$A$26:$A$43,'Summary Breakdown'!$K36,'FAR Dep Summary'!D$26:D$40)</f>
        <v>285366.25857142854</v>
      </c>
      <c r="Q36" s="276">
        <f ca="1">+SUMIF('FAR Dep Summary'!$A$26:$A$43,'Summary Breakdown'!$K36,'FAR Dep Summary'!E$26:E$40)</f>
        <v>293776.97285714286</v>
      </c>
      <c r="R36" s="277">
        <f ca="1">+SUMIF('FAR Dep Summary'!$A$26:$A$43,'Summary Breakdown'!$K36,'FAR Dep Summary'!F$26:F$40)</f>
        <v>5142.8571428571449</v>
      </c>
      <c r="T36" s="273" t="s">
        <v>130</v>
      </c>
      <c r="U36" s="276"/>
      <c r="V36" s="276">
        <f t="shared" si="4"/>
        <v>0</v>
      </c>
      <c r="W36" s="276"/>
      <c r="X36" s="276"/>
      <c r="Y36" s="276">
        <v>0</v>
      </c>
      <c r="Z36" s="276"/>
      <c r="AA36" s="277"/>
      <c r="AC36" s="273" t="s">
        <v>130</v>
      </c>
      <c r="AD36" s="276">
        <f ca="1">+B36+L36+U36</f>
        <v>3646481.6499999985</v>
      </c>
      <c r="AE36" s="276">
        <f ca="1">AD36-AF36</f>
        <v>0</v>
      </c>
      <c r="AF36" s="276">
        <f ca="1">+D36+N36+W36</f>
        <v>3646481.6499999985</v>
      </c>
      <c r="AG36" s="276">
        <f ca="1">+E36+O36+X36</f>
        <v>140485.25464285715</v>
      </c>
      <c r="AH36" s="276">
        <f ca="1">+F36+P36+Y36</f>
        <v>2920767.7753908625</v>
      </c>
      <c r="AI36" s="276">
        <f ca="1">+G36+Q36+Z36</f>
        <v>3064985.5325099104</v>
      </c>
      <c r="AJ36" s="277">
        <f ca="1">+H36+R36+AA36</f>
        <v>581496.1174900888</v>
      </c>
    </row>
    <row r="37" spans="1:36" ht="13.5" customHeight="1">
      <c r="A37" s="273"/>
      <c r="B37" s="65"/>
      <c r="C37" s="65"/>
      <c r="D37" s="65"/>
      <c r="E37" s="65"/>
      <c r="F37" s="65"/>
      <c r="G37" s="65"/>
      <c r="H37" s="277"/>
      <c r="I37" s="10"/>
      <c r="K37" s="273"/>
      <c r="L37" s="65"/>
      <c r="M37" s="65"/>
      <c r="N37" s="65"/>
      <c r="O37" s="65"/>
      <c r="P37" s="65"/>
      <c r="Q37" s="65"/>
      <c r="R37" s="277"/>
      <c r="T37" s="273"/>
      <c r="U37" s="276"/>
      <c r="V37" s="276"/>
      <c r="W37" s="276"/>
      <c r="X37" s="276"/>
      <c r="Y37" s="276"/>
      <c r="Z37" s="276"/>
      <c r="AA37" s="277"/>
      <c r="AC37" s="273"/>
      <c r="AD37" s="65"/>
      <c r="AE37" s="65"/>
      <c r="AF37" s="65"/>
      <c r="AG37" s="65"/>
      <c r="AH37" s="65"/>
      <c r="AI37" s="65"/>
      <c r="AJ37" s="277"/>
    </row>
    <row r="38" spans="1:36" ht="13.5" customHeight="1">
      <c r="A38" s="273" t="s">
        <v>1012</v>
      </c>
      <c r="B38" s="65">
        <f>'2111 Cont, DB'!M448</f>
        <v>1292121.31</v>
      </c>
      <c r="C38" s="65">
        <f>B38-D38</f>
        <v>0</v>
      </c>
      <c r="D38" s="65">
        <f>'2111 Cont, DB'!N448</f>
        <v>1292121.31</v>
      </c>
      <c r="E38" s="65">
        <f>'2111 Cont, DB'!Q448</f>
        <v>2793.7889999999998</v>
      </c>
      <c r="F38" s="65">
        <f>'2111 Cont, DB'!S448</f>
        <v>1284519.5335833321</v>
      </c>
      <c r="G38" s="65">
        <f>'2111 Cont, DB'!T448</f>
        <v>1291888.4942499998</v>
      </c>
      <c r="H38" s="277">
        <f>'2111 Cont, DB'!V448</f>
        <v>232.81575000042358</v>
      </c>
      <c r="I38" s="10"/>
      <c r="K38" s="273" t="s">
        <v>1012</v>
      </c>
      <c r="L38" s="276">
        <f ca="1">+SUMIF('FAR Dep Summary'!$A$26:$A$43,'Summary Breakdown'!$K38,'FAR Dep Summary'!B$26:B$40)</f>
        <v>0</v>
      </c>
      <c r="M38" s="276">
        <f ca="1">L38-N38</f>
        <v>0</v>
      </c>
      <c r="N38" s="276">
        <f ca="1">+SUMIF('FAR Dep Summary'!$A$26:$A$43,'Summary Breakdown'!$K38,'FAR Dep Summary'!B$26:B$40)</f>
        <v>0</v>
      </c>
      <c r="O38" s="276">
        <f ca="1">+SUMIF('FAR Dep Summary'!$A$26:$A$43,'Summary Breakdown'!$K38,'FAR Dep Summary'!C$26:C$40)</f>
        <v>0</v>
      </c>
      <c r="P38" s="276">
        <f ca="1">+SUMIF('FAR Dep Summary'!$A$26:$A$43,'Summary Breakdown'!$K38,'FAR Dep Summary'!D$26:D$40)</f>
        <v>0</v>
      </c>
      <c r="Q38" s="276">
        <f ca="1">+SUMIF('FAR Dep Summary'!$A$26:$A$43,'Summary Breakdown'!$K38,'FAR Dep Summary'!E$26:E$40)</f>
        <v>0</v>
      </c>
      <c r="R38" s="277">
        <f ca="1">+SUMIF('FAR Dep Summary'!$A$26:$A$43,'Summary Breakdown'!$K38,'FAR Dep Summary'!F$26:F$40)</f>
        <v>0</v>
      </c>
      <c r="T38" s="273" t="s">
        <v>1012</v>
      </c>
      <c r="U38" s="276"/>
      <c r="V38" s="276">
        <f t="shared" si="4"/>
        <v>0</v>
      </c>
      <c r="W38" s="276"/>
      <c r="X38" s="276"/>
      <c r="Y38" s="276">
        <v>0</v>
      </c>
      <c r="Z38" s="276"/>
      <c r="AA38" s="277"/>
      <c r="AC38" s="273" t="s">
        <v>1012</v>
      </c>
      <c r="AD38" s="276">
        <f ca="1">+B38+L38+U38</f>
        <v>1292121.31</v>
      </c>
      <c r="AE38" s="276">
        <f ca="1">AD38-AF38</f>
        <v>0</v>
      </c>
      <c r="AF38" s="276">
        <f ca="1">+D38+N38+W38</f>
        <v>1292121.31</v>
      </c>
      <c r="AG38" s="276">
        <f ca="1">+E38+O38+X38</f>
        <v>2793.7889999999998</v>
      </c>
      <c r="AH38" s="276">
        <f ca="1">+F38+P38+Y38</f>
        <v>1284519.5335833321</v>
      </c>
      <c r="AI38" s="276">
        <f ca="1">+G38+Q38+Z38</f>
        <v>1291888.4942499998</v>
      </c>
      <c r="AJ38" s="277">
        <f ca="1">+H38+R38+AA38</f>
        <v>232.81575000042358</v>
      </c>
    </row>
    <row r="39" spans="1:36" ht="13.5" customHeight="1">
      <c r="A39" s="273"/>
      <c r="B39" s="65"/>
      <c r="C39" s="65"/>
      <c r="D39" s="65"/>
      <c r="E39" s="65"/>
      <c r="F39" s="65"/>
      <c r="G39" s="65"/>
      <c r="H39" s="277"/>
      <c r="I39" s="10"/>
      <c r="K39" s="273"/>
      <c r="L39" s="65"/>
      <c r="M39" s="65"/>
      <c r="N39" s="65"/>
      <c r="O39" s="65"/>
      <c r="P39" s="65"/>
      <c r="Q39" s="65"/>
      <c r="R39" s="277"/>
      <c r="T39" s="273"/>
      <c r="U39" s="276"/>
      <c r="V39" s="276"/>
      <c r="W39" s="276"/>
      <c r="X39" s="276"/>
      <c r="Y39" s="276"/>
      <c r="Z39" s="276"/>
      <c r="AA39" s="277"/>
      <c r="AC39" s="273"/>
      <c r="AD39" s="65"/>
      <c r="AE39" s="65"/>
      <c r="AF39" s="65"/>
      <c r="AG39" s="65"/>
      <c r="AH39" s="65"/>
      <c r="AI39" s="65"/>
      <c r="AJ39" s="277"/>
    </row>
    <row r="40" spans="1:36" ht="13.5" customHeight="1">
      <c r="A40" s="273" t="s">
        <v>1011</v>
      </c>
      <c r="B40" s="65">
        <f>'2111 Cont, DB'!M610</f>
        <v>985543.33700000017</v>
      </c>
      <c r="C40" s="65">
        <f>B40-D40</f>
        <v>0</v>
      </c>
      <c r="D40" s="65">
        <f>'2111 Cont, DB'!N610</f>
        <v>985543.33700000017</v>
      </c>
      <c r="E40" s="65">
        <f>'2111 Cont, DB'!Q610</f>
        <v>75452.239571428581</v>
      </c>
      <c r="F40" s="65">
        <f>'2111 Cont, DB'!S610</f>
        <v>749598.92702380335</v>
      </c>
      <c r="G40" s="65">
        <f>'2111 Cont, DB'!T610</f>
        <v>835486.41683332867</v>
      </c>
      <c r="H40" s="277">
        <f>'2111 Cont, DB'!V610</f>
        <v>150056.92016667163</v>
      </c>
      <c r="I40" s="10"/>
      <c r="K40" s="273" t="s">
        <v>1011</v>
      </c>
      <c r="L40" s="276">
        <f ca="1">+SUMIF('FAR Dep Summary'!$A$26:$A$43,'Summary Breakdown'!$K40,'FAR Dep Summary'!B$26:B$40)</f>
        <v>269578.19999999995</v>
      </c>
      <c r="M40" s="276">
        <f ca="1">L40-N40</f>
        <v>0</v>
      </c>
      <c r="N40" s="276">
        <f ca="1">+SUMIF('FAR Dep Summary'!$A$26:$A$43,'Summary Breakdown'!$K40,'FAR Dep Summary'!B$26:B$40)</f>
        <v>269578.19999999995</v>
      </c>
      <c r="O40" s="276">
        <f ca="1">+SUMIF('FAR Dep Summary'!$A$26:$A$43,'Summary Breakdown'!$K40,'FAR Dep Summary'!C$26:C$40)</f>
        <v>38511.171428571426</v>
      </c>
      <c r="P40" s="276">
        <f ca="1">+SUMIF('FAR Dep Summary'!$A$26:$A$43,'Summary Breakdown'!$K40,'FAR Dep Summary'!D$26:D$40)</f>
        <v>72359.736666664685</v>
      </c>
      <c r="Q40" s="276">
        <f ca="1">+SUMIF('FAR Dep Summary'!$A$26:$A$43,'Summary Breakdown'!$K40,'FAR Dep Summary'!E$26:E$40)</f>
        <v>110870.90809523611</v>
      </c>
      <c r="R40" s="277">
        <f ca="1">+SUMIF('FAR Dep Summary'!$A$26:$A$43,'Summary Breakdown'!$K40,'FAR Dep Summary'!F$26:F$40)</f>
        <v>158707.29190476387</v>
      </c>
      <c r="T40" s="273" t="s">
        <v>1011</v>
      </c>
      <c r="U40" s="276"/>
      <c r="V40" s="276">
        <f t="shared" si="4"/>
        <v>0</v>
      </c>
      <c r="W40" s="276"/>
      <c r="X40" s="276"/>
      <c r="Y40" s="276">
        <v>0</v>
      </c>
      <c r="Z40" s="276"/>
      <c r="AA40" s="277"/>
      <c r="AC40" s="273" t="s">
        <v>1011</v>
      </c>
      <c r="AD40" s="276">
        <f ca="1">+B40+L40+U40</f>
        <v>1255121.537</v>
      </c>
      <c r="AE40" s="276">
        <f ca="1">AD40-AF40</f>
        <v>0</v>
      </c>
      <c r="AF40" s="276">
        <f ca="1">+D40+N40+W40</f>
        <v>1255121.537</v>
      </c>
      <c r="AG40" s="276">
        <f ca="1">+E40+O40+X40</f>
        <v>113963.41100000001</v>
      </c>
      <c r="AH40" s="276">
        <f ca="1">+F40+P40+Y40</f>
        <v>821958.66369046806</v>
      </c>
      <c r="AI40" s="276">
        <f ca="1">+G40+Q40+Z40</f>
        <v>946357.32492856472</v>
      </c>
      <c r="AJ40" s="277">
        <f ca="1">+H40+R40+AA40</f>
        <v>308764.21207143553</v>
      </c>
    </row>
    <row r="41" spans="1:36" ht="13.5" customHeight="1">
      <c r="A41" s="273"/>
      <c r="B41" s="65"/>
      <c r="C41" s="65">
        <f>B41-D41</f>
        <v>0</v>
      </c>
      <c r="D41" s="65"/>
      <c r="E41" s="65"/>
      <c r="F41" s="65"/>
      <c r="G41" s="65"/>
      <c r="H41" s="277"/>
      <c r="I41" s="10"/>
      <c r="K41" s="273"/>
      <c r="L41" s="65"/>
      <c r="M41" s="65">
        <f>L41-N41</f>
        <v>0</v>
      </c>
      <c r="N41" s="65"/>
      <c r="O41" s="65"/>
      <c r="P41" s="65"/>
      <c r="Q41" s="65"/>
      <c r="R41" s="277"/>
      <c r="T41" s="273"/>
      <c r="U41" s="276"/>
      <c r="V41" s="276"/>
      <c r="W41" s="276"/>
      <c r="X41" s="276"/>
      <c r="Y41" s="276"/>
      <c r="Z41" s="276"/>
      <c r="AA41" s="277"/>
      <c r="AC41" s="273"/>
      <c r="AD41" s="65"/>
      <c r="AE41" s="65">
        <f>AD41-AF41</f>
        <v>0</v>
      </c>
      <c r="AF41" s="65"/>
      <c r="AG41" s="65"/>
      <c r="AH41" s="65"/>
      <c r="AI41" s="65"/>
      <c r="AJ41" s="277"/>
    </row>
    <row r="42" spans="1:36" ht="13.5" customHeight="1">
      <c r="A42" s="273" t="s">
        <v>131</v>
      </c>
      <c r="B42" s="65">
        <f>'2111 Cont, DB'!M413</f>
        <v>73196.34</v>
      </c>
      <c r="C42" s="65">
        <f>B42-D42</f>
        <v>0</v>
      </c>
      <c r="D42" s="65">
        <f>'2111 Cont, DB'!N413</f>
        <v>73196.34</v>
      </c>
      <c r="E42" s="65">
        <f>+'2111 Cont, DB'!Q413</f>
        <v>2615.7575000000002</v>
      </c>
      <c r="F42" s="65">
        <f>+'2111 Cont, DB'!S413</f>
        <v>57283.815208332933</v>
      </c>
      <c r="G42" s="65">
        <f>+'2111 Cont, DB'!T413</f>
        <v>59899.57270833294</v>
      </c>
      <c r="H42" s="277">
        <f>+'2111 Cont, DB'!V413</f>
        <v>13296.767291667064</v>
      </c>
      <c r="I42" s="10"/>
      <c r="K42" s="273" t="s">
        <v>131</v>
      </c>
      <c r="L42" s="276">
        <f ca="1">+SUMIF('FAR Dep Summary'!$A$26:$A$43,'Summary Breakdown'!$K42,'FAR Dep Summary'!B$26:B$40)</f>
        <v>0</v>
      </c>
      <c r="M42" s="276">
        <f ca="1">L42-N42</f>
        <v>0</v>
      </c>
      <c r="N42" s="276">
        <f ca="1">+SUMIF('FAR Dep Summary'!$A$26:$A$43,'Summary Breakdown'!$K42,'FAR Dep Summary'!B$26:B$40)</f>
        <v>0</v>
      </c>
      <c r="O42" s="276">
        <f ca="1">+SUMIF('FAR Dep Summary'!$A$26:$A$43,'Summary Breakdown'!$K42,'FAR Dep Summary'!C$26:C$40)</f>
        <v>0</v>
      </c>
      <c r="P42" s="276">
        <f ca="1">+SUMIF('FAR Dep Summary'!$A$26:$A$43,'Summary Breakdown'!$K42,'FAR Dep Summary'!D$26:D$40)</f>
        <v>0</v>
      </c>
      <c r="Q42" s="276">
        <f ca="1">+SUMIF('FAR Dep Summary'!$A$26:$A$43,'Summary Breakdown'!$K42,'FAR Dep Summary'!E$26:E$40)</f>
        <v>0</v>
      </c>
      <c r="R42" s="277">
        <f ca="1">+SUMIF('FAR Dep Summary'!$A$26:$A$43,'Summary Breakdown'!$K42,'FAR Dep Summary'!F$26:F$40)</f>
        <v>0</v>
      </c>
      <c r="T42" s="273" t="s">
        <v>131</v>
      </c>
      <c r="U42" s="276"/>
      <c r="V42" s="276">
        <f t="shared" si="4"/>
        <v>0</v>
      </c>
      <c r="W42" s="276"/>
      <c r="X42" s="276"/>
      <c r="Y42" s="276">
        <v>0</v>
      </c>
      <c r="Z42" s="276"/>
      <c r="AA42" s="277"/>
      <c r="AC42" s="273" t="s">
        <v>131</v>
      </c>
      <c r="AD42" s="276">
        <f ca="1">+B42+L42+U42</f>
        <v>73196.34</v>
      </c>
      <c r="AE42" s="276">
        <f ca="1">AD42-AF42</f>
        <v>0</v>
      </c>
      <c r="AF42" s="276">
        <f ca="1">+D42+N42+W42</f>
        <v>73196.34</v>
      </c>
      <c r="AG42" s="276">
        <f ca="1">+E42+O42+X42</f>
        <v>2615.7575000000002</v>
      </c>
      <c r="AH42" s="276">
        <f ca="1">+F42+P42+Y42</f>
        <v>57283.815208332933</v>
      </c>
      <c r="AI42" s="276">
        <f ca="1">+G42+Q42+Z42</f>
        <v>59899.57270833294</v>
      </c>
      <c r="AJ42" s="277">
        <f ca="1">+H42+R42+AA42</f>
        <v>13296.767291667064</v>
      </c>
    </row>
    <row r="43" spans="1:36" ht="13.5" customHeight="1">
      <c r="A43" s="273"/>
      <c r="B43" s="65"/>
      <c r="C43" s="65"/>
      <c r="D43" s="65"/>
      <c r="E43" s="65"/>
      <c r="F43" s="65"/>
      <c r="G43" s="65"/>
      <c r="H43" s="277"/>
      <c r="I43" s="10"/>
      <c r="K43" s="273"/>
      <c r="L43" s="65"/>
      <c r="M43" s="65"/>
      <c r="N43" s="65"/>
      <c r="O43" s="65"/>
      <c r="P43" s="65"/>
      <c r="Q43" s="65"/>
      <c r="R43" s="277"/>
      <c r="T43" s="273"/>
      <c r="U43" s="276"/>
      <c r="V43" s="276"/>
      <c r="W43" s="276"/>
      <c r="X43" s="276"/>
      <c r="Y43" s="276"/>
      <c r="Z43" s="276"/>
      <c r="AA43" s="277"/>
      <c r="AC43" s="273"/>
      <c r="AD43" s="65"/>
      <c r="AE43" s="65"/>
      <c r="AF43" s="65"/>
      <c r="AG43" s="65"/>
      <c r="AH43" s="65"/>
      <c r="AI43" s="65"/>
      <c r="AJ43" s="277"/>
    </row>
    <row r="44" spans="1:36" ht="13.5" customHeight="1">
      <c r="A44" s="273" t="s">
        <v>387</v>
      </c>
      <c r="B44" s="65">
        <f>'2111 YW'!M120</f>
        <v>3150786.4599999995</v>
      </c>
      <c r="C44" s="65">
        <f>B44-D44</f>
        <v>0</v>
      </c>
      <c r="D44" s="65">
        <f>'2111 YW'!N120</f>
        <v>3150786.4599999995</v>
      </c>
      <c r="E44" s="276">
        <f>+'2111 YW'!Q120</f>
        <v>111800.76428571432</v>
      </c>
      <c r="F44" s="65">
        <f>+'2111 Cont, DB'!S413</f>
        <v>57283.815208332933</v>
      </c>
      <c r="G44" s="65">
        <f>+'2111 Cont, DB'!T413</f>
        <v>59899.57270833294</v>
      </c>
      <c r="H44" s="277">
        <f>+'2111 Cont, DB'!V413</f>
        <v>13296.767291667064</v>
      </c>
      <c r="I44" s="10"/>
      <c r="K44" s="273" t="s">
        <v>387</v>
      </c>
      <c r="L44" s="276">
        <f ca="1">+SUMIF('FAR Dep Summary'!$A$26:$A$43,'Summary Breakdown'!$K44,'FAR Dep Summary'!B$26:B$40)</f>
        <v>603610.41</v>
      </c>
      <c r="M44" s="276">
        <f ca="1">L44-N44</f>
        <v>0</v>
      </c>
      <c r="N44" s="276">
        <f ca="1">+SUMIF('FAR Dep Summary'!$A$26:$A$43,'Summary Breakdown'!$K44,'FAR Dep Summary'!B$26:B$40)</f>
        <v>603610.41</v>
      </c>
      <c r="O44" s="276">
        <f ca="1">+SUMIF('FAR Dep Summary'!$A$26:$A$43,'Summary Breakdown'!$K44,'FAR Dep Summary'!C$26:C$40)</f>
        <v>86230.05857142857</v>
      </c>
      <c r="P44" s="276">
        <f ca="1">+SUMIF('FAR Dep Summary'!$A$26:$A$43,'Summary Breakdown'!$K44,'FAR Dep Summary'!D$26:D$40)</f>
        <v>131140.70452380501</v>
      </c>
      <c r="Q44" s="276">
        <f ca="1">+SUMIF('FAR Dep Summary'!$A$26:$A$43,'Summary Breakdown'!$K44,'FAR Dep Summary'!E$26:E$40)</f>
        <v>217370.76309523359</v>
      </c>
      <c r="R44" s="277">
        <f ca="1">+SUMIF('FAR Dep Summary'!$A$26:$A$43,'Summary Breakdown'!$K44,'FAR Dep Summary'!F$26:F$40)</f>
        <v>386239.6469047665</v>
      </c>
      <c r="T44" s="273" t="s">
        <v>387</v>
      </c>
      <c r="U44" s="276"/>
      <c r="V44" s="276">
        <f t="shared" si="4"/>
        <v>0</v>
      </c>
      <c r="W44" s="276"/>
      <c r="X44" s="276"/>
      <c r="Y44" s="276">
        <v>0</v>
      </c>
      <c r="Z44" s="276"/>
      <c r="AA44" s="277"/>
      <c r="AC44" s="273" t="s">
        <v>387</v>
      </c>
      <c r="AD44" s="276">
        <f ca="1">+B44+L44+U44</f>
        <v>3754396.8699999996</v>
      </c>
      <c r="AE44" s="276">
        <f ca="1">AD44-AF44</f>
        <v>0</v>
      </c>
      <c r="AF44" s="276">
        <f ca="1">+D44+N44+W44</f>
        <v>3754396.8699999996</v>
      </c>
      <c r="AG44" s="276">
        <f ca="1">+E44+O44+X44</f>
        <v>198030.82285714289</v>
      </c>
      <c r="AH44" s="276">
        <f ca="1">+F44+P44+Y44</f>
        <v>188424.51973213794</v>
      </c>
      <c r="AI44" s="276">
        <f ca="1">+G44+Q44+Z44</f>
        <v>277270.3358035665</v>
      </c>
      <c r="AJ44" s="277">
        <f ca="1">+H44+R44+AA44</f>
        <v>399536.41419643356</v>
      </c>
    </row>
    <row r="45" spans="1:36" ht="13.5" customHeight="1">
      <c r="A45" s="273"/>
      <c r="B45" s="65"/>
      <c r="C45" s="65"/>
      <c r="D45" s="65"/>
      <c r="E45" s="276"/>
      <c r="F45" s="65"/>
      <c r="G45" s="65"/>
      <c r="H45" s="277"/>
      <c r="I45" s="10"/>
      <c r="K45" s="273"/>
      <c r="L45" s="65"/>
      <c r="M45" s="65"/>
      <c r="N45" s="65"/>
      <c r="O45" s="276"/>
      <c r="P45" s="65"/>
      <c r="Q45" s="65"/>
      <c r="R45" s="277"/>
      <c r="T45" s="273"/>
      <c r="U45" s="276"/>
      <c r="V45" s="276"/>
      <c r="W45" s="276"/>
      <c r="X45" s="276"/>
      <c r="Y45" s="276"/>
      <c r="Z45" s="276"/>
      <c r="AA45" s="277"/>
      <c r="AC45" s="273"/>
      <c r="AD45" s="65"/>
      <c r="AE45" s="65"/>
      <c r="AF45" s="65"/>
      <c r="AG45" s="276"/>
      <c r="AH45" s="65"/>
      <c r="AI45" s="65"/>
      <c r="AJ45" s="277"/>
    </row>
    <row r="46" spans="1:36" ht="13.5" customHeight="1">
      <c r="A46" s="273" t="s">
        <v>1010</v>
      </c>
      <c r="B46" s="276">
        <f>'2111 Cont, DB'!M459</f>
        <v>2389472.34</v>
      </c>
      <c r="C46" s="276">
        <f>B46-D46</f>
        <v>0</v>
      </c>
      <c r="D46" s="276">
        <f>'2111 Cont, DB'!N459</f>
        <v>2389472.34</v>
      </c>
      <c r="E46" s="276">
        <f>'2111 Cont, DB'!Q459</f>
        <v>0</v>
      </c>
      <c r="F46" s="276">
        <f>'2111 Cont, DB'!S459</f>
        <v>2361445.9277380439</v>
      </c>
      <c r="G46" s="276">
        <f>'2111 Cont, DB'!T459</f>
        <v>2389472.34</v>
      </c>
      <c r="H46" s="277">
        <f>'2111 Cont, DB'!V459</f>
        <v>0</v>
      </c>
      <c r="I46" s="10"/>
      <c r="K46" s="273" t="s">
        <v>1010</v>
      </c>
      <c r="L46" s="276">
        <f ca="1">+SUMIF('FAR Dep Summary'!$A$26:$A$43,'Summary Breakdown'!$K46,'FAR Dep Summary'!B$26:B$40)</f>
        <v>0</v>
      </c>
      <c r="M46" s="276">
        <f ca="1">L46-N46</f>
        <v>0</v>
      </c>
      <c r="N46" s="276">
        <f ca="1">+SUMIF('FAR Dep Summary'!$A$26:$A$43,'Summary Breakdown'!$K46,'FAR Dep Summary'!B$26:B$40)</f>
        <v>0</v>
      </c>
      <c r="O46" s="276">
        <f ca="1">+SUMIF('FAR Dep Summary'!$A$26:$A$43,'Summary Breakdown'!$K46,'FAR Dep Summary'!C$26:C$40)</f>
        <v>0</v>
      </c>
      <c r="P46" s="276">
        <f ca="1">+SUMIF('FAR Dep Summary'!$A$26:$A$43,'Summary Breakdown'!$K46,'FAR Dep Summary'!D$26:D$40)</f>
        <v>0</v>
      </c>
      <c r="Q46" s="276">
        <f ca="1">+SUMIF('FAR Dep Summary'!$A$26:$A$43,'Summary Breakdown'!$K46,'FAR Dep Summary'!E$26:E$40)</f>
        <v>0</v>
      </c>
      <c r="R46" s="277">
        <f ca="1">+SUMIF('FAR Dep Summary'!$A$26:$A$43,'Summary Breakdown'!$K46,'FAR Dep Summary'!F$26:F$40)</f>
        <v>0</v>
      </c>
      <c r="T46" s="273" t="s">
        <v>1010</v>
      </c>
      <c r="U46" s="276"/>
      <c r="V46" s="276">
        <f t="shared" si="4"/>
        <v>0</v>
      </c>
      <c r="W46" s="276"/>
      <c r="X46" s="276"/>
      <c r="Y46" s="276">
        <v>0</v>
      </c>
      <c r="Z46" s="276"/>
      <c r="AA46" s="277"/>
      <c r="AC46" s="273" t="s">
        <v>1010</v>
      </c>
      <c r="AD46" s="276">
        <f ca="1">+B46+L46+U46</f>
        <v>2389472.34</v>
      </c>
      <c r="AE46" s="276">
        <f ca="1">AD46-AF46</f>
        <v>0</v>
      </c>
      <c r="AF46" s="276">
        <f ca="1">+D46+N46+W46</f>
        <v>2389472.34</v>
      </c>
      <c r="AG46" s="276">
        <f ca="1">+E46+O46+X46</f>
        <v>0</v>
      </c>
      <c r="AH46" s="276">
        <f ca="1">+F46+P46+Y46</f>
        <v>2361445.9277380439</v>
      </c>
      <c r="AI46" s="276">
        <f ca="1">+G46+Q46+Z46</f>
        <v>2389472.34</v>
      </c>
      <c r="AJ46" s="277">
        <f ca="1">+H46+R46+AA46</f>
        <v>0</v>
      </c>
    </row>
    <row r="47" spans="1:36" ht="13.5" customHeight="1">
      <c r="A47" s="273"/>
      <c r="B47" s="65"/>
      <c r="C47" s="65"/>
      <c r="D47" s="65"/>
      <c r="E47" s="65"/>
      <c r="F47" s="65"/>
      <c r="G47" s="65"/>
      <c r="H47" s="277"/>
      <c r="I47" s="10"/>
      <c r="J47" s="513"/>
      <c r="K47" s="273"/>
      <c r="L47" s="65"/>
      <c r="M47" s="65"/>
      <c r="N47" s="65"/>
      <c r="O47" s="65"/>
      <c r="P47" s="65"/>
      <c r="Q47" s="65"/>
      <c r="R47" s="277"/>
      <c r="T47" s="273"/>
      <c r="U47" s="65"/>
      <c r="V47" s="65"/>
      <c r="W47" s="65"/>
      <c r="X47" s="65"/>
      <c r="Y47" s="65"/>
      <c r="Z47" s="65"/>
      <c r="AA47" s="277"/>
      <c r="AC47" s="273"/>
      <c r="AD47" s="65"/>
      <c r="AE47" s="65"/>
      <c r="AF47" s="65"/>
      <c r="AG47" s="65"/>
      <c r="AH47" s="65"/>
      <c r="AI47" s="65"/>
      <c r="AJ47" s="277"/>
    </row>
    <row r="48" spans="1:36" ht="13.5" customHeight="1" thickBot="1">
      <c r="A48" s="278" t="s">
        <v>132</v>
      </c>
      <c r="B48" s="25">
        <f>SUM(B32:B47)</f>
        <v>15784438.256999997</v>
      </c>
      <c r="C48" s="25">
        <f>SUM(C32:C46)</f>
        <v>0</v>
      </c>
      <c r="D48" s="25">
        <f>SUM(D32:D47)</f>
        <v>15784438.256999997</v>
      </c>
      <c r="E48" s="25">
        <f>SUM(E32:E47)</f>
        <v>529064.84542857145</v>
      </c>
      <c r="F48" s="25">
        <f>SUM(F32:F47)</f>
        <v>10916265.867551498</v>
      </c>
      <c r="G48" s="25">
        <f>SUM(G32:G47)</f>
        <v>11307607.944313459</v>
      </c>
      <c r="H48" s="280">
        <f>SUM(H32:H47)</f>
        <v>1311448.5441032061</v>
      </c>
      <c r="I48" s="23"/>
      <c r="J48" s="11"/>
      <c r="K48" s="278" t="s">
        <v>132</v>
      </c>
      <c r="L48" s="25">
        <f ca="1">SUM(L32:L47)</f>
        <v>3838551.3400000008</v>
      </c>
      <c r="M48" s="25">
        <f ca="1">SUM(M32:M46)</f>
        <v>0</v>
      </c>
      <c r="N48" s="25">
        <f ca="1">SUM(N32:N47)</f>
        <v>3838551.3400000008</v>
      </c>
      <c r="O48" s="25">
        <f ca="1">SUM(O32:O47)</f>
        <v>432507.2727857143</v>
      </c>
      <c r="P48" s="25">
        <f ca="1">SUM(P32:P47)</f>
        <v>926875.52909918688</v>
      </c>
      <c r="Q48" s="25">
        <f ca="1">SUM(Q32:Q47)</f>
        <v>1362650.6590277585</v>
      </c>
      <c r="R48" s="280">
        <f ca="1">SUM(R32:R47)</f>
        <v>2475900.6809722413</v>
      </c>
      <c r="T48" s="278" t="s">
        <v>132</v>
      </c>
      <c r="U48" s="25">
        <f>SUM(U32:U47)</f>
        <v>0</v>
      </c>
      <c r="V48" s="25">
        <f>SUM(V32:V46)</f>
        <v>0</v>
      </c>
      <c r="W48" s="25">
        <f>SUM(W32:W47)</f>
        <v>0</v>
      </c>
      <c r="X48" s="25">
        <f>SUM(X32:X47)</f>
        <v>0</v>
      </c>
      <c r="Y48" s="25">
        <f>SUM(Y32:Y47)</f>
        <v>0</v>
      </c>
      <c r="Z48" s="25">
        <f>SUM(Z32:Z47)</f>
        <v>0</v>
      </c>
      <c r="AA48" s="280">
        <f>SUM(AA32:AA47)</f>
        <v>0</v>
      </c>
      <c r="AC48" s="278" t="s">
        <v>132</v>
      </c>
      <c r="AD48" s="25">
        <f ca="1">SUM(AD32:AD47)</f>
        <v>19622989.596999999</v>
      </c>
      <c r="AE48" s="25">
        <f ca="1">SUM(AE32:AE46)</f>
        <v>0</v>
      </c>
      <c r="AF48" s="25">
        <f ca="1">SUM(AF32:AF47)</f>
        <v>19622989.596999999</v>
      </c>
      <c r="AG48" s="25">
        <f ca="1">SUM(AG32:AG47)</f>
        <v>961572.11821428558</v>
      </c>
      <c r="AH48" s="25">
        <f ca="1">SUM(AH32:AH47)</f>
        <v>11843141.396650685</v>
      </c>
      <c r="AI48" s="25">
        <f ca="1">SUM(AI32:AI47)</f>
        <v>12670258.603341216</v>
      </c>
      <c r="AJ48" s="280">
        <f ca="1">SUM(AJ32:AJ47)</f>
        <v>3787349.2250754475</v>
      </c>
    </row>
    <row r="49" spans="1:36" ht="13.5" customHeight="1">
      <c r="A49" s="273"/>
      <c r="B49" s="65">
        <f>B48-'2111 Cont, DB'!M612-'2111 YW'!M120</f>
        <v>0</v>
      </c>
      <c r="C49" s="65"/>
      <c r="D49" s="65"/>
      <c r="E49" s="281">
        <f>E48-'2111 YW'!Q123-'2111 Cont, DB'!Q612</f>
        <v>0</v>
      </c>
      <c r="F49" s="281"/>
      <c r="G49" s="281"/>
      <c r="H49" s="282"/>
      <c r="I49" s="34"/>
      <c r="J49" s="11"/>
      <c r="K49" s="273"/>
      <c r="L49" s="65"/>
      <c r="M49" s="65"/>
      <c r="N49" s="65"/>
      <c r="O49" s="281"/>
      <c r="P49" s="281"/>
      <c r="Q49" s="281"/>
      <c r="R49" s="282"/>
      <c r="T49" s="273"/>
      <c r="U49" s="65"/>
      <c r="V49" s="65"/>
      <c r="W49" s="65"/>
      <c r="X49" s="281"/>
      <c r="Y49" s="281"/>
      <c r="Z49" s="281"/>
      <c r="AA49" s="282"/>
      <c r="AC49" s="273"/>
      <c r="AD49" s="65"/>
      <c r="AE49" s="65"/>
      <c r="AF49" s="65"/>
      <c r="AG49" s="281"/>
      <c r="AH49" s="281"/>
      <c r="AI49" s="281"/>
      <c r="AJ49" s="282"/>
    </row>
    <row r="50" spans="1:36" ht="13.5" customHeight="1">
      <c r="A50" s="273" t="s">
        <v>133</v>
      </c>
      <c r="B50" s="65">
        <f>'2111 Other'!M63</f>
        <v>477364.97</v>
      </c>
      <c r="C50" s="65">
        <f>B50-D50</f>
        <v>0</v>
      </c>
      <c r="D50" s="65">
        <f>'2111 Other'!N63</f>
        <v>477364.97</v>
      </c>
      <c r="E50" s="65">
        <f>+'2111 Other'!Q63</f>
        <v>28493.338434102603</v>
      </c>
      <c r="F50" s="65">
        <f>+'2111 Other'!S63</f>
        <v>344504.03640985495</v>
      </c>
      <c r="G50" s="65">
        <f>+'2111 Other'!T63</f>
        <v>415721.37484396104</v>
      </c>
      <c r="H50" s="277">
        <f>+'2111 Other'!V63</f>
        <v>61643.595156038944</v>
      </c>
      <c r="I50" s="10"/>
      <c r="K50" s="273" t="s">
        <v>133</v>
      </c>
      <c r="L50" s="276">
        <f ca="1">+SUMIF('FAR Dep Summary'!$A$26:$A$43,'Summary Breakdown'!$K50,'FAR Dep Summary'!B$26:B$40)</f>
        <v>184177.75</v>
      </c>
      <c r="M50" s="276">
        <f ca="1">L50-N50</f>
        <v>0</v>
      </c>
      <c r="N50" s="276">
        <f ca="1">+SUMIF('FAR Dep Summary'!$A$26:$A$43,'Summary Breakdown'!$K50,'FAR Dep Summary'!B$26:B$40)</f>
        <v>184177.75</v>
      </c>
      <c r="O50" s="276">
        <f ca="1">+SUMIF('FAR Dep Summary'!$A$26:$A$43,'Summary Breakdown'!$K50,'FAR Dep Summary'!C$26:C$40)</f>
        <v>17488.589666666667</v>
      </c>
      <c r="P50" s="276">
        <f ca="1">+SUMIF('FAR Dep Summary'!$A$26:$A$43,'Summary Breakdown'!$K50,'FAR Dep Summary'!D$26:D$40)</f>
        <v>74728.144166666316</v>
      </c>
      <c r="Q50" s="276">
        <f ca="1">+SUMIF('FAR Dep Summary'!$A$26:$A$43,'Summary Breakdown'!$K50,'FAR Dep Summary'!E$26:E$40)</f>
        <v>101634.67633333299</v>
      </c>
      <c r="R50" s="277">
        <f ca="1">+SUMIF('FAR Dep Summary'!$A$26:$A$43,'Summary Breakdown'!$K50,'FAR Dep Summary'!F$26:F$40)</f>
        <v>82543.073666667027</v>
      </c>
      <c r="T50" s="273" t="s">
        <v>133</v>
      </c>
      <c r="U50" s="276">
        <f>+'Bud Capital Input-2111'!V47</f>
        <v>63529</v>
      </c>
      <c r="V50" s="276">
        <f t="shared" ref="V50:V65" si="5">U50-W50</f>
        <v>0</v>
      </c>
      <c r="W50" s="276">
        <f>+'Bud Capital Input-2111'!V47</f>
        <v>63529</v>
      </c>
      <c r="X50" s="276">
        <f>+'Bud Capital Input-2111'!X47</f>
        <v>12705.8</v>
      </c>
      <c r="Y50" s="276"/>
      <c r="Z50" s="276">
        <f>+X50+Y50</f>
        <v>12705.8</v>
      </c>
      <c r="AA50" s="277">
        <f>+U50-Z50</f>
        <v>50823.199999999997</v>
      </c>
      <c r="AC50" s="273" t="s">
        <v>133</v>
      </c>
      <c r="AD50" s="276">
        <f ca="1">+B50+L50+U50</f>
        <v>725071.72</v>
      </c>
      <c r="AE50" s="276">
        <f ca="1">AD50-AF50</f>
        <v>0</v>
      </c>
      <c r="AF50" s="276">
        <f ca="1">+D50+N50+W50</f>
        <v>725071.72</v>
      </c>
      <c r="AG50" s="276">
        <f ca="1">+E50+O50+X50</f>
        <v>58687.728100769265</v>
      </c>
      <c r="AH50" s="276">
        <f ca="1">+F50+P50+Y50</f>
        <v>419232.18057652126</v>
      </c>
      <c r="AI50" s="276">
        <f ca="1">+G50+Q50+Z50</f>
        <v>530061.85117729404</v>
      </c>
      <c r="AJ50" s="277">
        <f ca="1">+H50+R50+AA50</f>
        <v>195009.86882270599</v>
      </c>
    </row>
    <row r="51" spans="1:36" ht="13.5" customHeight="1">
      <c r="A51" s="273"/>
      <c r="B51" s="65"/>
      <c r="C51" s="65"/>
      <c r="D51" s="65"/>
      <c r="E51" s="65"/>
      <c r="F51" s="65"/>
      <c r="G51" s="65"/>
      <c r="H51" s="277"/>
      <c r="I51" s="10"/>
      <c r="K51" s="273"/>
      <c r="L51" s="65"/>
      <c r="M51" s="65"/>
      <c r="N51" s="65"/>
      <c r="O51" s="65"/>
      <c r="P51" s="65"/>
      <c r="Q51" s="65"/>
      <c r="R51" s="277"/>
      <c r="T51" s="273"/>
      <c r="U51" s="276"/>
      <c r="V51" s="276"/>
      <c r="W51" s="276"/>
      <c r="X51" s="276"/>
      <c r="Y51" s="276"/>
      <c r="Z51" s="276"/>
      <c r="AA51" s="277"/>
      <c r="AC51" s="273"/>
      <c r="AD51" s="65"/>
      <c r="AE51" s="65"/>
      <c r="AF51" s="65"/>
      <c r="AG51" s="65"/>
      <c r="AH51" s="65"/>
      <c r="AI51" s="65"/>
      <c r="AJ51" s="277"/>
    </row>
    <row r="52" spans="1:36" ht="13.5" customHeight="1">
      <c r="A52" s="273" t="s">
        <v>134</v>
      </c>
      <c r="B52" s="65">
        <f>'2111 Other'!M116</f>
        <v>662144.64999999979</v>
      </c>
      <c r="C52" s="65">
        <f>B52-D52</f>
        <v>0</v>
      </c>
      <c r="D52" s="65">
        <f>'2111 Other'!N116</f>
        <v>662144.64999999979</v>
      </c>
      <c r="E52" s="276">
        <f>+'2111 Other'!Q116</f>
        <v>10106.22597587095</v>
      </c>
      <c r="F52" s="276">
        <f>+'2111 Other'!S116</f>
        <v>567220.85195895156</v>
      </c>
      <c r="G52" s="276">
        <f>+'2111 Other'!T116</f>
        <v>577327.07793482265</v>
      </c>
      <c r="H52" s="277">
        <f>+'2111 Other'!V116</f>
        <v>84817.572065177272</v>
      </c>
      <c r="I52" s="10"/>
      <c r="K52" s="273" t="s">
        <v>4101</v>
      </c>
      <c r="L52" s="276">
        <f ca="1">+SUMIF('FAR Dep Summary'!$A$26:$A$43,'Summary Breakdown'!$K52,'FAR Dep Summary'!B$26:B$40)</f>
        <v>290785.64999999997</v>
      </c>
      <c r="M52" s="276">
        <f ca="1">L52-N52</f>
        <v>0</v>
      </c>
      <c r="N52" s="276">
        <f ca="1">+SUMIF('FAR Dep Summary'!$A$26:$A$43,'Summary Breakdown'!$K52,'FAR Dep Summary'!B$26:B$40)</f>
        <v>290785.64999999997</v>
      </c>
      <c r="O52" s="276">
        <f ca="1">+SUMIF('FAR Dep Summary'!$A$26:$A$43,'Summary Breakdown'!$K52,'FAR Dep Summary'!C$26:C$40)</f>
        <v>40912.335749999998</v>
      </c>
      <c r="P52" s="276">
        <f ca="1">+SUMIF('FAR Dep Summary'!$A$26:$A$43,'Summary Breakdown'!$K52,'FAR Dep Summary'!D$26:D$40)</f>
        <v>98830.934374997887</v>
      </c>
      <c r="Q52" s="276">
        <f ca="1">+SUMIF('FAR Dep Summary'!$A$26:$A$43,'Summary Breakdown'!$K52,'FAR Dep Summary'!E$26:E$40)</f>
        <v>140813.51929166462</v>
      </c>
      <c r="R52" s="277">
        <f ca="1">+SUMIF('FAR Dep Summary'!$A$26:$A$43,'Summary Breakdown'!$K52,'FAR Dep Summary'!F$26:F$40)</f>
        <v>149972.13070833537</v>
      </c>
      <c r="T52" s="273" t="s">
        <v>134</v>
      </c>
      <c r="U52" s="276">
        <f>+'Bud Capital Input-2111'!V48</f>
        <v>410034</v>
      </c>
      <c r="V52" s="276">
        <f t="shared" si="5"/>
        <v>0</v>
      </c>
      <c r="W52" s="276">
        <f>+'Bud Capital Input-2111'!V48</f>
        <v>410034</v>
      </c>
      <c r="X52" s="276">
        <f>+'Bud Capital Input-2111'!X48</f>
        <v>82006.8</v>
      </c>
      <c r="Y52" s="276"/>
      <c r="Z52" s="276">
        <f>+X52+Y52</f>
        <v>82006.8</v>
      </c>
      <c r="AA52" s="277">
        <f>+U52-Z52</f>
        <v>328027.2</v>
      </c>
      <c r="AC52" s="273" t="s">
        <v>134</v>
      </c>
      <c r="AD52" s="276">
        <f ca="1">+B52+L52+U52</f>
        <v>1362964.2999999998</v>
      </c>
      <c r="AE52" s="276">
        <f ca="1">AD52-AF52</f>
        <v>0</v>
      </c>
      <c r="AF52" s="276">
        <f ca="1">+D52+N52+W52</f>
        <v>1362964.2999999998</v>
      </c>
      <c r="AG52" s="276">
        <f ca="1">+E52+O52+X52</f>
        <v>133025.36172587096</v>
      </c>
      <c r="AH52" s="276">
        <f ca="1">+F52+P52+Y52</f>
        <v>666051.78633394942</v>
      </c>
      <c r="AI52" s="276">
        <f ca="1">+G52+Q52+Z52</f>
        <v>800147.39722648729</v>
      </c>
      <c r="AJ52" s="277">
        <f ca="1">+H52+R52+AA52</f>
        <v>562816.90277351264</v>
      </c>
    </row>
    <row r="53" spans="1:36" ht="13.5" customHeight="1">
      <c r="A53" s="273"/>
      <c r="B53" s="65"/>
      <c r="C53" s="65"/>
      <c r="D53" s="65"/>
      <c r="E53" s="65"/>
      <c r="F53" s="65"/>
      <c r="G53" s="65"/>
      <c r="H53" s="277"/>
      <c r="I53" s="10"/>
      <c r="K53" s="273"/>
      <c r="L53" s="65"/>
      <c r="M53" s="65"/>
      <c r="N53" s="65"/>
      <c r="O53" s="65"/>
      <c r="P53" s="65"/>
      <c r="Q53" s="65"/>
      <c r="R53" s="277"/>
      <c r="T53" s="273"/>
      <c r="U53" s="276"/>
      <c r="V53" s="276"/>
      <c r="W53" s="276"/>
      <c r="X53" s="276"/>
      <c r="Y53" s="276"/>
      <c r="Z53" s="276"/>
      <c r="AA53" s="277"/>
      <c r="AC53" s="273"/>
      <c r="AD53" s="65"/>
      <c r="AE53" s="65"/>
      <c r="AF53" s="65"/>
      <c r="AG53" s="65"/>
      <c r="AH53" s="65"/>
      <c r="AI53" s="65"/>
      <c r="AJ53" s="277"/>
    </row>
    <row r="54" spans="1:36" ht="13.5" customHeight="1">
      <c r="A54" s="273" t="s">
        <v>135</v>
      </c>
      <c r="B54" s="65">
        <f>'2111 Other'!M171</f>
        <v>167310.9500000001</v>
      </c>
      <c r="C54" s="65">
        <f>B54-D54</f>
        <v>0</v>
      </c>
      <c r="D54" s="65">
        <f>'2111 Other'!N171</f>
        <v>167310.9500000001</v>
      </c>
      <c r="E54" s="65">
        <f>+'2111 Other'!Q171</f>
        <v>0</v>
      </c>
      <c r="F54" s="65">
        <f>+'2111 Other'!S171</f>
        <v>167310.9500000001</v>
      </c>
      <c r="G54" s="65">
        <f>+'2111 Other'!T171</f>
        <v>167310.9500000001</v>
      </c>
      <c r="H54" s="277">
        <f>+'2111 Other'!V171</f>
        <v>0</v>
      </c>
      <c r="I54" s="10"/>
      <c r="K54" s="273" t="s">
        <v>135</v>
      </c>
      <c r="L54" s="276">
        <f ca="1">+SUMIF('FAR Dep Summary'!$A$26:$A$43,'Summary Breakdown'!$K54,'FAR Dep Summary'!B$26:B$40)</f>
        <v>16778.759999999998</v>
      </c>
      <c r="M54" s="276">
        <f ca="1">L54-N54</f>
        <v>0</v>
      </c>
      <c r="N54" s="276">
        <f ca="1">+SUMIF('FAR Dep Summary'!$A$26:$A$43,'Summary Breakdown'!$K54,'FAR Dep Summary'!B$26:B$40)</f>
        <v>16778.759999999998</v>
      </c>
      <c r="O54" s="276">
        <f ca="1">+SUMIF('FAR Dep Summary'!$A$26:$A$43,'Summary Breakdown'!$K54,'FAR Dep Summary'!C$26:C$40)</f>
        <v>4483.6099999999997</v>
      </c>
      <c r="P54" s="276">
        <f ca="1">+SUMIF('FAR Dep Summary'!$A$26:$A$43,'Summary Breakdown'!$K54,'FAR Dep Summary'!D$26:D$40)</f>
        <v>9089.2966666664379</v>
      </c>
      <c r="Q54" s="276">
        <f ca="1">+SUMIF('FAR Dep Summary'!$A$26:$A$43,'Summary Breakdown'!$K54,'FAR Dep Summary'!E$26:E$40)</f>
        <v>14176.66055555542</v>
      </c>
      <c r="R54" s="277">
        <f ca="1">+SUMIF('FAR Dep Summary'!$A$26:$A$43,'Summary Breakdown'!$K54,'FAR Dep Summary'!F$26:F$40)</f>
        <v>2602.0994444445823</v>
      </c>
      <c r="T54" s="273" t="s">
        <v>135</v>
      </c>
      <c r="U54" s="276"/>
      <c r="V54" s="276">
        <f t="shared" si="5"/>
        <v>0</v>
      </c>
      <c r="W54" s="276"/>
      <c r="X54" s="276"/>
      <c r="Y54" s="276"/>
      <c r="Z54" s="276"/>
      <c r="AA54" s="277"/>
      <c r="AC54" s="273" t="s">
        <v>135</v>
      </c>
      <c r="AD54" s="276">
        <f ca="1">+B54+L54+U54</f>
        <v>184089.71000000011</v>
      </c>
      <c r="AE54" s="276">
        <f ca="1">AD54-AF54</f>
        <v>0</v>
      </c>
      <c r="AF54" s="276">
        <f ca="1">+D54+N54+W54</f>
        <v>184089.71000000011</v>
      </c>
      <c r="AG54" s="276">
        <f ca="1">+E54+O54+X54</f>
        <v>4483.6099999999997</v>
      </c>
      <c r="AH54" s="276">
        <f ca="1">+F54+P54+Y54</f>
        <v>176400.24666666653</v>
      </c>
      <c r="AI54" s="276">
        <f ca="1">+G54+Q54+Z54</f>
        <v>181487.61055555553</v>
      </c>
      <c r="AJ54" s="277">
        <f ca="1">+H54+R54+AA54</f>
        <v>2602.0994444445823</v>
      </c>
    </row>
    <row r="55" spans="1:36" ht="13.5" customHeight="1">
      <c r="A55" s="273"/>
      <c r="B55" s="65"/>
      <c r="C55" s="65"/>
      <c r="D55" s="65"/>
      <c r="E55" s="276"/>
      <c r="F55" s="276"/>
      <c r="G55" s="276"/>
      <c r="H55" s="277"/>
      <c r="I55" s="10"/>
      <c r="K55" s="273"/>
      <c r="L55" s="65"/>
      <c r="M55" s="65"/>
      <c r="N55" s="65"/>
      <c r="O55" s="276"/>
      <c r="P55" s="276"/>
      <c r="Q55" s="276"/>
      <c r="R55" s="277"/>
      <c r="T55" s="273"/>
      <c r="U55" s="276"/>
      <c r="V55" s="276"/>
      <c r="W55" s="276"/>
      <c r="X55" s="276"/>
      <c r="Y55" s="276"/>
      <c r="Z55" s="276"/>
      <c r="AA55" s="277"/>
      <c r="AC55" s="273"/>
      <c r="AD55" s="65"/>
      <c r="AE55" s="65"/>
      <c r="AF55" s="65"/>
      <c r="AG55" s="276"/>
      <c r="AH55" s="276"/>
      <c r="AI55" s="276"/>
      <c r="AJ55" s="277"/>
    </row>
    <row r="56" spans="1:36" ht="13.5" customHeight="1">
      <c r="A56" s="273" t="s">
        <v>136</v>
      </c>
      <c r="B56" s="276">
        <f>'2111 Other'!M24</f>
        <v>14509105.85</v>
      </c>
      <c r="C56" s="276">
        <f>B56-D56</f>
        <v>0</v>
      </c>
      <c r="D56" s="276">
        <f>'2111 Other'!N24</f>
        <v>14509105.85</v>
      </c>
      <c r="E56" s="276">
        <f>+'2111 Other'!Q24</f>
        <v>707462.25477380957</v>
      </c>
      <c r="F56" s="276">
        <f>+'2111 Other'!S24</f>
        <v>4383328.2695177989</v>
      </c>
      <c r="G56" s="276">
        <f>+'2111 Other'!T24</f>
        <v>5090790.5242916094</v>
      </c>
      <c r="H56" s="277">
        <f>+'2111 Other'!V24</f>
        <v>9418315.3257083893</v>
      </c>
      <c r="I56" s="10"/>
      <c r="K56" s="273" t="s">
        <v>136</v>
      </c>
      <c r="L56" s="276">
        <f ca="1">+SUMIF('FAR Dep Summary'!$A$26:$A$43,'Summary Breakdown'!$K56,'FAR Dep Summary'!B$26:B$40)</f>
        <v>992636.69000000018</v>
      </c>
      <c r="M56" s="276">
        <f ca="1">L56-N56</f>
        <v>0</v>
      </c>
      <c r="N56" s="276">
        <f ca="1">+SUMIF('FAR Dep Summary'!$A$26:$A$43,'Summary Breakdown'!$K56,'FAR Dep Summary'!B$26:B$40)</f>
        <v>992636.69000000018</v>
      </c>
      <c r="O56" s="276">
        <f ca="1">+SUMIF('FAR Dep Summary'!$A$26:$A$43,'Summary Breakdown'!$K56,'FAR Dep Summary'!C$26:C$40)</f>
        <v>104958.68400000001</v>
      </c>
      <c r="P56" s="276">
        <f ca="1">+SUMIF('FAR Dep Summary'!$A$26:$A$43,'Summary Breakdown'!$K56,'FAR Dep Summary'!D$26:D$40)</f>
        <v>94805.646583326845</v>
      </c>
      <c r="Q56" s="276">
        <f ca="1">+SUMIF('FAR Dep Summary'!$A$26:$A$43,'Summary Breakdown'!$K56,'FAR Dep Summary'!E$26:E$40)</f>
        <v>199764.33058332687</v>
      </c>
      <c r="R56" s="277">
        <f ca="1">+SUMIF('FAR Dep Summary'!$A$26:$A$43,'Summary Breakdown'!$K56,'FAR Dep Summary'!F$26:F$40)</f>
        <v>792872.35941667319</v>
      </c>
      <c r="T56" s="273" t="s">
        <v>136</v>
      </c>
      <c r="U56" s="276">
        <f>+'Bud Capital Input-2111'!V49</f>
        <v>140000</v>
      </c>
      <c r="V56" s="276">
        <f t="shared" si="5"/>
        <v>0</v>
      </c>
      <c r="W56" s="276">
        <f>+'Bud Capital Input-2111'!V49</f>
        <v>140000</v>
      </c>
      <c r="X56" s="276">
        <f>+'Bud Capital Input-2111'!X49</f>
        <v>7000</v>
      </c>
      <c r="Y56" s="276"/>
      <c r="Z56" s="276">
        <f>+X56+Y56</f>
        <v>7000</v>
      </c>
      <c r="AA56" s="277">
        <f>+U56-Z56</f>
        <v>133000</v>
      </c>
      <c r="AC56" s="273" t="s">
        <v>136</v>
      </c>
      <c r="AD56" s="276">
        <f ca="1">+B56+L56+U56</f>
        <v>15641742.539999999</v>
      </c>
      <c r="AE56" s="276">
        <f ca="1">AD56-AF56</f>
        <v>0</v>
      </c>
      <c r="AF56" s="276">
        <f ca="1">+D56+N56+W56</f>
        <v>15641742.539999999</v>
      </c>
      <c r="AG56" s="276">
        <f ca="1">+E56+O56+X56</f>
        <v>819420.93877380958</v>
      </c>
      <c r="AH56" s="276">
        <f ca="1">+F56+P56+Y56</f>
        <v>4478133.916101126</v>
      </c>
      <c r="AI56" s="276">
        <f ca="1">+G56+Q56+Z56</f>
        <v>5297554.8548749359</v>
      </c>
      <c r="AJ56" s="277">
        <f ca="1">+H56+R56+AA56</f>
        <v>10344187.685125062</v>
      </c>
    </row>
    <row r="57" spans="1:36" ht="13.5" customHeight="1">
      <c r="A57" s="273"/>
      <c r="B57" s="65"/>
      <c r="C57" s="65"/>
      <c r="D57" s="65"/>
      <c r="E57" s="276"/>
      <c r="F57" s="276"/>
      <c r="G57" s="276"/>
      <c r="H57" s="277"/>
      <c r="I57" s="10"/>
      <c r="K57" s="273"/>
      <c r="L57" s="65"/>
      <c r="M57" s="65"/>
      <c r="N57" s="65"/>
      <c r="O57" s="276"/>
      <c r="P57" s="276"/>
      <c r="Q57" s="276"/>
      <c r="R57" s="277"/>
      <c r="T57" s="273"/>
      <c r="U57" s="276"/>
      <c r="V57" s="276"/>
      <c r="W57" s="276"/>
      <c r="X57" s="276"/>
      <c r="Y57" s="276"/>
      <c r="Z57" s="276"/>
      <c r="AA57" s="277"/>
      <c r="AC57" s="273"/>
      <c r="AD57" s="65"/>
      <c r="AE57" s="65"/>
      <c r="AF57" s="65"/>
      <c r="AG57" s="276"/>
      <c r="AH57" s="276"/>
      <c r="AI57" s="276"/>
      <c r="AJ57" s="277"/>
    </row>
    <row r="58" spans="1:36" ht="13.5" customHeight="1">
      <c r="A58" s="273" t="s">
        <v>1082</v>
      </c>
      <c r="B58" s="276">
        <f>'2111 Other'!M49</f>
        <v>379514.27</v>
      </c>
      <c r="C58" s="276">
        <f>B58-D58</f>
        <v>0</v>
      </c>
      <c r="D58" s="276">
        <f>'2111 Other'!N49</f>
        <v>379514.27</v>
      </c>
      <c r="E58" s="276">
        <f>+'2111 Other'!Q49</f>
        <v>37951.427000000003</v>
      </c>
      <c r="F58" s="276">
        <f>+'2111 Other'!S49</f>
        <v>0</v>
      </c>
      <c r="G58" s="276">
        <f>+'2111 Other'!T49</f>
        <v>37951.427000000003</v>
      </c>
      <c r="H58" s="277">
        <f>+'2111 Other'!V49</f>
        <v>341562.84299999999</v>
      </c>
      <c r="I58" s="10"/>
      <c r="K58" s="273" t="s">
        <v>1082</v>
      </c>
      <c r="L58" s="276">
        <f ca="1">+SUMIF('FAR Dep Summary'!$A$26:$A$43,'Summary Breakdown'!$K58,'FAR Dep Summary'!B$26:B$40)</f>
        <v>0</v>
      </c>
      <c r="M58" s="276">
        <f ca="1">L58-N58</f>
        <v>0</v>
      </c>
      <c r="N58" s="276">
        <f ca="1">+SUMIF('FAR Dep Summary'!$A$26:$A$43,'Summary Breakdown'!$K58,'FAR Dep Summary'!B$26:B$40)</f>
        <v>0</v>
      </c>
      <c r="O58" s="276">
        <f ca="1">+SUMIF('FAR Dep Summary'!$A$26:$A$43,'Summary Breakdown'!$K58,'FAR Dep Summary'!C$26:C$40)</f>
        <v>0</v>
      </c>
      <c r="P58" s="276">
        <f ca="1">+SUMIF('FAR Dep Summary'!$A$26:$A$43,'Summary Breakdown'!$K58,'FAR Dep Summary'!D$26:D$40)</f>
        <v>0</v>
      </c>
      <c r="Q58" s="276">
        <f ca="1">+SUMIF('FAR Dep Summary'!$A$26:$A$43,'Summary Breakdown'!$K58,'FAR Dep Summary'!E$26:E$40)</f>
        <v>0</v>
      </c>
      <c r="R58" s="277">
        <f ca="1">+SUMIF('FAR Dep Summary'!$A$26:$A$43,'Summary Breakdown'!$K58,'FAR Dep Summary'!F$26:F$40)</f>
        <v>0</v>
      </c>
      <c r="T58" s="273" t="s">
        <v>1082</v>
      </c>
      <c r="U58" s="276"/>
      <c r="V58" s="276">
        <f t="shared" si="5"/>
        <v>0</v>
      </c>
      <c r="W58" s="276"/>
      <c r="X58" s="276"/>
      <c r="Y58" s="276"/>
      <c r="Z58" s="276"/>
      <c r="AA58" s="277"/>
      <c r="AC58" s="273" t="s">
        <v>1082</v>
      </c>
      <c r="AD58" s="276">
        <f ca="1">+B58+L58+U58</f>
        <v>379514.27</v>
      </c>
      <c r="AE58" s="276">
        <f ca="1">AD58-AF58</f>
        <v>0</v>
      </c>
      <c r="AF58" s="276">
        <f ca="1">+D58+N58+W58</f>
        <v>379514.27</v>
      </c>
      <c r="AG58" s="276">
        <f ca="1">+E58+O58+X58</f>
        <v>37951.427000000003</v>
      </c>
      <c r="AH58" s="276">
        <f ca="1">+F58+P58+Y58</f>
        <v>0</v>
      </c>
      <c r="AI58" s="276">
        <f ca="1">+G58+Q58+Z58</f>
        <v>37951.427000000003</v>
      </c>
      <c r="AJ58" s="277">
        <f ca="1">+H58+R58+AA58</f>
        <v>341562.84299999999</v>
      </c>
    </row>
    <row r="59" spans="1:36" ht="13.5" customHeight="1">
      <c r="A59" s="273"/>
      <c r="B59" s="276"/>
      <c r="C59" s="276"/>
      <c r="D59" s="276"/>
      <c r="E59" s="276"/>
      <c r="F59" s="276"/>
      <c r="G59" s="276"/>
      <c r="H59" s="277"/>
      <c r="I59" s="10"/>
      <c r="K59" s="273"/>
      <c r="L59" s="276"/>
      <c r="M59" s="276"/>
      <c r="N59" s="276"/>
      <c r="O59" s="276"/>
      <c r="P59" s="276"/>
      <c r="Q59" s="276"/>
      <c r="R59" s="277"/>
      <c r="T59" s="273"/>
      <c r="U59" s="276"/>
      <c r="V59" s="276"/>
      <c r="W59" s="276"/>
      <c r="X59" s="276"/>
      <c r="Y59" s="276"/>
      <c r="Z59" s="276"/>
      <c r="AA59" s="277"/>
      <c r="AC59" s="273"/>
      <c r="AD59" s="276"/>
      <c r="AE59" s="276"/>
      <c r="AF59" s="276"/>
      <c r="AG59" s="276"/>
      <c r="AH59" s="276"/>
      <c r="AI59" s="276"/>
      <c r="AJ59" s="277"/>
    </row>
    <row r="60" spans="1:36" ht="13.5" customHeight="1">
      <c r="A60" s="273" t="s">
        <v>1077</v>
      </c>
      <c r="B60" s="276"/>
      <c r="C60" s="276"/>
      <c r="D60" s="276"/>
      <c r="E60" s="276"/>
      <c r="F60" s="276"/>
      <c r="G60" s="276"/>
      <c r="H60" s="277"/>
      <c r="I60" s="10"/>
      <c r="K60" s="273" t="s">
        <v>1077</v>
      </c>
      <c r="L60" s="276">
        <f ca="1">+SUMIF('FAR Dep Summary'!$A$26:$A$43,'Summary Breakdown'!$K60,'FAR Dep Summary'!B$26:B$40)</f>
        <v>992087.34</v>
      </c>
      <c r="M60" s="276">
        <f ca="1">L60-N60</f>
        <v>0</v>
      </c>
      <c r="N60" s="276">
        <f ca="1">+SUMIF('FAR Dep Summary'!$A$26:$A$43,'Summary Breakdown'!$K60,'FAR Dep Summary'!B$26:B$40)</f>
        <v>992087.34</v>
      </c>
      <c r="O60" s="276">
        <f ca="1">+SUMIF('FAR Dep Summary'!$A$26:$A$43,'Summary Breakdown'!$K60,'FAR Dep Summary'!C$26:C$40)</f>
        <v>99208.733999999997</v>
      </c>
      <c r="P60" s="276">
        <f ca="1">+SUMIF('FAR Dep Summary'!$A$26:$A$43,'Summary Breakdown'!$K60,'FAR Dep Summary'!D$26:D$40)</f>
        <v>165779.94624998738</v>
      </c>
      <c r="Q60" s="276">
        <f ca="1">+SUMIF('FAR Dep Summary'!$A$26:$A$43,'Summary Breakdown'!$K60,'FAR Dep Summary'!E$26:E$40)</f>
        <v>264988.68024998734</v>
      </c>
      <c r="R60" s="277">
        <f ca="1">+SUMIF('FAR Dep Summary'!$A$26:$A$43,'Summary Breakdown'!$K60,'FAR Dep Summary'!F$26:F$40)</f>
        <v>727098.65975001268</v>
      </c>
      <c r="T60" s="273" t="s">
        <v>1077</v>
      </c>
      <c r="U60" s="276"/>
      <c r="V60" s="276">
        <f t="shared" si="5"/>
        <v>0</v>
      </c>
      <c r="W60" s="276"/>
      <c r="X60" s="276"/>
      <c r="Y60" s="276"/>
      <c r="Z60" s="276"/>
      <c r="AA60" s="277"/>
      <c r="AC60" s="273" t="s">
        <v>1077</v>
      </c>
      <c r="AD60" s="276">
        <f ca="1">+B60+L60+U60</f>
        <v>992087.34</v>
      </c>
      <c r="AE60" s="276">
        <f ca="1">AD60-AF60</f>
        <v>0</v>
      </c>
      <c r="AF60" s="276">
        <f ca="1">+D60+N60+W60</f>
        <v>992087.34</v>
      </c>
      <c r="AG60" s="276">
        <f ca="1">+E60+O60+X60</f>
        <v>99208.733999999997</v>
      </c>
      <c r="AH60" s="276">
        <f ca="1">+F60+P60+Y60</f>
        <v>165779.94624998738</v>
      </c>
      <c r="AI60" s="276">
        <f ca="1">+G60+Q60+Z60</f>
        <v>264988.68024998734</v>
      </c>
      <c r="AJ60" s="277">
        <f ca="1">+H60+R60+AA60</f>
        <v>727098.65975001268</v>
      </c>
    </row>
    <row r="61" spans="1:36" ht="13.5" customHeight="1">
      <c r="A61" s="273"/>
      <c r="B61" s="65"/>
      <c r="C61" s="65"/>
      <c r="D61" s="65"/>
      <c r="E61" s="276"/>
      <c r="F61" s="276"/>
      <c r="G61" s="276"/>
      <c r="H61" s="277"/>
      <c r="I61" s="10"/>
      <c r="K61" s="273"/>
      <c r="L61" s="65"/>
      <c r="M61" s="65"/>
      <c r="N61" s="65"/>
      <c r="O61" s="276"/>
      <c r="P61" s="276"/>
      <c r="Q61" s="276"/>
      <c r="R61" s="277"/>
      <c r="T61" s="273"/>
      <c r="U61" s="276"/>
      <c r="V61" s="276"/>
      <c r="W61" s="276"/>
      <c r="X61" s="276"/>
      <c r="Y61" s="276"/>
      <c r="Z61" s="276"/>
      <c r="AA61" s="277"/>
      <c r="AC61" s="273"/>
      <c r="AD61" s="65"/>
      <c r="AE61" s="65"/>
      <c r="AF61" s="65"/>
      <c r="AG61" s="276"/>
      <c r="AH61" s="276"/>
      <c r="AI61" s="276"/>
      <c r="AJ61" s="277"/>
    </row>
    <row r="62" spans="1:36" ht="13.5" customHeight="1">
      <c r="A62" s="273" t="s">
        <v>250</v>
      </c>
      <c r="B62" s="276">
        <f>'2111 Other'!M46-B63</f>
        <v>3541219.6414285721</v>
      </c>
      <c r="C62" s="276">
        <f>B62-D62</f>
        <v>0</v>
      </c>
      <c r="D62" s="276">
        <f>'2111 Other'!N46-D63</f>
        <v>3541219.6414285721</v>
      </c>
      <c r="E62" s="276">
        <f>'2111 Other'!Q46-E63</f>
        <v>167568.34350000002</v>
      </c>
      <c r="F62" s="276">
        <f>'2111 Other'!S46-F63</f>
        <v>2910362.4516369039</v>
      </c>
      <c r="G62" s="276">
        <f>'2111 Other'!T46-G63</f>
        <v>3077930.7951369043</v>
      </c>
      <c r="H62" s="277">
        <f>'2111 Other'!V46-H63</f>
        <v>463288.84629166737</v>
      </c>
      <c r="I62" s="10"/>
      <c r="K62" s="273" t="s">
        <v>250</v>
      </c>
      <c r="L62" s="276">
        <f ca="1">+SUMIF('FAR Dep Summary'!$A$26:$A$43,'Summary Breakdown'!$K62,'FAR Dep Summary'!B$26:B$40)</f>
        <v>384268.04</v>
      </c>
      <c r="M62" s="276">
        <f ca="1">L62-N62</f>
        <v>0</v>
      </c>
      <c r="N62" s="276">
        <f ca="1">+SUMIF('FAR Dep Summary'!$A$26:$A$43,'Summary Breakdown'!$K62,'FAR Dep Summary'!B$26:B$40)</f>
        <v>384268.04</v>
      </c>
      <c r="O62" s="276">
        <f ca="1">+SUMIF('FAR Dep Summary'!$A$26:$A$43,'Summary Breakdown'!$K62,'FAR Dep Summary'!C$26:C$40)</f>
        <v>45334.413333333338</v>
      </c>
      <c r="P62" s="276">
        <f ca="1">+SUMIF('FAR Dep Summary'!$A$26:$A$43,'Summary Breakdown'!$K62,'FAR Dep Summary'!D$26:D$40)</f>
        <v>47756.71361111039</v>
      </c>
      <c r="Q62" s="276">
        <f ca="1">+SUMIF('FAR Dep Summary'!$A$26:$A$43,'Summary Breakdown'!$K62,'FAR Dep Summary'!E$26:E$40)</f>
        <v>93091.126944443735</v>
      </c>
      <c r="R62" s="277">
        <f ca="1">+SUMIF('FAR Dep Summary'!$A$26:$A$43,'Summary Breakdown'!$K62,'FAR Dep Summary'!F$26:F$40)</f>
        <v>291176.91305555624</v>
      </c>
      <c r="T62" s="273" t="s">
        <v>250</v>
      </c>
      <c r="U62" s="276"/>
      <c r="V62" s="276">
        <f t="shared" si="5"/>
        <v>0</v>
      </c>
      <c r="W62" s="276"/>
      <c r="X62" s="276"/>
      <c r="Y62" s="276"/>
      <c r="Z62" s="276"/>
      <c r="AA62" s="277"/>
      <c r="AC62" s="273" t="s">
        <v>250</v>
      </c>
      <c r="AD62" s="276">
        <f ca="1">+B62+L62+U62</f>
        <v>3925487.6814285722</v>
      </c>
      <c r="AE62" s="276">
        <f ca="1">AD62-AF62</f>
        <v>0</v>
      </c>
      <c r="AF62" s="276">
        <f t="shared" ref="AF62:AJ65" ca="1" si="6">+D62+N62+W62</f>
        <v>3925487.6814285722</v>
      </c>
      <c r="AG62" s="276">
        <f t="shared" ca="1" si="6"/>
        <v>212902.75683333335</v>
      </c>
      <c r="AH62" s="276">
        <f t="shared" ca="1" si="6"/>
        <v>2958119.1652480145</v>
      </c>
      <c r="AI62" s="276">
        <f t="shared" ca="1" si="6"/>
        <v>3171021.922081348</v>
      </c>
      <c r="AJ62" s="277">
        <f t="shared" ca="1" si="6"/>
        <v>754465.75934722368</v>
      </c>
    </row>
    <row r="63" spans="1:36" ht="13.5" customHeight="1">
      <c r="A63" s="273" t="s">
        <v>1032</v>
      </c>
      <c r="B63" s="65">
        <f>'2111 Other'!M42</f>
        <v>710636.12999999989</v>
      </c>
      <c r="C63" s="65">
        <v>0</v>
      </c>
      <c r="D63" s="65">
        <f>'2111 Other'!N42</f>
        <v>710636.12999999989</v>
      </c>
      <c r="E63" s="276">
        <f>'2111 Other'!Q42</f>
        <v>35531.806499999992</v>
      </c>
      <c r="F63" s="276">
        <f>'2111 Other'!S42</f>
        <v>198385.9196249973</v>
      </c>
      <c r="G63" s="276">
        <f>'2111 Other'!T42</f>
        <v>233917.72612499731</v>
      </c>
      <c r="H63" s="277">
        <f>'2111 Other'!V42</f>
        <v>476718.40387500258</v>
      </c>
      <c r="I63" s="10"/>
      <c r="K63" s="273" t="s">
        <v>1032</v>
      </c>
      <c r="L63" s="276">
        <f ca="1">+SUMIF('FAR Dep Summary'!$A$26:$A$43,'Summary Breakdown'!$K63,'FAR Dep Summary'!B$26:B$40)</f>
        <v>0</v>
      </c>
      <c r="M63" s="276">
        <f ca="1">L63-N63</f>
        <v>0</v>
      </c>
      <c r="N63" s="276">
        <f ca="1">+SUMIF('FAR Dep Summary'!$A$26:$A$43,'Summary Breakdown'!$K63,'FAR Dep Summary'!B$26:B$40)</f>
        <v>0</v>
      </c>
      <c r="O63" s="276">
        <f ca="1">+SUMIF('FAR Dep Summary'!$A$26:$A$43,'Summary Breakdown'!$K63,'FAR Dep Summary'!C$26:C$40)</f>
        <v>0</v>
      </c>
      <c r="P63" s="276">
        <f ca="1">+SUMIF('FAR Dep Summary'!$A$26:$A$43,'Summary Breakdown'!$K63,'FAR Dep Summary'!D$26:D$40)</f>
        <v>0</v>
      </c>
      <c r="Q63" s="276">
        <f ca="1">+SUMIF('FAR Dep Summary'!$A$26:$A$43,'Summary Breakdown'!$K63,'FAR Dep Summary'!E$26:E$40)</f>
        <v>0</v>
      </c>
      <c r="R63" s="277">
        <f ca="1">+SUMIF('FAR Dep Summary'!$A$26:$A$43,'Summary Breakdown'!$K63,'FAR Dep Summary'!F$26:F$40)</f>
        <v>0</v>
      </c>
      <c r="T63" s="273" t="s">
        <v>1032</v>
      </c>
      <c r="U63" s="276"/>
      <c r="V63" s="276">
        <f t="shared" si="5"/>
        <v>0</v>
      </c>
      <c r="W63" s="276"/>
      <c r="X63" s="276"/>
      <c r="Y63" s="276"/>
      <c r="Z63" s="276"/>
      <c r="AA63" s="277"/>
      <c r="AC63" s="273" t="s">
        <v>1032</v>
      </c>
      <c r="AD63" s="276">
        <f ca="1">+B63+L63+U63</f>
        <v>710636.12999999989</v>
      </c>
      <c r="AE63" s="276">
        <f ca="1">AD63-AF63</f>
        <v>0</v>
      </c>
      <c r="AF63" s="276">
        <f t="shared" ca="1" si="6"/>
        <v>710636.12999999989</v>
      </c>
      <c r="AG63" s="276">
        <f t="shared" ca="1" si="6"/>
        <v>35531.806499999992</v>
      </c>
      <c r="AH63" s="276">
        <f t="shared" ca="1" si="6"/>
        <v>198385.9196249973</v>
      </c>
      <c r="AI63" s="276">
        <f t="shared" ca="1" si="6"/>
        <v>233917.72612499731</v>
      </c>
      <c r="AJ63" s="277">
        <f t="shared" ca="1" si="6"/>
        <v>476718.40387500258</v>
      </c>
    </row>
    <row r="64" spans="1:36" ht="13.5" customHeight="1">
      <c r="A64" s="273" t="s">
        <v>373</v>
      </c>
      <c r="B64" s="276">
        <f>Land!B17</f>
        <v>724910</v>
      </c>
      <c r="C64" s="65"/>
      <c r="D64" s="65">
        <f>B64</f>
        <v>724910</v>
      </c>
      <c r="E64" s="276">
        <v>0</v>
      </c>
      <c r="F64" s="276">
        <v>0</v>
      </c>
      <c r="G64" s="276">
        <v>0</v>
      </c>
      <c r="H64" s="277">
        <f>B64</f>
        <v>724910</v>
      </c>
      <c r="I64" s="10"/>
      <c r="K64" s="273" t="s">
        <v>373</v>
      </c>
      <c r="L64" s="276">
        <f ca="1">+SUMIF('FAR Dep Summary'!$A$26:$A$43,'Summary Breakdown'!$K64,'FAR Dep Summary'!B$26:B$40)</f>
        <v>0</v>
      </c>
      <c r="M64" s="276">
        <f ca="1">L64-N64</f>
        <v>0</v>
      </c>
      <c r="N64" s="276">
        <f ca="1">+SUMIF('FAR Dep Summary'!$A$26:$A$43,'Summary Breakdown'!$K64,'FAR Dep Summary'!B$26:B$40)</f>
        <v>0</v>
      </c>
      <c r="O64" s="276">
        <f ca="1">+SUMIF('FAR Dep Summary'!$A$26:$A$43,'Summary Breakdown'!$K64,'FAR Dep Summary'!C$26:C$40)</f>
        <v>0</v>
      </c>
      <c r="P64" s="276">
        <f ca="1">+SUMIF('FAR Dep Summary'!$A$26:$A$43,'Summary Breakdown'!$K64,'FAR Dep Summary'!D$26:D$40)</f>
        <v>0</v>
      </c>
      <c r="Q64" s="276">
        <f ca="1">+SUMIF('FAR Dep Summary'!$A$26:$A$43,'Summary Breakdown'!$K64,'FAR Dep Summary'!E$26:E$40)</f>
        <v>0</v>
      </c>
      <c r="R64" s="277">
        <f ca="1">+SUMIF('FAR Dep Summary'!$A$26:$A$43,'Summary Breakdown'!$K64,'FAR Dep Summary'!F$26:F$40)</f>
        <v>0</v>
      </c>
      <c r="T64" s="273" t="s">
        <v>373</v>
      </c>
      <c r="U64" s="276"/>
      <c r="V64" s="276">
        <f t="shared" si="5"/>
        <v>0</v>
      </c>
      <c r="W64" s="276"/>
      <c r="X64" s="276"/>
      <c r="Y64" s="276"/>
      <c r="Z64" s="276"/>
      <c r="AA64" s="277"/>
      <c r="AC64" s="273" t="s">
        <v>373</v>
      </c>
      <c r="AD64" s="276">
        <f ca="1">+B64+L64+U64</f>
        <v>724910</v>
      </c>
      <c r="AE64" s="276">
        <f ca="1">AD64-AF64</f>
        <v>0</v>
      </c>
      <c r="AF64" s="276">
        <f t="shared" ca="1" si="6"/>
        <v>724910</v>
      </c>
      <c r="AG64" s="276">
        <f t="shared" ca="1" si="6"/>
        <v>0</v>
      </c>
      <c r="AH64" s="276">
        <f t="shared" ca="1" si="6"/>
        <v>0</v>
      </c>
      <c r="AI64" s="276">
        <f t="shared" ca="1" si="6"/>
        <v>0</v>
      </c>
      <c r="AJ64" s="277">
        <f t="shared" ca="1" si="6"/>
        <v>724910</v>
      </c>
    </row>
    <row r="65" spans="1:36" ht="13.5" customHeight="1">
      <c r="A65" s="273" t="s">
        <v>369</v>
      </c>
      <c r="B65" s="276">
        <f>Land!B18</f>
        <v>924900</v>
      </c>
      <c r="C65" s="65"/>
      <c r="D65" s="65">
        <f>B65</f>
        <v>924900</v>
      </c>
      <c r="E65" s="65">
        <v>0</v>
      </c>
      <c r="F65" s="65">
        <v>0</v>
      </c>
      <c r="G65" s="65">
        <v>0</v>
      </c>
      <c r="H65" s="277">
        <f>B65</f>
        <v>924900</v>
      </c>
      <c r="I65" s="10"/>
      <c r="K65" s="273" t="s">
        <v>369</v>
      </c>
      <c r="L65" s="276">
        <f ca="1">+SUMIF('FAR Dep Summary'!$A$26:$A$43,'Summary Breakdown'!$K65,'FAR Dep Summary'!B$26:B$40)</f>
        <v>0</v>
      </c>
      <c r="M65" s="276">
        <f ca="1">L65-N65</f>
        <v>0</v>
      </c>
      <c r="N65" s="276">
        <f ca="1">+SUMIF('FAR Dep Summary'!$A$26:$A$43,'Summary Breakdown'!$K65,'FAR Dep Summary'!B$26:B$40)</f>
        <v>0</v>
      </c>
      <c r="O65" s="276">
        <f ca="1">+SUMIF('FAR Dep Summary'!$A$26:$A$43,'Summary Breakdown'!$K65,'FAR Dep Summary'!C$26:C$40)</f>
        <v>0</v>
      </c>
      <c r="P65" s="276">
        <f ca="1">+SUMIF('FAR Dep Summary'!$A$26:$A$43,'Summary Breakdown'!$K65,'FAR Dep Summary'!D$26:D$40)</f>
        <v>0</v>
      </c>
      <c r="Q65" s="276">
        <f ca="1">+SUMIF('FAR Dep Summary'!$A$26:$A$43,'Summary Breakdown'!$K65,'FAR Dep Summary'!E$26:E$40)</f>
        <v>0</v>
      </c>
      <c r="R65" s="277">
        <f ca="1">+SUMIF('FAR Dep Summary'!$A$26:$A$43,'Summary Breakdown'!$K65,'FAR Dep Summary'!F$26:F$40)</f>
        <v>0</v>
      </c>
      <c r="T65" s="273" t="s">
        <v>369</v>
      </c>
      <c r="U65" s="276"/>
      <c r="V65" s="276">
        <f t="shared" si="5"/>
        <v>0</v>
      </c>
      <c r="W65" s="276"/>
      <c r="X65" s="276"/>
      <c r="Y65" s="276"/>
      <c r="Z65" s="276"/>
      <c r="AA65" s="277"/>
      <c r="AC65" s="273" t="s">
        <v>369</v>
      </c>
      <c r="AD65" s="276">
        <f ca="1">+B65+L65+U65</f>
        <v>924900</v>
      </c>
      <c r="AE65" s="276">
        <f ca="1">AD65-AF65</f>
        <v>0</v>
      </c>
      <c r="AF65" s="276">
        <f t="shared" ca="1" si="6"/>
        <v>924900</v>
      </c>
      <c r="AG65" s="276">
        <f t="shared" ca="1" si="6"/>
        <v>0</v>
      </c>
      <c r="AH65" s="276">
        <f t="shared" ca="1" si="6"/>
        <v>0</v>
      </c>
      <c r="AI65" s="276">
        <f t="shared" ca="1" si="6"/>
        <v>0</v>
      </c>
      <c r="AJ65" s="277">
        <f t="shared" ca="1" si="6"/>
        <v>924900</v>
      </c>
    </row>
    <row r="66" spans="1:36" ht="13.5" customHeight="1">
      <c r="A66" s="283"/>
      <c r="B66" s="276"/>
      <c r="C66" s="65"/>
      <c r="D66" s="65"/>
      <c r="E66" s="65"/>
      <c r="F66" s="65"/>
      <c r="G66" s="65"/>
      <c r="H66" s="277"/>
      <c r="I66" s="10"/>
      <c r="K66" s="283"/>
      <c r="L66" s="276"/>
      <c r="M66" s="65"/>
      <c r="N66" s="65"/>
      <c r="O66" s="65"/>
      <c r="P66" s="65"/>
      <c r="Q66" s="65"/>
      <c r="R66" s="277"/>
      <c r="T66" s="283"/>
      <c r="U66" s="276"/>
      <c r="V66" s="65"/>
      <c r="W66" s="65"/>
      <c r="X66" s="65"/>
      <c r="Y66" s="65"/>
      <c r="Z66" s="65"/>
      <c r="AA66" s="277"/>
      <c r="AC66" s="283"/>
      <c r="AD66" s="276"/>
      <c r="AE66" s="65"/>
      <c r="AF66" s="65"/>
      <c r="AG66" s="65"/>
      <c r="AH66" s="65"/>
      <c r="AI66" s="65"/>
      <c r="AJ66" s="277"/>
    </row>
    <row r="67" spans="1:36" ht="13.5" customHeight="1" thickBot="1">
      <c r="A67" s="278" t="s">
        <v>893</v>
      </c>
      <c r="B67" s="25">
        <f t="shared" ref="B67:H67" si="7">SUM(B50:B65)</f>
        <v>22097106.461428571</v>
      </c>
      <c r="C67" s="25">
        <f t="shared" si="7"/>
        <v>0</v>
      </c>
      <c r="D67" s="25">
        <f t="shared" si="7"/>
        <v>22097106.461428571</v>
      </c>
      <c r="E67" s="25">
        <f t="shared" si="7"/>
        <v>987113.39618378319</v>
      </c>
      <c r="F67" s="25">
        <f t="shared" si="7"/>
        <v>8571112.4791485071</v>
      </c>
      <c r="G67" s="25">
        <f t="shared" si="7"/>
        <v>9600949.8753322959</v>
      </c>
      <c r="H67" s="280">
        <f t="shared" si="7"/>
        <v>12496156.586096276</v>
      </c>
      <c r="I67" s="23"/>
      <c r="K67" s="278" t="s">
        <v>893</v>
      </c>
      <c r="L67" s="25">
        <f t="shared" ref="L67:R67" ca="1" si="8">SUM(L50:L65)</f>
        <v>2860734.23</v>
      </c>
      <c r="M67" s="25">
        <f t="shared" ca="1" si="8"/>
        <v>0</v>
      </c>
      <c r="N67" s="25">
        <f t="shared" ca="1" si="8"/>
        <v>2860734.23</v>
      </c>
      <c r="O67" s="25">
        <f t="shared" ca="1" si="8"/>
        <v>312386.36674999999</v>
      </c>
      <c r="P67" s="25">
        <f t="shared" ca="1" si="8"/>
        <v>490990.6816527553</v>
      </c>
      <c r="Q67" s="25">
        <f t="shared" ca="1" si="8"/>
        <v>814468.99395831092</v>
      </c>
      <c r="R67" s="280">
        <f t="shared" ca="1" si="8"/>
        <v>2046265.2360416893</v>
      </c>
      <c r="T67" s="278" t="s">
        <v>893</v>
      </c>
      <c r="U67" s="25">
        <f t="shared" ref="U67:AA67" si="9">SUM(U50:U65)</f>
        <v>613563</v>
      </c>
      <c r="V67" s="25">
        <f t="shared" si="9"/>
        <v>0</v>
      </c>
      <c r="W67" s="25">
        <f t="shared" si="9"/>
        <v>613563</v>
      </c>
      <c r="X67" s="25">
        <f t="shared" si="9"/>
        <v>101712.6</v>
      </c>
      <c r="Y67" s="25">
        <f t="shared" si="9"/>
        <v>0</v>
      </c>
      <c r="Z67" s="25">
        <f t="shared" si="9"/>
        <v>101712.6</v>
      </c>
      <c r="AA67" s="280">
        <f t="shared" si="9"/>
        <v>511850.4</v>
      </c>
      <c r="AC67" s="278" t="s">
        <v>893</v>
      </c>
      <c r="AD67" s="25">
        <f t="shared" ref="AD67:AJ67" ca="1" si="10">SUM(AD50:AD65)</f>
        <v>25571403.691428568</v>
      </c>
      <c r="AE67" s="25">
        <f t="shared" ca="1" si="10"/>
        <v>0</v>
      </c>
      <c r="AF67" s="25">
        <f t="shared" ca="1" si="10"/>
        <v>25571403.691428568</v>
      </c>
      <c r="AG67" s="25">
        <f t="shared" ca="1" si="10"/>
        <v>1401212.3629337829</v>
      </c>
      <c r="AH67" s="25">
        <f t="shared" ca="1" si="10"/>
        <v>9062103.1608012617</v>
      </c>
      <c r="AI67" s="25">
        <f t="shared" ca="1" si="10"/>
        <v>10517131.469290607</v>
      </c>
      <c r="AJ67" s="280">
        <f t="shared" ca="1" si="10"/>
        <v>15054272.222137963</v>
      </c>
    </row>
    <row r="68" spans="1:36" ht="13.5" customHeight="1">
      <c r="A68" s="273"/>
      <c r="B68" s="276">
        <f>B67-'2111 Other'!M179-B64-B65</f>
        <v>0</v>
      </c>
      <c r="C68" s="276"/>
      <c r="D68" s="276"/>
      <c r="E68" s="276">
        <f>E67-'2111 Other'!Q179</f>
        <v>0</v>
      </c>
      <c r="F68" s="276">
        <f>F67-'2111 Other'!S179</f>
        <v>0</v>
      </c>
      <c r="G68" s="276">
        <f>G67-'2111 Other'!T179</f>
        <v>0</v>
      </c>
      <c r="H68" s="277">
        <f>H67-'2111 Other'!U179-H65-H64</f>
        <v>0</v>
      </c>
      <c r="I68" s="10"/>
      <c r="K68" s="273"/>
      <c r="L68" s="276"/>
      <c r="M68" s="276"/>
      <c r="N68" s="276"/>
      <c r="O68" s="276"/>
      <c r="P68" s="276"/>
      <c r="Q68" s="276"/>
      <c r="R68" s="277"/>
      <c r="T68" s="273"/>
      <c r="U68" s="276"/>
      <c r="V68" s="276"/>
      <c r="W68" s="276"/>
      <c r="X68" s="276"/>
      <c r="Y68" s="276"/>
      <c r="Z68" s="276"/>
      <c r="AA68" s="277"/>
      <c r="AC68" s="273"/>
      <c r="AD68" s="276"/>
      <c r="AE68" s="276"/>
      <c r="AF68" s="276"/>
      <c r="AG68" s="276"/>
      <c r="AH68" s="276"/>
      <c r="AI68" s="276"/>
      <c r="AJ68" s="277"/>
    </row>
    <row r="69" spans="1:36" ht="13.5" customHeight="1" thickBot="1">
      <c r="A69" s="278" t="s">
        <v>115</v>
      </c>
      <c r="B69" s="25">
        <f t="shared" ref="B69:H69" si="11">SUM(B67,B48,B28)</f>
        <v>61329403.085701287</v>
      </c>
      <c r="C69" s="25">
        <f t="shared" si="11"/>
        <v>2436.9248000007574</v>
      </c>
      <c r="D69" s="25">
        <f t="shared" si="11"/>
        <v>61326966.160901286</v>
      </c>
      <c r="E69" s="25">
        <f t="shared" si="11"/>
        <v>3114402.5296202479</v>
      </c>
      <c r="F69" s="25">
        <f t="shared" si="11"/>
        <v>35585948.08991053</v>
      </c>
      <c r="G69" s="25">
        <f t="shared" si="11"/>
        <v>38578413.235093802</v>
      </c>
      <c r="H69" s="280">
        <f t="shared" si="11"/>
        <v>18396708.039607488</v>
      </c>
      <c r="I69" s="23"/>
      <c r="K69" s="278" t="s">
        <v>115</v>
      </c>
      <c r="L69" s="25">
        <f t="shared" ref="L69:R69" ca="1" si="12">SUM(L67,L48,L28)</f>
        <v>23201948.739999991</v>
      </c>
      <c r="M69" s="25">
        <f t="shared" ca="1" si="12"/>
        <v>0</v>
      </c>
      <c r="N69" s="25">
        <f t="shared" ca="1" si="12"/>
        <v>23201948.739999991</v>
      </c>
      <c r="O69" s="25">
        <f t="shared" ca="1" si="12"/>
        <v>2172929.6876349207</v>
      </c>
      <c r="P69" s="25">
        <f t="shared" ca="1" si="12"/>
        <v>6559925.6180269914</v>
      </c>
      <c r="Q69" s="25">
        <f t="shared" ca="1" si="12"/>
        <v>8806103.5995455179</v>
      </c>
      <c r="R69" s="280">
        <f t="shared" ca="1" si="12"/>
        <v>14395845.140454484</v>
      </c>
      <c r="T69" s="278" t="s">
        <v>115</v>
      </c>
      <c r="U69" s="25">
        <f t="shared" ref="U69:AA69" si="13">SUM(U67,U48,U28)</f>
        <v>2618134</v>
      </c>
      <c r="V69" s="25">
        <f t="shared" si="13"/>
        <v>0</v>
      </c>
      <c r="W69" s="25">
        <f t="shared" si="13"/>
        <v>2618134</v>
      </c>
      <c r="X69" s="25">
        <f t="shared" si="13"/>
        <v>302169.7</v>
      </c>
      <c r="Y69" s="25">
        <f t="shared" si="13"/>
        <v>0</v>
      </c>
      <c r="Z69" s="25">
        <f t="shared" si="13"/>
        <v>302169.7</v>
      </c>
      <c r="AA69" s="280">
        <f t="shared" si="13"/>
        <v>2315964.2999999998</v>
      </c>
      <c r="AC69" s="278" t="s">
        <v>115</v>
      </c>
      <c r="AD69" s="25">
        <f t="shared" ref="AD69:AJ69" ca="1" si="14">SUM(AD67,AD48,AD28)</f>
        <v>87149485.825701281</v>
      </c>
      <c r="AE69" s="25">
        <f t="shared" ca="1" si="14"/>
        <v>2436.9247999986619</v>
      </c>
      <c r="AF69" s="25">
        <f t="shared" ca="1" si="14"/>
        <v>87147048.900901288</v>
      </c>
      <c r="AG69" s="25">
        <f t="shared" ca="1" si="14"/>
        <v>5589501.9172551669</v>
      </c>
      <c r="AH69" s="25">
        <f t="shared" ca="1" si="14"/>
        <v>42145873.707937524</v>
      </c>
      <c r="AI69" s="25">
        <f t="shared" ca="1" si="14"/>
        <v>47686686.534639314</v>
      </c>
      <c r="AJ69" s="280">
        <f t="shared" ca="1" si="14"/>
        <v>35108517.480061978</v>
      </c>
    </row>
    <row r="70" spans="1:36" ht="13.5" customHeight="1">
      <c r="B70" s="11"/>
      <c r="C70" s="11"/>
      <c r="D70" s="11"/>
      <c r="E70" s="11"/>
      <c r="F70" s="11"/>
      <c r="G70" s="11"/>
      <c r="H70" s="11"/>
      <c r="I70" s="11"/>
      <c r="L70" s="11">
        <f ca="1">+'FAR Dep Summary'!B44-L69</f>
        <v>0</v>
      </c>
      <c r="N70" s="11">
        <f ca="1">+'FAR Dep Summary'!B44-N69</f>
        <v>0</v>
      </c>
      <c r="O70" s="11">
        <f ca="1">+'FAR Dep Summary'!C44-O69</f>
        <v>0</v>
      </c>
      <c r="P70" s="11">
        <f ca="1">+'FAR Dep Summary'!D44-P69</f>
        <v>0</v>
      </c>
      <c r="Q70" s="11">
        <f ca="1">+'FAR Dep Summary'!E44-Q69</f>
        <v>0</v>
      </c>
      <c r="R70" s="11">
        <f ca="1">+'FAR Dep Summary'!F44-R69</f>
        <v>0</v>
      </c>
      <c r="U70" s="11">
        <f>+'Bud Capital Input-2111'!V51-U69</f>
        <v>0</v>
      </c>
      <c r="X70" s="11"/>
      <c r="Y70" s="11"/>
      <c r="Z70" s="11">
        <f>+'Bud Capital Input-2111'!X51-Z69</f>
        <v>0</v>
      </c>
      <c r="AA70" s="11">
        <f>+'Bud Capital Input-2111'!Y51-AA69</f>
        <v>0</v>
      </c>
      <c r="AD70" s="11">
        <f ca="1">+B69+L69+U69-AD69</f>
        <v>0</v>
      </c>
      <c r="AE70" s="11">
        <f t="shared" ref="AE70:AJ70" ca="1" si="15">+C69+M69+V69-AE69</f>
        <v>2.0954757928848267E-9</v>
      </c>
      <c r="AF70" s="11">
        <f t="shared" ca="1" si="15"/>
        <v>0</v>
      </c>
      <c r="AG70" s="11">
        <f t="shared" ca="1" si="15"/>
        <v>0</v>
      </c>
      <c r="AH70" s="11">
        <f t="shared" ca="1" si="15"/>
        <v>0</v>
      </c>
      <c r="AI70" s="11">
        <f t="shared" ca="1" si="15"/>
        <v>0</v>
      </c>
      <c r="AJ70" s="11">
        <f t="shared" ca="1" si="15"/>
        <v>0</v>
      </c>
    </row>
    <row r="71" spans="1:36" ht="13.5" customHeight="1">
      <c r="B71" s="11"/>
      <c r="C71" s="11"/>
      <c r="D71" s="11"/>
      <c r="E71" s="11"/>
      <c r="F71" s="11"/>
      <c r="G71" s="11"/>
      <c r="H71" s="11"/>
      <c r="I71" s="11"/>
    </row>
    <row r="72" spans="1:36" ht="13.5" customHeight="1">
      <c r="B72" s="11"/>
      <c r="C72" s="11"/>
      <c r="D72" s="11"/>
      <c r="E72" s="11"/>
      <c r="F72" s="11"/>
      <c r="G72" s="11"/>
      <c r="H72" s="11"/>
      <c r="I72" s="11"/>
    </row>
    <row r="73" spans="1:36" ht="13.5" customHeight="1">
      <c r="A73" s="39"/>
      <c r="B73" s="39"/>
      <c r="C73" s="39"/>
      <c r="D73" s="39"/>
      <c r="E73" s="42"/>
      <c r="F73" s="39"/>
      <c r="G73" s="39"/>
      <c r="H73" s="39"/>
      <c r="I73" s="39"/>
    </row>
    <row r="74" spans="1:36" ht="13.5" customHeight="1">
      <c r="A74" s="39"/>
      <c r="B74" s="39"/>
      <c r="C74" s="39"/>
      <c r="D74" s="39"/>
      <c r="E74" s="39"/>
      <c r="F74" s="39"/>
      <c r="G74" s="39"/>
      <c r="H74" s="39"/>
      <c r="I74" s="39"/>
    </row>
  </sheetData>
  <mergeCells count="11">
    <mergeCell ref="A4:H5"/>
    <mergeCell ref="K4:R5"/>
    <mergeCell ref="R6:R8"/>
    <mergeCell ref="J33:J34"/>
    <mergeCell ref="S33:S34"/>
    <mergeCell ref="H6:H8"/>
    <mergeCell ref="T4:AA5"/>
    <mergeCell ref="AA6:AA8"/>
    <mergeCell ref="AB33:AB34"/>
    <mergeCell ref="AC4:AJ5"/>
    <mergeCell ref="AJ6:AJ8"/>
  </mergeCells>
  <pageMargins left="0.75" right="0.75" top="1" bottom="1" header="0.5" footer="0.5"/>
  <pageSetup scale="50" orientation="landscape"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J1557"/>
  <sheetViews>
    <sheetView workbookViewId="0"/>
  </sheetViews>
  <sheetFormatPr defaultColWidth="8.88671875" defaultRowHeight="15"/>
  <cols>
    <col min="1" max="1" width="2.77734375" style="287" customWidth="1"/>
    <col min="2" max="4" width="8.88671875" style="287"/>
    <col min="5" max="5" width="29.88671875" style="287" customWidth="1"/>
    <col min="6" max="6" width="7.77734375" style="287" customWidth="1"/>
    <col min="7" max="7" width="6.21875" style="287" bestFit="1" customWidth="1"/>
    <col min="8" max="8" width="10.5546875" style="287" customWidth="1"/>
    <col min="9" max="9" width="8.21875" style="287" customWidth="1"/>
    <col min="10" max="10" width="8.88671875" style="287"/>
    <col min="11" max="11" width="12" style="287" bestFit="1" customWidth="1"/>
    <col min="12" max="12" width="8.88671875" style="287"/>
    <col min="13" max="13" width="15.77734375" style="287" bestFit="1" customWidth="1"/>
    <col min="14" max="15" width="8.88671875" style="287"/>
    <col min="16" max="16" width="14.88671875" style="287" customWidth="1"/>
    <col min="17" max="18" width="8.88671875" style="287"/>
    <col min="19" max="19" width="12" style="287" customWidth="1"/>
    <col min="20" max="20" width="8.88671875" style="287"/>
    <col min="21" max="22" width="11.21875" style="287" customWidth="1"/>
    <col min="23" max="23" width="7.77734375" style="288" customWidth="1"/>
    <col min="24" max="24" width="8.88671875" style="287"/>
    <col min="25" max="25" width="10.109375" style="287" customWidth="1"/>
    <col min="26" max="16384" width="8.88671875" style="287"/>
  </cols>
  <sheetData>
    <row r="1" spans="1:36">
      <c r="B1" s="287" t="s">
        <v>1342</v>
      </c>
      <c r="C1" s="287" t="s">
        <v>1343</v>
      </c>
      <c r="D1" s="287" t="s">
        <v>1344</v>
      </c>
      <c r="E1" s="287" t="s">
        <v>339</v>
      </c>
      <c r="F1" s="287" t="s">
        <v>1345</v>
      </c>
      <c r="H1" s="287" t="s">
        <v>1346</v>
      </c>
      <c r="I1" s="287" t="s">
        <v>1347</v>
      </c>
      <c r="J1" s="287" t="s">
        <v>1348</v>
      </c>
      <c r="K1" s="287" t="s">
        <v>1349</v>
      </c>
      <c r="L1" s="287" t="s">
        <v>1350</v>
      </c>
      <c r="M1" s="287" t="s">
        <v>1351</v>
      </c>
      <c r="N1" s="287" t="s">
        <v>1352</v>
      </c>
      <c r="O1" s="287" t="s">
        <v>1353</v>
      </c>
      <c r="P1" s="287" t="s">
        <v>1354</v>
      </c>
      <c r="Q1" s="287" t="s">
        <v>1355</v>
      </c>
      <c r="R1" s="287" t="s">
        <v>1356</v>
      </c>
      <c r="S1" s="287" t="s">
        <v>1357</v>
      </c>
      <c r="T1" s="287" t="s">
        <v>1358</v>
      </c>
      <c r="U1" s="287" t="s">
        <v>1359</v>
      </c>
      <c r="W1" s="288" t="s">
        <v>1360</v>
      </c>
      <c r="X1" s="287" t="s">
        <v>1361</v>
      </c>
      <c r="Y1" s="287" t="s">
        <v>1362</v>
      </c>
      <c r="Z1" s="287" t="s">
        <v>1363</v>
      </c>
      <c r="AA1" s="287" t="s">
        <v>1364</v>
      </c>
      <c r="AB1" s="287" t="s">
        <v>1365</v>
      </c>
      <c r="AC1" s="287" t="s">
        <v>1366</v>
      </c>
      <c r="AD1" s="287" t="s">
        <v>1367</v>
      </c>
      <c r="AE1" s="287" t="s">
        <v>1368</v>
      </c>
      <c r="AF1" s="287" t="s">
        <v>1369</v>
      </c>
      <c r="AG1" s="287" t="s">
        <v>1370</v>
      </c>
      <c r="AH1" s="287" t="s">
        <v>1371</v>
      </c>
      <c r="AI1" s="287" t="s">
        <v>1372</v>
      </c>
      <c r="AJ1" s="287" t="s">
        <v>1373</v>
      </c>
    </row>
    <row r="2" spans="1:36">
      <c r="B2" s="290"/>
      <c r="C2" s="294"/>
      <c r="D2" s="290"/>
      <c r="E2" s="289"/>
      <c r="F2" s="290"/>
      <c r="G2" s="289"/>
      <c r="H2" s="289"/>
      <c r="I2" s="289"/>
      <c r="J2" s="289"/>
      <c r="K2" s="289"/>
      <c r="L2" s="289"/>
      <c r="M2" s="289"/>
      <c r="N2" s="293"/>
      <c r="O2" s="293"/>
      <c r="P2" s="289"/>
      <c r="Q2" s="290"/>
      <c r="R2" s="290"/>
      <c r="S2" s="291"/>
      <c r="T2" s="290"/>
      <c r="U2" s="291"/>
      <c r="V2" s="291">
        <f>S2-U2</f>
        <v>0</v>
      </c>
      <c r="W2" s="292"/>
      <c r="X2" s="290"/>
      <c r="Y2" s="291"/>
      <c r="Z2" s="289"/>
      <c r="AA2" s="289"/>
      <c r="AB2" s="289"/>
      <c r="AC2" s="289"/>
      <c r="AD2" s="289"/>
      <c r="AE2" s="289"/>
      <c r="AF2" s="290"/>
      <c r="AG2" s="289"/>
      <c r="AH2" s="290"/>
      <c r="AI2" s="289"/>
      <c r="AJ2" s="289"/>
    </row>
    <row r="3" spans="1:36">
      <c r="B3" s="287" t="e">
        <f ca="1">_xll.ReportRange("FARReport",A14:AJ1558,A1:AJ1,A2:AJ2,_xll.Param($C$9,$C$10,C12,$M$9,$M$10,$M$11,$S$9,M12,$Y$10,$Y$9,S10,S11,CELL("address",$E$6)),TRUE,FALSE)</f>
        <v>#NAME?</v>
      </c>
      <c r="L3" s="315" t="s">
        <v>1374</v>
      </c>
      <c r="M3" s="314">
        <f ca="1">MONTH(NOW())</f>
        <v>1</v>
      </c>
      <c r="S3" s="287" t="e">
        <f ca="1">_xll.ReportDrill([7]ProjDepr!D3,,_xll.PairGroup(_xll.Pair('FAR 8.2022'!C9,[7]ProjDepr!D19),_xll.Pair("C:B",[7]ProjDepr!D20),_xll.Pair("C:C",[7]ProjDepr!D21),_xll.Pair("C:V",[7]ProjDepr!D22)),"Projected Depr")</f>
        <v>#NAME?</v>
      </c>
      <c r="Y3" s="287" t="e">
        <f ca="1">_xll.jFreezePanes(A14,A5)</f>
        <v>#NAME?</v>
      </c>
      <c r="AB3" s="287" t="e">
        <f ca="1">_xll.jFocus(C9)</f>
        <v>#NAME?</v>
      </c>
    </row>
    <row r="4" spans="1:36">
      <c r="L4" s="315" t="s">
        <v>1375</v>
      </c>
      <c r="M4" s="314">
        <f ca="1">IF(M3=12,YEAR(NOW()),YEAR(NOW()))</f>
        <v>2025</v>
      </c>
      <c r="R4" s="289"/>
      <c r="S4" s="289" t="s">
        <v>1376</v>
      </c>
      <c r="T4" s="289"/>
      <c r="U4" s="289" t="e">
        <f ca="1">_xll.ReportDrill([7]Invoice!$C$2,,_xll.PairGroup(_xll.Pair("C:P",[7]Invoice!$E$7),_xll.Pair("",[7]Invoice!$E$8,"N"),_xll.Pair("",[7]Invoice!$E$9,"n")),"Drill To All Invoices by PO#")</f>
        <v>#NAME?</v>
      </c>
      <c r="V4" s="289"/>
      <c r="W4" s="313"/>
      <c r="X4" s="289" t="e">
        <f ca="1">_xll.ReportDrill([7]Invoice!$C$2,,_xll.PairGroup(_xll.Pair("C:P",[7]Invoice!$E$7),_xll.Pair("",[7]Invoice!$E$8,"N"),_xll.Pair("C:Z",[7]Invoice!$E$9,"n")),"Drill to Invoice by PO# and Invoice #")</f>
        <v>#NAME?</v>
      </c>
    </row>
    <row r="5" spans="1:36" s="297" customFormat="1" ht="18.75">
      <c r="B5" s="312" t="s">
        <v>1377</v>
      </c>
      <c r="H5" s="311" t="s">
        <v>1378</v>
      </c>
      <c r="I5" s="310">
        <f>COUNT(C14:C1558)</f>
        <v>1544</v>
      </c>
      <c r="V5" s="300"/>
    </row>
    <row r="6" spans="1:36" s="297" customFormat="1">
      <c r="B6" s="310" t="s">
        <v>1379</v>
      </c>
      <c r="E6" s="297" t="s">
        <v>4149</v>
      </c>
      <c r="W6" s="300"/>
    </row>
    <row r="7" spans="1:36" s="297" customFormat="1">
      <c r="H7" s="302"/>
      <c r="I7" s="302"/>
      <c r="W7" s="300"/>
    </row>
    <row r="8" spans="1:36" s="297" customFormat="1">
      <c r="B8" s="310"/>
      <c r="R8" s="302"/>
      <c r="W8" s="300"/>
    </row>
    <row r="9" spans="1:36" s="297" customFormat="1">
      <c r="B9" s="302" t="s">
        <v>1380</v>
      </c>
      <c r="C9" s="309" t="s">
        <v>4148</v>
      </c>
      <c r="E9" s="306"/>
      <c r="F9" s="553" t="s">
        <v>1381</v>
      </c>
      <c r="G9" s="553"/>
      <c r="H9" s="553"/>
      <c r="I9" s="553"/>
      <c r="J9" s="553"/>
      <c r="L9" s="302" t="s">
        <v>1382</v>
      </c>
      <c r="M9" s="550"/>
      <c r="N9" s="550"/>
      <c r="O9" s="304" t="s">
        <v>1383</v>
      </c>
      <c r="R9" s="302" t="s">
        <v>1384</v>
      </c>
      <c r="S9" s="308"/>
      <c r="T9" s="306" t="s">
        <v>1385</v>
      </c>
      <c r="W9" s="300"/>
      <c r="X9" s="302" t="s">
        <v>1386</v>
      </c>
      <c r="Y9" s="305"/>
    </row>
    <row r="10" spans="1:36" s="297" customFormat="1">
      <c r="B10" s="302" t="s">
        <v>1387</v>
      </c>
      <c r="C10" s="551" t="s">
        <v>1388</v>
      </c>
      <c r="D10" s="552"/>
      <c r="E10" s="306" t="s">
        <v>1389</v>
      </c>
      <c r="F10" s="553"/>
      <c r="G10" s="553"/>
      <c r="H10" s="553"/>
      <c r="I10" s="553"/>
      <c r="J10" s="553"/>
      <c r="L10" s="302" t="s">
        <v>1390</v>
      </c>
      <c r="M10" s="550"/>
      <c r="N10" s="550"/>
      <c r="O10" s="304" t="s">
        <v>1383</v>
      </c>
      <c r="R10" s="302" t="s">
        <v>1391</v>
      </c>
      <c r="S10" s="307"/>
      <c r="T10" s="306"/>
      <c r="W10" s="300"/>
      <c r="X10" s="302" t="s">
        <v>1392</v>
      </c>
      <c r="Y10" s="305"/>
    </row>
    <row r="11" spans="1:36" s="297" customFormat="1">
      <c r="L11" s="302" t="s">
        <v>1393</v>
      </c>
      <c r="M11" s="550"/>
      <c r="N11" s="550"/>
      <c r="O11" s="304" t="s">
        <v>1383</v>
      </c>
      <c r="R11" s="302" t="s">
        <v>1394</v>
      </c>
      <c r="S11" s="303"/>
      <c r="W11" s="300"/>
    </row>
    <row r="12" spans="1:36" s="297" customFormat="1">
      <c r="B12" s="302" t="s">
        <v>1395</v>
      </c>
      <c r="C12" s="303"/>
      <c r="L12" s="302" t="s">
        <v>1396</v>
      </c>
      <c r="M12" s="301"/>
      <c r="N12" s="301"/>
      <c r="O12" s="297" t="s">
        <v>1397</v>
      </c>
      <c r="R12" s="302" t="s">
        <v>1398</v>
      </c>
      <c r="S12" s="301"/>
      <c r="T12" s="297" t="s">
        <v>1397</v>
      </c>
      <c r="W12" s="300"/>
    </row>
    <row r="13" spans="1:36" s="297" customFormat="1" ht="30.75" thickBot="1">
      <c r="A13" s="298"/>
      <c r="B13" s="298" t="s">
        <v>1399</v>
      </c>
      <c r="C13" s="298" t="s">
        <v>1400</v>
      </c>
      <c r="D13" s="298" t="s">
        <v>1401</v>
      </c>
      <c r="E13" s="298" t="s">
        <v>1402</v>
      </c>
      <c r="F13" s="298" t="s">
        <v>1403</v>
      </c>
      <c r="G13" s="298">
        <v>0</v>
      </c>
      <c r="H13" s="298" t="s">
        <v>1404</v>
      </c>
      <c r="I13" s="298" t="s">
        <v>1405</v>
      </c>
      <c r="J13" s="298" t="s">
        <v>1406</v>
      </c>
      <c r="K13" s="298" t="s">
        <v>1407</v>
      </c>
      <c r="L13" s="298" t="s">
        <v>1408</v>
      </c>
      <c r="M13" s="298" t="s">
        <v>1409</v>
      </c>
      <c r="N13" s="298" t="s">
        <v>1410</v>
      </c>
      <c r="O13" s="298" t="s">
        <v>1411</v>
      </c>
      <c r="P13" s="298" t="s">
        <v>1412</v>
      </c>
      <c r="Q13" s="298" t="s">
        <v>1413</v>
      </c>
      <c r="R13" s="298" t="s">
        <v>1414</v>
      </c>
      <c r="S13" s="298" t="s">
        <v>42</v>
      </c>
      <c r="T13" s="298" t="s">
        <v>1415</v>
      </c>
      <c r="U13" s="298" t="s">
        <v>1416</v>
      </c>
      <c r="V13" s="298" t="s">
        <v>1417</v>
      </c>
      <c r="W13" s="299" t="s">
        <v>1418</v>
      </c>
      <c r="X13" s="298" t="s">
        <v>1419</v>
      </c>
      <c r="Y13" s="298" t="s">
        <v>1420</v>
      </c>
      <c r="Z13" s="298" t="s">
        <v>1421</v>
      </c>
      <c r="AA13" s="298" t="s">
        <v>1422</v>
      </c>
      <c r="AB13" s="298" t="s">
        <v>1423</v>
      </c>
      <c r="AC13" s="298" t="s">
        <v>1424</v>
      </c>
      <c r="AD13" s="298" t="s">
        <v>1367</v>
      </c>
      <c r="AE13" s="298" t="s">
        <v>1425</v>
      </c>
      <c r="AF13" s="298" t="s">
        <v>1426</v>
      </c>
      <c r="AG13" s="298" t="s">
        <v>1427</v>
      </c>
      <c r="AH13" s="298" t="s">
        <v>1428</v>
      </c>
      <c r="AI13" s="298" t="s">
        <v>1429</v>
      </c>
      <c r="AJ13" s="298" t="s">
        <v>1430</v>
      </c>
    </row>
    <row r="14" spans="1:36">
      <c r="B14" s="290">
        <v>2111</v>
      </c>
      <c r="C14" s="294">
        <v>286254</v>
      </c>
      <c r="D14" s="290">
        <v>286253</v>
      </c>
      <c r="E14" s="289" t="s">
        <v>4104</v>
      </c>
      <c r="F14" s="290"/>
      <c r="G14" s="289"/>
      <c r="H14" s="289" t="s">
        <v>4103</v>
      </c>
      <c r="I14" s="289"/>
      <c r="J14" s="289">
        <v>2022</v>
      </c>
      <c r="K14" s="289"/>
      <c r="L14" s="289"/>
      <c r="M14" s="289" t="s">
        <v>1467</v>
      </c>
      <c r="N14" s="293">
        <v>44651</v>
      </c>
      <c r="O14" s="293">
        <v>44651</v>
      </c>
      <c r="P14" s="289" t="s">
        <v>4102</v>
      </c>
      <c r="Q14" s="290">
        <v>1000</v>
      </c>
      <c r="R14" s="290">
        <v>14040</v>
      </c>
      <c r="S14" s="291">
        <v>186070.69</v>
      </c>
      <c r="T14" s="290">
        <v>14046</v>
      </c>
      <c r="U14" s="291">
        <v>0</v>
      </c>
      <c r="V14" s="291">
        <f t="shared" ref="V14:V77" si="0">S14-U14</f>
        <v>186070.69</v>
      </c>
      <c r="W14" s="292">
        <v>0</v>
      </c>
      <c r="X14" s="290">
        <v>51260</v>
      </c>
      <c r="Y14" s="291">
        <v>0</v>
      </c>
      <c r="Z14" s="289" t="s">
        <v>944</v>
      </c>
      <c r="AA14" s="289"/>
      <c r="AB14" s="289"/>
      <c r="AC14" s="289"/>
      <c r="AD14" s="289" t="s">
        <v>1446</v>
      </c>
      <c r="AE14" s="289" t="s">
        <v>410</v>
      </c>
      <c r="AF14" s="290" t="s">
        <v>1447</v>
      </c>
      <c r="AG14" s="289"/>
      <c r="AH14" s="290" t="s">
        <v>1448</v>
      </c>
      <c r="AI14" s="289">
        <v>0</v>
      </c>
      <c r="AJ14" s="289">
        <v>0</v>
      </c>
    </row>
    <row r="15" spans="1:36">
      <c r="B15" s="290">
        <v>2111</v>
      </c>
      <c r="C15" s="294">
        <v>286253</v>
      </c>
      <c r="D15" s="290" t="s">
        <v>944</v>
      </c>
      <c r="E15" s="289" t="s">
        <v>1175</v>
      </c>
      <c r="F15" s="290"/>
      <c r="G15" s="289"/>
      <c r="H15" s="289" t="s">
        <v>4103</v>
      </c>
      <c r="I15" s="289"/>
      <c r="J15" s="289">
        <v>2022</v>
      </c>
      <c r="K15" s="289"/>
      <c r="L15" s="289"/>
      <c r="M15" s="289" t="s">
        <v>1495</v>
      </c>
      <c r="N15" s="293">
        <v>44651</v>
      </c>
      <c r="O15" s="293">
        <v>44651</v>
      </c>
      <c r="P15" s="289" t="s">
        <v>4105</v>
      </c>
      <c r="Q15" s="290">
        <v>1000</v>
      </c>
      <c r="R15" s="290">
        <v>14040</v>
      </c>
      <c r="S15" s="291">
        <v>190394.16</v>
      </c>
      <c r="T15" s="290">
        <v>14046</v>
      </c>
      <c r="U15" s="291">
        <v>0</v>
      </c>
      <c r="V15" s="291">
        <f t="shared" si="0"/>
        <v>190394.16</v>
      </c>
      <c r="W15" s="292">
        <v>0</v>
      </c>
      <c r="X15" s="290">
        <v>51260</v>
      </c>
      <c r="Y15" s="291">
        <v>0</v>
      </c>
      <c r="Z15" s="289" t="s">
        <v>944</v>
      </c>
      <c r="AA15" s="289"/>
      <c r="AB15" s="289"/>
      <c r="AC15" s="289"/>
      <c r="AD15" s="289" t="s">
        <v>1446</v>
      </c>
      <c r="AE15" s="289" t="s">
        <v>410</v>
      </c>
      <c r="AF15" s="290" t="s">
        <v>1447</v>
      </c>
      <c r="AG15" s="289"/>
      <c r="AH15" s="290" t="s">
        <v>1448</v>
      </c>
      <c r="AI15" s="289">
        <v>0</v>
      </c>
      <c r="AJ15" s="289">
        <v>0</v>
      </c>
    </row>
    <row r="16" spans="1:36">
      <c r="B16" s="290">
        <v>2111</v>
      </c>
      <c r="C16" s="294">
        <v>285785</v>
      </c>
      <c r="D16" s="290" t="s">
        <v>944</v>
      </c>
      <c r="E16" s="289" t="s">
        <v>4107</v>
      </c>
      <c r="F16" s="290">
        <v>7</v>
      </c>
      <c r="G16" s="289"/>
      <c r="H16" s="289"/>
      <c r="I16" s="289"/>
      <c r="J16" s="289">
        <v>0</v>
      </c>
      <c r="K16" s="289" t="s">
        <v>1684</v>
      </c>
      <c r="L16" s="289"/>
      <c r="M16" s="289"/>
      <c r="N16" s="293">
        <v>44741</v>
      </c>
      <c r="O16" s="293">
        <v>44741</v>
      </c>
      <c r="P16" s="289" t="s">
        <v>4106</v>
      </c>
      <c r="Q16" s="290">
        <v>500</v>
      </c>
      <c r="R16" s="290">
        <v>14070</v>
      </c>
      <c r="S16" s="291">
        <v>2265.46</v>
      </c>
      <c r="T16" s="290">
        <v>14076</v>
      </c>
      <c r="U16" s="291">
        <v>37.76</v>
      </c>
      <c r="V16" s="291">
        <f t="shared" si="0"/>
        <v>2227.6999999999998</v>
      </c>
      <c r="W16" s="292">
        <v>37.76</v>
      </c>
      <c r="X16" s="290">
        <v>51260</v>
      </c>
      <c r="Y16" s="291">
        <v>37.76</v>
      </c>
      <c r="Z16" s="289" t="s">
        <v>944</v>
      </c>
      <c r="AA16" s="289"/>
      <c r="AB16" s="289">
        <v>5503650</v>
      </c>
      <c r="AC16" s="289"/>
      <c r="AD16" s="289" t="s">
        <v>1446</v>
      </c>
      <c r="AE16" s="289" t="s">
        <v>410</v>
      </c>
      <c r="AF16" s="290" t="s">
        <v>1447</v>
      </c>
      <c r="AG16" s="289"/>
      <c r="AH16" s="290" t="s">
        <v>1448</v>
      </c>
      <c r="AI16" s="289">
        <v>0</v>
      </c>
      <c r="AJ16" s="289">
        <v>0</v>
      </c>
    </row>
    <row r="17" spans="2:36">
      <c r="B17" s="290">
        <v>2111</v>
      </c>
      <c r="C17" s="294">
        <v>285393</v>
      </c>
      <c r="D17" s="290" t="s">
        <v>944</v>
      </c>
      <c r="E17" s="289" t="s">
        <v>1136</v>
      </c>
      <c r="F17" s="290">
        <v>351</v>
      </c>
      <c r="G17" s="289"/>
      <c r="H17" s="289"/>
      <c r="I17" s="289"/>
      <c r="J17" s="289">
        <v>0</v>
      </c>
      <c r="K17" s="289" t="s">
        <v>1462</v>
      </c>
      <c r="L17" s="289"/>
      <c r="M17" s="289" t="s">
        <v>1463</v>
      </c>
      <c r="N17" s="293">
        <v>44757</v>
      </c>
      <c r="O17" s="293">
        <v>44757</v>
      </c>
      <c r="P17" s="289" t="s">
        <v>4108</v>
      </c>
      <c r="Q17" s="290">
        <v>700</v>
      </c>
      <c r="R17" s="290">
        <v>14050</v>
      </c>
      <c r="S17" s="291">
        <v>23718.13</v>
      </c>
      <c r="T17" s="290">
        <v>14056</v>
      </c>
      <c r="U17" s="291">
        <v>282.36</v>
      </c>
      <c r="V17" s="291">
        <f t="shared" si="0"/>
        <v>23435.77</v>
      </c>
      <c r="W17" s="292">
        <v>282.36</v>
      </c>
      <c r="X17" s="290">
        <v>54260</v>
      </c>
      <c r="Y17" s="291">
        <v>282.36</v>
      </c>
      <c r="Z17" s="289" t="s">
        <v>944</v>
      </c>
      <c r="AA17" s="289"/>
      <c r="AB17" s="289">
        <v>50255567</v>
      </c>
      <c r="AC17" s="289"/>
      <c r="AD17" s="289" t="s">
        <v>1446</v>
      </c>
      <c r="AE17" s="289" t="s">
        <v>410</v>
      </c>
      <c r="AF17" s="290" t="s">
        <v>1447</v>
      </c>
      <c r="AG17" s="289"/>
      <c r="AH17" s="290" t="s">
        <v>1448</v>
      </c>
      <c r="AI17" s="289">
        <v>0</v>
      </c>
      <c r="AJ17" s="289">
        <v>0</v>
      </c>
    </row>
    <row r="18" spans="2:36">
      <c r="B18" s="290">
        <v>2111</v>
      </c>
      <c r="C18" s="294">
        <v>285392</v>
      </c>
      <c r="D18" s="290" t="s">
        <v>944</v>
      </c>
      <c r="E18" s="289" t="s">
        <v>1149</v>
      </c>
      <c r="F18" s="290">
        <v>351</v>
      </c>
      <c r="G18" s="289"/>
      <c r="H18" s="289"/>
      <c r="I18" s="289"/>
      <c r="J18" s="289">
        <v>0</v>
      </c>
      <c r="K18" s="289" t="s">
        <v>1462</v>
      </c>
      <c r="L18" s="289"/>
      <c r="M18" s="289" t="s">
        <v>1463</v>
      </c>
      <c r="N18" s="293">
        <v>44757</v>
      </c>
      <c r="O18" s="293">
        <v>44757</v>
      </c>
      <c r="P18" s="289" t="s">
        <v>4108</v>
      </c>
      <c r="Q18" s="290">
        <v>700</v>
      </c>
      <c r="R18" s="290">
        <v>14050</v>
      </c>
      <c r="S18" s="291">
        <v>23718.13</v>
      </c>
      <c r="T18" s="290">
        <v>14056</v>
      </c>
      <c r="U18" s="291">
        <v>282.36</v>
      </c>
      <c r="V18" s="291">
        <f t="shared" si="0"/>
        <v>23435.77</v>
      </c>
      <c r="W18" s="292">
        <v>282.36</v>
      </c>
      <c r="X18" s="290">
        <v>54260</v>
      </c>
      <c r="Y18" s="291">
        <v>282.36</v>
      </c>
      <c r="Z18" s="289" t="s">
        <v>944</v>
      </c>
      <c r="AA18" s="289"/>
      <c r="AB18" s="289">
        <v>50255567</v>
      </c>
      <c r="AC18" s="289"/>
      <c r="AD18" s="289" t="s">
        <v>1446</v>
      </c>
      <c r="AE18" s="289" t="s">
        <v>410</v>
      </c>
      <c r="AF18" s="290" t="s">
        <v>1447</v>
      </c>
      <c r="AG18" s="289"/>
      <c r="AH18" s="290" t="s">
        <v>1448</v>
      </c>
      <c r="AI18" s="289">
        <v>0</v>
      </c>
      <c r="AJ18" s="289">
        <v>0</v>
      </c>
    </row>
    <row r="19" spans="2:36">
      <c r="B19" s="290">
        <v>2111</v>
      </c>
      <c r="C19" s="294">
        <v>285391</v>
      </c>
      <c r="D19" s="290" t="s">
        <v>944</v>
      </c>
      <c r="E19" s="289" t="s">
        <v>1149</v>
      </c>
      <c r="F19" s="290">
        <v>702</v>
      </c>
      <c r="G19" s="289"/>
      <c r="H19" s="289"/>
      <c r="I19" s="289"/>
      <c r="J19" s="289">
        <v>0</v>
      </c>
      <c r="K19" s="289" t="s">
        <v>1462</v>
      </c>
      <c r="L19" s="289"/>
      <c r="M19" s="289" t="s">
        <v>1463</v>
      </c>
      <c r="N19" s="293">
        <v>44757</v>
      </c>
      <c r="O19" s="293">
        <v>44757</v>
      </c>
      <c r="P19" s="289" t="s">
        <v>4108</v>
      </c>
      <c r="Q19" s="290">
        <v>700</v>
      </c>
      <c r="R19" s="290">
        <v>14050</v>
      </c>
      <c r="S19" s="291">
        <v>47436.25</v>
      </c>
      <c r="T19" s="290">
        <v>14056</v>
      </c>
      <c r="U19" s="291">
        <v>564.72</v>
      </c>
      <c r="V19" s="291">
        <f t="shared" si="0"/>
        <v>46871.53</v>
      </c>
      <c r="W19" s="292">
        <v>564.72</v>
      </c>
      <c r="X19" s="290">
        <v>54260</v>
      </c>
      <c r="Y19" s="291">
        <v>564.72</v>
      </c>
      <c r="Z19" s="289" t="s">
        <v>944</v>
      </c>
      <c r="AA19" s="289"/>
      <c r="AB19" s="289">
        <v>50255567</v>
      </c>
      <c r="AC19" s="289"/>
      <c r="AD19" s="289" t="s">
        <v>1446</v>
      </c>
      <c r="AE19" s="289" t="s">
        <v>410</v>
      </c>
      <c r="AF19" s="290" t="s">
        <v>1447</v>
      </c>
      <c r="AG19" s="289"/>
      <c r="AH19" s="290" t="s">
        <v>1448</v>
      </c>
      <c r="AI19" s="289">
        <v>0</v>
      </c>
      <c r="AJ19" s="289">
        <v>0</v>
      </c>
    </row>
    <row r="20" spans="2:36">
      <c r="B20" s="290">
        <v>2111</v>
      </c>
      <c r="C20" s="294">
        <v>285276</v>
      </c>
      <c r="D20" s="290" t="s">
        <v>944</v>
      </c>
      <c r="E20" s="289" t="s">
        <v>4109</v>
      </c>
      <c r="F20" s="290">
        <v>936</v>
      </c>
      <c r="G20" s="289"/>
      <c r="H20" s="289"/>
      <c r="I20" s="289"/>
      <c r="J20" s="289">
        <v>0</v>
      </c>
      <c r="K20" s="289" t="s">
        <v>1462</v>
      </c>
      <c r="L20" s="289"/>
      <c r="M20" s="289" t="s">
        <v>1463</v>
      </c>
      <c r="N20" s="293">
        <v>44757</v>
      </c>
      <c r="O20" s="293">
        <v>44757</v>
      </c>
      <c r="P20" s="289" t="s">
        <v>4108</v>
      </c>
      <c r="Q20" s="290">
        <v>700</v>
      </c>
      <c r="R20" s="290">
        <v>14050</v>
      </c>
      <c r="S20" s="291">
        <v>55423.360000000001</v>
      </c>
      <c r="T20" s="290">
        <v>14056</v>
      </c>
      <c r="U20" s="291">
        <v>659.8</v>
      </c>
      <c r="V20" s="291">
        <f t="shared" si="0"/>
        <v>54763.56</v>
      </c>
      <c r="W20" s="292">
        <v>659.8</v>
      </c>
      <c r="X20" s="290">
        <v>54260</v>
      </c>
      <c r="Y20" s="291">
        <v>659.8</v>
      </c>
      <c r="Z20" s="289" t="s">
        <v>944</v>
      </c>
      <c r="AA20" s="289"/>
      <c r="AB20" s="289">
        <v>50253656</v>
      </c>
      <c r="AC20" s="289"/>
      <c r="AD20" s="289" t="s">
        <v>1446</v>
      </c>
      <c r="AE20" s="289" t="s">
        <v>410</v>
      </c>
      <c r="AF20" s="290" t="s">
        <v>1447</v>
      </c>
      <c r="AG20" s="289"/>
      <c r="AH20" s="290" t="s">
        <v>1448</v>
      </c>
      <c r="AI20" s="289">
        <v>0</v>
      </c>
      <c r="AJ20" s="289">
        <v>0</v>
      </c>
    </row>
    <row r="21" spans="2:36">
      <c r="B21" s="290">
        <v>2111</v>
      </c>
      <c r="C21" s="294">
        <v>284945</v>
      </c>
      <c r="D21" s="290" t="s">
        <v>944</v>
      </c>
      <c r="E21" s="289" t="s">
        <v>4111</v>
      </c>
      <c r="F21" s="290"/>
      <c r="G21" s="289"/>
      <c r="H21" s="289"/>
      <c r="I21" s="289"/>
      <c r="J21" s="289">
        <v>0</v>
      </c>
      <c r="K21" s="289"/>
      <c r="L21" s="289" t="s">
        <v>4110</v>
      </c>
      <c r="M21" s="289"/>
      <c r="N21" s="293">
        <v>44773</v>
      </c>
      <c r="O21" s="293">
        <v>44773</v>
      </c>
      <c r="P21" s="289"/>
      <c r="Q21" s="290">
        <v>1000</v>
      </c>
      <c r="R21" s="290">
        <v>14010</v>
      </c>
      <c r="S21" s="291">
        <v>115428.5</v>
      </c>
      <c r="T21" s="290">
        <v>14016</v>
      </c>
      <c r="U21" s="291">
        <v>0</v>
      </c>
      <c r="V21" s="291">
        <f t="shared" si="0"/>
        <v>115428.5</v>
      </c>
      <c r="W21" s="292">
        <v>0</v>
      </c>
      <c r="X21" s="290">
        <v>57260</v>
      </c>
      <c r="Y21" s="291">
        <v>0</v>
      </c>
      <c r="Z21" s="289" t="s">
        <v>944</v>
      </c>
      <c r="AA21" s="289"/>
      <c r="AB21" s="289"/>
      <c r="AC21" s="289"/>
      <c r="AD21" s="289" t="s">
        <v>1446</v>
      </c>
      <c r="AE21" s="289" t="s">
        <v>410</v>
      </c>
      <c r="AF21" s="290" t="s">
        <v>1447</v>
      </c>
      <c r="AG21" s="289"/>
      <c r="AH21" s="290" t="s">
        <v>1448</v>
      </c>
      <c r="AI21" s="289">
        <v>0</v>
      </c>
      <c r="AJ21" s="289">
        <v>0</v>
      </c>
    </row>
    <row r="22" spans="2:36">
      <c r="B22" s="290">
        <v>2111</v>
      </c>
      <c r="C22" s="294">
        <v>284455</v>
      </c>
      <c r="D22" s="290" t="s">
        <v>944</v>
      </c>
      <c r="E22" s="289" t="s">
        <v>4114</v>
      </c>
      <c r="F22" s="290"/>
      <c r="G22" s="289"/>
      <c r="H22" s="289" t="s">
        <v>4113</v>
      </c>
      <c r="I22" s="289"/>
      <c r="J22" s="289">
        <v>2022</v>
      </c>
      <c r="K22" s="289"/>
      <c r="L22" s="289"/>
      <c r="M22" s="289" t="s">
        <v>1523</v>
      </c>
      <c r="N22" s="293">
        <v>44735</v>
      </c>
      <c r="O22" s="293">
        <v>44735</v>
      </c>
      <c r="P22" s="289" t="s">
        <v>4112</v>
      </c>
      <c r="Q22" s="290">
        <v>1000</v>
      </c>
      <c r="R22" s="290">
        <v>14040</v>
      </c>
      <c r="S22" s="291">
        <v>183091.43</v>
      </c>
      <c r="T22" s="290">
        <v>14046</v>
      </c>
      <c r="U22" s="291">
        <v>1525.76</v>
      </c>
      <c r="V22" s="291">
        <f t="shared" si="0"/>
        <v>181565.66999999998</v>
      </c>
      <c r="W22" s="292">
        <v>1525.76</v>
      </c>
      <c r="X22" s="290">
        <v>51260</v>
      </c>
      <c r="Y22" s="291">
        <v>1525.76</v>
      </c>
      <c r="Z22" s="289" t="s">
        <v>944</v>
      </c>
      <c r="AA22" s="289"/>
      <c r="AB22" s="289"/>
      <c r="AC22" s="289"/>
      <c r="AD22" s="289" t="s">
        <v>1446</v>
      </c>
      <c r="AE22" s="289" t="s">
        <v>410</v>
      </c>
      <c r="AF22" s="290" t="s">
        <v>1447</v>
      </c>
      <c r="AG22" s="289"/>
      <c r="AH22" s="290" t="s">
        <v>1448</v>
      </c>
      <c r="AI22" s="289">
        <v>0</v>
      </c>
      <c r="AJ22" s="289">
        <v>0</v>
      </c>
    </row>
    <row r="23" spans="2:36">
      <c r="B23" s="290">
        <v>2111</v>
      </c>
      <c r="C23" s="294">
        <v>284394</v>
      </c>
      <c r="D23" s="290" t="s">
        <v>944</v>
      </c>
      <c r="E23" s="289" t="s">
        <v>4118</v>
      </c>
      <c r="F23" s="290">
        <v>108</v>
      </c>
      <c r="G23" s="289"/>
      <c r="H23" s="289"/>
      <c r="I23" s="289"/>
      <c r="J23" s="289">
        <v>0</v>
      </c>
      <c r="K23" s="289" t="s">
        <v>1509</v>
      </c>
      <c r="L23" s="289"/>
      <c r="M23" s="289" t="s">
        <v>4117</v>
      </c>
      <c r="N23" s="293">
        <v>44693</v>
      </c>
      <c r="O23" s="293">
        <v>44693</v>
      </c>
      <c r="P23" s="289" t="s">
        <v>4116</v>
      </c>
      <c r="Q23" s="290">
        <v>1200</v>
      </c>
      <c r="R23" s="290">
        <v>14050</v>
      </c>
      <c r="S23" s="291">
        <v>11975.04</v>
      </c>
      <c r="T23" s="290">
        <v>14056</v>
      </c>
      <c r="U23" s="291">
        <v>249.48</v>
      </c>
      <c r="V23" s="291">
        <f t="shared" si="0"/>
        <v>11725.560000000001</v>
      </c>
      <c r="W23" s="292">
        <v>249.48</v>
      </c>
      <c r="X23" s="290">
        <v>54260</v>
      </c>
      <c r="Y23" s="291">
        <v>249.48</v>
      </c>
      <c r="Z23" s="289" t="s">
        <v>944</v>
      </c>
      <c r="AA23" s="289"/>
      <c r="AB23" s="289" t="s">
        <v>4115</v>
      </c>
      <c r="AC23" s="289"/>
      <c r="AD23" s="289" t="s">
        <v>1446</v>
      </c>
      <c r="AE23" s="289" t="s">
        <v>410</v>
      </c>
      <c r="AF23" s="290" t="s">
        <v>1447</v>
      </c>
      <c r="AG23" s="289"/>
      <c r="AH23" s="290" t="s">
        <v>1448</v>
      </c>
      <c r="AI23" s="289">
        <v>0</v>
      </c>
      <c r="AJ23" s="289">
        <v>0</v>
      </c>
    </row>
    <row r="24" spans="2:36">
      <c r="B24" s="290">
        <v>2111</v>
      </c>
      <c r="C24" s="294">
        <v>284368</v>
      </c>
      <c r="D24" s="290" t="s">
        <v>944</v>
      </c>
      <c r="E24" s="289" t="s">
        <v>4119</v>
      </c>
      <c r="F24" s="290">
        <v>36</v>
      </c>
      <c r="G24" s="289"/>
      <c r="H24" s="289"/>
      <c r="I24" s="289"/>
      <c r="J24" s="289">
        <v>0</v>
      </c>
      <c r="K24" s="289" t="s">
        <v>1509</v>
      </c>
      <c r="L24" s="289"/>
      <c r="M24" s="289" t="s">
        <v>1530</v>
      </c>
      <c r="N24" s="293">
        <v>44693</v>
      </c>
      <c r="O24" s="293">
        <v>44693</v>
      </c>
      <c r="P24" s="289" t="s">
        <v>4116</v>
      </c>
      <c r="Q24" s="290">
        <v>1200</v>
      </c>
      <c r="R24" s="290">
        <v>14050</v>
      </c>
      <c r="S24" s="291">
        <v>37669.730000000003</v>
      </c>
      <c r="T24" s="290">
        <v>14056</v>
      </c>
      <c r="U24" s="291">
        <v>784.79</v>
      </c>
      <c r="V24" s="291">
        <f t="shared" si="0"/>
        <v>36884.94</v>
      </c>
      <c r="W24" s="292">
        <v>784.79</v>
      </c>
      <c r="X24" s="290">
        <v>54260</v>
      </c>
      <c r="Y24" s="291">
        <v>784.79</v>
      </c>
      <c r="Z24" s="289" t="s">
        <v>944</v>
      </c>
      <c r="AA24" s="289"/>
      <c r="AB24" s="289" t="s">
        <v>4115</v>
      </c>
      <c r="AC24" s="289"/>
      <c r="AD24" s="289" t="s">
        <v>1446</v>
      </c>
      <c r="AE24" s="289" t="s">
        <v>410</v>
      </c>
      <c r="AF24" s="290" t="s">
        <v>1447</v>
      </c>
      <c r="AG24" s="289"/>
      <c r="AH24" s="290" t="s">
        <v>1448</v>
      </c>
      <c r="AI24" s="289">
        <v>0</v>
      </c>
      <c r="AJ24" s="289">
        <v>0</v>
      </c>
    </row>
    <row r="25" spans="2:36">
      <c r="B25" s="290">
        <v>2111</v>
      </c>
      <c r="C25" s="294">
        <v>284367</v>
      </c>
      <c r="D25" s="290" t="s">
        <v>944</v>
      </c>
      <c r="E25" s="289" t="s">
        <v>4119</v>
      </c>
      <c r="F25" s="290">
        <v>24</v>
      </c>
      <c r="G25" s="289"/>
      <c r="H25" s="289"/>
      <c r="I25" s="289"/>
      <c r="J25" s="289">
        <v>0</v>
      </c>
      <c r="K25" s="289" t="s">
        <v>1509</v>
      </c>
      <c r="L25" s="289"/>
      <c r="M25" s="289" t="s">
        <v>1530</v>
      </c>
      <c r="N25" s="293">
        <v>44693</v>
      </c>
      <c r="O25" s="293">
        <v>44693</v>
      </c>
      <c r="P25" s="289" t="s">
        <v>4116</v>
      </c>
      <c r="Q25" s="290">
        <v>1200</v>
      </c>
      <c r="R25" s="290">
        <v>14050</v>
      </c>
      <c r="S25" s="291">
        <v>24121.25</v>
      </c>
      <c r="T25" s="290">
        <v>14056</v>
      </c>
      <c r="U25" s="291">
        <v>502.53</v>
      </c>
      <c r="V25" s="291">
        <f t="shared" si="0"/>
        <v>23618.720000000001</v>
      </c>
      <c r="W25" s="292">
        <v>502.53</v>
      </c>
      <c r="X25" s="290">
        <v>54260</v>
      </c>
      <c r="Y25" s="291">
        <v>502.53</v>
      </c>
      <c r="Z25" s="289" t="s">
        <v>944</v>
      </c>
      <c r="AA25" s="289"/>
      <c r="AB25" s="289" t="s">
        <v>4115</v>
      </c>
      <c r="AC25" s="289"/>
      <c r="AD25" s="289" t="s">
        <v>1446</v>
      </c>
      <c r="AE25" s="289" t="s">
        <v>410</v>
      </c>
      <c r="AF25" s="290" t="s">
        <v>1447</v>
      </c>
      <c r="AG25" s="289"/>
      <c r="AH25" s="290" t="s">
        <v>1448</v>
      </c>
      <c r="AI25" s="289">
        <v>0</v>
      </c>
      <c r="AJ25" s="289">
        <v>0</v>
      </c>
    </row>
    <row r="26" spans="2:36">
      <c r="B26" s="290">
        <v>2111</v>
      </c>
      <c r="C26" s="294">
        <v>284340</v>
      </c>
      <c r="D26" s="290" t="s">
        <v>944</v>
      </c>
      <c r="E26" s="289" t="s">
        <v>2703</v>
      </c>
      <c r="F26" s="290">
        <v>351</v>
      </c>
      <c r="G26" s="289"/>
      <c r="H26" s="289"/>
      <c r="I26" s="289"/>
      <c r="J26" s="289">
        <v>0</v>
      </c>
      <c r="K26" s="289" t="s">
        <v>1462</v>
      </c>
      <c r="L26" s="289"/>
      <c r="M26" s="289" t="s">
        <v>4117</v>
      </c>
      <c r="N26" s="293">
        <v>44707</v>
      </c>
      <c r="O26" s="293">
        <v>44707</v>
      </c>
      <c r="P26" s="289" t="s">
        <v>4120</v>
      </c>
      <c r="Q26" s="290">
        <v>700</v>
      </c>
      <c r="R26" s="290">
        <v>14050</v>
      </c>
      <c r="S26" s="291">
        <v>23579.13</v>
      </c>
      <c r="T26" s="290">
        <v>14056</v>
      </c>
      <c r="U26" s="291">
        <v>561.41</v>
      </c>
      <c r="V26" s="291">
        <f t="shared" si="0"/>
        <v>23017.72</v>
      </c>
      <c r="W26" s="292">
        <v>561.41</v>
      </c>
      <c r="X26" s="290">
        <v>54260</v>
      </c>
      <c r="Y26" s="291">
        <v>561.41</v>
      </c>
      <c r="Z26" s="289" t="s">
        <v>944</v>
      </c>
      <c r="AA26" s="289"/>
      <c r="AB26" s="289">
        <v>50246691</v>
      </c>
      <c r="AC26" s="289"/>
      <c r="AD26" s="289" t="s">
        <v>1446</v>
      </c>
      <c r="AE26" s="289" t="s">
        <v>410</v>
      </c>
      <c r="AF26" s="290" t="s">
        <v>1447</v>
      </c>
      <c r="AG26" s="289"/>
      <c r="AH26" s="290" t="s">
        <v>1448</v>
      </c>
      <c r="AI26" s="289">
        <v>0</v>
      </c>
      <c r="AJ26" s="289">
        <v>0</v>
      </c>
    </row>
    <row r="27" spans="2:36">
      <c r="B27" s="290">
        <v>2111</v>
      </c>
      <c r="C27" s="294">
        <v>284339</v>
      </c>
      <c r="D27" s="290" t="s">
        <v>944</v>
      </c>
      <c r="E27" s="289" t="s">
        <v>4121</v>
      </c>
      <c r="F27" s="290">
        <v>351</v>
      </c>
      <c r="G27" s="289"/>
      <c r="H27" s="289"/>
      <c r="I27" s="289"/>
      <c r="J27" s="289">
        <v>0</v>
      </c>
      <c r="K27" s="289" t="s">
        <v>1462</v>
      </c>
      <c r="L27" s="289"/>
      <c r="M27" s="289" t="s">
        <v>4117</v>
      </c>
      <c r="N27" s="293">
        <v>44707</v>
      </c>
      <c r="O27" s="293">
        <v>44707</v>
      </c>
      <c r="P27" s="289" t="s">
        <v>4120</v>
      </c>
      <c r="Q27" s="290">
        <v>700</v>
      </c>
      <c r="R27" s="290">
        <v>14050</v>
      </c>
      <c r="S27" s="291">
        <v>23579.119999999999</v>
      </c>
      <c r="T27" s="290">
        <v>14056</v>
      </c>
      <c r="U27" s="291">
        <v>561.41</v>
      </c>
      <c r="V27" s="291">
        <f t="shared" si="0"/>
        <v>23017.71</v>
      </c>
      <c r="W27" s="292">
        <v>561.41</v>
      </c>
      <c r="X27" s="290">
        <v>54260</v>
      </c>
      <c r="Y27" s="291">
        <v>561.41</v>
      </c>
      <c r="Z27" s="289" t="s">
        <v>944</v>
      </c>
      <c r="AA27" s="289"/>
      <c r="AB27" s="289">
        <v>50246691</v>
      </c>
      <c r="AC27" s="289"/>
      <c r="AD27" s="289" t="s">
        <v>1446</v>
      </c>
      <c r="AE27" s="289" t="s">
        <v>410</v>
      </c>
      <c r="AF27" s="290" t="s">
        <v>1447</v>
      </c>
      <c r="AG27" s="289"/>
      <c r="AH27" s="290" t="s">
        <v>1448</v>
      </c>
      <c r="AI27" s="289">
        <v>0</v>
      </c>
      <c r="AJ27" s="289">
        <v>0</v>
      </c>
    </row>
    <row r="28" spans="2:36">
      <c r="B28" s="290">
        <v>2111</v>
      </c>
      <c r="C28" s="294">
        <v>284177</v>
      </c>
      <c r="D28" s="290" t="s">
        <v>944</v>
      </c>
      <c r="E28" s="289" t="s">
        <v>4127</v>
      </c>
      <c r="F28" s="290">
        <v>1</v>
      </c>
      <c r="G28" s="289"/>
      <c r="H28" s="289"/>
      <c r="I28" s="289"/>
      <c r="J28" s="289">
        <v>0</v>
      </c>
      <c r="K28" s="289" t="s">
        <v>4126</v>
      </c>
      <c r="L28" s="289"/>
      <c r="M28" s="289"/>
      <c r="N28" s="293">
        <v>44733</v>
      </c>
      <c r="O28" s="293">
        <v>44733</v>
      </c>
      <c r="P28" s="289" t="s">
        <v>4122</v>
      </c>
      <c r="Q28" s="290">
        <v>300</v>
      </c>
      <c r="R28" s="290">
        <v>14110</v>
      </c>
      <c r="S28" s="291">
        <v>1245.58</v>
      </c>
      <c r="T28" s="290">
        <v>14116</v>
      </c>
      <c r="U28" s="291">
        <v>34.6</v>
      </c>
      <c r="V28" s="291">
        <f t="shared" si="0"/>
        <v>1210.98</v>
      </c>
      <c r="W28" s="292">
        <v>34.6</v>
      </c>
      <c r="X28" s="290">
        <v>70260</v>
      </c>
      <c r="Y28" s="291">
        <v>34.6</v>
      </c>
      <c r="Z28" s="289" t="s">
        <v>944</v>
      </c>
      <c r="AA28" s="289"/>
      <c r="AB28" s="289" t="s">
        <v>4125</v>
      </c>
      <c r="AC28" s="289"/>
      <c r="AD28" s="289" t="s">
        <v>1446</v>
      </c>
      <c r="AE28" s="289" t="s">
        <v>410</v>
      </c>
      <c r="AF28" s="290" t="s">
        <v>1447</v>
      </c>
      <c r="AG28" s="289"/>
      <c r="AH28" s="290" t="s">
        <v>1448</v>
      </c>
      <c r="AI28" s="289">
        <v>0</v>
      </c>
      <c r="AJ28" s="289">
        <v>0</v>
      </c>
    </row>
    <row r="29" spans="2:36">
      <c r="B29" s="290">
        <v>2111</v>
      </c>
      <c r="C29" s="294">
        <v>284176</v>
      </c>
      <c r="D29" s="290" t="s">
        <v>944</v>
      </c>
      <c r="E29" s="289" t="s">
        <v>4129</v>
      </c>
      <c r="F29" s="290">
        <v>1</v>
      </c>
      <c r="G29" s="289"/>
      <c r="H29" s="289"/>
      <c r="I29" s="289"/>
      <c r="J29" s="289">
        <v>0</v>
      </c>
      <c r="K29" s="289" t="s">
        <v>4128</v>
      </c>
      <c r="L29" s="289"/>
      <c r="M29" s="289"/>
      <c r="N29" s="293">
        <v>44677</v>
      </c>
      <c r="O29" s="293">
        <v>44677</v>
      </c>
      <c r="P29" s="289" t="s">
        <v>4050</v>
      </c>
      <c r="Q29" s="290">
        <v>300</v>
      </c>
      <c r="R29" s="290">
        <v>14110</v>
      </c>
      <c r="S29" s="291">
        <v>306.3</v>
      </c>
      <c r="T29" s="290">
        <v>14116</v>
      </c>
      <c r="U29" s="291">
        <v>25.53</v>
      </c>
      <c r="V29" s="291">
        <f t="shared" si="0"/>
        <v>280.77</v>
      </c>
      <c r="W29" s="292">
        <v>25.53</v>
      </c>
      <c r="X29" s="290">
        <v>70260</v>
      </c>
      <c r="Y29" s="291">
        <v>8.51</v>
      </c>
      <c r="Z29" s="289" t="s">
        <v>944</v>
      </c>
      <c r="AA29" s="289"/>
      <c r="AB29" s="289">
        <v>3989003</v>
      </c>
      <c r="AC29" s="289"/>
      <c r="AD29" s="289" t="s">
        <v>1446</v>
      </c>
      <c r="AE29" s="289" t="s">
        <v>410</v>
      </c>
      <c r="AF29" s="290" t="s">
        <v>1447</v>
      </c>
      <c r="AG29" s="289"/>
      <c r="AH29" s="290" t="s">
        <v>1448</v>
      </c>
      <c r="AI29" s="289">
        <v>0</v>
      </c>
      <c r="AJ29" s="289">
        <v>0</v>
      </c>
    </row>
    <row r="30" spans="2:36">
      <c r="B30" s="290">
        <v>2111</v>
      </c>
      <c r="C30" s="294">
        <v>284175</v>
      </c>
      <c r="D30" s="290">
        <v>284177</v>
      </c>
      <c r="E30" s="289" t="s">
        <v>4124</v>
      </c>
      <c r="F30" s="290">
        <v>1</v>
      </c>
      <c r="G30" s="289"/>
      <c r="H30" s="289"/>
      <c r="I30" s="289"/>
      <c r="J30" s="289">
        <v>0</v>
      </c>
      <c r="K30" s="289" t="s">
        <v>4123</v>
      </c>
      <c r="L30" s="289"/>
      <c r="M30" s="289"/>
      <c r="N30" s="293">
        <v>44733</v>
      </c>
      <c r="O30" s="293">
        <v>44733</v>
      </c>
      <c r="P30" s="289" t="s">
        <v>4122</v>
      </c>
      <c r="Q30" s="290">
        <v>300</v>
      </c>
      <c r="R30" s="290">
        <v>14110</v>
      </c>
      <c r="S30" s="291">
        <v>306.3</v>
      </c>
      <c r="T30" s="290">
        <v>14116</v>
      </c>
      <c r="U30" s="291">
        <v>8.51</v>
      </c>
      <c r="V30" s="291">
        <f t="shared" si="0"/>
        <v>297.79000000000002</v>
      </c>
      <c r="W30" s="292">
        <v>8.51</v>
      </c>
      <c r="X30" s="290">
        <v>70260</v>
      </c>
      <c r="Y30" s="291">
        <v>8.51</v>
      </c>
      <c r="Z30" s="289" t="s">
        <v>944</v>
      </c>
      <c r="AA30" s="289"/>
      <c r="AB30" s="289">
        <v>8791424</v>
      </c>
      <c r="AC30" s="289"/>
      <c r="AD30" s="289" t="s">
        <v>1446</v>
      </c>
      <c r="AE30" s="289" t="s">
        <v>410</v>
      </c>
      <c r="AF30" s="290" t="s">
        <v>1447</v>
      </c>
      <c r="AG30" s="289"/>
      <c r="AH30" s="290" t="s">
        <v>1448</v>
      </c>
      <c r="AI30" s="289">
        <v>0</v>
      </c>
      <c r="AJ30" s="289">
        <v>0</v>
      </c>
    </row>
    <row r="31" spans="2:36">
      <c r="B31" s="290">
        <v>2111</v>
      </c>
      <c r="C31" s="294">
        <v>283286</v>
      </c>
      <c r="D31" s="290" t="s">
        <v>944</v>
      </c>
      <c r="E31" s="289" t="s">
        <v>4132</v>
      </c>
      <c r="F31" s="290"/>
      <c r="G31" s="289"/>
      <c r="H31" s="289" t="s">
        <v>4131</v>
      </c>
      <c r="I31" s="289"/>
      <c r="J31" s="289">
        <v>2022</v>
      </c>
      <c r="K31" s="289"/>
      <c r="L31" s="289"/>
      <c r="M31" s="289" t="s">
        <v>2868</v>
      </c>
      <c r="N31" s="293">
        <v>44620</v>
      </c>
      <c r="O31" s="293">
        <v>44620</v>
      </c>
      <c r="P31" s="289" t="s">
        <v>4130</v>
      </c>
      <c r="Q31" s="290">
        <v>1000</v>
      </c>
      <c r="R31" s="290">
        <v>14040</v>
      </c>
      <c r="S31" s="291">
        <v>52371</v>
      </c>
      <c r="T31" s="290">
        <v>14046</v>
      </c>
      <c r="U31" s="291">
        <v>2182.13</v>
      </c>
      <c r="V31" s="291">
        <f t="shared" si="0"/>
        <v>50188.87</v>
      </c>
      <c r="W31" s="292">
        <v>2182.13</v>
      </c>
      <c r="X31" s="290">
        <v>51260</v>
      </c>
      <c r="Y31" s="291">
        <v>436.43</v>
      </c>
      <c r="Z31" s="289" t="s">
        <v>944</v>
      </c>
      <c r="AA31" s="289"/>
      <c r="AB31" s="289"/>
      <c r="AC31" s="289"/>
      <c r="AD31" s="289" t="s">
        <v>1446</v>
      </c>
      <c r="AE31" s="289" t="s">
        <v>410</v>
      </c>
      <c r="AF31" s="290" t="s">
        <v>1447</v>
      </c>
      <c r="AG31" s="289"/>
      <c r="AH31" s="290" t="s">
        <v>1448</v>
      </c>
      <c r="AI31" s="289">
        <v>0</v>
      </c>
      <c r="AJ31" s="289">
        <v>0</v>
      </c>
    </row>
    <row r="32" spans="2:36">
      <c r="B32" s="290">
        <v>2111</v>
      </c>
      <c r="C32" s="294">
        <v>283285</v>
      </c>
      <c r="D32" s="290" t="s">
        <v>944</v>
      </c>
      <c r="E32" s="289" t="s">
        <v>4114</v>
      </c>
      <c r="F32" s="290"/>
      <c r="G32" s="289"/>
      <c r="H32" s="289" t="s">
        <v>4113</v>
      </c>
      <c r="I32" s="289"/>
      <c r="J32" s="289">
        <v>2022</v>
      </c>
      <c r="K32" s="289"/>
      <c r="L32" s="289"/>
      <c r="M32" s="289" t="s">
        <v>1523</v>
      </c>
      <c r="N32" s="293">
        <v>44714</v>
      </c>
      <c r="O32" s="293">
        <v>44714</v>
      </c>
      <c r="P32" s="289" t="s">
        <v>4112</v>
      </c>
      <c r="Q32" s="290">
        <v>1000</v>
      </c>
      <c r="R32" s="290">
        <v>14040</v>
      </c>
      <c r="S32" s="291">
        <v>196566.87</v>
      </c>
      <c r="T32" s="290">
        <v>14046</v>
      </c>
      <c r="U32" s="291">
        <v>3276.11</v>
      </c>
      <c r="V32" s="291">
        <f t="shared" si="0"/>
        <v>193290.76</v>
      </c>
      <c r="W32" s="292">
        <v>3276.11</v>
      </c>
      <c r="X32" s="290">
        <v>51260</v>
      </c>
      <c r="Y32" s="291">
        <v>1638.05</v>
      </c>
      <c r="Z32" s="289" t="s">
        <v>944</v>
      </c>
      <c r="AA32" s="289"/>
      <c r="AB32" s="289"/>
      <c r="AC32" s="289"/>
      <c r="AD32" s="289" t="s">
        <v>1446</v>
      </c>
      <c r="AE32" s="289" t="s">
        <v>410</v>
      </c>
      <c r="AF32" s="290" t="s">
        <v>1447</v>
      </c>
      <c r="AG32" s="289"/>
      <c r="AH32" s="290" t="s">
        <v>1448</v>
      </c>
      <c r="AI32" s="289">
        <v>0</v>
      </c>
      <c r="AJ32" s="289">
        <v>0</v>
      </c>
    </row>
    <row r="33" spans="2:36">
      <c r="B33" s="290">
        <v>2111</v>
      </c>
      <c r="C33" s="294">
        <v>282797</v>
      </c>
      <c r="D33" s="290" t="s">
        <v>944</v>
      </c>
      <c r="E33" s="289" t="s">
        <v>1134</v>
      </c>
      <c r="F33" s="290">
        <v>648</v>
      </c>
      <c r="G33" s="289"/>
      <c r="H33" s="289"/>
      <c r="I33" s="289"/>
      <c r="J33" s="289">
        <v>0</v>
      </c>
      <c r="K33" s="289" t="s">
        <v>1462</v>
      </c>
      <c r="L33" s="289"/>
      <c r="M33" s="289" t="s">
        <v>1463</v>
      </c>
      <c r="N33" s="293">
        <v>44707</v>
      </c>
      <c r="O33" s="293">
        <v>44707</v>
      </c>
      <c r="P33" s="289" t="s">
        <v>4120</v>
      </c>
      <c r="Q33" s="290">
        <v>700</v>
      </c>
      <c r="R33" s="290">
        <v>14050</v>
      </c>
      <c r="S33" s="291">
        <v>42140.74</v>
      </c>
      <c r="T33" s="290">
        <v>14056</v>
      </c>
      <c r="U33" s="291">
        <v>1003.35</v>
      </c>
      <c r="V33" s="291">
        <f t="shared" si="0"/>
        <v>41137.39</v>
      </c>
      <c r="W33" s="292">
        <v>1003.35</v>
      </c>
      <c r="X33" s="290">
        <v>54260</v>
      </c>
      <c r="Y33" s="291">
        <v>501.67</v>
      </c>
      <c r="Z33" s="289" t="s">
        <v>944</v>
      </c>
      <c r="AA33" s="289"/>
      <c r="AB33" s="289">
        <v>50243753</v>
      </c>
      <c r="AC33" s="289"/>
      <c r="AD33" s="289" t="s">
        <v>1446</v>
      </c>
      <c r="AE33" s="289" t="s">
        <v>410</v>
      </c>
      <c r="AF33" s="290" t="s">
        <v>1447</v>
      </c>
      <c r="AG33" s="289"/>
      <c r="AH33" s="290" t="s">
        <v>1448</v>
      </c>
      <c r="AI33" s="289">
        <v>0</v>
      </c>
      <c r="AJ33" s="289">
        <v>0</v>
      </c>
    </row>
    <row r="34" spans="2:36">
      <c r="B34" s="290">
        <v>2111</v>
      </c>
      <c r="C34" s="294">
        <v>282796</v>
      </c>
      <c r="D34" s="290" t="s">
        <v>944</v>
      </c>
      <c r="E34" s="289" t="s">
        <v>4138</v>
      </c>
      <c r="F34" s="290"/>
      <c r="G34" s="289"/>
      <c r="H34" s="289" t="s">
        <v>4137</v>
      </c>
      <c r="I34" s="289"/>
      <c r="J34" s="289">
        <v>2022</v>
      </c>
      <c r="K34" s="289" t="s">
        <v>4136</v>
      </c>
      <c r="L34" s="289" t="s">
        <v>4136</v>
      </c>
      <c r="M34" s="289" t="s">
        <v>4135</v>
      </c>
      <c r="N34" s="293">
        <v>44734</v>
      </c>
      <c r="O34" s="293">
        <v>44734</v>
      </c>
      <c r="P34" s="289" t="s">
        <v>4134</v>
      </c>
      <c r="Q34" s="290">
        <v>1000</v>
      </c>
      <c r="R34" s="290">
        <v>14040</v>
      </c>
      <c r="S34" s="291">
        <v>85840.62</v>
      </c>
      <c r="T34" s="290">
        <v>14046</v>
      </c>
      <c r="U34" s="291">
        <v>715.34</v>
      </c>
      <c r="V34" s="291">
        <f t="shared" si="0"/>
        <v>85125.28</v>
      </c>
      <c r="W34" s="292">
        <v>715.34</v>
      </c>
      <c r="X34" s="290">
        <v>51260</v>
      </c>
      <c r="Y34" s="291">
        <v>715.34</v>
      </c>
      <c r="Z34" s="289" t="s">
        <v>944</v>
      </c>
      <c r="AA34" s="289"/>
      <c r="AB34" s="289" t="s">
        <v>4133</v>
      </c>
      <c r="AC34" s="289"/>
      <c r="AD34" s="289" t="s">
        <v>1446</v>
      </c>
      <c r="AE34" s="289" t="s">
        <v>410</v>
      </c>
      <c r="AF34" s="290" t="s">
        <v>1447</v>
      </c>
      <c r="AG34" s="289"/>
      <c r="AH34" s="290" t="s">
        <v>1448</v>
      </c>
      <c r="AI34" s="289">
        <v>0</v>
      </c>
      <c r="AJ34" s="289">
        <v>0</v>
      </c>
    </row>
    <row r="35" spans="2:36">
      <c r="B35" s="290">
        <v>2111</v>
      </c>
      <c r="C35" s="294">
        <v>282795</v>
      </c>
      <c r="D35" s="290" t="s">
        <v>944</v>
      </c>
      <c r="E35" s="289" t="s">
        <v>4142</v>
      </c>
      <c r="F35" s="290"/>
      <c r="G35" s="289"/>
      <c r="H35" s="289" t="s">
        <v>4141</v>
      </c>
      <c r="I35" s="289"/>
      <c r="J35" s="289">
        <v>2018</v>
      </c>
      <c r="K35" s="289" t="s">
        <v>2038</v>
      </c>
      <c r="L35" s="289"/>
      <c r="M35" s="289" t="s">
        <v>2868</v>
      </c>
      <c r="N35" s="293">
        <v>44665</v>
      </c>
      <c r="O35" s="293">
        <v>44665</v>
      </c>
      <c r="P35" s="289" t="s">
        <v>4140</v>
      </c>
      <c r="Q35" s="290">
        <v>600</v>
      </c>
      <c r="R35" s="290">
        <v>14040</v>
      </c>
      <c r="S35" s="291">
        <v>95409.38</v>
      </c>
      <c r="T35" s="290">
        <v>14046</v>
      </c>
      <c r="U35" s="291">
        <v>5300.52</v>
      </c>
      <c r="V35" s="291">
        <f t="shared" si="0"/>
        <v>90108.86</v>
      </c>
      <c r="W35" s="292">
        <v>5300.52</v>
      </c>
      <c r="X35" s="290">
        <v>51260</v>
      </c>
      <c r="Y35" s="291">
        <v>1325.13</v>
      </c>
      <c r="Z35" s="289" t="s">
        <v>944</v>
      </c>
      <c r="AA35" s="289"/>
      <c r="AB35" s="289" t="s">
        <v>4139</v>
      </c>
      <c r="AC35" s="289"/>
      <c r="AD35" s="289" t="s">
        <v>1446</v>
      </c>
      <c r="AE35" s="289" t="s">
        <v>410</v>
      </c>
      <c r="AF35" s="290" t="s">
        <v>1447</v>
      </c>
      <c r="AG35" s="289"/>
      <c r="AH35" s="290" t="s">
        <v>1448</v>
      </c>
      <c r="AI35" s="289">
        <v>0</v>
      </c>
      <c r="AJ35" s="289">
        <v>0</v>
      </c>
    </row>
    <row r="36" spans="2:36">
      <c r="B36" s="290">
        <v>2111</v>
      </c>
      <c r="C36" s="294">
        <v>282687</v>
      </c>
      <c r="D36" s="290" t="s">
        <v>944</v>
      </c>
      <c r="E36" s="289" t="s">
        <v>4145</v>
      </c>
      <c r="F36" s="290">
        <v>24</v>
      </c>
      <c r="G36" s="289"/>
      <c r="H36" s="289"/>
      <c r="I36" s="289"/>
      <c r="J36" s="289">
        <v>0</v>
      </c>
      <c r="K36" s="289" t="s">
        <v>1509</v>
      </c>
      <c r="L36" s="289"/>
      <c r="M36" s="289" t="s">
        <v>4144</v>
      </c>
      <c r="N36" s="293">
        <v>44693</v>
      </c>
      <c r="O36" s="293">
        <v>44693</v>
      </c>
      <c r="P36" s="289" t="s">
        <v>4116</v>
      </c>
      <c r="Q36" s="290">
        <v>1200</v>
      </c>
      <c r="R36" s="290">
        <v>14050</v>
      </c>
      <c r="S36" s="291">
        <v>39634.42</v>
      </c>
      <c r="T36" s="290">
        <v>14056</v>
      </c>
      <c r="U36" s="291">
        <v>825.72</v>
      </c>
      <c r="V36" s="291">
        <f t="shared" si="0"/>
        <v>38808.699999999997</v>
      </c>
      <c r="W36" s="292">
        <v>825.72</v>
      </c>
      <c r="X36" s="290">
        <v>54260</v>
      </c>
      <c r="Y36" s="291">
        <v>275.24</v>
      </c>
      <c r="Z36" s="289" t="s">
        <v>944</v>
      </c>
      <c r="AA36" s="289"/>
      <c r="AB36" s="289" t="s">
        <v>4143</v>
      </c>
      <c r="AC36" s="289"/>
      <c r="AD36" s="289" t="s">
        <v>1446</v>
      </c>
      <c r="AE36" s="289" t="s">
        <v>410</v>
      </c>
      <c r="AF36" s="290" t="s">
        <v>1447</v>
      </c>
      <c r="AG36" s="289"/>
      <c r="AH36" s="290" t="s">
        <v>1448</v>
      </c>
      <c r="AI36" s="289">
        <v>0</v>
      </c>
      <c r="AJ36" s="289">
        <v>0</v>
      </c>
    </row>
    <row r="37" spans="2:36">
      <c r="B37" s="290">
        <v>2111</v>
      </c>
      <c r="C37" s="294">
        <v>282634</v>
      </c>
      <c r="D37" s="290" t="s">
        <v>944</v>
      </c>
      <c r="E37" s="289" t="s">
        <v>4147</v>
      </c>
      <c r="F37" s="290"/>
      <c r="G37" s="289"/>
      <c r="H37" s="289" t="s">
        <v>4131</v>
      </c>
      <c r="I37" s="289"/>
      <c r="J37" s="289">
        <v>2022</v>
      </c>
      <c r="K37" s="289" t="s">
        <v>4136</v>
      </c>
      <c r="L37" s="289" t="s">
        <v>4136</v>
      </c>
      <c r="M37" s="289" t="s">
        <v>2868</v>
      </c>
      <c r="N37" s="293">
        <v>44699</v>
      </c>
      <c r="O37" s="293">
        <v>44699</v>
      </c>
      <c r="P37" s="289" t="s">
        <v>4130</v>
      </c>
      <c r="Q37" s="290">
        <v>1000</v>
      </c>
      <c r="R37" s="290">
        <v>14040</v>
      </c>
      <c r="S37" s="291">
        <v>85390.76</v>
      </c>
      <c r="T37" s="290">
        <v>14046</v>
      </c>
      <c r="U37" s="291">
        <v>1423.18</v>
      </c>
      <c r="V37" s="291">
        <f t="shared" si="0"/>
        <v>83967.58</v>
      </c>
      <c r="W37" s="292">
        <v>1423.18</v>
      </c>
      <c r="X37" s="290">
        <v>51260</v>
      </c>
      <c r="Y37" s="291">
        <v>711.59</v>
      </c>
      <c r="Z37" s="289" t="s">
        <v>944</v>
      </c>
      <c r="AA37" s="289"/>
      <c r="AB37" s="289" t="s">
        <v>4146</v>
      </c>
      <c r="AC37" s="289"/>
      <c r="AD37" s="289" t="s">
        <v>1446</v>
      </c>
      <c r="AE37" s="289" t="s">
        <v>410</v>
      </c>
      <c r="AF37" s="290" t="s">
        <v>1447</v>
      </c>
      <c r="AG37" s="289"/>
      <c r="AH37" s="290" t="s">
        <v>1448</v>
      </c>
      <c r="AI37" s="289">
        <v>0</v>
      </c>
      <c r="AJ37" s="289">
        <v>0</v>
      </c>
    </row>
    <row r="38" spans="2:36" s="316" customFormat="1">
      <c r="B38" s="317">
        <v>2111</v>
      </c>
      <c r="C38" s="318">
        <v>282055</v>
      </c>
      <c r="D38" s="317">
        <v>282053</v>
      </c>
      <c r="E38" s="319" t="s">
        <v>4095</v>
      </c>
      <c r="F38" s="317">
        <v>1</v>
      </c>
      <c r="G38" s="319"/>
      <c r="H38" s="319"/>
      <c r="I38" s="319"/>
      <c r="J38" s="319">
        <v>0</v>
      </c>
      <c r="K38" s="319" t="s">
        <v>4097</v>
      </c>
      <c r="L38" s="319"/>
      <c r="M38" s="319"/>
      <c r="N38" s="320">
        <v>44677</v>
      </c>
      <c r="O38" s="320">
        <v>44677</v>
      </c>
      <c r="P38" s="319" t="s">
        <v>4050</v>
      </c>
      <c r="Q38" s="317">
        <v>300</v>
      </c>
      <c r="R38" s="317">
        <v>14110</v>
      </c>
      <c r="S38" s="321">
        <v>306.89</v>
      </c>
      <c r="T38" s="317">
        <v>14116</v>
      </c>
      <c r="U38" s="321">
        <v>25.58</v>
      </c>
      <c r="V38" s="321">
        <f t="shared" si="0"/>
        <v>281.31</v>
      </c>
      <c r="W38" s="322">
        <v>25.58</v>
      </c>
      <c r="X38" s="317">
        <v>70260</v>
      </c>
      <c r="Y38" s="321">
        <v>8.5299999999999994</v>
      </c>
      <c r="Z38" s="319" t="s">
        <v>944</v>
      </c>
      <c r="AA38" s="319"/>
      <c r="AB38" s="319">
        <v>4389819</v>
      </c>
      <c r="AC38" s="319"/>
      <c r="AD38" s="319" t="s">
        <v>1446</v>
      </c>
      <c r="AE38" s="319" t="s">
        <v>410</v>
      </c>
      <c r="AF38" s="317" t="s">
        <v>1447</v>
      </c>
      <c r="AG38" s="319"/>
      <c r="AH38" s="317" t="s">
        <v>1448</v>
      </c>
      <c r="AI38" s="319">
        <v>0</v>
      </c>
      <c r="AJ38" s="319">
        <v>0</v>
      </c>
    </row>
    <row r="39" spans="2:36">
      <c r="B39" s="290">
        <v>2111</v>
      </c>
      <c r="C39" s="294">
        <v>282054</v>
      </c>
      <c r="D39" s="290">
        <v>282053</v>
      </c>
      <c r="E39" s="289" t="s">
        <v>4095</v>
      </c>
      <c r="F39" s="290">
        <v>1</v>
      </c>
      <c r="G39" s="289"/>
      <c r="H39" s="289"/>
      <c r="I39" s="289"/>
      <c r="J39" s="289">
        <v>0</v>
      </c>
      <c r="K39" s="289" t="s">
        <v>4096</v>
      </c>
      <c r="L39" s="289"/>
      <c r="M39" s="289"/>
      <c r="N39" s="293">
        <v>44677</v>
      </c>
      <c r="O39" s="293">
        <v>44677</v>
      </c>
      <c r="P39" s="289" t="s">
        <v>4050</v>
      </c>
      <c r="Q39" s="290">
        <v>300</v>
      </c>
      <c r="R39" s="290">
        <v>14110</v>
      </c>
      <c r="S39" s="291">
        <v>305.22000000000003</v>
      </c>
      <c r="T39" s="290">
        <v>14116</v>
      </c>
      <c r="U39" s="291">
        <v>25.44</v>
      </c>
      <c r="V39" s="291">
        <f t="shared" si="0"/>
        <v>279.78000000000003</v>
      </c>
      <c r="W39" s="292">
        <v>25.44</v>
      </c>
      <c r="X39" s="290">
        <v>70260</v>
      </c>
      <c r="Y39" s="291">
        <v>8.48</v>
      </c>
      <c r="Z39" s="289" t="s">
        <v>944</v>
      </c>
      <c r="AA39" s="289"/>
      <c r="AB39" s="289">
        <v>4331440</v>
      </c>
      <c r="AC39" s="289"/>
      <c r="AD39" s="289" t="s">
        <v>1446</v>
      </c>
      <c r="AE39" s="289" t="s">
        <v>410</v>
      </c>
      <c r="AF39" s="290" t="s">
        <v>1447</v>
      </c>
      <c r="AG39" s="289"/>
      <c r="AH39" s="290" t="s">
        <v>1448</v>
      </c>
      <c r="AI39" s="289">
        <v>0</v>
      </c>
      <c r="AJ39" s="289">
        <v>0</v>
      </c>
    </row>
    <row r="40" spans="2:36">
      <c r="B40" s="290">
        <v>2111</v>
      </c>
      <c r="C40" s="294">
        <v>282053</v>
      </c>
      <c r="D40" s="290" t="s">
        <v>944</v>
      </c>
      <c r="E40" s="289" t="s">
        <v>4093</v>
      </c>
      <c r="F40" s="290">
        <v>1</v>
      </c>
      <c r="G40" s="289"/>
      <c r="H40" s="289"/>
      <c r="I40" s="289"/>
      <c r="J40" s="289">
        <v>0</v>
      </c>
      <c r="K40" s="289" t="s">
        <v>4046</v>
      </c>
      <c r="L40" s="289"/>
      <c r="M40" s="289"/>
      <c r="N40" s="293">
        <v>44677</v>
      </c>
      <c r="O40" s="293">
        <v>44677</v>
      </c>
      <c r="P40" s="289" t="s">
        <v>4047</v>
      </c>
      <c r="Q40" s="290">
        <v>300</v>
      </c>
      <c r="R40" s="290">
        <v>14110</v>
      </c>
      <c r="S40" s="291">
        <v>547.62</v>
      </c>
      <c r="T40" s="290">
        <v>14116</v>
      </c>
      <c r="U40" s="291">
        <v>45.63</v>
      </c>
      <c r="V40" s="291">
        <f t="shared" si="0"/>
        <v>501.99</v>
      </c>
      <c r="W40" s="292">
        <v>45.63</v>
      </c>
      <c r="X40" s="290">
        <v>70260</v>
      </c>
      <c r="Y40" s="291">
        <v>15.21</v>
      </c>
      <c r="Z40" s="289" t="s">
        <v>944</v>
      </c>
      <c r="AA40" s="289"/>
      <c r="AB40" s="289" t="s">
        <v>4094</v>
      </c>
      <c r="AC40" s="289"/>
      <c r="AD40" s="289" t="s">
        <v>1446</v>
      </c>
      <c r="AE40" s="289" t="s">
        <v>410</v>
      </c>
      <c r="AF40" s="290" t="s">
        <v>1447</v>
      </c>
      <c r="AG40" s="289"/>
      <c r="AH40" s="290" t="s">
        <v>1448</v>
      </c>
      <c r="AI40" s="289">
        <v>0</v>
      </c>
      <c r="AJ40" s="289">
        <v>0</v>
      </c>
    </row>
    <row r="41" spans="2:36">
      <c r="B41" s="290">
        <v>2111</v>
      </c>
      <c r="C41" s="294">
        <v>281814</v>
      </c>
      <c r="D41" s="290" t="s">
        <v>944</v>
      </c>
      <c r="E41" s="289" t="s">
        <v>4091</v>
      </c>
      <c r="F41" s="290">
        <v>0</v>
      </c>
      <c r="G41" s="289"/>
      <c r="H41" s="289" t="s">
        <v>4092</v>
      </c>
      <c r="I41" s="289"/>
      <c r="J41" s="289">
        <v>2001</v>
      </c>
      <c r="K41" s="289" t="s">
        <v>2325</v>
      </c>
      <c r="L41" s="289" t="s">
        <v>2326</v>
      </c>
      <c r="M41" s="289" t="s">
        <v>2021</v>
      </c>
      <c r="N41" s="293">
        <v>38167</v>
      </c>
      <c r="O41" s="293">
        <v>38167</v>
      </c>
      <c r="P41" s="289">
        <v>42150002</v>
      </c>
      <c r="Q41" s="290">
        <v>300</v>
      </c>
      <c r="R41" s="290">
        <v>14040</v>
      </c>
      <c r="S41" s="291">
        <v>18999.91</v>
      </c>
      <c r="T41" s="290">
        <v>14046</v>
      </c>
      <c r="U41" s="291">
        <v>18999.91</v>
      </c>
      <c r="V41" s="291">
        <f t="shared" si="0"/>
        <v>0</v>
      </c>
      <c r="W41" s="292">
        <v>0</v>
      </c>
      <c r="X41" s="290">
        <v>51260</v>
      </c>
      <c r="Y41" s="291">
        <v>0</v>
      </c>
      <c r="Z41" s="289" t="s">
        <v>944</v>
      </c>
      <c r="AA41" s="289">
        <v>0</v>
      </c>
      <c r="AB41" s="289">
        <v>62904</v>
      </c>
      <c r="AC41" s="289">
        <v>4</v>
      </c>
      <c r="AD41" s="289" t="s">
        <v>1446</v>
      </c>
      <c r="AE41" s="289" t="s">
        <v>410</v>
      </c>
      <c r="AF41" s="290" t="s">
        <v>1447</v>
      </c>
      <c r="AG41" s="295">
        <v>44681</v>
      </c>
      <c r="AH41" s="290" t="s">
        <v>1448</v>
      </c>
      <c r="AI41" s="289">
        <v>0</v>
      </c>
      <c r="AJ41" s="289">
        <v>18999.91</v>
      </c>
    </row>
    <row r="42" spans="2:36">
      <c r="B42" s="290">
        <v>2111</v>
      </c>
      <c r="C42" s="294">
        <v>281813</v>
      </c>
      <c r="D42" s="290" t="s">
        <v>944</v>
      </c>
      <c r="E42" s="289" t="s">
        <v>4088</v>
      </c>
      <c r="F42" s="290">
        <v>0</v>
      </c>
      <c r="G42" s="289"/>
      <c r="H42" s="289" t="s">
        <v>4089</v>
      </c>
      <c r="I42" s="289"/>
      <c r="J42" s="289">
        <v>2001</v>
      </c>
      <c r="K42" s="289" t="s">
        <v>3400</v>
      </c>
      <c r="L42" s="289" t="s">
        <v>2214</v>
      </c>
      <c r="M42" s="289" t="s">
        <v>2021</v>
      </c>
      <c r="N42" s="293">
        <v>38100</v>
      </c>
      <c r="O42" s="293">
        <v>38100</v>
      </c>
      <c r="P42" s="289">
        <v>42132002</v>
      </c>
      <c r="Q42" s="290">
        <v>300</v>
      </c>
      <c r="R42" s="290">
        <v>14040</v>
      </c>
      <c r="S42" s="291">
        <v>18996.36</v>
      </c>
      <c r="T42" s="290">
        <v>14046</v>
      </c>
      <c r="U42" s="291">
        <v>18996.36</v>
      </c>
      <c r="V42" s="291">
        <f t="shared" si="0"/>
        <v>0</v>
      </c>
      <c r="W42" s="292">
        <v>0</v>
      </c>
      <c r="X42" s="290">
        <v>51260</v>
      </c>
      <c r="Y42" s="291">
        <v>0</v>
      </c>
      <c r="Z42" s="289" t="s">
        <v>944</v>
      </c>
      <c r="AA42" s="289">
        <v>0</v>
      </c>
      <c r="AB42" s="289" t="s">
        <v>4090</v>
      </c>
      <c r="AC42" s="289">
        <v>105</v>
      </c>
      <c r="AD42" s="289" t="s">
        <v>1446</v>
      </c>
      <c r="AE42" s="289" t="s">
        <v>410</v>
      </c>
      <c r="AF42" s="290" t="s">
        <v>1447</v>
      </c>
      <c r="AG42" s="295">
        <v>44681</v>
      </c>
      <c r="AH42" s="290" t="s">
        <v>1448</v>
      </c>
      <c r="AI42" s="289">
        <v>0</v>
      </c>
      <c r="AJ42" s="289">
        <v>18996.36</v>
      </c>
    </row>
    <row r="43" spans="2:36">
      <c r="B43" s="290">
        <v>2111</v>
      </c>
      <c r="C43" s="294">
        <v>281812</v>
      </c>
      <c r="D43" s="290" t="s">
        <v>944</v>
      </c>
      <c r="E43" s="289" t="s">
        <v>584</v>
      </c>
      <c r="F43" s="290"/>
      <c r="G43" s="289"/>
      <c r="H43" s="289" t="s">
        <v>4086</v>
      </c>
      <c r="I43" s="289"/>
      <c r="J43" s="289">
        <v>2012</v>
      </c>
      <c r="K43" s="289" t="s">
        <v>4084</v>
      </c>
      <c r="L43" s="289" t="s">
        <v>2166</v>
      </c>
      <c r="M43" s="289" t="s">
        <v>2868</v>
      </c>
      <c r="N43" s="293">
        <v>42364</v>
      </c>
      <c r="O43" s="293">
        <v>42364</v>
      </c>
      <c r="P43" s="289" t="s">
        <v>4087</v>
      </c>
      <c r="Q43" s="290">
        <v>600</v>
      </c>
      <c r="R43" s="290">
        <v>14040</v>
      </c>
      <c r="S43" s="291">
        <v>37503.75</v>
      </c>
      <c r="T43" s="290">
        <v>14046</v>
      </c>
      <c r="U43" s="291">
        <v>37503.75</v>
      </c>
      <c r="V43" s="291">
        <f t="shared" si="0"/>
        <v>0</v>
      </c>
      <c r="W43" s="292">
        <v>0</v>
      </c>
      <c r="X43" s="290">
        <v>51260</v>
      </c>
      <c r="Y43" s="291">
        <v>0</v>
      </c>
      <c r="Z43" s="289" t="s">
        <v>944</v>
      </c>
      <c r="AA43" s="289"/>
      <c r="AB43" s="289">
        <v>615233</v>
      </c>
      <c r="AC43" s="289" t="s">
        <v>923</v>
      </c>
      <c r="AD43" s="289" t="s">
        <v>1446</v>
      </c>
      <c r="AE43" s="289" t="s">
        <v>410</v>
      </c>
      <c r="AF43" s="290" t="s">
        <v>1447</v>
      </c>
      <c r="AG43" s="295">
        <v>44681</v>
      </c>
      <c r="AH43" s="290" t="s">
        <v>1448</v>
      </c>
      <c r="AI43" s="289">
        <v>0</v>
      </c>
      <c r="AJ43" s="289">
        <v>37503.75</v>
      </c>
    </row>
    <row r="44" spans="2:36">
      <c r="B44" s="290">
        <v>2111</v>
      </c>
      <c r="C44" s="294">
        <v>281811</v>
      </c>
      <c r="D44" s="290" t="s">
        <v>944</v>
      </c>
      <c r="E44" s="289" t="s">
        <v>584</v>
      </c>
      <c r="F44" s="290"/>
      <c r="G44" s="289"/>
      <c r="H44" s="289" t="s">
        <v>4083</v>
      </c>
      <c r="I44" s="289"/>
      <c r="J44" s="289">
        <v>2012</v>
      </c>
      <c r="K44" s="289" t="s">
        <v>4084</v>
      </c>
      <c r="L44" s="289" t="s">
        <v>2166</v>
      </c>
      <c r="M44" s="289" t="s">
        <v>2868</v>
      </c>
      <c r="N44" s="293">
        <v>42363</v>
      </c>
      <c r="O44" s="293">
        <v>42363</v>
      </c>
      <c r="P44" s="289" t="s">
        <v>4085</v>
      </c>
      <c r="Q44" s="290">
        <v>600</v>
      </c>
      <c r="R44" s="290">
        <v>14040</v>
      </c>
      <c r="S44" s="291">
        <v>37777.5</v>
      </c>
      <c r="T44" s="290">
        <v>14046</v>
      </c>
      <c r="U44" s="291">
        <v>37777.5</v>
      </c>
      <c r="V44" s="291">
        <f t="shared" si="0"/>
        <v>0</v>
      </c>
      <c r="W44" s="292">
        <v>0</v>
      </c>
      <c r="X44" s="290">
        <v>51260</v>
      </c>
      <c r="Y44" s="291">
        <v>0</v>
      </c>
      <c r="Z44" s="289" t="s">
        <v>944</v>
      </c>
      <c r="AA44" s="289"/>
      <c r="AB44" s="289">
        <v>615232</v>
      </c>
      <c r="AC44" s="289" t="s">
        <v>924</v>
      </c>
      <c r="AD44" s="289" t="s">
        <v>1446</v>
      </c>
      <c r="AE44" s="289" t="s">
        <v>410</v>
      </c>
      <c r="AF44" s="290" t="s">
        <v>1447</v>
      </c>
      <c r="AG44" s="295">
        <v>44681</v>
      </c>
      <c r="AH44" s="290" t="s">
        <v>1448</v>
      </c>
      <c r="AI44" s="289">
        <v>0</v>
      </c>
      <c r="AJ44" s="289">
        <v>37777.5</v>
      </c>
    </row>
    <row r="45" spans="2:36">
      <c r="B45" s="290">
        <v>2111</v>
      </c>
      <c r="C45" s="294">
        <v>281810</v>
      </c>
      <c r="D45" s="290" t="s">
        <v>944</v>
      </c>
      <c r="E45" s="289" t="s">
        <v>4078</v>
      </c>
      <c r="F45" s="290">
        <v>0</v>
      </c>
      <c r="G45" s="289"/>
      <c r="H45" s="289" t="s">
        <v>4079</v>
      </c>
      <c r="I45" s="289"/>
      <c r="J45" s="289">
        <v>2006</v>
      </c>
      <c r="K45" s="289" t="s">
        <v>4080</v>
      </c>
      <c r="L45" s="289" t="s">
        <v>2326</v>
      </c>
      <c r="M45" s="289" t="s">
        <v>2021</v>
      </c>
      <c r="N45" s="293">
        <v>39680</v>
      </c>
      <c r="O45" s="293">
        <v>39680</v>
      </c>
      <c r="P45" s="289" t="s">
        <v>4081</v>
      </c>
      <c r="Q45" s="290">
        <v>300</v>
      </c>
      <c r="R45" s="290">
        <v>14040</v>
      </c>
      <c r="S45" s="291">
        <v>26404.82</v>
      </c>
      <c r="T45" s="290">
        <v>14046</v>
      </c>
      <c r="U45" s="291">
        <v>26404.82</v>
      </c>
      <c r="V45" s="291">
        <f t="shared" si="0"/>
        <v>0</v>
      </c>
      <c r="W45" s="292">
        <v>0</v>
      </c>
      <c r="X45" s="290">
        <v>51260</v>
      </c>
      <c r="Y45" s="291">
        <v>0</v>
      </c>
      <c r="Z45" s="289" t="s">
        <v>944</v>
      </c>
      <c r="AA45" s="289"/>
      <c r="AB45" s="289" t="s">
        <v>4082</v>
      </c>
      <c r="AC45" s="289">
        <v>44</v>
      </c>
      <c r="AD45" s="289" t="s">
        <v>1446</v>
      </c>
      <c r="AE45" s="289" t="s">
        <v>410</v>
      </c>
      <c r="AF45" s="290" t="s">
        <v>1447</v>
      </c>
      <c r="AG45" s="295">
        <v>44681</v>
      </c>
      <c r="AH45" s="290" t="s">
        <v>1448</v>
      </c>
      <c r="AI45" s="289">
        <v>0</v>
      </c>
      <c r="AJ45" s="289">
        <v>26404.82</v>
      </c>
    </row>
    <row r="46" spans="2:36">
      <c r="B46" s="290">
        <v>2111</v>
      </c>
      <c r="C46" s="294">
        <v>281809</v>
      </c>
      <c r="D46" s="290" t="s">
        <v>944</v>
      </c>
      <c r="E46" s="289" t="s">
        <v>4074</v>
      </c>
      <c r="F46" s="290">
        <v>0</v>
      </c>
      <c r="G46" s="289"/>
      <c r="H46" s="289" t="s">
        <v>4075</v>
      </c>
      <c r="I46" s="289"/>
      <c r="J46" s="289">
        <v>2010</v>
      </c>
      <c r="K46" s="289" t="s">
        <v>3400</v>
      </c>
      <c r="L46" s="289" t="s">
        <v>2326</v>
      </c>
      <c r="M46" s="289" t="s">
        <v>2021</v>
      </c>
      <c r="N46" s="293">
        <v>40238</v>
      </c>
      <c r="O46" s="293">
        <v>40238</v>
      </c>
      <c r="P46" s="289" t="s">
        <v>4076</v>
      </c>
      <c r="Q46" s="290">
        <v>500</v>
      </c>
      <c r="R46" s="290">
        <v>14040</v>
      </c>
      <c r="S46" s="291">
        <v>29841.64</v>
      </c>
      <c r="T46" s="290">
        <v>14046</v>
      </c>
      <c r="U46" s="291">
        <v>29841.64</v>
      </c>
      <c r="V46" s="291">
        <f t="shared" si="0"/>
        <v>0</v>
      </c>
      <c r="W46" s="292">
        <v>0</v>
      </c>
      <c r="X46" s="290">
        <v>51260</v>
      </c>
      <c r="Y46" s="291">
        <v>0</v>
      </c>
      <c r="Z46" s="289" t="s">
        <v>944</v>
      </c>
      <c r="AA46" s="289"/>
      <c r="AB46" s="289" t="s">
        <v>4077</v>
      </c>
      <c r="AC46" s="289">
        <v>7</v>
      </c>
      <c r="AD46" s="289" t="s">
        <v>1446</v>
      </c>
      <c r="AE46" s="289" t="s">
        <v>410</v>
      </c>
      <c r="AF46" s="290" t="s">
        <v>1447</v>
      </c>
      <c r="AG46" s="295">
        <v>44681</v>
      </c>
      <c r="AH46" s="290" t="s">
        <v>1448</v>
      </c>
      <c r="AI46" s="289">
        <v>0</v>
      </c>
      <c r="AJ46" s="289">
        <v>29841.64</v>
      </c>
    </row>
    <row r="47" spans="2:36">
      <c r="B47" s="290">
        <v>2111</v>
      </c>
      <c r="C47" s="294">
        <v>281620</v>
      </c>
      <c r="D47" s="290" t="s">
        <v>944</v>
      </c>
      <c r="E47" s="289" t="s">
        <v>4072</v>
      </c>
      <c r="F47" s="290">
        <v>3</v>
      </c>
      <c r="G47" s="289"/>
      <c r="H47" s="289"/>
      <c r="I47" s="289"/>
      <c r="J47" s="289">
        <v>0</v>
      </c>
      <c r="K47" s="289"/>
      <c r="L47" s="289" t="s">
        <v>4073</v>
      </c>
      <c r="M47" s="289" t="s">
        <v>4072</v>
      </c>
      <c r="N47" s="293">
        <v>44682</v>
      </c>
      <c r="O47" s="293">
        <v>44682</v>
      </c>
      <c r="P47" s="289"/>
      <c r="Q47" s="290">
        <v>0</v>
      </c>
      <c r="R47" s="290">
        <v>14050</v>
      </c>
      <c r="S47" s="291">
        <v>0</v>
      </c>
      <c r="T47" s="290">
        <v>14056</v>
      </c>
      <c r="U47" s="291">
        <v>0</v>
      </c>
      <c r="V47" s="291">
        <f t="shared" si="0"/>
        <v>0</v>
      </c>
      <c r="W47" s="292">
        <v>0</v>
      </c>
      <c r="X47" s="290">
        <v>54260</v>
      </c>
      <c r="Y47" s="291">
        <v>0</v>
      </c>
      <c r="Z47" s="289" t="s">
        <v>944</v>
      </c>
      <c r="AA47" s="289"/>
      <c r="AB47" s="289"/>
      <c r="AC47" s="289"/>
      <c r="AD47" s="289" t="s">
        <v>1446</v>
      </c>
      <c r="AE47" s="289" t="s">
        <v>410</v>
      </c>
      <c r="AF47" s="290" t="s">
        <v>1660</v>
      </c>
      <c r="AG47" s="289"/>
      <c r="AH47" s="290" t="s">
        <v>1448</v>
      </c>
      <c r="AI47" s="289">
        <v>0</v>
      </c>
      <c r="AJ47" s="289">
        <v>0</v>
      </c>
    </row>
    <row r="48" spans="2:36">
      <c r="B48" s="290">
        <v>2111</v>
      </c>
      <c r="C48" s="294">
        <v>281567</v>
      </c>
      <c r="D48" s="290" t="s">
        <v>944</v>
      </c>
      <c r="E48" s="289" t="s">
        <v>270</v>
      </c>
      <c r="F48" s="290">
        <v>5</v>
      </c>
      <c r="G48" s="289"/>
      <c r="H48" s="289"/>
      <c r="I48" s="289"/>
      <c r="J48" s="289">
        <v>0</v>
      </c>
      <c r="K48" s="289"/>
      <c r="L48" s="289"/>
      <c r="M48" s="289" t="s">
        <v>1662</v>
      </c>
      <c r="N48" s="293">
        <v>40360</v>
      </c>
      <c r="O48" s="293">
        <v>40360</v>
      </c>
      <c r="P48" s="289"/>
      <c r="Q48" s="290">
        <v>700</v>
      </c>
      <c r="R48" s="290">
        <v>14050</v>
      </c>
      <c r="S48" s="291">
        <v>681.8</v>
      </c>
      <c r="T48" s="290">
        <v>14056</v>
      </c>
      <c r="U48" s="291">
        <v>681.8</v>
      </c>
      <c r="V48" s="291">
        <f t="shared" si="0"/>
        <v>0</v>
      </c>
      <c r="W48" s="292">
        <v>0</v>
      </c>
      <c r="X48" s="290">
        <v>54260</v>
      </c>
      <c r="Y48" s="291">
        <v>0</v>
      </c>
      <c r="Z48" s="289" t="s">
        <v>410</v>
      </c>
      <c r="AA48" s="289" t="s">
        <v>4071</v>
      </c>
      <c r="AB48" s="289"/>
      <c r="AC48" s="289"/>
      <c r="AD48" s="289" t="s">
        <v>1446</v>
      </c>
      <c r="AE48" s="289" t="s">
        <v>410</v>
      </c>
      <c r="AF48" s="290" t="s">
        <v>1447</v>
      </c>
      <c r="AG48" s="295">
        <v>44681</v>
      </c>
      <c r="AH48" s="290" t="s">
        <v>1448</v>
      </c>
      <c r="AI48" s="289">
        <v>0</v>
      </c>
      <c r="AJ48" s="289">
        <v>681.8</v>
      </c>
    </row>
    <row r="49" spans="2:36">
      <c r="B49" s="290">
        <v>2111</v>
      </c>
      <c r="C49" s="294">
        <v>281477</v>
      </c>
      <c r="D49" s="290"/>
      <c r="E49" s="289" t="s">
        <v>4069</v>
      </c>
      <c r="F49" s="290">
        <v>2</v>
      </c>
      <c r="G49" s="289"/>
      <c r="H49" s="289"/>
      <c r="I49" s="289"/>
      <c r="J49" s="289">
        <v>0</v>
      </c>
      <c r="K49" s="289"/>
      <c r="L49" s="289"/>
      <c r="M49" s="289" t="s">
        <v>3499</v>
      </c>
      <c r="N49" s="293">
        <v>36404</v>
      </c>
      <c r="O49" s="293">
        <v>36404</v>
      </c>
      <c r="P49" s="289"/>
      <c r="Q49" s="290">
        <v>1000</v>
      </c>
      <c r="R49" s="290">
        <v>14050</v>
      </c>
      <c r="S49" s="291">
        <v>60</v>
      </c>
      <c r="T49" s="290">
        <v>14056</v>
      </c>
      <c r="U49" s="291">
        <v>60</v>
      </c>
      <c r="V49" s="291">
        <f t="shared" si="0"/>
        <v>0</v>
      </c>
      <c r="W49" s="292">
        <v>0</v>
      </c>
      <c r="X49" s="290">
        <v>54260</v>
      </c>
      <c r="Y49" s="291">
        <v>0</v>
      </c>
      <c r="Z49" s="289" t="s">
        <v>410</v>
      </c>
      <c r="AA49" s="289" t="s">
        <v>4070</v>
      </c>
      <c r="AB49" s="289"/>
      <c r="AC49" s="289"/>
      <c r="AD49" s="289" t="s">
        <v>1446</v>
      </c>
      <c r="AE49" s="289" t="s">
        <v>410</v>
      </c>
      <c r="AF49" s="290" t="s">
        <v>1447</v>
      </c>
      <c r="AG49" s="295">
        <v>44681</v>
      </c>
      <c r="AH49" s="290" t="s">
        <v>1448</v>
      </c>
      <c r="AI49" s="289">
        <v>0</v>
      </c>
      <c r="AJ49" s="289">
        <v>60</v>
      </c>
    </row>
    <row r="50" spans="2:36">
      <c r="B50" s="290">
        <v>2111</v>
      </c>
      <c r="C50" s="294">
        <v>281398</v>
      </c>
      <c r="D50" s="290" t="s">
        <v>944</v>
      </c>
      <c r="E50" s="289" t="s">
        <v>4068</v>
      </c>
      <c r="F50" s="290">
        <v>14</v>
      </c>
      <c r="G50" s="289"/>
      <c r="H50" s="289"/>
      <c r="I50" s="289"/>
      <c r="J50" s="289">
        <v>0</v>
      </c>
      <c r="K50" s="289"/>
      <c r="L50" s="289"/>
      <c r="M50" s="289" t="s">
        <v>1918</v>
      </c>
      <c r="N50" s="293">
        <v>42738</v>
      </c>
      <c r="O50" s="293"/>
      <c r="P50" s="289"/>
      <c r="Q50" s="290">
        <v>700</v>
      </c>
      <c r="R50" s="290">
        <v>14050</v>
      </c>
      <c r="S50" s="291">
        <v>2100</v>
      </c>
      <c r="T50" s="290">
        <v>14056</v>
      </c>
      <c r="U50" s="291">
        <v>1675</v>
      </c>
      <c r="V50" s="291">
        <f t="shared" si="0"/>
        <v>425</v>
      </c>
      <c r="W50" s="292">
        <v>75</v>
      </c>
      <c r="X50" s="290">
        <v>54260</v>
      </c>
      <c r="Y50" s="291">
        <v>25</v>
      </c>
      <c r="Z50" s="289" t="s">
        <v>410</v>
      </c>
      <c r="AA50" s="289" t="s">
        <v>4062</v>
      </c>
      <c r="AB50" s="289"/>
      <c r="AC50" s="289"/>
      <c r="AD50" s="289" t="s">
        <v>1446</v>
      </c>
      <c r="AE50" s="289" t="s">
        <v>410</v>
      </c>
      <c r="AF50" s="290" t="s">
        <v>1447</v>
      </c>
      <c r="AG50" s="295">
        <v>44681</v>
      </c>
      <c r="AH50" s="290" t="s">
        <v>1448</v>
      </c>
      <c r="AI50" s="289">
        <v>0</v>
      </c>
      <c r="AJ50" s="289">
        <v>1600</v>
      </c>
    </row>
    <row r="51" spans="2:36">
      <c r="B51" s="290">
        <v>2111</v>
      </c>
      <c r="C51" s="294">
        <v>281249</v>
      </c>
      <c r="D51" s="290" t="s">
        <v>944</v>
      </c>
      <c r="E51" s="289" t="s">
        <v>4066</v>
      </c>
      <c r="F51" s="290">
        <v>12</v>
      </c>
      <c r="G51" s="289"/>
      <c r="H51" s="289"/>
      <c r="I51" s="289"/>
      <c r="J51" s="289">
        <v>0</v>
      </c>
      <c r="K51" s="289"/>
      <c r="L51" s="289"/>
      <c r="M51" s="289" t="s">
        <v>1670</v>
      </c>
      <c r="N51" s="293">
        <v>43556</v>
      </c>
      <c r="O51" s="293">
        <v>43556</v>
      </c>
      <c r="P51" s="289"/>
      <c r="Q51" s="290">
        <v>700</v>
      </c>
      <c r="R51" s="290">
        <v>14050</v>
      </c>
      <c r="S51" s="291">
        <v>36000</v>
      </c>
      <c r="T51" s="290">
        <v>14056</v>
      </c>
      <c r="U51" s="291">
        <v>17142.849999999999</v>
      </c>
      <c r="V51" s="291">
        <f t="shared" si="0"/>
        <v>18857.150000000001</v>
      </c>
      <c r="W51" s="292">
        <v>1285.71</v>
      </c>
      <c r="X51" s="290">
        <v>54260</v>
      </c>
      <c r="Y51" s="291">
        <v>428.57</v>
      </c>
      <c r="Z51" s="289" t="s">
        <v>410</v>
      </c>
      <c r="AA51" s="289" t="s">
        <v>4067</v>
      </c>
      <c r="AB51" s="289"/>
      <c r="AC51" s="289">
        <v>14050</v>
      </c>
      <c r="AD51" s="289" t="s">
        <v>1446</v>
      </c>
      <c r="AE51" s="289" t="s">
        <v>410</v>
      </c>
      <c r="AF51" s="290" t="s">
        <v>1447</v>
      </c>
      <c r="AG51" s="295">
        <v>44681</v>
      </c>
      <c r="AH51" s="290" t="s">
        <v>1448</v>
      </c>
      <c r="AI51" s="289">
        <v>0</v>
      </c>
      <c r="AJ51" s="289">
        <v>15857.14</v>
      </c>
    </row>
    <row r="52" spans="2:36">
      <c r="B52" s="290">
        <v>2111</v>
      </c>
      <c r="C52" s="294">
        <v>281236</v>
      </c>
      <c r="D52" s="290" t="s">
        <v>944</v>
      </c>
      <c r="E52" s="289" t="s">
        <v>4064</v>
      </c>
      <c r="F52" s="290">
        <v>13</v>
      </c>
      <c r="G52" s="289"/>
      <c r="H52" s="289"/>
      <c r="I52" s="289"/>
      <c r="J52" s="289">
        <v>0</v>
      </c>
      <c r="K52" s="289">
        <v>0</v>
      </c>
      <c r="L52" s="289"/>
      <c r="M52" s="289" t="s">
        <v>1670</v>
      </c>
      <c r="N52" s="293">
        <v>43101</v>
      </c>
      <c r="O52" s="293">
        <v>43101</v>
      </c>
      <c r="P52" s="289"/>
      <c r="Q52" s="290">
        <v>700</v>
      </c>
      <c r="R52" s="290">
        <v>14050</v>
      </c>
      <c r="S52" s="291">
        <v>30500</v>
      </c>
      <c r="T52" s="290">
        <v>14056</v>
      </c>
      <c r="U52" s="291">
        <v>19970.240000000002</v>
      </c>
      <c r="V52" s="291">
        <f t="shared" si="0"/>
        <v>10529.759999999998</v>
      </c>
      <c r="W52" s="292">
        <v>1089.29</v>
      </c>
      <c r="X52" s="290">
        <v>54260</v>
      </c>
      <c r="Y52" s="291">
        <v>363.1</v>
      </c>
      <c r="Z52" s="289" t="s">
        <v>410</v>
      </c>
      <c r="AA52" s="289" t="s">
        <v>4065</v>
      </c>
      <c r="AB52" s="289"/>
      <c r="AC52" s="289"/>
      <c r="AD52" s="289" t="s">
        <v>1446</v>
      </c>
      <c r="AE52" s="289" t="s">
        <v>410</v>
      </c>
      <c r="AF52" s="290" t="s">
        <v>1447</v>
      </c>
      <c r="AG52" s="295">
        <v>44681</v>
      </c>
      <c r="AH52" s="290" t="s">
        <v>1448</v>
      </c>
      <c r="AI52" s="289">
        <v>0</v>
      </c>
      <c r="AJ52" s="289">
        <v>18880.95</v>
      </c>
    </row>
    <row r="53" spans="2:36">
      <c r="B53" s="290">
        <v>2111</v>
      </c>
      <c r="C53" s="294">
        <v>281229</v>
      </c>
      <c r="D53" s="290" t="s">
        <v>944</v>
      </c>
      <c r="E53" s="289" t="s">
        <v>4063</v>
      </c>
      <c r="F53" s="290">
        <v>8</v>
      </c>
      <c r="G53" s="289"/>
      <c r="H53" s="289"/>
      <c r="I53" s="289"/>
      <c r="J53" s="289">
        <v>0</v>
      </c>
      <c r="K53" s="289"/>
      <c r="L53" s="289"/>
      <c r="M53" s="289" t="s">
        <v>1670</v>
      </c>
      <c r="N53" s="293">
        <v>42522</v>
      </c>
      <c r="O53" s="293">
        <v>42522</v>
      </c>
      <c r="P53" s="289"/>
      <c r="Q53" s="290">
        <v>700</v>
      </c>
      <c r="R53" s="290">
        <v>14050</v>
      </c>
      <c r="S53" s="291">
        <v>12000</v>
      </c>
      <c r="T53" s="290">
        <v>14056</v>
      </c>
      <c r="U53" s="291">
        <v>10571.43</v>
      </c>
      <c r="V53" s="291">
        <f t="shared" si="0"/>
        <v>1428.5699999999997</v>
      </c>
      <c r="W53" s="292">
        <v>428.57</v>
      </c>
      <c r="X53" s="290">
        <v>54260</v>
      </c>
      <c r="Y53" s="291">
        <v>142.85</v>
      </c>
      <c r="Z53" s="289" t="s">
        <v>944</v>
      </c>
      <c r="AA53" s="289"/>
      <c r="AB53" s="289"/>
      <c r="AC53" s="289"/>
      <c r="AD53" s="289" t="s">
        <v>1446</v>
      </c>
      <c r="AE53" s="289" t="s">
        <v>410</v>
      </c>
      <c r="AF53" s="290" t="s">
        <v>1447</v>
      </c>
      <c r="AG53" s="295">
        <v>44681</v>
      </c>
      <c r="AH53" s="290" t="s">
        <v>1448</v>
      </c>
      <c r="AI53" s="289">
        <v>0</v>
      </c>
      <c r="AJ53" s="289">
        <v>10142.86</v>
      </c>
    </row>
    <row r="54" spans="2:36">
      <c r="B54" s="290">
        <v>2111</v>
      </c>
      <c r="C54" s="294">
        <v>281223</v>
      </c>
      <c r="D54" s="290" t="s">
        <v>944</v>
      </c>
      <c r="E54" s="289" t="s">
        <v>4061</v>
      </c>
      <c r="F54" s="290">
        <v>20</v>
      </c>
      <c r="G54" s="289"/>
      <c r="H54" s="289"/>
      <c r="I54" s="289"/>
      <c r="J54" s="289">
        <v>0</v>
      </c>
      <c r="K54" s="289"/>
      <c r="L54" s="289"/>
      <c r="M54" s="289" t="s">
        <v>1670</v>
      </c>
      <c r="N54" s="293">
        <v>42738</v>
      </c>
      <c r="O54" s="293">
        <v>42738</v>
      </c>
      <c r="P54" s="289"/>
      <c r="Q54" s="290">
        <v>700</v>
      </c>
      <c r="R54" s="290">
        <v>14050</v>
      </c>
      <c r="S54" s="291">
        <v>50000</v>
      </c>
      <c r="T54" s="290">
        <v>14056</v>
      </c>
      <c r="U54" s="291">
        <v>39880.959999999999</v>
      </c>
      <c r="V54" s="291">
        <f t="shared" si="0"/>
        <v>10119.040000000001</v>
      </c>
      <c r="W54" s="292">
        <v>1785.72</v>
      </c>
      <c r="X54" s="290">
        <v>54260</v>
      </c>
      <c r="Y54" s="291">
        <v>595.24</v>
      </c>
      <c r="Z54" s="289" t="s">
        <v>410</v>
      </c>
      <c r="AA54" s="289" t="s">
        <v>4062</v>
      </c>
      <c r="AB54" s="289"/>
      <c r="AC54" s="289"/>
      <c r="AD54" s="289" t="s">
        <v>1446</v>
      </c>
      <c r="AE54" s="289" t="s">
        <v>410</v>
      </c>
      <c r="AF54" s="290" t="s">
        <v>1447</v>
      </c>
      <c r="AG54" s="295">
        <v>44681</v>
      </c>
      <c r="AH54" s="290" t="s">
        <v>1448</v>
      </c>
      <c r="AI54" s="289">
        <v>0</v>
      </c>
      <c r="AJ54" s="289">
        <v>38095.24</v>
      </c>
    </row>
    <row r="55" spans="2:36">
      <c r="B55" s="290">
        <v>2111</v>
      </c>
      <c r="C55" s="294">
        <v>281175</v>
      </c>
      <c r="D55" s="290" t="s">
        <v>944</v>
      </c>
      <c r="E55" s="289" t="s">
        <v>4060</v>
      </c>
      <c r="F55" s="290">
        <v>8</v>
      </c>
      <c r="G55" s="289"/>
      <c r="H55" s="289"/>
      <c r="I55" s="289"/>
      <c r="J55" s="289">
        <v>0</v>
      </c>
      <c r="K55" s="289"/>
      <c r="L55" s="289"/>
      <c r="M55" s="289" t="s">
        <v>1670</v>
      </c>
      <c r="N55" s="293">
        <v>41207</v>
      </c>
      <c r="O55" s="293">
        <v>41207</v>
      </c>
      <c r="P55" s="289"/>
      <c r="Q55" s="290">
        <v>1000</v>
      </c>
      <c r="R55" s="290">
        <v>14050</v>
      </c>
      <c r="S55" s="291">
        <v>138250</v>
      </c>
      <c r="T55" s="290">
        <v>14056</v>
      </c>
      <c r="U55" s="291">
        <v>134793.76</v>
      </c>
      <c r="V55" s="291">
        <f t="shared" si="0"/>
        <v>3456.2399999999907</v>
      </c>
      <c r="W55" s="292">
        <v>3456.25</v>
      </c>
      <c r="X55" s="290">
        <v>54260</v>
      </c>
      <c r="Y55" s="291">
        <v>1152.08</v>
      </c>
      <c r="Z55" s="289" t="s">
        <v>410</v>
      </c>
      <c r="AA55" s="289" t="s">
        <v>4059</v>
      </c>
      <c r="AB55" s="289"/>
      <c r="AC55" s="289"/>
      <c r="AD55" s="289" t="s">
        <v>1446</v>
      </c>
      <c r="AE55" s="289" t="s">
        <v>410</v>
      </c>
      <c r="AF55" s="290" t="s">
        <v>1447</v>
      </c>
      <c r="AG55" s="295">
        <v>44681</v>
      </c>
      <c r="AH55" s="290" t="s">
        <v>1448</v>
      </c>
      <c r="AI55" s="289">
        <v>0</v>
      </c>
      <c r="AJ55" s="289">
        <v>131337.51</v>
      </c>
    </row>
    <row r="56" spans="2:36">
      <c r="B56" s="290">
        <v>2111</v>
      </c>
      <c r="C56" s="294">
        <v>281173</v>
      </c>
      <c r="D56" s="290" t="s">
        <v>944</v>
      </c>
      <c r="E56" s="289" t="s">
        <v>4058</v>
      </c>
      <c r="F56" s="290">
        <v>1</v>
      </c>
      <c r="G56" s="289"/>
      <c r="H56" s="289"/>
      <c r="I56" s="289"/>
      <c r="J56" s="289">
        <v>0</v>
      </c>
      <c r="K56" s="289"/>
      <c r="L56" s="289"/>
      <c r="M56" s="289" t="s">
        <v>1670</v>
      </c>
      <c r="N56" s="293">
        <v>41207</v>
      </c>
      <c r="O56" s="293">
        <v>41207</v>
      </c>
      <c r="P56" s="289"/>
      <c r="Q56" s="290">
        <v>1000</v>
      </c>
      <c r="R56" s="290">
        <v>14050</v>
      </c>
      <c r="S56" s="291">
        <v>12666.67</v>
      </c>
      <c r="T56" s="290">
        <v>14056</v>
      </c>
      <c r="U56" s="291">
        <v>12350.01</v>
      </c>
      <c r="V56" s="291">
        <f t="shared" si="0"/>
        <v>316.65999999999985</v>
      </c>
      <c r="W56" s="292">
        <v>316.67</v>
      </c>
      <c r="X56" s="290">
        <v>54260</v>
      </c>
      <c r="Y56" s="291">
        <v>105.55</v>
      </c>
      <c r="Z56" s="289" t="s">
        <v>410</v>
      </c>
      <c r="AA56" s="289" t="s">
        <v>4059</v>
      </c>
      <c r="AB56" s="289"/>
      <c r="AC56" s="289"/>
      <c r="AD56" s="289" t="s">
        <v>1446</v>
      </c>
      <c r="AE56" s="289" t="s">
        <v>410</v>
      </c>
      <c r="AF56" s="290" t="s">
        <v>1447</v>
      </c>
      <c r="AG56" s="295">
        <v>44681</v>
      </c>
      <c r="AH56" s="290" t="s">
        <v>1448</v>
      </c>
      <c r="AI56" s="289">
        <v>0</v>
      </c>
      <c r="AJ56" s="289">
        <v>12033.34</v>
      </c>
    </row>
    <row r="57" spans="2:36">
      <c r="B57" s="290">
        <v>2111</v>
      </c>
      <c r="C57" s="294">
        <v>281056</v>
      </c>
      <c r="D57" s="290" t="s">
        <v>944</v>
      </c>
      <c r="E57" s="289" t="s">
        <v>4055</v>
      </c>
      <c r="F57" s="290">
        <v>34</v>
      </c>
      <c r="G57" s="289"/>
      <c r="H57" s="289"/>
      <c r="I57" s="289"/>
      <c r="J57" s="289">
        <v>0</v>
      </c>
      <c r="K57" s="289"/>
      <c r="L57" s="289"/>
      <c r="M57" s="289" t="s">
        <v>1667</v>
      </c>
      <c r="N57" s="293">
        <v>36647</v>
      </c>
      <c r="O57" s="293">
        <v>36647</v>
      </c>
      <c r="P57" s="289"/>
      <c r="Q57" s="290">
        <v>500</v>
      </c>
      <c r="R57" s="290">
        <v>14050</v>
      </c>
      <c r="S57" s="291">
        <v>12706.48</v>
      </c>
      <c r="T57" s="290">
        <v>14056</v>
      </c>
      <c r="U57" s="291">
        <v>12706.48</v>
      </c>
      <c r="V57" s="291">
        <f t="shared" si="0"/>
        <v>0</v>
      </c>
      <c r="W57" s="292">
        <v>0</v>
      </c>
      <c r="X57" s="290">
        <v>54260</v>
      </c>
      <c r="Y57" s="291">
        <v>0</v>
      </c>
      <c r="Z57" s="289" t="s">
        <v>4056</v>
      </c>
      <c r="AA57" s="289" t="s">
        <v>4057</v>
      </c>
      <c r="AB57" s="289"/>
      <c r="AC57" s="289"/>
      <c r="AD57" s="289" t="s">
        <v>1446</v>
      </c>
      <c r="AE57" s="289" t="s">
        <v>410</v>
      </c>
      <c r="AF57" s="290" t="s">
        <v>1447</v>
      </c>
      <c r="AG57" s="295">
        <v>44681</v>
      </c>
      <c r="AH57" s="290" t="s">
        <v>1448</v>
      </c>
      <c r="AI57" s="289">
        <v>0</v>
      </c>
      <c r="AJ57" s="289">
        <v>12706.48</v>
      </c>
    </row>
    <row r="58" spans="2:36">
      <c r="B58" s="290">
        <v>2111</v>
      </c>
      <c r="C58" s="294">
        <v>280497</v>
      </c>
      <c r="D58" s="290" t="s">
        <v>944</v>
      </c>
      <c r="E58" s="289" t="s">
        <v>1664</v>
      </c>
      <c r="F58" s="290">
        <v>4</v>
      </c>
      <c r="G58" s="289"/>
      <c r="H58" s="289"/>
      <c r="I58" s="289"/>
      <c r="J58" s="289">
        <v>0</v>
      </c>
      <c r="K58" s="289"/>
      <c r="L58" s="289" t="s">
        <v>4054</v>
      </c>
      <c r="M58" s="289" t="s">
        <v>1664</v>
      </c>
      <c r="N58" s="293">
        <v>44682</v>
      </c>
      <c r="O58" s="293">
        <v>44682</v>
      </c>
      <c r="P58" s="289"/>
      <c r="Q58" s="290">
        <v>0</v>
      </c>
      <c r="R58" s="290">
        <v>14050</v>
      </c>
      <c r="S58" s="291">
        <v>0</v>
      </c>
      <c r="T58" s="290">
        <v>14056</v>
      </c>
      <c r="U58" s="291">
        <v>0</v>
      </c>
      <c r="V58" s="291">
        <f t="shared" si="0"/>
        <v>0</v>
      </c>
      <c r="W58" s="292">
        <v>0</v>
      </c>
      <c r="X58" s="290">
        <v>54260</v>
      </c>
      <c r="Y58" s="291">
        <v>0</v>
      </c>
      <c r="Z58" s="289" t="s">
        <v>944</v>
      </c>
      <c r="AA58" s="289"/>
      <c r="AB58" s="289"/>
      <c r="AC58" s="289"/>
      <c r="AD58" s="289" t="s">
        <v>1446</v>
      </c>
      <c r="AE58" s="289" t="s">
        <v>410</v>
      </c>
      <c r="AF58" s="290" t="s">
        <v>1660</v>
      </c>
      <c r="AG58" s="289"/>
      <c r="AH58" s="290" t="s">
        <v>1448</v>
      </c>
      <c r="AI58" s="289">
        <v>0</v>
      </c>
      <c r="AJ58" s="289">
        <v>0</v>
      </c>
    </row>
    <row r="59" spans="2:36">
      <c r="B59" s="290">
        <v>2111</v>
      </c>
      <c r="C59" s="294">
        <v>279876</v>
      </c>
      <c r="D59" s="290" t="s">
        <v>944</v>
      </c>
      <c r="E59" s="289" t="s">
        <v>4053</v>
      </c>
      <c r="F59" s="290">
        <v>16</v>
      </c>
      <c r="G59" s="289"/>
      <c r="H59" s="289"/>
      <c r="I59" s="289"/>
      <c r="J59" s="289">
        <v>0</v>
      </c>
      <c r="K59" s="289"/>
      <c r="L59" s="289"/>
      <c r="M59" s="289" t="s">
        <v>1918</v>
      </c>
      <c r="N59" s="293">
        <v>39755</v>
      </c>
      <c r="O59" s="293">
        <v>39755</v>
      </c>
      <c r="P59" s="289"/>
      <c r="Q59" s="290">
        <v>1200</v>
      </c>
      <c r="R59" s="290">
        <v>14050</v>
      </c>
      <c r="S59" s="291">
        <v>1519.98</v>
      </c>
      <c r="T59" s="290">
        <v>14056</v>
      </c>
      <c r="U59" s="291">
        <v>1519.98</v>
      </c>
      <c r="V59" s="291">
        <f t="shared" si="0"/>
        <v>0</v>
      </c>
      <c r="W59" s="292">
        <v>0</v>
      </c>
      <c r="X59" s="290">
        <v>54260</v>
      </c>
      <c r="Y59" s="291">
        <v>0</v>
      </c>
      <c r="Z59" s="289" t="s">
        <v>410</v>
      </c>
      <c r="AA59" s="289" t="s">
        <v>1828</v>
      </c>
      <c r="AB59" s="289"/>
      <c r="AC59" s="289"/>
      <c r="AD59" s="289" t="s">
        <v>1446</v>
      </c>
      <c r="AE59" s="289" t="s">
        <v>410</v>
      </c>
      <c r="AF59" s="290" t="s">
        <v>1447</v>
      </c>
      <c r="AG59" s="295">
        <v>44681</v>
      </c>
      <c r="AH59" s="290" t="s">
        <v>1448</v>
      </c>
      <c r="AI59" s="289">
        <v>0</v>
      </c>
      <c r="AJ59" s="289">
        <v>1519.98</v>
      </c>
    </row>
    <row r="60" spans="2:36">
      <c r="B60" s="290">
        <v>2111</v>
      </c>
      <c r="C60" s="294">
        <v>279852</v>
      </c>
      <c r="D60" s="290" t="s">
        <v>944</v>
      </c>
      <c r="E60" s="289" t="s">
        <v>2997</v>
      </c>
      <c r="F60" s="290">
        <v>12</v>
      </c>
      <c r="G60" s="289"/>
      <c r="H60" s="289"/>
      <c r="I60" s="289"/>
      <c r="J60" s="289">
        <v>0</v>
      </c>
      <c r="K60" s="289"/>
      <c r="L60" s="289"/>
      <c r="M60" s="289" t="s">
        <v>1662</v>
      </c>
      <c r="N60" s="293">
        <v>39755</v>
      </c>
      <c r="O60" s="293">
        <v>39755</v>
      </c>
      <c r="P60" s="289"/>
      <c r="Q60" s="290">
        <v>700</v>
      </c>
      <c r="R60" s="290">
        <v>14050</v>
      </c>
      <c r="S60" s="291">
        <v>4776.6099999999997</v>
      </c>
      <c r="T60" s="290">
        <v>14056</v>
      </c>
      <c r="U60" s="291">
        <v>4776.6099999999997</v>
      </c>
      <c r="V60" s="291">
        <f t="shared" si="0"/>
        <v>0</v>
      </c>
      <c r="W60" s="292">
        <v>0</v>
      </c>
      <c r="X60" s="290">
        <v>54260</v>
      </c>
      <c r="Y60" s="291">
        <v>0</v>
      </c>
      <c r="Z60" s="289" t="s">
        <v>410</v>
      </c>
      <c r="AA60" s="289" t="s">
        <v>1828</v>
      </c>
      <c r="AB60" s="289"/>
      <c r="AC60" s="289"/>
      <c r="AD60" s="289" t="s">
        <v>1446</v>
      </c>
      <c r="AE60" s="289" t="s">
        <v>410</v>
      </c>
      <c r="AF60" s="290" t="s">
        <v>1447</v>
      </c>
      <c r="AG60" s="295">
        <v>44681</v>
      </c>
      <c r="AH60" s="290" t="s">
        <v>1448</v>
      </c>
      <c r="AI60" s="289">
        <v>0</v>
      </c>
      <c r="AJ60" s="289">
        <v>4776.6099999999997</v>
      </c>
    </row>
    <row r="61" spans="2:36">
      <c r="B61" s="290">
        <v>2111</v>
      </c>
      <c r="C61" s="294">
        <v>278661</v>
      </c>
      <c r="D61" s="290" t="s">
        <v>944</v>
      </c>
      <c r="E61" s="289" t="s">
        <v>4052</v>
      </c>
      <c r="F61" s="290">
        <v>1</v>
      </c>
      <c r="G61" s="289"/>
      <c r="H61" s="289"/>
      <c r="I61" s="289"/>
      <c r="J61" s="289">
        <v>0</v>
      </c>
      <c r="K61" s="289" t="s">
        <v>4046</v>
      </c>
      <c r="L61" s="289"/>
      <c r="M61" s="289"/>
      <c r="N61" s="293">
        <v>44677</v>
      </c>
      <c r="O61" s="293">
        <v>44677</v>
      </c>
      <c r="P61" s="289" t="s">
        <v>4050</v>
      </c>
      <c r="Q61" s="290">
        <v>300</v>
      </c>
      <c r="R61" s="290">
        <v>14110</v>
      </c>
      <c r="S61" s="291">
        <v>1440.22</v>
      </c>
      <c r="T61" s="290">
        <v>14116</v>
      </c>
      <c r="U61" s="291">
        <v>120.02</v>
      </c>
      <c r="V61" s="291">
        <f t="shared" si="0"/>
        <v>1320.2</v>
      </c>
      <c r="W61" s="292">
        <v>120.02</v>
      </c>
      <c r="X61" s="290">
        <v>70260</v>
      </c>
      <c r="Y61" s="291">
        <v>40.01</v>
      </c>
      <c r="Z61" s="289" t="s">
        <v>944</v>
      </c>
      <c r="AA61" s="289"/>
      <c r="AB61" s="289" t="s">
        <v>4048</v>
      </c>
      <c r="AC61" s="289"/>
      <c r="AD61" s="289" t="s">
        <v>1446</v>
      </c>
      <c r="AE61" s="289" t="s">
        <v>410</v>
      </c>
      <c r="AF61" s="290" t="s">
        <v>1447</v>
      </c>
      <c r="AG61" s="289"/>
      <c r="AH61" s="290" t="s">
        <v>1448</v>
      </c>
      <c r="AI61" s="289">
        <v>0</v>
      </c>
      <c r="AJ61" s="289">
        <v>0</v>
      </c>
    </row>
    <row r="62" spans="2:36">
      <c r="B62" s="290">
        <v>2111</v>
      </c>
      <c r="C62" s="294">
        <v>278660</v>
      </c>
      <c r="D62" s="290" t="s">
        <v>944</v>
      </c>
      <c r="E62" s="289" t="s">
        <v>4051</v>
      </c>
      <c r="F62" s="290">
        <v>1</v>
      </c>
      <c r="G62" s="289"/>
      <c r="H62" s="289"/>
      <c r="I62" s="289"/>
      <c r="J62" s="289">
        <v>0</v>
      </c>
      <c r="K62" s="289" t="s">
        <v>4046</v>
      </c>
      <c r="L62" s="289"/>
      <c r="M62" s="289"/>
      <c r="N62" s="293">
        <v>44677</v>
      </c>
      <c r="O62" s="293">
        <v>44677</v>
      </c>
      <c r="P62" s="289" t="s">
        <v>4050</v>
      </c>
      <c r="Q62" s="290">
        <v>300</v>
      </c>
      <c r="R62" s="290">
        <v>14110</v>
      </c>
      <c r="S62" s="291">
        <v>1440.22</v>
      </c>
      <c r="T62" s="290">
        <v>14116</v>
      </c>
      <c r="U62" s="291">
        <v>120.02</v>
      </c>
      <c r="V62" s="291">
        <f t="shared" si="0"/>
        <v>1320.2</v>
      </c>
      <c r="W62" s="292">
        <v>120.02</v>
      </c>
      <c r="X62" s="290">
        <v>70260</v>
      </c>
      <c r="Y62" s="291">
        <v>40.01</v>
      </c>
      <c r="Z62" s="289" t="s">
        <v>944</v>
      </c>
      <c r="AA62" s="289"/>
      <c r="AB62" s="289" t="s">
        <v>4048</v>
      </c>
      <c r="AC62" s="289"/>
      <c r="AD62" s="289" t="s">
        <v>1446</v>
      </c>
      <c r="AE62" s="289" t="s">
        <v>410</v>
      </c>
      <c r="AF62" s="290" t="s">
        <v>1447</v>
      </c>
      <c r="AG62" s="289"/>
      <c r="AH62" s="290" t="s">
        <v>1448</v>
      </c>
      <c r="AI62" s="289">
        <v>0</v>
      </c>
      <c r="AJ62" s="289">
        <v>0</v>
      </c>
    </row>
    <row r="63" spans="2:36">
      <c r="B63" s="290">
        <v>2111</v>
      </c>
      <c r="C63" s="294">
        <v>278659</v>
      </c>
      <c r="D63" s="290" t="s">
        <v>944</v>
      </c>
      <c r="E63" s="289" t="s">
        <v>4049</v>
      </c>
      <c r="F63" s="290">
        <v>1</v>
      </c>
      <c r="G63" s="289"/>
      <c r="H63" s="289"/>
      <c r="I63" s="289"/>
      <c r="J63" s="289">
        <v>0</v>
      </c>
      <c r="K63" s="289" t="s">
        <v>4046</v>
      </c>
      <c r="L63" s="289"/>
      <c r="M63" s="289"/>
      <c r="N63" s="293">
        <v>44677</v>
      </c>
      <c r="O63" s="293">
        <v>44677</v>
      </c>
      <c r="P63" s="289" t="s">
        <v>4050</v>
      </c>
      <c r="Q63" s="290">
        <v>300</v>
      </c>
      <c r="R63" s="290">
        <v>14110</v>
      </c>
      <c r="S63" s="291">
        <v>1440.22</v>
      </c>
      <c r="T63" s="290">
        <v>14116</v>
      </c>
      <c r="U63" s="291">
        <v>120.02</v>
      </c>
      <c r="V63" s="291">
        <f t="shared" si="0"/>
        <v>1320.2</v>
      </c>
      <c r="W63" s="292">
        <v>120.02</v>
      </c>
      <c r="X63" s="290">
        <v>70260</v>
      </c>
      <c r="Y63" s="291">
        <v>40.01</v>
      </c>
      <c r="Z63" s="289" t="s">
        <v>944</v>
      </c>
      <c r="AA63" s="289"/>
      <c r="AB63" s="289" t="s">
        <v>4048</v>
      </c>
      <c r="AC63" s="289"/>
      <c r="AD63" s="289" t="s">
        <v>1446</v>
      </c>
      <c r="AE63" s="289" t="s">
        <v>410</v>
      </c>
      <c r="AF63" s="290" t="s">
        <v>1447</v>
      </c>
      <c r="AG63" s="289"/>
      <c r="AH63" s="290" t="s">
        <v>1448</v>
      </c>
      <c r="AI63" s="289">
        <v>0</v>
      </c>
      <c r="AJ63" s="289">
        <v>0</v>
      </c>
    </row>
    <row r="64" spans="2:36">
      <c r="B64" s="290">
        <v>2111</v>
      </c>
      <c r="C64" s="294">
        <v>278658</v>
      </c>
      <c r="D64" s="290" t="s">
        <v>944</v>
      </c>
      <c r="E64" s="289" t="s">
        <v>4045</v>
      </c>
      <c r="F64" s="290">
        <v>1</v>
      </c>
      <c r="G64" s="289"/>
      <c r="H64" s="289"/>
      <c r="I64" s="289"/>
      <c r="J64" s="289">
        <v>0</v>
      </c>
      <c r="K64" s="289" t="s">
        <v>4046</v>
      </c>
      <c r="L64" s="289"/>
      <c r="M64" s="289"/>
      <c r="N64" s="293">
        <v>44677</v>
      </c>
      <c r="O64" s="293">
        <v>44677</v>
      </c>
      <c r="P64" s="289" t="s">
        <v>4047</v>
      </c>
      <c r="Q64" s="290">
        <v>300</v>
      </c>
      <c r="R64" s="290">
        <v>14110</v>
      </c>
      <c r="S64" s="291">
        <v>871.38</v>
      </c>
      <c r="T64" s="290">
        <v>14116</v>
      </c>
      <c r="U64" s="291">
        <v>72.62</v>
      </c>
      <c r="V64" s="291">
        <f t="shared" si="0"/>
        <v>798.76</v>
      </c>
      <c r="W64" s="292">
        <v>72.62</v>
      </c>
      <c r="X64" s="290">
        <v>70260</v>
      </c>
      <c r="Y64" s="291">
        <v>24.21</v>
      </c>
      <c r="Z64" s="289" t="s">
        <v>944</v>
      </c>
      <c r="AA64" s="289"/>
      <c r="AB64" s="289" t="s">
        <v>4048</v>
      </c>
      <c r="AC64" s="289"/>
      <c r="AD64" s="289" t="s">
        <v>1446</v>
      </c>
      <c r="AE64" s="289" t="s">
        <v>410</v>
      </c>
      <c r="AF64" s="290" t="s">
        <v>1447</v>
      </c>
      <c r="AG64" s="289"/>
      <c r="AH64" s="290" t="s">
        <v>1448</v>
      </c>
      <c r="AI64" s="289">
        <v>0</v>
      </c>
      <c r="AJ64" s="289">
        <v>0</v>
      </c>
    </row>
    <row r="65" spans="2:36">
      <c r="B65" s="290">
        <v>2111</v>
      </c>
      <c r="C65" s="294">
        <v>278098</v>
      </c>
      <c r="D65" s="290" t="s">
        <v>944</v>
      </c>
      <c r="E65" s="289" t="s">
        <v>1277</v>
      </c>
      <c r="F65" s="290">
        <v>0</v>
      </c>
      <c r="G65" s="289"/>
      <c r="H65" s="289" t="s">
        <v>4043</v>
      </c>
      <c r="I65" s="289"/>
      <c r="J65" s="289">
        <v>2003</v>
      </c>
      <c r="K65" s="289" t="s">
        <v>2378</v>
      </c>
      <c r="L65" s="289" t="s">
        <v>1522</v>
      </c>
      <c r="M65" s="289" t="s">
        <v>1746</v>
      </c>
      <c r="N65" s="293">
        <v>37712</v>
      </c>
      <c r="O65" s="293">
        <v>37652</v>
      </c>
      <c r="P65" s="289" t="s">
        <v>4044</v>
      </c>
      <c r="Q65" s="290">
        <v>1000</v>
      </c>
      <c r="R65" s="290">
        <v>14040</v>
      </c>
      <c r="S65" s="291">
        <v>123452.02</v>
      </c>
      <c r="T65" s="290">
        <v>14046</v>
      </c>
      <c r="U65" s="291">
        <v>123452.02</v>
      </c>
      <c r="V65" s="291">
        <f t="shared" si="0"/>
        <v>0</v>
      </c>
      <c r="W65" s="292">
        <v>0</v>
      </c>
      <c r="X65" s="290">
        <v>51260</v>
      </c>
      <c r="Y65" s="291">
        <v>0</v>
      </c>
      <c r="Z65" s="289" t="s">
        <v>944</v>
      </c>
      <c r="AA65" s="289"/>
      <c r="AB65" s="289">
        <v>342421</v>
      </c>
      <c r="AC65" s="289">
        <v>603</v>
      </c>
      <c r="AD65" s="289" t="s">
        <v>1446</v>
      </c>
      <c r="AE65" s="289" t="s">
        <v>410</v>
      </c>
      <c r="AF65" s="290" t="s">
        <v>1447</v>
      </c>
      <c r="AG65" s="295">
        <v>44651</v>
      </c>
      <c r="AH65" s="290" t="s">
        <v>1448</v>
      </c>
      <c r="AI65" s="289">
        <v>0</v>
      </c>
      <c r="AJ65" s="289">
        <v>123452.02</v>
      </c>
    </row>
    <row r="66" spans="2:36">
      <c r="B66" s="290">
        <v>2111</v>
      </c>
      <c r="C66" s="294">
        <v>278097</v>
      </c>
      <c r="D66" s="290" t="s">
        <v>944</v>
      </c>
      <c r="E66" s="289" t="s">
        <v>1277</v>
      </c>
      <c r="F66" s="290">
        <v>0</v>
      </c>
      <c r="G66" s="289"/>
      <c r="H66" s="289" t="s">
        <v>4041</v>
      </c>
      <c r="I66" s="289"/>
      <c r="J66" s="289">
        <v>2003</v>
      </c>
      <c r="K66" s="289" t="s">
        <v>2378</v>
      </c>
      <c r="L66" s="289" t="s">
        <v>1522</v>
      </c>
      <c r="M66" s="289" t="s">
        <v>1746</v>
      </c>
      <c r="N66" s="293">
        <v>37712</v>
      </c>
      <c r="O66" s="293">
        <v>37652</v>
      </c>
      <c r="P66" s="289" t="s">
        <v>4042</v>
      </c>
      <c r="Q66" s="290">
        <v>1000</v>
      </c>
      <c r="R66" s="290">
        <v>14040</v>
      </c>
      <c r="S66" s="291">
        <v>123452.02</v>
      </c>
      <c r="T66" s="290">
        <v>14046</v>
      </c>
      <c r="U66" s="291">
        <v>123452.02</v>
      </c>
      <c r="V66" s="291">
        <f t="shared" si="0"/>
        <v>0</v>
      </c>
      <c r="W66" s="292">
        <v>0</v>
      </c>
      <c r="X66" s="290">
        <v>51260</v>
      </c>
      <c r="Y66" s="291">
        <v>0</v>
      </c>
      <c r="Z66" s="289" t="s">
        <v>944</v>
      </c>
      <c r="AA66" s="289"/>
      <c r="AB66" s="289">
        <v>342441</v>
      </c>
      <c r="AC66" s="289">
        <v>605</v>
      </c>
      <c r="AD66" s="289" t="s">
        <v>1446</v>
      </c>
      <c r="AE66" s="289" t="s">
        <v>410</v>
      </c>
      <c r="AF66" s="290" t="s">
        <v>1447</v>
      </c>
      <c r="AG66" s="295">
        <v>44651</v>
      </c>
      <c r="AH66" s="290" t="s">
        <v>1448</v>
      </c>
      <c r="AI66" s="289">
        <v>0</v>
      </c>
      <c r="AJ66" s="289">
        <v>123452.02</v>
      </c>
    </row>
    <row r="67" spans="2:36">
      <c r="B67" s="290">
        <v>2111</v>
      </c>
      <c r="C67" s="294">
        <v>278096</v>
      </c>
      <c r="D67" s="290">
        <v>278095</v>
      </c>
      <c r="E67" s="289" t="s">
        <v>389</v>
      </c>
      <c r="F67" s="290"/>
      <c r="G67" s="289"/>
      <c r="H67" s="289"/>
      <c r="I67" s="289"/>
      <c r="J67" s="289">
        <v>0</v>
      </c>
      <c r="K67" s="289" t="s">
        <v>2698</v>
      </c>
      <c r="L67" s="289"/>
      <c r="M67" s="289" t="s">
        <v>1586</v>
      </c>
      <c r="N67" s="293">
        <v>42460</v>
      </c>
      <c r="O67" s="293">
        <v>42460</v>
      </c>
      <c r="P67" s="289" t="s">
        <v>4040</v>
      </c>
      <c r="Q67" s="290">
        <v>300</v>
      </c>
      <c r="R67" s="290">
        <v>14040</v>
      </c>
      <c r="S67" s="291">
        <v>20149.599999999999</v>
      </c>
      <c r="T67" s="290">
        <v>14046</v>
      </c>
      <c r="U67" s="291">
        <v>20149.599999999999</v>
      </c>
      <c r="V67" s="291">
        <f t="shared" si="0"/>
        <v>0</v>
      </c>
      <c r="W67" s="292">
        <v>0</v>
      </c>
      <c r="X67" s="290">
        <v>51260</v>
      </c>
      <c r="Y67" s="291">
        <v>0</v>
      </c>
      <c r="Z67" s="289" t="s">
        <v>944</v>
      </c>
      <c r="AA67" s="289"/>
      <c r="AB67" s="289">
        <v>135309</v>
      </c>
      <c r="AC67" s="289"/>
      <c r="AD67" s="289" t="s">
        <v>1446</v>
      </c>
      <c r="AE67" s="289" t="s">
        <v>410</v>
      </c>
      <c r="AF67" s="290" t="s">
        <v>1447</v>
      </c>
      <c r="AG67" s="295">
        <v>44651</v>
      </c>
      <c r="AH67" s="290" t="s">
        <v>1448</v>
      </c>
      <c r="AI67" s="289">
        <v>0</v>
      </c>
      <c r="AJ67" s="289">
        <v>20149.599999999999</v>
      </c>
    </row>
    <row r="68" spans="2:36">
      <c r="B68" s="290">
        <v>2111</v>
      </c>
      <c r="C68" s="294">
        <v>278095</v>
      </c>
      <c r="D68" s="290" t="s">
        <v>944</v>
      </c>
      <c r="E68" s="289" t="s">
        <v>1277</v>
      </c>
      <c r="F68" s="290">
        <v>0</v>
      </c>
      <c r="G68" s="289"/>
      <c r="H68" s="289" t="s">
        <v>4038</v>
      </c>
      <c r="I68" s="289"/>
      <c r="J68" s="289">
        <v>2003</v>
      </c>
      <c r="K68" s="289" t="s">
        <v>2378</v>
      </c>
      <c r="L68" s="289" t="s">
        <v>1522</v>
      </c>
      <c r="M68" s="289" t="s">
        <v>1746</v>
      </c>
      <c r="N68" s="293">
        <v>37712</v>
      </c>
      <c r="O68" s="293">
        <v>37652</v>
      </c>
      <c r="P68" s="289" t="s">
        <v>4039</v>
      </c>
      <c r="Q68" s="290">
        <v>1000</v>
      </c>
      <c r="R68" s="290">
        <v>14040</v>
      </c>
      <c r="S68" s="291">
        <v>123452.02</v>
      </c>
      <c r="T68" s="290">
        <v>14046</v>
      </c>
      <c r="U68" s="291">
        <v>123452.02</v>
      </c>
      <c r="V68" s="291">
        <f t="shared" si="0"/>
        <v>0</v>
      </c>
      <c r="W68" s="292">
        <v>0</v>
      </c>
      <c r="X68" s="290">
        <v>51260</v>
      </c>
      <c r="Y68" s="291">
        <v>0</v>
      </c>
      <c r="Z68" s="289" t="s">
        <v>944</v>
      </c>
      <c r="AA68" s="289"/>
      <c r="AB68" s="289">
        <v>342461</v>
      </c>
      <c r="AC68" s="289">
        <v>607</v>
      </c>
      <c r="AD68" s="289" t="s">
        <v>1446</v>
      </c>
      <c r="AE68" s="289" t="s">
        <v>410</v>
      </c>
      <c r="AF68" s="290" t="s">
        <v>1447</v>
      </c>
      <c r="AG68" s="295">
        <v>44651</v>
      </c>
      <c r="AH68" s="290" t="s">
        <v>1448</v>
      </c>
      <c r="AI68" s="289">
        <v>0</v>
      </c>
      <c r="AJ68" s="289">
        <v>123452.02</v>
      </c>
    </row>
    <row r="69" spans="2:36">
      <c r="B69" s="290">
        <v>2111</v>
      </c>
      <c r="C69" s="294">
        <v>278094</v>
      </c>
      <c r="D69" s="290" t="s">
        <v>944</v>
      </c>
      <c r="E69" s="289" t="s">
        <v>4034</v>
      </c>
      <c r="F69" s="290">
        <v>0</v>
      </c>
      <c r="G69" s="289"/>
      <c r="H69" s="289" t="s">
        <v>4035</v>
      </c>
      <c r="I69" s="289" t="s">
        <v>4036</v>
      </c>
      <c r="J69" s="289">
        <v>2003</v>
      </c>
      <c r="K69" s="289" t="s">
        <v>2214</v>
      </c>
      <c r="L69" s="289" t="s">
        <v>2214</v>
      </c>
      <c r="M69" s="289" t="s">
        <v>1582</v>
      </c>
      <c r="N69" s="293">
        <v>38292</v>
      </c>
      <c r="O69" s="293">
        <v>38292</v>
      </c>
      <c r="P69" s="289"/>
      <c r="Q69" s="290">
        <v>800</v>
      </c>
      <c r="R69" s="290">
        <v>14030</v>
      </c>
      <c r="S69" s="291">
        <v>20000</v>
      </c>
      <c r="T69" s="290">
        <v>14036</v>
      </c>
      <c r="U69" s="291">
        <v>20000</v>
      </c>
      <c r="V69" s="291">
        <f t="shared" si="0"/>
        <v>0</v>
      </c>
      <c r="W69" s="292">
        <v>0</v>
      </c>
      <c r="X69" s="290">
        <v>51260</v>
      </c>
      <c r="Y69" s="291">
        <v>0</v>
      </c>
      <c r="Z69" s="289" t="s">
        <v>410</v>
      </c>
      <c r="AA69" s="289" t="s">
        <v>4037</v>
      </c>
      <c r="AB69" s="289"/>
      <c r="AC69" s="289" t="s">
        <v>974</v>
      </c>
      <c r="AD69" s="289" t="s">
        <v>1446</v>
      </c>
      <c r="AE69" s="289" t="s">
        <v>410</v>
      </c>
      <c r="AF69" s="290" t="s">
        <v>1447</v>
      </c>
      <c r="AG69" s="295">
        <v>44651</v>
      </c>
      <c r="AH69" s="290" t="s">
        <v>1448</v>
      </c>
      <c r="AI69" s="289">
        <v>0</v>
      </c>
      <c r="AJ69" s="289">
        <v>20000</v>
      </c>
    </row>
    <row r="70" spans="2:36">
      <c r="B70" s="290">
        <v>2111</v>
      </c>
      <c r="C70" s="294">
        <v>278093</v>
      </c>
      <c r="D70" s="290" t="s">
        <v>944</v>
      </c>
      <c r="E70" s="289" t="s">
        <v>1243</v>
      </c>
      <c r="F70" s="290"/>
      <c r="G70" s="289"/>
      <c r="H70" s="289" t="s">
        <v>4032</v>
      </c>
      <c r="I70" s="289"/>
      <c r="J70" s="289">
        <v>2016</v>
      </c>
      <c r="K70" s="289"/>
      <c r="L70" s="289" t="s">
        <v>4024</v>
      </c>
      <c r="M70" s="289" t="s">
        <v>1495</v>
      </c>
      <c r="N70" s="293">
        <v>42369</v>
      </c>
      <c r="O70" s="293">
        <v>42369</v>
      </c>
      <c r="P70" s="289" t="s">
        <v>4033</v>
      </c>
      <c r="Q70" s="290">
        <v>1000</v>
      </c>
      <c r="R70" s="290">
        <v>14040</v>
      </c>
      <c r="S70" s="291">
        <v>325201.34000000003</v>
      </c>
      <c r="T70" s="290">
        <v>14046</v>
      </c>
      <c r="U70" s="291">
        <v>214090.86</v>
      </c>
      <c r="V70" s="291">
        <f t="shared" si="0"/>
        <v>111110.48000000004</v>
      </c>
      <c r="W70" s="292">
        <v>10840.05</v>
      </c>
      <c r="X70" s="290">
        <v>51260</v>
      </c>
      <c r="Y70" s="291">
        <v>2710.01</v>
      </c>
      <c r="Z70" s="289" t="s">
        <v>944</v>
      </c>
      <c r="AA70" s="289"/>
      <c r="AB70" s="289">
        <v>4102156</v>
      </c>
      <c r="AC70" s="289">
        <v>835</v>
      </c>
      <c r="AD70" s="289" t="s">
        <v>1446</v>
      </c>
      <c r="AE70" s="289" t="s">
        <v>410</v>
      </c>
      <c r="AF70" s="290" t="s">
        <v>1447</v>
      </c>
      <c r="AG70" s="295">
        <v>44651</v>
      </c>
      <c r="AH70" s="290" t="s">
        <v>1448</v>
      </c>
      <c r="AI70" s="289">
        <v>0</v>
      </c>
      <c r="AJ70" s="289">
        <v>203250.81</v>
      </c>
    </row>
    <row r="71" spans="2:36">
      <c r="B71" s="290">
        <v>2111</v>
      </c>
      <c r="C71" s="294">
        <v>278092</v>
      </c>
      <c r="D71" s="290" t="s">
        <v>944</v>
      </c>
      <c r="E71" s="289" t="s">
        <v>1243</v>
      </c>
      <c r="F71" s="290"/>
      <c r="G71" s="289"/>
      <c r="H71" s="289" t="s">
        <v>4030</v>
      </c>
      <c r="I71" s="289"/>
      <c r="J71" s="289">
        <v>2016</v>
      </c>
      <c r="K71" s="289"/>
      <c r="L71" s="289" t="s">
        <v>4024</v>
      </c>
      <c r="M71" s="289" t="s">
        <v>1495</v>
      </c>
      <c r="N71" s="293">
        <v>42369</v>
      </c>
      <c r="O71" s="293">
        <v>42369</v>
      </c>
      <c r="P71" s="289" t="s">
        <v>4031</v>
      </c>
      <c r="Q71" s="290">
        <v>900</v>
      </c>
      <c r="R71" s="290">
        <v>14040</v>
      </c>
      <c r="S71" s="291">
        <v>325233.34000000003</v>
      </c>
      <c r="T71" s="290">
        <v>14046</v>
      </c>
      <c r="U71" s="291">
        <v>237902.18</v>
      </c>
      <c r="V71" s="291">
        <f t="shared" si="0"/>
        <v>87331.160000000033</v>
      </c>
      <c r="W71" s="292">
        <v>12045.68</v>
      </c>
      <c r="X71" s="290">
        <v>51260</v>
      </c>
      <c r="Y71" s="291">
        <v>3011.42</v>
      </c>
      <c r="Z71" s="289" t="s">
        <v>944</v>
      </c>
      <c r="AA71" s="289"/>
      <c r="AB71" s="289">
        <v>4102155</v>
      </c>
      <c r="AC71" s="289">
        <v>834</v>
      </c>
      <c r="AD71" s="289" t="s">
        <v>1446</v>
      </c>
      <c r="AE71" s="289" t="s">
        <v>410</v>
      </c>
      <c r="AF71" s="290" t="s">
        <v>1447</v>
      </c>
      <c r="AG71" s="295">
        <v>44651</v>
      </c>
      <c r="AH71" s="290" t="s">
        <v>1448</v>
      </c>
      <c r="AI71" s="289">
        <v>0</v>
      </c>
      <c r="AJ71" s="289">
        <v>225856.5</v>
      </c>
    </row>
    <row r="72" spans="2:36">
      <c r="B72" s="290">
        <v>2111</v>
      </c>
      <c r="C72" s="294">
        <v>278091</v>
      </c>
      <c r="D72" s="290" t="s">
        <v>944</v>
      </c>
      <c r="E72" s="289" t="s">
        <v>1243</v>
      </c>
      <c r="F72" s="290"/>
      <c r="G72" s="289"/>
      <c r="H72" s="289" t="s">
        <v>4027</v>
      </c>
      <c r="I72" s="289"/>
      <c r="J72" s="289">
        <v>2016</v>
      </c>
      <c r="K72" s="289"/>
      <c r="L72" s="289"/>
      <c r="M72" s="289" t="s">
        <v>1495</v>
      </c>
      <c r="N72" s="293">
        <v>42312</v>
      </c>
      <c r="O72" s="293">
        <v>42312</v>
      </c>
      <c r="P72" s="289" t="s">
        <v>4028</v>
      </c>
      <c r="Q72" s="290">
        <v>1000</v>
      </c>
      <c r="R72" s="290">
        <v>14040</v>
      </c>
      <c r="S72" s="291">
        <v>326369.78000000003</v>
      </c>
      <c r="T72" s="290">
        <v>14046</v>
      </c>
      <c r="U72" s="291">
        <v>220299.62</v>
      </c>
      <c r="V72" s="291">
        <f t="shared" si="0"/>
        <v>106070.16000000003</v>
      </c>
      <c r="W72" s="292">
        <v>10878.99</v>
      </c>
      <c r="X72" s="290">
        <v>51260</v>
      </c>
      <c r="Y72" s="291">
        <v>2719.75</v>
      </c>
      <c r="Z72" s="289" t="s">
        <v>944</v>
      </c>
      <c r="AA72" s="289"/>
      <c r="AB72" s="289" t="s">
        <v>4029</v>
      </c>
      <c r="AC72" s="289">
        <v>833</v>
      </c>
      <c r="AD72" s="289" t="s">
        <v>1446</v>
      </c>
      <c r="AE72" s="289" t="s">
        <v>410</v>
      </c>
      <c r="AF72" s="290" t="s">
        <v>1447</v>
      </c>
      <c r="AG72" s="295">
        <v>44651</v>
      </c>
      <c r="AH72" s="290" t="s">
        <v>1448</v>
      </c>
      <c r="AI72" s="289">
        <v>0</v>
      </c>
      <c r="AJ72" s="289">
        <v>209420.63</v>
      </c>
    </row>
    <row r="73" spans="2:36">
      <c r="B73" s="290">
        <v>2111</v>
      </c>
      <c r="C73" s="294">
        <v>278090</v>
      </c>
      <c r="D73" s="290" t="s">
        <v>944</v>
      </c>
      <c r="E73" s="289" t="s">
        <v>1243</v>
      </c>
      <c r="F73" s="290"/>
      <c r="G73" s="289"/>
      <c r="H73" s="289" t="s">
        <v>4023</v>
      </c>
      <c r="I73" s="289"/>
      <c r="J73" s="289">
        <v>2015</v>
      </c>
      <c r="K73" s="289"/>
      <c r="L73" s="289" t="s">
        <v>4024</v>
      </c>
      <c r="M73" s="289" t="s">
        <v>1495</v>
      </c>
      <c r="N73" s="293">
        <v>42125</v>
      </c>
      <c r="O73" s="293">
        <v>42125</v>
      </c>
      <c r="P73" s="289" t="s">
        <v>4025</v>
      </c>
      <c r="Q73" s="290">
        <v>1000</v>
      </c>
      <c r="R73" s="290">
        <v>14040</v>
      </c>
      <c r="S73" s="291">
        <v>329760.08</v>
      </c>
      <c r="T73" s="290">
        <v>14046</v>
      </c>
      <c r="U73" s="291">
        <v>239076.08</v>
      </c>
      <c r="V73" s="291">
        <f t="shared" si="0"/>
        <v>90684.000000000029</v>
      </c>
      <c r="W73" s="292">
        <v>10992.01</v>
      </c>
      <c r="X73" s="290">
        <v>51260</v>
      </c>
      <c r="Y73" s="291">
        <v>2748</v>
      </c>
      <c r="Z73" s="289" t="s">
        <v>944</v>
      </c>
      <c r="AA73" s="289"/>
      <c r="AB73" s="289" t="s">
        <v>4026</v>
      </c>
      <c r="AC73" s="289">
        <v>830</v>
      </c>
      <c r="AD73" s="289" t="s">
        <v>1446</v>
      </c>
      <c r="AE73" s="289" t="s">
        <v>410</v>
      </c>
      <c r="AF73" s="290" t="s">
        <v>1447</v>
      </c>
      <c r="AG73" s="295">
        <v>44651</v>
      </c>
      <c r="AH73" s="290" t="s">
        <v>1448</v>
      </c>
      <c r="AI73" s="289">
        <v>0</v>
      </c>
      <c r="AJ73" s="289">
        <v>228084.07</v>
      </c>
    </row>
    <row r="74" spans="2:36">
      <c r="B74" s="290">
        <v>2111</v>
      </c>
      <c r="C74" s="294">
        <v>278089</v>
      </c>
      <c r="D74" s="290" t="s">
        <v>944</v>
      </c>
      <c r="E74" s="289" t="s">
        <v>4019</v>
      </c>
      <c r="F74" s="290">
        <v>0</v>
      </c>
      <c r="G74" s="289"/>
      <c r="H74" s="289" t="s">
        <v>4020</v>
      </c>
      <c r="I74" s="289" t="s">
        <v>4021</v>
      </c>
      <c r="J74" s="289">
        <v>1994</v>
      </c>
      <c r="K74" s="289" t="s">
        <v>4022</v>
      </c>
      <c r="L74" s="289" t="s">
        <v>2214</v>
      </c>
      <c r="M74" s="289" t="s">
        <v>1582</v>
      </c>
      <c r="N74" s="293">
        <v>39755</v>
      </c>
      <c r="O74" s="293">
        <v>39755</v>
      </c>
      <c r="P74" s="289"/>
      <c r="Q74" s="290">
        <v>300</v>
      </c>
      <c r="R74" s="290">
        <v>14040</v>
      </c>
      <c r="S74" s="291">
        <v>2500</v>
      </c>
      <c r="T74" s="290">
        <v>14046</v>
      </c>
      <c r="U74" s="291">
        <v>2500</v>
      </c>
      <c r="V74" s="291">
        <f t="shared" si="0"/>
        <v>0</v>
      </c>
      <c r="W74" s="292">
        <v>0</v>
      </c>
      <c r="X74" s="290">
        <v>51260</v>
      </c>
      <c r="Y74" s="291">
        <v>0</v>
      </c>
      <c r="Z74" s="289" t="s">
        <v>410</v>
      </c>
      <c r="AA74" s="289" t="s">
        <v>1828</v>
      </c>
      <c r="AB74" s="289"/>
      <c r="AC74" s="289">
        <v>8404</v>
      </c>
      <c r="AD74" s="289" t="s">
        <v>1446</v>
      </c>
      <c r="AE74" s="289" t="s">
        <v>410</v>
      </c>
      <c r="AF74" s="290" t="s">
        <v>1447</v>
      </c>
      <c r="AG74" s="295">
        <v>44651</v>
      </c>
      <c r="AH74" s="290" t="s">
        <v>1448</v>
      </c>
      <c r="AI74" s="289">
        <v>0</v>
      </c>
      <c r="AJ74" s="289">
        <v>2500</v>
      </c>
    </row>
    <row r="75" spans="2:36">
      <c r="B75" s="290">
        <v>2111</v>
      </c>
      <c r="C75" s="294">
        <v>278088</v>
      </c>
      <c r="D75" s="290" t="s">
        <v>944</v>
      </c>
      <c r="E75" s="289" t="s">
        <v>1242</v>
      </c>
      <c r="F75" s="290">
        <v>0</v>
      </c>
      <c r="G75" s="289"/>
      <c r="H75" s="289" t="s">
        <v>4017</v>
      </c>
      <c r="I75" s="289"/>
      <c r="J75" s="289">
        <v>2015</v>
      </c>
      <c r="K75" s="289"/>
      <c r="L75" s="289" t="s">
        <v>1483</v>
      </c>
      <c r="M75" s="289" t="s">
        <v>1495</v>
      </c>
      <c r="N75" s="293">
        <v>41942</v>
      </c>
      <c r="O75" s="293">
        <v>41942</v>
      </c>
      <c r="P75" s="289" t="s">
        <v>4018</v>
      </c>
      <c r="Q75" s="290">
        <v>1000</v>
      </c>
      <c r="R75" s="290">
        <v>14040</v>
      </c>
      <c r="S75" s="291">
        <v>325021.65999999997</v>
      </c>
      <c r="T75" s="290">
        <v>14046</v>
      </c>
      <c r="U75" s="291">
        <v>251891.82</v>
      </c>
      <c r="V75" s="291">
        <f t="shared" si="0"/>
        <v>73129.839999999967</v>
      </c>
      <c r="W75" s="292">
        <v>10834.06</v>
      </c>
      <c r="X75" s="290">
        <v>51260</v>
      </c>
      <c r="Y75" s="291">
        <v>2708.51</v>
      </c>
      <c r="Z75" s="289" t="s">
        <v>944</v>
      </c>
      <c r="AA75" s="289"/>
      <c r="AB75" s="289"/>
      <c r="AC75" s="289">
        <v>827</v>
      </c>
      <c r="AD75" s="289" t="s">
        <v>1446</v>
      </c>
      <c r="AE75" s="289" t="s">
        <v>410</v>
      </c>
      <c r="AF75" s="290" t="s">
        <v>1447</v>
      </c>
      <c r="AG75" s="295">
        <v>44651</v>
      </c>
      <c r="AH75" s="290" t="s">
        <v>1448</v>
      </c>
      <c r="AI75" s="289">
        <v>0</v>
      </c>
      <c r="AJ75" s="289">
        <v>241057.76</v>
      </c>
    </row>
    <row r="76" spans="2:36">
      <c r="B76" s="290">
        <v>2111</v>
      </c>
      <c r="C76" s="294">
        <v>278087</v>
      </c>
      <c r="D76" s="290" t="s">
        <v>944</v>
      </c>
      <c r="E76" s="289" t="s">
        <v>1242</v>
      </c>
      <c r="F76" s="290">
        <v>0</v>
      </c>
      <c r="G76" s="289"/>
      <c r="H76" s="289" t="s">
        <v>4015</v>
      </c>
      <c r="I76" s="289"/>
      <c r="J76" s="289">
        <v>2015</v>
      </c>
      <c r="K76" s="289"/>
      <c r="L76" s="289" t="s">
        <v>1483</v>
      </c>
      <c r="M76" s="289" t="s">
        <v>1495</v>
      </c>
      <c r="N76" s="293">
        <v>41881</v>
      </c>
      <c r="O76" s="293">
        <v>41881</v>
      </c>
      <c r="P76" s="289" t="s">
        <v>4016</v>
      </c>
      <c r="Q76" s="290">
        <v>1000</v>
      </c>
      <c r="R76" s="290">
        <v>14040</v>
      </c>
      <c r="S76" s="291">
        <v>325021.64</v>
      </c>
      <c r="T76" s="290">
        <v>14046</v>
      </c>
      <c r="U76" s="291">
        <v>257308.77</v>
      </c>
      <c r="V76" s="291">
        <f t="shared" si="0"/>
        <v>67712.870000000024</v>
      </c>
      <c r="W76" s="292">
        <v>10834.05</v>
      </c>
      <c r="X76" s="290">
        <v>51260</v>
      </c>
      <c r="Y76" s="291">
        <v>2708.51</v>
      </c>
      <c r="Z76" s="289" t="s">
        <v>944</v>
      </c>
      <c r="AA76" s="289"/>
      <c r="AB76" s="289"/>
      <c r="AC76" s="289">
        <v>828</v>
      </c>
      <c r="AD76" s="289" t="s">
        <v>1446</v>
      </c>
      <c r="AE76" s="289" t="s">
        <v>410</v>
      </c>
      <c r="AF76" s="290" t="s">
        <v>1447</v>
      </c>
      <c r="AG76" s="295">
        <v>44651</v>
      </c>
      <c r="AH76" s="290" t="s">
        <v>1448</v>
      </c>
      <c r="AI76" s="289">
        <v>0</v>
      </c>
      <c r="AJ76" s="289">
        <v>246474.72</v>
      </c>
    </row>
    <row r="77" spans="2:36">
      <c r="B77" s="290">
        <v>2111</v>
      </c>
      <c r="C77" s="294">
        <v>278086</v>
      </c>
      <c r="D77" s="290" t="s">
        <v>944</v>
      </c>
      <c r="E77" s="289" t="s">
        <v>1242</v>
      </c>
      <c r="F77" s="290"/>
      <c r="G77" s="289"/>
      <c r="H77" s="289" t="s">
        <v>4013</v>
      </c>
      <c r="I77" s="289"/>
      <c r="J77" s="289">
        <v>2014</v>
      </c>
      <c r="K77" s="289" t="s">
        <v>2294</v>
      </c>
      <c r="L77" s="289" t="s">
        <v>1483</v>
      </c>
      <c r="M77" s="289" t="s">
        <v>1495</v>
      </c>
      <c r="N77" s="293">
        <v>41673</v>
      </c>
      <c r="O77" s="293">
        <v>41673</v>
      </c>
      <c r="P77" s="289" t="s">
        <v>4014</v>
      </c>
      <c r="Q77" s="290">
        <v>1000</v>
      </c>
      <c r="R77" s="290">
        <v>14040</v>
      </c>
      <c r="S77" s="291">
        <v>318992.86</v>
      </c>
      <c r="T77" s="290">
        <v>14046</v>
      </c>
      <c r="U77" s="291">
        <v>271143.96000000002</v>
      </c>
      <c r="V77" s="291">
        <f t="shared" si="0"/>
        <v>47848.899999999965</v>
      </c>
      <c r="W77" s="292">
        <v>10633.1</v>
      </c>
      <c r="X77" s="290">
        <v>51260</v>
      </c>
      <c r="Y77" s="291">
        <v>2658.27</v>
      </c>
      <c r="Z77" s="289" t="s">
        <v>944</v>
      </c>
      <c r="AA77" s="289"/>
      <c r="AB77" s="289"/>
      <c r="AC77" s="289">
        <v>824</v>
      </c>
      <c r="AD77" s="289" t="s">
        <v>1446</v>
      </c>
      <c r="AE77" s="289" t="s">
        <v>410</v>
      </c>
      <c r="AF77" s="290" t="s">
        <v>1447</v>
      </c>
      <c r="AG77" s="295">
        <v>44651</v>
      </c>
      <c r="AH77" s="290" t="s">
        <v>1448</v>
      </c>
      <c r="AI77" s="289">
        <v>0</v>
      </c>
      <c r="AJ77" s="289">
        <v>260510.86</v>
      </c>
    </row>
    <row r="78" spans="2:36">
      <c r="B78" s="290">
        <v>2111</v>
      </c>
      <c r="C78" s="294">
        <v>278085</v>
      </c>
      <c r="D78" s="290">
        <v>278083</v>
      </c>
      <c r="E78" s="289" t="s">
        <v>4010</v>
      </c>
      <c r="F78" s="290"/>
      <c r="G78" s="289"/>
      <c r="H78" s="289"/>
      <c r="I78" s="289"/>
      <c r="J78" s="289">
        <v>0</v>
      </c>
      <c r="K78" s="289" t="s">
        <v>4011</v>
      </c>
      <c r="L78" s="289"/>
      <c r="M78" s="289" t="s">
        <v>1586</v>
      </c>
      <c r="N78" s="293">
        <v>41551</v>
      </c>
      <c r="O78" s="293">
        <v>41551</v>
      </c>
      <c r="P78" s="289" t="s">
        <v>4012</v>
      </c>
      <c r="Q78" s="290">
        <v>300</v>
      </c>
      <c r="R78" s="290">
        <v>14040</v>
      </c>
      <c r="S78" s="291">
        <v>5032.3999999999996</v>
      </c>
      <c r="T78" s="290">
        <v>14046</v>
      </c>
      <c r="U78" s="291">
        <v>5032.3999999999996</v>
      </c>
      <c r="V78" s="291">
        <f t="shared" ref="V78:V141" si="1">S78-U78</f>
        <v>0</v>
      </c>
      <c r="W78" s="292">
        <v>0</v>
      </c>
      <c r="X78" s="290">
        <v>51260</v>
      </c>
      <c r="Y78" s="291">
        <v>0</v>
      </c>
      <c r="Z78" s="289" t="s">
        <v>944</v>
      </c>
      <c r="AA78" s="289"/>
      <c r="AB78" s="289">
        <v>50225</v>
      </c>
      <c r="AC78" s="289"/>
      <c r="AD78" s="289" t="s">
        <v>1446</v>
      </c>
      <c r="AE78" s="289" t="s">
        <v>410</v>
      </c>
      <c r="AF78" s="290" t="s">
        <v>1447</v>
      </c>
      <c r="AG78" s="295">
        <v>44651</v>
      </c>
      <c r="AH78" s="290" t="s">
        <v>1448</v>
      </c>
      <c r="AI78" s="289">
        <v>0</v>
      </c>
      <c r="AJ78" s="289">
        <v>5032.3999999999996</v>
      </c>
    </row>
    <row r="79" spans="2:36">
      <c r="B79" s="290">
        <v>2111</v>
      </c>
      <c r="C79" s="294">
        <v>278084</v>
      </c>
      <c r="D79" s="290">
        <v>278083</v>
      </c>
      <c r="E79" s="289" t="s">
        <v>4008</v>
      </c>
      <c r="F79" s="290">
        <v>0</v>
      </c>
      <c r="G79" s="289"/>
      <c r="H79" s="289" t="s">
        <v>4006</v>
      </c>
      <c r="I79" s="289"/>
      <c r="J79" s="289">
        <v>2003</v>
      </c>
      <c r="K79" s="289"/>
      <c r="L79" s="289"/>
      <c r="M79" s="289" t="s">
        <v>1467</v>
      </c>
      <c r="N79" s="293">
        <v>38878</v>
      </c>
      <c r="O79" s="293">
        <v>38878</v>
      </c>
      <c r="P79" s="289" t="s">
        <v>4007</v>
      </c>
      <c r="Q79" s="290">
        <v>900</v>
      </c>
      <c r="R79" s="290">
        <v>14040</v>
      </c>
      <c r="S79" s="291">
        <v>11830</v>
      </c>
      <c r="T79" s="290">
        <v>14046</v>
      </c>
      <c r="U79" s="291">
        <v>11830</v>
      </c>
      <c r="V79" s="291">
        <f t="shared" si="1"/>
        <v>0</v>
      </c>
      <c r="W79" s="292">
        <v>0</v>
      </c>
      <c r="X79" s="290">
        <v>51260</v>
      </c>
      <c r="Y79" s="291">
        <v>0</v>
      </c>
      <c r="Z79" s="289" t="s">
        <v>12</v>
      </c>
      <c r="AA79" s="289"/>
      <c r="AB79" s="289" t="s">
        <v>4009</v>
      </c>
      <c r="AC79" s="289"/>
      <c r="AD79" s="289" t="s">
        <v>1446</v>
      </c>
      <c r="AE79" s="289" t="s">
        <v>410</v>
      </c>
      <c r="AF79" s="290" t="s">
        <v>1447</v>
      </c>
      <c r="AG79" s="295">
        <v>44651</v>
      </c>
      <c r="AH79" s="290" t="s">
        <v>1448</v>
      </c>
      <c r="AI79" s="289">
        <v>0</v>
      </c>
      <c r="AJ79" s="289">
        <v>11830</v>
      </c>
    </row>
    <row r="80" spans="2:36">
      <c r="B80" s="290">
        <v>2111</v>
      </c>
      <c r="C80" s="294">
        <v>278083</v>
      </c>
      <c r="D80" s="290" t="s">
        <v>944</v>
      </c>
      <c r="E80" s="289" t="s">
        <v>4005</v>
      </c>
      <c r="F80" s="290">
        <v>0</v>
      </c>
      <c r="G80" s="289"/>
      <c r="H80" s="289" t="s">
        <v>4006</v>
      </c>
      <c r="I80" s="289"/>
      <c r="J80" s="289">
        <v>2003</v>
      </c>
      <c r="K80" s="289" t="s">
        <v>2393</v>
      </c>
      <c r="L80" s="289" t="s">
        <v>1522</v>
      </c>
      <c r="M80" s="289" t="s">
        <v>1746</v>
      </c>
      <c r="N80" s="293">
        <v>38808</v>
      </c>
      <c r="O80" s="293">
        <v>38808</v>
      </c>
      <c r="P80" s="289" t="s">
        <v>4007</v>
      </c>
      <c r="Q80" s="290">
        <v>900</v>
      </c>
      <c r="R80" s="290">
        <v>14040</v>
      </c>
      <c r="S80" s="291">
        <v>130000</v>
      </c>
      <c r="T80" s="290">
        <v>14046</v>
      </c>
      <c r="U80" s="291">
        <v>130000</v>
      </c>
      <c r="V80" s="291">
        <f t="shared" si="1"/>
        <v>0</v>
      </c>
      <c r="W80" s="292">
        <v>0</v>
      </c>
      <c r="X80" s="290">
        <v>51260</v>
      </c>
      <c r="Y80" s="291">
        <v>0</v>
      </c>
      <c r="Z80" s="289" t="s">
        <v>944</v>
      </c>
      <c r="AA80" s="289"/>
      <c r="AB80" s="289">
        <v>194663</v>
      </c>
      <c r="AC80" s="289">
        <v>811</v>
      </c>
      <c r="AD80" s="289" t="s">
        <v>1446</v>
      </c>
      <c r="AE80" s="289" t="s">
        <v>410</v>
      </c>
      <c r="AF80" s="290" t="s">
        <v>1447</v>
      </c>
      <c r="AG80" s="295">
        <v>44651</v>
      </c>
      <c r="AH80" s="290" t="s">
        <v>1448</v>
      </c>
      <c r="AI80" s="289">
        <v>0</v>
      </c>
      <c r="AJ80" s="289">
        <v>130000</v>
      </c>
    </row>
    <row r="81" spans="2:36">
      <c r="B81" s="290">
        <v>2111</v>
      </c>
      <c r="C81" s="294">
        <v>278082</v>
      </c>
      <c r="D81" s="290">
        <v>278081</v>
      </c>
      <c r="E81" s="289" t="s">
        <v>1241</v>
      </c>
      <c r="F81" s="290">
        <v>0</v>
      </c>
      <c r="G81" s="289"/>
      <c r="H81" s="289"/>
      <c r="I81" s="289"/>
      <c r="J81" s="289">
        <v>0</v>
      </c>
      <c r="K81" s="289" t="s">
        <v>4003</v>
      </c>
      <c r="L81" s="289"/>
      <c r="M81" s="289" t="s">
        <v>1495</v>
      </c>
      <c r="N81" s="293">
        <v>41182</v>
      </c>
      <c r="O81" s="293">
        <v>41182</v>
      </c>
      <c r="P81" s="289" t="s">
        <v>4002</v>
      </c>
      <c r="Q81" s="290">
        <v>900</v>
      </c>
      <c r="R81" s="290">
        <v>14040</v>
      </c>
      <c r="S81" s="291">
        <v>4462</v>
      </c>
      <c r="T81" s="290">
        <v>14046</v>
      </c>
      <c r="U81" s="291">
        <v>4462</v>
      </c>
      <c r="V81" s="291">
        <f t="shared" si="1"/>
        <v>0</v>
      </c>
      <c r="W81" s="292">
        <v>0</v>
      </c>
      <c r="X81" s="290">
        <v>51260</v>
      </c>
      <c r="Y81" s="291">
        <v>0</v>
      </c>
      <c r="Z81" s="289" t="s">
        <v>944</v>
      </c>
      <c r="AA81" s="289"/>
      <c r="AB81" s="289" t="s">
        <v>4004</v>
      </c>
      <c r="AC81" s="289"/>
      <c r="AD81" s="289" t="s">
        <v>1446</v>
      </c>
      <c r="AE81" s="289" t="s">
        <v>410</v>
      </c>
      <c r="AF81" s="290" t="s">
        <v>1447</v>
      </c>
      <c r="AG81" s="295">
        <v>44651</v>
      </c>
      <c r="AH81" s="290" t="s">
        <v>1448</v>
      </c>
      <c r="AI81" s="289">
        <v>0</v>
      </c>
      <c r="AJ81" s="289">
        <v>4462</v>
      </c>
    </row>
    <row r="82" spans="2:36">
      <c r="B82" s="290">
        <v>2111</v>
      </c>
      <c r="C82" s="294">
        <v>278081</v>
      </c>
      <c r="D82" s="290" t="s">
        <v>944</v>
      </c>
      <c r="E82" s="289" t="s">
        <v>1240</v>
      </c>
      <c r="F82" s="290">
        <v>0</v>
      </c>
      <c r="G82" s="289"/>
      <c r="H82" s="289" t="s">
        <v>4001</v>
      </c>
      <c r="I82" s="289"/>
      <c r="J82" s="289">
        <v>2012</v>
      </c>
      <c r="K82" s="289" t="s">
        <v>2300</v>
      </c>
      <c r="L82" s="289" t="s">
        <v>2190</v>
      </c>
      <c r="M82" s="289" t="s">
        <v>1495</v>
      </c>
      <c r="N82" s="293">
        <v>41182</v>
      </c>
      <c r="O82" s="293">
        <v>41182</v>
      </c>
      <c r="P82" s="289" t="s">
        <v>4002</v>
      </c>
      <c r="Q82" s="290">
        <v>900</v>
      </c>
      <c r="R82" s="290">
        <v>14040</v>
      </c>
      <c r="S82" s="291">
        <v>317737.38</v>
      </c>
      <c r="T82" s="290">
        <v>14046</v>
      </c>
      <c r="U82" s="291">
        <v>317737.38</v>
      </c>
      <c r="V82" s="291">
        <f t="shared" si="1"/>
        <v>0</v>
      </c>
      <c r="W82" s="292">
        <v>0</v>
      </c>
      <c r="X82" s="290">
        <v>51260</v>
      </c>
      <c r="Y82" s="291">
        <v>0</v>
      </c>
      <c r="Z82" s="289" t="s">
        <v>944</v>
      </c>
      <c r="AA82" s="289"/>
      <c r="AB82" s="289">
        <v>4101953</v>
      </c>
      <c r="AC82" s="289">
        <v>821</v>
      </c>
      <c r="AD82" s="289" t="s">
        <v>1446</v>
      </c>
      <c r="AE82" s="289" t="s">
        <v>410</v>
      </c>
      <c r="AF82" s="290" t="s">
        <v>1447</v>
      </c>
      <c r="AG82" s="295">
        <v>44651</v>
      </c>
      <c r="AH82" s="290" t="s">
        <v>1448</v>
      </c>
      <c r="AI82" s="289">
        <v>0</v>
      </c>
      <c r="AJ82" s="289">
        <v>317737.38</v>
      </c>
    </row>
    <row r="83" spans="2:36">
      <c r="B83" s="290">
        <v>2111</v>
      </c>
      <c r="C83" s="294">
        <v>278080</v>
      </c>
      <c r="D83" s="290">
        <v>278078</v>
      </c>
      <c r="E83" s="289" t="s">
        <v>1239</v>
      </c>
      <c r="F83" s="290">
        <v>0</v>
      </c>
      <c r="G83" s="289"/>
      <c r="H83" s="289" t="s">
        <v>3996</v>
      </c>
      <c r="I83" s="289"/>
      <c r="J83" s="289">
        <v>2011</v>
      </c>
      <c r="K83" s="289"/>
      <c r="L83" s="289"/>
      <c r="M83" s="289" t="s">
        <v>1467</v>
      </c>
      <c r="N83" s="293">
        <v>40424</v>
      </c>
      <c r="O83" s="293">
        <v>40424</v>
      </c>
      <c r="P83" s="289" t="s">
        <v>3997</v>
      </c>
      <c r="Q83" s="290">
        <v>1000</v>
      </c>
      <c r="R83" s="290">
        <v>14040</v>
      </c>
      <c r="S83" s="291">
        <v>134123.07</v>
      </c>
      <c r="T83" s="290">
        <v>14046</v>
      </c>
      <c r="U83" s="291">
        <v>134123.07</v>
      </c>
      <c r="V83" s="291">
        <f t="shared" si="1"/>
        <v>0</v>
      </c>
      <c r="W83" s="292">
        <v>0</v>
      </c>
      <c r="X83" s="290">
        <v>51260</v>
      </c>
      <c r="Y83" s="291">
        <v>0</v>
      </c>
      <c r="Z83" s="289" t="s">
        <v>944</v>
      </c>
      <c r="AA83" s="289"/>
      <c r="AB83" s="289" t="s">
        <v>4000</v>
      </c>
      <c r="AC83" s="289"/>
      <c r="AD83" s="289" t="s">
        <v>1446</v>
      </c>
      <c r="AE83" s="289" t="s">
        <v>410</v>
      </c>
      <c r="AF83" s="290" t="s">
        <v>1447</v>
      </c>
      <c r="AG83" s="295">
        <v>44651</v>
      </c>
      <c r="AH83" s="290" t="s">
        <v>1448</v>
      </c>
      <c r="AI83" s="289">
        <v>0</v>
      </c>
      <c r="AJ83" s="289">
        <v>134123.07</v>
      </c>
    </row>
    <row r="84" spans="2:36">
      <c r="B84" s="290">
        <v>2111</v>
      </c>
      <c r="C84" s="294">
        <v>278079</v>
      </c>
      <c r="D84" s="290">
        <v>278078</v>
      </c>
      <c r="E84" s="289" t="s">
        <v>1238</v>
      </c>
      <c r="F84" s="290">
        <v>0</v>
      </c>
      <c r="G84" s="289"/>
      <c r="H84" s="289" t="s">
        <v>3996</v>
      </c>
      <c r="I84" s="289"/>
      <c r="J84" s="289">
        <v>2011</v>
      </c>
      <c r="K84" s="289"/>
      <c r="L84" s="289"/>
      <c r="M84" s="289" t="s">
        <v>1495</v>
      </c>
      <c r="N84" s="293">
        <v>40424</v>
      </c>
      <c r="O84" s="293">
        <v>40424</v>
      </c>
      <c r="P84" s="289" t="s">
        <v>3997</v>
      </c>
      <c r="Q84" s="290">
        <v>1000</v>
      </c>
      <c r="R84" s="290">
        <v>14040</v>
      </c>
      <c r="S84" s="291">
        <v>1916.25</v>
      </c>
      <c r="T84" s="290">
        <v>14046</v>
      </c>
      <c r="U84" s="291">
        <v>1916.25</v>
      </c>
      <c r="V84" s="291">
        <f t="shared" si="1"/>
        <v>0</v>
      </c>
      <c r="W84" s="292">
        <v>0</v>
      </c>
      <c r="X84" s="290">
        <v>51260</v>
      </c>
      <c r="Y84" s="291">
        <v>0</v>
      </c>
      <c r="Z84" s="289" t="s">
        <v>944</v>
      </c>
      <c r="AA84" s="289"/>
      <c r="AB84" s="289" t="s">
        <v>3999</v>
      </c>
      <c r="AC84" s="289"/>
      <c r="AD84" s="289" t="s">
        <v>1446</v>
      </c>
      <c r="AE84" s="289" t="s">
        <v>410</v>
      </c>
      <c r="AF84" s="290" t="s">
        <v>1447</v>
      </c>
      <c r="AG84" s="295">
        <v>44651</v>
      </c>
      <c r="AH84" s="290" t="s">
        <v>1448</v>
      </c>
      <c r="AI84" s="289">
        <v>0</v>
      </c>
      <c r="AJ84" s="289">
        <v>1916.25</v>
      </c>
    </row>
    <row r="85" spans="2:36">
      <c r="B85" s="290">
        <v>2111</v>
      </c>
      <c r="C85" s="294">
        <v>278078</v>
      </c>
      <c r="D85" s="290" t="s">
        <v>944</v>
      </c>
      <c r="E85" s="289" t="s">
        <v>1237</v>
      </c>
      <c r="F85" s="290">
        <v>0</v>
      </c>
      <c r="G85" s="289"/>
      <c r="H85" s="289" t="s">
        <v>3996</v>
      </c>
      <c r="I85" s="289"/>
      <c r="J85" s="289">
        <v>2011</v>
      </c>
      <c r="K85" s="289" t="s">
        <v>2300</v>
      </c>
      <c r="L85" s="289" t="s">
        <v>2190</v>
      </c>
      <c r="M85" s="289" t="s">
        <v>1495</v>
      </c>
      <c r="N85" s="293">
        <v>40424</v>
      </c>
      <c r="O85" s="293">
        <v>40424</v>
      </c>
      <c r="P85" s="289" t="s">
        <v>3997</v>
      </c>
      <c r="Q85" s="290">
        <v>1000</v>
      </c>
      <c r="R85" s="290">
        <v>14040</v>
      </c>
      <c r="S85" s="291">
        <v>143529.4</v>
      </c>
      <c r="T85" s="290">
        <v>14046</v>
      </c>
      <c r="U85" s="291">
        <v>143529.4</v>
      </c>
      <c r="V85" s="291">
        <f t="shared" si="1"/>
        <v>0</v>
      </c>
      <c r="W85" s="292">
        <v>0</v>
      </c>
      <c r="X85" s="290">
        <v>51260</v>
      </c>
      <c r="Y85" s="291">
        <v>0</v>
      </c>
      <c r="Z85" s="289" t="s">
        <v>944</v>
      </c>
      <c r="AA85" s="289"/>
      <c r="AB85" s="289" t="s">
        <v>3998</v>
      </c>
      <c r="AC85" s="289">
        <v>819</v>
      </c>
      <c r="AD85" s="289" t="s">
        <v>1446</v>
      </c>
      <c r="AE85" s="289" t="s">
        <v>410</v>
      </c>
      <c r="AF85" s="290" t="s">
        <v>1447</v>
      </c>
      <c r="AG85" s="295">
        <v>44651</v>
      </c>
      <c r="AH85" s="290" t="s">
        <v>1448</v>
      </c>
      <c r="AI85" s="289">
        <v>0</v>
      </c>
      <c r="AJ85" s="289">
        <v>143529.4</v>
      </c>
    </row>
    <row r="86" spans="2:36">
      <c r="B86" s="290">
        <v>2111</v>
      </c>
      <c r="C86" s="294">
        <v>276902</v>
      </c>
      <c r="D86" s="290" t="s">
        <v>944</v>
      </c>
      <c r="E86" s="289" t="s">
        <v>3993</v>
      </c>
      <c r="F86" s="290">
        <v>4</v>
      </c>
      <c r="G86" s="289"/>
      <c r="H86" s="289"/>
      <c r="I86" s="289"/>
      <c r="J86" s="289">
        <v>0</v>
      </c>
      <c r="K86" s="289" t="s">
        <v>3994</v>
      </c>
      <c r="L86" s="289"/>
      <c r="M86" s="289"/>
      <c r="N86" s="293">
        <v>44634</v>
      </c>
      <c r="O86" s="293">
        <v>44634</v>
      </c>
      <c r="P86" s="289" t="s">
        <v>3995</v>
      </c>
      <c r="Q86" s="290">
        <v>500</v>
      </c>
      <c r="R86" s="290">
        <v>14070</v>
      </c>
      <c r="S86" s="291">
        <v>62131.08</v>
      </c>
      <c r="T86" s="290">
        <v>14076</v>
      </c>
      <c r="U86" s="291">
        <v>5177.59</v>
      </c>
      <c r="V86" s="291">
        <f t="shared" si="1"/>
        <v>56953.490000000005</v>
      </c>
      <c r="W86" s="292">
        <v>5177.59</v>
      </c>
      <c r="X86" s="290">
        <v>51260</v>
      </c>
      <c r="Y86" s="291">
        <v>1035.52</v>
      </c>
      <c r="Z86" s="289" t="s">
        <v>944</v>
      </c>
      <c r="AA86" s="289"/>
      <c r="AB86" s="289">
        <v>931502</v>
      </c>
      <c r="AC86" s="289"/>
      <c r="AD86" s="289" t="s">
        <v>1446</v>
      </c>
      <c r="AE86" s="289" t="s">
        <v>410</v>
      </c>
      <c r="AF86" s="290" t="s">
        <v>1447</v>
      </c>
      <c r="AG86" s="289"/>
      <c r="AH86" s="290" t="s">
        <v>1448</v>
      </c>
      <c r="AI86" s="289">
        <v>0</v>
      </c>
      <c r="AJ86" s="289">
        <v>0</v>
      </c>
    </row>
    <row r="87" spans="2:36">
      <c r="B87" s="290">
        <v>2111</v>
      </c>
      <c r="C87" s="294">
        <v>276810</v>
      </c>
      <c r="D87" s="290">
        <v>276806</v>
      </c>
      <c r="E87" s="289" t="s">
        <v>3992</v>
      </c>
      <c r="F87" s="290"/>
      <c r="G87" s="289"/>
      <c r="H87" s="289" t="s">
        <v>3987</v>
      </c>
      <c r="I87" s="289"/>
      <c r="J87" s="289">
        <v>2014</v>
      </c>
      <c r="K87" s="289" t="s">
        <v>3988</v>
      </c>
      <c r="L87" s="289" t="s">
        <v>2879</v>
      </c>
      <c r="M87" s="289" t="s">
        <v>1041</v>
      </c>
      <c r="N87" s="293">
        <v>44578</v>
      </c>
      <c r="O87" s="293">
        <v>44578</v>
      </c>
      <c r="P87" s="289" t="s">
        <v>3989</v>
      </c>
      <c r="Q87" s="290">
        <v>300</v>
      </c>
      <c r="R87" s="290">
        <v>14030</v>
      </c>
      <c r="S87" s="291">
        <v>1949.75</v>
      </c>
      <c r="T87" s="290">
        <v>14036</v>
      </c>
      <c r="U87" s="291">
        <v>324.95999999999998</v>
      </c>
      <c r="V87" s="291">
        <f t="shared" si="1"/>
        <v>1624.79</v>
      </c>
      <c r="W87" s="292">
        <v>324.95999999999998</v>
      </c>
      <c r="X87" s="290">
        <v>51260</v>
      </c>
      <c r="Y87" s="291">
        <v>54.16</v>
      </c>
      <c r="Z87" s="289" t="s">
        <v>944</v>
      </c>
      <c r="AA87" s="289"/>
      <c r="AB87" s="289">
        <v>277760</v>
      </c>
      <c r="AC87" s="289"/>
      <c r="AD87" s="289" t="s">
        <v>1446</v>
      </c>
      <c r="AE87" s="289" t="s">
        <v>410</v>
      </c>
      <c r="AF87" s="290" t="s">
        <v>1447</v>
      </c>
      <c r="AG87" s="289"/>
      <c r="AH87" s="290" t="s">
        <v>1448</v>
      </c>
      <c r="AI87" s="289">
        <v>0</v>
      </c>
      <c r="AJ87" s="289">
        <v>0</v>
      </c>
    </row>
    <row r="88" spans="2:36">
      <c r="B88" s="290">
        <v>2111</v>
      </c>
      <c r="C88" s="294">
        <v>276809</v>
      </c>
      <c r="D88" s="290">
        <v>276806</v>
      </c>
      <c r="E88" s="289" t="s">
        <v>3991</v>
      </c>
      <c r="F88" s="290"/>
      <c r="G88" s="289"/>
      <c r="H88" s="289" t="s">
        <v>3987</v>
      </c>
      <c r="I88" s="289"/>
      <c r="J88" s="289">
        <v>2014</v>
      </c>
      <c r="K88" s="289" t="s">
        <v>3988</v>
      </c>
      <c r="L88" s="289" t="s">
        <v>2879</v>
      </c>
      <c r="M88" s="289" t="s">
        <v>1041</v>
      </c>
      <c r="N88" s="293">
        <v>44578</v>
      </c>
      <c r="O88" s="293">
        <v>44578</v>
      </c>
      <c r="P88" s="289" t="s">
        <v>3989</v>
      </c>
      <c r="Q88" s="290">
        <v>300</v>
      </c>
      <c r="R88" s="290">
        <v>14030</v>
      </c>
      <c r="S88" s="291">
        <v>1949.75</v>
      </c>
      <c r="T88" s="290">
        <v>14036</v>
      </c>
      <c r="U88" s="291">
        <v>324.95999999999998</v>
      </c>
      <c r="V88" s="291">
        <f t="shared" si="1"/>
        <v>1624.79</v>
      </c>
      <c r="W88" s="292">
        <v>324.95999999999998</v>
      </c>
      <c r="X88" s="290">
        <v>51260</v>
      </c>
      <c r="Y88" s="291">
        <v>54.16</v>
      </c>
      <c r="Z88" s="289" t="s">
        <v>944</v>
      </c>
      <c r="AA88" s="289"/>
      <c r="AB88" s="289">
        <v>277760</v>
      </c>
      <c r="AC88" s="289"/>
      <c r="AD88" s="289" t="s">
        <v>1446</v>
      </c>
      <c r="AE88" s="289" t="s">
        <v>410</v>
      </c>
      <c r="AF88" s="290" t="s">
        <v>1447</v>
      </c>
      <c r="AG88" s="289"/>
      <c r="AH88" s="290" t="s">
        <v>1448</v>
      </c>
      <c r="AI88" s="289">
        <v>0</v>
      </c>
      <c r="AJ88" s="289">
        <v>0</v>
      </c>
    </row>
    <row r="89" spans="2:36">
      <c r="B89" s="290">
        <v>2111</v>
      </c>
      <c r="C89" s="294">
        <v>276808</v>
      </c>
      <c r="D89" s="290">
        <v>276806</v>
      </c>
      <c r="E89" s="289" t="s">
        <v>3990</v>
      </c>
      <c r="F89" s="290"/>
      <c r="G89" s="289"/>
      <c r="H89" s="289" t="s">
        <v>3987</v>
      </c>
      <c r="I89" s="289"/>
      <c r="J89" s="289">
        <v>2014</v>
      </c>
      <c r="K89" s="289" t="s">
        <v>3988</v>
      </c>
      <c r="L89" s="289" t="s">
        <v>2879</v>
      </c>
      <c r="M89" s="289" t="s">
        <v>1041</v>
      </c>
      <c r="N89" s="293">
        <v>44578</v>
      </c>
      <c r="O89" s="293">
        <v>44578</v>
      </c>
      <c r="P89" s="289" t="s">
        <v>3989</v>
      </c>
      <c r="Q89" s="290">
        <v>300</v>
      </c>
      <c r="R89" s="290">
        <v>14030</v>
      </c>
      <c r="S89" s="291">
        <v>3119.6</v>
      </c>
      <c r="T89" s="290">
        <v>14036</v>
      </c>
      <c r="U89" s="291">
        <v>519.92999999999995</v>
      </c>
      <c r="V89" s="291">
        <f t="shared" si="1"/>
        <v>2599.67</v>
      </c>
      <c r="W89" s="292">
        <v>519.92999999999995</v>
      </c>
      <c r="X89" s="290">
        <v>51260</v>
      </c>
      <c r="Y89" s="291">
        <v>86.65</v>
      </c>
      <c r="Z89" s="289" t="s">
        <v>944</v>
      </c>
      <c r="AA89" s="289"/>
      <c r="AB89" s="289">
        <v>277760</v>
      </c>
      <c r="AC89" s="289"/>
      <c r="AD89" s="289" t="s">
        <v>1446</v>
      </c>
      <c r="AE89" s="289" t="s">
        <v>410</v>
      </c>
      <c r="AF89" s="290" t="s">
        <v>1447</v>
      </c>
      <c r="AG89" s="289"/>
      <c r="AH89" s="290" t="s">
        <v>1448</v>
      </c>
      <c r="AI89" s="289">
        <v>0</v>
      </c>
      <c r="AJ89" s="289">
        <v>0</v>
      </c>
    </row>
    <row r="90" spans="2:36">
      <c r="B90" s="290">
        <v>2111</v>
      </c>
      <c r="C90" s="294">
        <v>276807</v>
      </c>
      <c r="D90" s="290">
        <v>276806</v>
      </c>
      <c r="E90" s="289" t="s">
        <v>1517</v>
      </c>
      <c r="F90" s="290"/>
      <c r="G90" s="289"/>
      <c r="H90" s="289" t="s">
        <v>3987</v>
      </c>
      <c r="I90" s="289"/>
      <c r="J90" s="289">
        <v>2014</v>
      </c>
      <c r="K90" s="289" t="s">
        <v>3988</v>
      </c>
      <c r="L90" s="289" t="s">
        <v>2879</v>
      </c>
      <c r="M90" s="289" t="s">
        <v>1041</v>
      </c>
      <c r="N90" s="293">
        <v>44578</v>
      </c>
      <c r="O90" s="293">
        <v>44578</v>
      </c>
      <c r="P90" s="289" t="s">
        <v>3989</v>
      </c>
      <c r="Q90" s="290">
        <v>300</v>
      </c>
      <c r="R90" s="290">
        <v>14030</v>
      </c>
      <c r="S90" s="291">
        <v>4679.3999999999996</v>
      </c>
      <c r="T90" s="290">
        <v>14036</v>
      </c>
      <c r="U90" s="291">
        <v>779.9</v>
      </c>
      <c r="V90" s="291">
        <f t="shared" si="1"/>
        <v>3899.4999999999995</v>
      </c>
      <c r="W90" s="292">
        <v>779.9</v>
      </c>
      <c r="X90" s="290">
        <v>51260</v>
      </c>
      <c r="Y90" s="291">
        <v>129.97999999999999</v>
      </c>
      <c r="Z90" s="289" t="s">
        <v>944</v>
      </c>
      <c r="AA90" s="289"/>
      <c r="AB90" s="289">
        <v>277760</v>
      </c>
      <c r="AC90" s="289"/>
      <c r="AD90" s="289" t="s">
        <v>1446</v>
      </c>
      <c r="AE90" s="289" t="s">
        <v>410</v>
      </c>
      <c r="AF90" s="290" t="s">
        <v>1447</v>
      </c>
      <c r="AG90" s="289"/>
      <c r="AH90" s="290" t="s">
        <v>1448</v>
      </c>
      <c r="AI90" s="289">
        <v>0</v>
      </c>
      <c r="AJ90" s="289">
        <v>0</v>
      </c>
    </row>
    <row r="91" spans="2:36">
      <c r="B91" s="290">
        <v>2111</v>
      </c>
      <c r="C91" s="294">
        <v>276806</v>
      </c>
      <c r="D91" s="290" t="s">
        <v>944</v>
      </c>
      <c r="E91" s="289" t="s">
        <v>3986</v>
      </c>
      <c r="F91" s="290"/>
      <c r="G91" s="289"/>
      <c r="H91" s="289" t="s">
        <v>3987</v>
      </c>
      <c r="I91" s="289"/>
      <c r="J91" s="289">
        <v>2014</v>
      </c>
      <c r="K91" s="289" t="s">
        <v>3988</v>
      </c>
      <c r="L91" s="289" t="s">
        <v>2879</v>
      </c>
      <c r="M91" s="289" t="s">
        <v>1041</v>
      </c>
      <c r="N91" s="293">
        <v>44578</v>
      </c>
      <c r="O91" s="293">
        <v>44578</v>
      </c>
      <c r="P91" s="289" t="s">
        <v>3989</v>
      </c>
      <c r="Q91" s="290">
        <v>400</v>
      </c>
      <c r="R91" s="290">
        <v>14030</v>
      </c>
      <c r="S91" s="291">
        <v>27296.5</v>
      </c>
      <c r="T91" s="290">
        <v>14036</v>
      </c>
      <c r="U91" s="291">
        <v>3412.06</v>
      </c>
      <c r="V91" s="291">
        <f t="shared" si="1"/>
        <v>23884.44</v>
      </c>
      <c r="W91" s="292">
        <v>3412.06</v>
      </c>
      <c r="X91" s="290">
        <v>51260</v>
      </c>
      <c r="Y91" s="291">
        <v>568.66999999999996</v>
      </c>
      <c r="Z91" s="289" t="s">
        <v>944</v>
      </c>
      <c r="AA91" s="289"/>
      <c r="AB91" s="289">
        <v>277760</v>
      </c>
      <c r="AC91" s="289"/>
      <c r="AD91" s="289" t="s">
        <v>1446</v>
      </c>
      <c r="AE91" s="289" t="s">
        <v>410</v>
      </c>
      <c r="AF91" s="290" t="s">
        <v>1447</v>
      </c>
      <c r="AG91" s="289"/>
      <c r="AH91" s="290" t="s">
        <v>1448</v>
      </c>
      <c r="AI91" s="289">
        <v>0</v>
      </c>
      <c r="AJ91" s="289">
        <v>0</v>
      </c>
    </row>
    <row r="92" spans="2:36">
      <c r="B92" s="290">
        <v>2111</v>
      </c>
      <c r="C92" s="294">
        <v>275500</v>
      </c>
      <c r="D92" s="290">
        <v>275496</v>
      </c>
      <c r="E92" s="289" t="s">
        <v>3982</v>
      </c>
      <c r="F92" s="290">
        <v>36</v>
      </c>
      <c r="G92" s="289"/>
      <c r="H92" s="289"/>
      <c r="I92" s="289" t="s">
        <v>1584</v>
      </c>
      <c r="J92" s="289">
        <v>0</v>
      </c>
      <c r="K92" s="289" t="s">
        <v>1509</v>
      </c>
      <c r="L92" s="289"/>
      <c r="M92" s="289" t="s">
        <v>1463</v>
      </c>
      <c r="N92" s="293">
        <v>44592</v>
      </c>
      <c r="O92" s="293">
        <v>44592</v>
      </c>
      <c r="P92" s="289" t="s">
        <v>3980</v>
      </c>
      <c r="Q92" s="290">
        <v>1200</v>
      </c>
      <c r="R92" s="290">
        <v>14050</v>
      </c>
      <c r="S92" s="291">
        <v>3991.68</v>
      </c>
      <c r="T92" s="290">
        <v>14056</v>
      </c>
      <c r="U92" s="291">
        <v>166.32</v>
      </c>
      <c r="V92" s="291">
        <f t="shared" si="1"/>
        <v>3825.3599999999997</v>
      </c>
      <c r="W92" s="292">
        <v>166.32</v>
      </c>
      <c r="X92" s="290">
        <v>54260</v>
      </c>
      <c r="Y92" s="291">
        <v>27.72</v>
      </c>
      <c r="Z92" s="289" t="s">
        <v>944</v>
      </c>
      <c r="AA92" s="289"/>
      <c r="AB92" s="289" t="s">
        <v>3983</v>
      </c>
      <c r="AC92" s="289"/>
      <c r="AD92" s="289" t="s">
        <v>1446</v>
      </c>
      <c r="AE92" s="289" t="s">
        <v>410</v>
      </c>
      <c r="AF92" s="290" t="s">
        <v>1447</v>
      </c>
      <c r="AG92" s="289"/>
      <c r="AH92" s="290" t="s">
        <v>1448</v>
      </c>
      <c r="AI92" s="289">
        <v>0</v>
      </c>
      <c r="AJ92" s="289">
        <v>0</v>
      </c>
    </row>
    <row r="93" spans="2:36">
      <c r="B93" s="290">
        <v>2111</v>
      </c>
      <c r="C93" s="294">
        <v>275499</v>
      </c>
      <c r="D93" s="290" t="s">
        <v>944</v>
      </c>
      <c r="E93" s="289" t="s">
        <v>3985</v>
      </c>
      <c r="F93" s="290">
        <v>24</v>
      </c>
      <c r="G93" s="289"/>
      <c r="H93" s="289"/>
      <c r="I93" s="289" t="s">
        <v>1584</v>
      </c>
      <c r="J93" s="289">
        <v>0</v>
      </c>
      <c r="K93" s="289" t="s">
        <v>1509</v>
      </c>
      <c r="L93" s="289"/>
      <c r="M93" s="289" t="s">
        <v>726</v>
      </c>
      <c r="N93" s="293">
        <v>44592</v>
      </c>
      <c r="O93" s="293">
        <v>44592</v>
      </c>
      <c r="P93" s="289" t="s">
        <v>3980</v>
      </c>
      <c r="Q93" s="290">
        <v>1200</v>
      </c>
      <c r="R93" s="290">
        <v>14050</v>
      </c>
      <c r="S93" s="291">
        <v>43527.92</v>
      </c>
      <c r="T93" s="290">
        <v>14056</v>
      </c>
      <c r="U93" s="291">
        <v>1813.66</v>
      </c>
      <c r="V93" s="291">
        <f t="shared" si="1"/>
        <v>41714.259999999995</v>
      </c>
      <c r="W93" s="292">
        <v>1813.66</v>
      </c>
      <c r="X93" s="290">
        <v>54260</v>
      </c>
      <c r="Y93" s="291">
        <v>302.27</v>
      </c>
      <c r="Z93" s="289" t="s">
        <v>944</v>
      </c>
      <c r="AA93" s="289"/>
      <c r="AB93" s="289" t="s">
        <v>3983</v>
      </c>
      <c r="AC93" s="289"/>
      <c r="AD93" s="289" t="s">
        <v>1446</v>
      </c>
      <c r="AE93" s="289" t="s">
        <v>410</v>
      </c>
      <c r="AF93" s="290" t="s">
        <v>1447</v>
      </c>
      <c r="AG93" s="289"/>
      <c r="AH93" s="290" t="s">
        <v>1448</v>
      </c>
      <c r="AI93" s="289">
        <v>0</v>
      </c>
      <c r="AJ93" s="289">
        <v>0</v>
      </c>
    </row>
    <row r="94" spans="2:36">
      <c r="B94" s="290">
        <v>2111</v>
      </c>
      <c r="C94" s="294">
        <v>275498</v>
      </c>
      <c r="D94" s="290" t="s">
        <v>944</v>
      </c>
      <c r="E94" s="289" t="s">
        <v>3979</v>
      </c>
      <c r="F94" s="290">
        <v>24</v>
      </c>
      <c r="G94" s="289"/>
      <c r="H94" s="289"/>
      <c r="I94" s="289" t="s">
        <v>1584</v>
      </c>
      <c r="J94" s="289">
        <v>0</v>
      </c>
      <c r="K94" s="289" t="s">
        <v>1509</v>
      </c>
      <c r="L94" s="289"/>
      <c r="M94" s="289" t="s">
        <v>1530</v>
      </c>
      <c r="N94" s="293">
        <v>44592</v>
      </c>
      <c r="O94" s="293">
        <v>44592</v>
      </c>
      <c r="P94" s="289" t="s">
        <v>3980</v>
      </c>
      <c r="Q94" s="290">
        <v>1200</v>
      </c>
      <c r="R94" s="290">
        <v>14050</v>
      </c>
      <c r="S94" s="291">
        <v>27320.45</v>
      </c>
      <c r="T94" s="290">
        <v>14056</v>
      </c>
      <c r="U94" s="291">
        <v>1138.3499999999999</v>
      </c>
      <c r="V94" s="291">
        <f t="shared" si="1"/>
        <v>26182.100000000002</v>
      </c>
      <c r="W94" s="292">
        <v>1138.3499999999999</v>
      </c>
      <c r="X94" s="290">
        <v>54260</v>
      </c>
      <c r="Y94" s="291">
        <v>189.72</v>
      </c>
      <c r="Z94" s="289" t="s">
        <v>944</v>
      </c>
      <c r="AA94" s="289"/>
      <c r="AB94" s="289" t="s">
        <v>3983</v>
      </c>
      <c r="AC94" s="289"/>
      <c r="AD94" s="289" t="s">
        <v>1446</v>
      </c>
      <c r="AE94" s="289" t="s">
        <v>410</v>
      </c>
      <c r="AF94" s="290" t="s">
        <v>1447</v>
      </c>
      <c r="AG94" s="289"/>
      <c r="AH94" s="290" t="s">
        <v>1448</v>
      </c>
      <c r="AI94" s="289">
        <v>0</v>
      </c>
      <c r="AJ94" s="289">
        <v>0</v>
      </c>
    </row>
    <row r="95" spans="2:36">
      <c r="B95" s="290">
        <v>2111</v>
      </c>
      <c r="C95" s="294">
        <v>275497</v>
      </c>
      <c r="D95" s="290" t="s">
        <v>944</v>
      </c>
      <c r="E95" s="289" t="s">
        <v>3984</v>
      </c>
      <c r="F95" s="290">
        <v>36</v>
      </c>
      <c r="G95" s="289"/>
      <c r="H95" s="289"/>
      <c r="I95" s="289" t="s">
        <v>1584</v>
      </c>
      <c r="J95" s="289">
        <v>0</v>
      </c>
      <c r="K95" s="289" t="s">
        <v>1509</v>
      </c>
      <c r="L95" s="289"/>
      <c r="M95" s="289" t="s">
        <v>690</v>
      </c>
      <c r="N95" s="293">
        <v>44592</v>
      </c>
      <c r="O95" s="293">
        <v>44592</v>
      </c>
      <c r="P95" s="289" t="s">
        <v>3980</v>
      </c>
      <c r="Q95" s="290">
        <v>1200</v>
      </c>
      <c r="R95" s="290">
        <v>14050</v>
      </c>
      <c r="S95" s="291">
        <v>48818.21</v>
      </c>
      <c r="T95" s="290">
        <v>14056</v>
      </c>
      <c r="U95" s="291">
        <v>2034.09</v>
      </c>
      <c r="V95" s="291">
        <f t="shared" si="1"/>
        <v>46784.12</v>
      </c>
      <c r="W95" s="292">
        <v>2034.09</v>
      </c>
      <c r="X95" s="290">
        <v>54260</v>
      </c>
      <c r="Y95" s="291">
        <v>339.01</v>
      </c>
      <c r="Z95" s="289" t="s">
        <v>944</v>
      </c>
      <c r="AA95" s="289"/>
      <c r="AB95" s="289" t="s">
        <v>3981</v>
      </c>
      <c r="AC95" s="289"/>
      <c r="AD95" s="289" t="s">
        <v>1446</v>
      </c>
      <c r="AE95" s="289" t="s">
        <v>410</v>
      </c>
      <c r="AF95" s="290" t="s">
        <v>1447</v>
      </c>
      <c r="AG95" s="289"/>
      <c r="AH95" s="290" t="s">
        <v>1448</v>
      </c>
      <c r="AI95" s="289">
        <v>0</v>
      </c>
      <c r="AJ95" s="289">
        <v>0</v>
      </c>
    </row>
    <row r="96" spans="2:36">
      <c r="B96" s="290">
        <v>2111</v>
      </c>
      <c r="C96" s="294">
        <v>275496</v>
      </c>
      <c r="D96" s="290" t="s">
        <v>944</v>
      </c>
      <c r="E96" s="289" t="s">
        <v>3979</v>
      </c>
      <c r="F96" s="290">
        <v>12</v>
      </c>
      <c r="G96" s="289"/>
      <c r="H96" s="289"/>
      <c r="I96" s="289" t="s">
        <v>1584</v>
      </c>
      <c r="J96" s="289">
        <v>0</v>
      </c>
      <c r="K96" s="289" t="s">
        <v>1509</v>
      </c>
      <c r="L96" s="289"/>
      <c r="M96" s="289" t="s">
        <v>1530</v>
      </c>
      <c r="N96" s="293">
        <v>44592</v>
      </c>
      <c r="O96" s="293">
        <v>44592</v>
      </c>
      <c r="P96" s="289" t="s">
        <v>3980</v>
      </c>
      <c r="Q96" s="290">
        <v>1200</v>
      </c>
      <c r="R96" s="290">
        <v>14050</v>
      </c>
      <c r="S96" s="291">
        <v>13527.73</v>
      </c>
      <c r="T96" s="290">
        <v>14056</v>
      </c>
      <c r="U96" s="291">
        <v>563.66</v>
      </c>
      <c r="V96" s="291">
        <f t="shared" si="1"/>
        <v>12964.07</v>
      </c>
      <c r="W96" s="292">
        <v>563.66</v>
      </c>
      <c r="X96" s="290">
        <v>54260</v>
      </c>
      <c r="Y96" s="291">
        <v>93.95</v>
      </c>
      <c r="Z96" s="289" t="s">
        <v>944</v>
      </c>
      <c r="AA96" s="289"/>
      <c r="AB96" s="289" t="s">
        <v>3981</v>
      </c>
      <c r="AC96" s="289"/>
      <c r="AD96" s="289" t="s">
        <v>1446</v>
      </c>
      <c r="AE96" s="289" t="s">
        <v>410</v>
      </c>
      <c r="AF96" s="290" t="s">
        <v>1447</v>
      </c>
      <c r="AG96" s="289"/>
      <c r="AH96" s="290" t="s">
        <v>1448</v>
      </c>
      <c r="AI96" s="289">
        <v>0</v>
      </c>
      <c r="AJ96" s="289">
        <v>0</v>
      </c>
    </row>
    <row r="97" spans="2:36">
      <c r="B97" s="290">
        <v>2111</v>
      </c>
      <c r="C97" s="294">
        <v>275229</v>
      </c>
      <c r="D97" s="290" t="s">
        <v>944</v>
      </c>
      <c r="E97" s="289" t="s">
        <v>1136</v>
      </c>
      <c r="F97" s="290">
        <v>351</v>
      </c>
      <c r="G97" s="289"/>
      <c r="H97" s="289"/>
      <c r="I97" s="289" t="s">
        <v>1584</v>
      </c>
      <c r="J97" s="289">
        <v>0</v>
      </c>
      <c r="K97" s="289" t="s">
        <v>1462</v>
      </c>
      <c r="L97" s="289"/>
      <c r="M97" s="289" t="s">
        <v>1463</v>
      </c>
      <c r="N97" s="293">
        <v>44629</v>
      </c>
      <c r="O97" s="293">
        <v>44629</v>
      </c>
      <c r="P97" s="289" t="s">
        <v>3978</v>
      </c>
      <c r="Q97" s="290">
        <v>700</v>
      </c>
      <c r="R97" s="290">
        <v>14050</v>
      </c>
      <c r="S97" s="291">
        <v>23613.88</v>
      </c>
      <c r="T97" s="290">
        <v>14056</v>
      </c>
      <c r="U97" s="291">
        <v>1405.59</v>
      </c>
      <c r="V97" s="291">
        <f t="shared" si="1"/>
        <v>22208.29</v>
      </c>
      <c r="W97" s="292">
        <v>1405.59</v>
      </c>
      <c r="X97" s="290">
        <v>54260</v>
      </c>
      <c r="Y97" s="291">
        <v>281.12</v>
      </c>
      <c r="Z97" s="289" t="s">
        <v>944</v>
      </c>
      <c r="AA97" s="289"/>
      <c r="AB97" s="289">
        <v>50228477</v>
      </c>
      <c r="AC97" s="289"/>
      <c r="AD97" s="289" t="s">
        <v>1446</v>
      </c>
      <c r="AE97" s="289" t="s">
        <v>410</v>
      </c>
      <c r="AF97" s="290" t="s">
        <v>1447</v>
      </c>
      <c r="AG97" s="289"/>
      <c r="AH97" s="290" t="s">
        <v>1448</v>
      </c>
      <c r="AI97" s="289">
        <v>0</v>
      </c>
      <c r="AJ97" s="289">
        <v>0</v>
      </c>
    </row>
    <row r="98" spans="2:36">
      <c r="B98" s="290">
        <v>2111</v>
      </c>
      <c r="C98" s="294">
        <v>275228</v>
      </c>
      <c r="D98" s="290" t="s">
        <v>944</v>
      </c>
      <c r="E98" s="289" t="s">
        <v>1134</v>
      </c>
      <c r="F98" s="290">
        <v>468</v>
      </c>
      <c r="G98" s="289"/>
      <c r="H98" s="289"/>
      <c r="I98" s="289" t="s">
        <v>1584</v>
      </c>
      <c r="J98" s="289">
        <v>0</v>
      </c>
      <c r="K98" s="289" t="s">
        <v>1462</v>
      </c>
      <c r="L98" s="289"/>
      <c r="M98" s="289" t="s">
        <v>1463</v>
      </c>
      <c r="N98" s="293">
        <v>44629</v>
      </c>
      <c r="O98" s="293">
        <v>44629</v>
      </c>
      <c r="P98" s="289" t="s">
        <v>3978</v>
      </c>
      <c r="Q98" s="290">
        <v>700</v>
      </c>
      <c r="R98" s="290">
        <v>14050</v>
      </c>
      <c r="S98" s="291">
        <v>28648.62</v>
      </c>
      <c r="T98" s="290">
        <v>14056</v>
      </c>
      <c r="U98" s="291">
        <v>1705.28</v>
      </c>
      <c r="V98" s="291">
        <f t="shared" si="1"/>
        <v>26943.34</v>
      </c>
      <c r="W98" s="292">
        <v>1705.28</v>
      </c>
      <c r="X98" s="290">
        <v>54260</v>
      </c>
      <c r="Y98" s="291">
        <v>341.06</v>
      </c>
      <c r="Z98" s="289" t="s">
        <v>944</v>
      </c>
      <c r="AA98" s="289"/>
      <c r="AB98" s="289">
        <v>50228477</v>
      </c>
      <c r="AC98" s="289"/>
      <c r="AD98" s="289" t="s">
        <v>1446</v>
      </c>
      <c r="AE98" s="289" t="s">
        <v>410</v>
      </c>
      <c r="AF98" s="290" t="s">
        <v>1447</v>
      </c>
      <c r="AG98" s="289"/>
      <c r="AH98" s="290" t="s">
        <v>1448</v>
      </c>
      <c r="AI98" s="289">
        <v>0</v>
      </c>
      <c r="AJ98" s="289">
        <v>0</v>
      </c>
    </row>
    <row r="99" spans="2:36">
      <c r="B99" s="290">
        <v>2111</v>
      </c>
      <c r="C99" s="294">
        <v>275227</v>
      </c>
      <c r="D99" s="290" t="s">
        <v>944</v>
      </c>
      <c r="E99" s="289" t="s">
        <v>1149</v>
      </c>
      <c r="F99" s="290">
        <v>702</v>
      </c>
      <c r="G99" s="289"/>
      <c r="H99" s="289"/>
      <c r="I99" s="289" t="s">
        <v>1584</v>
      </c>
      <c r="J99" s="289">
        <v>0</v>
      </c>
      <c r="K99" s="289" t="s">
        <v>1462</v>
      </c>
      <c r="L99" s="289"/>
      <c r="M99" s="289" t="s">
        <v>1463</v>
      </c>
      <c r="N99" s="293">
        <v>44629</v>
      </c>
      <c r="O99" s="293">
        <v>44629</v>
      </c>
      <c r="P99" s="289" t="s">
        <v>3978</v>
      </c>
      <c r="Q99" s="290">
        <v>700</v>
      </c>
      <c r="R99" s="290">
        <v>14050</v>
      </c>
      <c r="S99" s="291">
        <v>47227.75</v>
      </c>
      <c r="T99" s="290">
        <v>14056</v>
      </c>
      <c r="U99" s="291">
        <v>2811.18</v>
      </c>
      <c r="V99" s="291">
        <f t="shared" si="1"/>
        <v>44416.57</v>
      </c>
      <c r="W99" s="292">
        <v>2811.18</v>
      </c>
      <c r="X99" s="290">
        <v>54260</v>
      </c>
      <c r="Y99" s="291">
        <v>562.24</v>
      </c>
      <c r="Z99" s="289" t="s">
        <v>944</v>
      </c>
      <c r="AA99" s="289"/>
      <c r="AB99" s="289">
        <v>50228081</v>
      </c>
      <c r="AC99" s="289"/>
      <c r="AD99" s="289" t="s">
        <v>1446</v>
      </c>
      <c r="AE99" s="289" t="s">
        <v>410</v>
      </c>
      <c r="AF99" s="290" t="s">
        <v>1447</v>
      </c>
      <c r="AG99" s="289"/>
      <c r="AH99" s="290" t="s">
        <v>1448</v>
      </c>
      <c r="AI99" s="289">
        <v>0</v>
      </c>
      <c r="AJ99" s="289">
        <v>0</v>
      </c>
    </row>
    <row r="100" spans="2:36">
      <c r="B100" s="290">
        <v>2111</v>
      </c>
      <c r="C100" s="294">
        <v>275226</v>
      </c>
      <c r="D100" s="290" t="s">
        <v>944</v>
      </c>
      <c r="E100" s="289" t="s">
        <v>1135</v>
      </c>
      <c r="F100" s="290">
        <v>702</v>
      </c>
      <c r="G100" s="289"/>
      <c r="H100" s="289"/>
      <c r="I100" s="289" t="s">
        <v>1584</v>
      </c>
      <c r="J100" s="289">
        <v>0</v>
      </c>
      <c r="K100" s="289" t="s">
        <v>1462</v>
      </c>
      <c r="L100" s="289"/>
      <c r="M100" s="289" t="s">
        <v>1463</v>
      </c>
      <c r="N100" s="293">
        <v>44629</v>
      </c>
      <c r="O100" s="293">
        <v>44629</v>
      </c>
      <c r="P100" s="289" t="s">
        <v>3978</v>
      </c>
      <c r="Q100" s="290">
        <v>700</v>
      </c>
      <c r="R100" s="290">
        <v>14050</v>
      </c>
      <c r="S100" s="291">
        <v>47227.75</v>
      </c>
      <c r="T100" s="290">
        <v>14056</v>
      </c>
      <c r="U100" s="291">
        <v>2811.18</v>
      </c>
      <c r="V100" s="291">
        <f t="shared" si="1"/>
        <v>44416.57</v>
      </c>
      <c r="W100" s="292">
        <v>2811.18</v>
      </c>
      <c r="X100" s="290">
        <v>54260</v>
      </c>
      <c r="Y100" s="291">
        <v>562.24</v>
      </c>
      <c r="Z100" s="289" t="s">
        <v>944</v>
      </c>
      <c r="AA100" s="289"/>
      <c r="AB100" s="289">
        <v>50228081</v>
      </c>
      <c r="AC100" s="289"/>
      <c r="AD100" s="289" t="s">
        <v>1446</v>
      </c>
      <c r="AE100" s="289" t="s">
        <v>410</v>
      </c>
      <c r="AF100" s="290" t="s">
        <v>1447</v>
      </c>
      <c r="AG100" s="289"/>
      <c r="AH100" s="290" t="s">
        <v>1448</v>
      </c>
      <c r="AI100" s="289">
        <v>0</v>
      </c>
      <c r="AJ100" s="289">
        <v>0</v>
      </c>
    </row>
    <row r="101" spans="2:36">
      <c r="B101" s="290">
        <v>2111</v>
      </c>
      <c r="C101" s="294">
        <v>275225</v>
      </c>
      <c r="D101" s="290" t="s">
        <v>944</v>
      </c>
      <c r="E101" s="289" t="s">
        <v>1149</v>
      </c>
      <c r="F101" s="290">
        <v>702</v>
      </c>
      <c r="G101" s="289"/>
      <c r="H101" s="289"/>
      <c r="I101" s="289" t="s">
        <v>1584</v>
      </c>
      <c r="J101" s="289">
        <v>0</v>
      </c>
      <c r="K101" s="289" t="s">
        <v>1462</v>
      </c>
      <c r="L101" s="289"/>
      <c r="M101" s="289" t="s">
        <v>1463</v>
      </c>
      <c r="N101" s="293">
        <v>44629</v>
      </c>
      <c r="O101" s="293">
        <v>44629</v>
      </c>
      <c r="P101" s="289" t="s">
        <v>3978</v>
      </c>
      <c r="Q101" s="290">
        <v>700</v>
      </c>
      <c r="R101" s="290">
        <v>14050</v>
      </c>
      <c r="S101" s="291">
        <v>47227.75</v>
      </c>
      <c r="T101" s="290">
        <v>14056</v>
      </c>
      <c r="U101" s="291">
        <v>2811.18</v>
      </c>
      <c r="V101" s="291">
        <f t="shared" si="1"/>
        <v>44416.57</v>
      </c>
      <c r="W101" s="292">
        <v>2811.18</v>
      </c>
      <c r="X101" s="290">
        <v>54260</v>
      </c>
      <c r="Y101" s="291">
        <v>562.24</v>
      </c>
      <c r="Z101" s="289" t="s">
        <v>944</v>
      </c>
      <c r="AA101" s="289"/>
      <c r="AB101" s="289">
        <v>50228283</v>
      </c>
      <c r="AC101" s="289"/>
      <c r="AD101" s="289" t="s">
        <v>1446</v>
      </c>
      <c r="AE101" s="289" t="s">
        <v>410</v>
      </c>
      <c r="AF101" s="290" t="s">
        <v>1447</v>
      </c>
      <c r="AG101" s="289"/>
      <c r="AH101" s="290" t="s">
        <v>1448</v>
      </c>
      <c r="AI101" s="289">
        <v>0</v>
      </c>
      <c r="AJ101" s="289">
        <v>0</v>
      </c>
    </row>
    <row r="102" spans="2:36">
      <c r="B102" s="290">
        <v>2111</v>
      </c>
      <c r="C102" s="294">
        <v>274392</v>
      </c>
      <c r="D102" s="290" t="s">
        <v>944</v>
      </c>
      <c r="E102" s="289" t="s">
        <v>1149</v>
      </c>
      <c r="F102" s="290">
        <v>351</v>
      </c>
      <c r="G102" s="289"/>
      <c r="H102" s="289"/>
      <c r="I102" s="289"/>
      <c r="J102" s="289">
        <v>0</v>
      </c>
      <c r="K102" s="289" t="s">
        <v>1462</v>
      </c>
      <c r="L102" s="289"/>
      <c r="M102" s="289" t="s">
        <v>1463</v>
      </c>
      <c r="N102" s="293">
        <v>44565</v>
      </c>
      <c r="O102" s="293">
        <v>44565</v>
      </c>
      <c r="P102" s="289" t="s">
        <v>3976</v>
      </c>
      <c r="Q102" s="290">
        <v>700</v>
      </c>
      <c r="R102" s="290">
        <v>14050</v>
      </c>
      <c r="S102" s="291">
        <v>24146.69</v>
      </c>
      <c r="T102" s="290">
        <v>14056</v>
      </c>
      <c r="U102" s="291">
        <v>2012.21</v>
      </c>
      <c r="V102" s="291">
        <f t="shared" si="1"/>
        <v>22134.48</v>
      </c>
      <c r="W102" s="292">
        <v>2012.21</v>
      </c>
      <c r="X102" s="290">
        <v>54260</v>
      </c>
      <c r="Y102" s="291">
        <v>287.45</v>
      </c>
      <c r="Z102" s="289" t="s">
        <v>944</v>
      </c>
      <c r="AA102" s="289"/>
      <c r="AB102" s="289">
        <v>50217034</v>
      </c>
      <c r="AC102" s="289"/>
      <c r="AD102" s="289" t="s">
        <v>1446</v>
      </c>
      <c r="AE102" s="289" t="s">
        <v>410</v>
      </c>
      <c r="AF102" s="290" t="s">
        <v>1447</v>
      </c>
      <c r="AG102" s="289"/>
      <c r="AH102" s="290" t="s">
        <v>1448</v>
      </c>
      <c r="AI102" s="289">
        <v>0</v>
      </c>
      <c r="AJ102" s="289">
        <v>0</v>
      </c>
    </row>
    <row r="103" spans="2:36">
      <c r="B103" s="290">
        <v>2111</v>
      </c>
      <c r="C103" s="294">
        <v>274388</v>
      </c>
      <c r="D103" s="290" t="s">
        <v>944</v>
      </c>
      <c r="E103" s="289" t="s">
        <v>1134</v>
      </c>
      <c r="F103" s="290">
        <v>324</v>
      </c>
      <c r="G103" s="289"/>
      <c r="H103" s="289"/>
      <c r="I103" s="289"/>
      <c r="J103" s="289">
        <v>0</v>
      </c>
      <c r="K103" s="289" t="s">
        <v>1462</v>
      </c>
      <c r="L103" s="289"/>
      <c r="M103" s="289" t="s">
        <v>1463</v>
      </c>
      <c r="N103" s="293">
        <v>44565</v>
      </c>
      <c r="O103" s="293">
        <v>44565</v>
      </c>
      <c r="P103" s="289" t="s">
        <v>3976</v>
      </c>
      <c r="Q103" s="290">
        <v>700</v>
      </c>
      <c r="R103" s="290">
        <v>14050</v>
      </c>
      <c r="S103" s="291">
        <v>20161.55</v>
      </c>
      <c r="T103" s="290">
        <v>14056</v>
      </c>
      <c r="U103" s="291">
        <v>1680.13</v>
      </c>
      <c r="V103" s="291">
        <f t="shared" si="1"/>
        <v>18481.419999999998</v>
      </c>
      <c r="W103" s="292">
        <v>1680.13</v>
      </c>
      <c r="X103" s="290">
        <v>54260</v>
      </c>
      <c r="Y103" s="291">
        <v>240.02</v>
      </c>
      <c r="Z103" s="289" t="s">
        <v>944</v>
      </c>
      <c r="AA103" s="289"/>
      <c r="AB103" s="289">
        <v>50217034</v>
      </c>
      <c r="AC103" s="289"/>
      <c r="AD103" s="289" t="s">
        <v>1446</v>
      </c>
      <c r="AE103" s="289" t="s">
        <v>410</v>
      </c>
      <c r="AF103" s="290" t="s">
        <v>1447</v>
      </c>
      <c r="AG103" s="289"/>
      <c r="AH103" s="290" t="s">
        <v>1448</v>
      </c>
      <c r="AI103" s="289">
        <v>0</v>
      </c>
      <c r="AJ103" s="289">
        <v>0</v>
      </c>
    </row>
    <row r="104" spans="2:36">
      <c r="B104" s="290">
        <v>2111</v>
      </c>
      <c r="C104" s="294">
        <v>273023</v>
      </c>
      <c r="D104" s="290" t="s">
        <v>944</v>
      </c>
      <c r="E104" s="289" t="s">
        <v>3974</v>
      </c>
      <c r="F104" s="290">
        <v>200</v>
      </c>
      <c r="G104" s="289"/>
      <c r="H104" s="289"/>
      <c r="I104" s="289"/>
      <c r="J104" s="289">
        <v>0</v>
      </c>
      <c r="K104" s="289" t="s">
        <v>1462</v>
      </c>
      <c r="L104" s="289"/>
      <c r="M104" s="289" t="s">
        <v>1463</v>
      </c>
      <c r="N104" s="293">
        <v>44565</v>
      </c>
      <c r="O104" s="293">
        <v>44565</v>
      </c>
      <c r="P104" s="289" t="s">
        <v>3976</v>
      </c>
      <c r="Q104" s="290">
        <v>700</v>
      </c>
      <c r="R104" s="290">
        <v>14050</v>
      </c>
      <c r="S104" s="291">
        <v>4947.8</v>
      </c>
      <c r="T104" s="290">
        <v>14056</v>
      </c>
      <c r="U104" s="291">
        <v>412.32</v>
      </c>
      <c r="V104" s="291">
        <f t="shared" si="1"/>
        <v>4535.4800000000005</v>
      </c>
      <c r="W104" s="292">
        <v>412.32</v>
      </c>
      <c r="X104" s="290">
        <v>54260</v>
      </c>
      <c r="Y104" s="291">
        <v>58.9</v>
      </c>
      <c r="Z104" s="289" t="s">
        <v>944</v>
      </c>
      <c r="AA104" s="289"/>
      <c r="AB104" s="289">
        <v>50215579</v>
      </c>
      <c r="AC104" s="289"/>
      <c r="AD104" s="289" t="s">
        <v>1446</v>
      </c>
      <c r="AE104" s="289" t="s">
        <v>410</v>
      </c>
      <c r="AF104" s="290" t="s">
        <v>1447</v>
      </c>
      <c r="AG104" s="289"/>
      <c r="AH104" s="290" t="s">
        <v>1448</v>
      </c>
      <c r="AI104" s="289">
        <v>0</v>
      </c>
      <c r="AJ104" s="289">
        <v>0</v>
      </c>
    </row>
    <row r="105" spans="2:36">
      <c r="B105" s="290">
        <v>2111</v>
      </c>
      <c r="C105" s="294">
        <v>273022</v>
      </c>
      <c r="D105" s="290" t="s">
        <v>944</v>
      </c>
      <c r="E105" s="289" t="s">
        <v>3977</v>
      </c>
      <c r="F105" s="290">
        <v>702</v>
      </c>
      <c r="G105" s="289"/>
      <c r="H105" s="289"/>
      <c r="I105" s="289"/>
      <c r="J105" s="289">
        <v>0</v>
      </c>
      <c r="K105" s="289" t="s">
        <v>1462</v>
      </c>
      <c r="L105" s="289"/>
      <c r="M105" s="289" t="s">
        <v>1463</v>
      </c>
      <c r="N105" s="293">
        <v>44565</v>
      </c>
      <c r="O105" s="293">
        <v>44565</v>
      </c>
      <c r="P105" s="289" t="s">
        <v>3976</v>
      </c>
      <c r="Q105" s="290">
        <v>700</v>
      </c>
      <c r="R105" s="290">
        <v>14050</v>
      </c>
      <c r="S105" s="291">
        <v>48293.39</v>
      </c>
      <c r="T105" s="290">
        <v>14056</v>
      </c>
      <c r="U105" s="291">
        <v>4024.45</v>
      </c>
      <c r="V105" s="291">
        <f t="shared" si="1"/>
        <v>44268.94</v>
      </c>
      <c r="W105" s="292">
        <v>4024.45</v>
      </c>
      <c r="X105" s="290">
        <v>54260</v>
      </c>
      <c r="Y105" s="291">
        <v>574.91999999999996</v>
      </c>
      <c r="Z105" s="289" t="s">
        <v>944</v>
      </c>
      <c r="AA105" s="289"/>
      <c r="AB105" s="289">
        <v>50215579</v>
      </c>
      <c r="AC105" s="289"/>
      <c r="AD105" s="289" t="s">
        <v>1446</v>
      </c>
      <c r="AE105" s="289" t="s">
        <v>410</v>
      </c>
      <c r="AF105" s="290" t="s">
        <v>1447</v>
      </c>
      <c r="AG105" s="289"/>
      <c r="AH105" s="290" t="s">
        <v>1448</v>
      </c>
      <c r="AI105" s="289">
        <v>0</v>
      </c>
      <c r="AJ105" s="289">
        <v>0</v>
      </c>
    </row>
    <row r="106" spans="2:36">
      <c r="B106" s="290">
        <v>2111</v>
      </c>
      <c r="C106" s="294">
        <v>273021</v>
      </c>
      <c r="D106" s="290" t="s">
        <v>944</v>
      </c>
      <c r="E106" s="289" t="s">
        <v>3975</v>
      </c>
      <c r="F106" s="290">
        <v>702</v>
      </c>
      <c r="G106" s="289"/>
      <c r="H106" s="289"/>
      <c r="I106" s="289"/>
      <c r="J106" s="289">
        <v>0</v>
      </c>
      <c r="K106" s="289" t="s">
        <v>1462</v>
      </c>
      <c r="L106" s="289"/>
      <c r="M106" s="289" t="s">
        <v>1463</v>
      </c>
      <c r="N106" s="293">
        <v>44565</v>
      </c>
      <c r="O106" s="293">
        <v>44565</v>
      </c>
      <c r="P106" s="289" t="s">
        <v>3976</v>
      </c>
      <c r="Q106" s="290">
        <v>700</v>
      </c>
      <c r="R106" s="290">
        <v>14050</v>
      </c>
      <c r="S106" s="291">
        <v>48293.39</v>
      </c>
      <c r="T106" s="290">
        <v>14056</v>
      </c>
      <c r="U106" s="291">
        <v>4024.45</v>
      </c>
      <c r="V106" s="291">
        <f t="shared" si="1"/>
        <v>44268.94</v>
      </c>
      <c r="W106" s="292">
        <v>4024.45</v>
      </c>
      <c r="X106" s="290">
        <v>54260</v>
      </c>
      <c r="Y106" s="291">
        <v>574.91999999999996</v>
      </c>
      <c r="Z106" s="289" t="s">
        <v>944</v>
      </c>
      <c r="AA106" s="289"/>
      <c r="AB106" s="289">
        <v>50215801</v>
      </c>
      <c r="AC106" s="289"/>
      <c r="AD106" s="289" t="s">
        <v>1446</v>
      </c>
      <c r="AE106" s="289" t="s">
        <v>410</v>
      </c>
      <c r="AF106" s="290" t="s">
        <v>1447</v>
      </c>
      <c r="AG106" s="289"/>
      <c r="AH106" s="290" t="s">
        <v>1448</v>
      </c>
      <c r="AI106" s="289">
        <v>0</v>
      </c>
      <c r="AJ106" s="289">
        <v>0</v>
      </c>
    </row>
    <row r="107" spans="2:36">
      <c r="B107" s="290">
        <v>2111</v>
      </c>
      <c r="C107" s="294">
        <v>273020</v>
      </c>
      <c r="D107" s="290" t="s">
        <v>944</v>
      </c>
      <c r="E107" s="289" t="s">
        <v>3974</v>
      </c>
      <c r="F107" s="290">
        <v>220</v>
      </c>
      <c r="G107" s="289"/>
      <c r="H107" s="289"/>
      <c r="I107" s="289"/>
      <c r="J107" s="289">
        <v>0</v>
      </c>
      <c r="K107" s="289" t="s">
        <v>1462</v>
      </c>
      <c r="L107" s="289"/>
      <c r="M107" s="289" t="s">
        <v>1463</v>
      </c>
      <c r="N107" s="293">
        <v>44563</v>
      </c>
      <c r="O107" s="293">
        <v>44563</v>
      </c>
      <c r="P107" s="289" t="s">
        <v>1464</v>
      </c>
      <c r="Q107" s="290">
        <v>700</v>
      </c>
      <c r="R107" s="290">
        <v>14050</v>
      </c>
      <c r="S107" s="291">
        <v>5442.58</v>
      </c>
      <c r="T107" s="290">
        <v>14056</v>
      </c>
      <c r="U107" s="291">
        <v>453.55</v>
      </c>
      <c r="V107" s="291">
        <f t="shared" si="1"/>
        <v>4989.03</v>
      </c>
      <c r="W107" s="292">
        <v>453.55</v>
      </c>
      <c r="X107" s="290">
        <v>54260</v>
      </c>
      <c r="Y107" s="291">
        <v>64.790000000000006</v>
      </c>
      <c r="Z107" s="289" t="s">
        <v>944</v>
      </c>
      <c r="AA107" s="289"/>
      <c r="AB107" s="289">
        <v>50212403</v>
      </c>
      <c r="AC107" s="289"/>
      <c r="AD107" s="289" t="s">
        <v>1446</v>
      </c>
      <c r="AE107" s="289" t="s">
        <v>410</v>
      </c>
      <c r="AF107" s="290" t="s">
        <v>1447</v>
      </c>
      <c r="AG107" s="289"/>
      <c r="AH107" s="290" t="s">
        <v>1448</v>
      </c>
      <c r="AI107" s="289">
        <v>0</v>
      </c>
      <c r="AJ107" s="289">
        <v>0</v>
      </c>
    </row>
    <row r="108" spans="2:36">
      <c r="B108" s="290">
        <v>2111</v>
      </c>
      <c r="C108" s="294">
        <v>272987</v>
      </c>
      <c r="D108" s="290" t="s">
        <v>944</v>
      </c>
      <c r="E108" s="289" t="s">
        <v>3970</v>
      </c>
      <c r="F108" s="290"/>
      <c r="G108" s="289"/>
      <c r="H108" s="289" t="s">
        <v>3971</v>
      </c>
      <c r="I108" s="289"/>
      <c r="J108" s="289">
        <v>2021</v>
      </c>
      <c r="K108" s="289" t="s">
        <v>2038</v>
      </c>
      <c r="L108" s="289"/>
      <c r="M108" s="289" t="s">
        <v>2662</v>
      </c>
      <c r="N108" s="293">
        <v>44567</v>
      </c>
      <c r="O108" s="293">
        <v>44567</v>
      </c>
      <c r="P108" s="289" t="s">
        <v>3972</v>
      </c>
      <c r="Q108" s="290">
        <v>900</v>
      </c>
      <c r="R108" s="290">
        <v>14040</v>
      </c>
      <c r="S108" s="291">
        <v>124165</v>
      </c>
      <c r="T108" s="290">
        <v>14046</v>
      </c>
      <c r="U108" s="291">
        <v>8047.73</v>
      </c>
      <c r="V108" s="291">
        <f t="shared" si="1"/>
        <v>116117.27</v>
      </c>
      <c r="W108" s="292">
        <v>8047.73</v>
      </c>
      <c r="X108" s="290">
        <v>51260</v>
      </c>
      <c r="Y108" s="291">
        <v>1149.67</v>
      </c>
      <c r="Z108" s="289" t="s">
        <v>944</v>
      </c>
      <c r="AA108" s="289"/>
      <c r="AB108" s="289" t="s">
        <v>3973</v>
      </c>
      <c r="AC108" s="289"/>
      <c r="AD108" s="289" t="s">
        <v>1446</v>
      </c>
      <c r="AE108" s="289" t="s">
        <v>410</v>
      </c>
      <c r="AF108" s="290" t="s">
        <v>1447</v>
      </c>
      <c r="AG108" s="289"/>
      <c r="AH108" s="290" t="s">
        <v>1448</v>
      </c>
      <c r="AI108" s="289">
        <v>0</v>
      </c>
      <c r="AJ108" s="289">
        <v>0</v>
      </c>
    </row>
    <row r="109" spans="2:36">
      <c r="B109" s="290">
        <v>2111</v>
      </c>
      <c r="C109" s="294">
        <v>272986</v>
      </c>
      <c r="D109" s="290" t="s">
        <v>944</v>
      </c>
      <c r="E109" s="289" t="s">
        <v>3965</v>
      </c>
      <c r="F109" s="290"/>
      <c r="G109" s="289"/>
      <c r="H109" s="289" t="s">
        <v>3966</v>
      </c>
      <c r="I109" s="289"/>
      <c r="J109" s="289">
        <v>0</v>
      </c>
      <c r="K109" s="289" t="s">
        <v>3967</v>
      </c>
      <c r="L109" s="289"/>
      <c r="M109" s="289" t="s">
        <v>3968</v>
      </c>
      <c r="N109" s="293">
        <v>44563</v>
      </c>
      <c r="O109" s="293">
        <v>44563</v>
      </c>
      <c r="P109" s="289" t="s">
        <v>3969</v>
      </c>
      <c r="Q109" s="290">
        <v>300</v>
      </c>
      <c r="R109" s="290">
        <v>14040</v>
      </c>
      <c r="S109" s="291">
        <v>37671.769999999997</v>
      </c>
      <c r="T109" s="290">
        <v>14046</v>
      </c>
      <c r="U109" s="291">
        <v>7325.07</v>
      </c>
      <c r="V109" s="291">
        <f t="shared" si="1"/>
        <v>30346.699999999997</v>
      </c>
      <c r="W109" s="292">
        <v>7325.07</v>
      </c>
      <c r="X109" s="290">
        <v>51260</v>
      </c>
      <c r="Y109" s="291">
        <v>1046.44</v>
      </c>
      <c r="Z109" s="289" t="s">
        <v>944</v>
      </c>
      <c r="AA109" s="289"/>
      <c r="AB109" s="289">
        <v>24946</v>
      </c>
      <c r="AC109" s="289"/>
      <c r="AD109" s="289" t="s">
        <v>1446</v>
      </c>
      <c r="AE109" s="289" t="s">
        <v>410</v>
      </c>
      <c r="AF109" s="290" t="s">
        <v>1447</v>
      </c>
      <c r="AG109" s="289"/>
      <c r="AH109" s="290" t="s">
        <v>1448</v>
      </c>
      <c r="AI109" s="289">
        <v>0</v>
      </c>
      <c r="AJ109" s="289">
        <v>0</v>
      </c>
    </row>
    <row r="110" spans="2:36">
      <c r="B110" s="290">
        <v>2111</v>
      </c>
      <c r="C110" s="294">
        <v>272646</v>
      </c>
      <c r="D110" s="290">
        <v>272642</v>
      </c>
      <c r="E110" s="289" t="s">
        <v>3962</v>
      </c>
      <c r="F110" s="290">
        <v>0</v>
      </c>
      <c r="G110" s="289"/>
      <c r="H110" s="289"/>
      <c r="I110" s="289"/>
      <c r="J110" s="289">
        <v>0</v>
      </c>
      <c r="K110" s="289" t="s">
        <v>3963</v>
      </c>
      <c r="L110" s="289"/>
      <c r="M110" s="289" t="s">
        <v>1467</v>
      </c>
      <c r="N110" s="293">
        <v>41275</v>
      </c>
      <c r="O110" s="293">
        <v>41275</v>
      </c>
      <c r="P110" s="289" t="s">
        <v>3964</v>
      </c>
      <c r="Q110" s="290">
        <v>411</v>
      </c>
      <c r="R110" s="290">
        <v>14040</v>
      </c>
      <c r="S110" s="291">
        <v>551.15</v>
      </c>
      <c r="T110" s="290">
        <v>14046</v>
      </c>
      <c r="U110" s="291">
        <v>551.15</v>
      </c>
      <c r="V110" s="291">
        <f t="shared" si="1"/>
        <v>0</v>
      </c>
      <c r="W110" s="292">
        <v>0</v>
      </c>
      <c r="X110" s="290">
        <v>51260</v>
      </c>
      <c r="Y110" s="291">
        <v>0</v>
      </c>
      <c r="Z110" s="289" t="s">
        <v>944</v>
      </c>
      <c r="AA110" s="289"/>
      <c r="AB110" s="289">
        <v>5012894</v>
      </c>
      <c r="AC110" s="289"/>
      <c r="AD110" s="289" t="s">
        <v>1446</v>
      </c>
      <c r="AE110" s="289" t="s">
        <v>410</v>
      </c>
      <c r="AF110" s="290" t="s">
        <v>1447</v>
      </c>
      <c r="AG110" s="295">
        <v>44561</v>
      </c>
      <c r="AH110" s="290" t="s">
        <v>1448</v>
      </c>
      <c r="AI110" s="289">
        <v>0</v>
      </c>
      <c r="AJ110" s="289">
        <v>551.15</v>
      </c>
    </row>
    <row r="111" spans="2:36">
      <c r="B111" s="290">
        <v>2111</v>
      </c>
      <c r="C111" s="294">
        <v>272645</v>
      </c>
      <c r="D111" s="290">
        <v>272642</v>
      </c>
      <c r="E111" s="289" t="s">
        <v>3960</v>
      </c>
      <c r="F111" s="290">
        <v>0</v>
      </c>
      <c r="G111" s="289"/>
      <c r="H111" s="289" t="s">
        <v>3957</v>
      </c>
      <c r="I111" s="289"/>
      <c r="J111" s="289">
        <v>2008</v>
      </c>
      <c r="K111" s="289" t="s">
        <v>3958</v>
      </c>
      <c r="L111" s="289" t="s">
        <v>1483</v>
      </c>
      <c r="M111" s="289" t="s">
        <v>1591</v>
      </c>
      <c r="N111" s="293">
        <v>41242</v>
      </c>
      <c r="O111" s="293">
        <v>41242</v>
      </c>
      <c r="P111" s="289" t="s">
        <v>3955</v>
      </c>
      <c r="Q111" s="290">
        <v>500</v>
      </c>
      <c r="R111" s="290">
        <v>14040</v>
      </c>
      <c r="S111" s="291">
        <v>4610</v>
      </c>
      <c r="T111" s="290">
        <v>14046</v>
      </c>
      <c r="U111" s="291">
        <v>4610</v>
      </c>
      <c r="V111" s="291">
        <f t="shared" si="1"/>
        <v>0</v>
      </c>
      <c r="W111" s="292">
        <v>0</v>
      </c>
      <c r="X111" s="290">
        <v>51260</v>
      </c>
      <c r="Y111" s="291">
        <v>0</v>
      </c>
      <c r="Z111" s="289" t="s">
        <v>944</v>
      </c>
      <c r="AA111" s="289"/>
      <c r="AB111" s="289" t="s">
        <v>3961</v>
      </c>
      <c r="AC111" s="289"/>
      <c r="AD111" s="289" t="s">
        <v>1446</v>
      </c>
      <c r="AE111" s="289" t="s">
        <v>410</v>
      </c>
      <c r="AF111" s="290" t="s">
        <v>1447</v>
      </c>
      <c r="AG111" s="295">
        <v>44561</v>
      </c>
      <c r="AH111" s="290" t="s">
        <v>1448</v>
      </c>
      <c r="AI111" s="289">
        <v>0</v>
      </c>
      <c r="AJ111" s="289">
        <v>4610</v>
      </c>
    </row>
    <row r="112" spans="2:36">
      <c r="B112" s="290">
        <v>2111</v>
      </c>
      <c r="C112" s="294">
        <v>272644</v>
      </c>
      <c r="D112" s="290">
        <v>272642</v>
      </c>
      <c r="E112" s="289" t="s">
        <v>3959</v>
      </c>
      <c r="F112" s="290">
        <v>0</v>
      </c>
      <c r="G112" s="289"/>
      <c r="H112" s="289" t="s">
        <v>3957</v>
      </c>
      <c r="I112" s="289"/>
      <c r="J112" s="289">
        <v>2008</v>
      </c>
      <c r="K112" s="289" t="s">
        <v>3958</v>
      </c>
      <c r="L112" s="289" t="s">
        <v>1483</v>
      </c>
      <c r="M112" s="289" t="s">
        <v>1591</v>
      </c>
      <c r="N112" s="293">
        <v>41242</v>
      </c>
      <c r="O112" s="293">
        <v>41242</v>
      </c>
      <c r="P112" s="289" t="s">
        <v>3955</v>
      </c>
      <c r="Q112" s="290">
        <v>500</v>
      </c>
      <c r="R112" s="290">
        <v>14040</v>
      </c>
      <c r="S112" s="291">
        <v>4221.3599999999997</v>
      </c>
      <c r="T112" s="290">
        <v>14046</v>
      </c>
      <c r="U112" s="291">
        <v>4221.3599999999997</v>
      </c>
      <c r="V112" s="291">
        <f t="shared" si="1"/>
        <v>0</v>
      </c>
      <c r="W112" s="292">
        <v>0</v>
      </c>
      <c r="X112" s="290">
        <v>51260</v>
      </c>
      <c r="Y112" s="291">
        <v>0</v>
      </c>
      <c r="Z112" s="289" t="s">
        <v>944</v>
      </c>
      <c r="AA112" s="289"/>
      <c r="AB112" s="289">
        <v>510</v>
      </c>
      <c r="AC112" s="289"/>
      <c r="AD112" s="289" t="s">
        <v>1446</v>
      </c>
      <c r="AE112" s="289" t="s">
        <v>410</v>
      </c>
      <c r="AF112" s="290" t="s">
        <v>1447</v>
      </c>
      <c r="AG112" s="295">
        <v>44561</v>
      </c>
      <c r="AH112" s="290" t="s">
        <v>1448</v>
      </c>
      <c r="AI112" s="289">
        <v>0</v>
      </c>
      <c r="AJ112" s="289">
        <v>4221.3599999999997</v>
      </c>
    </row>
    <row r="113" spans="2:36">
      <c r="B113" s="290">
        <v>2111</v>
      </c>
      <c r="C113" s="294">
        <v>272643</v>
      </c>
      <c r="D113" s="290">
        <v>272642</v>
      </c>
      <c r="E113" s="289" t="s">
        <v>3956</v>
      </c>
      <c r="F113" s="290">
        <v>0</v>
      </c>
      <c r="G113" s="289"/>
      <c r="H113" s="289" t="s">
        <v>3957</v>
      </c>
      <c r="I113" s="289"/>
      <c r="J113" s="289">
        <v>2008</v>
      </c>
      <c r="K113" s="289" t="s">
        <v>3958</v>
      </c>
      <c r="L113" s="289" t="s">
        <v>1483</v>
      </c>
      <c r="M113" s="289" t="s">
        <v>1591</v>
      </c>
      <c r="N113" s="293">
        <v>41242</v>
      </c>
      <c r="O113" s="293">
        <v>41242</v>
      </c>
      <c r="P113" s="289" t="s">
        <v>3955</v>
      </c>
      <c r="Q113" s="290">
        <v>500</v>
      </c>
      <c r="R113" s="290">
        <v>14040</v>
      </c>
      <c r="S113" s="291">
        <v>1791.17</v>
      </c>
      <c r="T113" s="290">
        <v>14046</v>
      </c>
      <c r="U113" s="291">
        <v>1791.17</v>
      </c>
      <c r="V113" s="291">
        <f t="shared" si="1"/>
        <v>0</v>
      </c>
      <c r="W113" s="292">
        <v>0</v>
      </c>
      <c r="X113" s="290">
        <v>51260</v>
      </c>
      <c r="Y113" s="291">
        <v>0</v>
      </c>
      <c r="Z113" s="289" t="s">
        <v>944</v>
      </c>
      <c r="AA113" s="289"/>
      <c r="AB113" s="289">
        <v>11302012</v>
      </c>
      <c r="AC113" s="289"/>
      <c r="AD113" s="289" t="s">
        <v>1446</v>
      </c>
      <c r="AE113" s="289" t="s">
        <v>410</v>
      </c>
      <c r="AF113" s="290" t="s">
        <v>1447</v>
      </c>
      <c r="AG113" s="295">
        <v>44561</v>
      </c>
      <c r="AH113" s="290" t="s">
        <v>1448</v>
      </c>
      <c r="AI113" s="289">
        <v>0</v>
      </c>
      <c r="AJ113" s="289">
        <v>1791.17</v>
      </c>
    </row>
    <row r="114" spans="2:36">
      <c r="B114" s="290">
        <v>2111</v>
      </c>
      <c r="C114" s="294">
        <v>272642</v>
      </c>
      <c r="D114" s="290" t="s">
        <v>944</v>
      </c>
      <c r="E114" s="289" t="s">
        <v>3953</v>
      </c>
      <c r="F114" s="290">
        <v>0</v>
      </c>
      <c r="G114" s="289"/>
      <c r="H114" s="289" t="s">
        <v>3954</v>
      </c>
      <c r="I114" s="289"/>
      <c r="J114" s="289">
        <v>2008</v>
      </c>
      <c r="K114" s="289" t="s">
        <v>1483</v>
      </c>
      <c r="L114" s="289" t="s">
        <v>751</v>
      </c>
      <c r="M114" s="289" t="s">
        <v>1591</v>
      </c>
      <c r="N114" s="293">
        <v>41242</v>
      </c>
      <c r="O114" s="293">
        <v>41242</v>
      </c>
      <c r="P114" s="289" t="s">
        <v>3955</v>
      </c>
      <c r="Q114" s="290">
        <v>500</v>
      </c>
      <c r="R114" s="290">
        <v>14040</v>
      </c>
      <c r="S114" s="291">
        <v>75000</v>
      </c>
      <c r="T114" s="290">
        <v>14046</v>
      </c>
      <c r="U114" s="291">
        <v>75000</v>
      </c>
      <c r="V114" s="291">
        <f t="shared" si="1"/>
        <v>0</v>
      </c>
      <c r="W114" s="292">
        <v>0</v>
      </c>
      <c r="X114" s="290">
        <v>51260</v>
      </c>
      <c r="Y114" s="291">
        <v>0</v>
      </c>
      <c r="Z114" s="289" t="s">
        <v>944</v>
      </c>
      <c r="AA114" s="289"/>
      <c r="AB114" s="289">
        <v>500</v>
      </c>
      <c r="AC114" s="289">
        <v>67</v>
      </c>
      <c r="AD114" s="289" t="s">
        <v>1446</v>
      </c>
      <c r="AE114" s="289" t="s">
        <v>410</v>
      </c>
      <c r="AF114" s="290" t="s">
        <v>1447</v>
      </c>
      <c r="AG114" s="295">
        <v>44561</v>
      </c>
      <c r="AH114" s="290" t="s">
        <v>1448</v>
      </c>
      <c r="AI114" s="289">
        <v>0</v>
      </c>
      <c r="AJ114" s="289">
        <v>75000</v>
      </c>
    </row>
    <row r="115" spans="2:36">
      <c r="B115" s="290">
        <v>2111</v>
      </c>
      <c r="C115" s="294">
        <v>272354</v>
      </c>
      <c r="D115" s="290" t="s">
        <v>944</v>
      </c>
      <c r="E115" s="289" t="s">
        <v>3950</v>
      </c>
      <c r="F115" s="290"/>
      <c r="G115" s="289"/>
      <c r="H115" s="289" t="s">
        <v>3951</v>
      </c>
      <c r="I115" s="289"/>
      <c r="J115" s="289">
        <v>2022</v>
      </c>
      <c r="K115" s="289"/>
      <c r="L115" s="289"/>
      <c r="M115" s="289" t="s">
        <v>2049</v>
      </c>
      <c r="N115" s="293">
        <v>44563</v>
      </c>
      <c r="O115" s="293">
        <v>44563</v>
      </c>
      <c r="P115" s="289" t="s">
        <v>3952</v>
      </c>
      <c r="Q115" s="290">
        <v>1000</v>
      </c>
      <c r="R115" s="290">
        <v>14040</v>
      </c>
      <c r="S115" s="291">
        <v>153317</v>
      </c>
      <c r="T115" s="290">
        <v>14046</v>
      </c>
      <c r="U115" s="291">
        <v>8943.49</v>
      </c>
      <c r="V115" s="291">
        <f t="shared" si="1"/>
        <v>144373.51</v>
      </c>
      <c r="W115" s="292">
        <v>8943.49</v>
      </c>
      <c r="X115" s="290">
        <v>51260</v>
      </c>
      <c r="Y115" s="291">
        <v>1277.6400000000001</v>
      </c>
      <c r="Z115" s="289" t="s">
        <v>944</v>
      </c>
      <c r="AA115" s="289"/>
      <c r="AB115" s="289"/>
      <c r="AC115" s="289"/>
      <c r="AD115" s="289" t="s">
        <v>1446</v>
      </c>
      <c r="AE115" s="289" t="s">
        <v>410</v>
      </c>
      <c r="AF115" s="290" t="s">
        <v>1447</v>
      </c>
      <c r="AG115" s="289"/>
      <c r="AH115" s="290" t="s">
        <v>1448</v>
      </c>
      <c r="AI115" s="289">
        <v>0</v>
      </c>
      <c r="AJ115" s="289">
        <v>0</v>
      </c>
    </row>
    <row r="116" spans="2:36">
      <c r="B116" s="290">
        <v>2111</v>
      </c>
      <c r="C116" s="294">
        <v>270739</v>
      </c>
      <c r="D116" s="290" t="s">
        <v>944</v>
      </c>
      <c r="E116" s="289" t="s">
        <v>1444</v>
      </c>
      <c r="F116" s="290"/>
      <c r="G116" s="289"/>
      <c r="H116" s="289"/>
      <c r="I116" s="289"/>
      <c r="J116" s="289">
        <v>0</v>
      </c>
      <c r="K116" s="289"/>
      <c r="L116" s="289"/>
      <c r="M116" s="289"/>
      <c r="N116" s="293">
        <v>44561</v>
      </c>
      <c r="O116" s="293">
        <v>44561</v>
      </c>
      <c r="P116" s="289" t="s">
        <v>1445</v>
      </c>
      <c r="Q116" s="290">
        <v>500</v>
      </c>
      <c r="R116" s="290">
        <v>14070</v>
      </c>
      <c r="S116" s="291">
        <v>95.88</v>
      </c>
      <c r="T116" s="290">
        <v>14076</v>
      </c>
      <c r="U116" s="291">
        <v>11.19</v>
      </c>
      <c r="V116" s="291">
        <f t="shared" si="1"/>
        <v>84.69</v>
      </c>
      <c r="W116" s="292">
        <v>11.19</v>
      </c>
      <c r="X116" s="290">
        <v>51260</v>
      </c>
      <c r="Y116" s="291">
        <v>1.6</v>
      </c>
      <c r="Z116" s="289" t="s">
        <v>944</v>
      </c>
      <c r="AA116" s="289"/>
      <c r="AB116" s="289"/>
      <c r="AC116" s="289"/>
      <c r="AD116" s="289" t="s">
        <v>1446</v>
      </c>
      <c r="AE116" s="289" t="s">
        <v>410</v>
      </c>
      <c r="AF116" s="290" t="s">
        <v>1447</v>
      </c>
      <c r="AG116" s="289"/>
      <c r="AH116" s="290" t="s">
        <v>1448</v>
      </c>
      <c r="AI116" s="289">
        <v>0</v>
      </c>
      <c r="AJ116" s="289">
        <v>0</v>
      </c>
    </row>
    <row r="117" spans="2:36">
      <c r="B117" s="290">
        <v>2111</v>
      </c>
      <c r="C117" s="294">
        <v>270717</v>
      </c>
      <c r="D117" s="290" t="s">
        <v>944</v>
      </c>
      <c r="E117" s="289" t="s">
        <v>1449</v>
      </c>
      <c r="F117" s="290">
        <v>15</v>
      </c>
      <c r="G117" s="289"/>
      <c r="H117" s="289"/>
      <c r="I117" s="289"/>
      <c r="J117" s="289">
        <v>0</v>
      </c>
      <c r="K117" s="289"/>
      <c r="L117" s="289"/>
      <c r="M117" s="289"/>
      <c r="N117" s="293">
        <v>44561</v>
      </c>
      <c r="O117" s="293">
        <v>44561</v>
      </c>
      <c r="P117" s="289" t="s">
        <v>1445</v>
      </c>
      <c r="Q117" s="290">
        <v>500</v>
      </c>
      <c r="R117" s="290">
        <v>14070</v>
      </c>
      <c r="S117" s="291">
        <v>6943.97</v>
      </c>
      <c r="T117" s="290">
        <v>14076</v>
      </c>
      <c r="U117" s="291">
        <v>810.13</v>
      </c>
      <c r="V117" s="291">
        <f t="shared" si="1"/>
        <v>6133.84</v>
      </c>
      <c r="W117" s="292">
        <v>810.13</v>
      </c>
      <c r="X117" s="290">
        <v>51260</v>
      </c>
      <c r="Y117" s="291">
        <v>115.73</v>
      </c>
      <c r="Z117" s="289" t="s">
        <v>944</v>
      </c>
      <c r="AA117" s="289"/>
      <c r="AB117" s="289"/>
      <c r="AC117" s="289"/>
      <c r="AD117" s="289" t="s">
        <v>1446</v>
      </c>
      <c r="AE117" s="289" t="s">
        <v>410</v>
      </c>
      <c r="AF117" s="290" t="s">
        <v>1447</v>
      </c>
      <c r="AG117" s="289"/>
      <c r="AH117" s="290" t="s">
        <v>1448</v>
      </c>
      <c r="AI117" s="289">
        <v>0</v>
      </c>
      <c r="AJ117" s="289">
        <v>0</v>
      </c>
    </row>
    <row r="118" spans="2:36">
      <c r="B118" s="290">
        <v>2111</v>
      </c>
      <c r="C118" s="294">
        <v>270659</v>
      </c>
      <c r="D118" s="290" t="s">
        <v>944</v>
      </c>
      <c r="E118" s="289" t="s">
        <v>1450</v>
      </c>
      <c r="F118" s="290">
        <v>0</v>
      </c>
      <c r="G118" s="289"/>
      <c r="H118" s="289"/>
      <c r="I118" s="289"/>
      <c r="J118" s="289">
        <v>0</v>
      </c>
      <c r="K118" s="289"/>
      <c r="L118" s="289"/>
      <c r="M118" s="289"/>
      <c r="N118" s="293">
        <v>44561</v>
      </c>
      <c r="O118" s="293">
        <v>44561</v>
      </c>
      <c r="P118" s="289" t="s">
        <v>1445</v>
      </c>
      <c r="Q118" s="290">
        <v>500</v>
      </c>
      <c r="R118" s="290">
        <v>14070</v>
      </c>
      <c r="S118" s="291">
        <v>-577.51</v>
      </c>
      <c r="T118" s="290">
        <v>14076</v>
      </c>
      <c r="U118" s="291">
        <v>-67.38</v>
      </c>
      <c r="V118" s="291">
        <f t="shared" si="1"/>
        <v>-510.13</v>
      </c>
      <c r="W118" s="292">
        <v>-67.38</v>
      </c>
      <c r="X118" s="290">
        <v>51260</v>
      </c>
      <c r="Y118" s="291">
        <v>-9.6300000000000008</v>
      </c>
      <c r="Z118" s="289" t="s">
        <v>944</v>
      </c>
      <c r="AA118" s="289"/>
      <c r="AB118" s="289"/>
      <c r="AC118" s="289"/>
      <c r="AD118" s="289" t="s">
        <v>1446</v>
      </c>
      <c r="AE118" s="289" t="s">
        <v>410</v>
      </c>
      <c r="AF118" s="290" t="s">
        <v>1447</v>
      </c>
      <c r="AG118" s="289"/>
      <c r="AH118" s="290" t="s">
        <v>1448</v>
      </c>
      <c r="AI118" s="289">
        <v>0</v>
      </c>
      <c r="AJ118" s="289">
        <v>0</v>
      </c>
    </row>
    <row r="119" spans="2:36">
      <c r="B119" s="290">
        <v>2111</v>
      </c>
      <c r="C119" s="294">
        <v>270658</v>
      </c>
      <c r="D119" s="290" t="s">
        <v>944</v>
      </c>
      <c r="E119" s="289" t="s">
        <v>1449</v>
      </c>
      <c r="F119" s="290">
        <v>20</v>
      </c>
      <c r="G119" s="289"/>
      <c r="H119" s="289"/>
      <c r="I119" s="289"/>
      <c r="J119" s="289">
        <v>0</v>
      </c>
      <c r="K119" s="289"/>
      <c r="L119" s="289"/>
      <c r="M119" s="289"/>
      <c r="N119" s="293">
        <v>44561</v>
      </c>
      <c r="O119" s="293">
        <v>44561</v>
      </c>
      <c r="P119" s="289" t="s">
        <v>1445</v>
      </c>
      <c r="Q119" s="290">
        <v>500</v>
      </c>
      <c r="R119" s="290">
        <v>14070</v>
      </c>
      <c r="S119" s="291">
        <v>5282.62</v>
      </c>
      <c r="T119" s="290">
        <v>14076</v>
      </c>
      <c r="U119" s="291">
        <v>616.29999999999995</v>
      </c>
      <c r="V119" s="291">
        <f t="shared" si="1"/>
        <v>4666.32</v>
      </c>
      <c r="W119" s="292">
        <v>616.29999999999995</v>
      </c>
      <c r="X119" s="290">
        <v>51260</v>
      </c>
      <c r="Y119" s="291">
        <v>88.04</v>
      </c>
      <c r="Z119" s="289" t="s">
        <v>944</v>
      </c>
      <c r="AA119" s="289"/>
      <c r="AB119" s="289"/>
      <c r="AC119" s="289"/>
      <c r="AD119" s="289" t="s">
        <v>1446</v>
      </c>
      <c r="AE119" s="289" t="s">
        <v>410</v>
      </c>
      <c r="AF119" s="290" t="s">
        <v>1447</v>
      </c>
      <c r="AG119" s="289"/>
      <c r="AH119" s="290" t="s">
        <v>1448</v>
      </c>
      <c r="AI119" s="289">
        <v>0</v>
      </c>
      <c r="AJ119" s="289">
        <v>0</v>
      </c>
    </row>
    <row r="120" spans="2:36">
      <c r="B120" s="290">
        <v>2111</v>
      </c>
      <c r="C120" s="294">
        <v>270324</v>
      </c>
      <c r="D120" s="290" t="s">
        <v>944</v>
      </c>
      <c r="E120" s="289" t="s">
        <v>1451</v>
      </c>
      <c r="F120" s="290"/>
      <c r="G120" s="289"/>
      <c r="H120" s="289"/>
      <c r="I120" s="289"/>
      <c r="J120" s="289">
        <v>0</v>
      </c>
      <c r="K120" s="289" t="s">
        <v>1452</v>
      </c>
      <c r="L120" s="289"/>
      <c r="M120" s="289"/>
      <c r="N120" s="293">
        <v>43946</v>
      </c>
      <c r="O120" s="293">
        <v>43946</v>
      </c>
      <c r="P120" s="289" t="s">
        <v>1453</v>
      </c>
      <c r="Q120" s="290">
        <v>300</v>
      </c>
      <c r="R120" s="290">
        <v>14110</v>
      </c>
      <c r="S120" s="291">
        <v>8236.7000000000007</v>
      </c>
      <c r="T120" s="290">
        <v>14116</v>
      </c>
      <c r="U120" s="291">
        <v>6177.53</v>
      </c>
      <c r="V120" s="291">
        <f t="shared" si="1"/>
        <v>2059.170000000001</v>
      </c>
      <c r="W120" s="292">
        <v>1601.58</v>
      </c>
      <c r="X120" s="290">
        <v>70260</v>
      </c>
      <c r="Y120" s="291">
        <v>228.79</v>
      </c>
      <c r="Z120" s="289" t="s">
        <v>944</v>
      </c>
      <c r="AA120" s="289"/>
      <c r="AB120" s="289" t="s">
        <v>1454</v>
      </c>
      <c r="AC120" s="289"/>
      <c r="AD120" s="289" t="s">
        <v>1446</v>
      </c>
      <c r="AE120" s="289" t="s">
        <v>410</v>
      </c>
      <c r="AF120" s="290" t="s">
        <v>1447</v>
      </c>
      <c r="AG120" s="295">
        <v>44530</v>
      </c>
      <c r="AH120" s="290" t="s">
        <v>1448</v>
      </c>
      <c r="AI120" s="289">
        <v>0</v>
      </c>
      <c r="AJ120" s="289">
        <v>4347.1499999999996</v>
      </c>
    </row>
    <row r="121" spans="2:36">
      <c r="B121" s="290">
        <v>2111</v>
      </c>
      <c r="C121" s="294">
        <v>269874</v>
      </c>
      <c r="D121" s="290">
        <v>252489</v>
      </c>
      <c r="E121" s="289" t="s">
        <v>1455</v>
      </c>
      <c r="F121" s="290"/>
      <c r="G121" s="289"/>
      <c r="H121" s="289"/>
      <c r="I121" s="289"/>
      <c r="J121" s="289">
        <v>0</v>
      </c>
      <c r="K121" s="289" t="s">
        <v>1456</v>
      </c>
      <c r="L121" s="289"/>
      <c r="M121" s="289"/>
      <c r="N121" s="293">
        <v>44347</v>
      </c>
      <c r="O121" s="293">
        <v>44347</v>
      </c>
      <c r="P121" s="289" t="s">
        <v>1457</v>
      </c>
      <c r="Q121" s="290">
        <v>1000</v>
      </c>
      <c r="R121" s="290">
        <v>14010</v>
      </c>
      <c r="S121" s="291">
        <v>752.5</v>
      </c>
      <c r="T121" s="290">
        <v>14016</v>
      </c>
      <c r="U121" s="291">
        <v>87.8</v>
      </c>
      <c r="V121" s="291">
        <f t="shared" si="1"/>
        <v>664.7</v>
      </c>
      <c r="W121" s="292">
        <v>43.9</v>
      </c>
      <c r="X121" s="290">
        <v>57260</v>
      </c>
      <c r="Y121" s="291">
        <v>6.27</v>
      </c>
      <c r="Z121" s="289" t="s">
        <v>944</v>
      </c>
      <c r="AA121" s="289"/>
      <c r="AB121" s="289" t="s">
        <v>1458</v>
      </c>
      <c r="AC121" s="289"/>
      <c r="AD121" s="289" t="s">
        <v>1446</v>
      </c>
      <c r="AE121" s="289" t="s">
        <v>410</v>
      </c>
      <c r="AF121" s="290" t="s">
        <v>1447</v>
      </c>
      <c r="AG121" s="289"/>
      <c r="AH121" s="290" t="s">
        <v>1448</v>
      </c>
      <c r="AI121" s="289">
        <v>0</v>
      </c>
      <c r="AJ121" s="289">
        <v>0</v>
      </c>
    </row>
    <row r="122" spans="2:36">
      <c r="B122" s="290">
        <v>2111</v>
      </c>
      <c r="C122" s="294">
        <v>267265</v>
      </c>
      <c r="D122" s="290" t="s">
        <v>944</v>
      </c>
      <c r="E122" s="289" t="s">
        <v>1459</v>
      </c>
      <c r="F122" s="290"/>
      <c r="G122" s="289"/>
      <c r="H122" s="289"/>
      <c r="I122" s="289"/>
      <c r="J122" s="289">
        <v>0</v>
      </c>
      <c r="K122" s="289" t="s">
        <v>1460</v>
      </c>
      <c r="L122" s="289"/>
      <c r="M122" s="289"/>
      <c r="N122" s="293">
        <v>44511</v>
      </c>
      <c r="O122" s="293">
        <v>44511</v>
      </c>
      <c r="P122" s="289" t="s">
        <v>1461</v>
      </c>
      <c r="Q122" s="290">
        <v>1000</v>
      </c>
      <c r="R122" s="290">
        <v>14080</v>
      </c>
      <c r="S122" s="291">
        <v>10635.6</v>
      </c>
      <c r="T122" s="290">
        <v>14086</v>
      </c>
      <c r="U122" s="291">
        <v>797.67</v>
      </c>
      <c r="V122" s="291">
        <f t="shared" si="1"/>
        <v>9837.93</v>
      </c>
      <c r="W122" s="292">
        <v>620.41</v>
      </c>
      <c r="X122" s="290">
        <v>57260</v>
      </c>
      <c r="Y122" s="291">
        <v>88.63</v>
      </c>
      <c r="Z122" s="289" t="s">
        <v>944</v>
      </c>
      <c r="AA122" s="289"/>
      <c r="AB122" s="289">
        <v>13628</v>
      </c>
      <c r="AC122" s="289"/>
      <c r="AD122" s="289" t="s">
        <v>1446</v>
      </c>
      <c r="AE122" s="289" t="s">
        <v>410</v>
      </c>
      <c r="AF122" s="290" t="s">
        <v>1447</v>
      </c>
      <c r="AG122" s="289"/>
      <c r="AH122" s="290" t="s">
        <v>1448</v>
      </c>
      <c r="AI122" s="289">
        <v>0</v>
      </c>
      <c r="AJ122" s="289">
        <v>0</v>
      </c>
    </row>
    <row r="123" spans="2:36">
      <c r="B123" s="290">
        <v>2111</v>
      </c>
      <c r="C123" s="294">
        <v>267248</v>
      </c>
      <c r="D123" s="290" t="s">
        <v>944</v>
      </c>
      <c r="E123" s="289" t="s">
        <v>1135</v>
      </c>
      <c r="F123" s="290">
        <v>702</v>
      </c>
      <c r="G123" s="289"/>
      <c r="H123" s="289"/>
      <c r="I123" s="289"/>
      <c r="J123" s="289">
        <v>0</v>
      </c>
      <c r="K123" s="289" t="s">
        <v>1462</v>
      </c>
      <c r="L123" s="289"/>
      <c r="M123" s="289" t="s">
        <v>1463</v>
      </c>
      <c r="N123" s="293">
        <v>44488</v>
      </c>
      <c r="O123" s="293">
        <v>44488</v>
      </c>
      <c r="P123" s="289" t="s">
        <v>1464</v>
      </c>
      <c r="Q123" s="290">
        <v>700</v>
      </c>
      <c r="R123" s="290">
        <v>14050</v>
      </c>
      <c r="S123" s="291">
        <v>47830.06</v>
      </c>
      <c r="T123" s="290">
        <v>14056</v>
      </c>
      <c r="U123" s="291">
        <v>5124.6499999999996</v>
      </c>
      <c r="V123" s="291">
        <f t="shared" si="1"/>
        <v>42705.409999999996</v>
      </c>
      <c r="W123" s="292">
        <v>3985.84</v>
      </c>
      <c r="X123" s="290">
        <v>54260</v>
      </c>
      <c r="Y123" s="291">
        <v>569.4</v>
      </c>
      <c r="Z123" s="289" t="s">
        <v>944</v>
      </c>
      <c r="AA123" s="289"/>
      <c r="AB123" s="289">
        <v>50204746</v>
      </c>
      <c r="AC123" s="289"/>
      <c r="AD123" s="289" t="s">
        <v>1446</v>
      </c>
      <c r="AE123" s="289" t="s">
        <v>410</v>
      </c>
      <c r="AF123" s="290" t="s">
        <v>1447</v>
      </c>
      <c r="AG123" s="289"/>
      <c r="AH123" s="290" t="s">
        <v>1448</v>
      </c>
      <c r="AI123" s="289">
        <v>0</v>
      </c>
      <c r="AJ123" s="289">
        <v>0</v>
      </c>
    </row>
    <row r="124" spans="2:36">
      <c r="B124" s="290">
        <v>2111</v>
      </c>
      <c r="C124" s="294">
        <v>267247</v>
      </c>
      <c r="D124" s="290" t="s">
        <v>944</v>
      </c>
      <c r="E124" s="289" t="s">
        <v>1136</v>
      </c>
      <c r="F124" s="290">
        <v>702</v>
      </c>
      <c r="G124" s="289"/>
      <c r="H124" s="289"/>
      <c r="I124" s="289"/>
      <c r="J124" s="289">
        <v>0</v>
      </c>
      <c r="K124" s="289" t="s">
        <v>1462</v>
      </c>
      <c r="L124" s="289"/>
      <c r="M124" s="289" t="s">
        <v>1463</v>
      </c>
      <c r="N124" s="293">
        <v>44488</v>
      </c>
      <c r="O124" s="293">
        <v>44488</v>
      </c>
      <c r="P124" s="289" t="s">
        <v>1464</v>
      </c>
      <c r="Q124" s="290">
        <v>700</v>
      </c>
      <c r="R124" s="290">
        <v>14050</v>
      </c>
      <c r="S124" s="291">
        <v>47830.07</v>
      </c>
      <c r="T124" s="290">
        <v>14056</v>
      </c>
      <c r="U124" s="291">
        <v>5124.6499999999996</v>
      </c>
      <c r="V124" s="291">
        <f t="shared" si="1"/>
        <v>42705.42</v>
      </c>
      <c r="W124" s="292">
        <v>3985.84</v>
      </c>
      <c r="X124" s="290">
        <v>54260</v>
      </c>
      <c r="Y124" s="291">
        <v>569.4</v>
      </c>
      <c r="Z124" s="289" t="s">
        <v>944</v>
      </c>
      <c r="AA124" s="289"/>
      <c r="AB124" s="289">
        <v>50204746</v>
      </c>
      <c r="AC124" s="289"/>
      <c r="AD124" s="289" t="s">
        <v>1446</v>
      </c>
      <c r="AE124" s="289" t="s">
        <v>410</v>
      </c>
      <c r="AF124" s="290" t="s">
        <v>1447</v>
      </c>
      <c r="AG124" s="289"/>
      <c r="AH124" s="290" t="s">
        <v>1448</v>
      </c>
      <c r="AI124" s="289">
        <v>0</v>
      </c>
      <c r="AJ124" s="289">
        <v>0</v>
      </c>
    </row>
    <row r="125" spans="2:36">
      <c r="B125" s="290">
        <v>2111</v>
      </c>
      <c r="C125" s="294">
        <v>266830</v>
      </c>
      <c r="D125" s="290">
        <v>173257</v>
      </c>
      <c r="E125" s="289" t="s">
        <v>1465</v>
      </c>
      <c r="F125" s="290"/>
      <c r="G125" s="289"/>
      <c r="H125" s="289"/>
      <c r="I125" s="289"/>
      <c r="J125" s="289">
        <v>0</v>
      </c>
      <c r="K125" s="289" t="s">
        <v>1466</v>
      </c>
      <c r="L125" s="289"/>
      <c r="M125" s="289" t="s">
        <v>1467</v>
      </c>
      <c r="N125" s="293">
        <v>44357</v>
      </c>
      <c r="O125" s="293">
        <v>44357</v>
      </c>
      <c r="P125" s="289" t="s">
        <v>1468</v>
      </c>
      <c r="Q125" s="290">
        <v>300</v>
      </c>
      <c r="R125" s="290">
        <v>14040</v>
      </c>
      <c r="S125" s="291">
        <v>12311.35</v>
      </c>
      <c r="T125" s="290">
        <v>14046</v>
      </c>
      <c r="U125" s="291">
        <v>4787.74</v>
      </c>
      <c r="V125" s="291">
        <f t="shared" si="1"/>
        <v>7523.6100000000006</v>
      </c>
      <c r="W125" s="292">
        <v>2393.87</v>
      </c>
      <c r="X125" s="290">
        <v>51260</v>
      </c>
      <c r="Y125" s="291">
        <v>341.98</v>
      </c>
      <c r="Z125" s="289" t="s">
        <v>944</v>
      </c>
      <c r="AA125" s="289"/>
      <c r="AB125" s="289" t="s">
        <v>1469</v>
      </c>
      <c r="AC125" s="289"/>
      <c r="AD125" s="289" t="s">
        <v>1446</v>
      </c>
      <c r="AE125" s="289" t="s">
        <v>410</v>
      </c>
      <c r="AF125" s="290" t="s">
        <v>1447</v>
      </c>
      <c r="AG125" s="289"/>
      <c r="AH125" s="290" t="s">
        <v>1448</v>
      </c>
      <c r="AI125" s="289">
        <v>0</v>
      </c>
      <c r="AJ125" s="289">
        <v>0</v>
      </c>
    </row>
    <row r="126" spans="2:36">
      <c r="B126" s="290">
        <v>2111</v>
      </c>
      <c r="C126" s="294">
        <v>266033</v>
      </c>
      <c r="D126" s="290" t="s">
        <v>944</v>
      </c>
      <c r="E126" s="289" t="s">
        <v>1470</v>
      </c>
      <c r="F126" s="290">
        <v>1</v>
      </c>
      <c r="G126" s="289"/>
      <c r="H126" s="289"/>
      <c r="I126" s="289"/>
      <c r="J126" s="289">
        <v>0</v>
      </c>
      <c r="K126" s="289" t="s">
        <v>1471</v>
      </c>
      <c r="L126" s="289"/>
      <c r="M126" s="289"/>
      <c r="N126" s="293">
        <v>44523</v>
      </c>
      <c r="O126" s="293">
        <v>44523</v>
      </c>
      <c r="P126" s="289" t="s">
        <v>1472</v>
      </c>
      <c r="Q126" s="290">
        <v>300</v>
      </c>
      <c r="R126" s="290">
        <v>14110</v>
      </c>
      <c r="S126" s="291">
        <v>273.49</v>
      </c>
      <c r="T126" s="290">
        <v>14116</v>
      </c>
      <c r="U126" s="291">
        <v>60.78</v>
      </c>
      <c r="V126" s="291">
        <f t="shared" si="1"/>
        <v>212.71</v>
      </c>
      <c r="W126" s="292">
        <v>53.18</v>
      </c>
      <c r="X126" s="290">
        <v>70260</v>
      </c>
      <c r="Y126" s="291">
        <v>7.6</v>
      </c>
      <c r="Z126" s="289" t="s">
        <v>944</v>
      </c>
      <c r="AA126" s="289"/>
      <c r="AB126" s="289">
        <v>1155416</v>
      </c>
      <c r="AC126" s="289"/>
      <c r="AD126" s="289" t="s">
        <v>1446</v>
      </c>
      <c r="AE126" s="289" t="s">
        <v>410</v>
      </c>
      <c r="AF126" s="290" t="s">
        <v>1447</v>
      </c>
      <c r="AG126" s="289"/>
      <c r="AH126" s="290" t="s">
        <v>1448</v>
      </c>
      <c r="AI126" s="289">
        <v>0</v>
      </c>
      <c r="AJ126" s="289">
        <v>0</v>
      </c>
    </row>
    <row r="127" spans="2:36">
      <c r="B127" s="290">
        <v>2111</v>
      </c>
      <c r="C127" s="294">
        <v>266032</v>
      </c>
      <c r="D127" s="290" t="s">
        <v>944</v>
      </c>
      <c r="E127" s="289" t="s">
        <v>1473</v>
      </c>
      <c r="F127" s="290">
        <v>1</v>
      </c>
      <c r="G127" s="289"/>
      <c r="H127" s="289"/>
      <c r="I127" s="289"/>
      <c r="J127" s="289">
        <v>0</v>
      </c>
      <c r="K127" s="289" t="s">
        <v>1474</v>
      </c>
      <c r="L127" s="289"/>
      <c r="M127" s="289"/>
      <c r="N127" s="293">
        <v>44523</v>
      </c>
      <c r="O127" s="293">
        <v>44523</v>
      </c>
      <c r="P127" s="289" t="s">
        <v>1472</v>
      </c>
      <c r="Q127" s="290">
        <v>300</v>
      </c>
      <c r="R127" s="290">
        <v>14110</v>
      </c>
      <c r="S127" s="291">
        <v>1494.07</v>
      </c>
      <c r="T127" s="290">
        <v>14116</v>
      </c>
      <c r="U127" s="291">
        <v>332.01</v>
      </c>
      <c r="V127" s="291">
        <f t="shared" si="1"/>
        <v>1162.06</v>
      </c>
      <c r="W127" s="292">
        <v>290.51</v>
      </c>
      <c r="X127" s="290">
        <v>70260</v>
      </c>
      <c r="Y127" s="291">
        <v>41.5</v>
      </c>
      <c r="Z127" s="289" t="s">
        <v>944</v>
      </c>
      <c r="AA127" s="289"/>
      <c r="AB127" s="289" t="s">
        <v>1475</v>
      </c>
      <c r="AC127" s="289"/>
      <c r="AD127" s="289" t="s">
        <v>1446</v>
      </c>
      <c r="AE127" s="289" t="s">
        <v>410</v>
      </c>
      <c r="AF127" s="290" t="s">
        <v>1447</v>
      </c>
      <c r="AG127" s="289"/>
      <c r="AH127" s="290" t="s">
        <v>1448</v>
      </c>
      <c r="AI127" s="289">
        <v>0</v>
      </c>
      <c r="AJ127" s="289">
        <v>0</v>
      </c>
    </row>
    <row r="128" spans="2:36">
      <c r="B128" s="290">
        <v>2111</v>
      </c>
      <c r="C128" s="294">
        <v>266031</v>
      </c>
      <c r="D128" s="290" t="s">
        <v>944</v>
      </c>
      <c r="E128" s="289" t="s">
        <v>1476</v>
      </c>
      <c r="F128" s="290">
        <v>1</v>
      </c>
      <c r="G128" s="289"/>
      <c r="H128" s="289"/>
      <c r="I128" s="289"/>
      <c r="J128" s="289">
        <v>0</v>
      </c>
      <c r="K128" s="289" t="s">
        <v>1477</v>
      </c>
      <c r="L128" s="289"/>
      <c r="M128" s="289"/>
      <c r="N128" s="293">
        <v>44523</v>
      </c>
      <c r="O128" s="293">
        <v>44523</v>
      </c>
      <c r="P128" s="289" t="s">
        <v>1478</v>
      </c>
      <c r="Q128" s="290">
        <v>300</v>
      </c>
      <c r="R128" s="290">
        <v>14110</v>
      </c>
      <c r="S128" s="291">
        <v>274.99</v>
      </c>
      <c r="T128" s="290">
        <v>14116</v>
      </c>
      <c r="U128" s="291">
        <v>61.11</v>
      </c>
      <c r="V128" s="291">
        <f t="shared" si="1"/>
        <v>213.88</v>
      </c>
      <c r="W128" s="292">
        <v>53.47</v>
      </c>
      <c r="X128" s="290">
        <v>70260</v>
      </c>
      <c r="Y128" s="291">
        <v>7.64</v>
      </c>
      <c r="Z128" s="289" t="s">
        <v>944</v>
      </c>
      <c r="AA128" s="289"/>
      <c r="AB128" s="289">
        <v>1513837</v>
      </c>
      <c r="AC128" s="289"/>
      <c r="AD128" s="289" t="s">
        <v>1446</v>
      </c>
      <c r="AE128" s="289" t="s">
        <v>410</v>
      </c>
      <c r="AF128" s="290" t="s">
        <v>1447</v>
      </c>
      <c r="AG128" s="289"/>
      <c r="AH128" s="290" t="s">
        <v>1448</v>
      </c>
      <c r="AI128" s="289">
        <v>0</v>
      </c>
      <c r="AJ128" s="289">
        <v>0</v>
      </c>
    </row>
    <row r="129" spans="2:36">
      <c r="B129" s="290">
        <v>2111</v>
      </c>
      <c r="C129" s="294">
        <v>266030</v>
      </c>
      <c r="D129" s="290" t="s">
        <v>944</v>
      </c>
      <c r="E129" s="289" t="s">
        <v>1479</v>
      </c>
      <c r="F129" s="290">
        <v>1</v>
      </c>
      <c r="G129" s="289"/>
      <c r="H129" s="289"/>
      <c r="I129" s="289"/>
      <c r="J129" s="289">
        <v>0</v>
      </c>
      <c r="K129" s="289" t="s">
        <v>1480</v>
      </c>
      <c r="L129" s="289"/>
      <c r="M129" s="289"/>
      <c r="N129" s="293">
        <v>44523</v>
      </c>
      <c r="O129" s="293">
        <v>44523</v>
      </c>
      <c r="P129" s="289" t="s">
        <v>1478</v>
      </c>
      <c r="Q129" s="290">
        <v>300</v>
      </c>
      <c r="R129" s="290">
        <v>14110</v>
      </c>
      <c r="S129" s="291">
        <v>1093.1600000000001</v>
      </c>
      <c r="T129" s="290">
        <v>14116</v>
      </c>
      <c r="U129" s="291">
        <v>242.93</v>
      </c>
      <c r="V129" s="291">
        <f t="shared" si="1"/>
        <v>850.23</v>
      </c>
      <c r="W129" s="292">
        <v>212.56</v>
      </c>
      <c r="X129" s="290">
        <v>70260</v>
      </c>
      <c r="Y129" s="291">
        <v>30.36</v>
      </c>
      <c r="Z129" s="289" t="s">
        <v>944</v>
      </c>
      <c r="AA129" s="289"/>
      <c r="AB129" s="289" t="s">
        <v>1481</v>
      </c>
      <c r="AC129" s="289"/>
      <c r="AD129" s="289" t="s">
        <v>1446</v>
      </c>
      <c r="AE129" s="289" t="s">
        <v>410</v>
      </c>
      <c r="AF129" s="290" t="s">
        <v>1447</v>
      </c>
      <c r="AG129" s="289"/>
      <c r="AH129" s="290" t="s">
        <v>1448</v>
      </c>
      <c r="AI129" s="289">
        <v>0</v>
      </c>
      <c r="AJ129" s="289">
        <v>0</v>
      </c>
    </row>
    <row r="130" spans="2:36">
      <c r="B130" s="290">
        <v>2111</v>
      </c>
      <c r="C130" s="294">
        <v>265897</v>
      </c>
      <c r="D130" s="290">
        <v>264430</v>
      </c>
      <c r="E130" s="289" t="s">
        <v>1482</v>
      </c>
      <c r="F130" s="290"/>
      <c r="G130" s="289"/>
      <c r="H130" s="289"/>
      <c r="I130" s="289"/>
      <c r="J130" s="289">
        <v>2021</v>
      </c>
      <c r="K130" s="289" t="s">
        <v>1483</v>
      </c>
      <c r="L130" s="289" t="s">
        <v>1484</v>
      </c>
      <c r="M130" s="289" t="s">
        <v>1467</v>
      </c>
      <c r="N130" s="293">
        <v>44517</v>
      </c>
      <c r="O130" s="293">
        <v>44517</v>
      </c>
      <c r="P130" s="289" t="s">
        <v>1485</v>
      </c>
      <c r="Q130" s="290">
        <v>1000</v>
      </c>
      <c r="R130" s="290">
        <v>14040</v>
      </c>
      <c r="S130" s="291">
        <v>1107.24</v>
      </c>
      <c r="T130" s="290">
        <v>14046</v>
      </c>
      <c r="U130" s="291">
        <v>73.819999999999993</v>
      </c>
      <c r="V130" s="291">
        <f t="shared" si="1"/>
        <v>1033.42</v>
      </c>
      <c r="W130" s="292">
        <v>64.59</v>
      </c>
      <c r="X130" s="290">
        <v>51260</v>
      </c>
      <c r="Y130" s="291">
        <v>9.23</v>
      </c>
      <c r="Z130" s="289" t="s">
        <v>944</v>
      </c>
      <c r="AA130" s="289"/>
      <c r="AB130" s="289" t="s">
        <v>1486</v>
      </c>
      <c r="AC130" s="289"/>
      <c r="AD130" s="289" t="s">
        <v>1446</v>
      </c>
      <c r="AE130" s="289" t="s">
        <v>410</v>
      </c>
      <c r="AF130" s="290" t="s">
        <v>1447</v>
      </c>
      <c r="AG130" s="289"/>
      <c r="AH130" s="290" t="s">
        <v>1448</v>
      </c>
      <c r="AI130" s="289">
        <v>0</v>
      </c>
      <c r="AJ130" s="289">
        <v>0</v>
      </c>
    </row>
    <row r="131" spans="2:36">
      <c r="B131" s="290">
        <v>2111</v>
      </c>
      <c r="C131" s="294">
        <v>265896</v>
      </c>
      <c r="D131" s="290">
        <v>264429</v>
      </c>
      <c r="E131" s="289" t="s">
        <v>1487</v>
      </c>
      <c r="F131" s="290"/>
      <c r="G131" s="289"/>
      <c r="H131" s="289"/>
      <c r="I131" s="289"/>
      <c r="J131" s="289">
        <v>2021</v>
      </c>
      <c r="K131" s="289" t="s">
        <v>1484</v>
      </c>
      <c r="L131" s="289" t="s">
        <v>1483</v>
      </c>
      <c r="M131" s="289" t="s">
        <v>1467</v>
      </c>
      <c r="N131" s="293">
        <v>44474</v>
      </c>
      <c r="O131" s="293">
        <v>44474</v>
      </c>
      <c r="P131" s="289" t="s">
        <v>1488</v>
      </c>
      <c r="Q131" s="290">
        <v>1000</v>
      </c>
      <c r="R131" s="290">
        <v>14040</v>
      </c>
      <c r="S131" s="291">
        <v>1112.23</v>
      </c>
      <c r="T131" s="290">
        <v>14046</v>
      </c>
      <c r="U131" s="291">
        <v>92.69</v>
      </c>
      <c r="V131" s="291">
        <f t="shared" si="1"/>
        <v>1019.54</v>
      </c>
      <c r="W131" s="292">
        <v>64.88</v>
      </c>
      <c r="X131" s="290">
        <v>51260</v>
      </c>
      <c r="Y131" s="291">
        <v>9.27</v>
      </c>
      <c r="Z131" s="289" t="s">
        <v>944</v>
      </c>
      <c r="AA131" s="289"/>
      <c r="AB131" s="289" t="s">
        <v>1489</v>
      </c>
      <c r="AC131" s="289"/>
      <c r="AD131" s="289" t="s">
        <v>1446</v>
      </c>
      <c r="AE131" s="289" t="s">
        <v>410</v>
      </c>
      <c r="AF131" s="290" t="s">
        <v>1447</v>
      </c>
      <c r="AG131" s="289"/>
      <c r="AH131" s="290" t="s">
        <v>1448</v>
      </c>
      <c r="AI131" s="289">
        <v>0</v>
      </c>
      <c r="AJ131" s="289">
        <v>0</v>
      </c>
    </row>
    <row r="132" spans="2:36">
      <c r="B132" s="290">
        <v>2111</v>
      </c>
      <c r="C132" s="294">
        <v>265454</v>
      </c>
      <c r="D132" s="290" t="s">
        <v>944</v>
      </c>
      <c r="E132" s="289" t="s">
        <v>1490</v>
      </c>
      <c r="F132" s="290">
        <v>8</v>
      </c>
      <c r="G132" s="289"/>
      <c r="H132" s="289"/>
      <c r="I132" s="289"/>
      <c r="J132" s="289">
        <v>0</v>
      </c>
      <c r="K132" s="289"/>
      <c r="L132" s="289"/>
      <c r="M132" s="289"/>
      <c r="N132" s="293">
        <v>44501</v>
      </c>
      <c r="O132" s="293">
        <v>44501</v>
      </c>
      <c r="P132" s="289" t="s">
        <v>1491</v>
      </c>
      <c r="Q132" s="290">
        <v>500</v>
      </c>
      <c r="R132" s="290">
        <v>14070</v>
      </c>
      <c r="S132" s="291">
        <v>4312.3999999999996</v>
      </c>
      <c r="T132" s="290">
        <v>14076</v>
      </c>
      <c r="U132" s="291">
        <v>646.86</v>
      </c>
      <c r="V132" s="291">
        <f t="shared" si="1"/>
        <v>3665.5399999999995</v>
      </c>
      <c r="W132" s="292">
        <v>503.11</v>
      </c>
      <c r="X132" s="290">
        <v>51260</v>
      </c>
      <c r="Y132" s="291">
        <v>71.87</v>
      </c>
      <c r="Z132" s="289" t="s">
        <v>944</v>
      </c>
      <c r="AA132" s="289"/>
      <c r="AB132" s="289"/>
      <c r="AC132" s="289"/>
      <c r="AD132" s="289" t="s">
        <v>1446</v>
      </c>
      <c r="AE132" s="289" t="s">
        <v>410</v>
      </c>
      <c r="AF132" s="290" t="s">
        <v>1447</v>
      </c>
      <c r="AG132" s="289"/>
      <c r="AH132" s="290" t="s">
        <v>1448</v>
      </c>
      <c r="AI132" s="289">
        <v>0</v>
      </c>
      <c r="AJ132" s="289">
        <v>0</v>
      </c>
    </row>
    <row r="133" spans="2:36">
      <c r="B133" s="290">
        <v>2111</v>
      </c>
      <c r="C133" s="294">
        <v>264650</v>
      </c>
      <c r="D133" s="290">
        <v>252489</v>
      </c>
      <c r="E133" s="289" t="s">
        <v>1492</v>
      </c>
      <c r="F133" s="290"/>
      <c r="G133" s="289"/>
      <c r="H133" s="289"/>
      <c r="I133" s="289"/>
      <c r="J133" s="289">
        <v>0</v>
      </c>
      <c r="K133" s="289" t="s">
        <v>1456</v>
      </c>
      <c r="L133" s="289"/>
      <c r="M133" s="289"/>
      <c r="N133" s="293">
        <v>44347</v>
      </c>
      <c r="O133" s="293">
        <v>44347</v>
      </c>
      <c r="P133" s="289" t="s">
        <v>1457</v>
      </c>
      <c r="Q133" s="290">
        <v>1000</v>
      </c>
      <c r="R133" s="290">
        <v>14010</v>
      </c>
      <c r="S133" s="291">
        <v>2055.67</v>
      </c>
      <c r="T133" s="290">
        <v>14016</v>
      </c>
      <c r="U133" s="291">
        <v>239.83</v>
      </c>
      <c r="V133" s="291">
        <f t="shared" si="1"/>
        <v>1815.8400000000001</v>
      </c>
      <c r="W133" s="292">
        <v>119.92</v>
      </c>
      <c r="X133" s="290">
        <v>57260</v>
      </c>
      <c r="Y133" s="291">
        <v>17.13</v>
      </c>
      <c r="Z133" s="289" t="s">
        <v>944</v>
      </c>
      <c r="AA133" s="289"/>
      <c r="AB133" s="289" t="s">
        <v>1493</v>
      </c>
      <c r="AC133" s="289"/>
      <c r="AD133" s="289" t="s">
        <v>1446</v>
      </c>
      <c r="AE133" s="289" t="s">
        <v>410</v>
      </c>
      <c r="AF133" s="290" t="s">
        <v>1447</v>
      </c>
      <c r="AG133" s="289"/>
      <c r="AH133" s="290" t="s">
        <v>1448</v>
      </c>
      <c r="AI133" s="289">
        <v>0</v>
      </c>
      <c r="AJ133" s="289">
        <v>0</v>
      </c>
    </row>
    <row r="134" spans="2:36">
      <c r="B134" s="290">
        <v>2111</v>
      </c>
      <c r="C134" s="294">
        <v>264430</v>
      </c>
      <c r="D134" s="290" t="s">
        <v>944</v>
      </c>
      <c r="E134" s="289" t="s">
        <v>1175</v>
      </c>
      <c r="F134" s="290"/>
      <c r="G134" s="289"/>
      <c r="H134" s="289" t="s">
        <v>1494</v>
      </c>
      <c r="I134" s="289"/>
      <c r="J134" s="289">
        <v>2022</v>
      </c>
      <c r="K134" s="289"/>
      <c r="L134" s="289"/>
      <c r="M134" s="289" t="s">
        <v>1495</v>
      </c>
      <c r="N134" s="293">
        <v>44462</v>
      </c>
      <c r="O134" s="293">
        <v>44462</v>
      </c>
      <c r="P134" s="289" t="s">
        <v>1496</v>
      </c>
      <c r="Q134" s="290">
        <v>1000</v>
      </c>
      <c r="R134" s="290">
        <v>14040</v>
      </c>
      <c r="S134" s="291">
        <v>379664.17</v>
      </c>
      <c r="T134" s="290">
        <v>14046</v>
      </c>
      <c r="U134" s="291">
        <v>31638.69</v>
      </c>
      <c r="V134" s="291">
        <f t="shared" si="1"/>
        <v>348025.48</v>
      </c>
      <c r="W134" s="292">
        <v>22147.08</v>
      </c>
      <c r="X134" s="290">
        <v>51260</v>
      </c>
      <c r="Y134" s="291">
        <v>3163.87</v>
      </c>
      <c r="Z134" s="289" t="s">
        <v>944</v>
      </c>
      <c r="AA134" s="289"/>
      <c r="AB134" s="289"/>
      <c r="AC134" s="289"/>
      <c r="AD134" s="289" t="s">
        <v>1446</v>
      </c>
      <c r="AE134" s="289" t="s">
        <v>410</v>
      </c>
      <c r="AF134" s="290" t="s">
        <v>1447</v>
      </c>
      <c r="AG134" s="289"/>
      <c r="AH134" s="290" t="s">
        <v>1448</v>
      </c>
      <c r="AI134" s="289">
        <v>0</v>
      </c>
      <c r="AJ134" s="289">
        <v>0</v>
      </c>
    </row>
    <row r="135" spans="2:36">
      <c r="B135" s="290">
        <v>2111</v>
      </c>
      <c r="C135" s="294">
        <v>264429</v>
      </c>
      <c r="D135" s="290" t="s">
        <v>944</v>
      </c>
      <c r="E135" s="289" t="s">
        <v>1175</v>
      </c>
      <c r="F135" s="290"/>
      <c r="G135" s="289"/>
      <c r="H135" s="289" t="s">
        <v>1497</v>
      </c>
      <c r="I135" s="289"/>
      <c r="J135" s="289">
        <v>2022</v>
      </c>
      <c r="K135" s="289"/>
      <c r="L135" s="289"/>
      <c r="M135" s="289" t="s">
        <v>1495</v>
      </c>
      <c r="N135" s="293">
        <v>44474</v>
      </c>
      <c r="O135" s="293">
        <v>44474</v>
      </c>
      <c r="P135" s="289" t="s">
        <v>1498</v>
      </c>
      <c r="Q135" s="290">
        <v>1000</v>
      </c>
      <c r="R135" s="290">
        <v>14040</v>
      </c>
      <c r="S135" s="291">
        <v>379393.6</v>
      </c>
      <c r="T135" s="290">
        <v>14046</v>
      </c>
      <c r="U135" s="291">
        <v>31616.13</v>
      </c>
      <c r="V135" s="291">
        <f t="shared" si="1"/>
        <v>347777.47</v>
      </c>
      <c r="W135" s="292">
        <v>22131.29</v>
      </c>
      <c r="X135" s="290">
        <v>51260</v>
      </c>
      <c r="Y135" s="291">
        <v>3161.61</v>
      </c>
      <c r="Z135" s="289" t="s">
        <v>944</v>
      </c>
      <c r="AA135" s="289"/>
      <c r="AB135" s="289"/>
      <c r="AC135" s="289"/>
      <c r="AD135" s="289" t="s">
        <v>1446</v>
      </c>
      <c r="AE135" s="289" t="s">
        <v>410</v>
      </c>
      <c r="AF135" s="290" t="s">
        <v>1447</v>
      </c>
      <c r="AG135" s="289"/>
      <c r="AH135" s="290" t="s">
        <v>1448</v>
      </c>
      <c r="AI135" s="289">
        <v>0</v>
      </c>
      <c r="AJ135" s="289">
        <v>0</v>
      </c>
    </row>
    <row r="136" spans="2:36">
      <c r="B136" s="290">
        <v>2111</v>
      </c>
      <c r="C136" s="294">
        <v>264428</v>
      </c>
      <c r="D136" s="290" t="s">
        <v>944</v>
      </c>
      <c r="E136" s="289" t="s">
        <v>1175</v>
      </c>
      <c r="F136" s="290"/>
      <c r="G136" s="289"/>
      <c r="H136" s="289" t="s">
        <v>1499</v>
      </c>
      <c r="I136" s="289"/>
      <c r="J136" s="289">
        <v>2022</v>
      </c>
      <c r="K136" s="289"/>
      <c r="L136" s="289"/>
      <c r="M136" s="289" t="s">
        <v>1495</v>
      </c>
      <c r="N136" s="293">
        <v>44433</v>
      </c>
      <c r="O136" s="293">
        <v>44433</v>
      </c>
      <c r="P136" s="289" t="s">
        <v>1500</v>
      </c>
      <c r="Q136" s="290">
        <v>1000</v>
      </c>
      <c r="R136" s="290">
        <v>14040</v>
      </c>
      <c r="S136" s="291">
        <v>374782.76</v>
      </c>
      <c r="T136" s="290">
        <v>14046</v>
      </c>
      <c r="U136" s="291">
        <v>34355.089999999997</v>
      </c>
      <c r="V136" s="291">
        <f t="shared" si="1"/>
        <v>340427.67000000004</v>
      </c>
      <c r="W136" s="292">
        <v>21862.33</v>
      </c>
      <c r="X136" s="290">
        <v>51260</v>
      </c>
      <c r="Y136" s="291">
        <v>3123.19</v>
      </c>
      <c r="Z136" s="289" t="s">
        <v>944</v>
      </c>
      <c r="AA136" s="289"/>
      <c r="AB136" s="289"/>
      <c r="AC136" s="289"/>
      <c r="AD136" s="289" t="s">
        <v>1446</v>
      </c>
      <c r="AE136" s="289" t="s">
        <v>410</v>
      </c>
      <c r="AF136" s="290" t="s">
        <v>1447</v>
      </c>
      <c r="AG136" s="289"/>
      <c r="AH136" s="290" t="s">
        <v>1448</v>
      </c>
      <c r="AI136" s="289">
        <v>0</v>
      </c>
      <c r="AJ136" s="289">
        <v>0</v>
      </c>
    </row>
    <row r="137" spans="2:36">
      <c r="B137" s="290">
        <v>2111</v>
      </c>
      <c r="C137" s="294">
        <v>264315</v>
      </c>
      <c r="D137" s="290" t="s">
        <v>944</v>
      </c>
      <c r="E137" s="289" t="s">
        <v>1149</v>
      </c>
      <c r="F137" s="290">
        <v>1404</v>
      </c>
      <c r="G137" s="289"/>
      <c r="H137" s="289"/>
      <c r="I137" s="289"/>
      <c r="J137" s="289">
        <v>0</v>
      </c>
      <c r="K137" s="289" t="s">
        <v>1462</v>
      </c>
      <c r="L137" s="289"/>
      <c r="M137" s="289" t="s">
        <v>1463</v>
      </c>
      <c r="N137" s="293">
        <v>44445</v>
      </c>
      <c r="O137" s="293">
        <v>44445</v>
      </c>
      <c r="P137" s="289" t="s">
        <v>1501</v>
      </c>
      <c r="Q137" s="290">
        <v>700</v>
      </c>
      <c r="R137" s="290">
        <v>14050</v>
      </c>
      <c r="S137" s="291">
        <v>89945.85</v>
      </c>
      <c r="T137" s="290">
        <v>14056</v>
      </c>
      <c r="U137" s="291">
        <v>11778.63</v>
      </c>
      <c r="V137" s="291">
        <f t="shared" si="1"/>
        <v>78167.22</v>
      </c>
      <c r="W137" s="292">
        <v>7495.49</v>
      </c>
      <c r="X137" s="290">
        <v>54260</v>
      </c>
      <c r="Y137" s="291">
        <v>1070.78</v>
      </c>
      <c r="Z137" s="289" t="s">
        <v>944</v>
      </c>
      <c r="AA137" s="289"/>
      <c r="AB137" s="289">
        <v>50189023</v>
      </c>
      <c r="AC137" s="289"/>
      <c r="AD137" s="289" t="s">
        <v>1446</v>
      </c>
      <c r="AE137" s="289" t="s">
        <v>410</v>
      </c>
      <c r="AF137" s="290" t="s">
        <v>1447</v>
      </c>
      <c r="AG137" s="289"/>
      <c r="AH137" s="290" t="s">
        <v>1448</v>
      </c>
      <c r="AI137" s="289">
        <v>0</v>
      </c>
      <c r="AJ137" s="289">
        <v>0</v>
      </c>
    </row>
    <row r="138" spans="2:36">
      <c r="B138" s="290">
        <v>2111</v>
      </c>
      <c r="C138" s="294">
        <v>264052</v>
      </c>
      <c r="D138" s="290">
        <v>264051</v>
      </c>
      <c r="E138" s="289" t="s">
        <v>1502</v>
      </c>
      <c r="F138" s="290">
        <v>1</v>
      </c>
      <c r="G138" s="289"/>
      <c r="H138" s="289"/>
      <c r="I138" s="289"/>
      <c r="J138" s="289">
        <v>0</v>
      </c>
      <c r="K138" s="289" t="s">
        <v>1503</v>
      </c>
      <c r="L138" s="289"/>
      <c r="M138" s="289"/>
      <c r="N138" s="293">
        <v>44470</v>
      </c>
      <c r="O138" s="293">
        <v>44470</v>
      </c>
      <c r="P138" s="289" t="s">
        <v>1504</v>
      </c>
      <c r="Q138" s="290">
        <v>300</v>
      </c>
      <c r="R138" s="290">
        <v>14110</v>
      </c>
      <c r="S138" s="291">
        <v>260.33</v>
      </c>
      <c r="T138" s="290">
        <v>14116</v>
      </c>
      <c r="U138" s="291">
        <v>72.319999999999993</v>
      </c>
      <c r="V138" s="291">
        <f t="shared" si="1"/>
        <v>188.01</v>
      </c>
      <c r="W138" s="292">
        <v>50.62</v>
      </c>
      <c r="X138" s="290">
        <v>70260</v>
      </c>
      <c r="Y138" s="291">
        <v>7.23</v>
      </c>
      <c r="Z138" s="289" t="s">
        <v>944</v>
      </c>
      <c r="AA138" s="289"/>
      <c r="AB138" s="289">
        <v>3941003</v>
      </c>
      <c r="AC138" s="289"/>
      <c r="AD138" s="289" t="s">
        <v>1446</v>
      </c>
      <c r="AE138" s="289" t="s">
        <v>410</v>
      </c>
      <c r="AF138" s="290" t="s">
        <v>1447</v>
      </c>
      <c r="AG138" s="289"/>
      <c r="AH138" s="290" t="s">
        <v>1448</v>
      </c>
      <c r="AI138" s="289">
        <v>0</v>
      </c>
      <c r="AJ138" s="289">
        <v>0</v>
      </c>
    </row>
    <row r="139" spans="2:36">
      <c r="B139" s="290">
        <v>2111</v>
      </c>
      <c r="C139" s="294">
        <v>264051</v>
      </c>
      <c r="D139" s="290" t="s">
        <v>944</v>
      </c>
      <c r="E139" s="289" t="s">
        <v>1505</v>
      </c>
      <c r="F139" s="290">
        <v>1</v>
      </c>
      <c r="G139" s="289"/>
      <c r="H139" s="289"/>
      <c r="I139" s="289"/>
      <c r="J139" s="289">
        <v>0</v>
      </c>
      <c r="K139" s="289" t="s">
        <v>1480</v>
      </c>
      <c r="L139" s="289"/>
      <c r="M139" s="289"/>
      <c r="N139" s="293">
        <v>44470</v>
      </c>
      <c r="O139" s="293">
        <v>44470</v>
      </c>
      <c r="P139" s="289" t="s">
        <v>1504</v>
      </c>
      <c r="Q139" s="290">
        <v>300</v>
      </c>
      <c r="R139" s="290">
        <v>14110</v>
      </c>
      <c r="S139" s="291">
        <v>1300.04</v>
      </c>
      <c r="T139" s="290">
        <v>14116</v>
      </c>
      <c r="U139" s="291">
        <v>361.13</v>
      </c>
      <c r="V139" s="291">
        <f t="shared" si="1"/>
        <v>938.91</v>
      </c>
      <c r="W139" s="292">
        <v>252.79</v>
      </c>
      <c r="X139" s="290">
        <v>70260</v>
      </c>
      <c r="Y139" s="291">
        <v>36.11</v>
      </c>
      <c r="Z139" s="289" t="s">
        <v>944</v>
      </c>
      <c r="AA139" s="289"/>
      <c r="AB139" s="289" t="s">
        <v>1506</v>
      </c>
      <c r="AC139" s="289"/>
      <c r="AD139" s="289" t="s">
        <v>1446</v>
      </c>
      <c r="AE139" s="289" t="s">
        <v>410</v>
      </c>
      <c r="AF139" s="290" t="s">
        <v>1447</v>
      </c>
      <c r="AG139" s="289"/>
      <c r="AH139" s="290" t="s">
        <v>1448</v>
      </c>
      <c r="AI139" s="289">
        <v>0</v>
      </c>
      <c r="AJ139" s="289">
        <v>0</v>
      </c>
    </row>
    <row r="140" spans="2:36">
      <c r="B140" s="290">
        <v>2111</v>
      </c>
      <c r="C140" s="294">
        <v>263289</v>
      </c>
      <c r="D140" s="290" t="s">
        <v>944</v>
      </c>
      <c r="E140" s="289" t="s">
        <v>1134</v>
      </c>
      <c r="F140" s="290">
        <v>936</v>
      </c>
      <c r="G140" s="289"/>
      <c r="H140" s="289"/>
      <c r="I140" s="289"/>
      <c r="J140" s="289">
        <v>0</v>
      </c>
      <c r="K140" s="289" t="s">
        <v>1462</v>
      </c>
      <c r="L140" s="289"/>
      <c r="M140" s="289" t="s">
        <v>1463</v>
      </c>
      <c r="N140" s="293">
        <v>44488</v>
      </c>
      <c r="O140" s="293">
        <v>44488</v>
      </c>
      <c r="P140" s="289" t="s">
        <v>1464</v>
      </c>
      <c r="Q140" s="290">
        <v>700</v>
      </c>
      <c r="R140" s="290">
        <v>14050</v>
      </c>
      <c r="S140" s="291">
        <v>56947.17</v>
      </c>
      <c r="T140" s="290">
        <v>14056</v>
      </c>
      <c r="U140" s="291">
        <v>6101.49</v>
      </c>
      <c r="V140" s="291">
        <f t="shared" si="1"/>
        <v>50845.68</v>
      </c>
      <c r="W140" s="292">
        <v>4745.6000000000004</v>
      </c>
      <c r="X140" s="290">
        <v>54260</v>
      </c>
      <c r="Y140" s="291">
        <v>677.94</v>
      </c>
      <c r="Z140" s="289" t="s">
        <v>944</v>
      </c>
      <c r="AA140" s="289"/>
      <c r="AB140" s="289">
        <v>50200665</v>
      </c>
      <c r="AC140" s="289"/>
      <c r="AD140" s="289" t="s">
        <v>1446</v>
      </c>
      <c r="AE140" s="289" t="s">
        <v>410</v>
      </c>
      <c r="AF140" s="290" t="s">
        <v>1447</v>
      </c>
      <c r="AG140" s="289"/>
      <c r="AH140" s="290" t="s">
        <v>1448</v>
      </c>
      <c r="AI140" s="289">
        <v>0</v>
      </c>
      <c r="AJ140" s="289">
        <v>0</v>
      </c>
    </row>
    <row r="141" spans="2:36">
      <c r="B141" s="290">
        <v>2111</v>
      </c>
      <c r="C141" s="294">
        <v>263288</v>
      </c>
      <c r="D141" s="290" t="s">
        <v>944</v>
      </c>
      <c r="E141" s="289" t="s">
        <v>1507</v>
      </c>
      <c r="F141" s="290">
        <v>220</v>
      </c>
      <c r="G141" s="289"/>
      <c r="H141" s="289"/>
      <c r="I141" s="289"/>
      <c r="J141" s="289">
        <v>0</v>
      </c>
      <c r="K141" s="289" t="s">
        <v>1462</v>
      </c>
      <c r="L141" s="289"/>
      <c r="M141" s="289" t="s">
        <v>1463</v>
      </c>
      <c r="N141" s="293">
        <v>44445</v>
      </c>
      <c r="O141" s="293">
        <v>44445</v>
      </c>
      <c r="P141" s="289" t="s">
        <v>1501</v>
      </c>
      <c r="Q141" s="290">
        <v>700</v>
      </c>
      <c r="R141" s="290">
        <v>14050</v>
      </c>
      <c r="S141" s="291">
        <v>11412.72</v>
      </c>
      <c r="T141" s="290">
        <v>14056</v>
      </c>
      <c r="U141" s="291">
        <v>1494.52</v>
      </c>
      <c r="V141" s="291">
        <f t="shared" si="1"/>
        <v>9918.1999999999989</v>
      </c>
      <c r="W141" s="292">
        <v>951.06</v>
      </c>
      <c r="X141" s="290">
        <v>54260</v>
      </c>
      <c r="Y141" s="291">
        <v>135.86000000000001</v>
      </c>
      <c r="Z141" s="289" t="s">
        <v>944</v>
      </c>
      <c r="AA141" s="289"/>
      <c r="AB141" s="289">
        <v>50198362</v>
      </c>
      <c r="AC141" s="289"/>
      <c r="AD141" s="289" t="s">
        <v>1446</v>
      </c>
      <c r="AE141" s="289" t="s">
        <v>410</v>
      </c>
      <c r="AF141" s="290" t="s">
        <v>1447</v>
      </c>
      <c r="AG141" s="289"/>
      <c r="AH141" s="290" t="s">
        <v>1448</v>
      </c>
      <c r="AI141" s="289">
        <v>0</v>
      </c>
      <c r="AJ141" s="289">
        <v>0</v>
      </c>
    </row>
    <row r="142" spans="2:36">
      <c r="B142" s="290">
        <v>2111</v>
      </c>
      <c r="C142" s="294">
        <v>263287</v>
      </c>
      <c r="D142" s="290" t="s">
        <v>944</v>
      </c>
      <c r="E142" s="289" t="s">
        <v>1508</v>
      </c>
      <c r="F142" s="290">
        <v>34</v>
      </c>
      <c r="G142" s="289"/>
      <c r="H142" s="289"/>
      <c r="I142" s="289"/>
      <c r="J142" s="289">
        <v>0</v>
      </c>
      <c r="K142" s="289" t="s">
        <v>1509</v>
      </c>
      <c r="L142" s="289"/>
      <c r="M142" s="289" t="s">
        <v>726</v>
      </c>
      <c r="N142" s="293">
        <v>44448</v>
      </c>
      <c r="O142" s="293">
        <v>44448</v>
      </c>
      <c r="P142" s="289" t="s">
        <v>1510</v>
      </c>
      <c r="Q142" s="290">
        <v>1200</v>
      </c>
      <c r="R142" s="290">
        <v>14050</v>
      </c>
      <c r="S142" s="291">
        <v>59372.81</v>
      </c>
      <c r="T142" s="290">
        <v>14056</v>
      </c>
      <c r="U142" s="291">
        <v>4535.43</v>
      </c>
      <c r="V142" s="291">
        <f t="shared" ref="V142:V205" si="2">S142-U142</f>
        <v>54837.38</v>
      </c>
      <c r="W142" s="292">
        <v>2886.18</v>
      </c>
      <c r="X142" s="290">
        <v>54260</v>
      </c>
      <c r="Y142" s="291">
        <v>412.31</v>
      </c>
      <c r="Z142" s="289" t="s">
        <v>944</v>
      </c>
      <c r="AA142" s="289"/>
      <c r="AB142" s="289" t="s">
        <v>1511</v>
      </c>
      <c r="AC142" s="289"/>
      <c r="AD142" s="289" t="s">
        <v>1446</v>
      </c>
      <c r="AE142" s="289" t="s">
        <v>410</v>
      </c>
      <c r="AF142" s="290" t="s">
        <v>1447</v>
      </c>
      <c r="AG142" s="289"/>
      <c r="AH142" s="290" t="s">
        <v>1448</v>
      </c>
      <c r="AI142" s="289">
        <v>0</v>
      </c>
      <c r="AJ142" s="289">
        <v>0</v>
      </c>
    </row>
    <row r="143" spans="2:36">
      <c r="B143" s="290">
        <v>2111</v>
      </c>
      <c r="C143" s="294">
        <v>263275</v>
      </c>
      <c r="D143" s="290">
        <v>263272</v>
      </c>
      <c r="E143" s="289" t="s">
        <v>1512</v>
      </c>
      <c r="F143" s="290"/>
      <c r="G143" s="289"/>
      <c r="H143" s="289" t="s">
        <v>1513</v>
      </c>
      <c r="I143" s="289"/>
      <c r="J143" s="289">
        <v>2020</v>
      </c>
      <c r="K143" s="289" t="s">
        <v>1514</v>
      </c>
      <c r="L143" s="289" t="s">
        <v>1514</v>
      </c>
      <c r="M143" s="289" t="s">
        <v>1467</v>
      </c>
      <c r="N143" s="293">
        <v>44408</v>
      </c>
      <c r="O143" s="293">
        <v>44408</v>
      </c>
      <c r="P143" s="289" t="s">
        <v>1515</v>
      </c>
      <c r="Q143" s="290">
        <v>300</v>
      </c>
      <c r="R143" s="290">
        <v>14030</v>
      </c>
      <c r="S143" s="291">
        <v>22513.29</v>
      </c>
      <c r="T143" s="290">
        <v>14036</v>
      </c>
      <c r="U143" s="291">
        <v>7504.43</v>
      </c>
      <c r="V143" s="291">
        <f t="shared" si="2"/>
        <v>15008.86</v>
      </c>
      <c r="W143" s="292">
        <v>4377.58</v>
      </c>
      <c r="X143" s="290">
        <v>51260</v>
      </c>
      <c r="Y143" s="291">
        <v>625.36</v>
      </c>
      <c r="Z143" s="289" t="s">
        <v>944</v>
      </c>
      <c r="AA143" s="289"/>
      <c r="AB143" s="289">
        <v>9034</v>
      </c>
      <c r="AC143" s="289"/>
      <c r="AD143" s="289" t="s">
        <v>1446</v>
      </c>
      <c r="AE143" s="289" t="s">
        <v>410</v>
      </c>
      <c r="AF143" s="290" t="s">
        <v>1447</v>
      </c>
      <c r="AG143" s="289"/>
      <c r="AH143" s="290" t="s">
        <v>1448</v>
      </c>
      <c r="AI143" s="289">
        <v>0</v>
      </c>
      <c r="AJ143" s="289">
        <v>0</v>
      </c>
    </row>
    <row r="144" spans="2:36">
      <c r="B144" s="290">
        <v>2111</v>
      </c>
      <c r="C144" s="294">
        <v>263274</v>
      </c>
      <c r="D144" s="290">
        <v>263272</v>
      </c>
      <c r="E144" s="289" t="s">
        <v>1516</v>
      </c>
      <c r="F144" s="290"/>
      <c r="G144" s="289"/>
      <c r="H144" s="289" t="s">
        <v>1513</v>
      </c>
      <c r="I144" s="289"/>
      <c r="J144" s="289">
        <v>2020</v>
      </c>
      <c r="K144" s="289" t="s">
        <v>1514</v>
      </c>
      <c r="L144" s="289" t="s">
        <v>1514</v>
      </c>
      <c r="M144" s="289" t="s">
        <v>1467</v>
      </c>
      <c r="N144" s="293">
        <v>44408</v>
      </c>
      <c r="O144" s="293">
        <v>44408</v>
      </c>
      <c r="P144" s="289" t="s">
        <v>1515</v>
      </c>
      <c r="Q144" s="290">
        <v>300</v>
      </c>
      <c r="R144" s="290">
        <v>14030</v>
      </c>
      <c r="S144" s="291">
        <v>8733.7900000000009</v>
      </c>
      <c r="T144" s="290">
        <v>14036</v>
      </c>
      <c r="U144" s="291">
        <v>2911.27</v>
      </c>
      <c r="V144" s="291">
        <f t="shared" si="2"/>
        <v>5822.52</v>
      </c>
      <c r="W144" s="292">
        <v>1698.24</v>
      </c>
      <c r="X144" s="290">
        <v>51260</v>
      </c>
      <c r="Y144" s="291">
        <v>242.61</v>
      </c>
      <c r="Z144" s="289" t="s">
        <v>944</v>
      </c>
      <c r="AA144" s="289"/>
      <c r="AB144" s="289" t="s">
        <v>1513</v>
      </c>
      <c r="AC144" s="289"/>
      <c r="AD144" s="289" t="s">
        <v>1446</v>
      </c>
      <c r="AE144" s="289" t="s">
        <v>410</v>
      </c>
      <c r="AF144" s="290" t="s">
        <v>1447</v>
      </c>
      <c r="AG144" s="289"/>
      <c r="AH144" s="290" t="s">
        <v>1448</v>
      </c>
      <c r="AI144" s="289">
        <v>0</v>
      </c>
      <c r="AJ144" s="289">
        <v>0</v>
      </c>
    </row>
    <row r="145" spans="2:36">
      <c r="B145" s="290">
        <v>2111</v>
      </c>
      <c r="C145" s="294">
        <v>263273</v>
      </c>
      <c r="D145" s="290">
        <v>263272</v>
      </c>
      <c r="E145" s="289" t="s">
        <v>1517</v>
      </c>
      <c r="F145" s="290"/>
      <c r="G145" s="289"/>
      <c r="H145" s="289" t="s">
        <v>1513</v>
      </c>
      <c r="I145" s="289"/>
      <c r="J145" s="289">
        <v>2020</v>
      </c>
      <c r="K145" s="289" t="s">
        <v>1514</v>
      </c>
      <c r="L145" s="289" t="s">
        <v>1514</v>
      </c>
      <c r="M145" s="289" t="s">
        <v>1467</v>
      </c>
      <c r="N145" s="293">
        <v>44408</v>
      </c>
      <c r="O145" s="293">
        <v>44408</v>
      </c>
      <c r="P145" s="289" t="s">
        <v>1515</v>
      </c>
      <c r="Q145" s="290">
        <v>300</v>
      </c>
      <c r="R145" s="290">
        <v>14030</v>
      </c>
      <c r="S145" s="291">
        <v>26201.360000000001</v>
      </c>
      <c r="T145" s="290">
        <v>14036</v>
      </c>
      <c r="U145" s="291">
        <v>8733.7900000000009</v>
      </c>
      <c r="V145" s="291">
        <f t="shared" si="2"/>
        <v>17467.57</v>
      </c>
      <c r="W145" s="292">
        <v>5094.71</v>
      </c>
      <c r="X145" s="290">
        <v>51260</v>
      </c>
      <c r="Y145" s="291">
        <v>727.81</v>
      </c>
      <c r="Z145" s="289" t="s">
        <v>944</v>
      </c>
      <c r="AA145" s="289"/>
      <c r="AB145" s="289" t="s">
        <v>1513</v>
      </c>
      <c r="AC145" s="289"/>
      <c r="AD145" s="289" t="s">
        <v>1446</v>
      </c>
      <c r="AE145" s="289" t="s">
        <v>410</v>
      </c>
      <c r="AF145" s="290" t="s">
        <v>1447</v>
      </c>
      <c r="AG145" s="289"/>
      <c r="AH145" s="290" t="s">
        <v>1448</v>
      </c>
      <c r="AI145" s="289">
        <v>0</v>
      </c>
      <c r="AJ145" s="289">
        <v>0</v>
      </c>
    </row>
    <row r="146" spans="2:36">
      <c r="B146" s="290">
        <v>2111</v>
      </c>
      <c r="C146" s="294">
        <v>263272</v>
      </c>
      <c r="D146" s="290" t="s">
        <v>944</v>
      </c>
      <c r="E146" s="289" t="s">
        <v>1518</v>
      </c>
      <c r="F146" s="290"/>
      <c r="G146" s="289"/>
      <c r="H146" s="289" t="s">
        <v>1513</v>
      </c>
      <c r="I146" s="289"/>
      <c r="J146" s="289">
        <v>2020</v>
      </c>
      <c r="K146" s="289" t="s">
        <v>1514</v>
      </c>
      <c r="L146" s="289" t="s">
        <v>1514</v>
      </c>
      <c r="M146" s="289" t="s">
        <v>1044</v>
      </c>
      <c r="N146" s="293">
        <v>44408</v>
      </c>
      <c r="O146" s="293">
        <v>44408</v>
      </c>
      <c r="P146" s="289" t="s">
        <v>1515</v>
      </c>
      <c r="Q146" s="290">
        <v>1000</v>
      </c>
      <c r="R146" s="290">
        <v>14030</v>
      </c>
      <c r="S146" s="291">
        <v>183409.55</v>
      </c>
      <c r="T146" s="290">
        <v>14036</v>
      </c>
      <c r="U146" s="291">
        <v>18340.96</v>
      </c>
      <c r="V146" s="291">
        <f t="shared" si="2"/>
        <v>165068.59</v>
      </c>
      <c r="W146" s="292">
        <v>10698.89</v>
      </c>
      <c r="X146" s="290">
        <v>51260</v>
      </c>
      <c r="Y146" s="291">
        <v>1528.41</v>
      </c>
      <c r="Z146" s="289" t="s">
        <v>944</v>
      </c>
      <c r="AA146" s="289"/>
      <c r="AB146" s="289" t="s">
        <v>1513</v>
      </c>
      <c r="AC146" s="289"/>
      <c r="AD146" s="289" t="s">
        <v>1446</v>
      </c>
      <c r="AE146" s="289" t="s">
        <v>410</v>
      </c>
      <c r="AF146" s="290" t="s">
        <v>1447</v>
      </c>
      <c r="AG146" s="289"/>
      <c r="AH146" s="290" t="s">
        <v>1448</v>
      </c>
      <c r="AI146" s="289">
        <v>0</v>
      </c>
      <c r="AJ146" s="289">
        <v>0</v>
      </c>
    </row>
    <row r="147" spans="2:36">
      <c r="B147" s="290">
        <v>2111</v>
      </c>
      <c r="C147" s="294">
        <v>262954</v>
      </c>
      <c r="D147" s="290" t="s">
        <v>944</v>
      </c>
      <c r="E147" s="289" t="s">
        <v>1519</v>
      </c>
      <c r="F147" s="290">
        <v>0</v>
      </c>
      <c r="G147" s="289"/>
      <c r="H147" s="289" t="s">
        <v>1520</v>
      </c>
      <c r="I147" s="289"/>
      <c r="J147" s="289">
        <v>2001</v>
      </c>
      <c r="K147" s="289" t="s">
        <v>1521</v>
      </c>
      <c r="L147" s="289" t="s">
        <v>1522</v>
      </c>
      <c r="M147" s="289" t="s">
        <v>1523</v>
      </c>
      <c r="N147" s="293">
        <v>37326</v>
      </c>
      <c r="O147" s="293">
        <v>37326</v>
      </c>
      <c r="P147" s="289" t="s">
        <v>1524</v>
      </c>
      <c r="Q147" s="290">
        <v>1000</v>
      </c>
      <c r="R147" s="290">
        <v>14040</v>
      </c>
      <c r="S147" s="291">
        <v>173451.3</v>
      </c>
      <c r="T147" s="290">
        <v>14046</v>
      </c>
      <c r="U147" s="291">
        <v>173451.3</v>
      </c>
      <c r="V147" s="291">
        <f t="shared" si="2"/>
        <v>0</v>
      </c>
      <c r="W147" s="292">
        <v>0</v>
      </c>
      <c r="X147" s="290">
        <v>51260</v>
      </c>
      <c r="Y147" s="291">
        <v>0</v>
      </c>
      <c r="Z147" s="289" t="s">
        <v>944</v>
      </c>
      <c r="AA147" s="289"/>
      <c r="AB147" s="289">
        <v>306981</v>
      </c>
      <c r="AC147" s="289">
        <v>271</v>
      </c>
      <c r="AD147" s="289" t="s">
        <v>1446</v>
      </c>
      <c r="AE147" s="289" t="s">
        <v>410</v>
      </c>
      <c r="AF147" s="290" t="s">
        <v>1447</v>
      </c>
      <c r="AG147" s="295">
        <v>44469</v>
      </c>
      <c r="AH147" s="290" t="s">
        <v>1448</v>
      </c>
      <c r="AI147" s="289">
        <v>0</v>
      </c>
      <c r="AJ147" s="289">
        <v>173451.3</v>
      </c>
    </row>
    <row r="148" spans="2:36">
      <c r="B148" s="290">
        <v>2111</v>
      </c>
      <c r="C148" s="294">
        <v>262700</v>
      </c>
      <c r="D148" s="290">
        <v>262699</v>
      </c>
      <c r="E148" s="289" t="s">
        <v>1525</v>
      </c>
      <c r="F148" s="290">
        <v>84</v>
      </c>
      <c r="G148" s="289"/>
      <c r="H148" s="289"/>
      <c r="I148" s="289"/>
      <c r="J148" s="289">
        <v>0</v>
      </c>
      <c r="K148" s="289" t="s">
        <v>1509</v>
      </c>
      <c r="L148" s="289"/>
      <c r="M148" s="289" t="s">
        <v>1463</v>
      </c>
      <c r="N148" s="293">
        <v>44448</v>
      </c>
      <c r="O148" s="293">
        <v>44448</v>
      </c>
      <c r="P148" s="289" t="s">
        <v>1510</v>
      </c>
      <c r="Q148" s="290">
        <v>1200</v>
      </c>
      <c r="R148" s="290">
        <v>14050</v>
      </c>
      <c r="S148" s="291">
        <v>9223.3700000000008</v>
      </c>
      <c r="T148" s="290">
        <v>14056</v>
      </c>
      <c r="U148" s="291">
        <v>704.57</v>
      </c>
      <c r="V148" s="291">
        <f t="shared" si="2"/>
        <v>8518.8000000000011</v>
      </c>
      <c r="W148" s="292">
        <v>448.36</v>
      </c>
      <c r="X148" s="290">
        <v>54260</v>
      </c>
      <c r="Y148" s="291">
        <v>64.05</v>
      </c>
      <c r="Z148" s="289" t="s">
        <v>944</v>
      </c>
      <c r="AA148" s="289"/>
      <c r="AB148" s="289" t="s">
        <v>1526</v>
      </c>
      <c r="AC148" s="289"/>
      <c r="AD148" s="289" t="s">
        <v>1446</v>
      </c>
      <c r="AE148" s="289" t="s">
        <v>410</v>
      </c>
      <c r="AF148" s="290" t="s">
        <v>1447</v>
      </c>
      <c r="AG148" s="289"/>
      <c r="AH148" s="290" t="s">
        <v>1448</v>
      </c>
      <c r="AI148" s="289">
        <v>0</v>
      </c>
      <c r="AJ148" s="289">
        <v>0</v>
      </c>
    </row>
    <row r="149" spans="2:36">
      <c r="B149" s="290">
        <v>2111</v>
      </c>
      <c r="C149" s="294">
        <v>262699</v>
      </c>
      <c r="D149" s="290" t="s">
        <v>944</v>
      </c>
      <c r="E149" s="289" t="s">
        <v>1527</v>
      </c>
      <c r="F149" s="290">
        <v>3</v>
      </c>
      <c r="G149" s="289"/>
      <c r="H149" s="289"/>
      <c r="I149" s="289"/>
      <c r="J149" s="289">
        <v>0</v>
      </c>
      <c r="K149" s="289" t="s">
        <v>1509</v>
      </c>
      <c r="L149" s="289"/>
      <c r="M149" s="289" t="s">
        <v>726</v>
      </c>
      <c r="N149" s="293">
        <v>44448</v>
      </c>
      <c r="O149" s="293">
        <v>44448</v>
      </c>
      <c r="P149" s="289" t="s">
        <v>1510</v>
      </c>
      <c r="Q149" s="290">
        <v>1200</v>
      </c>
      <c r="R149" s="290">
        <v>14050</v>
      </c>
      <c r="S149" s="291">
        <v>5024.3</v>
      </c>
      <c r="T149" s="290">
        <v>14056</v>
      </c>
      <c r="U149" s="291">
        <v>383.8</v>
      </c>
      <c r="V149" s="291">
        <f t="shared" si="2"/>
        <v>4640.5</v>
      </c>
      <c r="W149" s="292">
        <v>244.24</v>
      </c>
      <c r="X149" s="290">
        <v>54260</v>
      </c>
      <c r="Y149" s="291">
        <v>34.89</v>
      </c>
      <c r="Z149" s="289" t="s">
        <v>944</v>
      </c>
      <c r="AA149" s="289"/>
      <c r="AB149" s="289" t="s">
        <v>1526</v>
      </c>
      <c r="AC149" s="289"/>
      <c r="AD149" s="289" t="s">
        <v>1446</v>
      </c>
      <c r="AE149" s="289" t="s">
        <v>410</v>
      </c>
      <c r="AF149" s="290" t="s">
        <v>1447</v>
      </c>
      <c r="AG149" s="289"/>
      <c r="AH149" s="290" t="s">
        <v>1448</v>
      </c>
      <c r="AI149" s="289">
        <v>0</v>
      </c>
      <c r="AJ149" s="289">
        <v>0</v>
      </c>
    </row>
    <row r="150" spans="2:36">
      <c r="B150" s="290">
        <v>2111</v>
      </c>
      <c r="C150" s="294">
        <v>262698</v>
      </c>
      <c r="D150" s="290" t="s">
        <v>944</v>
      </c>
      <c r="E150" s="289" t="s">
        <v>1528</v>
      </c>
      <c r="F150" s="290">
        <v>8</v>
      </c>
      <c r="G150" s="289"/>
      <c r="H150" s="289"/>
      <c r="I150" s="289"/>
      <c r="J150" s="289">
        <v>0</v>
      </c>
      <c r="K150" s="289" t="s">
        <v>1509</v>
      </c>
      <c r="L150" s="289"/>
      <c r="M150" s="289" t="s">
        <v>690</v>
      </c>
      <c r="N150" s="293">
        <v>44448</v>
      </c>
      <c r="O150" s="293">
        <v>44448</v>
      </c>
      <c r="P150" s="289" t="s">
        <v>1510</v>
      </c>
      <c r="Q150" s="290">
        <v>1200</v>
      </c>
      <c r="R150" s="290">
        <v>14050</v>
      </c>
      <c r="S150" s="291">
        <v>10357.9</v>
      </c>
      <c r="T150" s="290">
        <v>14056</v>
      </c>
      <c r="U150" s="291">
        <v>791.23</v>
      </c>
      <c r="V150" s="291">
        <f t="shared" si="2"/>
        <v>9566.67</v>
      </c>
      <c r="W150" s="292">
        <v>503.51</v>
      </c>
      <c r="X150" s="290">
        <v>54260</v>
      </c>
      <c r="Y150" s="291">
        <v>71.930000000000007</v>
      </c>
      <c r="Z150" s="289" t="s">
        <v>944</v>
      </c>
      <c r="AA150" s="289"/>
      <c r="AB150" s="289" t="s">
        <v>1526</v>
      </c>
      <c r="AC150" s="289"/>
      <c r="AD150" s="289" t="s">
        <v>1446</v>
      </c>
      <c r="AE150" s="289" t="s">
        <v>410</v>
      </c>
      <c r="AF150" s="290" t="s">
        <v>1447</v>
      </c>
      <c r="AG150" s="289"/>
      <c r="AH150" s="290" t="s">
        <v>1448</v>
      </c>
      <c r="AI150" s="289">
        <v>0</v>
      </c>
      <c r="AJ150" s="289">
        <v>0</v>
      </c>
    </row>
    <row r="151" spans="2:36">
      <c r="B151" s="290">
        <v>2111</v>
      </c>
      <c r="C151" s="294">
        <v>262697</v>
      </c>
      <c r="D151" s="290" t="s">
        <v>944</v>
      </c>
      <c r="E151" s="289" t="s">
        <v>1529</v>
      </c>
      <c r="F151" s="290">
        <v>48</v>
      </c>
      <c r="G151" s="289"/>
      <c r="H151" s="289"/>
      <c r="I151" s="289"/>
      <c r="J151" s="289">
        <v>0</v>
      </c>
      <c r="K151" s="289" t="s">
        <v>1509</v>
      </c>
      <c r="L151" s="289"/>
      <c r="M151" s="289" t="s">
        <v>1530</v>
      </c>
      <c r="N151" s="293">
        <v>44448</v>
      </c>
      <c r="O151" s="293">
        <v>44448</v>
      </c>
      <c r="P151" s="289" t="s">
        <v>1510</v>
      </c>
      <c r="Q151" s="290">
        <v>1200</v>
      </c>
      <c r="R151" s="290">
        <v>14050</v>
      </c>
      <c r="S151" s="291">
        <v>51949.1</v>
      </c>
      <c r="T151" s="290">
        <v>14056</v>
      </c>
      <c r="U151" s="291">
        <v>3968.33</v>
      </c>
      <c r="V151" s="291">
        <f t="shared" si="2"/>
        <v>47980.77</v>
      </c>
      <c r="W151" s="292">
        <v>2525.3000000000002</v>
      </c>
      <c r="X151" s="290">
        <v>54260</v>
      </c>
      <c r="Y151" s="291">
        <v>360.75</v>
      </c>
      <c r="Z151" s="289" t="s">
        <v>944</v>
      </c>
      <c r="AA151" s="289"/>
      <c r="AB151" s="289" t="s">
        <v>1526</v>
      </c>
      <c r="AC151" s="289"/>
      <c r="AD151" s="289" t="s">
        <v>1446</v>
      </c>
      <c r="AE151" s="289" t="s">
        <v>410</v>
      </c>
      <c r="AF151" s="290" t="s">
        <v>1447</v>
      </c>
      <c r="AG151" s="289"/>
      <c r="AH151" s="290" t="s">
        <v>1448</v>
      </c>
      <c r="AI151" s="289">
        <v>0</v>
      </c>
      <c r="AJ151" s="289">
        <v>0</v>
      </c>
    </row>
    <row r="152" spans="2:36">
      <c r="B152" s="290">
        <v>2111</v>
      </c>
      <c r="C152" s="294">
        <v>262696</v>
      </c>
      <c r="D152" s="290" t="s">
        <v>944</v>
      </c>
      <c r="E152" s="289" t="s">
        <v>1531</v>
      </c>
      <c r="F152" s="290">
        <v>12</v>
      </c>
      <c r="G152" s="289"/>
      <c r="H152" s="289"/>
      <c r="I152" s="289"/>
      <c r="J152" s="289">
        <v>0</v>
      </c>
      <c r="K152" s="289" t="s">
        <v>1509</v>
      </c>
      <c r="L152" s="289"/>
      <c r="M152" s="289" t="s">
        <v>728</v>
      </c>
      <c r="N152" s="293">
        <v>44448</v>
      </c>
      <c r="O152" s="293">
        <v>44448</v>
      </c>
      <c r="P152" s="289" t="s">
        <v>1510</v>
      </c>
      <c r="Q152" s="290">
        <v>1200</v>
      </c>
      <c r="R152" s="290">
        <v>14050</v>
      </c>
      <c r="S152" s="291">
        <v>12818.05</v>
      </c>
      <c r="T152" s="290">
        <v>14056</v>
      </c>
      <c r="U152" s="291">
        <v>979.16</v>
      </c>
      <c r="V152" s="291">
        <f t="shared" si="2"/>
        <v>11838.89</v>
      </c>
      <c r="W152" s="292">
        <v>623.1</v>
      </c>
      <c r="X152" s="290">
        <v>54260</v>
      </c>
      <c r="Y152" s="291">
        <v>89.01</v>
      </c>
      <c r="Z152" s="289" t="s">
        <v>944</v>
      </c>
      <c r="AA152" s="289"/>
      <c r="AB152" s="289" t="s">
        <v>1526</v>
      </c>
      <c r="AC152" s="289"/>
      <c r="AD152" s="289" t="s">
        <v>1446</v>
      </c>
      <c r="AE152" s="289" t="s">
        <v>410</v>
      </c>
      <c r="AF152" s="290" t="s">
        <v>1447</v>
      </c>
      <c r="AG152" s="289"/>
      <c r="AH152" s="290" t="s">
        <v>1448</v>
      </c>
      <c r="AI152" s="289">
        <v>0</v>
      </c>
      <c r="AJ152" s="289">
        <v>0</v>
      </c>
    </row>
    <row r="153" spans="2:36">
      <c r="B153" s="290">
        <v>2111</v>
      </c>
      <c r="C153" s="294">
        <v>262695</v>
      </c>
      <c r="D153" s="290" t="s">
        <v>944</v>
      </c>
      <c r="E153" s="289" t="s">
        <v>1532</v>
      </c>
      <c r="F153" s="290">
        <v>24</v>
      </c>
      <c r="G153" s="289"/>
      <c r="H153" s="289"/>
      <c r="I153" s="289"/>
      <c r="J153" s="289">
        <v>0</v>
      </c>
      <c r="K153" s="289" t="s">
        <v>1509</v>
      </c>
      <c r="L153" s="289"/>
      <c r="M153" s="289" t="s">
        <v>1533</v>
      </c>
      <c r="N153" s="293">
        <v>44448</v>
      </c>
      <c r="O153" s="293">
        <v>44448</v>
      </c>
      <c r="P153" s="289" t="s">
        <v>1510</v>
      </c>
      <c r="Q153" s="290">
        <v>1200</v>
      </c>
      <c r="R153" s="290">
        <v>14050</v>
      </c>
      <c r="S153" s="291">
        <v>23171.56</v>
      </c>
      <c r="T153" s="290">
        <v>14056</v>
      </c>
      <c r="U153" s="291">
        <v>1770.05</v>
      </c>
      <c r="V153" s="291">
        <f t="shared" si="2"/>
        <v>21401.510000000002</v>
      </c>
      <c r="W153" s="292">
        <v>1126.3900000000001</v>
      </c>
      <c r="X153" s="290">
        <v>54260</v>
      </c>
      <c r="Y153" s="291">
        <v>160.91</v>
      </c>
      <c r="Z153" s="289" t="s">
        <v>944</v>
      </c>
      <c r="AA153" s="289"/>
      <c r="AB153" s="289" t="s">
        <v>1526</v>
      </c>
      <c r="AC153" s="289"/>
      <c r="AD153" s="289" t="s">
        <v>1446</v>
      </c>
      <c r="AE153" s="289" t="s">
        <v>410</v>
      </c>
      <c r="AF153" s="290" t="s">
        <v>1447</v>
      </c>
      <c r="AG153" s="289"/>
      <c r="AH153" s="290" t="s">
        <v>1448</v>
      </c>
      <c r="AI153" s="289">
        <v>0</v>
      </c>
      <c r="AJ153" s="289">
        <v>0</v>
      </c>
    </row>
    <row r="154" spans="2:36">
      <c r="B154" s="290">
        <v>2111</v>
      </c>
      <c r="C154" s="294">
        <v>262694</v>
      </c>
      <c r="D154" s="290" t="s">
        <v>944</v>
      </c>
      <c r="E154" s="289" t="s">
        <v>1534</v>
      </c>
      <c r="F154" s="290">
        <v>12</v>
      </c>
      <c r="G154" s="289"/>
      <c r="H154" s="289"/>
      <c r="I154" s="289"/>
      <c r="J154" s="289">
        <v>0</v>
      </c>
      <c r="K154" s="289" t="s">
        <v>1509</v>
      </c>
      <c r="L154" s="289"/>
      <c r="M154" s="289" t="s">
        <v>1535</v>
      </c>
      <c r="N154" s="293">
        <v>44448</v>
      </c>
      <c r="O154" s="293">
        <v>44448</v>
      </c>
      <c r="P154" s="289" t="s">
        <v>1510</v>
      </c>
      <c r="Q154" s="290">
        <v>1200</v>
      </c>
      <c r="R154" s="290">
        <v>14050</v>
      </c>
      <c r="S154" s="291">
        <v>12226.16</v>
      </c>
      <c r="T154" s="290">
        <v>14056</v>
      </c>
      <c r="U154" s="291">
        <v>933.95</v>
      </c>
      <c r="V154" s="291">
        <f t="shared" si="2"/>
        <v>11292.21</v>
      </c>
      <c r="W154" s="292">
        <v>594.33000000000004</v>
      </c>
      <c r="X154" s="290">
        <v>54260</v>
      </c>
      <c r="Y154" s="291">
        <v>84.9</v>
      </c>
      <c r="Z154" s="289" t="s">
        <v>944</v>
      </c>
      <c r="AA154" s="289"/>
      <c r="AB154" s="289" t="s">
        <v>1526</v>
      </c>
      <c r="AC154" s="289"/>
      <c r="AD154" s="289" t="s">
        <v>1446</v>
      </c>
      <c r="AE154" s="289" t="s">
        <v>410</v>
      </c>
      <c r="AF154" s="290" t="s">
        <v>1447</v>
      </c>
      <c r="AG154" s="289"/>
      <c r="AH154" s="290" t="s">
        <v>1448</v>
      </c>
      <c r="AI154" s="289">
        <v>0</v>
      </c>
      <c r="AJ154" s="289">
        <v>0</v>
      </c>
    </row>
    <row r="155" spans="2:36">
      <c r="B155" s="290">
        <v>2111</v>
      </c>
      <c r="C155" s="294">
        <v>262693</v>
      </c>
      <c r="D155" s="290" t="s">
        <v>944</v>
      </c>
      <c r="E155" s="289" t="s">
        <v>1536</v>
      </c>
      <c r="F155" s="290">
        <v>10</v>
      </c>
      <c r="G155" s="289"/>
      <c r="H155" s="289"/>
      <c r="I155" s="289"/>
      <c r="J155" s="289">
        <v>0</v>
      </c>
      <c r="K155" s="289" t="s">
        <v>1537</v>
      </c>
      <c r="L155" s="289"/>
      <c r="M155" s="289" t="s">
        <v>726</v>
      </c>
      <c r="N155" s="293">
        <v>44397</v>
      </c>
      <c r="O155" s="293">
        <v>44397</v>
      </c>
      <c r="P155" s="289" t="s">
        <v>1538</v>
      </c>
      <c r="Q155" s="290">
        <v>1200</v>
      </c>
      <c r="R155" s="290">
        <v>14050</v>
      </c>
      <c r="S155" s="291">
        <v>14764.71</v>
      </c>
      <c r="T155" s="290">
        <v>14056</v>
      </c>
      <c r="U155" s="291">
        <v>1230.3900000000001</v>
      </c>
      <c r="V155" s="291">
        <f t="shared" si="2"/>
        <v>13534.32</v>
      </c>
      <c r="W155" s="292">
        <v>717.73</v>
      </c>
      <c r="X155" s="290">
        <v>54260</v>
      </c>
      <c r="Y155" s="291">
        <v>102.53</v>
      </c>
      <c r="Z155" s="289" t="s">
        <v>944</v>
      </c>
      <c r="AA155" s="289"/>
      <c r="AB155" s="289" t="s">
        <v>1539</v>
      </c>
      <c r="AC155" s="289"/>
      <c r="AD155" s="289" t="s">
        <v>1446</v>
      </c>
      <c r="AE155" s="289" t="s">
        <v>410</v>
      </c>
      <c r="AF155" s="290" t="s">
        <v>1447</v>
      </c>
      <c r="AG155" s="289"/>
      <c r="AH155" s="290" t="s">
        <v>1448</v>
      </c>
      <c r="AI155" s="289">
        <v>0</v>
      </c>
      <c r="AJ155" s="289">
        <v>0</v>
      </c>
    </row>
    <row r="156" spans="2:36">
      <c r="B156" s="290">
        <v>2111</v>
      </c>
      <c r="C156" s="294">
        <v>262692</v>
      </c>
      <c r="D156" s="290" t="s">
        <v>944</v>
      </c>
      <c r="E156" s="289" t="s">
        <v>1540</v>
      </c>
      <c r="F156" s="290">
        <v>10</v>
      </c>
      <c r="G156" s="289"/>
      <c r="H156" s="289"/>
      <c r="I156" s="289"/>
      <c r="J156" s="289">
        <v>0</v>
      </c>
      <c r="K156" s="289" t="s">
        <v>1537</v>
      </c>
      <c r="L156" s="289"/>
      <c r="M156" s="289" t="s">
        <v>726</v>
      </c>
      <c r="N156" s="293">
        <v>44397</v>
      </c>
      <c r="O156" s="293">
        <v>44397</v>
      </c>
      <c r="P156" s="289" t="s">
        <v>1538</v>
      </c>
      <c r="Q156" s="290">
        <v>1200</v>
      </c>
      <c r="R156" s="290">
        <v>14050</v>
      </c>
      <c r="S156" s="291">
        <v>14126.71</v>
      </c>
      <c r="T156" s="290">
        <v>14056</v>
      </c>
      <c r="U156" s="291">
        <v>1177.23</v>
      </c>
      <c r="V156" s="291">
        <f t="shared" si="2"/>
        <v>12949.48</v>
      </c>
      <c r="W156" s="292">
        <v>686.72</v>
      </c>
      <c r="X156" s="290">
        <v>54260</v>
      </c>
      <c r="Y156" s="291">
        <v>98.1</v>
      </c>
      <c r="Z156" s="289" t="s">
        <v>944</v>
      </c>
      <c r="AA156" s="289"/>
      <c r="AB156" s="289" t="s">
        <v>1539</v>
      </c>
      <c r="AC156" s="289"/>
      <c r="AD156" s="289" t="s">
        <v>1446</v>
      </c>
      <c r="AE156" s="289" t="s">
        <v>410</v>
      </c>
      <c r="AF156" s="290" t="s">
        <v>1447</v>
      </c>
      <c r="AG156" s="289"/>
      <c r="AH156" s="290" t="s">
        <v>1448</v>
      </c>
      <c r="AI156" s="289">
        <v>0</v>
      </c>
      <c r="AJ156" s="289">
        <v>0</v>
      </c>
    </row>
    <row r="157" spans="2:36">
      <c r="B157" s="290">
        <v>2111</v>
      </c>
      <c r="C157" s="294">
        <v>262691</v>
      </c>
      <c r="D157" s="290" t="s">
        <v>944</v>
      </c>
      <c r="E157" s="289" t="s">
        <v>1541</v>
      </c>
      <c r="F157" s="290">
        <v>20</v>
      </c>
      <c r="G157" s="289"/>
      <c r="H157" s="289"/>
      <c r="I157" s="289"/>
      <c r="J157" s="289">
        <v>0</v>
      </c>
      <c r="K157" s="289" t="s">
        <v>1537</v>
      </c>
      <c r="L157" s="289"/>
      <c r="M157" s="289" t="s">
        <v>1530</v>
      </c>
      <c r="N157" s="293">
        <v>44397</v>
      </c>
      <c r="O157" s="293">
        <v>44397</v>
      </c>
      <c r="P157" s="289" t="s">
        <v>1538</v>
      </c>
      <c r="Q157" s="290">
        <v>1200</v>
      </c>
      <c r="R157" s="290">
        <v>14050</v>
      </c>
      <c r="S157" s="291">
        <v>15560.2</v>
      </c>
      <c r="T157" s="290">
        <v>14056</v>
      </c>
      <c r="U157" s="291">
        <v>1296.69</v>
      </c>
      <c r="V157" s="291">
        <f t="shared" si="2"/>
        <v>14263.51</v>
      </c>
      <c r="W157" s="292">
        <v>756.4</v>
      </c>
      <c r="X157" s="290">
        <v>54260</v>
      </c>
      <c r="Y157" s="291">
        <v>108.06</v>
      </c>
      <c r="Z157" s="289" t="s">
        <v>944</v>
      </c>
      <c r="AA157" s="289"/>
      <c r="AB157" s="289" t="s">
        <v>1539</v>
      </c>
      <c r="AC157" s="289"/>
      <c r="AD157" s="289" t="s">
        <v>1446</v>
      </c>
      <c r="AE157" s="289" t="s">
        <v>410</v>
      </c>
      <c r="AF157" s="290" t="s">
        <v>1447</v>
      </c>
      <c r="AG157" s="289"/>
      <c r="AH157" s="290" t="s">
        <v>1448</v>
      </c>
      <c r="AI157" s="289">
        <v>0</v>
      </c>
      <c r="AJ157" s="289">
        <v>0</v>
      </c>
    </row>
    <row r="158" spans="2:36">
      <c r="B158" s="290">
        <v>2111</v>
      </c>
      <c r="C158" s="294">
        <v>262690</v>
      </c>
      <c r="D158" s="290" t="s">
        <v>944</v>
      </c>
      <c r="E158" s="289" t="s">
        <v>1542</v>
      </c>
      <c r="F158" s="290">
        <v>20</v>
      </c>
      <c r="G158" s="289"/>
      <c r="H158" s="289"/>
      <c r="I158" s="289"/>
      <c r="J158" s="289">
        <v>0</v>
      </c>
      <c r="K158" s="289" t="s">
        <v>1537</v>
      </c>
      <c r="L158" s="289"/>
      <c r="M158" s="289" t="s">
        <v>1533</v>
      </c>
      <c r="N158" s="293">
        <v>44397</v>
      </c>
      <c r="O158" s="293">
        <v>44397</v>
      </c>
      <c r="P158" s="289" t="s">
        <v>1538</v>
      </c>
      <c r="Q158" s="290">
        <v>1200</v>
      </c>
      <c r="R158" s="290">
        <v>14050</v>
      </c>
      <c r="S158" s="291">
        <v>13557.19</v>
      </c>
      <c r="T158" s="290">
        <v>14056</v>
      </c>
      <c r="U158" s="291">
        <v>1129.77</v>
      </c>
      <c r="V158" s="291">
        <f t="shared" si="2"/>
        <v>12427.42</v>
      </c>
      <c r="W158" s="292">
        <v>659.03</v>
      </c>
      <c r="X158" s="290">
        <v>54260</v>
      </c>
      <c r="Y158" s="291">
        <v>94.14</v>
      </c>
      <c r="Z158" s="289" t="s">
        <v>944</v>
      </c>
      <c r="AA158" s="289"/>
      <c r="AB158" s="289" t="s">
        <v>1539</v>
      </c>
      <c r="AC158" s="289"/>
      <c r="AD158" s="289" t="s">
        <v>1446</v>
      </c>
      <c r="AE158" s="289" t="s">
        <v>410</v>
      </c>
      <c r="AF158" s="290" t="s">
        <v>1447</v>
      </c>
      <c r="AG158" s="289"/>
      <c r="AH158" s="290" t="s">
        <v>1448</v>
      </c>
      <c r="AI158" s="289">
        <v>0</v>
      </c>
      <c r="AJ158" s="289">
        <v>0</v>
      </c>
    </row>
    <row r="159" spans="2:36">
      <c r="B159" s="290">
        <v>2111</v>
      </c>
      <c r="C159" s="294">
        <v>262689</v>
      </c>
      <c r="D159" s="290" t="s">
        <v>944</v>
      </c>
      <c r="E159" s="289" t="s">
        <v>1543</v>
      </c>
      <c r="F159" s="290">
        <v>20</v>
      </c>
      <c r="G159" s="289"/>
      <c r="H159" s="289"/>
      <c r="I159" s="289"/>
      <c r="J159" s="289">
        <v>0</v>
      </c>
      <c r="K159" s="289" t="s">
        <v>1537</v>
      </c>
      <c r="L159" s="289"/>
      <c r="M159" s="289" t="s">
        <v>1535</v>
      </c>
      <c r="N159" s="293">
        <v>44397</v>
      </c>
      <c r="O159" s="293">
        <v>44397</v>
      </c>
      <c r="P159" s="289" t="s">
        <v>1538</v>
      </c>
      <c r="Q159" s="290">
        <v>1200</v>
      </c>
      <c r="R159" s="290">
        <v>14050</v>
      </c>
      <c r="S159" s="291">
        <v>14921.19</v>
      </c>
      <c r="T159" s="290">
        <v>14056</v>
      </c>
      <c r="U159" s="291">
        <v>1243.43</v>
      </c>
      <c r="V159" s="291">
        <f t="shared" si="2"/>
        <v>13677.76</v>
      </c>
      <c r="W159" s="292">
        <v>725.33</v>
      </c>
      <c r="X159" s="290">
        <v>54260</v>
      </c>
      <c r="Y159" s="291">
        <v>103.61</v>
      </c>
      <c r="Z159" s="289" t="s">
        <v>944</v>
      </c>
      <c r="AA159" s="289"/>
      <c r="AB159" s="289" t="s">
        <v>1539</v>
      </c>
      <c r="AC159" s="289"/>
      <c r="AD159" s="289" t="s">
        <v>1446</v>
      </c>
      <c r="AE159" s="289" t="s">
        <v>410</v>
      </c>
      <c r="AF159" s="290" t="s">
        <v>1447</v>
      </c>
      <c r="AG159" s="289"/>
      <c r="AH159" s="290" t="s">
        <v>1448</v>
      </c>
      <c r="AI159" s="289">
        <v>0</v>
      </c>
      <c r="AJ159" s="289">
        <v>0</v>
      </c>
    </row>
    <row r="160" spans="2:36">
      <c r="B160" s="290">
        <v>2111</v>
      </c>
      <c r="C160" s="294">
        <v>260751</v>
      </c>
      <c r="D160" s="290" t="s">
        <v>944</v>
      </c>
      <c r="E160" s="289" t="s">
        <v>1133</v>
      </c>
      <c r="F160" s="290">
        <v>648</v>
      </c>
      <c r="G160" s="289"/>
      <c r="H160" s="289"/>
      <c r="I160" s="289"/>
      <c r="J160" s="289">
        <v>0</v>
      </c>
      <c r="K160" s="289" t="s">
        <v>1462</v>
      </c>
      <c r="L160" s="289"/>
      <c r="M160" s="289" t="s">
        <v>1463</v>
      </c>
      <c r="N160" s="293">
        <v>44445</v>
      </c>
      <c r="O160" s="293">
        <v>44445</v>
      </c>
      <c r="P160" s="289" t="s">
        <v>1501</v>
      </c>
      <c r="Q160" s="290">
        <v>700</v>
      </c>
      <c r="R160" s="290">
        <v>14050</v>
      </c>
      <c r="S160" s="291">
        <v>37015.699999999997</v>
      </c>
      <c r="T160" s="290">
        <v>14056</v>
      </c>
      <c r="U160" s="291">
        <v>4847.29</v>
      </c>
      <c r="V160" s="291">
        <f t="shared" si="2"/>
        <v>32168.409999999996</v>
      </c>
      <c r="W160" s="292">
        <v>3084.64</v>
      </c>
      <c r="X160" s="290">
        <v>54260</v>
      </c>
      <c r="Y160" s="291">
        <v>440.66</v>
      </c>
      <c r="Z160" s="289" t="s">
        <v>944</v>
      </c>
      <c r="AA160" s="289"/>
      <c r="AB160" s="289">
        <v>50192167</v>
      </c>
      <c r="AC160" s="289"/>
      <c r="AD160" s="289" t="s">
        <v>1446</v>
      </c>
      <c r="AE160" s="289" t="s">
        <v>410</v>
      </c>
      <c r="AF160" s="290" t="s">
        <v>1447</v>
      </c>
      <c r="AG160" s="289"/>
      <c r="AH160" s="290" t="s">
        <v>1448</v>
      </c>
      <c r="AI160" s="289">
        <v>0</v>
      </c>
      <c r="AJ160" s="289">
        <v>0</v>
      </c>
    </row>
    <row r="161" spans="2:36">
      <c r="B161" s="290">
        <v>2111</v>
      </c>
      <c r="C161" s="294">
        <v>260750</v>
      </c>
      <c r="D161" s="290" t="s">
        <v>944</v>
      </c>
      <c r="E161" s="289" t="s">
        <v>1172</v>
      </c>
      <c r="F161" s="290">
        <v>351</v>
      </c>
      <c r="G161" s="289"/>
      <c r="H161" s="289"/>
      <c r="I161" s="289"/>
      <c r="J161" s="289">
        <v>0</v>
      </c>
      <c r="K161" s="289" t="s">
        <v>1462</v>
      </c>
      <c r="L161" s="289"/>
      <c r="M161" s="289" t="s">
        <v>1463</v>
      </c>
      <c r="N161" s="293">
        <v>44431</v>
      </c>
      <c r="O161" s="293">
        <v>44431</v>
      </c>
      <c r="P161" s="289" t="s">
        <v>1501</v>
      </c>
      <c r="Q161" s="290">
        <v>700</v>
      </c>
      <c r="R161" s="290">
        <v>14050</v>
      </c>
      <c r="S161" s="291">
        <v>22486.46</v>
      </c>
      <c r="T161" s="290">
        <v>14056</v>
      </c>
      <c r="U161" s="291">
        <v>2944.65</v>
      </c>
      <c r="V161" s="291">
        <f t="shared" si="2"/>
        <v>19541.809999999998</v>
      </c>
      <c r="W161" s="292">
        <v>1873.87</v>
      </c>
      <c r="X161" s="290">
        <v>54260</v>
      </c>
      <c r="Y161" s="291">
        <v>267.69</v>
      </c>
      <c r="Z161" s="289" t="s">
        <v>944</v>
      </c>
      <c r="AA161" s="289"/>
      <c r="AB161" s="289">
        <v>50190838</v>
      </c>
      <c r="AC161" s="289"/>
      <c r="AD161" s="289" t="s">
        <v>1446</v>
      </c>
      <c r="AE161" s="289" t="s">
        <v>410</v>
      </c>
      <c r="AF161" s="290" t="s">
        <v>1447</v>
      </c>
      <c r="AG161" s="289"/>
      <c r="AH161" s="290" t="s">
        <v>1448</v>
      </c>
      <c r="AI161" s="289">
        <v>0</v>
      </c>
      <c r="AJ161" s="289">
        <v>0</v>
      </c>
    </row>
    <row r="162" spans="2:36">
      <c r="B162" s="290">
        <v>2111</v>
      </c>
      <c r="C162" s="294">
        <v>260749</v>
      </c>
      <c r="D162" s="290" t="s">
        <v>944</v>
      </c>
      <c r="E162" s="289" t="s">
        <v>1171</v>
      </c>
      <c r="F162" s="290">
        <v>351</v>
      </c>
      <c r="G162" s="289"/>
      <c r="H162" s="289"/>
      <c r="I162" s="289"/>
      <c r="J162" s="289">
        <v>0</v>
      </c>
      <c r="K162" s="289" t="s">
        <v>1462</v>
      </c>
      <c r="L162" s="289"/>
      <c r="M162" s="289" t="s">
        <v>1463</v>
      </c>
      <c r="N162" s="293">
        <v>44431</v>
      </c>
      <c r="O162" s="293">
        <v>44431</v>
      </c>
      <c r="P162" s="289" t="s">
        <v>1501</v>
      </c>
      <c r="Q162" s="290">
        <v>700</v>
      </c>
      <c r="R162" s="290">
        <v>14050</v>
      </c>
      <c r="S162" s="291">
        <v>22486.47</v>
      </c>
      <c r="T162" s="290">
        <v>14056</v>
      </c>
      <c r="U162" s="291">
        <v>2944.66</v>
      </c>
      <c r="V162" s="291">
        <f t="shared" si="2"/>
        <v>19541.810000000001</v>
      </c>
      <c r="W162" s="292">
        <v>1873.87</v>
      </c>
      <c r="X162" s="290">
        <v>54260</v>
      </c>
      <c r="Y162" s="291">
        <v>267.69</v>
      </c>
      <c r="Z162" s="289" t="s">
        <v>944</v>
      </c>
      <c r="AA162" s="289"/>
      <c r="AB162" s="289">
        <v>50190838</v>
      </c>
      <c r="AC162" s="289"/>
      <c r="AD162" s="289" t="s">
        <v>1446</v>
      </c>
      <c r="AE162" s="289" t="s">
        <v>410</v>
      </c>
      <c r="AF162" s="290" t="s">
        <v>1447</v>
      </c>
      <c r="AG162" s="289"/>
      <c r="AH162" s="290" t="s">
        <v>1448</v>
      </c>
      <c r="AI162" s="289">
        <v>0</v>
      </c>
      <c r="AJ162" s="289">
        <v>0</v>
      </c>
    </row>
    <row r="163" spans="2:36">
      <c r="B163" s="290">
        <v>2111</v>
      </c>
      <c r="C163" s="294">
        <v>260748</v>
      </c>
      <c r="D163" s="290" t="s">
        <v>944</v>
      </c>
      <c r="E163" s="289" t="s">
        <v>1172</v>
      </c>
      <c r="F163" s="290">
        <v>702</v>
      </c>
      <c r="G163" s="289"/>
      <c r="H163" s="289"/>
      <c r="I163" s="289"/>
      <c r="J163" s="289">
        <v>0</v>
      </c>
      <c r="K163" s="289" t="s">
        <v>1462</v>
      </c>
      <c r="L163" s="289"/>
      <c r="M163" s="289" t="s">
        <v>1463</v>
      </c>
      <c r="N163" s="293">
        <v>44431</v>
      </c>
      <c r="O163" s="293">
        <v>44431</v>
      </c>
      <c r="P163" s="289" t="s">
        <v>1501</v>
      </c>
      <c r="Q163" s="290">
        <v>700</v>
      </c>
      <c r="R163" s="290">
        <v>14050</v>
      </c>
      <c r="S163" s="291">
        <v>44972.94</v>
      </c>
      <c r="T163" s="290">
        <v>14056</v>
      </c>
      <c r="U163" s="291">
        <v>5889.32</v>
      </c>
      <c r="V163" s="291">
        <f t="shared" si="2"/>
        <v>39083.620000000003</v>
      </c>
      <c r="W163" s="292">
        <v>3747.75</v>
      </c>
      <c r="X163" s="290">
        <v>54260</v>
      </c>
      <c r="Y163" s="291">
        <v>535.39</v>
      </c>
      <c r="Z163" s="289" t="s">
        <v>944</v>
      </c>
      <c r="AA163" s="289"/>
      <c r="AB163" s="289">
        <v>50189423</v>
      </c>
      <c r="AC163" s="289"/>
      <c r="AD163" s="289" t="s">
        <v>1446</v>
      </c>
      <c r="AE163" s="289" t="s">
        <v>410</v>
      </c>
      <c r="AF163" s="290" t="s">
        <v>1447</v>
      </c>
      <c r="AG163" s="289"/>
      <c r="AH163" s="290" t="s">
        <v>1448</v>
      </c>
      <c r="AI163" s="289">
        <v>0</v>
      </c>
      <c r="AJ163" s="289">
        <v>0</v>
      </c>
    </row>
    <row r="164" spans="2:36">
      <c r="B164" s="290">
        <v>2111</v>
      </c>
      <c r="C164" s="294">
        <v>259902</v>
      </c>
      <c r="D164" s="290" t="s">
        <v>944</v>
      </c>
      <c r="E164" s="289" t="s">
        <v>1544</v>
      </c>
      <c r="F164" s="290"/>
      <c r="G164" s="289"/>
      <c r="H164" s="289" t="s">
        <v>1545</v>
      </c>
      <c r="I164" s="289"/>
      <c r="J164" s="289">
        <v>2013</v>
      </c>
      <c r="K164" s="289" t="s">
        <v>1514</v>
      </c>
      <c r="L164" s="289" t="s">
        <v>1514</v>
      </c>
      <c r="M164" s="289" t="s">
        <v>1546</v>
      </c>
      <c r="N164" s="293">
        <v>44438</v>
      </c>
      <c r="O164" s="293">
        <v>44438</v>
      </c>
      <c r="P164" s="289" t="s">
        <v>1547</v>
      </c>
      <c r="Q164" s="290">
        <v>300</v>
      </c>
      <c r="R164" s="290">
        <v>14030</v>
      </c>
      <c r="S164" s="291">
        <v>51095</v>
      </c>
      <c r="T164" s="290">
        <v>14036</v>
      </c>
      <c r="U164" s="291">
        <v>15612.36</v>
      </c>
      <c r="V164" s="291">
        <f t="shared" si="2"/>
        <v>35482.639999999999</v>
      </c>
      <c r="W164" s="292">
        <v>9935.14</v>
      </c>
      <c r="X164" s="290">
        <v>51260</v>
      </c>
      <c r="Y164" s="291">
        <v>1419.3</v>
      </c>
      <c r="Z164" s="289" t="s">
        <v>944</v>
      </c>
      <c r="AA164" s="289"/>
      <c r="AB164" s="289" t="s">
        <v>1548</v>
      </c>
      <c r="AC164" s="289"/>
      <c r="AD164" s="289" t="s">
        <v>1446</v>
      </c>
      <c r="AE164" s="289" t="s">
        <v>410</v>
      </c>
      <c r="AF164" s="290" t="s">
        <v>1447</v>
      </c>
      <c r="AG164" s="289"/>
      <c r="AH164" s="290" t="s">
        <v>1448</v>
      </c>
      <c r="AI164" s="289">
        <v>0</v>
      </c>
      <c r="AJ164" s="289">
        <v>0</v>
      </c>
    </row>
    <row r="165" spans="2:36">
      <c r="B165" s="290">
        <v>2111</v>
      </c>
      <c r="C165" s="294">
        <v>259798</v>
      </c>
      <c r="D165" s="290">
        <v>252489</v>
      </c>
      <c r="E165" s="289" t="s">
        <v>1549</v>
      </c>
      <c r="F165" s="290"/>
      <c r="G165" s="289"/>
      <c r="H165" s="289"/>
      <c r="I165" s="289"/>
      <c r="J165" s="289">
        <v>0</v>
      </c>
      <c r="K165" s="289" t="s">
        <v>1456</v>
      </c>
      <c r="L165" s="289"/>
      <c r="M165" s="289"/>
      <c r="N165" s="293">
        <v>44347</v>
      </c>
      <c r="O165" s="293">
        <v>44347</v>
      </c>
      <c r="P165" s="289" t="s">
        <v>1457</v>
      </c>
      <c r="Q165" s="290">
        <v>1000</v>
      </c>
      <c r="R165" s="290">
        <v>14010</v>
      </c>
      <c r="S165" s="291">
        <v>1887.5</v>
      </c>
      <c r="T165" s="290">
        <v>14016</v>
      </c>
      <c r="U165" s="291">
        <v>220.21</v>
      </c>
      <c r="V165" s="291">
        <f t="shared" si="2"/>
        <v>1667.29</v>
      </c>
      <c r="W165" s="292">
        <v>110.1</v>
      </c>
      <c r="X165" s="290">
        <v>57260</v>
      </c>
      <c r="Y165" s="291">
        <v>15.72</v>
      </c>
      <c r="Z165" s="289" t="s">
        <v>944</v>
      </c>
      <c r="AA165" s="289"/>
      <c r="AB165" s="289" t="s">
        <v>1550</v>
      </c>
      <c r="AC165" s="289"/>
      <c r="AD165" s="289" t="s">
        <v>1446</v>
      </c>
      <c r="AE165" s="289" t="s">
        <v>410</v>
      </c>
      <c r="AF165" s="290" t="s">
        <v>1447</v>
      </c>
      <c r="AG165" s="289"/>
      <c r="AH165" s="290" t="s">
        <v>1448</v>
      </c>
      <c r="AI165" s="289">
        <v>0</v>
      </c>
      <c r="AJ165" s="289">
        <v>0</v>
      </c>
    </row>
    <row r="166" spans="2:36">
      <c r="B166" s="290">
        <v>2111</v>
      </c>
      <c r="C166" s="294">
        <v>259732</v>
      </c>
      <c r="D166" s="290" t="s">
        <v>944</v>
      </c>
      <c r="E166" s="289" t="s">
        <v>1175</v>
      </c>
      <c r="F166" s="290"/>
      <c r="G166" s="289"/>
      <c r="H166" s="289" t="s">
        <v>1551</v>
      </c>
      <c r="I166" s="289"/>
      <c r="J166" s="289">
        <v>2022</v>
      </c>
      <c r="K166" s="289"/>
      <c r="L166" s="289"/>
      <c r="M166" s="289" t="s">
        <v>1495</v>
      </c>
      <c r="N166" s="293">
        <v>44454</v>
      </c>
      <c r="O166" s="293">
        <v>44454</v>
      </c>
      <c r="P166" s="289" t="s">
        <v>1552</v>
      </c>
      <c r="Q166" s="290">
        <v>1000</v>
      </c>
      <c r="R166" s="290">
        <v>14040</v>
      </c>
      <c r="S166" s="291">
        <v>374630.77</v>
      </c>
      <c r="T166" s="290">
        <v>14046</v>
      </c>
      <c r="U166" s="291">
        <v>34341.15</v>
      </c>
      <c r="V166" s="291">
        <f t="shared" si="2"/>
        <v>340289.62</v>
      </c>
      <c r="W166" s="292">
        <v>21853.46</v>
      </c>
      <c r="X166" s="290">
        <v>51260</v>
      </c>
      <c r="Y166" s="291">
        <v>3121.92</v>
      </c>
      <c r="Z166" s="289" t="s">
        <v>944</v>
      </c>
      <c r="AA166" s="289"/>
      <c r="AB166" s="289"/>
      <c r="AC166" s="289"/>
      <c r="AD166" s="289" t="s">
        <v>1446</v>
      </c>
      <c r="AE166" s="289" t="s">
        <v>410</v>
      </c>
      <c r="AF166" s="290" t="s">
        <v>1447</v>
      </c>
      <c r="AG166" s="289"/>
      <c r="AH166" s="290" t="s">
        <v>1448</v>
      </c>
      <c r="AI166" s="289">
        <v>0</v>
      </c>
      <c r="AJ166" s="289">
        <v>0</v>
      </c>
    </row>
    <row r="167" spans="2:36">
      <c r="B167" s="290">
        <v>2111</v>
      </c>
      <c r="C167" s="294">
        <v>259507</v>
      </c>
      <c r="D167" s="290">
        <v>258058</v>
      </c>
      <c r="E167" s="289" t="s">
        <v>1553</v>
      </c>
      <c r="F167" s="290"/>
      <c r="G167" s="289"/>
      <c r="H167" s="289"/>
      <c r="I167" s="289"/>
      <c r="J167" s="289">
        <v>0</v>
      </c>
      <c r="K167" s="289" t="s">
        <v>1554</v>
      </c>
      <c r="L167" s="289"/>
      <c r="M167" s="289" t="s">
        <v>1467</v>
      </c>
      <c r="N167" s="293">
        <v>44371</v>
      </c>
      <c r="O167" s="293">
        <v>44371</v>
      </c>
      <c r="P167" s="289" t="s">
        <v>1555</v>
      </c>
      <c r="Q167" s="290">
        <v>700</v>
      </c>
      <c r="R167" s="290">
        <v>14040</v>
      </c>
      <c r="S167" s="291">
        <v>195.19</v>
      </c>
      <c r="T167" s="290">
        <v>14046</v>
      </c>
      <c r="U167" s="291">
        <v>30.21</v>
      </c>
      <c r="V167" s="291">
        <f t="shared" si="2"/>
        <v>164.98</v>
      </c>
      <c r="W167" s="292">
        <v>16.27</v>
      </c>
      <c r="X167" s="290">
        <v>51260</v>
      </c>
      <c r="Y167" s="291">
        <v>2.3199999999999998</v>
      </c>
      <c r="Z167" s="289" t="s">
        <v>944</v>
      </c>
      <c r="AA167" s="289"/>
      <c r="AB167" s="289" t="s">
        <v>1556</v>
      </c>
      <c r="AC167" s="289"/>
      <c r="AD167" s="289" t="s">
        <v>1446</v>
      </c>
      <c r="AE167" s="289" t="s">
        <v>410</v>
      </c>
      <c r="AF167" s="290" t="s">
        <v>1447</v>
      </c>
      <c r="AG167" s="289"/>
      <c r="AH167" s="290" t="s">
        <v>1448</v>
      </c>
      <c r="AI167" s="289">
        <v>0</v>
      </c>
      <c r="AJ167" s="289">
        <v>0</v>
      </c>
    </row>
    <row r="168" spans="2:36">
      <c r="B168" s="290">
        <v>2111</v>
      </c>
      <c r="C168" s="294">
        <v>259170</v>
      </c>
      <c r="D168" s="290">
        <v>252489</v>
      </c>
      <c r="E168" s="289" t="s">
        <v>1166</v>
      </c>
      <c r="F168" s="290"/>
      <c r="G168" s="289"/>
      <c r="H168" s="289"/>
      <c r="I168" s="289"/>
      <c r="J168" s="289">
        <v>0</v>
      </c>
      <c r="K168" s="289" t="s">
        <v>1456</v>
      </c>
      <c r="L168" s="289"/>
      <c r="M168" s="289"/>
      <c r="N168" s="293">
        <v>44347</v>
      </c>
      <c r="O168" s="293">
        <v>44347</v>
      </c>
      <c r="P168" s="289" t="s">
        <v>1457</v>
      </c>
      <c r="Q168" s="290">
        <v>1000</v>
      </c>
      <c r="R168" s="290">
        <v>14010</v>
      </c>
      <c r="S168" s="291">
        <v>12175</v>
      </c>
      <c r="T168" s="290">
        <v>14016</v>
      </c>
      <c r="U168" s="291">
        <v>1420.42</v>
      </c>
      <c r="V168" s="291">
        <f t="shared" si="2"/>
        <v>10754.58</v>
      </c>
      <c r="W168" s="292">
        <v>710.21</v>
      </c>
      <c r="X168" s="290">
        <v>57260</v>
      </c>
      <c r="Y168" s="291">
        <v>101.46</v>
      </c>
      <c r="Z168" s="289" t="s">
        <v>944</v>
      </c>
      <c r="AA168" s="289"/>
      <c r="AB168" s="289" t="s">
        <v>1558</v>
      </c>
      <c r="AC168" s="289"/>
      <c r="AD168" s="289" t="s">
        <v>1446</v>
      </c>
      <c r="AE168" s="289" t="s">
        <v>410</v>
      </c>
      <c r="AF168" s="290" t="s">
        <v>1447</v>
      </c>
      <c r="AG168" s="289"/>
      <c r="AH168" s="290" t="s">
        <v>1448</v>
      </c>
      <c r="AI168" s="289">
        <v>0</v>
      </c>
      <c r="AJ168" s="289">
        <v>0</v>
      </c>
    </row>
    <row r="169" spans="2:36">
      <c r="B169" s="290">
        <v>2111</v>
      </c>
      <c r="C169" s="294">
        <v>258075</v>
      </c>
      <c r="D169" s="290" t="s">
        <v>944</v>
      </c>
      <c r="E169" s="289" t="s">
        <v>1133</v>
      </c>
      <c r="F169" s="290">
        <v>936</v>
      </c>
      <c r="G169" s="289"/>
      <c r="H169" s="289"/>
      <c r="I169" s="289"/>
      <c r="J169" s="289">
        <v>0</v>
      </c>
      <c r="K169" s="289" t="s">
        <v>1462</v>
      </c>
      <c r="L169" s="289"/>
      <c r="M169" s="289" t="s">
        <v>1463</v>
      </c>
      <c r="N169" s="293">
        <v>44384</v>
      </c>
      <c r="O169" s="293">
        <v>44384</v>
      </c>
      <c r="P169" s="289" t="s">
        <v>1559</v>
      </c>
      <c r="Q169" s="290">
        <v>700</v>
      </c>
      <c r="R169" s="290">
        <v>14050</v>
      </c>
      <c r="S169" s="291">
        <v>50625.43</v>
      </c>
      <c r="T169" s="290">
        <v>14056</v>
      </c>
      <c r="U169" s="291">
        <v>7834.88</v>
      </c>
      <c r="V169" s="291">
        <f t="shared" si="2"/>
        <v>42790.55</v>
      </c>
      <c r="W169" s="292">
        <v>4218.79</v>
      </c>
      <c r="X169" s="290">
        <v>54260</v>
      </c>
      <c r="Y169" s="291">
        <v>602.67999999999995</v>
      </c>
      <c r="Z169" s="289" t="s">
        <v>944</v>
      </c>
      <c r="AA169" s="289"/>
      <c r="AB169" s="289">
        <v>50180993</v>
      </c>
      <c r="AC169" s="289"/>
      <c r="AD169" s="289" t="s">
        <v>1446</v>
      </c>
      <c r="AE169" s="289" t="s">
        <v>410</v>
      </c>
      <c r="AF169" s="290" t="s">
        <v>1447</v>
      </c>
      <c r="AG169" s="289"/>
      <c r="AH169" s="290" t="s">
        <v>1448</v>
      </c>
      <c r="AI169" s="289">
        <v>0</v>
      </c>
      <c r="AJ169" s="289">
        <v>0</v>
      </c>
    </row>
    <row r="170" spans="2:36">
      <c r="B170" s="290">
        <v>2111</v>
      </c>
      <c r="C170" s="294">
        <v>258059</v>
      </c>
      <c r="D170" s="290">
        <v>173284</v>
      </c>
      <c r="E170" s="289" t="s">
        <v>1560</v>
      </c>
      <c r="F170" s="290"/>
      <c r="G170" s="289"/>
      <c r="H170" s="289"/>
      <c r="I170" s="289"/>
      <c r="J170" s="289">
        <v>0</v>
      </c>
      <c r="K170" s="289" t="s">
        <v>1561</v>
      </c>
      <c r="L170" s="289"/>
      <c r="M170" s="289" t="s">
        <v>1467</v>
      </c>
      <c r="N170" s="293">
        <v>44216</v>
      </c>
      <c r="O170" s="293">
        <v>44216</v>
      </c>
      <c r="P170" s="289" t="s">
        <v>1562</v>
      </c>
      <c r="Q170" s="290">
        <v>300</v>
      </c>
      <c r="R170" s="290">
        <v>14040</v>
      </c>
      <c r="S170" s="291">
        <v>37534.57</v>
      </c>
      <c r="T170" s="290">
        <v>14046</v>
      </c>
      <c r="U170" s="291">
        <v>18767.29</v>
      </c>
      <c r="V170" s="291">
        <f t="shared" si="2"/>
        <v>18767.28</v>
      </c>
      <c r="W170" s="292">
        <v>7298.39</v>
      </c>
      <c r="X170" s="290">
        <v>51260</v>
      </c>
      <c r="Y170" s="291">
        <v>1042.6300000000001</v>
      </c>
      <c r="Z170" s="289" t="s">
        <v>944</v>
      </c>
      <c r="AA170" s="289"/>
      <c r="AB170" s="289" t="s">
        <v>1563</v>
      </c>
      <c r="AC170" s="289"/>
      <c r="AD170" s="289" t="s">
        <v>1446</v>
      </c>
      <c r="AE170" s="289" t="s">
        <v>410</v>
      </c>
      <c r="AF170" s="290" t="s">
        <v>1447</v>
      </c>
      <c r="AG170" s="289"/>
      <c r="AH170" s="290" t="s">
        <v>1448</v>
      </c>
      <c r="AI170" s="289">
        <v>0</v>
      </c>
      <c r="AJ170" s="289">
        <v>0</v>
      </c>
    </row>
    <row r="171" spans="2:36">
      <c r="B171" s="290">
        <v>2111</v>
      </c>
      <c r="C171" s="294">
        <v>258058</v>
      </c>
      <c r="D171" s="290" t="s">
        <v>944</v>
      </c>
      <c r="E171" s="289" t="s">
        <v>1564</v>
      </c>
      <c r="F171" s="290"/>
      <c r="G171" s="289"/>
      <c r="H171" s="289" t="s">
        <v>1565</v>
      </c>
      <c r="I171" s="289"/>
      <c r="J171" s="289">
        <v>2019</v>
      </c>
      <c r="K171" s="289" t="s">
        <v>1566</v>
      </c>
      <c r="L171" s="289"/>
      <c r="M171" s="289" t="s">
        <v>1567</v>
      </c>
      <c r="N171" s="293">
        <v>44371</v>
      </c>
      <c r="O171" s="293">
        <v>44371</v>
      </c>
      <c r="P171" s="289" t="s">
        <v>1555</v>
      </c>
      <c r="Q171" s="290">
        <v>700</v>
      </c>
      <c r="R171" s="290">
        <v>14040</v>
      </c>
      <c r="S171" s="291">
        <v>61050.15</v>
      </c>
      <c r="T171" s="290">
        <v>14046</v>
      </c>
      <c r="U171" s="291">
        <v>9448.24</v>
      </c>
      <c r="V171" s="291">
        <f t="shared" si="2"/>
        <v>51601.91</v>
      </c>
      <c r="W171" s="292">
        <v>5087.51</v>
      </c>
      <c r="X171" s="290">
        <v>51260</v>
      </c>
      <c r="Y171" s="291">
        <v>726.78</v>
      </c>
      <c r="Z171" s="289" t="s">
        <v>944</v>
      </c>
      <c r="AA171" s="289"/>
      <c r="AB171" s="289" t="s">
        <v>1568</v>
      </c>
      <c r="AC171" s="289"/>
      <c r="AD171" s="289" t="s">
        <v>1446</v>
      </c>
      <c r="AE171" s="289" t="s">
        <v>410</v>
      </c>
      <c r="AF171" s="290" t="s">
        <v>1447</v>
      </c>
      <c r="AG171" s="289"/>
      <c r="AH171" s="290" t="s">
        <v>1448</v>
      </c>
      <c r="AI171" s="289">
        <v>0</v>
      </c>
      <c r="AJ171" s="289">
        <v>0</v>
      </c>
    </row>
    <row r="172" spans="2:36">
      <c r="B172" s="290">
        <v>2111</v>
      </c>
      <c r="C172" s="294">
        <v>256204</v>
      </c>
      <c r="D172" s="290">
        <v>58436</v>
      </c>
      <c r="E172" s="289" t="s">
        <v>1569</v>
      </c>
      <c r="F172" s="290"/>
      <c r="G172" s="289"/>
      <c r="H172" s="289"/>
      <c r="I172" s="289"/>
      <c r="J172" s="289">
        <v>0</v>
      </c>
      <c r="K172" s="289" t="s">
        <v>1466</v>
      </c>
      <c r="L172" s="289"/>
      <c r="M172" s="289" t="s">
        <v>1467</v>
      </c>
      <c r="N172" s="293">
        <v>44307</v>
      </c>
      <c r="O172" s="293">
        <v>44307</v>
      </c>
      <c r="P172" s="289" t="s">
        <v>1570</v>
      </c>
      <c r="Q172" s="290">
        <v>300</v>
      </c>
      <c r="R172" s="290">
        <v>14040</v>
      </c>
      <c r="S172" s="291">
        <v>12896.39</v>
      </c>
      <c r="T172" s="290">
        <v>14046</v>
      </c>
      <c r="U172" s="291">
        <v>5373.5</v>
      </c>
      <c r="V172" s="291">
        <f t="shared" si="2"/>
        <v>7522.8899999999994</v>
      </c>
      <c r="W172" s="292">
        <v>2507.63</v>
      </c>
      <c r="X172" s="290">
        <v>51260</v>
      </c>
      <c r="Y172" s="291">
        <v>358.23</v>
      </c>
      <c r="Z172" s="289" t="s">
        <v>944</v>
      </c>
      <c r="AA172" s="289"/>
      <c r="AB172" s="289" t="s">
        <v>1571</v>
      </c>
      <c r="AC172" s="289"/>
      <c r="AD172" s="289" t="s">
        <v>1446</v>
      </c>
      <c r="AE172" s="289" t="s">
        <v>410</v>
      </c>
      <c r="AF172" s="290" t="s">
        <v>1447</v>
      </c>
      <c r="AG172" s="289"/>
      <c r="AH172" s="290" t="s">
        <v>1448</v>
      </c>
      <c r="AI172" s="289">
        <v>0</v>
      </c>
      <c r="AJ172" s="289">
        <v>0</v>
      </c>
    </row>
    <row r="173" spans="2:36">
      <c r="B173" s="290">
        <v>2111</v>
      </c>
      <c r="C173" s="294">
        <v>255876</v>
      </c>
      <c r="D173" s="290" t="s">
        <v>944</v>
      </c>
      <c r="E173" s="289" t="s">
        <v>1174</v>
      </c>
      <c r="F173" s="290">
        <v>702</v>
      </c>
      <c r="G173" s="289"/>
      <c r="H173" s="289"/>
      <c r="I173" s="289"/>
      <c r="J173" s="289">
        <v>0</v>
      </c>
      <c r="K173" s="289" t="s">
        <v>1462</v>
      </c>
      <c r="L173" s="289"/>
      <c r="M173" s="289" t="s">
        <v>1463</v>
      </c>
      <c r="N173" s="293">
        <v>44384</v>
      </c>
      <c r="O173" s="293">
        <v>44384</v>
      </c>
      <c r="P173" s="289" t="s">
        <v>1559</v>
      </c>
      <c r="Q173" s="290">
        <v>700</v>
      </c>
      <c r="R173" s="290">
        <v>14050</v>
      </c>
      <c r="S173" s="291">
        <v>42347.45</v>
      </c>
      <c r="T173" s="290">
        <v>14056</v>
      </c>
      <c r="U173" s="291">
        <v>6553.78</v>
      </c>
      <c r="V173" s="291">
        <f t="shared" si="2"/>
        <v>35793.67</v>
      </c>
      <c r="W173" s="292">
        <v>3528.96</v>
      </c>
      <c r="X173" s="290">
        <v>54260</v>
      </c>
      <c r="Y173" s="291">
        <v>504.14</v>
      </c>
      <c r="Z173" s="289" t="s">
        <v>944</v>
      </c>
      <c r="AA173" s="289"/>
      <c r="AB173" s="289">
        <v>50180090</v>
      </c>
      <c r="AC173" s="289"/>
      <c r="AD173" s="289" t="s">
        <v>1446</v>
      </c>
      <c r="AE173" s="289" t="s">
        <v>410</v>
      </c>
      <c r="AF173" s="290" t="s">
        <v>1447</v>
      </c>
      <c r="AG173" s="289"/>
      <c r="AH173" s="290" t="s">
        <v>1448</v>
      </c>
      <c r="AI173" s="289">
        <v>0</v>
      </c>
      <c r="AJ173" s="289">
        <v>0</v>
      </c>
    </row>
    <row r="174" spans="2:36">
      <c r="B174" s="290">
        <v>2111</v>
      </c>
      <c r="C174" s="294">
        <v>255875</v>
      </c>
      <c r="D174" s="290" t="s">
        <v>944</v>
      </c>
      <c r="E174" s="289" t="s">
        <v>1172</v>
      </c>
      <c r="F174" s="290">
        <v>702</v>
      </c>
      <c r="G174" s="289"/>
      <c r="H174" s="289"/>
      <c r="I174" s="289"/>
      <c r="J174" s="289">
        <v>0</v>
      </c>
      <c r="K174" s="289" t="s">
        <v>1462</v>
      </c>
      <c r="L174" s="289"/>
      <c r="M174" s="289" t="s">
        <v>1463</v>
      </c>
      <c r="N174" s="293">
        <v>44384</v>
      </c>
      <c r="O174" s="293">
        <v>44384</v>
      </c>
      <c r="P174" s="289" t="s">
        <v>1559</v>
      </c>
      <c r="Q174" s="290">
        <v>700</v>
      </c>
      <c r="R174" s="290">
        <v>14050</v>
      </c>
      <c r="S174" s="291">
        <v>42347.45</v>
      </c>
      <c r="T174" s="290">
        <v>14056</v>
      </c>
      <c r="U174" s="291">
        <v>6553.78</v>
      </c>
      <c r="V174" s="291">
        <f t="shared" si="2"/>
        <v>35793.67</v>
      </c>
      <c r="W174" s="292">
        <v>3528.96</v>
      </c>
      <c r="X174" s="290">
        <v>54260</v>
      </c>
      <c r="Y174" s="291">
        <v>504.14</v>
      </c>
      <c r="Z174" s="289" t="s">
        <v>944</v>
      </c>
      <c r="AA174" s="289"/>
      <c r="AB174" s="289">
        <v>50180090</v>
      </c>
      <c r="AC174" s="289"/>
      <c r="AD174" s="289" t="s">
        <v>1446</v>
      </c>
      <c r="AE174" s="289" t="s">
        <v>410</v>
      </c>
      <c r="AF174" s="290" t="s">
        <v>1447</v>
      </c>
      <c r="AG174" s="289"/>
      <c r="AH174" s="290" t="s">
        <v>1448</v>
      </c>
      <c r="AI174" s="289">
        <v>0</v>
      </c>
      <c r="AJ174" s="289">
        <v>0</v>
      </c>
    </row>
    <row r="175" spans="2:36">
      <c r="B175" s="290">
        <v>2111</v>
      </c>
      <c r="C175" s="294">
        <v>255874</v>
      </c>
      <c r="D175" s="290" t="s">
        <v>944</v>
      </c>
      <c r="E175" s="289" t="s">
        <v>1171</v>
      </c>
      <c r="F175" s="290">
        <v>702</v>
      </c>
      <c r="G175" s="289"/>
      <c r="H175" s="289"/>
      <c r="I175" s="289"/>
      <c r="J175" s="289">
        <v>0</v>
      </c>
      <c r="K175" s="289" t="s">
        <v>1462</v>
      </c>
      <c r="L175" s="289"/>
      <c r="M175" s="289" t="s">
        <v>1463</v>
      </c>
      <c r="N175" s="293">
        <v>44384</v>
      </c>
      <c r="O175" s="293">
        <v>44384</v>
      </c>
      <c r="P175" s="289" t="s">
        <v>1559</v>
      </c>
      <c r="Q175" s="290">
        <v>700</v>
      </c>
      <c r="R175" s="290">
        <v>14050</v>
      </c>
      <c r="S175" s="291">
        <v>42347.45</v>
      </c>
      <c r="T175" s="290">
        <v>14056</v>
      </c>
      <c r="U175" s="291">
        <v>6553.78</v>
      </c>
      <c r="V175" s="291">
        <f t="shared" si="2"/>
        <v>35793.67</v>
      </c>
      <c r="W175" s="292">
        <v>3528.96</v>
      </c>
      <c r="X175" s="290">
        <v>54260</v>
      </c>
      <c r="Y175" s="291">
        <v>504.14</v>
      </c>
      <c r="Z175" s="289" t="s">
        <v>944</v>
      </c>
      <c r="AA175" s="289"/>
      <c r="AB175" s="289">
        <v>50180090</v>
      </c>
      <c r="AC175" s="289"/>
      <c r="AD175" s="289" t="s">
        <v>1446</v>
      </c>
      <c r="AE175" s="289" t="s">
        <v>410</v>
      </c>
      <c r="AF175" s="290" t="s">
        <v>1447</v>
      </c>
      <c r="AG175" s="289"/>
      <c r="AH175" s="290" t="s">
        <v>1448</v>
      </c>
      <c r="AI175" s="289">
        <v>0</v>
      </c>
      <c r="AJ175" s="289">
        <v>0</v>
      </c>
    </row>
    <row r="176" spans="2:36">
      <c r="B176" s="290">
        <v>2111</v>
      </c>
      <c r="C176" s="294">
        <v>255684</v>
      </c>
      <c r="D176" s="290" t="s">
        <v>944</v>
      </c>
      <c r="E176" s="289" t="s">
        <v>558</v>
      </c>
      <c r="F176" s="290">
        <v>3</v>
      </c>
      <c r="G176" s="289"/>
      <c r="H176" s="289"/>
      <c r="I176" s="289"/>
      <c r="J176" s="289">
        <v>0</v>
      </c>
      <c r="K176" s="289"/>
      <c r="L176" s="289"/>
      <c r="M176" s="289"/>
      <c r="N176" s="293">
        <v>44378</v>
      </c>
      <c r="O176" s="293">
        <v>44378</v>
      </c>
      <c r="P176" s="289" t="s">
        <v>1491</v>
      </c>
      <c r="Q176" s="290">
        <v>500</v>
      </c>
      <c r="R176" s="290">
        <v>14070</v>
      </c>
      <c r="S176" s="291">
        <v>1617.15</v>
      </c>
      <c r="T176" s="290">
        <v>14076</v>
      </c>
      <c r="U176" s="291">
        <v>350.39</v>
      </c>
      <c r="V176" s="291">
        <f t="shared" si="2"/>
        <v>1266.7600000000002</v>
      </c>
      <c r="W176" s="292">
        <v>188.67</v>
      </c>
      <c r="X176" s="290">
        <v>51260</v>
      </c>
      <c r="Y176" s="291">
        <v>26.95</v>
      </c>
      <c r="Z176" s="289" t="s">
        <v>944</v>
      </c>
      <c r="AA176" s="289"/>
      <c r="AB176" s="289"/>
      <c r="AC176" s="289"/>
      <c r="AD176" s="289" t="s">
        <v>1446</v>
      </c>
      <c r="AE176" s="289" t="s">
        <v>410</v>
      </c>
      <c r="AF176" s="290" t="s">
        <v>1447</v>
      </c>
      <c r="AG176" s="289"/>
      <c r="AH176" s="290" t="s">
        <v>1448</v>
      </c>
      <c r="AI176" s="289">
        <v>0</v>
      </c>
      <c r="AJ176" s="289">
        <v>0</v>
      </c>
    </row>
    <row r="177" spans="2:36">
      <c r="B177" s="290">
        <v>2111</v>
      </c>
      <c r="C177" s="294">
        <v>255496</v>
      </c>
      <c r="D177" s="290">
        <v>255494</v>
      </c>
      <c r="E177" s="289" t="s">
        <v>1189</v>
      </c>
      <c r="F177" s="290"/>
      <c r="G177" s="289"/>
      <c r="H177" s="289"/>
      <c r="I177" s="289"/>
      <c r="J177" s="289">
        <v>0</v>
      </c>
      <c r="K177" s="289" t="s">
        <v>1572</v>
      </c>
      <c r="L177" s="289"/>
      <c r="M177" s="289" t="s">
        <v>1467</v>
      </c>
      <c r="N177" s="293">
        <v>43831</v>
      </c>
      <c r="O177" s="293">
        <v>43831</v>
      </c>
      <c r="P177" s="289" t="s">
        <v>1573</v>
      </c>
      <c r="Q177" s="290">
        <v>900</v>
      </c>
      <c r="R177" s="290">
        <v>14040</v>
      </c>
      <c r="S177" s="291">
        <v>6907.22</v>
      </c>
      <c r="T177" s="290">
        <v>14046</v>
      </c>
      <c r="U177" s="291">
        <v>1982.63</v>
      </c>
      <c r="V177" s="291">
        <f t="shared" si="2"/>
        <v>4924.59</v>
      </c>
      <c r="W177" s="292">
        <v>447.69</v>
      </c>
      <c r="X177" s="290">
        <v>51260</v>
      </c>
      <c r="Y177" s="291">
        <v>63.95</v>
      </c>
      <c r="Z177" s="289" t="s">
        <v>944</v>
      </c>
      <c r="AA177" s="289"/>
      <c r="AB177" s="289">
        <v>15544</v>
      </c>
      <c r="AC177" s="289"/>
      <c r="AD177" s="289" t="s">
        <v>1446</v>
      </c>
      <c r="AE177" s="289" t="s">
        <v>410</v>
      </c>
      <c r="AF177" s="290" t="s">
        <v>1447</v>
      </c>
      <c r="AG177" s="295">
        <v>44377</v>
      </c>
      <c r="AH177" s="290" t="s">
        <v>1448</v>
      </c>
      <c r="AI177" s="289">
        <v>0</v>
      </c>
      <c r="AJ177" s="289">
        <v>1151.21</v>
      </c>
    </row>
    <row r="178" spans="2:36">
      <c r="B178" s="290">
        <v>2111</v>
      </c>
      <c r="C178" s="294">
        <v>255495</v>
      </c>
      <c r="D178" s="290">
        <v>255494</v>
      </c>
      <c r="E178" s="289" t="s">
        <v>1190</v>
      </c>
      <c r="F178" s="290"/>
      <c r="G178" s="289"/>
      <c r="H178" s="289"/>
      <c r="I178" s="289"/>
      <c r="J178" s="289">
        <v>2019</v>
      </c>
      <c r="K178" s="289" t="s">
        <v>1574</v>
      </c>
      <c r="L178" s="289"/>
      <c r="M178" s="289" t="s">
        <v>1575</v>
      </c>
      <c r="N178" s="293">
        <v>43830</v>
      </c>
      <c r="O178" s="293">
        <v>43830</v>
      </c>
      <c r="P178" s="289" t="s">
        <v>1573</v>
      </c>
      <c r="Q178" s="290">
        <v>900</v>
      </c>
      <c r="R178" s="290">
        <v>14040</v>
      </c>
      <c r="S178" s="291">
        <v>7320.53</v>
      </c>
      <c r="T178" s="290">
        <v>14046</v>
      </c>
      <c r="U178" s="291">
        <v>2101.2600000000002</v>
      </c>
      <c r="V178" s="291">
        <f t="shared" si="2"/>
        <v>5219.2699999999995</v>
      </c>
      <c r="W178" s="292">
        <v>474.48</v>
      </c>
      <c r="X178" s="290">
        <v>51260</v>
      </c>
      <c r="Y178" s="291">
        <v>67.78</v>
      </c>
      <c r="Z178" s="289" t="s">
        <v>944</v>
      </c>
      <c r="AA178" s="289"/>
      <c r="AB178" s="289">
        <v>39274</v>
      </c>
      <c r="AC178" s="289"/>
      <c r="AD178" s="289" t="s">
        <v>1446</v>
      </c>
      <c r="AE178" s="289" t="s">
        <v>410</v>
      </c>
      <c r="AF178" s="290" t="s">
        <v>1447</v>
      </c>
      <c r="AG178" s="295">
        <v>44377</v>
      </c>
      <c r="AH178" s="290" t="s">
        <v>1448</v>
      </c>
      <c r="AI178" s="289">
        <v>0</v>
      </c>
      <c r="AJ178" s="289">
        <v>1220.0899999999999</v>
      </c>
    </row>
    <row r="179" spans="2:36">
      <c r="B179" s="290">
        <v>2111</v>
      </c>
      <c r="C179" s="294">
        <v>255494</v>
      </c>
      <c r="D179" s="290" t="s">
        <v>944</v>
      </c>
      <c r="E179" s="289" t="s">
        <v>1177</v>
      </c>
      <c r="F179" s="290"/>
      <c r="G179" s="289"/>
      <c r="H179" s="289" t="s">
        <v>1576</v>
      </c>
      <c r="I179" s="289"/>
      <c r="J179" s="289">
        <v>2019</v>
      </c>
      <c r="K179" s="289"/>
      <c r="L179" s="289"/>
      <c r="M179" s="289" t="s">
        <v>1577</v>
      </c>
      <c r="N179" s="293">
        <v>43830</v>
      </c>
      <c r="O179" s="293">
        <v>43830</v>
      </c>
      <c r="P179" s="289" t="s">
        <v>1578</v>
      </c>
      <c r="Q179" s="290">
        <v>900</v>
      </c>
      <c r="R179" s="290">
        <v>14040</v>
      </c>
      <c r="S179" s="291">
        <v>162499.54</v>
      </c>
      <c r="T179" s="290">
        <v>14046</v>
      </c>
      <c r="U179" s="291">
        <v>46643.4</v>
      </c>
      <c r="V179" s="291">
        <f t="shared" si="2"/>
        <v>115856.14000000001</v>
      </c>
      <c r="W179" s="292">
        <v>10532.38</v>
      </c>
      <c r="X179" s="290">
        <v>51260</v>
      </c>
      <c r="Y179" s="291">
        <v>1504.62</v>
      </c>
      <c r="Z179" s="289" t="s">
        <v>944</v>
      </c>
      <c r="AA179" s="289"/>
      <c r="AB179" s="289"/>
      <c r="AC179" s="289">
        <v>192</v>
      </c>
      <c r="AD179" s="289" t="s">
        <v>1446</v>
      </c>
      <c r="AE179" s="289" t="s">
        <v>410</v>
      </c>
      <c r="AF179" s="290" t="s">
        <v>1447</v>
      </c>
      <c r="AG179" s="295">
        <v>44377</v>
      </c>
      <c r="AH179" s="290" t="s">
        <v>1448</v>
      </c>
      <c r="AI179" s="289">
        <v>0</v>
      </c>
      <c r="AJ179" s="289">
        <v>27083.27</v>
      </c>
    </row>
    <row r="180" spans="2:36">
      <c r="B180" s="290">
        <v>2111</v>
      </c>
      <c r="C180" s="294">
        <v>255493</v>
      </c>
      <c r="D180" s="290">
        <v>255491</v>
      </c>
      <c r="E180" s="289" t="s">
        <v>1192</v>
      </c>
      <c r="F180" s="290"/>
      <c r="G180" s="289"/>
      <c r="H180" s="289"/>
      <c r="I180" s="289"/>
      <c r="J180" s="289">
        <v>0</v>
      </c>
      <c r="K180" s="289" t="s">
        <v>1574</v>
      </c>
      <c r="L180" s="289"/>
      <c r="M180" s="289" t="s">
        <v>1467</v>
      </c>
      <c r="N180" s="293">
        <v>43830</v>
      </c>
      <c r="O180" s="293"/>
      <c r="P180" s="289" t="s">
        <v>1579</v>
      </c>
      <c r="Q180" s="290">
        <v>900</v>
      </c>
      <c r="R180" s="290">
        <v>14040</v>
      </c>
      <c r="S180" s="291">
        <v>7327.19</v>
      </c>
      <c r="T180" s="290">
        <v>14046</v>
      </c>
      <c r="U180" s="291">
        <v>2103.17</v>
      </c>
      <c r="V180" s="291">
        <f t="shared" si="2"/>
        <v>5224.0199999999995</v>
      </c>
      <c r="W180" s="292">
        <v>474.91</v>
      </c>
      <c r="X180" s="290">
        <v>51260</v>
      </c>
      <c r="Y180" s="291">
        <v>67.84</v>
      </c>
      <c r="Z180" s="289" t="s">
        <v>944</v>
      </c>
      <c r="AA180" s="289"/>
      <c r="AB180" s="289">
        <v>38799</v>
      </c>
      <c r="AC180" s="289"/>
      <c r="AD180" s="289" t="s">
        <v>1446</v>
      </c>
      <c r="AE180" s="289" t="s">
        <v>410</v>
      </c>
      <c r="AF180" s="290" t="s">
        <v>1447</v>
      </c>
      <c r="AG180" s="295">
        <v>44377</v>
      </c>
      <c r="AH180" s="290" t="s">
        <v>1448</v>
      </c>
      <c r="AI180" s="289">
        <v>0</v>
      </c>
      <c r="AJ180" s="289">
        <v>1221.2</v>
      </c>
    </row>
    <row r="181" spans="2:36">
      <c r="B181" s="290">
        <v>2111</v>
      </c>
      <c r="C181" s="294">
        <v>255492</v>
      </c>
      <c r="D181" s="290">
        <v>255491</v>
      </c>
      <c r="E181" s="289" t="s">
        <v>1193</v>
      </c>
      <c r="F181" s="290"/>
      <c r="G181" s="289"/>
      <c r="H181" s="289"/>
      <c r="I181" s="289"/>
      <c r="J181" s="289">
        <v>0</v>
      </c>
      <c r="K181" s="289" t="s">
        <v>1580</v>
      </c>
      <c r="L181" s="289"/>
      <c r="M181" s="289" t="s">
        <v>1467</v>
      </c>
      <c r="N181" s="293">
        <v>43830</v>
      </c>
      <c r="O181" s="293">
        <v>43830</v>
      </c>
      <c r="P181" s="289" t="s">
        <v>1579</v>
      </c>
      <c r="Q181" s="290">
        <v>900</v>
      </c>
      <c r="R181" s="290">
        <v>14040</v>
      </c>
      <c r="S181" s="291">
        <v>6907.22</v>
      </c>
      <c r="T181" s="290">
        <v>14046</v>
      </c>
      <c r="U181" s="291">
        <v>1982.63</v>
      </c>
      <c r="V181" s="291">
        <f t="shared" si="2"/>
        <v>4924.59</v>
      </c>
      <c r="W181" s="292">
        <v>447.69</v>
      </c>
      <c r="X181" s="290">
        <v>51260</v>
      </c>
      <c r="Y181" s="291">
        <v>63.95</v>
      </c>
      <c r="Z181" s="289" t="s">
        <v>944</v>
      </c>
      <c r="AA181" s="289"/>
      <c r="AB181" s="289">
        <v>15380</v>
      </c>
      <c r="AC181" s="289"/>
      <c r="AD181" s="289" t="s">
        <v>1446</v>
      </c>
      <c r="AE181" s="289" t="s">
        <v>410</v>
      </c>
      <c r="AF181" s="290" t="s">
        <v>1447</v>
      </c>
      <c r="AG181" s="295">
        <v>44377</v>
      </c>
      <c r="AH181" s="290" t="s">
        <v>1448</v>
      </c>
      <c r="AI181" s="289">
        <v>0</v>
      </c>
      <c r="AJ181" s="289">
        <v>1151.21</v>
      </c>
    </row>
    <row r="182" spans="2:36">
      <c r="B182" s="290">
        <v>2111</v>
      </c>
      <c r="C182" s="294">
        <v>255491</v>
      </c>
      <c r="D182" s="290" t="s">
        <v>944</v>
      </c>
      <c r="E182" s="289" t="s">
        <v>1049</v>
      </c>
      <c r="F182" s="290"/>
      <c r="G182" s="289"/>
      <c r="H182" s="289" t="s">
        <v>1581</v>
      </c>
      <c r="I182" s="289"/>
      <c r="J182" s="289">
        <v>2019</v>
      </c>
      <c r="K182" s="289" t="s">
        <v>1483</v>
      </c>
      <c r="L182" s="289"/>
      <c r="M182" s="289" t="s">
        <v>1582</v>
      </c>
      <c r="N182" s="293">
        <v>43732</v>
      </c>
      <c r="O182" s="293">
        <v>43732</v>
      </c>
      <c r="P182" s="289" t="s">
        <v>1583</v>
      </c>
      <c r="Q182" s="290">
        <v>900</v>
      </c>
      <c r="R182" s="290">
        <v>14040</v>
      </c>
      <c r="S182" s="291">
        <v>161994</v>
      </c>
      <c r="T182" s="290">
        <v>14046</v>
      </c>
      <c r="U182" s="291">
        <v>50998.080000000002</v>
      </c>
      <c r="V182" s="291">
        <f t="shared" si="2"/>
        <v>110995.92</v>
      </c>
      <c r="W182" s="292">
        <v>10499.61</v>
      </c>
      <c r="X182" s="290">
        <v>51260</v>
      </c>
      <c r="Y182" s="291">
        <v>1499.94</v>
      </c>
      <c r="Z182" s="289" t="s">
        <v>944</v>
      </c>
      <c r="AA182" s="289"/>
      <c r="AB182" s="289"/>
      <c r="AC182" s="289">
        <v>190</v>
      </c>
      <c r="AD182" s="289" t="s">
        <v>1446</v>
      </c>
      <c r="AE182" s="289" t="s">
        <v>410</v>
      </c>
      <c r="AF182" s="290" t="s">
        <v>1447</v>
      </c>
      <c r="AG182" s="295">
        <v>44377</v>
      </c>
      <c r="AH182" s="290" t="s">
        <v>1448</v>
      </c>
      <c r="AI182" s="289">
        <v>0</v>
      </c>
      <c r="AJ182" s="289">
        <v>31498.82</v>
      </c>
    </row>
    <row r="183" spans="2:36">
      <c r="B183" s="290">
        <v>2111</v>
      </c>
      <c r="C183" s="294">
        <v>255490</v>
      </c>
      <c r="D183" s="290">
        <v>255488</v>
      </c>
      <c r="E183" s="289" t="s">
        <v>1194</v>
      </c>
      <c r="F183" s="290"/>
      <c r="G183" s="289"/>
      <c r="H183" s="289"/>
      <c r="I183" s="289" t="s">
        <v>1584</v>
      </c>
      <c r="J183" s="289">
        <v>0</v>
      </c>
      <c r="K183" s="289" t="s">
        <v>1585</v>
      </c>
      <c r="L183" s="289"/>
      <c r="M183" s="289" t="s">
        <v>1586</v>
      </c>
      <c r="N183" s="293">
        <v>43039</v>
      </c>
      <c r="O183" s="293">
        <v>43039</v>
      </c>
      <c r="P183" s="289" t="s">
        <v>1587</v>
      </c>
      <c r="Q183" s="290">
        <v>300</v>
      </c>
      <c r="R183" s="290">
        <v>14040</v>
      </c>
      <c r="S183" s="291">
        <v>3242.05</v>
      </c>
      <c r="T183" s="290">
        <v>14046</v>
      </c>
      <c r="U183" s="291">
        <v>3242.05</v>
      </c>
      <c r="V183" s="291">
        <f t="shared" si="2"/>
        <v>0</v>
      </c>
      <c r="W183" s="292">
        <v>0</v>
      </c>
      <c r="X183" s="290">
        <v>51260</v>
      </c>
      <c r="Y183" s="291">
        <v>0</v>
      </c>
      <c r="Z183" s="289" t="s">
        <v>944</v>
      </c>
      <c r="AA183" s="289"/>
      <c r="AB183" s="289">
        <v>38073</v>
      </c>
      <c r="AC183" s="289"/>
      <c r="AD183" s="289" t="s">
        <v>1446</v>
      </c>
      <c r="AE183" s="289" t="s">
        <v>410</v>
      </c>
      <c r="AF183" s="290" t="s">
        <v>1447</v>
      </c>
      <c r="AG183" s="295">
        <v>44377</v>
      </c>
      <c r="AH183" s="290" t="s">
        <v>1448</v>
      </c>
      <c r="AI183" s="289">
        <v>0</v>
      </c>
      <c r="AJ183" s="289">
        <v>3242.05</v>
      </c>
    </row>
    <row r="184" spans="2:36">
      <c r="B184" s="290">
        <v>2111</v>
      </c>
      <c r="C184" s="294">
        <v>255489</v>
      </c>
      <c r="D184" s="290">
        <v>255488</v>
      </c>
      <c r="E184" s="289" t="s">
        <v>1195</v>
      </c>
      <c r="F184" s="290"/>
      <c r="G184" s="289"/>
      <c r="H184" s="289"/>
      <c r="I184" s="289"/>
      <c r="J184" s="289">
        <v>0</v>
      </c>
      <c r="K184" s="289"/>
      <c r="L184" s="289"/>
      <c r="M184" s="289" t="s">
        <v>1467</v>
      </c>
      <c r="N184" s="293">
        <v>43096</v>
      </c>
      <c r="O184" s="293">
        <v>43096</v>
      </c>
      <c r="P184" s="289" t="s">
        <v>1587</v>
      </c>
      <c r="Q184" s="290">
        <v>300</v>
      </c>
      <c r="R184" s="290">
        <v>14040</v>
      </c>
      <c r="S184" s="291">
        <v>17621.09</v>
      </c>
      <c r="T184" s="290">
        <v>14046</v>
      </c>
      <c r="U184" s="291">
        <v>17621.09</v>
      </c>
      <c r="V184" s="291">
        <f t="shared" si="2"/>
        <v>0</v>
      </c>
      <c r="W184" s="292">
        <v>0</v>
      </c>
      <c r="X184" s="290">
        <v>51260</v>
      </c>
      <c r="Y184" s="291">
        <v>0</v>
      </c>
      <c r="Z184" s="289" t="s">
        <v>944</v>
      </c>
      <c r="AA184" s="289"/>
      <c r="AB184" s="289" t="s">
        <v>1588</v>
      </c>
      <c r="AC184" s="289"/>
      <c r="AD184" s="289" t="s">
        <v>1446</v>
      </c>
      <c r="AE184" s="289" t="s">
        <v>410</v>
      </c>
      <c r="AF184" s="290" t="s">
        <v>1447</v>
      </c>
      <c r="AG184" s="295">
        <v>44377</v>
      </c>
      <c r="AH184" s="290" t="s">
        <v>1448</v>
      </c>
      <c r="AI184" s="289">
        <v>0</v>
      </c>
      <c r="AJ184" s="289">
        <v>17621.09</v>
      </c>
    </row>
    <row r="185" spans="2:36">
      <c r="B185" s="290">
        <v>2111</v>
      </c>
      <c r="C185" s="294">
        <v>255488</v>
      </c>
      <c r="D185" s="290" t="s">
        <v>944</v>
      </c>
      <c r="E185" s="289" t="s">
        <v>1196</v>
      </c>
      <c r="F185" s="290">
        <v>0</v>
      </c>
      <c r="G185" s="289"/>
      <c r="H185" s="289" t="s">
        <v>1589</v>
      </c>
      <c r="I185" s="289"/>
      <c r="J185" s="289">
        <v>2010</v>
      </c>
      <c r="K185" s="289" t="s">
        <v>1590</v>
      </c>
      <c r="L185" s="289" t="s">
        <v>751</v>
      </c>
      <c r="M185" s="289" t="s">
        <v>1591</v>
      </c>
      <c r="N185" s="293">
        <v>40939</v>
      </c>
      <c r="O185" s="293">
        <v>40939</v>
      </c>
      <c r="P185" s="289" t="s">
        <v>1592</v>
      </c>
      <c r="Q185" s="290">
        <v>800</v>
      </c>
      <c r="R185" s="290">
        <v>14040</v>
      </c>
      <c r="S185" s="291">
        <v>117820</v>
      </c>
      <c r="T185" s="290">
        <v>14046</v>
      </c>
      <c r="U185" s="291">
        <v>117820</v>
      </c>
      <c r="V185" s="291">
        <f t="shared" si="2"/>
        <v>0</v>
      </c>
      <c r="W185" s="292">
        <v>0</v>
      </c>
      <c r="X185" s="290">
        <v>51260</v>
      </c>
      <c r="Y185" s="291">
        <v>0</v>
      </c>
      <c r="Z185" s="289" t="s">
        <v>944</v>
      </c>
      <c r="AA185" s="289"/>
      <c r="AB185" s="289" t="s">
        <v>1593</v>
      </c>
      <c r="AC185" s="289">
        <v>186</v>
      </c>
      <c r="AD185" s="289" t="s">
        <v>1446</v>
      </c>
      <c r="AE185" s="289" t="s">
        <v>410</v>
      </c>
      <c r="AF185" s="290" t="s">
        <v>1447</v>
      </c>
      <c r="AG185" s="295">
        <v>44377</v>
      </c>
      <c r="AH185" s="290" t="s">
        <v>1448</v>
      </c>
      <c r="AI185" s="289">
        <v>0</v>
      </c>
      <c r="AJ185" s="289">
        <v>117820</v>
      </c>
    </row>
    <row r="186" spans="2:36">
      <c r="B186" s="290">
        <v>2111</v>
      </c>
      <c r="C186" s="294">
        <v>255487</v>
      </c>
      <c r="D186" s="290">
        <v>255486</v>
      </c>
      <c r="E186" s="289" t="s">
        <v>1197</v>
      </c>
      <c r="F186" s="290"/>
      <c r="G186" s="289"/>
      <c r="H186" s="289"/>
      <c r="I186" s="289"/>
      <c r="J186" s="289">
        <v>2010</v>
      </c>
      <c r="K186" s="289" t="s">
        <v>1594</v>
      </c>
      <c r="L186" s="289" t="s">
        <v>1594</v>
      </c>
      <c r="M186" s="289" t="s">
        <v>1582</v>
      </c>
      <c r="N186" s="293">
        <v>43488</v>
      </c>
      <c r="O186" s="293">
        <v>43488</v>
      </c>
      <c r="P186" s="289" t="s">
        <v>1595</v>
      </c>
      <c r="Q186" s="290">
        <v>300</v>
      </c>
      <c r="R186" s="290">
        <v>14040</v>
      </c>
      <c r="S186" s="291">
        <v>15188.18</v>
      </c>
      <c r="T186" s="290">
        <v>14046</v>
      </c>
      <c r="U186" s="291">
        <v>15188.18</v>
      </c>
      <c r="V186" s="291">
        <f t="shared" si="2"/>
        <v>0</v>
      </c>
      <c r="W186" s="292">
        <v>421.89</v>
      </c>
      <c r="X186" s="290">
        <v>51260</v>
      </c>
      <c r="Y186" s="291">
        <v>0</v>
      </c>
      <c r="Z186" s="289" t="s">
        <v>944</v>
      </c>
      <c r="AA186" s="289"/>
      <c r="AB186" s="289">
        <v>15018</v>
      </c>
      <c r="AC186" s="289"/>
      <c r="AD186" s="289" t="s">
        <v>1446</v>
      </c>
      <c r="AE186" s="289" t="s">
        <v>410</v>
      </c>
      <c r="AF186" s="290" t="s">
        <v>1447</v>
      </c>
      <c r="AG186" s="295">
        <v>44377</v>
      </c>
      <c r="AH186" s="290" t="s">
        <v>1448</v>
      </c>
      <c r="AI186" s="289">
        <v>0</v>
      </c>
      <c r="AJ186" s="289">
        <v>12234.93</v>
      </c>
    </row>
    <row r="187" spans="2:36">
      <c r="B187" s="290">
        <v>2111</v>
      </c>
      <c r="C187" s="294">
        <v>255486</v>
      </c>
      <c r="D187" s="290" t="s">
        <v>944</v>
      </c>
      <c r="E187" s="289" t="s">
        <v>1198</v>
      </c>
      <c r="F187" s="290"/>
      <c r="G187" s="289"/>
      <c r="H187" s="289" t="s">
        <v>1596</v>
      </c>
      <c r="I187" s="289"/>
      <c r="J187" s="289">
        <v>2010</v>
      </c>
      <c r="K187" s="289"/>
      <c r="L187" s="289"/>
      <c r="M187" s="289" t="s">
        <v>1582</v>
      </c>
      <c r="N187" s="293">
        <v>43488</v>
      </c>
      <c r="O187" s="293">
        <v>43488</v>
      </c>
      <c r="P187" s="289" t="s">
        <v>1595</v>
      </c>
      <c r="Q187" s="290">
        <v>300</v>
      </c>
      <c r="R187" s="290">
        <v>14040</v>
      </c>
      <c r="S187" s="291">
        <v>33354.65</v>
      </c>
      <c r="T187" s="290">
        <v>14046</v>
      </c>
      <c r="U187" s="291">
        <v>33354.65</v>
      </c>
      <c r="V187" s="291">
        <f t="shared" si="2"/>
        <v>0</v>
      </c>
      <c r="W187" s="292">
        <v>926.51</v>
      </c>
      <c r="X187" s="290">
        <v>51260</v>
      </c>
      <c r="Y187" s="291">
        <v>0</v>
      </c>
      <c r="Z187" s="289" t="s">
        <v>944</v>
      </c>
      <c r="AA187" s="289"/>
      <c r="AB187" s="289">
        <v>4901</v>
      </c>
      <c r="AC187" s="289" t="s">
        <v>1597</v>
      </c>
      <c r="AD187" s="289" t="s">
        <v>1446</v>
      </c>
      <c r="AE187" s="289" t="s">
        <v>410</v>
      </c>
      <c r="AF187" s="290" t="s">
        <v>1447</v>
      </c>
      <c r="AG187" s="295">
        <v>44377</v>
      </c>
      <c r="AH187" s="290" t="s">
        <v>1448</v>
      </c>
      <c r="AI187" s="289">
        <v>0</v>
      </c>
      <c r="AJ187" s="289">
        <v>26869.03</v>
      </c>
    </row>
    <row r="188" spans="2:36">
      <c r="B188" s="290">
        <v>2111</v>
      </c>
      <c r="C188" s="294">
        <v>255485</v>
      </c>
      <c r="D188" s="290">
        <v>255484</v>
      </c>
      <c r="E188" s="289" t="s">
        <v>1197</v>
      </c>
      <c r="F188" s="290"/>
      <c r="G188" s="289"/>
      <c r="H188" s="289"/>
      <c r="I188" s="289"/>
      <c r="J188" s="289">
        <v>2010</v>
      </c>
      <c r="K188" s="289" t="s">
        <v>1594</v>
      </c>
      <c r="L188" s="289" t="s">
        <v>1594</v>
      </c>
      <c r="M188" s="289" t="s">
        <v>1582</v>
      </c>
      <c r="N188" s="293">
        <v>43488</v>
      </c>
      <c r="O188" s="293">
        <v>43488</v>
      </c>
      <c r="P188" s="289" t="s">
        <v>1598</v>
      </c>
      <c r="Q188" s="290">
        <v>300</v>
      </c>
      <c r="R188" s="290">
        <v>14040</v>
      </c>
      <c r="S188" s="291">
        <v>15188.18</v>
      </c>
      <c r="T188" s="290">
        <v>14046</v>
      </c>
      <c r="U188" s="291">
        <v>15188.18</v>
      </c>
      <c r="V188" s="291">
        <f t="shared" si="2"/>
        <v>0</v>
      </c>
      <c r="W188" s="292">
        <v>421.89</v>
      </c>
      <c r="X188" s="290">
        <v>51260</v>
      </c>
      <c r="Y188" s="291">
        <v>0</v>
      </c>
      <c r="Z188" s="289" t="s">
        <v>944</v>
      </c>
      <c r="AA188" s="289"/>
      <c r="AB188" s="289">
        <v>15018</v>
      </c>
      <c r="AC188" s="289"/>
      <c r="AD188" s="289" t="s">
        <v>1446</v>
      </c>
      <c r="AE188" s="289" t="s">
        <v>410</v>
      </c>
      <c r="AF188" s="290" t="s">
        <v>1447</v>
      </c>
      <c r="AG188" s="295">
        <v>44377</v>
      </c>
      <c r="AH188" s="290" t="s">
        <v>1448</v>
      </c>
      <c r="AI188" s="289">
        <v>0</v>
      </c>
      <c r="AJ188" s="289">
        <v>12234.93</v>
      </c>
    </row>
    <row r="189" spans="2:36">
      <c r="B189" s="290">
        <v>2111</v>
      </c>
      <c r="C189" s="294">
        <v>255484</v>
      </c>
      <c r="D189" s="290" t="s">
        <v>944</v>
      </c>
      <c r="E189" s="289" t="s">
        <v>1199</v>
      </c>
      <c r="F189" s="290"/>
      <c r="G189" s="289"/>
      <c r="H189" s="289" t="s">
        <v>1599</v>
      </c>
      <c r="I189" s="289"/>
      <c r="J189" s="289">
        <v>2010</v>
      </c>
      <c r="K189" s="289"/>
      <c r="L189" s="289"/>
      <c r="M189" s="289" t="s">
        <v>1582</v>
      </c>
      <c r="N189" s="293">
        <v>43488</v>
      </c>
      <c r="O189" s="293">
        <v>43488</v>
      </c>
      <c r="P189" s="289" t="s">
        <v>1598</v>
      </c>
      <c r="Q189" s="290">
        <v>300</v>
      </c>
      <c r="R189" s="290">
        <v>14040</v>
      </c>
      <c r="S189" s="291">
        <v>33354.65</v>
      </c>
      <c r="T189" s="290">
        <v>14046</v>
      </c>
      <c r="U189" s="291">
        <v>33354.65</v>
      </c>
      <c r="V189" s="291">
        <f t="shared" si="2"/>
        <v>0</v>
      </c>
      <c r="W189" s="292">
        <v>926.51</v>
      </c>
      <c r="X189" s="290">
        <v>51260</v>
      </c>
      <c r="Y189" s="291">
        <v>0</v>
      </c>
      <c r="Z189" s="289" t="s">
        <v>944</v>
      </c>
      <c r="AA189" s="289"/>
      <c r="AB189" s="289">
        <v>4901</v>
      </c>
      <c r="AC189" s="289" t="s">
        <v>1600</v>
      </c>
      <c r="AD189" s="289" t="s">
        <v>1446</v>
      </c>
      <c r="AE189" s="289" t="s">
        <v>410</v>
      </c>
      <c r="AF189" s="290" t="s">
        <v>1447</v>
      </c>
      <c r="AG189" s="295">
        <v>44377</v>
      </c>
      <c r="AH189" s="290" t="s">
        <v>1448</v>
      </c>
      <c r="AI189" s="289">
        <v>0</v>
      </c>
      <c r="AJ189" s="289">
        <v>26869.03</v>
      </c>
    </row>
    <row r="190" spans="2:36">
      <c r="B190" s="290">
        <v>2111</v>
      </c>
      <c r="C190" s="294">
        <v>255483</v>
      </c>
      <c r="D190" s="290">
        <v>255482</v>
      </c>
      <c r="E190" s="289" t="s">
        <v>1197</v>
      </c>
      <c r="F190" s="290"/>
      <c r="G190" s="289"/>
      <c r="H190" s="289"/>
      <c r="I190" s="289"/>
      <c r="J190" s="289">
        <v>2010</v>
      </c>
      <c r="K190" s="289" t="s">
        <v>1594</v>
      </c>
      <c r="L190" s="289" t="s">
        <v>1594</v>
      </c>
      <c r="M190" s="289" t="s">
        <v>1582</v>
      </c>
      <c r="N190" s="293">
        <v>43488</v>
      </c>
      <c r="O190" s="293">
        <v>43488</v>
      </c>
      <c r="P190" s="289" t="s">
        <v>1601</v>
      </c>
      <c r="Q190" s="290">
        <v>300</v>
      </c>
      <c r="R190" s="290">
        <v>14040</v>
      </c>
      <c r="S190" s="291">
        <v>15188.18</v>
      </c>
      <c r="T190" s="290">
        <v>14046</v>
      </c>
      <c r="U190" s="291">
        <v>15188.18</v>
      </c>
      <c r="V190" s="291">
        <f t="shared" si="2"/>
        <v>0</v>
      </c>
      <c r="W190" s="292">
        <v>421.89</v>
      </c>
      <c r="X190" s="290">
        <v>51260</v>
      </c>
      <c r="Y190" s="291">
        <v>0</v>
      </c>
      <c r="Z190" s="289" t="s">
        <v>944</v>
      </c>
      <c r="AA190" s="289"/>
      <c r="AB190" s="289">
        <v>15018</v>
      </c>
      <c r="AC190" s="289"/>
      <c r="AD190" s="289" t="s">
        <v>1446</v>
      </c>
      <c r="AE190" s="289" t="s">
        <v>410</v>
      </c>
      <c r="AF190" s="290" t="s">
        <v>1447</v>
      </c>
      <c r="AG190" s="295">
        <v>44377</v>
      </c>
      <c r="AH190" s="290" t="s">
        <v>1448</v>
      </c>
      <c r="AI190" s="289">
        <v>0</v>
      </c>
      <c r="AJ190" s="289">
        <v>12234.93</v>
      </c>
    </row>
    <row r="191" spans="2:36">
      <c r="B191" s="290">
        <v>2111</v>
      </c>
      <c r="C191" s="294">
        <v>255482</v>
      </c>
      <c r="D191" s="290" t="s">
        <v>944</v>
      </c>
      <c r="E191" s="289" t="s">
        <v>1200</v>
      </c>
      <c r="F191" s="290"/>
      <c r="G191" s="289"/>
      <c r="H191" s="289" t="s">
        <v>1602</v>
      </c>
      <c r="I191" s="289"/>
      <c r="J191" s="289">
        <v>2010</v>
      </c>
      <c r="K191" s="289"/>
      <c r="L191" s="289"/>
      <c r="M191" s="289" t="s">
        <v>1582</v>
      </c>
      <c r="N191" s="293">
        <v>43488</v>
      </c>
      <c r="O191" s="293">
        <v>43488</v>
      </c>
      <c r="P191" s="289" t="s">
        <v>1601</v>
      </c>
      <c r="Q191" s="290">
        <v>300</v>
      </c>
      <c r="R191" s="290">
        <v>14040</v>
      </c>
      <c r="S191" s="291">
        <v>33354.65</v>
      </c>
      <c r="T191" s="290">
        <v>14046</v>
      </c>
      <c r="U191" s="291">
        <v>33354.65</v>
      </c>
      <c r="V191" s="291">
        <f t="shared" si="2"/>
        <v>0</v>
      </c>
      <c r="W191" s="292">
        <v>926.51</v>
      </c>
      <c r="X191" s="290">
        <v>51260</v>
      </c>
      <c r="Y191" s="291">
        <v>0</v>
      </c>
      <c r="Z191" s="289" t="s">
        <v>944</v>
      </c>
      <c r="AA191" s="289"/>
      <c r="AB191" s="289">
        <v>4901</v>
      </c>
      <c r="AC191" s="289" t="s">
        <v>1603</v>
      </c>
      <c r="AD191" s="289" t="s">
        <v>1446</v>
      </c>
      <c r="AE191" s="289" t="s">
        <v>410</v>
      </c>
      <c r="AF191" s="290" t="s">
        <v>1447</v>
      </c>
      <c r="AG191" s="295">
        <v>44377</v>
      </c>
      <c r="AH191" s="290" t="s">
        <v>1448</v>
      </c>
      <c r="AI191" s="289">
        <v>0</v>
      </c>
      <c r="AJ191" s="289">
        <v>26869.03</v>
      </c>
    </row>
    <row r="192" spans="2:36">
      <c r="B192" s="290">
        <v>2111</v>
      </c>
      <c r="C192" s="294">
        <v>255481</v>
      </c>
      <c r="D192" s="290">
        <v>255480</v>
      </c>
      <c r="E192" s="289" t="s">
        <v>1197</v>
      </c>
      <c r="F192" s="290"/>
      <c r="G192" s="289"/>
      <c r="H192" s="289"/>
      <c r="I192" s="289"/>
      <c r="J192" s="289">
        <v>2010</v>
      </c>
      <c r="K192" s="289" t="s">
        <v>1594</v>
      </c>
      <c r="L192" s="289" t="s">
        <v>1594</v>
      </c>
      <c r="M192" s="289" t="s">
        <v>1582</v>
      </c>
      <c r="N192" s="293">
        <v>43488</v>
      </c>
      <c r="O192" s="293">
        <v>43488</v>
      </c>
      <c r="P192" s="289" t="s">
        <v>1604</v>
      </c>
      <c r="Q192" s="290">
        <v>300</v>
      </c>
      <c r="R192" s="290">
        <v>14040</v>
      </c>
      <c r="S192" s="291">
        <v>15188.18</v>
      </c>
      <c r="T192" s="290">
        <v>14046</v>
      </c>
      <c r="U192" s="291">
        <v>15188.18</v>
      </c>
      <c r="V192" s="291">
        <f t="shared" si="2"/>
        <v>0</v>
      </c>
      <c r="W192" s="292">
        <v>421.89</v>
      </c>
      <c r="X192" s="290">
        <v>51260</v>
      </c>
      <c r="Y192" s="291">
        <v>0</v>
      </c>
      <c r="Z192" s="289" t="s">
        <v>944</v>
      </c>
      <c r="AA192" s="289"/>
      <c r="AB192" s="289">
        <v>15018</v>
      </c>
      <c r="AC192" s="289"/>
      <c r="AD192" s="289" t="s">
        <v>1446</v>
      </c>
      <c r="AE192" s="289" t="s">
        <v>410</v>
      </c>
      <c r="AF192" s="290" t="s">
        <v>1447</v>
      </c>
      <c r="AG192" s="295">
        <v>44377</v>
      </c>
      <c r="AH192" s="290" t="s">
        <v>1448</v>
      </c>
      <c r="AI192" s="289">
        <v>0</v>
      </c>
      <c r="AJ192" s="289">
        <v>12234.93</v>
      </c>
    </row>
    <row r="193" spans="2:36">
      <c r="B193" s="290">
        <v>2111</v>
      </c>
      <c r="C193" s="294">
        <v>255480</v>
      </c>
      <c r="D193" s="290" t="s">
        <v>944</v>
      </c>
      <c r="E193" s="289" t="s">
        <v>1201</v>
      </c>
      <c r="F193" s="290"/>
      <c r="G193" s="289"/>
      <c r="H193" s="289" t="s">
        <v>1605</v>
      </c>
      <c r="I193" s="289"/>
      <c r="J193" s="289">
        <v>2010</v>
      </c>
      <c r="K193" s="289"/>
      <c r="L193" s="289"/>
      <c r="M193" s="289" t="s">
        <v>1582</v>
      </c>
      <c r="N193" s="293">
        <v>43488</v>
      </c>
      <c r="O193" s="293">
        <v>43488</v>
      </c>
      <c r="P193" s="289" t="s">
        <v>1604</v>
      </c>
      <c r="Q193" s="290">
        <v>300</v>
      </c>
      <c r="R193" s="290">
        <v>14040</v>
      </c>
      <c r="S193" s="291">
        <v>33354.65</v>
      </c>
      <c r="T193" s="290">
        <v>14046</v>
      </c>
      <c r="U193" s="291">
        <v>33354.65</v>
      </c>
      <c r="V193" s="291">
        <f t="shared" si="2"/>
        <v>0</v>
      </c>
      <c r="W193" s="292">
        <v>926.51</v>
      </c>
      <c r="X193" s="290">
        <v>51260</v>
      </c>
      <c r="Y193" s="291">
        <v>0</v>
      </c>
      <c r="Z193" s="289" t="s">
        <v>944</v>
      </c>
      <c r="AA193" s="289"/>
      <c r="AB193" s="289">
        <v>4901</v>
      </c>
      <c r="AC193" s="289" t="s">
        <v>1606</v>
      </c>
      <c r="AD193" s="289" t="s">
        <v>1446</v>
      </c>
      <c r="AE193" s="289" t="s">
        <v>410</v>
      </c>
      <c r="AF193" s="290" t="s">
        <v>1447</v>
      </c>
      <c r="AG193" s="295">
        <v>44377</v>
      </c>
      <c r="AH193" s="290" t="s">
        <v>1448</v>
      </c>
      <c r="AI193" s="289">
        <v>0</v>
      </c>
      <c r="AJ193" s="289">
        <v>26869.03</v>
      </c>
    </row>
    <row r="194" spans="2:36">
      <c r="B194" s="290">
        <v>2111</v>
      </c>
      <c r="C194" s="294">
        <v>255479</v>
      </c>
      <c r="D194" s="290">
        <v>255478</v>
      </c>
      <c r="E194" s="289" t="s">
        <v>1197</v>
      </c>
      <c r="F194" s="290"/>
      <c r="G194" s="289"/>
      <c r="H194" s="289"/>
      <c r="I194" s="289"/>
      <c r="J194" s="289">
        <v>2010</v>
      </c>
      <c r="K194" s="289" t="s">
        <v>1594</v>
      </c>
      <c r="L194" s="289" t="s">
        <v>1594</v>
      </c>
      <c r="M194" s="289" t="s">
        <v>1582</v>
      </c>
      <c r="N194" s="293">
        <v>43488</v>
      </c>
      <c r="O194" s="293">
        <v>43488</v>
      </c>
      <c r="P194" s="289" t="s">
        <v>1607</v>
      </c>
      <c r="Q194" s="290">
        <v>300</v>
      </c>
      <c r="R194" s="290">
        <v>14040</v>
      </c>
      <c r="S194" s="291">
        <v>15188.18</v>
      </c>
      <c r="T194" s="290">
        <v>14046</v>
      </c>
      <c r="U194" s="291">
        <v>15188.18</v>
      </c>
      <c r="V194" s="291">
        <f t="shared" si="2"/>
        <v>0</v>
      </c>
      <c r="W194" s="292">
        <v>421.89</v>
      </c>
      <c r="X194" s="290">
        <v>51260</v>
      </c>
      <c r="Y194" s="291">
        <v>0</v>
      </c>
      <c r="Z194" s="289" t="s">
        <v>944</v>
      </c>
      <c r="AA194" s="289"/>
      <c r="AB194" s="289">
        <v>15018</v>
      </c>
      <c r="AC194" s="289"/>
      <c r="AD194" s="289" t="s">
        <v>1446</v>
      </c>
      <c r="AE194" s="289" t="s">
        <v>410</v>
      </c>
      <c r="AF194" s="290" t="s">
        <v>1447</v>
      </c>
      <c r="AG194" s="295">
        <v>44377</v>
      </c>
      <c r="AH194" s="290" t="s">
        <v>1448</v>
      </c>
      <c r="AI194" s="289">
        <v>0</v>
      </c>
      <c r="AJ194" s="289">
        <v>12234.93</v>
      </c>
    </row>
    <row r="195" spans="2:36">
      <c r="B195" s="290">
        <v>2111</v>
      </c>
      <c r="C195" s="294">
        <v>255478</v>
      </c>
      <c r="D195" s="290" t="s">
        <v>944</v>
      </c>
      <c r="E195" s="289" t="s">
        <v>1202</v>
      </c>
      <c r="F195" s="290"/>
      <c r="G195" s="289"/>
      <c r="H195" s="289" t="s">
        <v>1608</v>
      </c>
      <c r="I195" s="289"/>
      <c r="J195" s="289">
        <v>2010</v>
      </c>
      <c r="K195" s="289"/>
      <c r="L195" s="289"/>
      <c r="M195" s="289" t="s">
        <v>1582</v>
      </c>
      <c r="N195" s="293">
        <v>43488</v>
      </c>
      <c r="O195" s="293">
        <v>43488</v>
      </c>
      <c r="P195" s="289" t="s">
        <v>1607</v>
      </c>
      <c r="Q195" s="290">
        <v>300</v>
      </c>
      <c r="R195" s="290">
        <v>14040</v>
      </c>
      <c r="S195" s="291">
        <v>33354.65</v>
      </c>
      <c r="T195" s="290">
        <v>14046</v>
      </c>
      <c r="U195" s="291">
        <v>33354.65</v>
      </c>
      <c r="V195" s="291">
        <f t="shared" si="2"/>
        <v>0</v>
      </c>
      <c r="W195" s="292">
        <v>926.51</v>
      </c>
      <c r="X195" s="290">
        <v>51260</v>
      </c>
      <c r="Y195" s="291">
        <v>0</v>
      </c>
      <c r="Z195" s="289" t="s">
        <v>944</v>
      </c>
      <c r="AA195" s="289"/>
      <c r="AB195" s="289">
        <v>4901</v>
      </c>
      <c r="AC195" s="289" t="s">
        <v>1609</v>
      </c>
      <c r="AD195" s="289" t="s">
        <v>1446</v>
      </c>
      <c r="AE195" s="289" t="s">
        <v>410</v>
      </c>
      <c r="AF195" s="290" t="s">
        <v>1447</v>
      </c>
      <c r="AG195" s="295">
        <v>44377</v>
      </c>
      <c r="AH195" s="290" t="s">
        <v>1448</v>
      </c>
      <c r="AI195" s="289">
        <v>0</v>
      </c>
      <c r="AJ195" s="289">
        <v>26869.03</v>
      </c>
    </row>
    <row r="196" spans="2:36">
      <c r="B196" s="290">
        <v>2111</v>
      </c>
      <c r="C196" s="294">
        <v>255477</v>
      </c>
      <c r="D196" s="290" t="s">
        <v>944</v>
      </c>
      <c r="E196" s="289" t="s">
        <v>1203</v>
      </c>
      <c r="F196" s="290"/>
      <c r="G196" s="289"/>
      <c r="H196" s="289" t="s">
        <v>1610</v>
      </c>
      <c r="I196" s="289"/>
      <c r="J196" s="289">
        <v>2010</v>
      </c>
      <c r="K196" s="289" t="s">
        <v>1611</v>
      </c>
      <c r="L196" s="289" t="s">
        <v>1611</v>
      </c>
      <c r="M196" s="289" t="s">
        <v>1612</v>
      </c>
      <c r="N196" s="293">
        <v>43831</v>
      </c>
      <c r="O196" s="293">
        <v>43831</v>
      </c>
      <c r="P196" s="289" t="s">
        <v>1613</v>
      </c>
      <c r="Q196" s="290">
        <v>210</v>
      </c>
      <c r="R196" s="290">
        <v>14040</v>
      </c>
      <c r="S196" s="291">
        <v>33513</v>
      </c>
      <c r="T196" s="290">
        <v>14046</v>
      </c>
      <c r="U196" s="291">
        <v>30555.98</v>
      </c>
      <c r="V196" s="291">
        <f t="shared" si="2"/>
        <v>2957.0200000000004</v>
      </c>
      <c r="W196" s="292">
        <v>6899.74</v>
      </c>
      <c r="X196" s="290">
        <v>51260</v>
      </c>
      <c r="Y196" s="291">
        <v>985.68</v>
      </c>
      <c r="Z196" s="289" t="s">
        <v>944</v>
      </c>
      <c r="AA196" s="289"/>
      <c r="AB196" s="289">
        <v>5008</v>
      </c>
      <c r="AC196" s="289" t="s">
        <v>1614</v>
      </c>
      <c r="AD196" s="289" t="s">
        <v>1446</v>
      </c>
      <c r="AE196" s="289" t="s">
        <v>410</v>
      </c>
      <c r="AF196" s="290" t="s">
        <v>1447</v>
      </c>
      <c r="AG196" s="295">
        <v>44377</v>
      </c>
      <c r="AH196" s="290" t="s">
        <v>1448</v>
      </c>
      <c r="AI196" s="289">
        <v>0</v>
      </c>
      <c r="AJ196" s="289">
        <v>17742.18</v>
      </c>
    </row>
    <row r="197" spans="2:36">
      <c r="B197" s="290">
        <v>2111</v>
      </c>
      <c r="C197" s="294">
        <v>255476</v>
      </c>
      <c r="D197" s="290">
        <v>255477</v>
      </c>
      <c r="E197" s="289" t="s">
        <v>1204</v>
      </c>
      <c r="F197" s="290"/>
      <c r="G197" s="289"/>
      <c r="H197" s="289" t="s">
        <v>1610</v>
      </c>
      <c r="I197" s="289"/>
      <c r="J197" s="289">
        <v>2010</v>
      </c>
      <c r="K197" s="289" t="s">
        <v>1594</v>
      </c>
      <c r="L197" s="289" t="s">
        <v>1594</v>
      </c>
      <c r="M197" s="289" t="s">
        <v>1582</v>
      </c>
      <c r="N197" s="293">
        <v>43488</v>
      </c>
      <c r="O197" s="293">
        <v>43488</v>
      </c>
      <c r="P197" s="289" t="s">
        <v>1613</v>
      </c>
      <c r="Q197" s="290">
        <v>300</v>
      </c>
      <c r="R197" s="290">
        <v>14040</v>
      </c>
      <c r="S197" s="291">
        <v>15188.18</v>
      </c>
      <c r="T197" s="290">
        <v>14046</v>
      </c>
      <c r="U197" s="291">
        <v>15188.18</v>
      </c>
      <c r="V197" s="291">
        <f t="shared" si="2"/>
        <v>0</v>
      </c>
      <c r="W197" s="292">
        <v>421.89</v>
      </c>
      <c r="X197" s="290">
        <v>51260</v>
      </c>
      <c r="Y197" s="291">
        <v>0</v>
      </c>
      <c r="Z197" s="289" t="s">
        <v>944</v>
      </c>
      <c r="AA197" s="289"/>
      <c r="AB197" s="289">
        <v>15074</v>
      </c>
      <c r="AC197" s="289"/>
      <c r="AD197" s="289" t="s">
        <v>1446</v>
      </c>
      <c r="AE197" s="289" t="s">
        <v>410</v>
      </c>
      <c r="AF197" s="290" t="s">
        <v>1447</v>
      </c>
      <c r="AG197" s="295">
        <v>44377</v>
      </c>
      <c r="AH197" s="290" t="s">
        <v>1448</v>
      </c>
      <c r="AI197" s="289">
        <v>0</v>
      </c>
      <c r="AJ197" s="289">
        <v>12234.93</v>
      </c>
    </row>
    <row r="198" spans="2:36">
      <c r="B198" s="290">
        <v>2111</v>
      </c>
      <c r="C198" s="294">
        <v>255475</v>
      </c>
      <c r="D198" s="290">
        <v>255477</v>
      </c>
      <c r="E198" s="289" t="s">
        <v>1205</v>
      </c>
      <c r="F198" s="290"/>
      <c r="G198" s="289"/>
      <c r="H198" s="289" t="s">
        <v>1610</v>
      </c>
      <c r="I198" s="289" t="s">
        <v>1584</v>
      </c>
      <c r="J198" s="289">
        <v>2010</v>
      </c>
      <c r="K198" s="289" t="s">
        <v>1594</v>
      </c>
      <c r="L198" s="289" t="s">
        <v>1594</v>
      </c>
      <c r="M198" s="289" t="s">
        <v>1582</v>
      </c>
      <c r="N198" s="293">
        <v>43488</v>
      </c>
      <c r="O198" s="293">
        <v>43488</v>
      </c>
      <c r="P198" s="289" t="s">
        <v>1613</v>
      </c>
      <c r="Q198" s="290">
        <v>300</v>
      </c>
      <c r="R198" s="290">
        <v>14040</v>
      </c>
      <c r="S198" s="291">
        <v>3517.75</v>
      </c>
      <c r="T198" s="290">
        <v>14046</v>
      </c>
      <c r="U198" s="291">
        <v>3517.75</v>
      </c>
      <c r="V198" s="291">
        <f t="shared" si="2"/>
        <v>0</v>
      </c>
      <c r="W198" s="292">
        <v>97.72</v>
      </c>
      <c r="X198" s="290">
        <v>51260</v>
      </c>
      <c r="Y198" s="291">
        <v>0</v>
      </c>
      <c r="Z198" s="289" t="s">
        <v>944</v>
      </c>
      <c r="AA198" s="289"/>
      <c r="AB198" s="289" t="s">
        <v>1614</v>
      </c>
      <c r="AC198" s="289"/>
      <c r="AD198" s="289" t="s">
        <v>1446</v>
      </c>
      <c r="AE198" s="289" t="s">
        <v>410</v>
      </c>
      <c r="AF198" s="290" t="s">
        <v>1447</v>
      </c>
      <c r="AG198" s="295">
        <v>44377</v>
      </c>
      <c r="AH198" s="290" t="s">
        <v>1448</v>
      </c>
      <c r="AI198" s="289">
        <v>0</v>
      </c>
      <c r="AJ198" s="289">
        <v>2833.74</v>
      </c>
    </row>
    <row r="199" spans="2:36">
      <c r="B199" s="290">
        <v>2111</v>
      </c>
      <c r="C199" s="294">
        <v>255474</v>
      </c>
      <c r="D199" s="290" t="s">
        <v>944</v>
      </c>
      <c r="E199" s="289" t="s">
        <v>1203</v>
      </c>
      <c r="F199" s="290"/>
      <c r="G199" s="289"/>
      <c r="H199" s="289" t="s">
        <v>1615</v>
      </c>
      <c r="I199" s="289"/>
      <c r="J199" s="289">
        <v>2010</v>
      </c>
      <c r="K199" s="289" t="s">
        <v>1611</v>
      </c>
      <c r="L199" s="289"/>
      <c r="M199" s="289" t="s">
        <v>1612</v>
      </c>
      <c r="N199" s="293">
        <v>43831</v>
      </c>
      <c r="O199" s="293">
        <v>43831</v>
      </c>
      <c r="P199" s="289" t="s">
        <v>1616</v>
      </c>
      <c r="Q199" s="290">
        <v>211</v>
      </c>
      <c r="R199" s="290">
        <v>14040</v>
      </c>
      <c r="S199" s="291">
        <v>37015</v>
      </c>
      <c r="T199" s="290">
        <v>14046</v>
      </c>
      <c r="U199" s="291">
        <v>32784.720000000001</v>
      </c>
      <c r="V199" s="291">
        <f t="shared" si="2"/>
        <v>4230.2799999999988</v>
      </c>
      <c r="W199" s="292">
        <v>7403</v>
      </c>
      <c r="X199" s="290">
        <v>51260</v>
      </c>
      <c r="Y199" s="291">
        <v>1057.57</v>
      </c>
      <c r="Z199" s="289" t="s">
        <v>944</v>
      </c>
      <c r="AA199" s="289"/>
      <c r="AB199" s="289">
        <v>5008</v>
      </c>
      <c r="AC199" s="289" t="s">
        <v>1617</v>
      </c>
      <c r="AD199" s="289" t="s">
        <v>1446</v>
      </c>
      <c r="AE199" s="289" t="s">
        <v>410</v>
      </c>
      <c r="AF199" s="290" t="s">
        <v>1447</v>
      </c>
      <c r="AG199" s="295">
        <v>44377</v>
      </c>
      <c r="AH199" s="290" t="s">
        <v>1448</v>
      </c>
      <c r="AI199" s="289">
        <v>0</v>
      </c>
      <c r="AJ199" s="289">
        <v>19036.29</v>
      </c>
    </row>
    <row r="200" spans="2:36">
      <c r="B200" s="290">
        <v>2111</v>
      </c>
      <c r="C200" s="294">
        <v>255473</v>
      </c>
      <c r="D200" s="290">
        <v>255474</v>
      </c>
      <c r="E200" s="289" t="s">
        <v>1204</v>
      </c>
      <c r="F200" s="290"/>
      <c r="G200" s="289"/>
      <c r="H200" s="289" t="s">
        <v>1615</v>
      </c>
      <c r="I200" s="289"/>
      <c r="J200" s="289">
        <v>2010</v>
      </c>
      <c r="K200" s="289" t="s">
        <v>1594</v>
      </c>
      <c r="L200" s="289" t="s">
        <v>1594</v>
      </c>
      <c r="M200" s="289" t="s">
        <v>1582</v>
      </c>
      <c r="N200" s="293">
        <v>43488</v>
      </c>
      <c r="O200" s="293">
        <v>43488</v>
      </c>
      <c r="P200" s="289" t="s">
        <v>1616</v>
      </c>
      <c r="Q200" s="290">
        <v>300</v>
      </c>
      <c r="R200" s="290">
        <v>14040</v>
      </c>
      <c r="S200" s="291">
        <v>15188.18</v>
      </c>
      <c r="T200" s="290">
        <v>14046</v>
      </c>
      <c r="U200" s="291">
        <v>15188.18</v>
      </c>
      <c r="V200" s="291">
        <f t="shared" si="2"/>
        <v>0</v>
      </c>
      <c r="W200" s="292">
        <v>421.89</v>
      </c>
      <c r="X200" s="290">
        <v>51260</v>
      </c>
      <c r="Y200" s="291">
        <v>0</v>
      </c>
      <c r="Z200" s="289" t="s">
        <v>944</v>
      </c>
      <c r="AA200" s="289"/>
      <c r="AB200" s="289">
        <v>15074</v>
      </c>
      <c r="AC200" s="289"/>
      <c r="AD200" s="289" t="s">
        <v>1446</v>
      </c>
      <c r="AE200" s="289" t="s">
        <v>410</v>
      </c>
      <c r="AF200" s="290" t="s">
        <v>1447</v>
      </c>
      <c r="AG200" s="295">
        <v>44377</v>
      </c>
      <c r="AH200" s="290" t="s">
        <v>1448</v>
      </c>
      <c r="AI200" s="289">
        <v>0</v>
      </c>
      <c r="AJ200" s="289">
        <v>12234.93</v>
      </c>
    </row>
    <row r="201" spans="2:36">
      <c r="B201" s="290">
        <v>2111</v>
      </c>
      <c r="C201" s="294">
        <v>255472</v>
      </c>
      <c r="D201" s="290">
        <v>255474</v>
      </c>
      <c r="E201" s="289" t="s">
        <v>1206</v>
      </c>
      <c r="F201" s="290"/>
      <c r="G201" s="289"/>
      <c r="H201" s="289" t="s">
        <v>1615</v>
      </c>
      <c r="I201" s="289" t="s">
        <v>1584</v>
      </c>
      <c r="J201" s="289">
        <v>2010</v>
      </c>
      <c r="K201" s="289" t="s">
        <v>1594</v>
      </c>
      <c r="L201" s="289" t="s">
        <v>1594</v>
      </c>
      <c r="M201" s="289" t="s">
        <v>1582</v>
      </c>
      <c r="N201" s="293">
        <v>43488</v>
      </c>
      <c r="O201" s="293">
        <v>43488</v>
      </c>
      <c r="P201" s="289" t="s">
        <v>1616</v>
      </c>
      <c r="Q201" s="290">
        <v>300</v>
      </c>
      <c r="R201" s="290">
        <v>14040</v>
      </c>
      <c r="S201" s="291">
        <v>3517.75</v>
      </c>
      <c r="T201" s="290">
        <v>14046</v>
      </c>
      <c r="U201" s="291">
        <v>3517.75</v>
      </c>
      <c r="V201" s="291">
        <f t="shared" si="2"/>
        <v>0</v>
      </c>
      <c r="W201" s="292">
        <v>97.72</v>
      </c>
      <c r="X201" s="290">
        <v>51260</v>
      </c>
      <c r="Y201" s="291">
        <v>0</v>
      </c>
      <c r="Z201" s="289" t="s">
        <v>944</v>
      </c>
      <c r="AA201" s="289"/>
      <c r="AB201" s="289" t="s">
        <v>1617</v>
      </c>
      <c r="AC201" s="289"/>
      <c r="AD201" s="289" t="s">
        <v>1446</v>
      </c>
      <c r="AE201" s="289" t="s">
        <v>410</v>
      </c>
      <c r="AF201" s="290" t="s">
        <v>1447</v>
      </c>
      <c r="AG201" s="295">
        <v>44377</v>
      </c>
      <c r="AH201" s="290" t="s">
        <v>1448</v>
      </c>
      <c r="AI201" s="289">
        <v>0</v>
      </c>
      <c r="AJ201" s="289">
        <v>2833.74</v>
      </c>
    </row>
    <row r="202" spans="2:36">
      <c r="B202" s="290">
        <v>2111</v>
      </c>
      <c r="C202" s="294">
        <v>255471</v>
      </c>
      <c r="D202" s="290" t="s">
        <v>944</v>
      </c>
      <c r="E202" s="289" t="s">
        <v>1203</v>
      </c>
      <c r="F202" s="290"/>
      <c r="G202" s="289"/>
      <c r="H202" s="289" t="s">
        <v>1618</v>
      </c>
      <c r="I202" s="289"/>
      <c r="J202" s="289">
        <v>2010</v>
      </c>
      <c r="K202" s="289" t="s">
        <v>1611</v>
      </c>
      <c r="L202" s="289"/>
      <c r="M202" s="289" t="s">
        <v>1612</v>
      </c>
      <c r="N202" s="293">
        <v>43831</v>
      </c>
      <c r="O202" s="293">
        <v>43831</v>
      </c>
      <c r="P202" s="289" t="s">
        <v>1619</v>
      </c>
      <c r="Q202" s="290">
        <v>211</v>
      </c>
      <c r="R202" s="290">
        <v>14040</v>
      </c>
      <c r="S202" s="291">
        <v>37015</v>
      </c>
      <c r="T202" s="290">
        <v>14046</v>
      </c>
      <c r="U202" s="291">
        <v>32784.720000000001</v>
      </c>
      <c r="V202" s="291">
        <f t="shared" si="2"/>
        <v>4230.2799999999988</v>
      </c>
      <c r="W202" s="292">
        <v>7403</v>
      </c>
      <c r="X202" s="290">
        <v>51260</v>
      </c>
      <c r="Y202" s="291">
        <v>1057.57</v>
      </c>
      <c r="Z202" s="289" t="s">
        <v>944</v>
      </c>
      <c r="AA202" s="289"/>
      <c r="AB202" s="289">
        <v>5008</v>
      </c>
      <c r="AC202" s="289" t="s">
        <v>1620</v>
      </c>
      <c r="AD202" s="289" t="s">
        <v>1446</v>
      </c>
      <c r="AE202" s="289" t="s">
        <v>410</v>
      </c>
      <c r="AF202" s="290" t="s">
        <v>1447</v>
      </c>
      <c r="AG202" s="295">
        <v>44377</v>
      </c>
      <c r="AH202" s="290" t="s">
        <v>1448</v>
      </c>
      <c r="AI202" s="289">
        <v>0</v>
      </c>
      <c r="AJ202" s="289">
        <v>19036.29</v>
      </c>
    </row>
    <row r="203" spans="2:36">
      <c r="B203" s="290">
        <v>2111</v>
      </c>
      <c r="C203" s="294">
        <v>255470</v>
      </c>
      <c r="D203" s="290">
        <v>255471</v>
      </c>
      <c r="E203" s="289" t="s">
        <v>1204</v>
      </c>
      <c r="F203" s="290"/>
      <c r="G203" s="289"/>
      <c r="H203" s="289" t="s">
        <v>1618</v>
      </c>
      <c r="I203" s="289"/>
      <c r="J203" s="289">
        <v>2010</v>
      </c>
      <c r="K203" s="289" t="s">
        <v>1594</v>
      </c>
      <c r="L203" s="289" t="s">
        <v>1594</v>
      </c>
      <c r="M203" s="289" t="s">
        <v>1582</v>
      </c>
      <c r="N203" s="293">
        <v>43488</v>
      </c>
      <c r="O203" s="293">
        <v>43488</v>
      </c>
      <c r="P203" s="289" t="s">
        <v>1619</v>
      </c>
      <c r="Q203" s="290">
        <v>300</v>
      </c>
      <c r="R203" s="290">
        <v>14040</v>
      </c>
      <c r="S203" s="291">
        <v>15188.18</v>
      </c>
      <c r="T203" s="290">
        <v>14046</v>
      </c>
      <c r="U203" s="291">
        <v>15188.18</v>
      </c>
      <c r="V203" s="291">
        <f t="shared" si="2"/>
        <v>0</v>
      </c>
      <c r="W203" s="292">
        <v>421.89</v>
      </c>
      <c r="X203" s="290">
        <v>51260</v>
      </c>
      <c r="Y203" s="291">
        <v>0</v>
      </c>
      <c r="Z203" s="289" t="s">
        <v>944</v>
      </c>
      <c r="AA203" s="289"/>
      <c r="AB203" s="289">
        <v>15074</v>
      </c>
      <c r="AC203" s="289"/>
      <c r="AD203" s="289" t="s">
        <v>1446</v>
      </c>
      <c r="AE203" s="289" t="s">
        <v>410</v>
      </c>
      <c r="AF203" s="290" t="s">
        <v>1447</v>
      </c>
      <c r="AG203" s="295">
        <v>44377</v>
      </c>
      <c r="AH203" s="290" t="s">
        <v>1448</v>
      </c>
      <c r="AI203" s="289">
        <v>0</v>
      </c>
      <c r="AJ203" s="289">
        <v>12234.93</v>
      </c>
    </row>
    <row r="204" spans="2:36">
      <c r="B204" s="290">
        <v>2111</v>
      </c>
      <c r="C204" s="294">
        <v>255469</v>
      </c>
      <c r="D204" s="290">
        <v>255471</v>
      </c>
      <c r="E204" s="289" t="s">
        <v>1207</v>
      </c>
      <c r="F204" s="290"/>
      <c r="G204" s="289"/>
      <c r="H204" s="289" t="s">
        <v>1618</v>
      </c>
      <c r="I204" s="289" t="s">
        <v>1584</v>
      </c>
      <c r="J204" s="289">
        <v>2010</v>
      </c>
      <c r="K204" s="289" t="s">
        <v>1594</v>
      </c>
      <c r="L204" s="289" t="s">
        <v>1594</v>
      </c>
      <c r="M204" s="289" t="s">
        <v>1582</v>
      </c>
      <c r="N204" s="293">
        <v>43488</v>
      </c>
      <c r="O204" s="293">
        <v>43488</v>
      </c>
      <c r="P204" s="289" t="s">
        <v>1619</v>
      </c>
      <c r="Q204" s="290">
        <v>300</v>
      </c>
      <c r="R204" s="290">
        <v>14040</v>
      </c>
      <c r="S204" s="291">
        <v>3517.75</v>
      </c>
      <c r="T204" s="290">
        <v>14046</v>
      </c>
      <c r="U204" s="291">
        <v>3517.75</v>
      </c>
      <c r="V204" s="291">
        <f t="shared" si="2"/>
        <v>0</v>
      </c>
      <c r="W204" s="292">
        <v>97.72</v>
      </c>
      <c r="X204" s="290">
        <v>51260</v>
      </c>
      <c r="Y204" s="291">
        <v>0</v>
      </c>
      <c r="Z204" s="289" t="s">
        <v>944</v>
      </c>
      <c r="AA204" s="289"/>
      <c r="AB204" s="289" t="s">
        <v>1620</v>
      </c>
      <c r="AC204" s="289"/>
      <c r="AD204" s="289" t="s">
        <v>1446</v>
      </c>
      <c r="AE204" s="289" t="s">
        <v>410</v>
      </c>
      <c r="AF204" s="290" t="s">
        <v>1447</v>
      </c>
      <c r="AG204" s="295">
        <v>44377</v>
      </c>
      <c r="AH204" s="290" t="s">
        <v>1448</v>
      </c>
      <c r="AI204" s="289">
        <v>0</v>
      </c>
      <c r="AJ204" s="289">
        <v>2833.74</v>
      </c>
    </row>
    <row r="205" spans="2:36">
      <c r="B205" s="290">
        <v>2111</v>
      </c>
      <c r="C205" s="294">
        <v>255468</v>
      </c>
      <c r="D205" s="290" t="s">
        <v>944</v>
      </c>
      <c r="E205" s="289" t="s">
        <v>1203</v>
      </c>
      <c r="F205" s="290"/>
      <c r="G205" s="289"/>
      <c r="H205" s="289" t="s">
        <v>1621</v>
      </c>
      <c r="I205" s="289"/>
      <c r="J205" s="289">
        <v>2010</v>
      </c>
      <c r="K205" s="289" t="s">
        <v>1611</v>
      </c>
      <c r="L205" s="289"/>
      <c r="M205" s="289" t="s">
        <v>1612</v>
      </c>
      <c r="N205" s="293">
        <v>43831</v>
      </c>
      <c r="O205" s="293">
        <v>43831</v>
      </c>
      <c r="P205" s="289" t="s">
        <v>1622</v>
      </c>
      <c r="Q205" s="290">
        <v>211</v>
      </c>
      <c r="R205" s="290">
        <v>14040</v>
      </c>
      <c r="S205" s="291">
        <v>37015</v>
      </c>
      <c r="T205" s="290">
        <v>14046</v>
      </c>
      <c r="U205" s="291">
        <v>32784.720000000001</v>
      </c>
      <c r="V205" s="291">
        <f t="shared" si="2"/>
        <v>4230.2799999999988</v>
      </c>
      <c r="W205" s="292">
        <v>7403</v>
      </c>
      <c r="X205" s="290">
        <v>51260</v>
      </c>
      <c r="Y205" s="291">
        <v>1057.57</v>
      </c>
      <c r="Z205" s="289" t="s">
        <v>944</v>
      </c>
      <c r="AA205" s="289"/>
      <c r="AB205" s="289">
        <v>5008</v>
      </c>
      <c r="AC205" s="289" t="s">
        <v>1623</v>
      </c>
      <c r="AD205" s="289" t="s">
        <v>1446</v>
      </c>
      <c r="AE205" s="289" t="s">
        <v>410</v>
      </c>
      <c r="AF205" s="290" t="s">
        <v>1447</v>
      </c>
      <c r="AG205" s="295">
        <v>44377</v>
      </c>
      <c r="AH205" s="290" t="s">
        <v>1448</v>
      </c>
      <c r="AI205" s="289">
        <v>0</v>
      </c>
      <c r="AJ205" s="289">
        <v>19036.29</v>
      </c>
    </row>
    <row r="206" spans="2:36">
      <c r="B206" s="290">
        <v>2111</v>
      </c>
      <c r="C206" s="294">
        <v>255467</v>
      </c>
      <c r="D206" s="290">
        <v>255468</v>
      </c>
      <c r="E206" s="289" t="s">
        <v>1204</v>
      </c>
      <c r="F206" s="290"/>
      <c r="G206" s="289"/>
      <c r="H206" s="289" t="s">
        <v>1621</v>
      </c>
      <c r="I206" s="289"/>
      <c r="J206" s="289">
        <v>2010</v>
      </c>
      <c r="K206" s="289" t="s">
        <v>1594</v>
      </c>
      <c r="L206" s="289" t="s">
        <v>1594</v>
      </c>
      <c r="M206" s="289" t="s">
        <v>1582</v>
      </c>
      <c r="N206" s="293">
        <v>43488</v>
      </c>
      <c r="O206" s="293">
        <v>43488</v>
      </c>
      <c r="P206" s="289" t="s">
        <v>1622</v>
      </c>
      <c r="Q206" s="290">
        <v>300</v>
      </c>
      <c r="R206" s="290">
        <v>14040</v>
      </c>
      <c r="S206" s="291">
        <v>15188.18</v>
      </c>
      <c r="T206" s="290">
        <v>14046</v>
      </c>
      <c r="U206" s="291">
        <v>15188.18</v>
      </c>
      <c r="V206" s="291">
        <f t="shared" ref="V206:V269" si="3">S206-U206</f>
        <v>0</v>
      </c>
      <c r="W206" s="292">
        <v>421.89</v>
      </c>
      <c r="X206" s="290">
        <v>51260</v>
      </c>
      <c r="Y206" s="291">
        <v>0</v>
      </c>
      <c r="Z206" s="289" t="s">
        <v>944</v>
      </c>
      <c r="AA206" s="289"/>
      <c r="AB206" s="289">
        <v>15074</v>
      </c>
      <c r="AC206" s="289"/>
      <c r="AD206" s="289" t="s">
        <v>1446</v>
      </c>
      <c r="AE206" s="289" t="s">
        <v>410</v>
      </c>
      <c r="AF206" s="290" t="s">
        <v>1447</v>
      </c>
      <c r="AG206" s="295">
        <v>44377</v>
      </c>
      <c r="AH206" s="290" t="s">
        <v>1448</v>
      </c>
      <c r="AI206" s="289">
        <v>0</v>
      </c>
      <c r="AJ206" s="289">
        <v>12234.93</v>
      </c>
    </row>
    <row r="207" spans="2:36">
      <c r="B207" s="290">
        <v>2111</v>
      </c>
      <c r="C207" s="294">
        <v>255466</v>
      </c>
      <c r="D207" s="290">
        <v>255468</v>
      </c>
      <c r="E207" s="289" t="s">
        <v>1208</v>
      </c>
      <c r="F207" s="290"/>
      <c r="G207" s="289"/>
      <c r="H207" s="289" t="s">
        <v>1621</v>
      </c>
      <c r="I207" s="289" t="s">
        <v>1584</v>
      </c>
      <c r="J207" s="289">
        <v>2010</v>
      </c>
      <c r="K207" s="289" t="s">
        <v>1594</v>
      </c>
      <c r="L207" s="289" t="s">
        <v>1594</v>
      </c>
      <c r="M207" s="289" t="s">
        <v>1582</v>
      </c>
      <c r="N207" s="293">
        <v>43488</v>
      </c>
      <c r="O207" s="293">
        <v>43488</v>
      </c>
      <c r="P207" s="289" t="s">
        <v>1622</v>
      </c>
      <c r="Q207" s="290">
        <v>300</v>
      </c>
      <c r="R207" s="290">
        <v>14040</v>
      </c>
      <c r="S207" s="291">
        <v>3517.75</v>
      </c>
      <c r="T207" s="290">
        <v>14046</v>
      </c>
      <c r="U207" s="291">
        <v>3517.75</v>
      </c>
      <c r="V207" s="291">
        <f t="shared" si="3"/>
        <v>0</v>
      </c>
      <c r="W207" s="292">
        <v>97.72</v>
      </c>
      <c r="X207" s="290">
        <v>51260</v>
      </c>
      <c r="Y207" s="291">
        <v>0</v>
      </c>
      <c r="Z207" s="289" t="s">
        <v>944</v>
      </c>
      <c r="AA207" s="289"/>
      <c r="AB207" s="289" t="s">
        <v>1623</v>
      </c>
      <c r="AC207" s="289"/>
      <c r="AD207" s="289" t="s">
        <v>1446</v>
      </c>
      <c r="AE207" s="289" t="s">
        <v>410</v>
      </c>
      <c r="AF207" s="290" t="s">
        <v>1447</v>
      </c>
      <c r="AG207" s="295">
        <v>44377</v>
      </c>
      <c r="AH207" s="290" t="s">
        <v>1448</v>
      </c>
      <c r="AI207" s="289">
        <v>0</v>
      </c>
      <c r="AJ207" s="289">
        <v>2833.74</v>
      </c>
    </row>
    <row r="208" spans="2:36">
      <c r="B208" s="290">
        <v>2111</v>
      </c>
      <c r="C208" s="294">
        <v>255465</v>
      </c>
      <c r="D208" s="290" t="s">
        <v>944</v>
      </c>
      <c r="E208" s="289" t="s">
        <v>1209</v>
      </c>
      <c r="F208" s="290"/>
      <c r="G208" s="289"/>
      <c r="H208" s="289" t="s">
        <v>1624</v>
      </c>
      <c r="I208" s="289"/>
      <c r="J208" s="289">
        <v>2014</v>
      </c>
      <c r="K208" s="289" t="s">
        <v>1611</v>
      </c>
      <c r="L208" s="289"/>
      <c r="M208" s="289" t="s">
        <v>1612</v>
      </c>
      <c r="N208" s="293">
        <v>43831</v>
      </c>
      <c r="O208" s="293">
        <v>43831</v>
      </c>
      <c r="P208" s="289" t="s">
        <v>1625</v>
      </c>
      <c r="Q208" s="290">
        <v>211</v>
      </c>
      <c r="R208" s="290">
        <v>14040</v>
      </c>
      <c r="S208" s="291">
        <v>39524.5</v>
      </c>
      <c r="T208" s="290">
        <v>14046</v>
      </c>
      <c r="U208" s="291">
        <v>35007.42</v>
      </c>
      <c r="V208" s="291">
        <f t="shared" si="3"/>
        <v>4517.0800000000017</v>
      </c>
      <c r="W208" s="292">
        <v>7904.9</v>
      </c>
      <c r="X208" s="290">
        <v>51260</v>
      </c>
      <c r="Y208" s="291">
        <v>1129.27</v>
      </c>
      <c r="Z208" s="289" t="s">
        <v>944</v>
      </c>
      <c r="AA208" s="289"/>
      <c r="AB208" s="289">
        <v>5008</v>
      </c>
      <c r="AC208" s="289" t="s">
        <v>1626</v>
      </c>
      <c r="AD208" s="289" t="s">
        <v>1446</v>
      </c>
      <c r="AE208" s="289" t="s">
        <v>410</v>
      </c>
      <c r="AF208" s="290" t="s">
        <v>1447</v>
      </c>
      <c r="AG208" s="295">
        <v>44377</v>
      </c>
      <c r="AH208" s="290" t="s">
        <v>1448</v>
      </c>
      <c r="AI208" s="289">
        <v>0</v>
      </c>
      <c r="AJ208" s="289">
        <v>20326.89</v>
      </c>
    </row>
    <row r="209" spans="2:36">
      <c r="B209" s="290">
        <v>2111</v>
      </c>
      <c r="C209" s="294">
        <v>255464</v>
      </c>
      <c r="D209" s="290">
        <v>255465</v>
      </c>
      <c r="E209" s="289" t="s">
        <v>1210</v>
      </c>
      <c r="F209" s="290"/>
      <c r="G209" s="289"/>
      <c r="H209" s="289" t="s">
        <v>1624</v>
      </c>
      <c r="I209" s="289"/>
      <c r="J209" s="289">
        <v>2014</v>
      </c>
      <c r="K209" s="289" t="s">
        <v>1594</v>
      </c>
      <c r="L209" s="289" t="s">
        <v>1594</v>
      </c>
      <c r="M209" s="289" t="s">
        <v>1582</v>
      </c>
      <c r="N209" s="293">
        <v>43488</v>
      </c>
      <c r="O209" s="293">
        <v>43488</v>
      </c>
      <c r="P209" s="289" t="s">
        <v>1625</v>
      </c>
      <c r="Q209" s="290">
        <v>300</v>
      </c>
      <c r="R209" s="290">
        <v>14040</v>
      </c>
      <c r="S209" s="291">
        <v>15188.18</v>
      </c>
      <c r="T209" s="290">
        <v>14046</v>
      </c>
      <c r="U209" s="291">
        <v>15188.18</v>
      </c>
      <c r="V209" s="291">
        <f t="shared" si="3"/>
        <v>0</v>
      </c>
      <c r="W209" s="292">
        <v>421.89</v>
      </c>
      <c r="X209" s="290">
        <v>51260</v>
      </c>
      <c r="Y209" s="291">
        <v>0</v>
      </c>
      <c r="Z209" s="289" t="s">
        <v>944</v>
      </c>
      <c r="AA209" s="289"/>
      <c r="AB209" s="289">
        <v>15074</v>
      </c>
      <c r="AC209" s="289"/>
      <c r="AD209" s="289" t="s">
        <v>1446</v>
      </c>
      <c r="AE209" s="289" t="s">
        <v>410</v>
      </c>
      <c r="AF209" s="290" t="s">
        <v>1447</v>
      </c>
      <c r="AG209" s="295">
        <v>44377</v>
      </c>
      <c r="AH209" s="290" t="s">
        <v>1448</v>
      </c>
      <c r="AI209" s="289">
        <v>0</v>
      </c>
      <c r="AJ209" s="289">
        <v>12234.93</v>
      </c>
    </row>
    <row r="210" spans="2:36">
      <c r="B210" s="290">
        <v>2111</v>
      </c>
      <c r="C210" s="294">
        <v>255463</v>
      </c>
      <c r="D210" s="290">
        <v>255465</v>
      </c>
      <c r="E210" s="289" t="s">
        <v>1211</v>
      </c>
      <c r="F210" s="290"/>
      <c r="G210" s="289"/>
      <c r="H210" s="289" t="s">
        <v>1624</v>
      </c>
      <c r="I210" s="289" t="s">
        <v>1584</v>
      </c>
      <c r="J210" s="289">
        <v>2014</v>
      </c>
      <c r="K210" s="289" t="s">
        <v>1594</v>
      </c>
      <c r="L210" s="289" t="s">
        <v>1594</v>
      </c>
      <c r="M210" s="289" t="s">
        <v>1582</v>
      </c>
      <c r="N210" s="293">
        <v>43488</v>
      </c>
      <c r="O210" s="293">
        <v>43488</v>
      </c>
      <c r="P210" s="289" t="s">
        <v>1613</v>
      </c>
      <c r="Q210" s="290">
        <v>300</v>
      </c>
      <c r="R210" s="290">
        <v>14040</v>
      </c>
      <c r="S210" s="291">
        <v>3501.25</v>
      </c>
      <c r="T210" s="290">
        <v>14046</v>
      </c>
      <c r="U210" s="291">
        <v>3501.25</v>
      </c>
      <c r="V210" s="291">
        <f t="shared" si="3"/>
        <v>0</v>
      </c>
      <c r="W210" s="292">
        <v>97.26</v>
      </c>
      <c r="X210" s="290">
        <v>51260</v>
      </c>
      <c r="Y210" s="291">
        <v>0</v>
      </c>
      <c r="Z210" s="289" t="s">
        <v>944</v>
      </c>
      <c r="AA210" s="289"/>
      <c r="AB210" s="289" t="s">
        <v>1626</v>
      </c>
      <c r="AC210" s="289"/>
      <c r="AD210" s="289" t="s">
        <v>1446</v>
      </c>
      <c r="AE210" s="289" t="s">
        <v>410</v>
      </c>
      <c r="AF210" s="290" t="s">
        <v>1447</v>
      </c>
      <c r="AG210" s="295">
        <v>44377</v>
      </c>
      <c r="AH210" s="290" t="s">
        <v>1448</v>
      </c>
      <c r="AI210" s="289">
        <v>0</v>
      </c>
      <c r="AJ210" s="289">
        <v>2820.45</v>
      </c>
    </row>
    <row r="211" spans="2:36">
      <c r="B211" s="290">
        <v>2111</v>
      </c>
      <c r="C211" s="294">
        <v>255407</v>
      </c>
      <c r="D211" s="290" t="s">
        <v>944</v>
      </c>
      <c r="E211" s="289" t="s">
        <v>1175</v>
      </c>
      <c r="F211" s="290"/>
      <c r="G211" s="289"/>
      <c r="H211" s="289" t="s">
        <v>1627</v>
      </c>
      <c r="I211" s="289"/>
      <c r="J211" s="289">
        <v>2022</v>
      </c>
      <c r="K211" s="289"/>
      <c r="L211" s="289"/>
      <c r="M211" s="289" t="s">
        <v>1495</v>
      </c>
      <c r="N211" s="293">
        <v>44384</v>
      </c>
      <c r="O211" s="293">
        <v>44384</v>
      </c>
      <c r="P211" s="289" t="s">
        <v>1628</v>
      </c>
      <c r="Q211" s="290">
        <v>1000</v>
      </c>
      <c r="R211" s="290">
        <v>14040</v>
      </c>
      <c r="S211" s="291">
        <v>374630.77</v>
      </c>
      <c r="T211" s="290">
        <v>14046</v>
      </c>
      <c r="U211" s="291">
        <v>40585</v>
      </c>
      <c r="V211" s="291">
        <f t="shared" si="3"/>
        <v>334045.77</v>
      </c>
      <c r="W211" s="292">
        <v>21853.46</v>
      </c>
      <c r="X211" s="290">
        <v>51260</v>
      </c>
      <c r="Y211" s="291">
        <v>3121.92</v>
      </c>
      <c r="Z211" s="289" t="s">
        <v>944</v>
      </c>
      <c r="AA211" s="289"/>
      <c r="AB211" s="289"/>
      <c r="AC211" s="289"/>
      <c r="AD211" s="289" t="s">
        <v>1446</v>
      </c>
      <c r="AE211" s="289" t="s">
        <v>410</v>
      </c>
      <c r="AF211" s="290" t="s">
        <v>1447</v>
      </c>
      <c r="AG211" s="289"/>
      <c r="AH211" s="290" t="s">
        <v>1448</v>
      </c>
      <c r="AI211" s="289">
        <v>0</v>
      </c>
      <c r="AJ211" s="289">
        <v>0</v>
      </c>
    </row>
    <row r="212" spans="2:36">
      <c r="B212" s="290">
        <v>2111</v>
      </c>
      <c r="C212" s="294">
        <v>255232</v>
      </c>
      <c r="D212" s="290">
        <v>255229</v>
      </c>
      <c r="E212" s="289" t="s">
        <v>1180</v>
      </c>
      <c r="F212" s="290"/>
      <c r="G212" s="289"/>
      <c r="H212" s="289"/>
      <c r="I212" s="289"/>
      <c r="J212" s="289">
        <v>2019</v>
      </c>
      <c r="K212" s="289" t="s">
        <v>1483</v>
      </c>
      <c r="L212" s="289" t="s">
        <v>1484</v>
      </c>
      <c r="M212" s="289" t="s">
        <v>1467</v>
      </c>
      <c r="N212" s="293">
        <v>44308</v>
      </c>
      <c r="O212" s="293">
        <v>44308</v>
      </c>
      <c r="P212" s="289" t="s">
        <v>1629</v>
      </c>
      <c r="Q212" s="290">
        <v>800</v>
      </c>
      <c r="R212" s="290">
        <v>14040</v>
      </c>
      <c r="S212" s="291">
        <v>2222.3000000000002</v>
      </c>
      <c r="T212" s="290">
        <v>14046</v>
      </c>
      <c r="U212" s="291">
        <v>347.23</v>
      </c>
      <c r="V212" s="291">
        <f t="shared" si="3"/>
        <v>1875.0700000000002</v>
      </c>
      <c r="W212" s="292">
        <v>162.04</v>
      </c>
      <c r="X212" s="290">
        <v>51260</v>
      </c>
      <c r="Y212" s="291">
        <v>23.14</v>
      </c>
      <c r="Z212" s="289" t="s">
        <v>944</v>
      </c>
      <c r="AA212" s="289"/>
      <c r="AB212" s="289" t="s">
        <v>1630</v>
      </c>
      <c r="AC212" s="289"/>
      <c r="AD212" s="289" t="s">
        <v>1446</v>
      </c>
      <c r="AE212" s="289" t="s">
        <v>410</v>
      </c>
      <c r="AF212" s="290" t="s">
        <v>1447</v>
      </c>
      <c r="AG212" s="295">
        <v>44377</v>
      </c>
      <c r="AH212" s="290" t="s">
        <v>1448</v>
      </c>
      <c r="AI212" s="289">
        <v>0</v>
      </c>
      <c r="AJ212" s="289">
        <v>46.3</v>
      </c>
    </row>
    <row r="213" spans="2:36">
      <c r="B213" s="290">
        <v>2111</v>
      </c>
      <c r="C213" s="294">
        <v>255231</v>
      </c>
      <c r="D213" s="290">
        <v>255229</v>
      </c>
      <c r="E213" s="289" t="s">
        <v>1181</v>
      </c>
      <c r="F213" s="290"/>
      <c r="G213" s="289"/>
      <c r="H213" s="289"/>
      <c r="I213" s="289"/>
      <c r="J213" s="289">
        <v>2019</v>
      </c>
      <c r="K213" s="289" t="s">
        <v>1483</v>
      </c>
      <c r="L213" s="289" t="s">
        <v>1484</v>
      </c>
      <c r="M213" s="289" t="s">
        <v>1467</v>
      </c>
      <c r="N213" s="293">
        <v>44308</v>
      </c>
      <c r="O213" s="293">
        <v>44308</v>
      </c>
      <c r="P213" s="289" t="s">
        <v>1629</v>
      </c>
      <c r="Q213" s="290">
        <v>800</v>
      </c>
      <c r="R213" s="290">
        <v>14040</v>
      </c>
      <c r="S213" s="291">
        <v>7363.3</v>
      </c>
      <c r="T213" s="290">
        <v>14046</v>
      </c>
      <c r="U213" s="291">
        <v>1150.52</v>
      </c>
      <c r="V213" s="291">
        <f t="shared" si="3"/>
        <v>6212.7800000000007</v>
      </c>
      <c r="W213" s="292">
        <v>536.91</v>
      </c>
      <c r="X213" s="290">
        <v>51260</v>
      </c>
      <c r="Y213" s="291">
        <v>76.7</v>
      </c>
      <c r="Z213" s="289" t="s">
        <v>944</v>
      </c>
      <c r="AA213" s="289"/>
      <c r="AB213" s="289">
        <v>16325</v>
      </c>
      <c r="AC213" s="289"/>
      <c r="AD213" s="289" t="s">
        <v>1446</v>
      </c>
      <c r="AE213" s="289" t="s">
        <v>410</v>
      </c>
      <c r="AF213" s="290" t="s">
        <v>1447</v>
      </c>
      <c r="AG213" s="295">
        <v>44377</v>
      </c>
      <c r="AH213" s="290" t="s">
        <v>1448</v>
      </c>
      <c r="AI213" s="289">
        <v>0</v>
      </c>
      <c r="AJ213" s="289">
        <v>153.4</v>
      </c>
    </row>
    <row r="214" spans="2:36">
      <c r="B214" s="290">
        <v>2111</v>
      </c>
      <c r="C214" s="294">
        <v>255230</v>
      </c>
      <c r="D214" s="290">
        <v>255229</v>
      </c>
      <c r="E214" s="289" t="s">
        <v>1182</v>
      </c>
      <c r="F214" s="290"/>
      <c r="G214" s="289"/>
      <c r="H214" s="289"/>
      <c r="I214" s="289"/>
      <c r="J214" s="289">
        <v>2019</v>
      </c>
      <c r="K214" s="289" t="s">
        <v>1483</v>
      </c>
      <c r="L214" s="289" t="s">
        <v>1484</v>
      </c>
      <c r="M214" s="289" t="s">
        <v>1467</v>
      </c>
      <c r="N214" s="293">
        <v>44308</v>
      </c>
      <c r="O214" s="293">
        <v>44308</v>
      </c>
      <c r="P214" s="289" t="s">
        <v>1629</v>
      </c>
      <c r="Q214" s="290">
        <v>800</v>
      </c>
      <c r="R214" s="290">
        <v>14040</v>
      </c>
      <c r="S214" s="291">
        <v>7320.53</v>
      </c>
      <c r="T214" s="290">
        <v>14046</v>
      </c>
      <c r="U214" s="291">
        <v>1143.8399999999999</v>
      </c>
      <c r="V214" s="291">
        <f t="shared" si="3"/>
        <v>6176.69</v>
      </c>
      <c r="W214" s="292">
        <v>533.79</v>
      </c>
      <c r="X214" s="290">
        <v>51260</v>
      </c>
      <c r="Y214" s="291">
        <v>76.25</v>
      </c>
      <c r="Z214" s="289" t="s">
        <v>944</v>
      </c>
      <c r="AA214" s="289"/>
      <c r="AB214" s="289">
        <v>41248</v>
      </c>
      <c r="AC214" s="289"/>
      <c r="AD214" s="289" t="s">
        <v>1446</v>
      </c>
      <c r="AE214" s="289" t="s">
        <v>410</v>
      </c>
      <c r="AF214" s="290" t="s">
        <v>1447</v>
      </c>
      <c r="AG214" s="295">
        <v>44377</v>
      </c>
      <c r="AH214" s="290" t="s">
        <v>1448</v>
      </c>
      <c r="AI214" s="289">
        <v>0</v>
      </c>
      <c r="AJ214" s="289">
        <v>152.51</v>
      </c>
    </row>
    <row r="215" spans="2:36">
      <c r="B215" s="290">
        <v>2111</v>
      </c>
      <c r="C215" s="294">
        <v>255229</v>
      </c>
      <c r="D215" s="290" t="s">
        <v>944</v>
      </c>
      <c r="E215" s="289" t="s">
        <v>1177</v>
      </c>
      <c r="F215" s="290"/>
      <c r="G215" s="289"/>
      <c r="H215" s="289" t="s">
        <v>1631</v>
      </c>
      <c r="I215" s="289"/>
      <c r="J215" s="289">
        <v>2019</v>
      </c>
      <c r="K215" s="289"/>
      <c r="L215" s="289"/>
      <c r="M215" s="289" t="s">
        <v>1577</v>
      </c>
      <c r="N215" s="293">
        <v>44301</v>
      </c>
      <c r="O215" s="293">
        <v>44301</v>
      </c>
      <c r="P215" s="289" t="s">
        <v>1632</v>
      </c>
      <c r="Q215" s="290">
        <v>800</v>
      </c>
      <c r="R215" s="290">
        <v>14040</v>
      </c>
      <c r="S215" s="291">
        <v>128934</v>
      </c>
      <c r="T215" s="290">
        <v>14046</v>
      </c>
      <c r="U215" s="291">
        <v>21489</v>
      </c>
      <c r="V215" s="291">
        <f t="shared" si="3"/>
        <v>107445</v>
      </c>
      <c r="W215" s="292">
        <v>9401.44</v>
      </c>
      <c r="X215" s="290">
        <v>51260</v>
      </c>
      <c r="Y215" s="291">
        <v>1343.06</v>
      </c>
      <c r="Z215" s="289" t="s">
        <v>944</v>
      </c>
      <c r="AA215" s="289"/>
      <c r="AB215" s="289"/>
      <c r="AC215" s="289"/>
      <c r="AD215" s="289" t="s">
        <v>1446</v>
      </c>
      <c r="AE215" s="289" t="s">
        <v>410</v>
      </c>
      <c r="AF215" s="290" t="s">
        <v>1447</v>
      </c>
      <c r="AG215" s="295">
        <v>44377</v>
      </c>
      <c r="AH215" s="290" t="s">
        <v>1448</v>
      </c>
      <c r="AI215" s="289">
        <v>0</v>
      </c>
      <c r="AJ215" s="289">
        <v>4029.19</v>
      </c>
    </row>
    <row r="216" spans="2:36">
      <c r="B216" s="290">
        <v>2111</v>
      </c>
      <c r="C216" s="294">
        <v>255228</v>
      </c>
      <c r="D216" s="290" t="s">
        <v>944</v>
      </c>
      <c r="E216" s="289" t="s">
        <v>1191</v>
      </c>
      <c r="F216" s="290"/>
      <c r="G216" s="289"/>
      <c r="H216" s="289" t="s">
        <v>1633</v>
      </c>
      <c r="I216" s="289"/>
      <c r="J216" s="289">
        <v>2013</v>
      </c>
      <c r="K216" s="289"/>
      <c r="L216" s="289"/>
      <c r="M216" s="289" t="s">
        <v>1582</v>
      </c>
      <c r="N216" s="293">
        <v>43677</v>
      </c>
      <c r="O216" s="293">
        <v>43677</v>
      </c>
      <c r="P216" s="289" t="s">
        <v>1634</v>
      </c>
      <c r="Q216" s="290">
        <v>300</v>
      </c>
      <c r="R216" s="290">
        <v>14040</v>
      </c>
      <c r="S216" s="291">
        <v>27475</v>
      </c>
      <c r="T216" s="290">
        <v>14046</v>
      </c>
      <c r="U216" s="291">
        <v>27475</v>
      </c>
      <c r="V216" s="291">
        <f t="shared" si="3"/>
        <v>0</v>
      </c>
      <c r="W216" s="292">
        <v>5342.37</v>
      </c>
      <c r="X216" s="290">
        <v>51260</v>
      </c>
      <c r="Y216" s="291">
        <v>763.19</v>
      </c>
      <c r="Z216" s="289" t="s">
        <v>944</v>
      </c>
      <c r="AA216" s="289"/>
      <c r="AB216" s="289" t="s">
        <v>1635</v>
      </c>
      <c r="AC216" s="289" t="s">
        <v>1636</v>
      </c>
      <c r="AD216" s="289" t="s">
        <v>1446</v>
      </c>
      <c r="AE216" s="289" t="s">
        <v>410</v>
      </c>
      <c r="AF216" s="290" t="s">
        <v>1447</v>
      </c>
      <c r="AG216" s="295">
        <v>44377</v>
      </c>
      <c r="AH216" s="290" t="s">
        <v>1448</v>
      </c>
      <c r="AI216" s="289">
        <v>0</v>
      </c>
      <c r="AJ216" s="289">
        <v>17553.47</v>
      </c>
    </row>
    <row r="217" spans="2:36">
      <c r="B217" s="290">
        <v>2111</v>
      </c>
      <c r="C217" s="294">
        <v>254566</v>
      </c>
      <c r="D217" s="290" t="s">
        <v>944</v>
      </c>
      <c r="E217" s="289" t="s">
        <v>1133</v>
      </c>
      <c r="F217" s="290">
        <v>468</v>
      </c>
      <c r="G217" s="289"/>
      <c r="H217" s="289"/>
      <c r="I217" s="289"/>
      <c r="J217" s="289">
        <v>0</v>
      </c>
      <c r="K217" s="289" t="s">
        <v>1462</v>
      </c>
      <c r="L217" s="289"/>
      <c r="M217" s="289" t="s">
        <v>1463</v>
      </c>
      <c r="N217" s="293">
        <v>44352</v>
      </c>
      <c r="O217" s="293">
        <v>44352</v>
      </c>
      <c r="P217" s="289" t="s">
        <v>1637</v>
      </c>
      <c r="Q217" s="290">
        <v>700</v>
      </c>
      <c r="R217" s="290">
        <v>14050</v>
      </c>
      <c r="S217" s="291">
        <v>24312.47</v>
      </c>
      <c r="T217" s="290">
        <v>14056</v>
      </c>
      <c r="U217" s="291">
        <v>4052.08</v>
      </c>
      <c r="V217" s="291">
        <f t="shared" si="3"/>
        <v>20260.39</v>
      </c>
      <c r="W217" s="292">
        <v>2026.04</v>
      </c>
      <c r="X217" s="290">
        <v>54260</v>
      </c>
      <c r="Y217" s="291">
        <v>289.43</v>
      </c>
      <c r="Z217" s="289" t="s">
        <v>944</v>
      </c>
      <c r="AA217" s="289"/>
      <c r="AB217" s="289">
        <v>50173724</v>
      </c>
      <c r="AC217" s="289"/>
      <c r="AD217" s="289" t="s">
        <v>1446</v>
      </c>
      <c r="AE217" s="289" t="s">
        <v>410</v>
      </c>
      <c r="AF217" s="290" t="s">
        <v>1447</v>
      </c>
      <c r="AG217" s="289"/>
      <c r="AH217" s="290" t="s">
        <v>1448</v>
      </c>
      <c r="AI217" s="289">
        <v>0</v>
      </c>
      <c r="AJ217" s="289">
        <v>0</v>
      </c>
    </row>
    <row r="218" spans="2:36">
      <c r="B218" s="290">
        <v>2111</v>
      </c>
      <c r="C218" s="294">
        <v>254565</v>
      </c>
      <c r="D218" s="290" t="s">
        <v>944</v>
      </c>
      <c r="E218" s="289" t="s">
        <v>1173</v>
      </c>
      <c r="F218" s="290">
        <v>1053</v>
      </c>
      <c r="G218" s="289"/>
      <c r="H218" s="289"/>
      <c r="I218" s="289"/>
      <c r="J218" s="289">
        <v>0</v>
      </c>
      <c r="K218" s="289" t="s">
        <v>1462</v>
      </c>
      <c r="L218" s="289"/>
      <c r="M218" s="289" t="s">
        <v>1463</v>
      </c>
      <c r="N218" s="293">
        <v>44352</v>
      </c>
      <c r="O218" s="293">
        <v>44352</v>
      </c>
      <c r="P218" s="289" t="s">
        <v>1637</v>
      </c>
      <c r="Q218" s="290">
        <v>700</v>
      </c>
      <c r="R218" s="290">
        <v>14050</v>
      </c>
      <c r="S218" s="291">
        <v>60709.18</v>
      </c>
      <c r="T218" s="290">
        <v>14056</v>
      </c>
      <c r="U218" s="291">
        <v>10118.200000000001</v>
      </c>
      <c r="V218" s="291">
        <f t="shared" si="3"/>
        <v>50590.979999999996</v>
      </c>
      <c r="W218" s="292">
        <v>5059.1000000000004</v>
      </c>
      <c r="X218" s="290">
        <v>54260</v>
      </c>
      <c r="Y218" s="291">
        <v>722.73</v>
      </c>
      <c r="Z218" s="289" t="s">
        <v>944</v>
      </c>
      <c r="AA218" s="289"/>
      <c r="AB218" s="289">
        <v>50173724</v>
      </c>
      <c r="AC218" s="289"/>
      <c r="AD218" s="289" t="s">
        <v>1446</v>
      </c>
      <c r="AE218" s="289" t="s">
        <v>410</v>
      </c>
      <c r="AF218" s="290" t="s">
        <v>1447</v>
      </c>
      <c r="AG218" s="289"/>
      <c r="AH218" s="290" t="s">
        <v>1448</v>
      </c>
      <c r="AI218" s="289">
        <v>0</v>
      </c>
      <c r="AJ218" s="289">
        <v>0</v>
      </c>
    </row>
    <row r="219" spans="2:36">
      <c r="B219" s="290">
        <v>2111</v>
      </c>
      <c r="C219" s="294">
        <v>254564</v>
      </c>
      <c r="D219" s="290" t="s">
        <v>944</v>
      </c>
      <c r="E219" s="289" t="s">
        <v>1172</v>
      </c>
      <c r="F219" s="290">
        <v>351</v>
      </c>
      <c r="G219" s="289"/>
      <c r="H219" s="289"/>
      <c r="I219" s="289"/>
      <c r="J219" s="289">
        <v>0</v>
      </c>
      <c r="K219" s="289" t="s">
        <v>1462</v>
      </c>
      <c r="L219" s="289"/>
      <c r="M219" s="289" t="s">
        <v>1463</v>
      </c>
      <c r="N219" s="293">
        <v>44352</v>
      </c>
      <c r="O219" s="293">
        <v>44352</v>
      </c>
      <c r="P219" s="289" t="s">
        <v>1637</v>
      </c>
      <c r="Q219" s="290">
        <v>700</v>
      </c>
      <c r="R219" s="290">
        <v>14050</v>
      </c>
      <c r="S219" s="291">
        <v>20236.39</v>
      </c>
      <c r="T219" s="290">
        <v>14056</v>
      </c>
      <c r="U219" s="291">
        <v>3372.73</v>
      </c>
      <c r="V219" s="291">
        <f t="shared" si="3"/>
        <v>16863.66</v>
      </c>
      <c r="W219" s="292">
        <v>1686.36</v>
      </c>
      <c r="X219" s="290">
        <v>54260</v>
      </c>
      <c r="Y219" s="291">
        <v>240.9</v>
      </c>
      <c r="Z219" s="289" t="s">
        <v>944</v>
      </c>
      <c r="AA219" s="289"/>
      <c r="AB219" s="289">
        <v>50173724</v>
      </c>
      <c r="AC219" s="289"/>
      <c r="AD219" s="289" t="s">
        <v>1446</v>
      </c>
      <c r="AE219" s="289" t="s">
        <v>410</v>
      </c>
      <c r="AF219" s="290" t="s">
        <v>1447</v>
      </c>
      <c r="AG219" s="289"/>
      <c r="AH219" s="290" t="s">
        <v>1448</v>
      </c>
      <c r="AI219" s="289">
        <v>0</v>
      </c>
      <c r="AJ219" s="289">
        <v>0</v>
      </c>
    </row>
    <row r="220" spans="2:36">
      <c r="B220" s="290">
        <v>2111</v>
      </c>
      <c r="C220" s="294">
        <v>254563</v>
      </c>
      <c r="D220" s="290" t="s">
        <v>944</v>
      </c>
      <c r="E220" s="289" t="s">
        <v>1171</v>
      </c>
      <c r="F220" s="290">
        <v>351</v>
      </c>
      <c r="G220" s="289"/>
      <c r="H220" s="289"/>
      <c r="I220" s="289"/>
      <c r="J220" s="289">
        <v>0</v>
      </c>
      <c r="K220" s="289" t="s">
        <v>1462</v>
      </c>
      <c r="L220" s="289"/>
      <c r="M220" s="289" t="s">
        <v>1463</v>
      </c>
      <c r="N220" s="293">
        <v>44352</v>
      </c>
      <c r="O220" s="293">
        <v>44352</v>
      </c>
      <c r="P220" s="289" t="s">
        <v>1637</v>
      </c>
      <c r="Q220" s="290">
        <v>700</v>
      </c>
      <c r="R220" s="290">
        <v>14050</v>
      </c>
      <c r="S220" s="291">
        <v>20236.400000000001</v>
      </c>
      <c r="T220" s="290">
        <v>14056</v>
      </c>
      <c r="U220" s="291">
        <v>3372.74</v>
      </c>
      <c r="V220" s="291">
        <f t="shared" si="3"/>
        <v>16863.660000000003</v>
      </c>
      <c r="W220" s="292">
        <v>1686.37</v>
      </c>
      <c r="X220" s="290">
        <v>54260</v>
      </c>
      <c r="Y220" s="291">
        <v>240.91</v>
      </c>
      <c r="Z220" s="289" t="s">
        <v>944</v>
      </c>
      <c r="AA220" s="289"/>
      <c r="AB220" s="289">
        <v>50173724</v>
      </c>
      <c r="AC220" s="289"/>
      <c r="AD220" s="289" t="s">
        <v>1446</v>
      </c>
      <c r="AE220" s="289" t="s">
        <v>410</v>
      </c>
      <c r="AF220" s="290" t="s">
        <v>1447</v>
      </c>
      <c r="AG220" s="289"/>
      <c r="AH220" s="290" t="s">
        <v>1448</v>
      </c>
      <c r="AI220" s="289">
        <v>0</v>
      </c>
      <c r="AJ220" s="289">
        <v>0</v>
      </c>
    </row>
    <row r="221" spans="2:36">
      <c r="B221" s="290">
        <v>2111</v>
      </c>
      <c r="C221" s="294">
        <v>254515</v>
      </c>
      <c r="D221" s="290">
        <v>252489</v>
      </c>
      <c r="E221" s="289" t="s">
        <v>1170</v>
      </c>
      <c r="F221" s="290"/>
      <c r="G221" s="289"/>
      <c r="H221" s="289"/>
      <c r="I221" s="289"/>
      <c r="J221" s="289">
        <v>0</v>
      </c>
      <c r="K221" s="289" t="s">
        <v>1456</v>
      </c>
      <c r="L221" s="289"/>
      <c r="M221" s="289"/>
      <c r="N221" s="293">
        <v>44347</v>
      </c>
      <c r="O221" s="293">
        <v>44347</v>
      </c>
      <c r="P221" s="289" t="s">
        <v>1457</v>
      </c>
      <c r="Q221" s="290">
        <v>1000</v>
      </c>
      <c r="R221" s="290">
        <v>14010</v>
      </c>
      <c r="S221" s="291">
        <v>559</v>
      </c>
      <c r="T221" s="290">
        <v>14016</v>
      </c>
      <c r="U221" s="291">
        <v>65.22</v>
      </c>
      <c r="V221" s="291">
        <f t="shared" si="3"/>
        <v>493.78</v>
      </c>
      <c r="W221" s="292">
        <v>32.61</v>
      </c>
      <c r="X221" s="290">
        <v>57260</v>
      </c>
      <c r="Y221" s="291">
        <v>4.66</v>
      </c>
      <c r="Z221" s="289" t="s">
        <v>944</v>
      </c>
      <c r="AA221" s="289"/>
      <c r="AB221" s="289" t="s">
        <v>1638</v>
      </c>
      <c r="AC221" s="289"/>
      <c r="AD221" s="289" t="s">
        <v>1446</v>
      </c>
      <c r="AE221" s="289" t="s">
        <v>410</v>
      </c>
      <c r="AF221" s="290" t="s">
        <v>1447</v>
      </c>
      <c r="AG221" s="289"/>
      <c r="AH221" s="290" t="s">
        <v>1448</v>
      </c>
      <c r="AI221" s="289">
        <v>0</v>
      </c>
      <c r="AJ221" s="289">
        <v>0</v>
      </c>
    </row>
    <row r="222" spans="2:36">
      <c r="B222" s="290">
        <v>2111</v>
      </c>
      <c r="C222" s="294">
        <v>253160</v>
      </c>
      <c r="D222" s="290" t="s">
        <v>944</v>
      </c>
      <c r="E222" s="289" t="s">
        <v>1149</v>
      </c>
      <c r="F222" s="290">
        <v>351</v>
      </c>
      <c r="G222" s="289"/>
      <c r="H222" s="289"/>
      <c r="I222" s="289" t="s">
        <v>1584</v>
      </c>
      <c r="J222" s="289">
        <v>0</v>
      </c>
      <c r="K222" s="289" t="s">
        <v>1462</v>
      </c>
      <c r="L222" s="289"/>
      <c r="M222" s="289" t="s">
        <v>1463</v>
      </c>
      <c r="N222" s="293">
        <v>44242</v>
      </c>
      <c r="O222" s="293">
        <v>44242</v>
      </c>
      <c r="P222" s="289" t="s">
        <v>1639</v>
      </c>
      <c r="Q222" s="290">
        <v>700</v>
      </c>
      <c r="R222" s="290">
        <v>14050</v>
      </c>
      <c r="S222" s="291">
        <v>16799.37</v>
      </c>
      <c r="T222" s="290">
        <v>14056</v>
      </c>
      <c r="U222" s="291">
        <v>3599.87</v>
      </c>
      <c r="V222" s="291">
        <f t="shared" si="3"/>
        <v>13199.5</v>
      </c>
      <c r="W222" s="292">
        <v>1399.95</v>
      </c>
      <c r="X222" s="290">
        <v>54260</v>
      </c>
      <c r="Y222" s="291">
        <v>199.99</v>
      </c>
      <c r="Z222" s="289" t="s">
        <v>944</v>
      </c>
      <c r="AA222" s="289"/>
      <c r="AB222" s="289">
        <v>50151391</v>
      </c>
      <c r="AC222" s="289"/>
      <c r="AD222" s="289" t="s">
        <v>1446</v>
      </c>
      <c r="AE222" s="289" t="s">
        <v>410</v>
      </c>
      <c r="AF222" s="290" t="s">
        <v>1447</v>
      </c>
      <c r="AG222" s="289"/>
      <c r="AH222" s="290" t="s">
        <v>1448</v>
      </c>
      <c r="AI222" s="289">
        <v>0</v>
      </c>
      <c r="AJ222" s="289">
        <v>0</v>
      </c>
    </row>
    <row r="223" spans="2:36">
      <c r="B223" s="290">
        <v>2111</v>
      </c>
      <c r="C223" s="294">
        <v>253159</v>
      </c>
      <c r="D223" s="290" t="s">
        <v>944</v>
      </c>
      <c r="E223" s="289" t="s">
        <v>1135</v>
      </c>
      <c r="F223" s="290">
        <v>351</v>
      </c>
      <c r="G223" s="289"/>
      <c r="H223" s="289"/>
      <c r="I223" s="289" t="s">
        <v>1584</v>
      </c>
      <c r="J223" s="289">
        <v>0</v>
      </c>
      <c r="K223" s="289" t="s">
        <v>1462</v>
      </c>
      <c r="L223" s="289"/>
      <c r="M223" s="289" t="s">
        <v>1463</v>
      </c>
      <c r="N223" s="293">
        <v>44242</v>
      </c>
      <c r="O223" s="293">
        <v>44242</v>
      </c>
      <c r="P223" s="289" t="s">
        <v>1639</v>
      </c>
      <c r="Q223" s="290">
        <v>700</v>
      </c>
      <c r="R223" s="290">
        <v>14050</v>
      </c>
      <c r="S223" s="291">
        <v>16799.37</v>
      </c>
      <c r="T223" s="290">
        <v>14056</v>
      </c>
      <c r="U223" s="291">
        <v>3599.87</v>
      </c>
      <c r="V223" s="291">
        <f t="shared" si="3"/>
        <v>13199.5</v>
      </c>
      <c r="W223" s="292">
        <v>1399.95</v>
      </c>
      <c r="X223" s="290">
        <v>54260</v>
      </c>
      <c r="Y223" s="291">
        <v>199.99</v>
      </c>
      <c r="Z223" s="289" t="s">
        <v>944</v>
      </c>
      <c r="AA223" s="289"/>
      <c r="AB223" s="289">
        <v>50151391</v>
      </c>
      <c r="AC223" s="289"/>
      <c r="AD223" s="289" t="s">
        <v>1446</v>
      </c>
      <c r="AE223" s="289" t="s">
        <v>410</v>
      </c>
      <c r="AF223" s="290" t="s">
        <v>1447</v>
      </c>
      <c r="AG223" s="289"/>
      <c r="AH223" s="290" t="s">
        <v>1448</v>
      </c>
      <c r="AI223" s="289">
        <v>0</v>
      </c>
      <c r="AJ223" s="289">
        <v>0</v>
      </c>
    </row>
    <row r="224" spans="2:36">
      <c r="B224" s="290">
        <v>2111</v>
      </c>
      <c r="C224" s="294">
        <v>253158</v>
      </c>
      <c r="D224" s="290" t="s">
        <v>944</v>
      </c>
      <c r="E224" s="289" t="s">
        <v>1167</v>
      </c>
      <c r="F224" s="290">
        <v>220</v>
      </c>
      <c r="G224" s="289"/>
      <c r="H224" s="289"/>
      <c r="I224" s="289" t="s">
        <v>1584</v>
      </c>
      <c r="J224" s="289">
        <v>0</v>
      </c>
      <c r="K224" s="289" t="s">
        <v>1462</v>
      </c>
      <c r="L224" s="289"/>
      <c r="M224" s="289" t="s">
        <v>1463</v>
      </c>
      <c r="N224" s="293">
        <v>44277</v>
      </c>
      <c r="O224" s="293">
        <v>44277</v>
      </c>
      <c r="P224" s="289" t="s">
        <v>1640</v>
      </c>
      <c r="Q224" s="290">
        <v>700</v>
      </c>
      <c r="R224" s="290">
        <v>14050</v>
      </c>
      <c r="S224" s="291">
        <v>9518.8700000000008</v>
      </c>
      <c r="T224" s="290">
        <v>14056</v>
      </c>
      <c r="U224" s="291">
        <v>1813.12</v>
      </c>
      <c r="V224" s="291">
        <f t="shared" si="3"/>
        <v>7705.7500000000009</v>
      </c>
      <c r="W224" s="292">
        <v>793.24</v>
      </c>
      <c r="X224" s="290">
        <v>54260</v>
      </c>
      <c r="Y224" s="291">
        <v>113.32</v>
      </c>
      <c r="Z224" s="289" t="s">
        <v>944</v>
      </c>
      <c r="AA224" s="289"/>
      <c r="AB224" s="289">
        <v>50163643</v>
      </c>
      <c r="AC224" s="289"/>
      <c r="AD224" s="289" t="s">
        <v>1446</v>
      </c>
      <c r="AE224" s="289" t="s">
        <v>410</v>
      </c>
      <c r="AF224" s="290" t="s">
        <v>1447</v>
      </c>
      <c r="AG224" s="289"/>
      <c r="AH224" s="290" t="s">
        <v>1448</v>
      </c>
      <c r="AI224" s="289">
        <v>0</v>
      </c>
      <c r="AJ224" s="289">
        <v>0</v>
      </c>
    </row>
    <row r="225" spans="2:36">
      <c r="B225" s="290">
        <v>2111</v>
      </c>
      <c r="C225" s="294">
        <v>253157</v>
      </c>
      <c r="D225" s="290" t="s">
        <v>944</v>
      </c>
      <c r="E225" s="289" t="s">
        <v>1168</v>
      </c>
      <c r="F225" s="290">
        <v>689</v>
      </c>
      <c r="G225" s="289"/>
      <c r="H225" s="289"/>
      <c r="I225" s="289" t="s">
        <v>1584</v>
      </c>
      <c r="J225" s="289">
        <v>0</v>
      </c>
      <c r="K225" s="289" t="s">
        <v>1462</v>
      </c>
      <c r="L225" s="289"/>
      <c r="M225" s="289" t="s">
        <v>1463</v>
      </c>
      <c r="N225" s="293">
        <v>44277</v>
      </c>
      <c r="O225" s="293">
        <v>44277</v>
      </c>
      <c r="P225" s="289" t="s">
        <v>1640</v>
      </c>
      <c r="Q225" s="290">
        <v>700</v>
      </c>
      <c r="R225" s="290">
        <v>14050</v>
      </c>
      <c r="S225" s="291">
        <v>29871.98</v>
      </c>
      <c r="T225" s="290">
        <v>14056</v>
      </c>
      <c r="U225" s="291">
        <v>5689.9</v>
      </c>
      <c r="V225" s="291">
        <f t="shared" si="3"/>
        <v>24182.080000000002</v>
      </c>
      <c r="W225" s="292">
        <v>2489.33</v>
      </c>
      <c r="X225" s="290">
        <v>54260</v>
      </c>
      <c r="Y225" s="291">
        <v>355.61</v>
      </c>
      <c r="Z225" s="289" t="s">
        <v>944</v>
      </c>
      <c r="AA225" s="289"/>
      <c r="AB225" s="289">
        <v>50163643</v>
      </c>
      <c r="AC225" s="289"/>
      <c r="AD225" s="289" t="s">
        <v>1446</v>
      </c>
      <c r="AE225" s="289" t="s">
        <v>410</v>
      </c>
      <c r="AF225" s="290" t="s">
        <v>1447</v>
      </c>
      <c r="AG225" s="289"/>
      <c r="AH225" s="290" t="s">
        <v>1448</v>
      </c>
      <c r="AI225" s="289">
        <v>0</v>
      </c>
      <c r="AJ225" s="289">
        <v>0</v>
      </c>
    </row>
    <row r="226" spans="2:36">
      <c r="B226" s="290">
        <v>2111</v>
      </c>
      <c r="C226" s="294">
        <v>252489</v>
      </c>
      <c r="D226" s="290" t="s">
        <v>944</v>
      </c>
      <c r="E226" s="289" t="s">
        <v>1166</v>
      </c>
      <c r="F226" s="290"/>
      <c r="G226" s="289"/>
      <c r="H226" s="289"/>
      <c r="I226" s="289"/>
      <c r="J226" s="289">
        <v>0</v>
      </c>
      <c r="K226" s="289"/>
      <c r="L226" s="289"/>
      <c r="M226" s="289"/>
      <c r="N226" s="293">
        <v>44347</v>
      </c>
      <c r="O226" s="293">
        <v>44347</v>
      </c>
      <c r="P226" s="289" t="s">
        <v>1641</v>
      </c>
      <c r="Q226" s="290">
        <v>1000</v>
      </c>
      <c r="R226" s="290">
        <v>14010</v>
      </c>
      <c r="S226" s="291">
        <v>3092.5</v>
      </c>
      <c r="T226" s="290">
        <v>14016</v>
      </c>
      <c r="U226" s="291">
        <v>360.8</v>
      </c>
      <c r="V226" s="291">
        <f t="shared" si="3"/>
        <v>2731.7</v>
      </c>
      <c r="W226" s="292">
        <v>180.4</v>
      </c>
      <c r="X226" s="290">
        <v>57260</v>
      </c>
      <c r="Y226" s="291">
        <v>25.77</v>
      </c>
      <c r="Z226" s="289" t="s">
        <v>944</v>
      </c>
      <c r="AA226" s="289"/>
      <c r="AB226" s="289"/>
      <c r="AC226" s="289"/>
      <c r="AD226" s="289" t="s">
        <v>1446</v>
      </c>
      <c r="AE226" s="289" t="s">
        <v>410</v>
      </c>
      <c r="AF226" s="290" t="s">
        <v>1447</v>
      </c>
      <c r="AG226" s="289"/>
      <c r="AH226" s="290" t="s">
        <v>1448</v>
      </c>
      <c r="AI226" s="289">
        <v>0</v>
      </c>
      <c r="AJ226" s="289">
        <v>0</v>
      </c>
    </row>
    <row r="227" spans="2:36">
      <c r="B227" s="290">
        <v>2111</v>
      </c>
      <c r="C227" s="294">
        <v>252178</v>
      </c>
      <c r="D227" s="290">
        <v>252176</v>
      </c>
      <c r="E227" s="289" t="s">
        <v>1163</v>
      </c>
      <c r="F227" s="290"/>
      <c r="G227" s="289"/>
      <c r="H227" s="289" t="s">
        <v>1642</v>
      </c>
      <c r="I227" s="289"/>
      <c r="J227" s="289">
        <v>2020</v>
      </c>
      <c r="K227" s="289"/>
      <c r="L227" s="289"/>
      <c r="M227" s="289" t="s">
        <v>1467</v>
      </c>
      <c r="N227" s="293">
        <v>44329</v>
      </c>
      <c r="O227" s="293">
        <v>44329</v>
      </c>
      <c r="P227" s="289" t="s">
        <v>1643</v>
      </c>
      <c r="Q227" s="290">
        <v>1000</v>
      </c>
      <c r="R227" s="290">
        <v>14040</v>
      </c>
      <c r="S227" s="291">
        <v>159549.45000000001</v>
      </c>
      <c r="T227" s="290">
        <v>14046</v>
      </c>
      <c r="U227" s="291">
        <v>19943.68</v>
      </c>
      <c r="V227" s="291">
        <f t="shared" si="3"/>
        <v>139605.77000000002</v>
      </c>
      <c r="W227" s="292">
        <v>9307.0499999999993</v>
      </c>
      <c r="X227" s="290">
        <v>51260</v>
      </c>
      <c r="Y227" s="291">
        <v>1329.57</v>
      </c>
      <c r="Z227" s="289" t="s">
        <v>944</v>
      </c>
      <c r="AA227" s="289"/>
      <c r="AB227" s="289"/>
      <c r="AC227" s="289"/>
      <c r="AD227" s="289" t="s">
        <v>1446</v>
      </c>
      <c r="AE227" s="289" t="s">
        <v>410</v>
      </c>
      <c r="AF227" s="290" t="s">
        <v>1447</v>
      </c>
      <c r="AG227" s="289"/>
      <c r="AH227" s="290" t="s">
        <v>1448</v>
      </c>
      <c r="AI227" s="289">
        <v>0</v>
      </c>
      <c r="AJ227" s="289">
        <v>0</v>
      </c>
    </row>
    <row r="228" spans="2:36">
      <c r="B228" s="290">
        <v>2111</v>
      </c>
      <c r="C228" s="294">
        <v>252177</v>
      </c>
      <c r="D228" s="290">
        <v>252175</v>
      </c>
      <c r="E228" s="289" t="s">
        <v>1164</v>
      </c>
      <c r="F228" s="290"/>
      <c r="G228" s="289"/>
      <c r="H228" s="289" t="s">
        <v>1644</v>
      </c>
      <c r="I228" s="289"/>
      <c r="J228" s="289">
        <v>2020</v>
      </c>
      <c r="K228" s="289"/>
      <c r="L228" s="289"/>
      <c r="M228" s="289" t="s">
        <v>1467</v>
      </c>
      <c r="N228" s="293">
        <v>44329</v>
      </c>
      <c r="O228" s="293">
        <v>44329</v>
      </c>
      <c r="P228" s="289" t="s">
        <v>1645</v>
      </c>
      <c r="Q228" s="290">
        <v>1000</v>
      </c>
      <c r="R228" s="290">
        <v>14040</v>
      </c>
      <c r="S228" s="291">
        <v>159549.45000000001</v>
      </c>
      <c r="T228" s="290">
        <v>14046</v>
      </c>
      <c r="U228" s="291">
        <v>19943.68</v>
      </c>
      <c r="V228" s="291">
        <f t="shared" si="3"/>
        <v>139605.77000000002</v>
      </c>
      <c r="W228" s="292">
        <v>9307.0499999999993</v>
      </c>
      <c r="X228" s="290">
        <v>51260</v>
      </c>
      <c r="Y228" s="291">
        <v>1329.57</v>
      </c>
      <c r="Z228" s="289" t="s">
        <v>944</v>
      </c>
      <c r="AA228" s="289"/>
      <c r="AB228" s="289"/>
      <c r="AC228" s="289"/>
      <c r="AD228" s="289" t="s">
        <v>1446</v>
      </c>
      <c r="AE228" s="289" t="s">
        <v>410</v>
      </c>
      <c r="AF228" s="290" t="s">
        <v>1447</v>
      </c>
      <c r="AG228" s="289"/>
      <c r="AH228" s="290" t="s">
        <v>1448</v>
      </c>
      <c r="AI228" s="289">
        <v>0</v>
      </c>
      <c r="AJ228" s="289">
        <v>0</v>
      </c>
    </row>
    <row r="229" spans="2:36">
      <c r="B229" s="290">
        <v>2111</v>
      </c>
      <c r="C229" s="294">
        <v>252176</v>
      </c>
      <c r="D229" s="290" t="s">
        <v>944</v>
      </c>
      <c r="E229" s="289" t="s">
        <v>1165</v>
      </c>
      <c r="F229" s="290"/>
      <c r="G229" s="289"/>
      <c r="H229" s="289" t="s">
        <v>1642</v>
      </c>
      <c r="I229" s="289"/>
      <c r="J229" s="289">
        <v>2020</v>
      </c>
      <c r="K229" s="289"/>
      <c r="L229" s="289"/>
      <c r="M229" s="289" t="s">
        <v>1523</v>
      </c>
      <c r="N229" s="293">
        <v>44329</v>
      </c>
      <c r="O229" s="293">
        <v>44329</v>
      </c>
      <c r="P229" s="289" t="s">
        <v>1646</v>
      </c>
      <c r="Q229" s="290">
        <v>1000</v>
      </c>
      <c r="R229" s="290">
        <v>14040</v>
      </c>
      <c r="S229" s="291">
        <v>183322.84</v>
      </c>
      <c r="T229" s="290">
        <v>14046</v>
      </c>
      <c r="U229" s="291">
        <v>22915.35</v>
      </c>
      <c r="V229" s="291">
        <f t="shared" si="3"/>
        <v>160407.49</v>
      </c>
      <c r="W229" s="292">
        <v>10693.83</v>
      </c>
      <c r="X229" s="290">
        <v>51260</v>
      </c>
      <c r="Y229" s="291">
        <v>1527.69</v>
      </c>
      <c r="Z229" s="289" t="s">
        <v>944</v>
      </c>
      <c r="AA229" s="289"/>
      <c r="AB229" s="289"/>
      <c r="AC229" s="289"/>
      <c r="AD229" s="289" t="s">
        <v>1446</v>
      </c>
      <c r="AE229" s="289" t="s">
        <v>410</v>
      </c>
      <c r="AF229" s="290" t="s">
        <v>1447</v>
      </c>
      <c r="AG229" s="289"/>
      <c r="AH229" s="290" t="s">
        <v>1448</v>
      </c>
      <c r="AI229" s="289">
        <v>0</v>
      </c>
      <c r="AJ229" s="289">
        <v>0</v>
      </c>
    </row>
    <row r="230" spans="2:36">
      <c r="B230" s="290">
        <v>2111</v>
      </c>
      <c r="C230" s="294">
        <v>252175</v>
      </c>
      <c r="D230" s="290" t="s">
        <v>944</v>
      </c>
      <c r="E230" s="289" t="s">
        <v>1165</v>
      </c>
      <c r="F230" s="290"/>
      <c r="G230" s="289"/>
      <c r="H230" s="289" t="s">
        <v>1644</v>
      </c>
      <c r="I230" s="289"/>
      <c r="J230" s="289">
        <v>2020</v>
      </c>
      <c r="K230" s="289"/>
      <c r="L230" s="289"/>
      <c r="M230" s="289" t="s">
        <v>1523</v>
      </c>
      <c r="N230" s="293">
        <v>44329</v>
      </c>
      <c r="O230" s="293">
        <v>44329</v>
      </c>
      <c r="P230" s="289" t="s">
        <v>1647</v>
      </c>
      <c r="Q230" s="290">
        <v>1000</v>
      </c>
      <c r="R230" s="290">
        <v>14040</v>
      </c>
      <c r="S230" s="291">
        <v>183322.84</v>
      </c>
      <c r="T230" s="290">
        <v>14046</v>
      </c>
      <c r="U230" s="291">
        <v>22915.35</v>
      </c>
      <c r="V230" s="291">
        <f t="shared" si="3"/>
        <v>160407.49</v>
      </c>
      <c r="W230" s="292">
        <v>10693.83</v>
      </c>
      <c r="X230" s="290">
        <v>51260</v>
      </c>
      <c r="Y230" s="291">
        <v>1527.69</v>
      </c>
      <c r="Z230" s="289" t="s">
        <v>944</v>
      </c>
      <c r="AA230" s="289"/>
      <c r="AB230" s="289"/>
      <c r="AC230" s="289"/>
      <c r="AD230" s="289" t="s">
        <v>1446</v>
      </c>
      <c r="AE230" s="289" t="s">
        <v>410</v>
      </c>
      <c r="AF230" s="290" t="s">
        <v>1447</v>
      </c>
      <c r="AG230" s="289"/>
      <c r="AH230" s="290" t="s">
        <v>1448</v>
      </c>
      <c r="AI230" s="289">
        <v>0</v>
      </c>
      <c r="AJ230" s="289">
        <v>0</v>
      </c>
    </row>
    <row r="231" spans="2:36">
      <c r="B231" s="290">
        <v>2111</v>
      </c>
      <c r="C231" s="294">
        <v>251861</v>
      </c>
      <c r="D231" s="290">
        <v>241232</v>
      </c>
      <c r="E231" s="289" t="s">
        <v>1648</v>
      </c>
      <c r="F231" s="290"/>
      <c r="G231" s="289"/>
      <c r="H231" s="289" t="s">
        <v>1649</v>
      </c>
      <c r="I231" s="289"/>
      <c r="J231" s="289">
        <v>2020</v>
      </c>
      <c r="K231" s="289" t="s">
        <v>1561</v>
      </c>
      <c r="L231" s="289"/>
      <c r="M231" s="289" t="s">
        <v>1467</v>
      </c>
      <c r="N231" s="293">
        <v>44197</v>
      </c>
      <c r="O231" s="293">
        <v>44197</v>
      </c>
      <c r="P231" s="289" t="s">
        <v>1650</v>
      </c>
      <c r="Q231" s="290">
        <v>1000</v>
      </c>
      <c r="R231" s="290">
        <v>14040</v>
      </c>
      <c r="S231" s="291">
        <v>180368.65</v>
      </c>
      <c r="T231" s="290">
        <v>14046</v>
      </c>
      <c r="U231" s="291">
        <v>28558.38</v>
      </c>
      <c r="V231" s="291">
        <f t="shared" si="3"/>
        <v>151810.26999999999</v>
      </c>
      <c r="W231" s="292">
        <v>10521.51</v>
      </c>
      <c r="X231" s="290">
        <v>51260</v>
      </c>
      <c r="Y231" s="291">
        <v>1503.07</v>
      </c>
      <c r="Z231" s="289" t="s">
        <v>944</v>
      </c>
      <c r="AA231" s="289"/>
      <c r="AB231" s="289">
        <v>4103402</v>
      </c>
      <c r="AC231" s="289"/>
      <c r="AD231" s="289" t="s">
        <v>1446</v>
      </c>
      <c r="AE231" s="289" t="s">
        <v>410</v>
      </c>
      <c r="AF231" s="290" t="s">
        <v>1447</v>
      </c>
      <c r="AG231" s="289"/>
      <c r="AH231" s="290" t="s">
        <v>1448</v>
      </c>
      <c r="AI231" s="289">
        <v>0</v>
      </c>
      <c r="AJ231" s="289">
        <v>0</v>
      </c>
    </row>
    <row r="232" spans="2:36">
      <c r="B232" s="290">
        <v>2111</v>
      </c>
      <c r="C232" s="294">
        <v>250649</v>
      </c>
      <c r="D232" s="290">
        <v>250647</v>
      </c>
      <c r="E232" s="289" t="s">
        <v>1231</v>
      </c>
      <c r="F232" s="290"/>
      <c r="G232" s="289"/>
      <c r="H232" s="289"/>
      <c r="I232" s="289"/>
      <c r="J232" s="289">
        <v>0</v>
      </c>
      <c r="K232" s="289" t="s">
        <v>1580</v>
      </c>
      <c r="L232" s="289"/>
      <c r="M232" s="289" t="s">
        <v>1467</v>
      </c>
      <c r="N232" s="293">
        <v>43799</v>
      </c>
      <c r="O232" s="293">
        <v>43799</v>
      </c>
      <c r="P232" s="289" t="s">
        <v>1651</v>
      </c>
      <c r="Q232" s="290">
        <v>300</v>
      </c>
      <c r="R232" s="290">
        <v>14040</v>
      </c>
      <c r="S232" s="291">
        <v>10654.81</v>
      </c>
      <c r="T232" s="290">
        <v>14046</v>
      </c>
      <c r="U232" s="291">
        <v>9470.94</v>
      </c>
      <c r="V232" s="291">
        <f t="shared" si="3"/>
        <v>1183.869999999999</v>
      </c>
      <c r="W232" s="292">
        <v>2071.77</v>
      </c>
      <c r="X232" s="290">
        <v>51260</v>
      </c>
      <c r="Y232" s="291">
        <v>295.97000000000003</v>
      </c>
      <c r="Z232" s="289" t="s">
        <v>944</v>
      </c>
      <c r="AA232" s="289"/>
      <c r="AB232" s="289">
        <v>15493</v>
      </c>
      <c r="AC232" s="289"/>
      <c r="AD232" s="289" t="s">
        <v>1446</v>
      </c>
      <c r="AE232" s="289" t="s">
        <v>410</v>
      </c>
      <c r="AF232" s="290" t="s">
        <v>1447</v>
      </c>
      <c r="AG232" s="295">
        <v>44286</v>
      </c>
      <c r="AH232" s="290" t="s">
        <v>1448</v>
      </c>
      <c r="AI232" s="289">
        <v>0</v>
      </c>
      <c r="AJ232" s="289">
        <v>4735.47</v>
      </c>
    </row>
    <row r="233" spans="2:36">
      <c r="B233" s="290">
        <v>2111</v>
      </c>
      <c r="C233" s="294">
        <v>250648</v>
      </c>
      <c r="D233" s="290">
        <v>250647</v>
      </c>
      <c r="E233" s="289" t="s">
        <v>1232</v>
      </c>
      <c r="F233" s="290"/>
      <c r="G233" s="289"/>
      <c r="H233" s="289"/>
      <c r="I233" s="289"/>
      <c r="J233" s="289">
        <v>0</v>
      </c>
      <c r="K233" s="289" t="s">
        <v>1522</v>
      </c>
      <c r="L233" s="289"/>
      <c r="M233" s="289" t="s">
        <v>1586</v>
      </c>
      <c r="N233" s="293">
        <v>41928</v>
      </c>
      <c r="O233" s="293">
        <v>41928</v>
      </c>
      <c r="P233" s="289" t="s">
        <v>1652</v>
      </c>
      <c r="Q233" s="290">
        <v>404</v>
      </c>
      <c r="R233" s="290">
        <v>14040</v>
      </c>
      <c r="S233" s="291">
        <v>16407.5</v>
      </c>
      <c r="T233" s="290">
        <v>14046</v>
      </c>
      <c r="U233" s="291">
        <v>16407.5</v>
      </c>
      <c r="V233" s="291">
        <f t="shared" si="3"/>
        <v>0</v>
      </c>
      <c r="W233" s="292">
        <v>0</v>
      </c>
      <c r="X233" s="290">
        <v>51260</v>
      </c>
      <c r="Y233" s="291">
        <v>0</v>
      </c>
      <c r="Z233" s="289" t="s">
        <v>944</v>
      </c>
      <c r="AA233" s="289"/>
      <c r="AB233" s="289" t="s">
        <v>1653</v>
      </c>
      <c r="AC233" s="289"/>
      <c r="AD233" s="289" t="s">
        <v>1446</v>
      </c>
      <c r="AE233" s="289" t="s">
        <v>410</v>
      </c>
      <c r="AF233" s="290" t="s">
        <v>1447</v>
      </c>
      <c r="AG233" s="295">
        <v>44286</v>
      </c>
      <c r="AH233" s="290" t="s">
        <v>1448</v>
      </c>
      <c r="AI233" s="289">
        <v>0</v>
      </c>
      <c r="AJ233" s="289">
        <v>16407.5</v>
      </c>
    </row>
    <row r="234" spans="2:36">
      <c r="B234" s="290">
        <v>2111</v>
      </c>
      <c r="C234" s="294">
        <v>250647</v>
      </c>
      <c r="D234" s="290" t="s">
        <v>944</v>
      </c>
      <c r="E234" s="289" t="s">
        <v>1233</v>
      </c>
      <c r="F234" s="290">
        <v>0</v>
      </c>
      <c r="G234" s="289"/>
      <c r="H234" s="289" t="s">
        <v>1654</v>
      </c>
      <c r="I234" s="289"/>
      <c r="J234" s="289">
        <v>2009</v>
      </c>
      <c r="K234" s="289" t="s">
        <v>1655</v>
      </c>
      <c r="L234" s="289" t="s">
        <v>1522</v>
      </c>
      <c r="M234" s="289" t="s">
        <v>1495</v>
      </c>
      <c r="N234" s="293">
        <v>41445</v>
      </c>
      <c r="O234" s="293">
        <v>41445</v>
      </c>
      <c r="P234" s="289" t="s">
        <v>1656</v>
      </c>
      <c r="Q234" s="290">
        <v>600</v>
      </c>
      <c r="R234" s="290">
        <v>14040</v>
      </c>
      <c r="S234" s="291">
        <v>181525</v>
      </c>
      <c r="T234" s="290">
        <v>14046</v>
      </c>
      <c r="U234" s="291">
        <v>181525</v>
      </c>
      <c r="V234" s="291">
        <f t="shared" si="3"/>
        <v>0</v>
      </c>
      <c r="W234" s="292">
        <v>0</v>
      </c>
      <c r="X234" s="290">
        <v>51260</v>
      </c>
      <c r="Y234" s="291">
        <v>0</v>
      </c>
      <c r="Z234" s="289" t="s">
        <v>944</v>
      </c>
      <c r="AA234" s="289"/>
      <c r="AB234" s="289"/>
      <c r="AC234" s="289">
        <v>813</v>
      </c>
      <c r="AD234" s="289" t="s">
        <v>1446</v>
      </c>
      <c r="AE234" s="289" t="s">
        <v>410</v>
      </c>
      <c r="AF234" s="290" t="s">
        <v>1447</v>
      </c>
      <c r="AG234" s="295">
        <v>44286</v>
      </c>
      <c r="AH234" s="290" t="s">
        <v>1448</v>
      </c>
      <c r="AI234" s="289">
        <v>0</v>
      </c>
      <c r="AJ234" s="289">
        <v>181525</v>
      </c>
    </row>
    <row r="235" spans="2:36">
      <c r="B235" s="290">
        <v>2111</v>
      </c>
      <c r="C235" s="294">
        <v>250258</v>
      </c>
      <c r="D235" s="290" t="s">
        <v>944</v>
      </c>
      <c r="E235" s="289" t="s">
        <v>1149</v>
      </c>
      <c r="F235" s="290">
        <v>702</v>
      </c>
      <c r="G235" s="289"/>
      <c r="H235" s="289"/>
      <c r="I235" s="289"/>
      <c r="J235" s="289">
        <v>0</v>
      </c>
      <c r="K235" s="289" t="s">
        <v>1462</v>
      </c>
      <c r="L235" s="289"/>
      <c r="M235" s="289" t="s">
        <v>1463</v>
      </c>
      <c r="N235" s="293">
        <v>44277</v>
      </c>
      <c r="O235" s="293">
        <v>44277</v>
      </c>
      <c r="P235" s="289" t="s">
        <v>1640</v>
      </c>
      <c r="Q235" s="290">
        <v>700</v>
      </c>
      <c r="R235" s="290">
        <v>14050</v>
      </c>
      <c r="S235" s="291">
        <v>34293.08</v>
      </c>
      <c r="T235" s="290">
        <v>14056</v>
      </c>
      <c r="U235" s="291">
        <v>6532.02</v>
      </c>
      <c r="V235" s="291">
        <f t="shared" si="3"/>
        <v>27761.06</v>
      </c>
      <c r="W235" s="292">
        <v>2857.76</v>
      </c>
      <c r="X235" s="290">
        <v>54260</v>
      </c>
      <c r="Y235" s="291">
        <v>408.25</v>
      </c>
      <c r="Z235" s="289" t="s">
        <v>944</v>
      </c>
      <c r="AA235" s="289"/>
      <c r="AB235" s="289">
        <v>50158858</v>
      </c>
      <c r="AC235" s="289"/>
      <c r="AD235" s="289" t="s">
        <v>1446</v>
      </c>
      <c r="AE235" s="289" t="s">
        <v>410</v>
      </c>
      <c r="AF235" s="290" t="s">
        <v>1447</v>
      </c>
      <c r="AG235" s="289"/>
      <c r="AH235" s="290" t="s">
        <v>1448</v>
      </c>
      <c r="AI235" s="289">
        <v>0</v>
      </c>
      <c r="AJ235" s="289">
        <v>0</v>
      </c>
    </row>
    <row r="236" spans="2:36">
      <c r="B236" s="290">
        <v>2111</v>
      </c>
      <c r="C236" s="294">
        <v>250257</v>
      </c>
      <c r="D236" s="290" t="s">
        <v>944</v>
      </c>
      <c r="E236" s="289" t="s">
        <v>1135</v>
      </c>
      <c r="F236" s="290">
        <v>702</v>
      </c>
      <c r="G236" s="289"/>
      <c r="H236" s="289"/>
      <c r="I236" s="289"/>
      <c r="J236" s="289">
        <v>0</v>
      </c>
      <c r="K236" s="289" t="s">
        <v>1462</v>
      </c>
      <c r="L236" s="289"/>
      <c r="M236" s="289" t="s">
        <v>1463</v>
      </c>
      <c r="N236" s="293">
        <v>44277</v>
      </c>
      <c r="O236" s="293">
        <v>44277</v>
      </c>
      <c r="P236" s="289" t="s">
        <v>1640</v>
      </c>
      <c r="Q236" s="290">
        <v>700</v>
      </c>
      <c r="R236" s="290">
        <v>14050</v>
      </c>
      <c r="S236" s="291">
        <v>34293.089999999997</v>
      </c>
      <c r="T236" s="290">
        <v>14056</v>
      </c>
      <c r="U236" s="291">
        <v>6532.02</v>
      </c>
      <c r="V236" s="291">
        <f t="shared" si="3"/>
        <v>27761.069999999996</v>
      </c>
      <c r="W236" s="292">
        <v>2857.76</v>
      </c>
      <c r="X236" s="290">
        <v>54260</v>
      </c>
      <c r="Y236" s="291">
        <v>408.25</v>
      </c>
      <c r="Z236" s="289" t="s">
        <v>944</v>
      </c>
      <c r="AA236" s="289"/>
      <c r="AB236" s="289">
        <v>50158858</v>
      </c>
      <c r="AC236" s="289"/>
      <c r="AD236" s="289" t="s">
        <v>1446</v>
      </c>
      <c r="AE236" s="289" t="s">
        <v>410</v>
      </c>
      <c r="AF236" s="290" t="s">
        <v>1447</v>
      </c>
      <c r="AG236" s="289"/>
      <c r="AH236" s="290" t="s">
        <v>1448</v>
      </c>
      <c r="AI236" s="289">
        <v>0</v>
      </c>
      <c r="AJ236" s="289">
        <v>0</v>
      </c>
    </row>
    <row r="237" spans="2:36">
      <c r="B237" s="290">
        <v>2111</v>
      </c>
      <c r="C237" s="294">
        <v>250256</v>
      </c>
      <c r="D237" s="290" t="s">
        <v>944</v>
      </c>
      <c r="E237" s="289" t="s">
        <v>1136</v>
      </c>
      <c r="F237" s="290">
        <v>702</v>
      </c>
      <c r="G237" s="289"/>
      <c r="H237" s="289"/>
      <c r="I237" s="289"/>
      <c r="J237" s="289">
        <v>0</v>
      </c>
      <c r="K237" s="289" t="s">
        <v>1462</v>
      </c>
      <c r="L237" s="289"/>
      <c r="M237" s="289" t="s">
        <v>1463</v>
      </c>
      <c r="N237" s="293">
        <v>44277</v>
      </c>
      <c r="O237" s="293">
        <v>44277</v>
      </c>
      <c r="P237" s="289" t="s">
        <v>1640</v>
      </c>
      <c r="Q237" s="290">
        <v>700</v>
      </c>
      <c r="R237" s="290">
        <v>14050</v>
      </c>
      <c r="S237" s="291">
        <v>34293.089999999997</v>
      </c>
      <c r="T237" s="290">
        <v>14056</v>
      </c>
      <c r="U237" s="291">
        <v>6532.02</v>
      </c>
      <c r="V237" s="291">
        <f t="shared" si="3"/>
        <v>27761.069999999996</v>
      </c>
      <c r="W237" s="292">
        <v>2857.76</v>
      </c>
      <c r="X237" s="290">
        <v>54260</v>
      </c>
      <c r="Y237" s="291">
        <v>408.25</v>
      </c>
      <c r="Z237" s="289" t="s">
        <v>944</v>
      </c>
      <c r="AA237" s="289"/>
      <c r="AB237" s="289">
        <v>50158858</v>
      </c>
      <c r="AC237" s="289"/>
      <c r="AD237" s="289" t="s">
        <v>1446</v>
      </c>
      <c r="AE237" s="289" t="s">
        <v>410</v>
      </c>
      <c r="AF237" s="290" t="s">
        <v>1447</v>
      </c>
      <c r="AG237" s="289"/>
      <c r="AH237" s="290" t="s">
        <v>1448</v>
      </c>
      <c r="AI237" s="289">
        <v>0</v>
      </c>
      <c r="AJ237" s="289">
        <v>0</v>
      </c>
    </row>
    <row r="238" spans="2:36">
      <c r="B238" s="290">
        <v>2111</v>
      </c>
      <c r="C238" s="294">
        <v>249798</v>
      </c>
      <c r="D238" s="290" t="s">
        <v>944</v>
      </c>
      <c r="E238" s="289" t="s">
        <v>1150</v>
      </c>
      <c r="F238" s="290">
        <v>1</v>
      </c>
      <c r="G238" s="289"/>
      <c r="H238" s="289"/>
      <c r="I238" s="289"/>
      <c r="J238" s="289">
        <v>0</v>
      </c>
      <c r="K238" s="289" t="s">
        <v>1657</v>
      </c>
      <c r="L238" s="289"/>
      <c r="M238" s="289"/>
      <c r="N238" s="293">
        <v>44270</v>
      </c>
      <c r="O238" s="293">
        <v>44270</v>
      </c>
      <c r="P238" s="289" t="s">
        <v>1658</v>
      </c>
      <c r="Q238" s="290">
        <v>300</v>
      </c>
      <c r="R238" s="290">
        <v>14110</v>
      </c>
      <c r="S238" s="291">
        <v>337.07</v>
      </c>
      <c r="T238" s="290">
        <v>14116</v>
      </c>
      <c r="U238" s="291">
        <v>159.16999999999999</v>
      </c>
      <c r="V238" s="291">
        <f t="shared" si="3"/>
        <v>177.9</v>
      </c>
      <c r="W238" s="292">
        <v>65.540000000000006</v>
      </c>
      <c r="X238" s="290">
        <v>70260</v>
      </c>
      <c r="Y238" s="291">
        <v>9.36</v>
      </c>
      <c r="Z238" s="289" t="s">
        <v>944</v>
      </c>
      <c r="AA238" s="289"/>
      <c r="AB238" s="289">
        <v>9361698</v>
      </c>
      <c r="AC238" s="289"/>
      <c r="AD238" s="289" t="s">
        <v>1446</v>
      </c>
      <c r="AE238" s="289" t="s">
        <v>410</v>
      </c>
      <c r="AF238" s="290" t="s">
        <v>1447</v>
      </c>
      <c r="AG238" s="289"/>
      <c r="AH238" s="290" t="s">
        <v>1448</v>
      </c>
      <c r="AI238" s="289">
        <v>0</v>
      </c>
      <c r="AJ238" s="289">
        <v>0</v>
      </c>
    </row>
    <row r="239" spans="2:36">
      <c r="B239" s="290">
        <v>2111</v>
      </c>
      <c r="C239" s="294">
        <v>249797</v>
      </c>
      <c r="D239" s="290" t="s">
        <v>944</v>
      </c>
      <c r="E239" s="289" t="s">
        <v>1151</v>
      </c>
      <c r="F239" s="290">
        <v>1</v>
      </c>
      <c r="G239" s="289"/>
      <c r="H239" s="289"/>
      <c r="I239" s="289"/>
      <c r="J239" s="289">
        <v>0</v>
      </c>
      <c r="K239" s="289" t="s">
        <v>1657</v>
      </c>
      <c r="L239" s="289"/>
      <c r="M239" s="289"/>
      <c r="N239" s="293">
        <v>44270</v>
      </c>
      <c r="O239" s="293">
        <v>44270</v>
      </c>
      <c r="P239" s="289" t="s">
        <v>1658</v>
      </c>
      <c r="Q239" s="290">
        <v>300</v>
      </c>
      <c r="R239" s="290">
        <v>14110</v>
      </c>
      <c r="S239" s="291">
        <v>337.07</v>
      </c>
      <c r="T239" s="290">
        <v>14116</v>
      </c>
      <c r="U239" s="291">
        <v>159.16999999999999</v>
      </c>
      <c r="V239" s="291">
        <f t="shared" si="3"/>
        <v>177.9</v>
      </c>
      <c r="W239" s="292">
        <v>65.540000000000006</v>
      </c>
      <c r="X239" s="290">
        <v>70260</v>
      </c>
      <c r="Y239" s="291">
        <v>9.36</v>
      </c>
      <c r="Z239" s="289" t="s">
        <v>944</v>
      </c>
      <c r="AA239" s="289"/>
      <c r="AB239" s="289">
        <v>9361698</v>
      </c>
      <c r="AC239" s="289"/>
      <c r="AD239" s="289" t="s">
        <v>1446</v>
      </c>
      <c r="AE239" s="289" t="s">
        <v>410</v>
      </c>
      <c r="AF239" s="290" t="s">
        <v>1447</v>
      </c>
      <c r="AG239" s="289"/>
      <c r="AH239" s="290" t="s">
        <v>1448</v>
      </c>
      <c r="AI239" s="289">
        <v>0</v>
      </c>
      <c r="AJ239" s="289">
        <v>0</v>
      </c>
    </row>
    <row r="240" spans="2:36">
      <c r="B240" s="290">
        <v>2111</v>
      </c>
      <c r="C240" s="294">
        <v>249796</v>
      </c>
      <c r="D240" s="290" t="s">
        <v>944</v>
      </c>
      <c r="E240" s="289" t="s">
        <v>1152</v>
      </c>
      <c r="F240" s="290">
        <v>1</v>
      </c>
      <c r="G240" s="289"/>
      <c r="H240" s="289"/>
      <c r="I240" s="289"/>
      <c r="J240" s="289">
        <v>0</v>
      </c>
      <c r="K240" s="289" t="s">
        <v>1657</v>
      </c>
      <c r="L240" s="289"/>
      <c r="M240" s="289"/>
      <c r="N240" s="293">
        <v>44270</v>
      </c>
      <c r="O240" s="293">
        <v>44270</v>
      </c>
      <c r="P240" s="289" t="s">
        <v>1658</v>
      </c>
      <c r="Q240" s="290">
        <v>300</v>
      </c>
      <c r="R240" s="290">
        <v>14110</v>
      </c>
      <c r="S240" s="291">
        <v>337.07</v>
      </c>
      <c r="T240" s="290">
        <v>14116</v>
      </c>
      <c r="U240" s="291">
        <v>159.16999999999999</v>
      </c>
      <c r="V240" s="291">
        <f t="shared" si="3"/>
        <v>177.9</v>
      </c>
      <c r="W240" s="292">
        <v>65.540000000000006</v>
      </c>
      <c r="X240" s="290">
        <v>70260</v>
      </c>
      <c r="Y240" s="291">
        <v>9.36</v>
      </c>
      <c r="Z240" s="289" t="s">
        <v>944</v>
      </c>
      <c r="AA240" s="289"/>
      <c r="AB240" s="289">
        <v>9361698</v>
      </c>
      <c r="AC240" s="289"/>
      <c r="AD240" s="289" t="s">
        <v>1446</v>
      </c>
      <c r="AE240" s="289" t="s">
        <v>410</v>
      </c>
      <c r="AF240" s="290" t="s">
        <v>1447</v>
      </c>
      <c r="AG240" s="289"/>
      <c r="AH240" s="290" t="s">
        <v>1448</v>
      </c>
      <c r="AI240" s="289">
        <v>0</v>
      </c>
      <c r="AJ240" s="289">
        <v>0</v>
      </c>
    </row>
    <row r="241" spans="2:36">
      <c r="B241" s="290">
        <v>2111</v>
      </c>
      <c r="C241" s="294">
        <v>249795</v>
      </c>
      <c r="D241" s="290" t="s">
        <v>944</v>
      </c>
      <c r="E241" s="289" t="s">
        <v>1153</v>
      </c>
      <c r="F241" s="290">
        <v>1</v>
      </c>
      <c r="G241" s="289"/>
      <c r="H241" s="289"/>
      <c r="I241" s="289"/>
      <c r="J241" s="289">
        <v>0</v>
      </c>
      <c r="K241" s="289" t="s">
        <v>1657</v>
      </c>
      <c r="L241" s="289"/>
      <c r="M241" s="289"/>
      <c r="N241" s="293">
        <v>44270</v>
      </c>
      <c r="O241" s="293">
        <v>44270</v>
      </c>
      <c r="P241" s="289" t="s">
        <v>1658</v>
      </c>
      <c r="Q241" s="290">
        <v>300</v>
      </c>
      <c r="R241" s="290">
        <v>14110</v>
      </c>
      <c r="S241" s="291">
        <v>337.07</v>
      </c>
      <c r="T241" s="290">
        <v>14116</v>
      </c>
      <c r="U241" s="291">
        <v>159.16999999999999</v>
      </c>
      <c r="V241" s="291">
        <f t="shared" si="3"/>
        <v>177.9</v>
      </c>
      <c r="W241" s="292">
        <v>65.540000000000006</v>
      </c>
      <c r="X241" s="290">
        <v>70260</v>
      </c>
      <c r="Y241" s="291">
        <v>9.36</v>
      </c>
      <c r="Z241" s="289" t="s">
        <v>944</v>
      </c>
      <c r="AA241" s="289"/>
      <c r="AB241" s="289">
        <v>9361698</v>
      </c>
      <c r="AC241" s="289"/>
      <c r="AD241" s="289" t="s">
        <v>1446</v>
      </c>
      <c r="AE241" s="289" t="s">
        <v>410</v>
      </c>
      <c r="AF241" s="290" t="s">
        <v>1447</v>
      </c>
      <c r="AG241" s="289"/>
      <c r="AH241" s="290" t="s">
        <v>1448</v>
      </c>
      <c r="AI241" s="289">
        <v>0</v>
      </c>
      <c r="AJ241" s="289">
        <v>0</v>
      </c>
    </row>
    <row r="242" spans="2:36">
      <c r="B242" s="290">
        <v>2111</v>
      </c>
      <c r="C242" s="294">
        <v>249794</v>
      </c>
      <c r="D242" s="290" t="s">
        <v>944</v>
      </c>
      <c r="E242" s="289" t="s">
        <v>1154</v>
      </c>
      <c r="F242" s="290">
        <v>1</v>
      </c>
      <c r="G242" s="289"/>
      <c r="H242" s="289"/>
      <c r="I242" s="289"/>
      <c r="J242" s="289">
        <v>0</v>
      </c>
      <c r="K242" s="289" t="s">
        <v>1657</v>
      </c>
      <c r="L242" s="289"/>
      <c r="M242" s="289"/>
      <c r="N242" s="293">
        <v>44270</v>
      </c>
      <c r="O242" s="293">
        <v>44270</v>
      </c>
      <c r="P242" s="289" t="s">
        <v>1658</v>
      </c>
      <c r="Q242" s="290">
        <v>300</v>
      </c>
      <c r="R242" s="290">
        <v>14110</v>
      </c>
      <c r="S242" s="291">
        <v>337.07</v>
      </c>
      <c r="T242" s="290">
        <v>14116</v>
      </c>
      <c r="U242" s="291">
        <v>159.16999999999999</v>
      </c>
      <c r="V242" s="291">
        <f t="shared" si="3"/>
        <v>177.9</v>
      </c>
      <c r="W242" s="292">
        <v>65.540000000000006</v>
      </c>
      <c r="X242" s="290">
        <v>70260</v>
      </c>
      <c r="Y242" s="291">
        <v>9.36</v>
      </c>
      <c r="Z242" s="289" t="s">
        <v>944</v>
      </c>
      <c r="AA242" s="289"/>
      <c r="AB242" s="289">
        <v>9361698</v>
      </c>
      <c r="AC242" s="289"/>
      <c r="AD242" s="289" t="s">
        <v>1446</v>
      </c>
      <c r="AE242" s="289" t="s">
        <v>410</v>
      </c>
      <c r="AF242" s="290" t="s">
        <v>1447</v>
      </c>
      <c r="AG242" s="289"/>
      <c r="AH242" s="290" t="s">
        <v>1448</v>
      </c>
      <c r="AI242" s="289">
        <v>0</v>
      </c>
      <c r="AJ242" s="289">
        <v>0</v>
      </c>
    </row>
    <row r="243" spans="2:36">
      <c r="B243" s="290">
        <v>2111</v>
      </c>
      <c r="C243" s="294">
        <v>249793</v>
      </c>
      <c r="D243" s="290" t="s">
        <v>944</v>
      </c>
      <c r="E243" s="289" t="s">
        <v>1155</v>
      </c>
      <c r="F243" s="290">
        <v>1</v>
      </c>
      <c r="G243" s="289"/>
      <c r="H243" s="289"/>
      <c r="I243" s="289"/>
      <c r="J243" s="289">
        <v>0</v>
      </c>
      <c r="K243" s="289" t="s">
        <v>1657</v>
      </c>
      <c r="L243" s="289"/>
      <c r="M243" s="289"/>
      <c r="N243" s="293">
        <v>44270</v>
      </c>
      <c r="O243" s="293">
        <v>44270</v>
      </c>
      <c r="P243" s="289" t="s">
        <v>1658</v>
      </c>
      <c r="Q243" s="290">
        <v>300</v>
      </c>
      <c r="R243" s="290">
        <v>14110</v>
      </c>
      <c r="S243" s="291">
        <v>337.07</v>
      </c>
      <c r="T243" s="290">
        <v>14116</v>
      </c>
      <c r="U243" s="291">
        <v>159.16999999999999</v>
      </c>
      <c r="V243" s="291">
        <f t="shared" si="3"/>
        <v>177.9</v>
      </c>
      <c r="W243" s="292">
        <v>65.540000000000006</v>
      </c>
      <c r="X243" s="290">
        <v>70260</v>
      </c>
      <c r="Y243" s="291">
        <v>9.36</v>
      </c>
      <c r="Z243" s="289" t="s">
        <v>944</v>
      </c>
      <c r="AA243" s="289"/>
      <c r="AB243" s="289">
        <v>9361698</v>
      </c>
      <c r="AC243" s="289"/>
      <c r="AD243" s="289" t="s">
        <v>1446</v>
      </c>
      <c r="AE243" s="289" t="s">
        <v>410</v>
      </c>
      <c r="AF243" s="290" t="s">
        <v>1447</v>
      </c>
      <c r="AG243" s="289"/>
      <c r="AH243" s="290" t="s">
        <v>1448</v>
      </c>
      <c r="AI243" s="289">
        <v>0</v>
      </c>
      <c r="AJ243" s="289">
        <v>0</v>
      </c>
    </row>
    <row r="244" spans="2:36">
      <c r="B244" s="290">
        <v>2111</v>
      </c>
      <c r="C244" s="294">
        <v>249792</v>
      </c>
      <c r="D244" s="290" t="s">
        <v>944</v>
      </c>
      <c r="E244" s="289" t="s">
        <v>1156</v>
      </c>
      <c r="F244" s="290">
        <v>1</v>
      </c>
      <c r="G244" s="289"/>
      <c r="H244" s="289"/>
      <c r="I244" s="289"/>
      <c r="J244" s="289">
        <v>0</v>
      </c>
      <c r="K244" s="289" t="s">
        <v>1657</v>
      </c>
      <c r="L244" s="289"/>
      <c r="M244" s="289"/>
      <c r="N244" s="293">
        <v>44270</v>
      </c>
      <c r="O244" s="293">
        <v>44270</v>
      </c>
      <c r="P244" s="289" t="s">
        <v>1658</v>
      </c>
      <c r="Q244" s="290">
        <v>300</v>
      </c>
      <c r="R244" s="290">
        <v>14110</v>
      </c>
      <c r="S244" s="291">
        <v>337.05</v>
      </c>
      <c r="T244" s="290">
        <v>14116</v>
      </c>
      <c r="U244" s="291">
        <v>159.16999999999999</v>
      </c>
      <c r="V244" s="291">
        <f t="shared" si="3"/>
        <v>177.88000000000002</v>
      </c>
      <c r="W244" s="292">
        <v>65.540000000000006</v>
      </c>
      <c r="X244" s="290">
        <v>70260</v>
      </c>
      <c r="Y244" s="291">
        <v>9.36</v>
      </c>
      <c r="Z244" s="289" t="s">
        <v>944</v>
      </c>
      <c r="AA244" s="289"/>
      <c r="AB244" s="289">
        <v>9361698</v>
      </c>
      <c r="AC244" s="289"/>
      <c r="AD244" s="289" t="s">
        <v>1446</v>
      </c>
      <c r="AE244" s="289" t="s">
        <v>410</v>
      </c>
      <c r="AF244" s="290" t="s">
        <v>1447</v>
      </c>
      <c r="AG244" s="289"/>
      <c r="AH244" s="290" t="s">
        <v>1448</v>
      </c>
      <c r="AI244" s="289">
        <v>0</v>
      </c>
      <c r="AJ244" s="289">
        <v>0</v>
      </c>
    </row>
    <row r="245" spans="2:36">
      <c r="B245" s="290">
        <v>2111</v>
      </c>
      <c r="C245" s="294">
        <v>249791</v>
      </c>
      <c r="D245" s="290" t="s">
        <v>944</v>
      </c>
      <c r="E245" s="289" t="s">
        <v>1157</v>
      </c>
      <c r="F245" s="290">
        <v>1</v>
      </c>
      <c r="G245" s="289"/>
      <c r="H245" s="289"/>
      <c r="I245" s="289"/>
      <c r="J245" s="289">
        <v>0</v>
      </c>
      <c r="K245" s="289" t="s">
        <v>1657</v>
      </c>
      <c r="L245" s="289"/>
      <c r="M245" s="289"/>
      <c r="N245" s="293">
        <v>44270</v>
      </c>
      <c r="O245" s="293">
        <v>44270</v>
      </c>
      <c r="P245" s="289" t="s">
        <v>1658</v>
      </c>
      <c r="Q245" s="290">
        <v>300</v>
      </c>
      <c r="R245" s="290">
        <v>14110</v>
      </c>
      <c r="S245" s="291">
        <v>337.05</v>
      </c>
      <c r="T245" s="290">
        <v>14116</v>
      </c>
      <c r="U245" s="291">
        <v>159.16999999999999</v>
      </c>
      <c r="V245" s="291">
        <f t="shared" si="3"/>
        <v>177.88000000000002</v>
      </c>
      <c r="W245" s="292">
        <v>65.540000000000006</v>
      </c>
      <c r="X245" s="290">
        <v>70260</v>
      </c>
      <c r="Y245" s="291">
        <v>9.36</v>
      </c>
      <c r="Z245" s="289" t="s">
        <v>944</v>
      </c>
      <c r="AA245" s="289"/>
      <c r="AB245" s="289">
        <v>9361698</v>
      </c>
      <c r="AC245" s="289"/>
      <c r="AD245" s="289" t="s">
        <v>1446</v>
      </c>
      <c r="AE245" s="289" t="s">
        <v>410</v>
      </c>
      <c r="AF245" s="290" t="s">
        <v>1447</v>
      </c>
      <c r="AG245" s="289"/>
      <c r="AH245" s="290" t="s">
        <v>1448</v>
      </c>
      <c r="AI245" s="289">
        <v>0</v>
      </c>
      <c r="AJ245" s="289">
        <v>0</v>
      </c>
    </row>
    <row r="246" spans="2:36">
      <c r="B246" s="290">
        <v>2111</v>
      </c>
      <c r="C246" s="294">
        <v>249790</v>
      </c>
      <c r="D246" s="290" t="s">
        <v>944</v>
      </c>
      <c r="E246" s="289" t="s">
        <v>1158</v>
      </c>
      <c r="F246" s="290">
        <v>1</v>
      </c>
      <c r="G246" s="289"/>
      <c r="H246" s="289"/>
      <c r="I246" s="289"/>
      <c r="J246" s="289">
        <v>0</v>
      </c>
      <c r="K246" s="289" t="s">
        <v>1657</v>
      </c>
      <c r="L246" s="289"/>
      <c r="M246" s="289"/>
      <c r="N246" s="293">
        <v>44270</v>
      </c>
      <c r="O246" s="293">
        <v>44270</v>
      </c>
      <c r="P246" s="289" t="s">
        <v>1658</v>
      </c>
      <c r="Q246" s="290">
        <v>300</v>
      </c>
      <c r="R246" s="290">
        <v>14110</v>
      </c>
      <c r="S246" s="291">
        <v>337.06</v>
      </c>
      <c r="T246" s="290">
        <v>14116</v>
      </c>
      <c r="U246" s="291">
        <v>159.16999999999999</v>
      </c>
      <c r="V246" s="291">
        <f t="shared" si="3"/>
        <v>177.89000000000001</v>
      </c>
      <c r="W246" s="292">
        <v>65.540000000000006</v>
      </c>
      <c r="X246" s="290">
        <v>70260</v>
      </c>
      <c r="Y246" s="291">
        <v>9.36</v>
      </c>
      <c r="Z246" s="289" t="s">
        <v>944</v>
      </c>
      <c r="AA246" s="289"/>
      <c r="AB246" s="289">
        <v>9361698</v>
      </c>
      <c r="AC246" s="289"/>
      <c r="AD246" s="289" t="s">
        <v>1446</v>
      </c>
      <c r="AE246" s="289" t="s">
        <v>410</v>
      </c>
      <c r="AF246" s="290" t="s">
        <v>1447</v>
      </c>
      <c r="AG246" s="289"/>
      <c r="AH246" s="290" t="s">
        <v>1448</v>
      </c>
      <c r="AI246" s="289">
        <v>0</v>
      </c>
      <c r="AJ246" s="289">
        <v>0</v>
      </c>
    </row>
    <row r="247" spans="2:36">
      <c r="B247" s="290">
        <v>2111</v>
      </c>
      <c r="C247" s="294">
        <v>249789</v>
      </c>
      <c r="D247" s="290" t="s">
        <v>944</v>
      </c>
      <c r="E247" s="289" t="s">
        <v>1159</v>
      </c>
      <c r="F247" s="290">
        <v>1</v>
      </c>
      <c r="G247" s="289"/>
      <c r="H247" s="289"/>
      <c r="I247" s="289"/>
      <c r="J247" s="289">
        <v>0</v>
      </c>
      <c r="K247" s="289" t="s">
        <v>1657</v>
      </c>
      <c r="L247" s="289"/>
      <c r="M247" s="289"/>
      <c r="N247" s="293">
        <v>44270</v>
      </c>
      <c r="O247" s="293">
        <v>44270</v>
      </c>
      <c r="P247" s="289" t="s">
        <v>1658</v>
      </c>
      <c r="Q247" s="290">
        <v>300</v>
      </c>
      <c r="R247" s="290">
        <v>14110</v>
      </c>
      <c r="S247" s="291">
        <v>337.06</v>
      </c>
      <c r="T247" s="290">
        <v>14116</v>
      </c>
      <c r="U247" s="291">
        <v>159.16999999999999</v>
      </c>
      <c r="V247" s="291">
        <f t="shared" si="3"/>
        <v>177.89000000000001</v>
      </c>
      <c r="W247" s="292">
        <v>65.540000000000006</v>
      </c>
      <c r="X247" s="290">
        <v>70260</v>
      </c>
      <c r="Y247" s="291">
        <v>9.36</v>
      </c>
      <c r="Z247" s="289" t="s">
        <v>944</v>
      </c>
      <c r="AA247" s="289"/>
      <c r="AB247" s="289">
        <v>9361698</v>
      </c>
      <c r="AC247" s="289"/>
      <c r="AD247" s="289" t="s">
        <v>1446</v>
      </c>
      <c r="AE247" s="289" t="s">
        <v>410</v>
      </c>
      <c r="AF247" s="290" t="s">
        <v>1447</v>
      </c>
      <c r="AG247" s="289"/>
      <c r="AH247" s="290" t="s">
        <v>1448</v>
      </c>
      <c r="AI247" s="289">
        <v>0</v>
      </c>
      <c r="AJ247" s="289">
        <v>0</v>
      </c>
    </row>
    <row r="248" spans="2:36">
      <c r="B248" s="290">
        <v>2111</v>
      </c>
      <c r="C248" s="294">
        <v>248094</v>
      </c>
      <c r="D248" s="290" t="s">
        <v>944</v>
      </c>
      <c r="E248" s="289" t="s">
        <v>697</v>
      </c>
      <c r="F248" s="290">
        <v>2</v>
      </c>
      <c r="G248" s="289"/>
      <c r="H248" s="289"/>
      <c r="I248" s="289"/>
      <c r="J248" s="289">
        <v>0</v>
      </c>
      <c r="K248" s="289"/>
      <c r="L248" s="289"/>
      <c r="M248" s="289" t="s">
        <v>1659</v>
      </c>
      <c r="N248" s="293">
        <v>44256</v>
      </c>
      <c r="O248" s="293">
        <v>44256</v>
      </c>
      <c r="P248" s="289"/>
      <c r="Q248" s="290">
        <v>0</v>
      </c>
      <c r="R248" s="290">
        <v>14050</v>
      </c>
      <c r="S248" s="291">
        <v>0</v>
      </c>
      <c r="T248" s="290">
        <v>14056</v>
      </c>
      <c r="U248" s="291">
        <v>0</v>
      </c>
      <c r="V248" s="291">
        <f t="shared" si="3"/>
        <v>0</v>
      </c>
      <c r="W248" s="292">
        <v>0</v>
      </c>
      <c r="X248" s="290">
        <v>54260</v>
      </c>
      <c r="Y248" s="291">
        <v>0</v>
      </c>
      <c r="Z248" s="289" t="s">
        <v>944</v>
      </c>
      <c r="AA248" s="289"/>
      <c r="AB248" s="289"/>
      <c r="AC248" s="289"/>
      <c r="AD248" s="289" t="s">
        <v>1446</v>
      </c>
      <c r="AE248" s="289" t="s">
        <v>410</v>
      </c>
      <c r="AF248" s="290" t="s">
        <v>1660</v>
      </c>
      <c r="AG248" s="289"/>
      <c r="AH248" s="290" t="s">
        <v>1448</v>
      </c>
      <c r="AI248" s="289">
        <v>0</v>
      </c>
      <c r="AJ248" s="289">
        <v>0</v>
      </c>
    </row>
    <row r="249" spans="2:36">
      <c r="B249" s="290">
        <v>2111</v>
      </c>
      <c r="C249" s="294">
        <v>248093</v>
      </c>
      <c r="D249" s="290" t="s">
        <v>944</v>
      </c>
      <c r="E249" s="289" t="s">
        <v>1661</v>
      </c>
      <c r="F249" s="290">
        <v>2</v>
      </c>
      <c r="G249" s="289"/>
      <c r="H249" s="289"/>
      <c r="I249" s="289"/>
      <c r="J249" s="289">
        <v>0</v>
      </c>
      <c r="K249" s="289"/>
      <c r="L249" s="289"/>
      <c r="M249" s="289" t="s">
        <v>1662</v>
      </c>
      <c r="N249" s="293">
        <v>44256</v>
      </c>
      <c r="O249" s="293">
        <v>44256</v>
      </c>
      <c r="P249" s="289"/>
      <c r="Q249" s="290">
        <v>0</v>
      </c>
      <c r="R249" s="290">
        <v>14050</v>
      </c>
      <c r="S249" s="291">
        <v>0</v>
      </c>
      <c r="T249" s="290">
        <v>14056</v>
      </c>
      <c r="U249" s="291">
        <v>0</v>
      </c>
      <c r="V249" s="291">
        <f t="shared" si="3"/>
        <v>0</v>
      </c>
      <c r="W249" s="292">
        <v>0</v>
      </c>
      <c r="X249" s="290">
        <v>54260</v>
      </c>
      <c r="Y249" s="291">
        <v>0</v>
      </c>
      <c r="Z249" s="289" t="s">
        <v>944</v>
      </c>
      <c r="AA249" s="289"/>
      <c r="AB249" s="289"/>
      <c r="AC249" s="289"/>
      <c r="AD249" s="289" t="s">
        <v>1446</v>
      </c>
      <c r="AE249" s="289" t="s">
        <v>410</v>
      </c>
      <c r="AF249" s="290" t="s">
        <v>1660</v>
      </c>
      <c r="AG249" s="289"/>
      <c r="AH249" s="290" t="s">
        <v>1448</v>
      </c>
      <c r="AI249" s="289">
        <v>0</v>
      </c>
      <c r="AJ249" s="289">
        <v>0</v>
      </c>
    </row>
    <row r="250" spans="2:36">
      <c r="B250" s="290">
        <v>2111</v>
      </c>
      <c r="C250" s="294">
        <v>248091</v>
      </c>
      <c r="D250" s="290" t="s">
        <v>944</v>
      </c>
      <c r="E250" s="289" t="s">
        <v>1663</v>
      </c>
      <c r="F250" s="290">
        <v>2</v>
      </c>
      <c r="G250" s="289"/>
      <c r="H250" s="289"/>
      <c r="I250" s="289"/>
      <c r="J250" s="289">
        <v>0</v>
      </c>
      <c r="K250" s="289"/>
      <c r="L250" s="289"/>
      <c r="M250" s="289" t="s">
        <v>1664</v>
      </c>
      <c r="N250" s="293">
        <v>44256</v>
      </c>
      <c r="O250" s="293">
        <v>44256</v>
      </c>
      <c r="P250" s="289"/>
      <c r="Q250" s="290">
        <v>0</v>
      </c>
      <c r="R250" s="290">
        <v>14050</v>
      </c>
      <c r="S250" s="291">
        <v>0</v>
      </c>
      <c r="T250" s="290">
        <v>14056</v>
      </c>
      <c r="U250" s="291">
        <v>0</v>
      </c>
      <c r="V250" s="291">
        <f t="shared" si="3"/>
        <v>0</v>
      </c>
      <c r="W250" s="292">
        <v>0</v>
      </c>
      <c r="X250" s="290">
        <v>54260</v>
      </c>
      <c r="Y250" s="291">
        <v>0</v>
      </c>
      <c r="Z250" s="289" t="s">
        <v>944</v>
      </c>
      <c r="AA250" s="289"/>
      <c r="AB250" s="289"/>
      <c r="AC250" s="289"/>
      <c r="AD250" s="289" t="s">
        <v>1446</v>
      </c>
      <c r="AE250" s="289" t="s">
        <v>410</v>
      </c>
      <c r="AF250" s="290" t="s">
        <v>1660</v>
      </c>
      <c r="AG250" s="289"/>
      <c r="AH250" s="290" t="s">
        <v>1448</v>
      </c>
      <c r="AI250" s="289">
        <v>0</v>
      </c>
      <c r="AJ250" s="289">
        <v>0</v>
      </c>
    </row>
    <row r="251" spans="2:36">
      <c r="B251" s="290">
        <v>2111</v>
      </c>
      <c r="C251" s="294">
        <v>248090</v>
      </c>
      <c r="D251" s="290" t="s">
        <v>944</v>
      </c>
      <c r="E251" s="289" t="s">
        <v>692</v>
      </c>
      <c r="F251" s="290">
        <v>6</v>
      </c>
      <c r="G251" s="289"/>
      <c r="H251" s="289"/>
      <c r="I251" s="289"/>
      <c r="J251" s="289">
        <v>0</v>
      </c>
      <c r="K251" s="289"/>
      <c r="L251" s="289"/>
      <c r="M251" s="289" t="s">
        <v>1665</v>
      </c>
      <c r="N251" s="293">
        <v>44256</v>
      </c>
      <c r="O251" s="293">
        <v>44256</v>
      </c>
      <c r="P251" s="289"/>
      <c r="Q251" s="290">
        <v>0</v>
      </c>
      <c r="R251" s="290">
        <v>14050</v>
      </c>
      <c r="S251" s="291">
        <v>0</v>
      </c>
      <c r="T251" s="290">
        <v>14056</v>
      </c>
      <c r="U251" s="291">
        <v>0</v>
      </c>
      <c r="V251" s="291">
        <f t="shared" si="3"/>
        <v>0</v>
      </c>
      <c r="W251" s="292">
        <v>0</v>
      </c>
      <c r="X251" s="290">
        <v>54260</v>
      </c>
      <c r="Y251" s="291">
        <v>0</v>
      </c>
      <c r="Z251" s="289" t="s">
        <v>944</v>
      </c>
      <c r="AA251" s="289"/>
      <c r="AB251" s="289"/>
      <c r="AC251" s="289"/>
      <c r="AD251" s="289" t="s">
        <v>1446</v>
      </c>
      <c r="AE251" s="289" t="s">
        <v>410</v>
      </c>
      <c r="AF251" s="290" t="s">
        <v>1660</v>
      </c>
      <c r="AG251" s="289"/>
      <c r="AH251" s="290" t="s">
        <v>1448</v>
      </c>
      <c r="AI251" s="289">
        <v>0</v>
      </c>
      <c r="AJ251" s="289">
        <v>0</v>
      </c>
    </row>
    <row r="252" spans="2:36">
      <c r="B252" s="290">
        <v>2111</v>
      </c>
      <c r="C252" s="294">
        <v>248089</v>
      </c>
      <c r="D252" s="290" t="s">
        <v>944</v>
      </c>
      <c r="E252" s="289" t="s">
        <v>1666</v>
      </c>
      <c r="F252" s="290">
        <v>1</v>
      </c>
      <c r="G252" s="289"/>
      <c r="H252" s="289"/>
      <c r="I252" s="289"/>
      <c r="J252" s="289">
        <v>0</v>
      </c>
      <c r="K252" s="289"/>
      <c r="L252" s="289"/>
      <c r="M252" s="289" t="s">
        <v>1667</v>
      </c>
      <c r="N252" s="293">
        <v>44256</v>
      </c>
      <c r="O252" s="293">
        <v>44256</v>
      </c>
      <c r="P252" s="289"/>
      <c r="Q252" s="290">
        <v>0</v>
      </c>
      <c r="R252" s="290">
        <v>14050</v>
      </c>
      <c r="S252" s="291">
        <v>0</v>
      </c>
      <c r="T252" s="290">
        <v>14056</v>
      </c>
      <c r="U252" s="291">
        <v>0</v>
      </c>
      <c r="V252" s="291">
        <f t="shared" si="3"/>
        <v>0</v>
      </c>
      <c r="W252" s="292">
        <v>0</v>
      </c>
      <c r="X252" s="290">
        <v>54260</v>
      </c>
      <c r="Y252" s="291">
        <v>0</v>
      </c>
      <c r="Z252" s="289" t="s">
        <v>944</v>
      </c>
      <c r="AA252" s="289"/>
      <c r="AB252" s="289"/>
      <c r="AC252" s="289"/>
      <c r="AD252" s="289" t="s">
        <v>1446</v>
      </c>
      <c r="AE252" s="289" t="s">
        <v>410</v>
      </c>
      <c r="AF252" s="290" t="s">
        <v>1660</v>
      </c>
      <c r="AG252" s="289"/>
      <c r="AH252" s="290" t="s">
        <v>1448</v>
      </c>
      <c r="AI252" s="289">
        <v>0</v>
      </c>
      <c r="AJ252" s="289">
        <v>0</v>
      </c>
    </row>
    <row r="253" spans="2:36">
      <c r="B253" s="290">
        <v>2111</v>
      </c>
      <c r="C253" s="294">
        <v>248011</v>
      </c>
      <c r="D253" s="290" t="s">
        <v>944</v>
      </c>
      <c r="E253" s="289" t="s">
        <v>697</v>
      </c>
      <c r="F253" s="290">
        <v>2</v>
      </c>
      <c r="G253" s="289"/>
      <c r="H253" s="289"/>
      <c r="I253" s="289"/>
      <c r="J253" s="289">
        <v>0</v>
      </c>
      <c r="K253" s="289"/>
      <c r="L253" s="289"/>
      <c r="M253" s="289" t="s">
        <v>1659</v>
      </c>
      <c r="N253" s="293">
        <v>44256</v>
      </c>
      <c r="O253" s="293">
        <v>44256</v>
      </c>
      <c r="P253" s="289" t="s">
        <v>1668</v>
      </c>
      <c r="Q253" s="290">
        <v>0</v>
      </c>
      <c r="R253" s="290">
        <v>14050</v>
      </c>
      <c r="S253" s="291">
        <v>0</v>
      </c>
      <c r="T253" s="290">
        <v>14056</v>
      </c>
      <c r="U253" s="291">
        <v>0</v>
      </c>
      <c r="V253" s="291">
        <f t="shared" si="3"/>
        <v>0</v>
      </c>
      <c r="W253" s="292">
        <v>0</v>
      </c>
      <c r="X253" s="290">
        <v>54260</v>
      </c>
      <c r="Y253" s="291">
        <v>0</v>
      </c>
      <c r="Z253" s="289" t="s">
        <v>944</v>
      </c>
      <c r="AA253" s="289"/>
      <c r="AB253" s="289"/>
      <c r="AC253" s="289"/>
      <c r="AD253" s="289" t="s">
        <v>1446</v>
      </c>
      <c r="AE253" s="289" t="s">
        <v>410</v>
      </c>
      <c r="AF253" s="290" t="s">
        <v>1660</v>
      </c>
      <c r="AG253" s="289"/>
      <c r="AH253" s="290" t="s">
        <v>1448</v>
      </c>
      <c r="AI253" s="289">
        <v>0</v>
      </c>
      <c r="AJ253" s="289">
        <v>0</v>
      </c>
    </row>
    <row r="254" spans="2:36">
      <c r="B254" s="290">
        <v>2111</v>
      </c>
      <c r="C254" s="294">
        <v>248010</v>
      </c>
      <c r="D254" s="290" t="s">
        <v>944</v>
      </c>
      <c r="E254" s="289" t="s">
        <v>1661</v>
      </c>
      <c r="F254" s="290">
        <v>2</v>
      </c>
      <c r="G254" s="289"/>
      <c r="H254" s="289"/>
      <c r="I254" s="289"/>
      <c r="J254" s="289">
        <v>0</v>
      </c>
      <c r="K254" s="289"/>
      <c r="L254" s="289"/>
      <c r="M254" s="289" t="s">
        <v>1662</v>
      </c>
      <c r="N254" s="293">
        <v>44256</v>
      </c>
      <c r="O254" s="293">
        <v>44256</v>
      </c>
      <c r="P254" s="289"/>
      <c r="Q254" s="290">
        <v>0</v>
      </c>
      <c r="R254" s="290">
        <v>14050</v>
      </c>
      <c r="S254" s="291">
        <v>0</v>
      </c>
      <c r="T254" s="290">
        <v>14056</v>
      </c>
      <c r="U254" s="291">
        <v>0</v>
      </c>
      <c r="V254" s="291">
        <f t="shared" si="3"/>
        <v>0</v>
      </c>
      <c r="W254" s="292">
        <v>0</v>
      </c>
      <c r="X254" s="290">
        <v>54260</v>
      </c>
      <c r="Y254" s="291">
        <v>0</v>
      </c>
      <c r="Z254" s="289" t="s">
        <v>944</v>
      </c>
      <c r="AA254" s="289"/>
      <c r="AB254" s="289"/>
      <c r="AC254" s="289"/>
      <c r="AD254" s="289" t="s">
        <v>1446</v>
      </c>
      <c r="AE254" s="289" t="s">
        <v>410</v>
      </c>
      <c r="AF254" s="290" t="s">
        <v>1660</v>
      </c>
      <c r="AG254" s="289"/>
      <c r="AH254" s="290" t="s">
        <v>1448</v>
      </c>
      <c r="AI254" s="289">
        <v>0</v>
      </c>
      <c r="AJ254" s="289">
        <v>0</v>
      </c>
    </row>
    <row r="255" spans="2:36">
      <c r="B255" s="290">
        <v>2111</v>
      </c>
      <c r="C255" s="294">
        <v>248009</v>
      </c>
      <c r="D255" s="290" t="s">
        <v>944</v>
      </c>
      <c r="E255" s="289" t="s">
        <v>1669</v>
      </c>
      <c r="F255" s="290">
        <v>4</v>
      </c>
      <c r="G255" s="289"/>
      <c r="H255" s="289"/>
      <c r="I255" s="289"/>
      <c r="J255" s="289">
        <v>0</v>
      </c>
      <c r="K255" s="289"/>
      <c r="L255" s="289"/>
      <c r="M255" s="289" t="s">
        <v>1670</v>
      </c>
      <c r="N255" s="293">
        <v>44256</v>
      </c>
      <c r="O255" s="293">
        <v>44256</v>
      </c>
      <c r="P255" s="289"/>
      <c r="Q255" s="290">
        <v>0</v>
      </c>
      <c r="R255" s="290">
        <v>14050</v>
      </c>
      <c r="S255" s="291">
        <v>0</v>
      </c>
      <c r="T255" s="290">
        <v>14056</v>
      </c>
      <c r="U255" s="291">
        <v>0</v>
      </c>
      <c r="V255" s="291">
        <f t="shared" si="3"/>
        <v>0</v>
      </c>
      <c r="W255" s="292">
        <v>0</v>
      </c>
      <c r="X255" s="290">
        <v>54260</v>
      </c>
      <c r="Y255" s="291">
        <v>0</v>
      </c>
      <c r="Z255" s="289" t="s">
        <v>944</v>
      </c>
      <c r="AA255" s="289"/>
      <c r="AB255" s="289"/>
      <c r="AC255" s="289"/>
      <c r="AD255" s="289" t="s">
        <v>1446</v>
      </c>
      <c r="AE255" s="289" t="s">
        <v>410</v>
      </c>
      <c r="AF255" s="290" t="s">
        <v>1660</v>
      </c>
      <c r="AG255" s="289"/>
      <c r="AH255" s="290" t="s">
        <v>1448</v>
      </c>
      <c r="AI255" s="289">
        <v>0</v>
      </c>
      <c r="AJ255" s="289">
        <v>0</v>
      </c>
    </row>
    <row r="256" spans="2:36">
      <c r="B256" s="290">
        <v>2111</v>
      </c>
      <c r="C256" s="294">
        <v>248008</v>
      </c>
      <c r="D256" s="290" t="s">
        <v>944</v>
      </c>
      <c r="E256" s="289" t="s">
        <v>1663</v>
      </c>
      <c r="F256" s="290">
        <v>2</v>
      </c>
      <c r="G256" s="289"/>
      <c r="H256" s="289"/>
      <c r="I256" s="289"/>
      <c r="J256" s="289">
        <v>0</v>
      </c>
      <c r="K256" s="289"/>
      <c r="L256" s="289"/>
      <c r="M256" s="289" t="s">
        <v>1664</v>
      </c>
      <c r="N256" s="293">
        <v>44256</v>
      </c>
      <c r="O256" s="293">
        <v>44256</v>
      </c>
      <c r="P256" s="289"/>
      <c r="Q256" s="290">
        <v>0</v>
      </c>
      <c r="R256" s="290">
        <v>14050</v>
      </c>
      <c r="S256" s="291">
        <v>0</v>
      </c>
      <c r="T256" s="290">
        <v>14056</v>
      </c>
      <c r="U256" s="291">
        <v>0</v>
      </c>
      <c r="V256" s="291">
        <f t="shared" si="3"/>
        <v>0</v>
      </c>
      <c r="W256" s="292">
        <v>0</v>
      </c>
      <c r="X256" s="290">
        <v>54260</v>
      </c>
      <c r="Y256" s="291">
        <v>0</v>
      </c>
      <c r="Z256" s="289" t="s">
        <v>944</v>
      </c>
      <c r="AA256" s="289"/>
      <c r="AB256" s="289"/>
      <c r="AC256" s="289"/>
      <c r="AD256" s="289" t="s">
        <v>1446</v>
      </c>
      <c r="AE256" s="289" t="s">
        <v>410</v>
      </c>
      <c r="AF256" s="290" t="s">
        <v>1660</v>
      </c>
      <c r="AG256" s="289"/>
      <c r="AH256" s="290" t="s">
        <v>1448</v>
      </c>
      <c r="AI256" s="289">
        <v>0</v>
      </c>
      <c r="AJ256" s="289">
        <v>0</v>
      </c>
    </row>
    <row r="257" spans="2:36">
      <c r="B257" s="290">
        <v>2111</v>
      </c>
      <c r="C257" s="294">
        <v>248007</v>
      </c>
      <c r="D257" s="290" t="s">
        <v>944</v>
      </c>
      <c r="E257" s="289" t="s">
        <v>692</v>
      </c>
      <c r="F257" s="290">
        <v>6</v>
      </c>
      <c r="G257" s="289"/>
      <c r="H257" s="289"/>
      <c r="I257" s="289"/>
      <c r="J257" s="289">
        <v>0</v>
      </c>
      <c r="K257" s="289"/>
      <c r="L257" s="289"/>
      <c r="M257" s="289" t="s">
        <v>1665</v>
      </c>
      <c r="N257" s="293">
        <v>44256</v>
      </c>
      <c r="O257" s="293">
        <v>44256</v>
      </c>
      <c r="P257" s="289" t="s">
        <v>1671</v>
      </c>
      <c r="Q257" s="290">
        <v>0</v>
      </c>
      <c r="R257" s="290">
        <v>14050</v>
      </c>
      <c r="S257" s="291">
        <v>0</v>
      </c>
      <c r="T257" s="290">
        <v>14056</v>
      </c>
      <c r="U257" s="291">
        <v>0</v>
      </c>
      <c r="V257" s="291">
        <f t="shared" si="3"/>
        <v>0</v>
      </c>
      <c r="W257" s="292">
        <v>0</v>
      </c>
      <c r="X257" s="290">
        <v>54260</v>
      </c>
      <c r="Y257" s="291">
        <v>0</v>
      </c>
      <c r="Z257" s="289" t="s">
        <v>944</v>
      </c>
      <c r="AA257" s="289"/>
      <c r="AB257" s="289"/>
      <c r="AC257" s="289"/>
      <c r="AD257" s="289" t="s">
        <v>1446</v>
      </c>
      <c r="AE257" s="289" t="s">
        <v>410</v>
      </c>
      <c r="AF257" s="290" t="s">
        <v>1660</v>
      </c>
      <c r="AG257" s="289"/>
      <c r="AH257" s="290" t="s">
        <v>1448</v>
      </c>
      <c r="AI257" s="289">
        <v>0</v>
      </c>
      <c r="AJ257" s="289">
        <v>0</v>
      </c>
    </row>
    <row r="258" spans="2:36">
      <c r="B258" s="290">
        <v>2111</v>
      </c>
      <c r="C258" s="294">
        <v>248006</v>
      </c>
      <c r="D258" s="290" t="s">
        <v>944</v>
      </c>
      <c r="E258" s="289" t="s">
        <v>1666</v>
      </c>
      <c r="F258" s="290">
        <v>1</v>
      </c>
      <c r="G258" s="289"/>
      <c r="H258" s="289"/>
      <c r="I258" s="289"/>
      <c r="J258" s="289">
        <v>0</v>
      </c>
      <c r="K258" s="289"/>
      <c r="L258" s="289"/>
      <c r="M258" s="289" t="s">
        <v>1667</v>
      </c>
      <c r="N258" s="293">
        <v>44256</v>
      </c>
      <c r="O258" s="293">
        <v>44256</v>
      </c>
      <c r="P258" s="289"/>
      <c r="Q258" s="290">
        <v>0</v>
      </c>
      <c r="R258" s="290">
        <v>14050</v>
      </c>
      <c r="S258" s="291">
        <v>0</v>
      </c>
      <c r="T258" s="290">
        <v>14056</v>
      </c>
      <c r="U258" s="291">
        <v>0</v>
      </c>
      <c r="V258" s="291">
        <f t="shared" si="3"/>
        <v>0</v>
      </c>
      <c r="W258" s="292">
        <v>0</v>
      </c>
      <c r="X258" s="290">
        <v>54260</v>
      </c>
      <c r="Y258" s="291">
        <v>0</v>
      </c>
      <c r="Z258" s="289" t="s">
        <v>944</v>
      </c>
      <c r="AA258" s="289"/>
      <c r="AB258" s="289"/>
      <c r="AC258" s="289"/>
      <c r="AD258" s="289" t="s">
        <v>1446</v>
      </c>
      <c r="AE258" s="289" t="s">
        <v>410</v>
      </c>
      <c r="AF258" s="290" t="s">
        <v>1660</v>
      </c>
      <c r="AG258" s="289"/>
      <c r="AH258" s="290" t="s">
        <v>1448</v>
      </c>
      <c r="AI258" s="289">
        <v>0</v>
      </c>
      <c r="AJ258" s="289">
        <v>0</v>
      </c>
    </row>
    <row r="259" spans="2:36">
      <c r="B259" s="290">
        <v>2111</v>
      </c>
      <c r="C259" s="294">
        <v>247906</v>
      </c>
      <c r="D259" s="290" t="s">
        <v>944</v>
      </c>
      <c r="E259" s="289" t="s">
        <v>1136</v>
      </c>
      <c r="F259" s="290">
        <v>702</v>
      </c>
      <c r="G259" s="289"/>
      <c r="H259" s="289"/>
      <c r="I259" s="289"/>
      <c r="J259" s="289">
        <v>0</v>
      </c>
      <c r="K259" s="289" t="s">
        <v>1462</v>
      </c>
      <c r="L259" s="289"/>
      <c r="M259" s="289" t="s">
        <v>1463</v>
      </c>
      <c r="N259" s="293">
        <v>44242</v>
      </c>
      <c r="O259" s="293">
        <v>44242</v>
      </c>
      <c r="P259" s="289" t="s">
        <v>1639</v>
      </c>
      <c r="Q259" s="290">
        <v>700</v>
      </c>
      <c r="R259" s="290">
        <v>14050</v>
      </c>
      <c r="S259" s="291">
        <v>33598.730000000003</v>
      </c>
      <c r="T259" s="290">
        <v>14056</v>
      </c>
      <c r="U259" s="291">
        <v>7199.73</v>
      </c>
      <c r="V259" s="291">
        <f t="shared" si="3"/>
        <v>26399.000000000004</v>
      </c>
      <c r="W259" s="292">
        <v>2799.9</v>
      </c>
      <c r="X259" s="290">
        <v>54260</v>
      </c>
      <c r="Y259" s="291">
        <v>399.99</v>
      </c>
      <c r="Z259" s="289" t="s">
        <v>944</v>
      </c>
      <c r="AA259" s="289"/>
      <c r="AB259" s="289">
        <v>50152000</v>
      </c>
      <c r="AC259" s="289"/>
      <c r="AD259" s="289" t="s">
        <v>1446</v>
      </c>
      <c r="AE259" s="289" t="s">
        <v>410</v>
      </c>
      <c r="AF259" s="290" t="s">
        <v>1447</v>
      </c>
      <c r="AG259" s="289"/>
      <c r="AH259" s="290" t="s">
        <v>1448</v>
      </c>
      <c r="AI259" s="289">
        <v>0</v>
      </c>
      <c r="AJ259" s="289">
        <v>0</v>
      </c>
    </row>
    <row r="260" spans="2:36">
      <c r="B260" s="290">
        <v>2111</v>
      </c>
      <c r="C260" s="294">
        <v>247905</v>
      </c>
      <c r="D260" s="290" t="s">
        <v>944</v>
      </c>
      <c r="E260" s="289" t="s">
        <v>1134</v>
      </c>
      <c r="F260" s="290">
        <v>936</v>
      </c>
      <c r="G260" s="289"/>
      <c r="H260" s="289"/>
      <c r="I260" s="289"/>
      <c r="J260" s="289">
        <v>0</v>
      </c>
      <c r="K260" s="289" t="s">
        <v>1462</v>
      </c>
      <c r="L260" s="289"/>
      <c r="M260" s="289" t="s">
        <v>1463</v>
      </c>
      <c r="N260" s="293">
        <v>44239</v>
      </c>
      <c r="O260" s="293">
        <v>44239</v>
      </c>
      <c r="P260" s="289" t="s">
        <v>1639</v>
      </c>
      <c r="Q260" s="290">
        <v>700</v>
      </c>
      <c r="R260" s="290">
        <v>14050</v>
      </c>
      <c r="S260" s="291">
        <v>39655</v>
      </c>
      <c r="T260" s="290">
        <v>14056</v>
      </c>
      <c r="U260" s="291">
        <v>8497.5</v>
      </c>
      <c r="V260" s="291">
        <f t="shared" si="3"/>
        <v>31157.5</v>
      </c>
      <c r="W260" s="292">
        <v>3304.58</v>
      </c>
      <c r="X260" s="290">
        <v>54260</v>
      </c>
      <c r="Y260" s="291">
        <v>472.08</v>
      </c>
      <c r="Z260" s="289" t="s">
        <v>944</v>
      </c>
      <c r="AA260" s="289"/>
      <c r="AB260" s="289">
        <v>50149674</v>
      </c>
      <c r="AC260" s="289"/>
      <c r="AD260" s="289" t="s">
        <v>1446</v>
      </c>
      <c r="AE260" s="289" t="s">
        <v>410</v>
      </c>
      <c r="AF260" s="290" t="s">
        <v>1447</v>
      </c>
      <c r="AG260" s="289"/>
      <c r="AH260" s="290" t="s">
        <v>1448</v>
      </c>
      <c r="AI260" s="289">
        <v>0</v>
      </c>
      <c r="AJ260" s="289">
        <v>0</v>
      </c>
    </row>
    <row r="261" spans="2:36">
      <c r="B261" s="290">
        <v>2111</v>
      </c>
      <c r="C261" s="294">
        <v>247904</v>
      </c>
      <c r="D261" s="290" t="s">
        <v>944</v>
      </c>
      <c r="E261" s="289" t="s">
        <v>1149</v>
      </c>
      <c r="F261" s="290">
        <v>702</v>
      </c>
      <c r="G261" s="289"/>
      <c r="H261" s="289"/>
      <c r="I261" s="289"/>
      <c r="J261" s="289">
        <v>0</v>
      </c>
      <c r="K261" s="289" t="s">
        <v>1462</v>
      </c>
      <c r="L261" s="289"/>
      <c r="M261" s="289" t="s">
        <v>1463</v>
      </c>
      <c r="N261" s="293">
        <v>44239</v>
      </c>
      <c r="O261" s="293">
        <v>44239</v>
      </c>
      <c r="P261" s="289" t="s">
        <v>1639</v>
      </c>
      <c r="Q261" s="290">
        <v>700</v>
      </c>
      <c r="R261" s="290">
        <v>14050</v>
      </c>
      <c r="S261" s="291">
        <v>33598.74</v>
      </c>
      <c r="T261" s="290">
        <v>14056</v>
      </c>
      <c r="U261" s="291">
        <v>7199.74</v>
      </c>
      <c r="V261" s="291">
        <f t="shared" si="3"/>
        <v>26399</v>
      </c>
      <c r="W261" s="292">
        <v>2799.9</v>
      </c>
      <c r="X261" s="290">
        <v>54260</v>
      </c>
      <c r="Y261" s="291">
        <v>399.99</v>
      </c>
      <c r="Z261" s="289" t="s">
        <v>944</v>
      </c>
      <c r="AA261" s="289"/>
      <c r="AB261" s="289">
        <v>50151559</v>
      </c>
      <c r="AC261" s="289"/>
      <c r="AD261" s="289" t="s">
        <v>1446</v>
      </c>
      <c r="AE261" s="289" t="s">
        <v>410</v>
      </c>
      <c r="AF261" s="290" t="s">
        <v>1447</v>
      </c>
      <c r="AG261" s="289"/>
      <c r="AH261" s="290" t="s">
        <v>1448</v>
      </c>
      <c r="AI261" s="289">
        <v>0</v>
      </c>
      <c r="AJ261" s="289">
        <v>0</v>
      </c>
    </row>
    <row r="262" spans="2:36">
      <c r="B262" s="290">
        <v>2111</v>
      </c>
      <c r="C262" s="294">
        <v>247903</v>
      </c>
      <c r="D262" s="290" t="s">
        <v>944</v>
      </c>
      <c r="E262" s="289" t="s">
        <v>1145</v>
      </c>
      <c r="F262" s="290">
        <v>10</v>
      </c>
      <c r="G262" s="289"/>
      <c r="H262" s="289"/>
      <c r="I262" s="289"/>
      <c r="J262" s="289">
        <v>0</v>
      </c>
      <c r="K262" s="289" t="s">
        <v>1537</v>
      </c>
      <c r="L262" s="289"/>
      <c r="M262" s="289" t="s">
        <v>1662</v>
      </c>
      <c r="N262" s="293">
        <v>44245</v>
      </c>
      <c r="O262" s="293">
        <v>44245</v>
      </c>
      <c r="P262" s="289" t="s">
        <v>1672</v>
      </c>
      <c r="Q262" s="290">
        <v>1200</v>
      </c>
      <c r="R262" s="290">
        <v>14050</v>
      </c>
      <c r="S262" s="291">
        <v>12351.66</v>
      </c>
      <c r="T262" s="290">
        <v>14056</v>
      </c>
      <c r="U262" s="291">
        <v>1458.19</v>
      </c>
      <c r="V262" s="291">
        <f t="shared" si="3"/>
        <v>10893.47</v>
      </c>
      <c r="W262" s="292">
        <v>600.42999999999995</v>
      </c>
      <c r="X262" s="290">
        <v>54260</v>
      </c>
      <c r="Y262" s="291">
        <v>85.77</v>
      </c>
      <c r="Z262" s="289" t="s">
        <v>944</v>
      </c>
      <c r="AA262" s="289"/>
      <c r="AB262" s="289" t="s">
        <v>1673</v>
      </c>
      <c r="AC262" s="289"/>
      <c r="AD262" s="289" t="s">
        <v>1446</v>
      </c>
      <c r="AE262" s="289" t="s">
        <v>410</v>
      </c>
      <c r="AF262" s="290" t="s">
        <v>1447</v>
      </c>
      <c r="AG262" s="289"/>
      <c r="AH262" s="290" t="s">
        <v>1448</v>
      </c>
      <c r="AI262" s="289">
        <v>0</v>
      </c>
      <c r="AJ262" s="289">
        <v>0</v>
      </c>
    </row>
    <row r="263" spans="2:36">
      <c r="B263" s="290">
        <v>2111</v>
      </c>
      <c r="C263" s="294">
        <v>247902</v>
      </c>
      <c r="D263" s="290" t="s">
        <v>944</v>
      </c>
      <c r="E263" s="289" t="s">
        <v>1146</v>
      </c>
      <c r="F263" s="290">
        <v>5</v>
      </c>
      <c r="G263" s="289"/>
      <c r="H263" s="289"/>
      <c r="I263" s="289"/>
      <c r="J263" s="289">
        <v>0</v>
      </c>
      <c r="K263" s="289" t="s">
        <v>1537</v>
      </c>
      <c r="L263" s="289"/>
      <c r="M263" s="289" t="s">
        <v>1664</v>
      </c>
      <c r="N263" s="293">
        <v>44245</v>
      </c>
      <c r="O263" s="293">
        <v>44245</v>
      </c>
      <c r="P263" s="289" t="s">
        <v>1672</v>
      </c>
      <c r="Q263" s="290">
        <v>1200</v>
      </c>
      <c r="R263" s="290">
        <v>14050</v>
      </c>
      <c r="S263" s="291">
        <v>4477.87</v>
      </c>
      <c r="T263" s="290">
        <v>14056</v>
      </c>
      <c r="U263" s="291">
        <v>528.64</v>
      </c>
      <c r="V263" s="291">
        <f t="shared" si="3"/>
        <v>3949.23</v>
      </c>
      <c r="W263" s="292">
        <v>217.68</v>
      </c>
      <c r="X263" s="290">
        <v>54260</v>
      </c>
      <c r="Y263" s="291">
        <v>31.1</v>
      </c>
      <c r="Z263" s="289" t="s">
        <v>944</v>
      </c>
      <c r="AA263" s="289"/>
      <c r="AB263" s="289" t="s">
        <v>1673</v>
      </c>
      <c r="AC263" s="289"/>
      <c r="AD263" s="289" t="s">
        <v>1446</v>
      </c>
      <c r="AE263" s="289" t="s">
        <v>410</v>
      </c>
      <c r="AF263" s="290" t="s">
        <v>1447</v>
      </c>
      <c r="AG263" s="289"/>
      <c r="AH263" s="290" t="s">
        <v>1448</v>
      </c>
      <c r="AI263" s="289">
        <v>0</v>
      </c>
      <c r="AJ263" s="289">
        <v>0</v>
      </c>
    </row>
    <row r="264" spans="2:36">
      <c r="B264" s="290">
        <v>2111</v>
      </c>
      <c r="C264" s="294">
        <v>247901</v>
      </c>
      <c r="D264" s="290" t="s">
        <v>944</v>
      </c>
      <c r="E264" s="289" t="s">
        <v>1147</v>
      </c>
      <c r="F264" s="290">
        <v>20</v>
      </c>
      <c r="G264" s="289"/>
      <c r="H264" s="289"/>
      <c r="I264" s="289"/>
      <c r="J264" s="289">
        <v>0</v>
      </c>
      <c r="K264" s="289" t="s">
        <v>1537</v>
      </c>
      <c r="L264" s="289"/>
      <c r="M264" s="289" t="s">
        <v>1659</v>
      </c>
      <c r="N264" s="293">
        <v>44245</v>
      </c>
      <c r="O264" s="293">
        <v>44245</v>
      </c>
      <c r="P264" s="289" t="s">
        <v>1672</v>
      </c>
      <c r="Q264" s="290">
        <v>1200</v>
      </c>
      <c r="R264" s="290">
        <v>14050</v>
      </c>
      <c r="S264" s="291">
        <v>14636.48</v>
      </c>
      <c r="T264" s="290">
        <v>14056</v>
      </c>
      <c r="U264" s="291">
        <v>1727.92</v>
      </c>
      <c r="V264" s="291">
        <f t="shared" si="3"/>
        <v>12908.56</v>
      </c>
      <c r="W264" s="292">
        <v>711.5</v>
      </c>
      <c r="X264" s="290">
        <v>54260</v>
      </c>
      <c r="Y264" s="291">
        <v>101.64</v>
      </c>
      <c r="Z264" s="289" t="s">
        <v>944</v>
      </c>
      <c r="AA264" s="289"/>
      <c r="AB264" s="289" t="s">
        <v>1673</v>
      </c>
      <c r="AC264" s="289"/>
      <c r="AD264" s="289" t="s">
        <v>1446</v>
      </c>
      <c r="AE264" s="289" t="s">
        <v>410</v>
      </c>
      <c r="AF264" s="290" t="s">
        <v>1447</v>
      </c>
      <c r="AG264" s="289"/>
      <c r="AH264" s="290" t="s">
        <v>1448</v>
      </c>
      <c r="AI264" s="289">
        <v>0</v>
      </c>
      <c r="AJ264" s="289">
        <v>0</v>
      </c>
    </row>
    <row r="265" spans="2:36">
      <c r="B265" s="290">
        <v>2111</v>
      </c>
      <c r="C265" s="294">
        <v>247900</v>
      </c>
      <c r="D265" s="290" t="s">
        <v>944</v>
      </c>
      <c r="E265" s="289" t="s">
        <v>1148</v>
      </c>
      <c r="F265" s="290">
        <v>45</v>
      </c>
      <c r="G265" s="289"/>
      <c r="H265" s="289"/>
      <c r="I265" s="289"/>
      <c r="J265" s="289">
        <v>0</v>
      </c>
      <c r="K265" s="289" t="s">
        <v>1537</v>
      </c>
      <c r="L265" s="289"/>
      <c r="M265" s="289" t="s">
        <v>1659</v>
      </c>
      <c r="N265" s="293">
        <v>44245</v>
      </c>
      <c r="O265" s="293">
        <v>44245</v>
      </c>
      <c r="P265" s="289" t="s">
        <v>1672</v>
      </c>
      <c r="Q265" s="290">
        <v>1200</v>
      </c>
      <c r="R265" s="290">
        <v>14050</v>
      </c>
      <c r="S265" s="291">
        <v>32734.26</v>
      </c>
      <c r="T265" s="290">
        <v>14056</v>
      </c>
      <c r="U265" s="291">
        <v>3864.46</v>
      </c>
      <c r="V265" s="291">
        <f t="shared" si="3"/>
        <v>28869.8</v>
      </c>
      <c r="W265" s="292">
        <v>1591.25</v>
      </c>
      <c r="X265" s="290">
        <v>54260</v>
      </c>
      <c r="Y265" s="291">
        <v>227.32</v>
      </c>
      <c r="Z265" s="289" t="s">
        <v>944</v>
      </c>
      <c r="AA265" s="289"/>
      <c r="AB265" s="289" t="s">
        <v>1673</v>
      </c>
      <c r="AC265" s="289"/>
      <c r="AD265" s="289" t="s">
        <v>1446</v>
      </c>
      <c r="AE265" s="289" t="s">
        <v>410</v>
      </c>
      <c r="AF265" s="290" t="s">
        <v>1447</v>
      </c>
      <c r="AG265" s="289"/>
      <c r="AH265" s="290" t="s">
        <v>1448</v>
      </c>
      <c r="AI265" s="289">
        <v>0</v>
      </c>
      <c r="AJ265" s="289">
        <v>0</v>
      </c>
    </row>
    <row r="266" spans="2:36">
      <c r="B266" s="290">
        <v>2111</v>
      </c>
      <c r="C266" s="294">
        <v>247899</v>
      </c>
      <c r="D266" s="290" t="s">
        <v>944</v>
      </c>
      <c r="E266" s="289" t="s">
        <v>1144</v>
      </c>
      <c r="F266" s="290">
        <v>30</v>
      </c>
      <c r="G266" s="289"/>
      <c r="H266" s="289"/>
      <c r="I266" s="289"/>
      <c r="J266" s="289">
        <v>0</v>
      </c>
      <c r="K266" s="289" t="s">
        <v>1537</v>
      </c>
      <c r="L266" s="289"/>
      <c r="M266" s="289" t="s">
        <v>1659</v>
      </c>
      <c r="N266" s="293">
        <v>44245</v>
      </c>
      <c r="O266" s="293">
        <v>44245</v>
      </c>
      <c r="P266" s="289" t="s">
        <v>1672</v>
      </c>
      <c r="Q266" s="290">
        <v>1200</v>
      </c>
      <c r="R266" s="290">
        <v>14050</v>
      </c>
      <c r="S266" s="291">
        <v>20538.12</v>
      </c>
      <c r="T266" s="290">
        <v>14056</v>
      </c>
      <c r="U266" s="291">
        <v>2424.64</v>
      </c>
      <c r="V266" s="291">
        <f t="shared" si="3"/>
        <v>18113.48</v>
      </c>
      <c r="W266" s="292">
        <v>998.38</v>
      </c>
      <c r="X266" s="290">
        <v>54260</v>
      </c>
      <c r="Y266" s="291">
        <v>142.62</v>
      </c>
      <c r="Z266" s="289" t="s">
        <v>944</v>
      </c>
      <c r="AA266" s="289"/>
      <c r="AB266" s="289" t="s">
        <v>1673</v>
      </c>
      <c r="AC266" s="289"/>
      <c r="AD266" s="289" t="s">
        <v>1446</v>
      </c>
      <c r="AE266" s="289" t="s">
        <v>410</v>
      </c>
      <c r="AF266" s="290" t="s">
        <v>1447</v>
      </c>
      <c r="AG266" s="289"/>
      <c r="AH266" s="290" t="s">
        <v>1448</v>
      </c>
      <c r="AI266" s="289">
        <v>0</v>
      </c>
      <c r="AJ266" s="289">
        <v>0</v>
      </c>
    </row>
    <row r="267" spans="2:36">
      <c r="B267" s="290">
        <v>2111</v>
      </c>
      <c r="C267" s="294">
        <v>247838</v>
      </c>
      <c r="D267" s="290">
        <v>241232</v>
      </c>
      <c r="E267" s="289" t="s">
        <v>1674</v>
      </c>
      <c r="F267" s="290"/>
      <c r="G267" s="289"/>
      <c r="H267" s="289"/>
      <c r="I267" s="289"/>
      <c r="J267" s="289">
        <v>2020</v>
      </c>
      <c r="K267" s="289" t="s">
        <v>1675</v>
      </c>
      <c r="L267" s="289"/>
      <c r="M267" s="289" t="s">
        <v>1467</v>
      </c>
      <c r="N267" s="293">
        <v>44197</v>
      </c>
      <c r="O267" s="293">
        <v>44197</v>
      </c>
      <c r="P267" s="289" t="s">
        <v>1650</v>
      </c>
      <c r="Q267" s="290">
        <v>1000</v>
      </c>
      <c r="R267" s="290">
        <v>14040</v>
      </c>
      <c r="S267" s="291">
        <v>4187.6000000000004</v>
      </c>
      <c r="T267" s="290">
        <v>14046</v>
      </c>
      <c r="U267" s="291">
        <v>663.04</v>
      </c>
      <c r="V267" s="291">
        <f t="shared" si="3"/>
        <v>3524.5600000000004</v>
      </c>
      <c r="W267" s="292">
        <v>244.28</v>
      </c>
      <c r="X267" s="290">
        <v>51260</v>
      </c>
      <c r="Y267" s="291">
        <v>34.9</v>
      </c>
      <c r="Z267" s="289" t="s">
        <v>944</v>
      </c>
      <c r="AA267" s="289"/>
      <c r="AB267" s="289" t="s">
        <v>1676</v>
      </c>
      <c r="AC267" s="289"/>
      <c r="AD267" s="289" t="s">
        <v>1446</v>
      </c>
      <c r="AE267" s="289" t="s">
        <v>410</v>
      </c>
      <c r="AF267" s="290" t="s">
        <v>1447</v>
      </c>
      <c r="AG267" s="289"/>
      <c r="AH267" s="290" t="s">
        <v>1448</v>
      </c>
      <c r="AI267" s="289">
        <v>0</v>
      </c>
      <c r="AJ267" s="289">
        <v>0</v>
      </c>
    </row>
    <row r="268" spans="2:36">
      <c r="B268" s="290">
        <v>2111</v>
      </c>
      <c r="C268" s="294">
        <v>247629</v>
      </c>
      <c r="D268" s="290">
        <v>88717</v>
      </c>
      <c r="E268" s="289" t="s">
        <v>1142</v>
      </c>
      <c r="F268" s="290"/>
      <c r="G268" s="289"/>
      <c r="H268" s="289"/>
      <c r="I268" s="289"/>
      <c r="J268" s="289">
        <v>0</v>
      </c>
      <c r="K268" s="289" t="s">
        <v>1677</v>
      </c>
      <c r="L268" s="289"/>
      <c r="M268" s="289" t="s">
        <v>1467</v>
      </c>
      <c r="N268" s="293">
        <v>44230</v>
      </c>
      <c r="O268" s="293">
        <v>44230</v>
      </c>
      <c r="P268" s="289" t="s">
        <v>1678</v>
      </c>
      <c r="Q268" s="290">
        <v>300</v>
      </c>
      <c r="R268" s="290">
        <v>14040</v>
      </c>
      <c r="S268" s="291">
        <v>11199.12</v>
      </c>
      <c r="T268" s="290">
        <v>14046</v>
      </c>
      <c r="U268" s="291">
        <v>5599.56</v>
      </c>
      <c r="V268" s="291">
        <f t="shared" si="3"/>
        <v>5599.56</v>
      </c>
      <c r="W268" s="292">
        <v>2177.61</v>
      </c>
      <c r="X268" s="290">
        <v>51260</v>
      </c>
      <c r="Y268" s="291">
        <v>311.08999999999997</v>
      </c>
      <c r="Z268" s="289" t="s">
        <v>944</v>
      </c>
      <c r="AA268" s="289"/>
      <c r="AB268" s="289">
        <v>2202403</v>
      </c>
      <c r="AC268" s="289"/>
      <c r="AD268" s="289" t="s">
        <v>1446</v>
      </c>
      <c r="AE268" s="289" t="s">
        <v>410</v>
      </c>
      <c r="AF268" s="290" t="s">
        <v>1447</v>
      </c>
      <c r="AG268" s="289"/>
      <c r="AH268" s="290" t="s">
        <v>1448</v>
      </c>
      <c r="AI268" s="289">
        <v>0</v>
      </c>
      <c r="AJ268" s="289">
        <v>0</v>
      </c>
    </row>
    <row r="269" spans="2:36">
      <c r="B269" s="290">
        <v>2111</v>
      </c>
      <c r="C269" s="294">
        <v>247510</v>
      </c>
      <c r="D269" s="290" t="s">
        <v>944</v>
      </c>
      <c r="E269" s="289" t="s">
        <v>1140</v>
      </c>
      <c r="F269" s="290"/>
      <c r="G269" s="289"/>
      <c r="H269" s="289"/>
      <c r="I269" s="289"/>
      <c r="J269" s="289">
        <v>0</v>
      </c>
      <c r="K269" s="289" t="s">
        <v>1679</v>
      </c>
      <c r="L269" s="289"/>
      <c r="M269" s="289"/>
      <c r="N269" s="293">
        <v>44197</v>
      </c>
      <c r="O269" s="293">
        <v>44197</v>
      </c>
      <c r="P269" s="289" t="s">
        <v>1680</v>
      </c>
      <c r="Q269" s="290">
        <v>300</v>
      </c>
      <c r="R269" s="290">
        <v>14110</v>
      </c>
      <c r="S269" s="291">
        <v>3071.71</v>
      </c>
      <c r="T269" s="290">
        <v>14116</v>
      </c>
      <c r="U269" s="291">
        <v>1621.18</v>
      </c>
      <c r="V269" s="291">
        <f t="shared" si="3"/>
        <v>1450.53</v>
      </c>
      <c r="W269" s="292">
        <v>597.28</v>
      </c>
      <c r="X269" s="290">
        <v>70260</v>
      </c>
      <c r="Y269" s="291">
        <v>85.33</v>
      </c>
      <c r="Z269" s="289" t="s">
        <v>944</v>
      </c>
      <c r="AA269" s="289"/>
      <c r="AB269" s="289">
        <v>12521134770</v>
      </c>
      <c r="AC269" s="289"/>
      <c r="AD269" s="289" t="s">
        <v>1446</v>
      </c>
      <c r="AE269" s="289" t="s">
        <v>410</v>
      </c>
      <c r="AF269" s="290" t="s">
        <v>1447</v>
      </c>
      <c r="AG269" s="289"/>
      <c r="AH269" s="290" t="s">
        <v>1448</v>
      </c>
      <c r="AI269" s="289">
        <v>0</v>
      </c>
      <c r="AJ269" s="289">
        <v>0</v>
      </c>
    </row>
    <row r="270" spans="2:36">
      <c r="B270" s="290">
        <v>2111</v>
      </c>
      <c r="C270" s="294">
        <v>246557</v>
      </c>
      <c r="D270" s="290">
        <v>246366</v>
      </c>
      <c r="E270" s="289" t="s">
        <v>1137</v>
      </c>
      <c r="F270" s="290"/>
      <c r="G270" s="289"/>
      <c r="H270" s="289"/>
      <c r="I270" s="289"/>
      <c r="J270" s="289">
        <v>0</v>
      </c>
      <c r="K270" s="289" t="s">
        <v>1679</v>
      </c>
      <c r="L270" s="289"/>
      <c r="M270" s="289"/>
      <c r="N270" s="293">
        <v>44197</v>
      </c>
      <c r="O270" s="293">
        <v>44197</v>
      </c>
      <c r="P270" s="289" t="s">
        <v>1680</v>
      </c>
      <c r="Q270" s="290">
        <v>200</v>
      </c>
      <c r="R270" s="290">
        <v>14110</v>
      </c>
      <c r="S270" s="291">
        <v>956.13</v>
      </c>
      <c r="T270" s="290">
        <v>14116</v>
      </c>
      <c r="U270" s="291">
        <v>756.94</v>
      </c>
      <c r="V270" s="291">
        <f t="shared" ref="V270:V333" si="4">S270-U270</f>
        <v>199.18999999999994</v>
      </c>
      <c r="W270" s="292">
        <v>278.87</v>
      </c>
      <c r="X270" s="290">
        <v>70260</v>
      </c>
      <c r="Y270" s="291">
        <v>39.83</v>
      </c>
      <c r="Z270" s="289" t="s">
        <v>944</v>
      </c>
      <c r="AA270" s="289"/>
      <c r="AB270" s="289">
        <v>11821134338</v>
      </c>
      <c r="AC270" s="289"/>
      <c r="AD270" s="289" t="s">
        <v>1446</v>
      </c>
      <c r="AE270" s="289" t="s">
        <v>410</v>
      </c>
      <c r="AF270" s="290" t="s">
        <v>1447</v>
      </c>
      <c r="AG270" s="289"/>
      <c r="AH270" s="290" t="s">
        <v>1448</v>
      </c>
      <c r="AI270" s="289">
        <v>0</v>
      </c>
      <c r="AJ270" s="289">
        <v>0</v>
      </c>
    </row>
    <row r="271" spans="2:36">
      <c r="B271" s="290">
        <v>2111</v>
      </c>
      <c r="C271" s="294">
        <v>246432</v>
      </c>
      <c r="D271" s="290">
        <v>2445508</v>
      </c>
      <c r="E271" s="289" t="s">
        <v>1185</v>
      </c>
      <c r="F271" s="290"/>
      <c r="G271" s="289"/>
      <c r="H271" s="289"/>
      <c r="I271" s="289"/>
      <c r="J271" s="289">
        <v>0</v>
      </c>
      <c r="K271" s="289" t="s">
        <v>1681</v>
      </c>
      <c r="L271" s="289"/>
      <c r="M271" s="289" t="s">
        <v>1467</v>
      </c>
      <c r="N271" s="293">
        <v>44197</v>
      </c>
      <c r="O271" s="293">
        <v>44197</v>
      </c>
      <c r="P271" s="289" t="s">
        <v>1682</v>
      </c>
      <c r="Q271" s="290">
        <v>300</v>
      </c>
      <c r="R271" s="290">
        <v>14040</v>
      </c>
      <c r="S271" s="291">
        <v>-37361.550000000003</v>
      </c>
      <c r="T271" s="290">
        <v>14046</v>
      </c>
      <c r="U271" s="291">
        <v>-19718.599999999999</v>
      </c>
      <c r="V271" s="291">
        <f t="shared" si="4"/>
        <v>-17642.950000000004</v>
      </c>
      <c r="W271" s="292">
        <v>-7264.75</v>
      </c>
      <c r="X271" s="290">
        <v>51260</v>
      </c>
      <c r="Y271" s="291">
        <v>-1037.82</v>
      </c>
      <c r="Z271" s="289" t="s">
        <v>944</v>
      </c>
      <c r="AA271" s="289"/>
      <c r="AB271" s="289">
        <v>2201451</v>
      </c>
      <c r="AC271" s="289"/>
      <c r="AD271" s="289" t="s">
        <v>1446</v>
      </c>
      <c r="AE271" s="289" t="s">
        <v>410</v>
      </c>
      <c r="AF271" s="290" t="s">
        <v>1447</v>
      </c>
      <c r="AG271" s="289"/>
      <c r="AH271" s="290" t="s">
        <v>1448</v>
      </c>
      <c r="AI271" s="289">
        <v>0</v>
      </c>
      <c r="AJ271" s="289">
        <v>0</v>
      </c>
    </row>
    <row r="272" spans="2:36">
      <c r="B272" s="290">
        <v>2111</v>
      </c>
      <c r="C272" s="294">
        <v>246431</v>
      </c>
      <c r="D272" s="290">
        <v>236403</v>
      </c>
      <c r="E272" s="289" t="s">
        <v>1683</v>
      </c>
      <c r="F272" s="290"/>
      <c r="G272" s="289"/>
      <c r="H272" s="289"/>
      <c r="I272" s="289"/>
      <c r="J272" s="289">
        <v>0</v>
      </c>
      <c r="K272" s="289" t="s">
        <v>1684</v>
      </c>
      <c r="L272" s="289"/>
      <c r="M272" s="289" t="s">
        <v>1467</v>
      </c>
      <c r="N272" s="293">
        <v>44224</v>
      </c>
      <c r="O272" s="293">
        <v>44224</v>
      </c>
      <c r="P272" s="289" t="s">
        <v>1685</v>
      </c>
      <c r="Q272" s="290">
        <v>500</v>
      </c>
      <c r="R272" s="290">
        <v>14040</v>
      </c>
      <c r="S272" s="291">
        <v>580.84</v>
      </c>
      <c r="T272" s="290">
        <v>14046</v>
      </c>
      <c r="U272" s="291">
        <v>174.25</v>
      </c>
      <c r="V272" s="291">
        <f t="shared" si="4"/>
        <v>406.59000000000003</v>
      </c>
      <c r="W272" s="292">
        <v>67.760000000000005</v>
      </c>
      <c r="X272" s="290">
        <v>51260</v>
      </c>
      <c r="Y272" s="291">
        <v>9.68</v>
      </c>
      <c r="Z272" s="289" t="s">
        <v>944</v>
      </c>
      <c r="AA272" s="289"/>
      <c r="AB272" s="289">
        <v>5340304</v>
      </c>
      <c r="AC272" s="289"/>
      <c r="AD272" s="289" t="s">
        <v>1446</v>
      </c>
      <c r="AE272" s="289" t="s">
        <v>410</v>
      </c>
      <c r="AF272" s="290" t="s">
        <v>1447</v>
      </c>
      <c r="AG272" s="289"/>
      <c r="AH272" s="290" t="s">
        <v>1448</v>
      </c>
      <c r="AI272" s="289">
        <v>0</v>
      </c>
      <c r="AJ272" s="289">
        <v>0</v>
      </c>
    </row>
    <row r="273" spans="2:36">
      <c r="B273" s="290">
        <v>2111</v>
      </c>
      <c r="C273" s="294">
        <v>246366</v>
      </c>
      <c r="D273" s="290" t="s">
        <v>944</v>
      </c>
      <c r="E273" s="289" t="s">
        <v>1183</v>
      </c>
      <c r="F273" s="290"/>
      <c r="G273" s="289"/>
      <c r="H273" s="289"/>
      <c r="I273" s="289"/>
      <c r="J273" s="289">
        <v>0</v>
      </c>
      <c r="K273" s="289" t="s">
        <v>1686</v>
      </c>
      <c r="L273" s="289"/>
      <c r="M273" s="289"/>
      <c r="N273" s="293">
        <v>44197</v>
      </c>
      <c r="O273" s="293">
        <v>44197</v>
      </c>
      <c r="P273" s="289" t="s">
        <v>1680</v>
      </c>
      <c r="Q273" s="290">
        <v>200</v>
      </c>
      <c r="R273" s="290">
        <v>14110</v>
      </c>
      <c r="S273" s="291">
        <v>989.1</v>
      </c>
      <c r="T273" s="290">
        <v>14116</v>
      </c>
      <c r="U273" s="291">
        <v>783.04</v>
      </c>
      <c r="V273" s="291">
        <f t="shared" si="4"/>
        <v>206.06000000000006</v>
      </c>
      <c r="W273" s="292">
        <v>288.49</v>
      </c>
      <c r="X273" s="290">
        <v>70260</v>
      </c>
      <c r="Y273" s="291">
        <v>41.21</v>
      </c>
      <c r="Z273" s="289" t="s">
        <v>944</v>
      </c>
      <c r="AA273" s="289"/>
      <c r="AB273" s="289" t="s">
        <v>1687</v>
      </c>
      <c r="AC273" s="289"/>
      <c r="AD273" s="289" t="s">
        <v>1446</v>
      </c>
      <c r="AE273" s="289" t="s">
        <v>410</v>
      </c>
      <c r="AF273" s="290" t="s">
        <v>1447</v>
      </c>
      <c r="AG273" s="289"/>
      <c r="AH273" s="290" t="s">
        <v>1448</v>
      </c>
      <c r="AI273" s="289">
        <v>0</v>
      </c>
      <c r="AJ273" s="289">
        <v>0</v>
      </c>
    </row>
    <row r="274" spans="2:36">
      <c r="B274" s="290">
        <v>2111</v>
      </c>
      <c r="C274" s="294">
        <v>246306</v>
      </c>
      <c r="D274" s="290" t="s">
        <v>944</v>
      </c>
      <c r="E274" s="289" t="s">
        <v>1136</v>
      </c>
      <c r="F274" s="290">
        <v>351</v>
      </c>
      <c r="G274" s="289"/>
      <c r="H274" s="289"/>
      <c r="I274" s="289"/>
      <c r="J274" s="289">
        <v>0</v>
      </c>
      <c r="K274" s="289" t="s">
        <v>1462</v>
      </c>
      <c r="L274" s="289"/>
      <c r="M274" s="289" t="s">
        <v>1463</v>
      </c>
      <c r="N274" s="293">
        <v>44207</v>
      </c>
      <c r="O274" s="293">
        <v>44207</v>
      </c>
      <c r="P274" s="289" t="s">
        <v>1688</v>
      </c>
      <c r="Q274" s="290">
        <v>700</v>
      </c>
      <c r="R274" s="290">
        <v>14050</v>
      </c>
      <c r="S274" s="291">
        <v>16024</v>
      </c>
      <c r="T274" s="290">
        <v>14056</v>
      </c>
      <c r="U274" s="291">
        <v>3624.47</v>
      </c>
      <c r="V274" s="291">
        <f t="shared" si="4"/>
        <v>12399.53</v>
      </c>
      <c r="W274" s="292">
        <v>1335.33</v>
      </c>
      <c r="X274" s="290">
        <v>54260</v>
      </c>
      <c r="Y274" s="291">
        <v>190.76</v>
      </c>
      <c r="Z274" s="289" t="s">
        <v>944</v>
      </c>
      <c r="AA274" s="289"/>
      <c r="AB274" s="289">
        <v>50145124</v>
      </c>
      <c r="AC274" s="289"/>
      <c r="AD274" s="289" t="s">
        <v>1446</v>
      </c>
      <c r="AE274" s="289" t="s">
        <v>410</v>
      </c>
      <c r="AF274" s="290" t="s">
        <v>1447</v>
      </c>
      <c r="AG274" s="289"/>
      <c r="AH274" s="290" t="s">
        <v>1448</v>
      </c>
      <c r="AI274" s="289">
        <v>0</v>
      </c>
      <c r="AJ274" s="289">
        <v>0</v>
      </c>
    </row>
    <row r="275" spans="2:36">
      <c r="B275" s="290">
        <v>2111</v>
      </c>
      <c r="C275" s="294">
        <v>246305</v>
      </c>
      <c r="D275" s="290" t="s">
        <v>944</v>
      </c>
      <c r="E275" s="289" t="s">
        <v>1135</v>
      </c>
      <c r="F275" s="290">
        <v>884</v>
      </c>
      <c r="G275" s="289"/>
      <c r="H275" s="289"/>
      <c r="I275" s="289"/>
      <c r="J275" s="289">
        <v>0</v>
      </c>
      <c r="K275" s="289" t="s">
        <v>1462</v>
      </c>
      <c r="L275" s="289"/>
      <c r="M275" s="289" t="s">
        <v>1463</v>
      </c>
      <c r="N275" s="293">
        <v>44207</v>
      </c>
      <c r="O275" s="293">
        <v>44207</v>
      </c>
      <c r="P275" s="289" t="s">
        <v>1689</v>
      </c>
      <c r="Q275" s="290">
        <v>700</v>
      </c>
      <c r="R275" s="290">
        <v>14050</v>
      </c>
      <c r="S275" s="291">
        <v>40356.800000000003</v>
      </c>
      <c r="T275" s="290">
        <v>14056</v>
      </c>
      <c r="U275" s="291">
        <v>9128.33</v>
      </c>
      <c r="V275" s="291">
        <f t="shared" si="4"/>
        <v>31228.47</v>
      </c>
      <c r="W275" s="292">
        <v>3363.07</v>
      </c>
      <c r="X275" s="290">
        <v>54260</v>
      </c>
      <c r="Y275" s="291">
        <v>480.44</v>
      </c>
      <c r="Z275" s="289" t="s">
        <v>944</v>
      </c>
      <c r="AA275" s="289"/>
      <c r="AB275" s="289">
        <v>50145124</v>
      </c>
      <c r="AC275" s="289"/>
      <c r="AD275" s="289" t="s">
        <v>1446</v>
      </c>
      <c r="AE275" s="289" t="s">
        <v>410</v>
      </c>
      <c r="AF275" s="290" t="s">
        <v>1447</v>
      </c>
      <c r="AG275" s="289"/>
      <c r="AH275" s="290" t="s">
        <v>1448</v>
      </c>
      <c r="AI275" s="289">
        <v>0</v>
      </c>
      <c r="AJ275" s="289">
        <v>0</v>
      </c>
    </row>
    <row r="276" spans="2:36">
      <c r="B276" s="290">
        <v>2111</v>
      </c>
      <c r="C276" s="294">
        <v>246304</v>
      </c>
      <c r="D276" s="290" t="s">
        <v>944</v>
      </c>
      <c r="E276" s="289" t="s">
        <v>1134</v>
      </c>
      <c r="F276" s="290">
        <v>169</v>
      </c>
      <c r="G276" s="289"/>
      <c r="H276" s="289"/>
      <c r="I276" s="289"/>
      <c r="J276" s="289">
        <v>0</v>
      </c>
      <c r="K276" s="289" t="s">
        <v>1462</v>
      </c>
      <c r="L276" s="289"/>
      <c r="M276" s="289" t="s">
        <v>1463</v>
      </c>
      <c r="N276" s="293">
        <v>44207</v>
      </c>
      <c r="O276" s="293">
        <v>44207</v>
      </c>
      <c r="P276" s="289" t="s">
        <v>1690</v>
      </c>
      <c r="Q276" s="290">
        <v>700</v>
      </c>
      <c r="R276" s="290">
        <v>14050</v>
      </c>
      <c r="S276" s="291">
        <v>6786.61</v>
      </c>
      <c r="T276" s="290">
        <v>14056</v>
      </c>
      <c r="U276" s="291">
        <v>1535.07</v>
      </c>
      <c r="V276" s="291">
        <f t="shared" si="4"/>
        <v>5251.54</v>
      </c>
      <c r="W276" s="292">
        <v>565.54999999999995</v>
      </c>
      <c r="X276" s="290">
        <v>54260</v>
      </c>
      <c r="Y276" s="291">
        <v>80.790000000000006</v>
      </c>
      <c r="Z276" s="289" t="s">
        <v>944</v>
      </c>
      <c r="AA276" s="289"/>
      <c r="AB276" s="289">
        <v>50145124</v>
      </c>
      <c r="AC276" s="289"/>
      <c r="AD276" s="289" t="s">
        <v>1446</v>
      </c>
      <c r="AE276" s="289" t="s">
        <v>410</v>
      </c>
      <c r="AF276" s="290" t="s">
        <v>1447</v>
      </c>
      <c r="AG276" s="289"/>
      <c r="AH276" s="290" t="s">
        <v>1448</v>
      </c>
      <c r="AI276" s="289">
        <v>0</v>
      </c>
      <c r="AJ276" s="289">
        <v>0</v>
      </c>
    </row>
    <row r="277" spans="2:36">
      <c r="B277" s="290">
        <v>2111</v>
      </c>
      <c r="C277" s="294">
        <v>246303</v>
      </c>
      <c r="D277" s="290" t="s">
        <v>944</v>
      </c>
      <c r="E277" s="289" t="s">
        <v>1273</v>
      </c>
      <c r="F277" s="290">
        <v>90</v>
      </c>
      <c r="G277" s="289"/>
      <c r="H277" s="289"/>
      <c r="I277" s="289"/>
      <c r="J277" s="289">
        <v>0</v>
      </c>
      <c r="K277" s="289" t="s">
        <v>1462</v>
      </c>
      <c r="L277" s="289"/>
      <c r="M277" s="289" t="s">
        <v>1463</v>
      </c>
      <c r="N277" s="293">
        <v>44207</v>
      </c>
      <c r="O277" s="293">
        <v>44207</v>
      </c>
      <c r="P277" s="289" t="s">
        <v>1691</v>
      </c>
      <c r="Q277" s="290">
        <v>700</v>
      </c>
      <c r="R277" s="290">
        <v>14050</v>
      </c>
      <c r="S277" s="291">
        <v>1473.75</v>
      </c>
      <c r="T277" s="290">
        <v>14056</v>
      </c>
      <c r="U277" s="291">
        <v>333.36</v>
      </c>
      <c r="V277" s="291">
        <f t="shared" si="4"/>
        <v>1140.3899999999999</v>
      </c>
      <c r="W277" s="292">
        <v>122.82</v>
      </c>
      <c r="X277" s="290">
        <v>54260</v>
      </c>
      <c r="Y277" s="291">
        <v>17.55</v>
      </c>
      <c r="Z277" s="289" t="s">
        <v>944</v>
      </c>
      <c r="AA277" s="289"/>
      <c r="AB277" s="289">
        <v>50145124</v>
      </c>
      <c r="AC277" s="289"/>
      <c r="AD277" s="289" t="s">
        <v>1446</v>
      </c>
      <c r="AE277" s="289" t="s">
        <v>410</v>
      </c>
      <c r="AF277" s="290" t="s">
        <v>1447</v>
      </c>
      <c r="AG277" s="289"/>
      <c r="AH277" s="290" t="s">
        <v>1448</v>
      </c>
      <c r="AI277" s="289">
        <v>0</v>
      </c>
      <c r="AJ277" s="289">
        <v>0</v>
      </c>
    </row>
    <row r="278" spans="2:36">
      <c r="B278" s="290">
        <v>2111</v>
      </c>
      <c r="C278" s="294">
        <v>246034</v>
      </c>
      <c r="D278" s="290">
        <v>232980</v>
      </c>
      <c r="E278" s="289" t="s">
        <v>1275</v>
      </c>
      <c r="F278" s="290"/>
      <c r="G278" s="289"/>
      <c r="H278" s="289"/>
      <c r="I278" s="289"/>
      <c r="J278" s="289">
        <v>0</v>
      </c>
      <c r="K278" s="289"/>
      <c r="L278" s="289"/>
      <c r="M278" s="289"/>
      <c r="N278" s="293">
        <v>44197</v>
      </c>
      <c r="O278" s="293">
        <v>44197</v>
      </c>
      <c r="P278" s="289" t="s">
        <v>1692</v>
      </c>
      <c r="Q278" s="290">
        <v>1000</v>
      </c>
      <c r="R278" s="290">
        <v>14010</v>
      </c>
      <c r="S278" s="291">
        <v>256</v>
      </c>
      <c r="T278" s="290">
        <v>14016</v>
      </c>
      <c r="U278" s="291">
        <v>40.53</v>
      </c>
      <c r="V278" s="291">
        <f t="shared" si="4"/>
        <v>215.47</v>
      </c>
      <c r="W278" s="292">
        <v>14.93</v>
      </c>
      <c r="X278" s="290">
        <v>57260</v>
      </c>
      <c r="Y278" s="291">
        <v>2.13</v>
      </c>
      <c r="Z278" s="289" t="s">
        <v>944</v>
      </c>
      <c r="AA278" s="289"/>
      <c r="AB278" s="289"/>
      <c r="AC278" s="289"/>
      <c r="AD278" s="289" t="s">
        <v>1446</v>
      </c>
      <c r="AE278" s="289" t="s">
        <v>410</v>
      </c>
      <c r="AF278" s="290" t="s">
        <v>1447</v>
      </c>
      <c r="AG278" s="289"/>
      <c r="AH278" s="290" t="s">
        <v>1448</v>
      </c>
      <c r="AI278" s="289">
        <v>0</v>
      </c>
      <c r="AJ278" s="289">
        <v>0</v>
      </c>
    </row>
    <row r="279" spans="2:36">
      <c r="B279" s="290">
        <v>2111</v>
      </c>
      <c r="C279" s="294">
        <v>245508</v>
      </c>
      <c r="D279" s="290">
        <v>102177</v>
      </c>
      <c r="E279" s="289" t="s">
        <v>1693</v>
      </c>
      <c r="F279" s="290"/>
      <c r="G279" s="289"/>
      <c r="H279" s="289"/>
      <c r="I279" s="289"/>
      <c r="J279" s="289">
        <v>0</v>
      </c>
      <c r="K279" s="289" t="s">
        <v>1681</v>
      </c>
      <c r="L279" s="289"/>
      <c r="M279" s="289" t="s">
        <v>1467</v>
      </c>
      <c r="N279" s="293">
        <v>44183</v>
      </c>
      <c r="O279" s="293">
        <v>44183</v>
      </c>
      <c r="P279" s="289" t="s">
        <v>1682</v>
      </c>
      <c r="Q279" s="290">
        <v>300</v>
      </c>
      <c r="R279" s="290">
        <v>14040</v>
      </c>
      <c r="S279" s="291">
        <v>37361.550000000003</v>
      </c>
      <c r="T279" s="290">
        <v>14046</v>
      </c>
      <c r="U279" s="291">
        <v>19718.599999999999</v>
      </c>
      <c r="V279" s="291">
        <f t="shared" si="4"/>
        <v>17642.950000000004</v>
      </c>
      <c r="W279" s="292">
        <v>7264.75</v>
      </c>
      <c r="X279" s="290">
        <v>51260</v>
      </c>
      <c r="Y279" s="291">
        <v>1037.82</v>
      </c>
      <c r="Z279" s="289" t="s">
        <v>944</v>
      </c>
      <c r="AA279" s="289"/>
      <c r="AB279" s="289" t="s">
        <v>1694</v>
      </c>
      <c r="AC279" s="289"/>
      <c r="AD279" s="289" t="s">
        <v>1446</v>
      </c>
      <c r="AE279" s="289" t="s">
        <v>410</v>
      </c>
      <c r="AF279" s="290" t="s">
        <v>1447</v>
      </c>
      <c r="AG279" s="289"/>
      <c r="AH279" s="290" t="s">
        <v>1448</v>
      </c>
      <c r="AI279" s="289">
        <v>0</v>
      </c>
      <c r="AJ279" s="289">
        <v>0</v>
      </c>
    </row>
    <row r="280" spans="2:36">
      <c r="B280" s="290">
        <v>2111</v>
      </c>
      <c r="C280" s="294">
        <v>245507</v>
      </c>
      <c r="D280" s="290">
        <v>235097</v>
      </c>
      <c r="E280" s="289" t="s">
        <v>1120</v>
      </c>
      <c r="F280" s="290"/>
      <c r="G280" s="289"/>
      <c r="H280" s="289"/>
      <c r="I280" s="289"/>
      <c r="J280" s="289">
        <v>0</v>
      </c>
      <c r="K280" s="289" t="s">
        <v>1695</v>
      </c>
      <c r="L280" s="289"/>
      <c r="M280" s="289" t="s">
        <v>1467</v>
      </c>
      <c r="N280" s="293">
        <v>44111</v>
      </c>
      <c r="O280" s="293">
        <v>44111</v>
      </c>
      <c r="P280" s="289" t="s">
        <v>1696</v>
      </c>
      <c r="Q280" s="290">
        <v>500</v>
      </c>
      <c r="R280" s="290">
        <v>14040</v>
      </c>
      <c r="S280" s="291">
        <v>894.06</v>
      </c>
      <c r="T280" s="290">
        <v>14046</v>
      </c>
      <c r="U280" s="291">
        <v>327.82</v>
      </c>
      <c r="V280" s="291">
        <f t="shared" si="4"/>
        <v>566.24</v>
      </c>
      <c r="W280" s="292">
        <v>104.31</v>
      </c>
      <c r="X280" s="290">
        <v>51260</v>
      </c>
      <c r="Y280" s="291">
        <v>14.9</v>
      </c>
      <c r="Z280" s="289" t="s">
        <v>944</v>
      </c>
      <c r="AA280" s="289"/>
      <c r="AB280" s="289">
        <v>5331453</v>
      </c>
      <c r="AC280" s="289"/>
      <c r="AD280" s="289" t="s">
        <v>1446</v>
      </c>
      <c r="AE280" s="289" t="s">
        <v>410</v>
      </c>
      <c r="AF280" s="290" t="s">
        <v>1447</v>
      </c>
      <c r="AG280" s="289"/>
      <c r="AH280" s="290" t="s">
        <v>1448</v>
      </c>
      <c r="AI280" s="289">
        <v>0</v>
      </c>
      <c r="AJ280" s="289">
        <v>0</v>
      </c>
    </row>
    <row r="281" spans="2:36">
      <c r="B281" s="290">
        <v>2111</v>
      </c>
      <c r="C281" s="294">
        <v>244752</v>
      </c>
      <c r="D281" s="290" t="s">
        <v>944</v>
      </c>
      <c r="E281" s="289" t="s">
        <v>1121</v>
      </c>
      <c r="F281" s="290"/>
      <c r="G281" s="289"/>
      <c r="H281" s="289"/>
      <c r="I281" s="289"/>
      <c r="J281" s="289">
        <v>0</v>
      </c>
      <c r="K281" s="289" t="s">
        <v>1657</v>
      </c>
      <c r="L281" s="289"/>
      <c r="M281" s="289"/>
      <c r="N281" s="293">
        <v>44175</v>
      </c>
      <c r="O281" s="293">
        <v>44175</v>
      </c>
      <c r="P281" s="289" t="s">
        <v>1680</v>
      </c>
      <c r="Q281" s="290">
        <v>200</v>
      </c>
      <c r="R281" s="290">
        <v>14110</v>
      </c>
      <c r="S281" s="291">
        <v>6.34</v>
      </c>
      <c r="T281" s="290">
        <v>14116</v>
      </c>
      <c r="U281" s="291">
        <v>5.29</v>
      </c>
      <c r="V281" s="291">
        <f t="shared" si="4"/>
        <v>1.0499999999999998</v>
      </c>
      <c r="W281" s="292">
        <v>1.85</v>
      </c>
      <c r="X281" s="290">
        <v>70260</v>
      </c>
      <c r="Y281" s="291">
        <v>0.26</v>
      </c>
      <c r="Z281" s="289" t="s">
        <v>944</v>
      </c>
      <c r="AA281" s="289"/>
      <c r="AB281" s="289">
        <v>5320785</v>
      </c>
      <c r="AC281" s="289"/>
      <c r="AD281" s="289" t="s">
        <v>1446</v>
      </c>
      <c r="AE281" s="289" t="s">
        <v>410</v>
      </c>
      <c r="AF281" s="290" t="s">
        <v>1447</v>
      </c>
      <c r="AG281" s="289"/>
      <c r="AH281" s="290" t="s">
        <v>1448</v>
      </c>
      <c r="AI281" s="289">
        <v>0</v>
      </c>
      <c r="AJ281" s="289">
        <v>0</v>
      </c>
    </row>
    <row r="282" spans="2:36">
      <c r="B282" s="290">
        <v>2111</v>
      </c>
      <c r="C282" s="294">
        <v>244751</v>
      </c>
      <c r="D282" s="290" t="s">
        <v>944</v>
      </c>
      <c r="E282" s="289" t="s">
        <v>1121</v>
      </c>
      <c r="F282" s="290"/>
      <c r="G282" s="289"/>
      <c r="H282" s="289"/>
      <c r="I282" s="289"/>
      <c r="J282" s="289">
        <v>0</v>
      </c>
      <c r="K282" s="289" t="s">
        <v>1657</v>
      </c>
      <c r="L282" s="289"/>
      <c r="M282" s="289"/>
      <c r="N282" s="293">
        <v>44175</v>
      </c>
      <c r="O282" s="293">
        <v>44175</v>
      </c>
      <c r="P282" s="289" t="s">
        <v>1697</v>
      </c>
      <c r="Q282" s="290">
        <v>200</v>
      </c>
      <c r="R282" s="290">
        <v>14110</v>
      </c>
      <c r="S282" s="291">
        <v>2186</v>
      </c>
      <c r="T282" s="290">
        <v>14116</v>
      </c>
      <c r="U282" s="291">
        <v>1821.67</v>
      </c>
      <c r="V282" s="291">
        <f t="shared" si="4"/>
        <v>364.32999999999993</v>
      </c>
      <c r="W282" s="292">
        <v>637.59</v>
      </c>
      <c r="X282" s="290">
        <v>70260</v>
      </c>
      <c r="Y282" s="291">
        <v>91.09</v>
      </c>
      <c r="Z282" s="289" t="s">
        <v>944</v>
      </c>
      <c r="AA282" s="289"/>
      <c r="AB282" s="289">
        <v>5320785</v>
      </c>
      <c r="AC282" s="289"/>
      <c r="AD282" s="289" t="s">
        <v>1446</v>
      </c>
      <c r="AE282" s="289" t="s">
        <v>410</v>
      </c>
      <c r="AF282" s="290" t="s">
        <v>1447</v>
      </c>
      <c r="AG282" s="289"/>
      <c r="AH282" s="290" t="s">
        <v>1448</v>
      </c>
      <c r="AI282" s="289">
        <v>0</v>
      </c>
      <c r="AJ282" s="289">
        <v>0</v>
      </c>
    </row>
    <row r="283" spans="2:36">
      <c r="B283" s="290">
        <v>2111</v>
      </c>
      <c r="C283" s="294">
        <v>244569</v>
      </c>
      <c r="D283" s="290">
        <v>102177</v>
      </c>
      <c r="E283" s="289" t="s">
        <v>1693</v>
      </c>
      <c r="F283" s="290"/>
      <c r="G283" s="289"/>
      <c r="H283" s="289"/>
      <c r="I283" s="289"/>
      <c r="J283" s="289">
        <v>0</v>
      </c>
      <c r="K283" s="289" t="s">
        <v>1698</v>
      </c>
      <c r="L283" s="289"/>
      <c r="M283" s="289" t="s">
        <v>1467</v>
      </c>
      <c r="N283" s="293">
        <v>44183</v>
      </c>
      <c r="O283" s="293">
        <v>44183</v>
      </c>
      <c r="P283" s="289" t="s">
        <v>1682</v>
      </c>
      <c r="Q283" s="290">
        <v>300</v>
      </c>
      <c r="R283" s="290">
        <v>14040</v>
      </c>
      <c r="S283" s="291">
        <v>37361.550000000003</v>
      </c>
      <c r="T283" s="290">
        <v>14046</v>
      </c>
      <c r="U283" s="291">
        <v>19718.599999999999</v>
      </c>
      <c r="V283" s="291">
        <f t="shared" si="4"/>
        <v>17642.950000000004</v>
      </c>
      <c r="W283" s="292">
        <v>7264.75</v>
      </c>
      <c r="X283" s="290">
        <v>51260</v>
      </c>
      <c r="Y283" s="291">
        <v>1037.82</v>
      </c>
      <c r="Z283" s="289" t="s">
        <v>944</v>
      </c>
      <c r="AA283" s="289"/>
      <c r="AB283" s="289">
        <v>2201451</v>
      </c>
      <c r="AC283" s="289"/>
      <c r="AD283" s="289" t="s">
        <v>1446</v>
      </c>
      <c r="AE283" s="289" t="s">
        <v>410</v>
      </c>
      <c r="AF283" s="290" t="s">
        <v>1447</v>
      </c>
      <c r="AG283" s="289"/>
      <c r="AH283" s="290" t="s">
        <v>1448</v>
      </c>
      <c r="AI283" s="289">
        <v>0</v>
      </c>
      <c r="AJ283" s="289">
        <v>0</v>
      </c>
    </row>
    <row r="284" spans="2:36">
      <c r="B284" s="290">
        <v>2111</v>
      </c>
      <c r="C284" s="294">
        <v>243221</v>
      </c>
      <c r="D284" s="290">
        <v>232978</v>
      </c>
      <c r="E284" s="289" t="s">
        <v>1119</v>
      </c>
      <c r="F284" s="290"/>
      <c r="G284" s="289"/>
      <c r="H284" s="289"/>
      <c r="I284" s="289"/>
      <c r="J284" s="289">
        <v>0</v>
      </c>
      <c r="K284" s="289" t="s">
        <v>1456</v>
      </c>
      <c r="L284" s="289"/>
      <c r="M284" s="289"/>
      <c r="N284" s="293">
        <v>43982</v>
      </c>
      <c r="O284" s="293">
        <v>43982</v>
      </c>
      <c r="P284" s="289" t="s">
        <v>1699</v>
      </c>
      <c r="Q284" s="290">
        <v>1000</v>
      </c>
      <c r="R284" s="290">
        <v>14010</v>
      </c>
      <c r="S284" s="291">
        <v>1458.5</v>
      </c>
      <c r="T284" s="290">
        <v>14016</v>
      </c>
      <c r="U284" s="291">
        <v>316</v>
      </c>
      <c r="V284" s="291">
        <f t="shared" si="4"/>
        <v>1142.5</v>
      </c>
      <c r="W284" s="292">
        <v>85.08</v>
      </c>
      <c r="X284" s="290">
        <v>57260</v>
      </c>
      <c r="Y284" s="291">
        <v>12.15</v>
      </c>
      <c r="Z284" s="289" t="s">
        <v>944</v>
      </c>
      <c r="AA284" s="289"/>
      <c r="AB284" s="289" t="s">
        <v>1700</v>
      </c>
      <c r="AC284" s="289"/>
      <c r="AD284" s="289" t="s">
        <v>1446</v>
      </c>
      <c r="AE284" s="289" t="s">
        <v>410</v>
      </c>
      <c r="AF284" s="290" t="s">
        <v>1447</v>
      </c>
      <c r="AG284" s="289"/>
      <c r="AH284" s="290" t="s">
        <v>1448</v>
      </c>
      <c r="AI284" s="289">
        <v>0</v>
      </c>
      <c r="AJ284" s="289">
        <v>0</v>
      </c>
    </row>
    <row r="285" spans="2:36">
      <c r="B285" s="290">
        <v>2111</v>
      </c>
      <c r="C285" s="294">
        <v>243220</v>
      </c>
      <c r="D285" s="290">
        <v>232978</v>
      </c>
      <c r="E285" s="289" t="s">
        <v>1117</v>
      </c>
      <c r="F285" s="290"/>
      <c r="G285" s="289"/>
      <c r="H285" s="289"/>
      <c r="I285" s="289"/>
      <c r="J285" s="289">
        <v>0</v>
      </c>
      <c r="K285" s="289" t="s">
        <v>1456</v>
      </c>
      <c r="L285" s="289"/>
      <c r="M285" s="289"/>
      <c r="N285" s="293">
        <v>43982</v>
      </c>
      <c r="O285" s="293">
        <v>43982</v>
      </c>
      <c r="P285" s="289" t="s">
        <v>1699</v>
      </c>
      <c r="Q285" s="290">
        <v>1000</v>
      </c>
      <c r="R285" s="290">
        <v>14010</v>
      </c>
      <c r="S285" s="291">
        <v>921.38</v>
      </c>
      <c r="T285" s="290">
        <v>14016</v>
      </c>
      <c r="U285" s="291">
        <v>199.64</v>
      </c>
      <c r="V285" s="291">
        <f t="shared" si="4"/>
        <v>721.74</v>
      </c>
      <c r="W285" s="292">
        <v>53.75</v>
      </c>
      <c r="X285" s="290">
        <v>57260</v>
      </c>
      <c r="Y285" s="291">
        <v>7.68</v>
      </c>
      <c r="Z285" s="289" t="s">
        <v>944</v>
      </c>
      <c r="AA285" s="289"/>
      <c r="AB285" s="289" t="s">
        <v>1701</v>
      </c>
      <c r="AC285" s="289"/>
      <c r="AD285" s="289" t="s">
        <v>1446</v>
      </c>
      <c r="AE285" s="289" t="s">
        <v>410</v>
      </c>
      <c r="AF285" s="290" t="s">
        <v>1447</v>
      </c>
      <c r="AG285" s="289"/>
      <c r="AH285" s="290" t="s">
        <v>1448</v>
      </c>
      <c r="AI285" s="289">
        <v>0</v>
      </c>
      <c r="AJ285" s="289">
        <v>0</v>
      </c>
    </row>
    <row r="286" spans="2:36">
      <c r="B286" s="290">
        <v>2111</v>
      </c>
      <c r="C286" s="294">
        <v>242811</v>
      </c>
      <c r="D286" s="290" t="s">
        <v>944</v>
      </c>
      <c r="E286" s="289" t="s">
        <v>1115</v>
      </c>
      <c r="F286" s="290"/>
      <c r="G286" s="289"/>
      <c r="H286" s="289" t="s">
        <v>1702</v>
      </c>
      <c r="I286" s="289"/>
      <c r="J286" s="289">
        <v>2021</v>
      </c>
      <c r="K286" s="289"/>
      <c r="L286" s="289"/>
      <c r="M286" s="289" t="s">
        <v>1495</v>
      </c>
      <c r="N286" s="293">
        <v>44196</v>
      </c>
      <c r="O286" s="293">
        <v>44196</v>
      </c>
      <c r="P286" s="289" t="s">
        <v>1703</v>
      </c>
      <c r="Q286" s="290">
        <v>1000</v>
      </c>
      <c r="R286" s="290">
        <v>14040</v>
      </c>
      <c r="S286" s="291">
        <v>368546.11</v>
      </c>
      <c r="T286" s="290">
        <v>14046</v>
      </c>
      <c r="U286" s="291">
        <v>58353.13</v>
      </c>
      <c r="V286" s="291">
        <f t="shared" si="4"/>
        <v>310192.98</v>
      </c>
      <c r="W286" s="292">
        <v>21498.52</v>
      </c>
      <c r="X286" s="290">
        <v>51260</v>
      </c>
      <c r="Y286" s="291">
        <v>3071.21</v>
      </c>
      <c r="Z286" s="289" t="s">
        <v>944</v>
      </c>
      <c r="AA286" s="289"/>
      <c r="AB286" s="289"/>
      <c r="AC286" s="289">
        <v>866</v>
      </c>
      <c r="AD286" s="289" t="s">
        <v>1446</v>
      </c>
      <c r="AE286" s="289" t="s">
        <v>410</v>
      </c>
      <c r="AF286" s="290" t="s">
        <v>1447</v>
      </c>
      <c r="AG286" s="289"/>
      <c r="AH286" s="290" t="s">
        <v>1448</v>
      </c>
      <c r="AI286" s="289">
        <v>0</v>
      </c>
      <c r="AJ286" s="289">
        <v>0</v>
      </c>
    </row>
    <row r="287" spans="2:36">
      <c r="B287" s="290">
        <v>2111</v>
      </c>
      <c r="C287" s="294">
        <v>242372</v>
      </c>
      <c r="D287" s="290" t="s">
        <v>944</v>
      </c>
      <c r="E287" s="289" t="s">
        <v>1704</v>
      </c>
      <c r="F287" s="290">
        <v>170</v>
      </c>
      <c r="G287" s="289"/>
      <c r="H287" s="289"/>
      <c r="I287" s="289"/>
      <c r="J287" s="289">
        <v>0</v>
      </c>
      <c r="K287" s="289" t="s">
        <v>1684</v>
      </c>
      <c r="L287" s="289"/>
      <c r="M287" s="289"/>
      <c r="N287" s="293">
        <v>44109</v>
      </c>
      <c r="O287" s="293">
        <v>44109</v>
      </c>
      <c r="P287" s="289" t="s">
        <v>1705</v>
      </c>
      <c r="Q287" s="290">
        <v>500</v>
      </c>
      <c r="R287" s="290">
        <v>14070</v>
      </c>
      <c r="S287" s="291">
        <v>141491.31</v>
      </c>
      <c r="T287" s="290">
        <v>14076</v>
      </c>
      <c r="U287" s="291">
        <v>51880.15</v>
      </c>
      <c r="V287" s="291">
        <f t="shared" si="4"/>
        <v>89611.16</v>
      </c>
      <c r="W287" s="292">
        <v>16507.32</v>
      </c>
      <c r="X287" s="290">
        <v>51260</v>
      </c>
      <c r="Y287" s="291">
        <v>2358.19</v>
      </c>
      <c r="Z287" s="289" t="s">
        <v>944</v>
      </c>
      <c r="AA287" s="289"/>
      <c r="AB287" s="289">
        <v>5312959</v>
      </c>
      <c r="AC287" s="289"/>
      <c r="AD287" s="289" t="s">
        <v>1446</v>
      </c>
      <c r="AE287" s="289" t="s">
        <v>410</v>
      </c>
      <c r="AF287" s="290" t="s">
        <v>1447</v>
      </c>
      <c r="AG287" s="289"/>
      <c r="AH287" s="290" t="s">
        <v>1448</v>
      </c>
      <c r="AI287" s="289">
        <v>0</v>
      </c>
      <c r="AJ287" s="289">
        <v>0</v>
      </c>
    </row>
    <row r="288" spans="2:36">
      <c r="B288" s="290">
        <v>2111</v>
      </c>
      <c r="C288" s="294">
        <v>241359</v>
      </c>
      <c r="D288" s="290" t="s">
        <v>944</v>
      </c>
      <c r="E288" s="289" t="s">
        <v>1706</v>
      </c>
      <c r="F288" s="290">
        <v>702</v>
      </c>
      <c r="G288" s="289"/>
      <c r="H288" s="289"/>
      <c r="I288" s="289"/>
      <c r="J288" s="289">
        <v>0</v>
      </c>
      <c r="K288" s="289" t="s">
        <v>1462</v>
      </c>
      <c r="L288" s="289"/>
      <c r="M288" s="289" t="s">
        <v>1463</v>
      </c>
      <c r="N288" s="293">
        <v>44114</v>
      </c>
      <c r="O288" s="293">
        <v>44114</v>
      </c>
      <c r="P288" s="289" t="s">
        <v>1707</v>
      </c>
      <c r="Q288" s="290">
        <v>700</v>
      </c>
      <c r="R288" s="290">
        <v>14050</v>
      </c>
      <c r="S288" s="291">
        <v>31276.53</v>
      </c>
      <c r="T288" s="290">
        <v>14056</v>
      </c>
      <c r="U288" s="291">
        <v>8191.48</v>
      </c>
      <c r="V288" s="291">
        <f t="shared" si="4"/>
        <v>23085.05</v>
      </c>
      <c r="W288" s="292">
        <v>2606.38</v>
      </c>
      <c r="X288" s="290">
        <v>54260</v>
      </c>
      <c r="Y288" s="291">
        <v>372.34</v>
      </c>
      <c r="Z288" s="289" t="s">
        <v>944</v>
      </c>
      <c r="AA288" s="289"/>
      <c r="AB288" s="289">
        <v>50127441</v>
      </c>
      <c r="AC288" s="289"/>
      <c r="AD288" s="289" t="s">
        <v>1446</v>
      </c>
      <c r="AE288" s="289" t="s">
        <v>410</v>
      </c>
      <c r="AF288" s="290" t="s">
        <v>1447</v>
      </c>
      <c r="AG288" s="289"/>
      <c r="AH288" s="290" t="s">
        <v>1448</v>
      </c>
      <c r="AI288" s="289">
        <v>0</v>
      </c>
      <c r="AJ288" s="289">
        <v>0</v>
      </c>
    </row>
    <row r="289" spans="2:36">
      <c r="B289" s="290">
        <v>2111</v>
      </c>
      <c r="C289" s="294">
        <v>241358</v>
      </c>
      <c r="D289" s="290" t="s">
        <v>944</v>
      </c>
      <c r="E289" s="289" t="s">
        <v>1708</v>
      </c>
      <c r="F289" s="290">
        <v>702</v>
      </c>
      <c r="G289" s="289"/>
      <c r="H289" s="289"/>
      <c r="I289" s="289"/>
      <c r="J289" s="289">
        <v>0</v>
      </c>
      <c r="K289" s="289" t="s">
        <v>1462</v>
      </c>
      <c r="L289" s="289"/>
      <c r="M289" s="289" t="s">
        <v>1463</v>
      </c>
      <c r="N289" s="293">
        <v>44114</v>
      </c>
      <c r="O289" s="293">
        <v>44114</v>
      </c>
      <c r="P289" s="289" t="s">
        <v>1707</v>
      </c>
      <c r="Q289" s="290">
        <v>700</v>
      </c>
      <c r="R289" s="290">
        <v>14050</v>
      </c>
      <c r="S289" s="291">
        <v>31276.53</v>
      </c>
      <c r="T289" s="290">
        <v>14056</v>
      </c>
      <c r="U289" s="291">
        <v>8191.48</v>
      </c>
      <c r="V289" s="291">
        <f t="shared" si="4"/>
        <v>23085.05</v>
      </c>
      <c r="W289" s="292">
        <v>2606.38</v>
      </c>
      <c r="X289" s="290">
        <v>54260</v>
      </c>
      <c r="Y289" s="291">
        <v>372.34</v>
      </c>
      <c r="Z289" s="289" t="s">
        <v>944</v>
      </c>
      <c r="AA289" s="289"/>
      <c r="AB289" s="289">
        <v>50127441</v>
      </c>
      <c r="AC289" s="289"/>
      <c r="AD289" s="289" t="s">
        <v>1446</v>
      </c>
      <c r="AE289" s="289" t="s">
        <v>410</v>
      </c>
      <c r="AF289" s="290" t="s">
        <v>1447</v>
      </c>
      <c r="AG289" s="289"/>
      <c r="AH289" s="290" t="s">
        <v>1448</v>
      </c>
      <c r="AI289" s="289">
        <v>0</v>
      </c>
      <c r="AJ289" s="289">
        <v>0</v>
      </c>
    </row>
    <row r="290" spans="2:36">
      <c r="B290" s="290">
        <v>2111</v>
      </c>
      <c r="C290" s="294">
        <v>241357</v>
      </c>
      <c r="D290" s="290" t="s">
        <v>944</v>
      </c>
      <c r="E290" s="289" t="s">
        <v>1706</v>
      </c>
      <c r="F290" s="290">
        <v>702</v>
      </c>
      <c r="G290" s="289"/>
      <c r="H290" s="289"/>
      <c r="I290" s="289"/>
      <c r="J290" s="289">
        <v>0</v>
      </c>
      <c r="K290" s="289" t="s">
        <v>1462</v>
      </c>
      <c r="L290" s="289"/>
      <c r="M290" s="289" t="s">
        <v>1463</v>
      </c>
      <c r="N290" s="293">
        <v>44114</v>
      </c>
      <c r="O290" s="293">
        <v>44114</v>
      </c>
      <c r="P290" s="289" t="s">
        <v>1707</v>
      </c>
      <c r="Q290" s="290">
        <v>700</v>
      </c>
      <c r="R290" s="290">
        <v>14050</v>
      </c>
      <c r="S290" s="291">
        <v>31276.53</v>
      </c>
      <c r="T290" s="290">
        <v>14056</v>
      </c>
      <c r="U290" s="291">
        <v>8191.48</v>
      </c>
      <c r="V290" s="291">
        <f t="shared" si="4"/>
        <v>23085.05</v>
      </c>
      <c r="W290" s="292">
        <v>2606.38</v>
      </c>
      <c r="X290" s="290">
        <v>54260</v>
      </c>
      <c r="Y290" s="291">
        <v>372.34</v>
      </c>
      <c r="Z290" s="289" t="s">
        <v>944</v>
      </c>
      <c r="AA290" s="289"/>
      <c r="AB290" s="289">
        <v>50127040</v>
      </c>
      <c r="AC290" s="289"/>
      <c r="AD290" s="289" t="s">
        <v>1446</v>
      </c>
      <c r="AE290" s="289" t="s">
        <v>410</v>
      </c>
      <c r="AF290" s="290" t="s">
        <v>1447</v>
      </c>
      <c r="AG290" s="289"/>
      <c r="AH290" s="290" t="s">
        <v>1448</v>
      </c>
      <c r="AI290" s="289">
        <v>0</v>
      </c>
      <c r="AJ290" s="289">
        <v>0</v>
      </c>
    </row>
    <row r="291" spans="2:36">
      <c r="B291" s="290">
        <v>2111</v>
      </c>
      <c r="C291" s="294">
        <v>241356</v>
      </c>
      <c r="D291" s="290" t="s">
        <v>944</v>
      </c>
      <c r="E291" s="289" t="s">
        <v>1708</v>
      </c>
      <c r="F291" s="290">
        <v>702</v>
      </c>
      <c r="G291" s="289"/>
      <c r="H291" s="289"/>
      <c r="I291" s="289"/>
      <c r="J291" s="289">
        <v>0</v>
      </c>
      <c r="K291" s="289" t="s">
        <v>1462</v>
      </c>
      <c r="L291" s="289"/>
      <c r="M291" s="289" t="s">
        <v>1463</v>
      </c>
      <c r="N291" s="293">
        <v>44090</v>
      </c>
      <c r="O291" s="293">
        <v>44090</v>
      </c>
      <c r="P291" s="289" t="s">
        <v>1709</v>
      </c>
      <c r="Q291" s="290">
        <v>700</v>
      </c>
      <c r="R291" s="290">
        <v>14050</v>
      </c>
      <c r="S291" s="291">
        <v>30505.03</v>
      </c>
      <c r="T291" s="290">
        <v>14056</v>
      </c>
      <c r="U291" s="291">
        <v>7989.42</v>
      </c>
      <c r="V291" s="291">
        <f t="shared" si="4"/>
        <v>22515.61</v>
      </c>
      <c r="W291" s="292">
        <v>2542.09</v>
      </c>
      <c r="X291" s="290">
        <v>54260</v>
      </c>
      <c r="Y291" s="291">
        <v>363.16</v>
      </c>
      <c r="Z291" s="289" t="s">
        <v>944</v>
      </c>
      <c r="AA291" s="289"/>
      <c r="AB291" s="289">
        <v>50122644</v>
      </c>
      <c r="AC291" s="289"/>
      <c r="AD291" s="289" t="s">
        <v>1446</v>
      </c>
      <c r="AE291" s="289" t="s">
        <v>410</v>
      </c>
      <c r="AF291" s="290" t="s">
        <v>1447</v>
      </c>
      <c r="AG291" s="289"/>
      <c r="AH291" s="290" t="s">
        <v>1448</v>
      </c>
      <c r="AI291" s="289">
        <v>0</v>
      </c>
      <c r="AJ291" s="289">
        <v>0</v>
      </c>
    </row>
    <row r="292" spans="2:36">
      <c r="B292" s="290">
        <v>2111</v>
      </c>
      <c r="C292" s="294">
        <v>241355</v>
      </c>
      <c r="D292" s="290" t="s">
        <v>944</v>
      </c>
      <c r="E292" s="289" t="s">
        <v>1706</v>
      </c>
      <c r="F292" s="290">
        <v>702</v>
      </c>
      <c r="G292" s="289"/>
      <c r="H292" s="289"/>
      <c r="I292" s="289"/>
      <c r="J292" s="289">
        <v>0</v>
      </c>
      <c r="K292" s="289" t="s">
        <v>1462</v>
      </c>
      <c r="L292" s="289"/>
      <c r="M292" s="289" t="s">
        <v>1463</v>
      </c>
      <c r="N292" s="293">
        <v>44090</v>
      </c>
      <c r="O292" s="293">
        <v>44090</v>
      </c>
      <c r="P292" s="289" t="s">
        <v>1709</v>
      </c>
      <c r="Q292" s="290">
        <v>700</v>
      </c>
      <c r="R292" s="290">
        <v>14050</v>
      </c>
      <c r="S292" s="291">
        <v>30505.03</v>
      </c>
      <c r="T292" s="290">
        <v>14056</v>
      </c>
      <c r="U292" s="291">
        <v>7989.42</v>
      </c>
      <c r="V292" s="291">
        <f t="shared" si="4"/>
        <v>22515.61</v>
      </c>
      <c r="W292" s="292">
        <v>2542.09</v>
      </c>
      <c r="X292" s="290">
        <v>54260</v>
      </c>
      <c r="Y292" s="291">
        <v>363.16</v>
      </c>
      <c r="Z292" s="289" t="s">
        <v>944</v>
      </c>
      <c r="AA292" s="289"/>
      <c r="AB292" s="289">
        <v>50122460</v>
      </c>
      <c r="AC292" s="289"/>
      <c r="AD292" s="289" t="s">
        <v>1446</v>
      </c>
      <c r="AE292" s="289" t="s">
        <v>410</v>
      </c>
      <c r="AF292" s="290" t="s">
        <v>1447</v>
      </c>
      <c r="AG292" s="289"/>
      <c r="AH292" s="290" t="s">
        <v>1448</v>
      </c>
      <c r="AI292" s="289">
        <v>0</v>
      </c>
      <c r="AJ292" s="289">
        <v>0</v>
      </c>
    </row>
    <row r="293" spans="2:36">
      <c r="B293" s="290">
        <v>2111</v>
      </c>
      <c r="C293" s="294">
        <v>241354</v>
      </c>
      <c r="D293" s="290" t="s">
        <v>944</v>
      </c>
      <c r="E293" s="289" t="s">
        <v>1710</v>
      </c>
      <c r="F293" s="290">
        <v>936</v>
      </c>
      <c r="G293" s="289"/>
      <c r="H293" s="289"/>
      <c r="I293" s="289"/>
      <c r="J293" s="289">
        <v>0</v>
      </c>
      <c r="K293" s="289" t="s">
        <v>1462</v>
      </c>
      <c r="L293" s="289"/>
      <c r="M293" s="289" t="s">
        <v>1463</v>
      </c>
      <c r="N293" s="293">
        <v>44090</v>
      </c>
      <c r="O293" s="293">
        <v>44090</v>
      </c>
      <c r="P293" s="289" t="s">
        <v>1709</v>
      </c>
      <c r="Q293" s="290">
        <v>700</v>
      </c>
      <c r="R293" s="290">
        <v>14050</v>
      </c>
      <c r="S293" s="291">
        <v>34912.86</v>
      </c>
      <c r="T293" s="290">
        <v>14056</v>
      </c>
      <c r="U293" s="291">
        <v>9143.84</v>
      </c>
      <c r="V293" s="291">
        <f t="shared" si="4"/>
        <v>25769.02</v>
      </c>
      <c r="W293" s="292">
        <v>2909.4</v>
      </c>
      <c r="X293" s="290">
        <v>54260</v>
      </c>
      <c r="Y293" s="291">
        <v>415.62</v>
      </c>
      <c r="Z293" s="289" t="s">
        <v>944</v>
      </c>
      <c r="AA293" s="289"/>
      <c r="AB293" s="289">
        <v>50122277</v>
      </c>
      <c r="AC293" s="289"/>
      <c r="AD293" s="289" t="s">
        <v>1446</v>
      </c>
      <c r="AE293" s="289" t="s">
        <v>410</v>
      </c>
      <c r="AF293" s="290" t="s">
        <v>1447</v>
      </c>
      <c r="AG293" s="289"/>
      <c r="AH293" s="290" t="s">
        <v>1448</v>
      </c>
      <c r="AI293" s="289">
        <v>0</v>
      </c>
      <c r="AJ293" s="289">
        <v>0</v>
      </c>
    </row>
    <row r="294" spans="2:36">
      <c r="B294" s="290">
        <v>2111</v>
      </c>
      <c r="C294" s="294">
        <v>241232</v>
      </c>
      <c r="D294" s="290" t="s">
        <v>944</v>
      </c>
      <c r="E294" s="289" t="s">
        <v>1711</v>
      </c>
      <c r="F294" s="290"/>
      <c r="G294" s="289"/>
      <c r="H294" s="289" t="s">
        <v>1649</v>
      </c>
      <c r="I294" s="289"/>
      <c r="J294" s="289">
        <v>2020</v>
      </c>
      <c r="K294" s="289"/>
      <c r="L294" s="289"/>
      <c r="M294" s="289" t="s">
        <v>1495</v>
      </c>
      <c r="N294" s="293">
        <v>44150</v>
      </c>
      <c r="O294" s="293">
        <v>44150</v>
      </c>
      <c r="P294" s="289" t="s">
        <v>1712</v>
      </c>
      <c r="Q294" s="290">
        <v>1000</v>
      </c>
      <c r="R294" s="290">
        <v>14040</v>
      </c>
      <c r="S294" s="291">
        <v>183989.86</v>
      </c>
      <c r="T294" s="290">
        <v>14046</v>
      </c>
      <c r="U294" s="291">
        <v>32198.23</v>
      </c>
      <c r="V294" s="291">
        <f t="shared" si="4"/>
        <v>151791.62999999998</v>
      </c>
      <c r="W294" s="292">
        <v>10732.74</v>
      </c>
      <c r="X294" s="290">
        <v>51260</v>
      </c>
      <c r="Y294" s="291">
        <v>1533.24</v>
      </c>
      <c r="Z294" s="289" t="s">
        <v>944</v>
      </c>
      <c r="AA294" s="289"/>
      <c r="AB294" s="289"/>
      <c r="AC294" s="289">
        <v>867</v>
      </c>
      <c r="AD294" s="289" t="s">
        <v>1446</v>
      </c>
      <c r="AE294" s="289" t="s">
        <v>410</v>
      </c>
      <c r="AF294" s="290" t="s">
        <v>1447</v>
      </c>
      <c r="AG294" s="289"/>
      <c r="AH294" s="290" t="s">
        <v>1448</v>
      </c>
      <c r="AI294" s="289">
        <v>0</v>
      </c>
      <c r="AJ294" s="289">
        <v>0</v>
      </c>
    </row>
    <row r="295" spans="2:36">
      <c r="B295" s="290">
        <v>2111</v>
      </c>
      <c r="C295" s="294">
        <v>240769</v>
      </c>
      <c r="D295" s="290">
        <v>25363</v>
      </c>
      <c r="E295" s="289" t="s">
        <v>1713</v>
      </c>
      <c r="F295" s="290"/>
      <c r="G295" s="289"/>
      <c r="H295" s="289"/>
      <c r="I295" s="289"/>
      <c r="J295" s="289">
        <v>0</v>
      </c>
      <c r="K295" s="289" t="s">
        <v>1466</v>
      </c>
      <c r="L295" s="289"/>
      <c r="M295" s="289" t="s">
        <v>1467</v>
      </c>
      <c r="N295" s="293">
        <v>44106</v>
      </c>
      <c r="O295" s="293">
        <v>44106</v>
      </c>
      <c r="P295" s="289" t="s">
        <v>1714</v>
      </c>
      <c r="Q295" s="290">
        <v>300</v>
      </c>
      <c r="R295" s="290">
        <v>14040</v>
      </c>
      <c r="S295" s="291">
        <v>15474.16</v>
      </c>
      <c r="T295" s="290">
        <v>14046</v>
      </c>
      <c r="U295" s="291">
        <v>9456.42</v>
      </c>
      <c r="V295" s="291">
        <f t="shared" si="4"/>
        <v>6017.74</v>
      </c>
      <c r="W295" s="292">
        <v>3008.86</v>
      </c>
      <c r="X295" s="290">
        <v>51260</v>
      </c>
      <c r="Y295" s="291">
        <v>429.83</v>
      </c>
      <c r="Z295" s="289" t="s">
        <v>944</v>
      </c>
      <c r="AA295" s="289"/>
      <c r="AB295" s="289" t="s">
        <v>1715</v>
      </c>
      <c r="AC295" s="289"/>
      <c r="AD295" s="289" t="s">
        <v>1446</v>
      </c>
      <c r="AE295" s="289" t="s">
        <v>410</v>
      </c>
      <c r="AF295" s="290" t="s">
        <v>1447</v>
      </c>
      <c r="AG295" s="289"/>
      <c r="AH295" s="290" t="s">
        <v>1448</v>
      </c>
      <c r="AI295" s="289">
        <v>0</v>
      </c>
      <c r="AJ295" s="289">
        <v>0</v>
      </c>
    </row>
    <row r="296" spans="2:36">
      <c r="B296" s="290">
        <v>2111</v>
      </c>
      <c r="C296" s="294">
        <v>240722</v>
      </c>
      <c r="D296" s="290">
        <v>240721</v>
      </c>
      <c r="E296" s="289" t="s">
        <v>1109</v>
      </c>
      <c r="F296" s="290"/>
      <c r="G296" s="289"/>
      <c r="H296" s="289"/>
      <c r="I296" s="289"/>
      <c r="J296" s="289">
        <v>0</v>
      </c>
      <c r="K296" s="289" t="s">
        <v>1657</v>
      </c>
      <c r="L296" s="289"/>
      <c r="M296" s="289"/>
      <c r="N296" s="293">
        <v>44124</v>
      </c>
      <c r="O296" s="293">
        <v>44124</v>
      </c>
      <c r="P296" s="289" t="s">
        <v>1716</v>
      </c>
      <c r="Q296" s="290">
        <v>300</v>
      </c>
      <c r="R296" s="290">
        <v>14110</v>
      </c>
      <c r="S296" s="291">
        <v>268.06</v>
      </c>
      <c r="T296" s="290">
        <v>14116</v>
      </c>
      <c r="U296" s="291">
        <v>156.36000000000001</v>
      </c>
      <c r="V296" s="291">
        <f t="shared" si="4"/>
        <v>111.69999999999999</v>
      </c>
      <c r="W296" s="292">
        <v>52.12</v>
      </c>
      <c r="X296" s="290">
        <v>70260</v>
      </c>
      <c r="Y296" s="291">
        <v>7.44</v>
      </c>
      <c r="Z296" s="289" t="s">
        <v>944</v>
      </c>
      <c r="AA296" s="289"/>
      <c r="AB296" s="289">
        <v>3077366</v>
      </c>
      <c r="AC296" s="289"/>
      <c r="AD296" s="289" t="s">
        <v>1446</v>
      </c>
      <c r="AE296" s="289" t="s">
        <v>410</v>
      </c>
      <c r="AF296" s="290" t="s">
        <v>1447</v>
      </c>
      <c r="AG296" s="289"/>
      <c r="AH296" s="290" t="s">
        <v>1448</v>
      </c>
      <c r="AI296" s="289">
        <v>0</v>
      </c>
      <c r="AJ296" s="289">
        <v>0</v>
      </c>
    </row>
    <row r="297" spans="2:36">
      <c r="B297" s="290">
        <v>2111</v>
      </c>
      <c r="C297" s="294">
        <v>240721</v>
      </c>
      <c r="D297" s="290" t="s">
        <v>944</v>
      </c>
      <c r="E297" s="289" t="s">
        <v>1108</v>
      </c>
      <c r="F297" s="290"/>
      <c r="G297" s="289"/>
      <c r="H297" s="289"/>
      <c r="I297" s="289"/>
      <c r="J297" s="289">
        <v>0</v>
      </c>
      <c r="K297" s="289" t="s">
        <v>1657</v>
      </c>
      <c r="L297" s="289"/>
      <c r="M297" s="289"/>
      <c r="N297" s="293">
        <v>44124</v>
      </c>
      <c r="O297" s="293">
        <v>44124</v>
      </c>
      <c r="P297" s="289" t="s">
        <v>1716</v>
      </c>
      <c r="Q297" s="290">
        <v>300</v>
      </c>
      <c r="R297" s="290">
        <v>14110</v>
      </c>
      <c r="S297" s="291">
        <v>1282.6600000000001</v>
      </c>
      <c r="T297" s="290">
        <v>14116</v>
      </c>
      <c r="U297" s="291">
        <v>748.21</v>
      </c>
      <c r="V297" s="291">
        <f t="shared" si="4"/>
        <v>534.45000000000005</v>
      </c>
      <c r="W297" s="292">
        <v>249.4</v>
      </c>
      <c r="X297" s="290">
        <v>70260</v>
      </c>
      <c r="Y297" s="291">
        <v>35.619999999999997</v>
      </c>
      <c r="Z297" s="289" t="s">
        <v>944</v>
      </c>
      <c r="AA297" s="289"/>
      <c r="AB297" s="289">
        <v>3077366</v>
      </c>
      <c r="AC297" s="289"/>
      <c r="AD297" s="289" t="s">
        <v>1446</v>
      </c>
      <c r="AE297" s="289" t="s">
        <v>410</v>
      </c>
      <c r="AF297" s="290" t="s">
        <v>1447</v>
      </c>
      <c r="AG297" s="289"/>
      <c r="AH297" s="290" t="s">
        <v>1448</v>
      </c>
      <c r="AI297" s="289">
        <v>0</v>
      </c>
      <c r="AJ297" s="289">
        <v>0</v>
      </c>
    </row>
    <row r="298" spans="2:36">
      <c r="B298" s="290">
        <v>2111</v>
      </c>
      <c r="C298" s="294">
        <v>240720</v>
      </c>
      <c r="D298" s="290" t="s">
        <v>944</v>
      </c>
      <c r="E298" s="289" t="s">
        <v>1106</v>
      </c>
      <c r="F298" s="290"/>
      <c r="G298" s="289"/>
      <c r="H298" s="289"/>
      <c r="I298" s="289"/>
      <c r="J298" s="289">
        <v>0</v>
      </c>
      <c r="K298" s="289" t="s">
        <v>1657</v>
      </c>
      <c r="L298" s="289"/>
      <c r="M298" s="289"/>
      <c r="N298" s="293">
        <v>44123</v>
      </c>
      <c r="O298" s="293">
        <v>44123</v>
      </c>
      <c r="P298" s="289" t="s">
        <v>1717</v>
      </c>
      <c r="Q298" s="290">
        <v>300</v>
      </c>
      <c r="R298" s="290">
        <v>14110</v>
      </c>
      <c r="S298" s="291">
        <v>1187.67</v>
      </c>
      <c r="T298" s="290">
        <v>14116</v>
      </c>
      <c r="U298" s="291">
        <v>692.8</v>
      </c>
      <c r="V298" s="291">
        <f t="shared" si="4"/>
        <v>494.87000000000012</v>
      </c>
      <c r="W298" s="292">
        <v>230.94</v>
      </c>
      <c r="X298" s="290">
        <v>70260</v>
      </c>
      <c r="Y298" s="291">
        <v>32.99</v>
      </c>
      <c r="Z298" s="289" t="s">
        <v>944</v>
      </c>
      <c r="AA298" s="289"/>
      <c r="AB298" s="289">
        <v>3201074</v>
      </c>
      <c r="AC298" s="289"/>
      <c r="AD298" s="289" t="s">
        <v>1446</v>
      </c>
      <c r="AE298" s="289" t="s">
        <v>410</v>
      </c>
      <c r="AF298" s="290" t="s">
        <v>1447</v>
      </c>
      <c r="AG298" s="289"/>
      <c r="AH298" s="290" t="s">
        <v>1448</v>
      </c>
      <c r="AI298" s="289">
        <v>0</v>
      </c>
      <c r="AJ298" s="289">
        <v>0</v>
      </c>
    </row>
    <row r="299" spans="2:36">
      <c r="B299" s="290">
        <v>2111</v>
      </c>
      <c r="C299" s="294">
        <v>240719</v>
      </c>
      <c r="D299" s="290">
        <v>240720</v>
      </c>
      <c r="E299" s="289" t="s">
        <v>1105</v>
      </c>
      <c r="F299" s="290"/>
      <c r="G299" s="289"/>
      <c r="H299" s="289"/>
      <c r="I299" s="289"/>
      <c r="J299" s="289">
        <v>0</v>
      </c>
      <c r="K299" s="289" t="s">
        <v>1657</v>
      </c>
      <c r="L299" s="289"/>
      <c r="M299" s="289"/>
      <c r="N299" s="293">
        <v>44123</v>
      </c>
      <c r="O299" s="293">
        <v>44123</v>
      </c>
      <c r="P299" s="289" t="s">
        <v>1717</v>
      </c>
      <c r="Q299" s="290">
        <v>300</v>
      </c>
      <c r="R299" s="290">
        <v>14110</v>
      </c>
      <c r="S299" s="291">
        <v>375.84</v>
      </c>
      <c r="T299" s="290">
        <v>14116</v>
      </c>
      <c r="U299" s="291">
        <v>219.24</v>
      </c>
      <c r="V299" s="291">
        <f t="shared" si="4"/>
        <v>156.59999999999997</v>
      </c>
      <c r="W299" s="292">
        <v>73.08</v>
      </c>
      <c r="X299" s="290">
        <v>70260</v>
      </c>
      <c r="Y299" s="291">
        <v>10.44</v>
      </c>
      <c r="Z299" s="289" t="s">
        <v>944</v>
      </c>
      <c r="AA299" s="289"/>
      <c r="AB299" s="289">
        <v>3015413</v>
      </c>
      <c r="AC299" s="289"/>
      <c r="AD299" s="289" t="s">
        <v>1446</v>
      </c>
      <c r="AE299" s="289" t="s">
        <v>410</v>
      </c>
      <c r="AF299" s="290" t="s">
        <v>1447</v>
      </c>
      <c r="AG299" s="289"/>
      <c r="AH299" s="290" t="s">
        <v>1448</v>
      </c>
      <c r="AI299" s="289">
        <v>0</v>
      </c>
      <c r="AJ299" s="289">
        <v>0</v>
      </c>
    </row>
    <row r="300" spans="2:36">
      <c r="B300" s="290">
        <v>2111</v>
      </c>
      <c r="C300" s="294">
        <v>240650</v>
      </c>
      <c r="D300" s="290">
        <v>235097</v>
      </c>
      <c r="E300" s="289" t="s">
        <v>1718</v>
      </c>
      <c r="F300" s="290"/>
      <c r="G300" s="289"/>
      <c r="H300" s="289"/>
      <c r="I300" s="289"/>
      <c r="J300" s="289">
        <v>0</v>
      </c>
      <c r="K300" s="289" t="s">
        <v>1554</v>
      </c>
      <c r="L300" s="289"/>
      <c r="M300" s="289" t="s">
        <v>1467</v>
      </c>
      <c r="N300" s="293">
        <v>44111</v>
      </c>
      <c r="O300" s="293">
        <v>44111</v>
      </c>
      <c r="P300" s="289" t="s">
        <v>1696</v>
      </c>
      <c r="Q300" s="290">
        <v>1000</v>
      </c>
      <c r="R300" s="290">
        <v>14040</v>
      </c>
      <c r="S300" s="291">
        <v>1071.72</v>
      </c>
      <c r="T300" s="290">
        <v>14046</v>
      </c>
      <c r="U300" s="291">
        <v>196.48</v>
      </c>
      <c r="V300" s="291">
        <f t="shared" si="4"/>
        <v>875.24</v>
      </c>
      <c r="W300" s="292">
        <v>62.52</v>
      </c>
      <c r="X300" s="290">
        <v>51260</v>
      </c>
      <c r="Y300" s="291">
        <v>8.93</v>
      </c>
      <c r="Z300" s="289" t="s">
        <v>944</v>
      </c>
      <c r="AA300" s="289"/>
      <c r="AB300" s="289" t="s">
        <v>1719</v>
      </c>
      <c r="AC300" s="289"/>
      <c r="AD300" s="289" t="s">
        <v>1446</v>
      </c>
      <c r="AE300" s="289" t="s">
        <v>410</v>
      </c>
      <c r="AF300" s="290" t="s">
        <v>1447</v>
      </c>
      <c r="AG300" s="289"/>
      <c r="AH300" s="290" t="s">
        <v>1448</v>
      </c>
      <c r="AI300" s="289">
        <v>0</v>
      </c>
      <c r="AJ300" s="289">
        <v>0</v>
      </c>
    </row>
    <row r="301" spans="2:36">
      <c r="B301" s="290">
        <v>2111</v>
      </c>
      <c r="C301" s="294">
        <v>240360</v>
      </c>
      <c r="D301" s="290" t="s">
        <v>944</v>
      </c>
      <c r="E301" s="289" t="s">
        <v>1101</v>
      </c>
      <c r="F301" s="290">
        <v>185</v>
      </c>
      <c r="G301" s="289"/>
      <c r="H301" s="289"/>
      <c r="I301" s="289"/>
      <c r="J301" s="289">
        <v>0</v>
      </c>
      <c r="K301" s="289" t="s">
        <v>1720</v>
      </c>
      <c r="L301" s="289"/>
      <c r="M301" s="289"/>
      <c r="N301" s="293">
        <v>44060</v>
      </c>
      <c r="O301" s="293">
        <v>44060</v>
      </c>
      <c r="P301" s="289" t="s">
        <v>1721</v>
      </c>
      <c r="Q301" s="290">
        <v>100</v>
      </c>
      <c r="R301" s="290">
        <v>14110</v>
      </c>
      <c r="S301" s="291">
        <v>17843.14</v>
      </c>
      <c r="T301" s="290">
        <v>14116</v>
      </c>
      <c r="U301" s="291">
        <v>17843.14</v>
      </c>
      <c r="V301" s="291">
        <f t="shared" si="4"/>
        <v>0</v>
      </c>
      <c r="W301" s="292">
        <v>0</v>
      </c>
      <c r="X301" s="290">
        <v>70260</v>
      </c>
      <c r="Y301" s="291">
        <v>0</v>
      </c>
      <c r="Z301" s="289" t="s">
        <v>944</v>
      </c>
      <c r="AA301" s="289"/>
      <c r="AB301" s="289">
        <v>61438</v>
      </c>
      <c r="AC301" s="289"/>
      <c r="AD301" s="289" t="s">
        <v>1446</v>
      </c>
      <c r="AE301" s="289" t="s">
        <v>410</v>
      </c>
      <c r="AF301" s="290" t="s">
        <v>1447</v>
      </c>
      <c r="AG301" s="289"/>
      <c r="AH301" s="290" t="s">
        <v>1448</v>
      </c>
      <c r="AI301" s="289">
        <v>0</v>
      </c>
      <c r="AJ301" s="289">
        <v>0</v>
      </c>
    </row>
    <row r="302" spans="2:36">
      <c r="B302" s="290">
        <v>2111</v>
      </c>
      <c r="C302" s="294">
        <v>240340</v>
      </c>
      <c r="D302" s="290" t="s">
        <v>944</v>
      </c>
      <c r="E302" s="289" t="s">
        <v>1100</v>
      </c>
      <c r="F302" s="290">
        <v>398</v>
      </c>
      <c r="G302" s="289"/>
      <c r="H302" s="289"/>
      <c r="I302" s="289"/>
      <c r="J302" s="289">
        <v>0</v>
      </c>
      <c r="K302" s="289" t="s">
        <v>1722</v>
      </c>
      <c r="L302" s="289"/>
      <c r="M302" s="289" t="s">
        <v>1463</v>
      </c>
      <c r="N302" s="293">
        <v>44105</v>
      </c>
      <c r="O302" s="293">
        <v>44105</v>
      </c>
      <c r="P302" s="289" t="s">
        <v>1723</v>
      </c>
      <c r="Q302" s="290">
        <v>700</v>
      </c>
      <c r="R302" s="290">
        <v>14050</v>
      </c>
      <c r="S302" s="291">
        <v>2652.93</v>
      </c>
      <c r="T302" s="290">
        <v>14056</v>
      </c>
      <c r="U302" s="291">
        <v>694.82</v>
      </c>
      <c r="V302" s="291">
        <f t="shared" si="4"/>
        <v>1958.1099999999997</v>
      </c>
      <c r="W302" s="292">
        <v>221.08</v>
      </c>
      <c r="X302" s="290">
        <v>54260</v>
      </c>
      <c r="Y302" s="291">
        <v>31.58</v>
      </c>
      <c r="Z302" s="289" t="s">
        <v>944</v>
      </c>
      <c r="AA302" s="289"/>
      <c r="AB302" s="289" t="s">
        <v>1724</v>
      </c>
      <c r="AC302" s="289"/>
      <c r="AD302" s="289" t="s">
        <v>1446</v>
      </c>
      <c r="AE302" s="289" t="s">
        <v>410</v>
      </c>
      <c r="AF302" s="290" t="s">
        <v>1447</v>
      </c>
      <c r="AG302" s="289"/>
      <c r="AH302" s="290" t="s">
        <v>1448</v>
      </c>
      <c r="AI302" s="289">
        <v>0</v>
      </c>
      <c r="AJ302" s="289">
        <v>0</v>
      </c>
    </row>
    <row r="303" spans="2:36">
      <c r="B303" s="290">
        <v>2111</v>
      </c>
      <c r="C303" s="294">
        <v>240339</v>
      </c>
      <c r="D303" s="290" t="s">
        <v>944</v>
      </c>
      <c r="E303" s="289" t="s">
        <v>1099</v>
      </c>
      <c r="F303" s="290">
        <v>25</v>
      </c>
      <c r="G303" s="289"/>
      <c r="H303" s="289"/>
      <c r="I303" s="289"/>
      <c r="J303" s="289">
        <v>0</v>
      </c>
      <c r="K303" s="289" t="s">
        <v>1722</v>
      </c>
      <c r="L303" s="289"/>
      <c r="M303" s="289" t="s">
        <v>1463</v>
      </c>
      <c r="N303" s="293">
        <v>44105</v>
      </c>
      <c r="O303" s="293">
        <v>44105</v>
      </c>
      <c r="P303" s="289" t="s">
        <v>1723</v>
      </c>
      <c r="Q303" s="290">
        <v>700</v>
      </c>
      <c r="R303" s="290">
        <v>14050</v>
      </c>
      <c r="S303" s="291">
        <v>166.64</v>
      </c>
      <c r="T303" s="290">
        <v>14056</v>
      </c>
      <c r="U303" s="291">
        <v>43.65</v>
      </c>
      <c r="V303" s="291">
        <f t="shared" si="4"/>
        <v>122.98999999999998</v>
      </c>
      <c r="W303" s="292">
        <v>13.89</v>
      </c>
      <c r="X303" s="290">
        <v>54260</v>
      </c>
      <c r="Y303" s="291">
        <v>1.98</v>
      </c>
      <c r="Z303" s="289" t="s">
        <v>944</v>
      </c>
      <c r="AA303" s="289"/>
      <c r="AB303" s="289" t="s">
        <v>1724</v>
      </c>
      <c r="AC303" s="289"/>
      <c r="AD303" s="289" t="s">
        <v>1446</v>
      </c>
      <c r="AE303" s="289" t="s">
        <v>410</v>
      </c>
      <c r="AF303" s="290" t="s">
        <v>1447</v>
      </c>
      <c r="AG303" s="289"/>
      <c r="AH303" s="290" t="s">
        <v>1448</v>
      </c>
      <c r="AI303" s="289">
        <v>0</v>
      </c>
      <c r="AJ303" s="289">
        <v>0</v>
      </c>
    </row>
    <row r="304" spans="2:36">
      <c r="B304" s="290">
        <v>2111</v>
      </c>
      <c r="C304" s="294">
        <v>240338</v>
      </c>
      <c r="D304" s="290" t="s">
        <v>944</v>
      </c>
      <c r="E304" s="289" t="s">
        <v>1097</v>
      </c>
      <c r="F304" s="290">
        <v>340</v>
      </c>
      <c r="G304" s="289"/>
      <c r="H304" s="289"/>
      <c r="I304" s="289"/>
      <c r="J304" s="289">
        <v>0</v>
      </c>
      <c r="K304" s="289" t="s">
        <v>1722</v>
      </c>
      <c r="L304" s="289"/>
      <c r="M304" s="289" t="s">
        <v>1463</v>
      </c>
      <c r="N304" s="293">
        <v>44105</v>
      </c>
      <c r="O304" s="293">
        <v>44105</v>
      </c>
      <c r="P304" s="289" t="s">
        <v>1723</v>
      </c>
      <c r="Q304" s="290">
        <v>700</v>
      </c>
      <c r="R304" s="290">
        <v>14050</v>
      </c>
      <c r="S304" s="291">
        <v>2266.3200000000002</v>
      </c>
      <c r="T304" s="290">
        <v>14056</v>
      </c>
      <c r="U304" s="291">
        <v>593.55999999999995</v>
      </c>
      <c r="V304" s="291">
        <f t="shared" si="4"/>
        <v>1672.7600000000002</v>
      </c>
      <c r="W304" s="292">
        <v>188.86</v>
      </c>
      <c r="X304" s="290">
        <v>54260</v>
      </c>
      <c r="Y304" s="291">
        <v>26.98</v>
      </c>
      <c r="Z304" s="289" t="s">
        <v>944</v>
      </c>
      <c r="AA304" s="289"/>
      <c r="AB304" s="289" t="s">
        <v>1724</v>
      </c>
      <c r="AC304" s="289"/>
      <c r="AD304" s="289" t="s">
        <v>1446</v>
      </c>
      <c r="AE304" s="289" t="s">
        <v>410</v>
      </c>
      <c r="AF304" s="290" t="s">
        <v>1447</v>
      </c>
      <c r="AG304" s="289"/>
      <c r="AH304" s="290" t="s">
        <v>1448</v>
      </c>
      <c r="AI304" s="289">
        <v>0</v>
      </c>
      <c r="AJ304" s="289">
        <v>0</v>
      </c>
    </row>
    <row r="305" spans="2:36">
      <c r="B305" s="290">
        <v>2111</v>
      </c>
      <c r="C305" s="294">
        <v>240337</v>
      </c>
      <c r="D305" s="290" t="s">
        <v>944</v>
      </c>
      <c r="E305" s="289" t="s">
        <v>1096</v>
      </c>
      <c r="F305" s="290">
        <v>8</v>
      </c>
      <c r="G305" s="289"/>
      <c r="H305" s="289"/>
      <c r="I305" s="289"/>
      <c r="J305" s="289">
        <v>0</v>
      </c>
      <c r="K305" s="289" t="s">
        <v>1722</v>
      </c>
      <c r="L305" s="289"/>
      <c r="M305" s="289" t="s">
        <v>1463</v>
      </c>
      <c r="N305" s="293">
        <v>44105</v>
      </c>
      <c r="O305" s="293">
        <v>44105</v>
      </c>
      <c r="P305" s="289" t="s">
        <v>1723</v>
      </c>
      <c r="Q305" s="290">
        <v>700</v>
      </c>
      <c r="R305" s="290">
        <v>14050</v>
      </c>
      <c r="S305" s="291">
        <v>53.33</v>
      </c>
      <c r="T305" s="290">
        <v>14056</v>
      </c>
      <c r="U305" s="291">
        <v>13.98</v>
      </c>
      <c r="V305" s="291">
        <f t="shared" si="4"/>
        <v>39.349999999999994</v>
      </c>
      <c r="W305" s="292">
        <v>4.45</v>
      </c>
      <c r="X305" s="290">
        <v>54260</v>
      </c>
      <c r="Y305" s="291">
        <v>0.64</v>
      </c>
      <c r="Z305" s="289" t="s">
        <v>944</v>
      </c>
      <c r="AA305" s="289"/>
      <c r="AB305" s="289" t="s">
        <v>1724</v>
      </c>
      <c r="AC305" s="289"/>
      <c r="AD305" s="289" t="s">
        <v>1446</v>
      </c>
      <c r="AE305" s="289" t="s">
        <v>410</v>
      </c>
      <c r="AF305" s="290" t="s">
        <v>1447</v>
      </c>
      <c r="AG305" s="289"/>
      <c r="AH305" s="290" t="s">
        <v>1448</v>
      </c>
      <c r="AI305" s="289">
        <v>0</v>
      </c>
      <c r="AJ305" s="289">
        <v>0</v>
      </c>
    </row>
    <row r="306" spans="2:36">
      <c r="B306" s="290">
        <v>2111</v>
      </c>
      <c r="C306" s="294">
        <v>240336</v>
      </c>
      <c r="D306" s="290" t="s">
        <v>944</v>
      </c>
      <c r="E306" s="289" t="s">
        <v>1095</v>
      </c>
      <c r="F306" s="290">
        <v>27</v>
      </c>
      <c r="G306" s="289"/>
      <c r="H306" s="289"/>
      <c r="I306" s="289"/>
      <c r="J306" s="289">
        <v>0</v>
      </c>
      <c r="K306" s="289" t="s">
        <v>1722</v>
      </c>
      <c r="L306" s="289"/>
      <c r="M306" s="289" t="s">
        <v>1463</v>
      </c>
      <c r="N306" s="293">
        <v>44105</v>
      </c>
      <c r="O306" s="293">
        <v>44105</v>
      </c>
      <c r="P306" s="289" t="s">
        <v>1723</v>
      </c>
      <c r="Q306" s="290">
        <v>700</v>
      </c>
      <c r="R306" s="290">
        <v>14050</v>
      </c>
      <c r="S306" s="291">
        <v>179.97</v>
      </c>
      <c r="T306" s="290">
        <v>14056</v>
      </c>
      <c r="U306" s="291">
        <v>47.14</v>
      </c>
      <c r="V306" s="291">
        <f t="shared" si="4"/>
        <v>132.82999999999998</v>
      </c>
      <c r="W306" s="292">
        <v>15</v>
      </c>
      <c r="X306" s="290">
        <v>54260</v>
      </c>
      <c r="Y306" s="291">
        <v>2.14</v>
      </c>
      <c r="Z306" s="289" t="s">
        <v>944</v>
      </c>
      <c r="AA306" s="289"/>
      <c r="AB306" s="289" t="s">
        <v>1724</v>
      </c>
      <c r="AC306" s="289"/>
      <c r="AD306" s="289" t="s">
        <v>1446</v>
      </c>
      <c r="AE306" s="289" t="s">
        <v>410</v>
      </c>
      <c r="AF306" s="290" t="s">
        <v>1447</v>
      </c>
      <c r="AG306" s="289"/>
      <c r="AH306" s="290" t="s">
        <v>1448</v>
      </c>
      <c r="AI306" s="289">
        <v>0</v>
      </c>
      <c r="AJ306" s="289">
        <v>0</v>
      </c>
    </row>
    <row r="307" spans="2:36">
      <c r="B307" s="290">
        <v>2111</v>
      </c>
      <c r="C307" s="294">
        <v>240335</v>
      </c>
      <c r="D307" s="290" t="s">
        <v>944</v>
      </c>
      <c r="E307" s="289" t="s">
        <v>1099</v>
      </c>
      <c r="F307" s="290">
        <v>405</v>
      </c>
      <c r="G307" s="289"/>
      <c r="H307" s="289"/>
      <c r="I307" s="289"/>
      <c r="J307" s="289">
        <v>0</v>
      </c>
      <c r="K307" s="289" t="s">
        <v>1722</v>
      </c>
      <c r="L307" s="289"/>
      <c r="M307" s="289" t="s">
        <v>1463</v>
      </c>
      <c r="N307" s="293">
        <v>44105</v>
      </c>
      <c r="O307" s="293">
        <v>44105</v>
      </c>
      <c r="P307" s="289" t="s">
        <v>1723</v>
      </c>
      <c r="Q307" s="290">
        <v>700</v>
      </c>
      <c r="R307" s="290">
        <v>14050</v>
      </c>
      <c r="S307" s="291">
        <v>2699.59</v>
      </c>
      <c r="T307" s="290">
        <v>14056</v>
      </c>
      <c r="U307" s="291">
        <v>707.04</v>
      </c>
      <c r="V307" s="291">
        <f t="shared" si="4"/>
        <v>1992.5500000000002</v>
      </c>
      <c r="W307" s="292">
        <v>224.97</v>
      </c>
      <c r="X307" s="290">
        <v>54260</v>
      </c>
      <c r="Y307" s="291">
        <v>32.14</v>
      </c>
      <c r="Z307" s="289" t="s">
        <v>944</v>
      </c>
      <c r="AA307" s="289"/>
      <c r="AB307" s="289" t="s">
        <v>1724</v>
      </c>
      <c r="AC307" s="289"/>
      <c r="AD307" s="289" t="s">
        <v>1446</v>
      </c>
      <c r="AE307" s="289" t="s">
        <v>410</v>
      </c>
      <c r="AF307" s="290" t="s">
        <v>1447</v>
      </c>
      <c r="AG307" s="289"/>
      <c r="AH307" s="290" t="s">
        <v>1448</v>
      </c>
      <c r="AI307" s="289">
        <v>0</v>
      </c>
      <c r="AJ307" s="289">
        <v>0</v>
      </c>
    </row>
    <row r="308" spans="2:36">
      <c r="B308" s="290">
        <v>2111</v>
      </c>
      <c r="C308" s="294">
        <v>240334</v>
      </c>
      <c r="D308" s="290" t="s">
        <v>944</v>
      </c>
      <c r="E308" s="289" t="s">
        <v>1094</v>
      </c>
      <c r="F308" s="290">
        <v>116</v>
      </c>
      <c r="G308" s="289"/>
      <c r="H308" s="289"/>
      <c r="I308" s="289"/>
      <c r="J308" s="289">
        <v>0</v>
      </c>
      <c r="K308" s="289" t="s">
        <v>1722</v>
      </c>
      <c r="L308" s="289"/>
      <c r="M308" s="289" t="s">
        <v>1463</v>
      </c>
      <c r="N308" s="293">
        <v>44105</v>
      </c>
      <c r="O308" s="293">
        <v>44105</v>
      </c>
      <c r="P308" s="289" t="s">
        <v>1723</v>
      </c>
      <c r="Q308" s="290">
        <v>700</v>
      </c>
      <c r="R308" s="290">
        <v>14050</v>
      </c>
      <c r="S308" s="291">
        <v>773.22</v>
      </c>
      <c r="T308" s="290">
        <v>14056</v>
      </c>
      <c r="U308" s="291">
        <v>202.51</v>
      </c>
      <c r="V308" s="291">
        <f t="shared" si="4"/>
        <v>570.71</v>
      </c>
      <c r="W308" s="292">
        <v>64.44</v>
      </c>
      <c r="X308" s="290">
        <v>54260</v>
      </c>
      <c r="Y308" s="291">
        <v>9.2100000000000009</v>
      </c>
      <c r="Z308" s="289" t="s">
        <v>944</v>
      </c>
      <c r="AA308" s="289"/>
      <c r="AB308" s="289" t="s">
        <v>1724</v>
      </c>
      <c r="AC308" s="289"/>
      <c r="AD308" s="289" t="s">
        <v>1446</v>
      </c>
      <c r="AE308" s="289" t="s">
        <v>410</v>
      </c>
      <c r="AF308" s="290" t="s">
        <v>1447</v>
      </c>
      <c r="AG308" s="289"/>
      <c r="AH308" s="290" t="s">
        <v>1448</v>
      </c>
      <c r="AI308" s="289">
        <v>0</v>
      </c>
      <c r="AJ308" s="289">
        <v>0</v>
      </c>
    </row>
    <row r="309" spans="2:36">
      <c r="B309" s="290">
        <v>2111</v>
      </c>
      <c r="C309" s="294">
        <v>240062</v>
      </c>
      <c r="D309" s="290" t="s">
        <v>944</v>
      </c>
      <c r="E309" s="289" t="s">
        <v>1725</v>
      </c>
      <c r="F309" s="290">
        <v>10</v>
      </c>
      <c r="G309" s="289"/>
      <c r="H309" s="289"/>
      <c r="I309" s="289"/>
      <c r="J309" s="289">
        <v>0</v>
      </c>
      <c r="K309" s="289" t="s">
        <v>1726</v>
      </c>
      <c r="L309" s="289"/>
      <c r="M309" s="289" t="s">
        <v>1659</v>
      </c>
      <c r="N309" s="293">
        <v>44069</v>
      </c>
      <c r="O309" s="293">
        <v>44069</v>
      </c>
      <c r="P309" s="289" t="s">
        <v>1727</v>
      </c>
      <c r="Q309" s="290">
        <v>1200</v>
      </c>
      <c r="R309" s="290">
        <v>14050</v>
      </c>
      <c r="S309" s="291">
        <v>6484.1</v>
      </c>
      <c r="T309" s="290">
        <v>14056</v>
      </c>
      <c r="U309" s="291">
        <v>1035.6500000000001</v>
      </c>
      <c r="V309" s="291">
        <f t="shared" si="4"/>
        <v>5448.4500000000007</v>
      </c>
      <c r="W309" s="292">
        <v>315.2</v>
      </c>
      <c r="X309" s="290">
        <v>54260</v>
      </c>
      <c r="Y309" s="291">
        <v>45.03</v>
      </c>
      <c r="Z309" s="289" t="s">
        <v>944</v>
      </c>
      <c r="AA309" s="289"/>
      <c r="AB309" s="289">
        <v>162100</v>
      </c>
      <c r="AC309" s="289"/>
      <c r="AD309" s="289" t="s">
        <v>1446</v>
      </c>
      <c r="AE309" s="289" t="s">
        <v>410</v>
      </c>
      <c r="AF309" s="290" t="s">
        <v>1447</v>
      </c>
      <c r="AG309" s="289"/>
      <c r="AH309" s="290" t="s">
        <v>1448</v>
      </c>
      <c r="AI309" s="289">
        <v>0</v>
      </c>
      <c r="AJ309" s="289">
        <v>0</v>
      </c>
    </row>
    <row r="310" spans="2:36">
      <c r="B310" s="290">
        <v>2111</v>
      </c>
      <c r="C310" s="294">
        <v>240061</v>
      </c>
      <c r="D310" s="290" t="s">
        <v>944</v>
      </c>
      <c r="E310" s="289" t="s">
        <v>1728</v>
      </c>
      <c r="F310" s="290">
        <v>1</v>
      </c>
      <c r="G310" s="289"/>
      <c r="H310" s="289"/>
      <c r="I310" s="289"/>
      <c r="J310" s="289">
        <v>0</v>
      </c>
      <c r="K310" s="289" t="s">
        <v>1726</v>
      </c>
      <c r="L310" s="289"/>
      <c r="M310" s="289" t="s">
        <v>1662</v>
      </c>
      <c r="N310" s="293">
        <v>44068</v>
      </c>
      <c r="O310" s="293">
        <v>44068</v>
      </c>
      <c r="P310" s="289" t="s">
        <v>1729</v>
      </c>
      <c r="Q310" s="290">
        <v>1200</v>
      </c>
      <c r="R310" s="290">
        <v>14050</v>
      </c>
      <c r="S310" s="291">
        <v>983.61</v>
      </c>
      <c r="T310" s="290">
        <v>14056</v>
      </c>
      <c r="U310" s="291">
        <v>157.08000000000001</v>
      </c>
      <c r="V310" s="291">
        <f t="shared" si="4"/>
        <v>826.53</v>
      </c>
      <c r="W310" s="292">
        <v>47.81</v>
      </c>
      <c r="X310" s="290">
        <v>54260</v>
      </c>
      <c r="Y310" s="291">
        <v>6.82</v>
      </c>
      <c r="Z310" s="289" t="s">
        <v>944</v>
      </c>
      <c r="AA310" s="289"/>
      <c r="AB310" s="289">
        <v>162116</v>
      </c>
      <c r="AC310" s="289"/>
      <c r="AD310" s="289" t="s">
        <v>1446</v>
      </c>
      <c r="AE310" s="289" t="s">
        <v>410</v>
      </c>
      <c r="AF310" s="290" t="s">
        <v>1447</v>
      </c>
      <c r="AG310" s="289"/>
      <c r="AH310" s="290" t="s">
        <v>1448</v>
      </c>
      <c r="AI310" s="289">
        <v>0</v>
      </c>
      <c r="AJ310" s="289">
        <v>0</v>
      </c>
    </row>
    <row r="311" spans="2:36">
      <c r="B311" s="290">
        <v>2111</v>
      </c>
      <c r="C311" s="294">
        <v>240060</v>
      </c>
      <c r="D311" s="290" t="s">
        <v>944</v>
      </c>
      <c r="E311" s="289" t="s">
        <v>1730</v>
      </c>
      <c r="F311" s="290">
        <v>7</v>
      </c>
      <c r="G311" s="289"/>
      <c r="H311" s="289"/>
      <c r="I311" s="289"/>
      <c r="J311" s="289">
        <v>0</v>
      </c>
      <c r="K311" s="289" t="s">
        <v>1726</v>
      </c>
      <c r="L311" s="289"/>
      <c r="M311" s="289" t="s">
        <v>1662</v>
      </c>
      <c r="N311" s="293">
        <v>44055</v>
      </c>
      <c r="O311" s="293">
        <v>44055</v>
      </c>
      <c r="P311" s="289" t="s">
        <v>1731</v>
      </c>
      <c r="Q311" s="290">
        <v>1200</v>
      </c>
      <c r="R311" s="290">
        <v>14050</v>
      </c>
      <c r="S311" s="291">
        <v>6462.12</v>
      </c>
      <c r="T311" s="290">
        <v>14056</v>
      </c>
      <c r="U311" s="291">
        <v>1077.02</v>
      </c>
      <c r="V311" s="291">
        <f t="shared" si="4"/>
        <v>5385.1</v>
      </c>
      <c r="W311" s="292">
        <v>314.13</v>
      </c>
      <c r="X311" s="290">
        <v>54260</v>
      </c>
      <c r="Y311" s="291">
        <v>44.87</v>
      </c>
      <c r="Z311" s="289" t="s">
        <v>944</v>
      </c>
      <c r="AA311" s="289"/>
      <c r="AB311" s="289">
        <v>162076</v>
      </c>
      <c r="AC311" s="289"/>
      <c r="AD311" s="289" t="s">
        <v>1446</v>
      </c>
      <c r="AE311" s="289" t="s">
        <v>410</v>
      </c>
      <c r="AF311" s="290" t="s">
        <v>1447</v>
      </c>
      <c r="AG311" s="289"/>
      <c r="AH311" s="290" t="s">
        <v>1448</v>
      </c>
      <c r="AI311" s="289">
        <v>0</v>
      </c>
      <c r="AJ311" s="289">
        <v>0</v>
      </c>
    </row>
    <row r="312" spans="2:36">
      <c r="B312" s="290">
        <v>2111</v>
      </c>
      <c r="C312" s="294">
        <v>239905</v>
      </c>
      <c r="D312" s="290" t="s">
        <v>944</v>
      </c>
      <c r="E312" s="289" t="s">
        <v>1732</v>
      </c>
      <c r="F312" s="290">
        <v>15</v>
      </c>
      <c r="G312" s="289"/>
      <c r="H312" s="289"/>
      <c r="I312" s="289"/>
      <c r="J312" s="289">
        <v>0</v>
      </c>
      <c r="K312" s="289" t="s">
        <v>1726</v>
      </c>
      <c r="L312" s="289"/>
      <c r="M312" s="289" t="s">
        <v>1659</v>
      </c>
      <c r="N312" s="293">
        <v>44063</v>
      </c>
      <c r="O312" s="293">
        <v>44063</v>
      </c>
      <c r="P312" s="289" t="s">
        <v>1733</v>
      </c>
      <c r="Q312" s="290">
        <v>1200</v>
      </c>
      <c r="R312" s="290">
        <v>14050</v>
      </c>
      <c r="S312" s="291">
        <v>9149.18</v>
      </c>
      <c r="T312" s="290">
        <v>14056</v>
      </c>
      <c r="U312" s="291">
        <v>1461.31</v>
      </c>
      <c r="V312" s="291">
        <f t="shared" si="4"/>
        <v>7687.8700000000008</v>
      </c>
      <c r="W312" s="292">
        <v>444.75</v>
      </c>
      <c r="X312" s="290">
        <v>54260</v>
      </c>
      <c r="Y312" s="291">
        <v>63.53</v>
      </c>
      <c r="Z312" s="289" t="s">
        <v>944</v>
      </c>
      <c r="AA312" s="289"/>
      <c r="AB312" s="289">
        <v>162055</v>
      </c>
      <c r="AC312" s="289"/>
      <c r="AD312" s="289" t="s">
        <v>1446</v>
      </c>
      <c r="AE312" s="289" t="s">
        <v>410</v>
      </c>
      <c r="AF312" s="290" t="s">
        <v>1447</v>
      </c>
      <c r="AG312" s="289"/>
      <c r="AH312" s="290" t="s">
        <v>1448</v>
      </c>
      <c r="AI312" s="289">
        <v>0</v>
      </c>
      <c r="AJ312" s="289">
        <v>0</v>
      </c>
    </row>
    <row r="313" spans="2:36">
      <c r="B313" s="290">
        <v>2111</v>
      </c>
      <c r="C313" s="294">
        <v>239904</v>
      </c>
      <c r="D313" s="290" t="s">
        <v>944</v>
      </c>
      <c r="E313" s="289" t="s">
        <v>1734</v>
      </c>
      <c r="F313" s="290">
        <v>9</v>
      </c>
      <c r="G313" s="289"/>
      <c r="H313" s="289"/>
      <c r="I313" s="289"/>
      <c r="J313" s="289">
        <v>0</v>
      </c>
      <c r="K313" s="289" t="s">
        <v>1726</v>
      </c>
      <c r="L313" s="289"/>
      <c r="M313" s="289" t="s">
        <v>1662</v>
      </c>
      <c r="N313" s="293">
        <v>44068</v>
      </c>
      <c r="O313" s="293">
        <v>44068</v>
      </c>
      <c r="P313" s="289" t="s">
        <v>1729</v>
      </c>
      <c r="Q313" s="290">
        <v>1200</v>
      </c>
      <c r="R313" s="290">
        <v>14050</v>
      </c>
      <c r="S313" s="291">
        <v>8852.4500000000007</v>
      </c>
      <c r="T313" s="290">
        <v>14056</v>
      </c>
      <c r="U313" s="291">
        <v>1413.94</v>
      </c>
      <c r="V313" s="291">
        <f t="shared" si="4"/>
        <v>7438.51</v>
      </c>
      <c r="W313" s="292">
        <v>430.33</v>
      </c>
      <c r="X313" s="290">
        <v>54260</v>
      </c>
      <c r="Y313" s="291">
        <v>61.47</v>
      </c>
      <c r="Z313" s="289" t="s">
        <v>944</v>
      </c>
      <c r="AA313" s="289"/>
      <c r="AB313" s="289">
        <v>162099</v>
      </c>
      <c r="AC313" s="289"/>
      <c r="AD313" s="289" t="s">
        <v>1446</v>
      </c>
      <c r="AE313" s="289" t="s">
        <v>410</v>
      </c>
      <c r="AF313" s="290" t="s">
        <v>1447</v>
      </c>
      <c r="AG313" s="289"/>
      <c r="AH313" s="290" t="s">
        <v>1448</v>
      </c>
      <c r="AI313" s="289">
        <v>0</v>
      </c>
      <c r="AJ313" s="289">
        <v>0</v>
      </c>
    </row>
    <row r="314" spans="2:36">
      <c r="B314" s="290">
        <v>2111</v>
      </c>
      <c r="C314" s="294">
        <v>239903</v>
      </c>
      <c r="D314" s="290" t="s">
        <v>944</v>
      </c>
      <c r="E314" s="289" t="s">
        <v>1730</v>
      </c>
      <c r="F314" s="290">
        <v>8</v>
      </c>
      <c r="G314" s="289"/>
      <c r="H314" s="289"/>
      <c r="I314" s="289"/>
      <c r="J314" s="289">
        <v>0</v>
      </c>
      <c r="K314" s="289" t="s">
        <v>1726</v>
      </c>
      <c r="L314" s="289"/>
      <c r="M314" s="289" t="s">
        <v>1662</v>
      </c>
      <c r="N314" s="293">
        <v>44055</v>
      </c>
      <c r="O314" s="293">
        <v>44055</v>
      </c>
      <c r="P314" s="289" t="s">
        <v>1731</v>
      </c>
      <c r="Q314" s="290">
        <v>1200</v>
      </c>
      <c r="R314" s="290">
        <v>14050</v>
      </c>
      <c r="S314" s="291">
        <v>7385.28</v>
      </c>
      <c r="T314" s="290">
        <v>14056</v>
      </c>
      <c r="U314" s="291">
        <v>1230.8800000000001</v>
      </c>
      <c r="V314" s="291">
        <f t="shared" si="4"/>
        <v>6154.4</v>
      </c>
      <c r="W314" s="292">
        <v>359.01</v>
      </c>
      <c r="X314" s="290">
        <v>54260</v>
      </c>
      <c r="Y314" s="291">
        <v>51.29</v>
      </c>
      <c r="Z314" s="289" t="s">
        <v>944</v>
      </c>
      <c r="AA314" s="289"/>
      <c r="AB314" s="289">
        <v>162051</v>
      </c>
      <c r="AC314" s="289"/>
      <c r="AD314" s="289" t="s">
        <v>1446</v>
      </c>
      <c r="AE314" s="289" t="s">
        <v>410</v>
      </c>
      <c r="AF314" s="290" t="s">
        <v>1447</v>
      </c>
      <c r="AG314" s="289"/>
      <c r="AH314" s="290" t="s">
        <v>1448</v>
      </c>
      <c r="AI314" s="289">
        <v>0</v>
      </c>
      <c r="AJ314" s="289">
        <v>0</v>
      </c>
    </row>
    <row r="315" spans="2:36">
      <c r="B315" s="290">
        <v>2111</v>
      </c>
      <c r="C315" s="294">
        <v>239770</v>
      </c>
      <c r="D315" s="290">
        <v>232978</v>
      </c>
      <c r="E315" s="289" t="s">
        <v>1735</v>
      </c>
      <c r="F315" s="290"/>
      <c r="G315" s="289"/>
      <c r="H315" s="289"/>
      <c r="I315" s="289"/>
      <c r="J315" s="289">
        <v>0</v>
      </c>
      <c r="K315" s="289" t="s">
        <v>1456</v>
      </c>
      <c r="L315" s="289"/>
      <c r="M315" s="289"/>
      <c r="N315" s="293">
        <v>43982</v>
      </c>
      <c r="O315" s="293">
        <v>43982</v>
      </c>
      <c r="P315" s="289" t="s">
        <v>1699</v>
      </c>
      <c r="Q315" s="290">
        <v>1000</v>
      </c>
      <c r="R315" s="290">
        <v>14010</v>
      </c>
      <c r="S315" s="291">
        <v>18885.75</v>
      </c>
      <c r="T315" s="290">
        <v>14016</v>
      </c>
      <c r="U315" s="291">
        <v>4091.92</v>
      </c>
      <c r="V315" s="291">
        <f t="shared" si="4"/>
        <v>14793.83</v>
      </c>
      <c r="W315" s="292">
        <v>1101.67</v>
      </c>
      <c r="X315" s="290">
        <v>57260</v>
      </c>
      <c r="Y315" s="291">
        <v>157.38</v>
      </c>
      <c r="Z315" s="289" t="s">
        <v>944</v>
      </c>
      <c r="AA315" s="289"/>
      <c r="AB315" s="289" t="s">
        <v>1736</v>
      </c>
      <c r="AC315" s="289"/>
      <c r="AD315" s="289" t="s">
        <v>1446</v>
      </c>
      <c r="AE315" s="289" t="s">
        <v>410</v>
      </c>
      <c r="AF315" s="290" t="s">
        <v>1447</v>
      </c>
      <c r="AG315" s="289"/>
      <c r="AH315" s="290" t="s">
        <v>1448</v>
      </c>
      <c r="AI315" s="289">
        <v>0</v>
      </c>
      <c r="AJ315" s="289">
        <v>0</v>
      </c>
    </row>
    <row r="316" spans="2:36">
      <c r="B316" s="290">
        <v>2111</v>
      </c>
      <c r="C316" s="294">
        <v>239769</v>
      </c>
      <c r="D316" s="290">
        <v>232978</v>
      </c>
      <c r="E316" s="289" t="s">
        <v>1737</v>
      </c>
      <c r="F316" s="290"/>
      <c r="G316" s="289"/>
      <c r="H316" s="289"/>
      <c r="I316" s="289"/>
      <c r="J316" s="289">
        <v>0</v>
      </c>
      <c r="K316" s="289" t="s">
        <v>1456</v>
      </c>
      <c r="L316" s="289"/>
      <c r="M316" s="289"/>
      <c r="N316" s="293">
        <v>43982</v>
      </c>
      <c r="O316" s="293">
        <v>43982</v>
      </c>
      <c r="P316" s="289" t="s">
        <v>1699</v>
      </c>
      <c r="Q316" s="290">
        <v>1000</v>
      </c>
      <c r="R316" s="290">
        <v>14010</v>
      </c>
      <c r="S316" s="291">
        <v>4396.5</v>
      </c>
      <c r="T316" s="290">
        <v>14016</v>
      </c>
      <c r="U316" s="291">
        <v>952.57</v>
      </c>
      <c r="V316" s="291">
        <f t="shared" si="4"/>
        <v>3443.93</v>
      </c>
      <c r="W316" s="292">
        <v>256.45999999999998</v>
      </c>
      <c r="X316" s="290">
        <v>57260</v>
      </c>
      <c r="Y316" s="291">
        <v>36.630000000000003</v>
      </c>
      <c r="Z316" s="289" t="s">
        <v>944</v>
      </c>
      <c r="AA316" s="289"/>
      <c r="AB316" s="289" t="s">
        <v>1738</v>
      </c>
      <c r="AC316" s="289"/>
      <c r="AD316" s="289" t="s">
        <v>1446</v>
      </c>
      <c r="AE316" s="289" t="s">
        <v>410</v>
      </c>
      <c r="AF316" s="290" t="s">
        <v>1447</v>
      </c>
      <c r="AG316" s="289"/>
      <c r="AH316" s="290" t="s">
        <v>1448</v>
      </c>
      <c r="AI316" s="289">
        <v>0</v>
      </c>
      <c r="AJ316" s="289">
        <v>0</v>
      </c>
    </row>
    <row r="317" spans="2:36">
      <c r="B317" s="290">
        <v>2111</v>
      </c>
      <c r="C317" s="294">
        <v>239583</v>
      </c>
      <c r="D317" s="290" t="s">
        <v>944</v>
      </c>
      <c r="E317" s="289" t="s">
        <v>1089</v>
      </c>
      <c r="F317" s="290"/>
      <c r="G317" s="289"/>
      <c r="H317" s="289"/>
      <c r="I317" s="289"/>
      <c r="J317" s="289">
        <v>0</v>
      </c>
      <c r="K317" s="289" t="s">
        <v>1657</v>
      </c>
      <c r="L317" s="289"/>
      <c r="M317" s="289"/>
      <c r="N317" s="293">
        <v>44085</v>
      </c>
      <c r="O317" s="293">
        <v>44085</v>
      </c>
      <c r="P317" s="289" t="s">
        <v>1739</v>
      </c>
      <c r="Q317" s="290">
        <v>300</v>
      </c>
      <c r="R317" s="290">
        <v>14110</v>
      </c>
      <c r="S317" s="291">
        <v>849.57</v>
      </c>
      <c r="T317" s="290">
        <v>14116</v>
      </c>
      <c r="U317" s="291">
        <v>542.78</v>
      </c>
      <c r="V317" s="291">
        <f t="shared" si="4"/>
        <v>306.79000000000008</v>
      </c>
      <c r="W317" s="292">
        <v>165.19</v>
      </c>
      <c r="X317" s="290">
        <v>70260</v>
      </c>
      <c r="Y317" s="291">
        <v>23.59</v>
      </c>
      <c r="Z317" s="289" t="s">
        <v>944</v>
      </c>
      <c r="AA317" s="289"/>
      <c r="AB317" s="289">
        <v>1240860</v>
      </c>
      <c r="AC317" s="289"/>
      <c r="AD317" s="289" t="s">
        <v>1446</v>
      </c>
      <c r="AE317" s="289" t="s">
        <v>410</v>
      </c>
      <c r="AF317" s="290" t="s">
        <v>1447</v>
      </c>
      <c r="AG317" s="289"/>
      <c r="AH317" s="290" t="s">
        <v>1448</v>
      </c>
      <c r="AI317" s="289">
        <v>0</v>
      </c>
      <c r="AJ317" s="289">
        <v>0</v>
      </c>
    </row>
    <row r="318" spans="2:36">
      <c r="B318" s="290">
        <v>2111</v>
      </c>
      <c r="C318" s="294">
        <v>238419</v>
      </c>
      <c r="D318" s="290" t="s">
        <v>944</v>
      </c>
      <c r="E318" s="289" t="s">
        <v>1740</v>
      </c>
      <c r="F318" s="290">
        <v>10</v>
      </c>
      <c r="G318" s="289"/>
      <c r="H318" s="289"/>
      <c r="I318" s="289"/>
      <c r="J318" s="289">
        <v>0</v>
      </c>
      <c r="K318" s="289" t="s">
        <v>1726</v>
      </c>
      <c r="L318" s="289"/>
      <c r="M318" s="289" t="s">
        <v>1664</v>
      </c>
      <c r="N318" s="293">
        <v>44062</v>
      </c>
      <c r="O318" s="293">
        <v>44062</v>
      </c>
      <c r="P318" s="289" t="s">
        <v>1741</v>
      </c>
      <c r="Q318" s="290">
        <v>1200</v>
      </c>
      <c r="R318" s="290">
        <v>14050</v>
      </c>
      <c r="S318" s="291">
        <v>7308.35</v>
      </c>
      <c r="T318" s="290">
        <v>14056</v>
      </c>
      <c r="U318" s="291">
        <v>1167.31</v>
      </c>
      <c r="V318" s="291">
        <f t="shared" si="4"/>
        <v>6141.0400000000009</v>
      </c>
      <c r="W318" s="292">
        <v>355.27</v>
      </c>
      <c r="X318" s="290">
        <v>54260</v>
      </c>
      <c r="Y318" s="291">
        <v>50.75</v>
      </c>
      <c r="Z318" s="289" t="s">
        <v>944</v>
      </c>
      <c r="AA318" s="289"/>
      <c r="AB318" s="289">
        <v>161855</v>
      </c>
      <c r="AC318" s="289"/>
      <c r="AD318" s="289" t="s">
        <v>1446</v>
      </c>
      <c r="AE318" s="289" t="s">
        <v>410</v>
      </c>
      <c r="AF318" s="290" t="s">
        <v>1447</v>
      </c>
      <c r="AG318" s="289"/>
      <c r="AH318" s="290" t="s">
        <v>1448</v>
      </c>
      <c r="AI318" s="289">
        <v>0</v>
      </c>
      <c r="AJ318" s="289">
        <v>0</v>
      </c>
    </row>
    <row r="319" spans="2:36">
      <c r="B319" s="290">
        <v>2111</v>
      </c>
      <c r="C319" s="294">
        <v>238418</v>
      </c>
      <c r="D319" s="290" t="s">
        <v>944</v>
      </c>
      <c r="E319" s="289" t="s">
        <v>1742</v>
      </c>
      <c r="F319" s="290">
        <v>10</v>
      </c>
      <c r="G319" s="289"/>
      <c r="H319" s="289"/>
      <c r="I319" s="289"/>
      <c r="J319" s="289">
        <v>0</v>
      </c>
      <c r="K319" s="289" t="s">
        <v>1726</v>
      </c>
      <c r="L319" s="289"/>
      <c r="M319" s="289" t="s">
        <v>1659</v>
      </c>
      <c r="N319" s="293">
        <v>44062</v>
      </c>
      <c r="O319" s="293">
        <v>44062</v>
      </c>
      <c r="P319" s="289" t="s">
        <v>1743</v>
      </c>
      <c r="Q319" s="290">
        <v>1200</v>
      </c>
      <c r="R319" s="290">
        <v>14050</v>
      </c>
      <c r="S319" s="291">
        <v>5769.75</v>
      </c>
      <c r="T319" s="290">
        <v>14056</v>
      </c>
      <c r="U319" s="291">
        <v>921.55</v>
      </c>
      <c r="V319" s="291">
        <f t="shared" si="4"/>
        <v>4848.2</v>
      </c>
      <c r="W319" s="292">
        <v>280.47000000000003</v>
      </c>
      <c r="X319" s="290">
        <v>54260</v>
      </c>
      <c r="Y319" s="291">
        <v>40.06</v>
      </c>
      <c r="Z319" s="289" t="s">
        <v>944</v>
      </c>
      <c r="AA319" s="289"/>
      <c r="AB319" s="289">
        <v>161854</v>
      </c>
      <c r="AC319" s="289"/>
      <c r="AD319" s="289" t="s">
        <v>1446</v>
      </c>
      <c r="AE319" s="289" t="s">
        <v>410</v>
      </c>
      <c r="AF319" s="290" t="s">
        <v>1447</v>
      </c>
      <c r="AG319" s="289"/>
      <c r="AH319" s="290" t="s">
        <v>1448</v>
      </c>
      <c r="AI319" s="289">
        <v>0</v>
      </c>
      <c r="AJ319" s="289">
        <v>0</v>
      </c>
    </row>
    <row r="320" spans="2:36">
      <c r="B320" s="290">
        <v>2111</v>
      </c>
      <c r="C320" s="294">
        <v>238415</v>
      </c>
      <c r="D320" s="290" t="s">
        <v>1744</v>
      </c>
      <c r="E320" s="289" t="s">
        <v>1084</v>
      </c>
      <c r="F320" s="290"/>
      <c r="G320" s="289"/>
      <c r="H320" s="289" t="s">
        <v>1745</v>
      </c>
      <c r="I320" s="289"/>
      <c r="J320" s="289">
        <v>1994</v>
      </c>
      <c r="K320" s="289" t="s">
        <v>1594</v>
      </c>
      <c r="L320" s="289" t="s">
        <v>1594</v>
      </c>
      <c r="M320" s="289" t="s">
        <v>1746</v>
      </c>
      <c r="N320" s="293">
        <v>44074</v>
      </c>
      <c r="O320" s="293">
        <v>44074</v>
      </c>
      <c r="P320" s="289" t="s">
        <v>1747</v>
      </c>
      <c r="Q320" s="290">
        <v>300</v>
      </c>
      <c r="R320" s="290">
        <v>14040</v>
      </c>
      <c r="S320" s="291">
        <v>0</v>
      </c>
      <c r="T320" s="290">
        <v>14046</v>
      </c>
      <c r="U320" s="291">
        <v>0</v>
      </c>
      <c r="V320" s="291">
        <f t="shared" si="4"/>
        <v>0</v>
      </c>
      <c r="W320" s="292">
        <v>0</v>
      </c>
      <c r="X320" s="290">
        <v>51260</v>
      </c>
      <c r="Y320" s="291">
        <v>0</v>
      </c>
      <c r="Z320" s="289" t="s">
        <v>944</v>
      </c>
      <c r="AA320" s="289"/>
      <c r="AB320" s="289" t="s">
        <v>1748</v>
      </c>
      <c r="AC320" s="289" t="s">
        <v>751</v>
      </c>
      <c r="AD320" s="289" t="s">
        <v>1446</v>
      </c>
      <c r="AE320" s="289" t="s">
        <v>410</v>
      </c>
      <c r="AF320" s="290" t="s">
        <v>1447</v>
      </c>
      <c r="AG320" s="289"/>
      <c r="AH320" s="290" t="s">
        <v>1448</v>
      </c>
      <c r="AI320" s="289">
        <v>0</v>
      </c>
      <c r="AJ320" s="289">
        <v>0</v>
      </c>
    </row>
    <row r="321" spans="2:36">
      <c r="B321" s="290">
        <v>2111</v>
      </c>
      <c r="C321" s="294">
        <v>238414</v>
      </c>
      <c r="D321" s="290" t="s">
        <v>1744</v>
      </c>
      <c r="E321" s="289" t="s">
        <v>1083</v>
      </c>
      <c r="F321" s="290"/>
      <c r="G321" s="289"/>
      <c r="H321" s="289" t="s">
        <v>1749</v>
      </c>
      <c r="I321" s="289"/>
      <c r="J321" s="289">
        <v>2006</v>
      </c>
      <c r="K321" s="289" t="s">
        <v>1594</v>
      </c>
      <c r="L321" s="289" t="s">
        <v>1594</v>
      </c>
      <c r="M321" s="289" t="s">
        <v>1495</v>
      </c>
      <c r="N321" s="293">
        <v>44074</v>
      </c>
      <c r="O321" s="293">
        <v>44074</v>
      </c>
      <c r="P321" s="289" t="s">
        <v>1750</v>
      </c>
      <c r="Q321" s="290">
        <v>300</v>
      </c>
      <c r="R321" s="290">
        <v>14040</v>
      </c>
      <c r="S321" s="291">
        <v>0</v>
      </c>
      <c r="T321" s="290">
        <v>14046</v>
      </c>
      <c r="U321" s="291">
        <v>0</v>
      </c>
      <c r="V321" s="291">
        <f t="shared" si="4"/>
        <v>0</v>
      </c>
      <c r="W321" s="292">
        <v>0</v>
      </c>
      <c r="X321" s="290">
        <v>51260</v>
      </c>
      <c r="Y321" s="291">
        <v>0</v>
      </c>
      <c r="Z321" s="289" t="s">
        <v>944</v>
      </c>
      <c r="AA321" s="289"/>
      <c r="AB321" s="289" t="s">
        <v>1751</v>
      </c>
      <c r="AC321" s="289">
        <v>865</v>
      </c>
      <c r="AD321" s="289" t="s">
        <v>1446</v>
      </c>
      <c r="AE321" s="289" t="s">
        <v>410</v>
      </c>
      <c r="AF321" s="290" t="s">
        <v>1447</v>
      </c>
      <c r="AG321" s="289"/>
      <c r="AH321" s="290" t="s">
        <v>1448</v>
      </c>
      <c r="AI321" s="289">
        <v>0</v>
      </c>
      <c r="AJ321" s="289">
        <v>0</v>
      </c>
    </row>
    <row r="322" spans="2:36">
      <c r="B322" s="290">
        <v>2111</v>
      </c>
      <c r="C322" s="294">
        <v>236976</v>
      </c>
      <c r="D322" s="290">
        <v>235803</v>
      </c>
      <c r="E322" s="289" t="s">
        <v>1752</v>
      </c>
      <c r="F322" s="290"/>
      <c r="G322" s="289"/>
      <c r="H322" s="289"/>
      <c r="I322" s="289"/>
      <c r="J322" s="289">
        <v>0</v>
      </c>
      <c r="K322" s="289" t="s">
        <v>1657</v>
      </c>
      <c r="L322" s="289"/>
      <c r="M322" s="289"/>
      <c r="N322" s="293">
        <v>44043</v>
      </c>
      <c r="O322" s="293">
        <v>44043</v>
      </c>
      <c r="P322" s="289" t="s">
        <v>1753</v>
      </c>
      <c r="Q322" s="290">
        <v>300</v>
      </c>
      <c r="R322" s="290">
        <v>14110</v>
      </c>
      <c r="S322" s="291">
        <v>42.15</v>
      </c>
      <c r="T322" s="290">
        <v>14116</v>
      </c>
      <c r="U322" s="291">
        <v>28.11</v>
      </c>
      <c r="V322" s="291">
        <f t="shared" si="4"/>
        <v>14.04</v>
      </c>
      <c r="W322" s="292">
        <v>8.1999999999999993</v>
      </c>
      <c r="X322" s="290">
        <v>70260</v>
      </c>
      <c r="Y322" s="291">
        <v>1.17</v>
      </c>
      <c r="Z322" s="289" t="s">
        <v>944</v>
      </c>
      <c r="AA322" s="289"/>
      <c r="AB322" s="289" t="s">
        <v>1754</v>
      </c>
      <c r="AC322" s="289"/>
      <c r="AD322" s="289" t="s">
        <v>1446</v>
      </c>
      <c r="AE322" s="289" t="s">
        <v>410</v>
      </c>
      <c r="AF322" s="290" t="s">
        <v>1447</v>
      </c>
      <c r="AG322" s="289"/>
      <c r="AH322" s="290" t="s">
        <v>1448</v>
      </c>
      <c r="AI322" s="289">
        <v>0</v>
      </c>
      <c r="AJ322" s="289">
        <v>0</v>
      </c>
    </row>
    <row r="323" spans="2:36">
      <c r="B323" s="290">
        <v>2111</v>
      </c>
      <c r="C323" s="294">
        <v>236931</v>
      </c>
      <c r="D323" s="290" t="s">
        <v>944</v>
      </c>
      <c r="E323" s="289" t="s">
        <v>1149</v>
      </c>
      <c r="F323" s="290">
        <v>636</v>
      </c>
      <c r="G323" s="289"/>
      <c r="H323" s="289"/>
      <c r="I323" s="289"/>
      <c r="J323" s="289">
        <v>0</v>
      </c>
      <c r="K323" s="289" t="s">
        <v>1755</v>
      </c>
      <c r="L323" s="289"/>
      <c r="M323" s="289" t="s">
        <v>1463</v>
      </c>
      <c r="N323" s="293">
        <v>44029</v>
      </c>
      <c r="O323" s="293">
        <v>44029</v>
      </c>
      <c r="P323" s="289" t="s">
        <v>1756</v>
      </c>
      <c r="Q323" s="290">
        <v>700</v>
      </c>
      <c r="R323" s="290">
        <v>14050</v>
      </c>
      <c r="S323" s="291">
        <v>24135.23</v>
      </c>
      <c r="T323" s="290">
        <v>14056</v>
      </c>
      <c r="U323" s="291">
        <v>6895.78</v>
      </c>
      <c r="V323" s="291">
        <f t="shared" si="4"/>
        <v>17239.45</v>
      </c>
      <c r="W323" s="292">
        <v>2011.27</v>
      </c>
      <c r="X323" s="290">
        <v>54260</v>
      </c>
      <c r="Y323" s="291">
        <v>287.32</v>
      </c>
      <c r="Z323" s="289" t="s">
        <v>944</v>
      </c>
      <c r="AA323" s="289"/>
      <c r="AB323" s="289">
        <v>65686894</v>
      </c>
      <c r="AC323" s="289"/>
      <c r="AD323" s="289" t="s">
        <v>1446</v>
      </c>
      <c r="AE323" s="289" t="s">
        <v>410</v>
      </c>
      <c r="AF323" s="290" t="s">
        <v>1447</v>
      </c>
      <c r="AG323" s="289"/>
      <c r="AH323" s="290" t="s">
        <v>1448</v>
      </c>
      <c r="AI323" s="289">
        <v>0</v>
      </c>
      <c r="AJ323" s="289">
        <v>0</v>
      </c>
    </row>
    <row r="324" spans="2:36">
      <c r="B324" s="290">
        <v>2111</v>
      </c>
      <c r="C324" s="294">
        <v>236709</v>
      </c>
      <c r="D324" s="290" t="s">
        <v>944</v>
      </c>
      <c r="E324" s="289" t="s">
        <v>1149</v>
      </c>
      <c r="F324" s="290">
        <v>351</v>
      </c>
      <c r="G324" s="289"/>
      <c r="H324" s="289"/>
      <c r="I324" s="289"/>
      <c r="J324" s="289">
        <v>0</v>
      </c>
      <c r="K324" s="289" t="s">
        <v>1462</v>
      </c>
      <c r="L324" s="289"/>
      <c r="M324" s="289" t="s">
        <v>1463</v>
      </c>
      <c r="N324" s="293">
        <v>44053</v>
      </c>
      <c r="O324" s="293">
        <v>44053</v>
      </c>
      <c r="P324" s="289" t="s">
        <v>1757</v>
      </c>
      <c r="Q324" s="290">
        <v>700</v>
      </c>
      <c r="R324" s="290">
        <v>14050</v>
      </c>
      <c r="S324" s="291">
        <v>15098.22</v>
      </c>
      <c r="T324" s="290">
        <v>14056</v>
      </c>
      <c r="U324" s="291">
        <v>4313.78</v>
      </c>
      <c r="V324" s="291">
        <f t="shared" si="4"/>
        <v>10784.439999999999</v>
      </c>
      <c r="W324" s="292">
        <v>1258.19</v>
      </c>
      <c r="X324" s="290">
        <v>54260</v>
      </c>
      <c r="Y324" s="291">
        <v>179.74</v>
      </c>
      <c r="Z324" s="289" t="s">
        <v>944</v>
      </c>
      <c r="AA324" s="289"/>
      <c r="AB324" s="289">
        <v>50115284</v>
      </c>
      <c r="AC324" s="289"/>
      <c r="AD324" s="289" t="s">
        <v>1446</v>
      </c>
      <c r="AE324" s="289" t="s">
        <v>410</v>
      </c>
      <c r="AF324" s="290" t="s">
        <v>1447</v>
      </c>
      <c r="AG324" s="289"/>
      <c r="AH324" s="290" t="s">
        <v>1448</v>
      </c>
      <c r="AI324" s="289">
        <v>0</v>
      </c>
      <c r="AJ324" s="289">
        <v>0</v>
      </c>
    </row>
    <row r="325" spans="2:36">
      <c r="B325" s="290">
        <v>2111</v>
      </c>
      <c r="C325" s="294">
        <v>236708</v>
      </c>
      <c r="D325" s="290" t="s">
        <v>944</v>
      </c>
      <c r="E325" s="289" t="s">
        <v>1136</v>
      </c>
      <c r="F325" s="290">
        <v>351</v>
      </c>
      <c r="G325" s="289"/>
      <c r="H325" s="289"/>
      <c r="I325" s="289"/>
      <c r="J325" s="289">
        <v>0</v>
      </c>
      <c r="K325" s="289" t="s">
        <v>1462</v>
      </c>
      <c r="L325" s="289"/>
      <c r="M325" s="289" t="s">
        <v>1463</v>
      </c>
      <c r="N325" s="293">
        <v>44053</v>
      </c>
      <c r="O325" s="293">
        <v>44053</v>
      </c>
      <c r="P325" s="289" t="s">
        <v>1757</v>
      </c>
      <c r="Q325" s="290">
        <v>700</v>
      </c>
      <c r="R325" s="290">
        <v>14050</v>
      </c>
      <c r="S325" s="291">
        <v>15098.22</v>
      </c>
      <c r="T325" s="290">
        <v>14056</v>
      </c>
      <c r="U325" s="291">
        <v>4313.78</v>
      </c>
      <c r="V325" s="291">
        <f t="shared" si="4"/>
        <v>10784.439999999999</v>
      </c>
      <c r="W325" s="292">
        <v>1258.19</v>
      </c>
      <c r="X325" s="290">
        <v>54260</v>
      </c>
      <c r="Y325" s="291">
        <v>179.74</v>
      </c>
      <c r="Z325" s="289" t="s">
        <v>944</v>
      </c>
      <c r="AA325" s="289"/>
      <c r="AB325" s="289">
        <v>50115284</v>
      </c>
      <c r="AC325" s="289"/>
      <c r="AD325" s="289" t="s">
        <v>1446</v>
      </c>
      <c r="AE325" s="289" t="s">
        <v>410</v>
      </c>
      <c r="AF325" s="290" t="s">
        <v>1447</v>
      </c>
      <c r="AG325" s="289"/>
      <c r="AH325" s="290" t="s">
        <v>1448</v>
      </c>
      <c r="AI325" s="289">
        <v>0</v>
      </c>
      <c r="AJ325" s="289">
        <v>0</v>
      </c>
    </row>
    <row r="326" spans="2:36">
      <c r="B326" s="290">
        <v>2111</v>
      </c>
      <c r="C326" s="294">
        <v>236489</v>
      </c>
      <c r="D326" s="290">
        <v>173221</v>
      </c>
      <c r="E326" s="289" t="s">
        <v>1758</v>
      </c>
      <c r="F326" s="290"/>
      <c r="G326" s="289"/>
      <c r="H326" s="289"/>
      <c r="I326" s="289"/>
      <c r="J326" s="289">
        <v>0</v>
      </c>
      <c r="K326" s="289" t="s">
        <v>1759</v>
      </c>
      <c r="L326" s="289"/>
      <c r="M326" s="289" t="s">
        <v>1467</v>
      </c>
      <c r="N326" s="293">
        <v>43909</v>
      </c>
      <c r="O326" s="293">
        <v>43909</v>
      </c>
      <c r="P326" s="289" t="s">
        <v>1760</v>
      </c>
      <c r="Q326" s="290">
        <v>300</v>
      </c>
      <c r="R326" s="290">
        <v>14040</v>
      </c>
      <c r="S326" s="291">
        <v>11688.67</v>
      </c>
      <c r="T326" s="290">
        <v>14046</v>
      </c>
      <c r="U326" s="291">
        <v>9091.19</v>
      </c>
      <c r="V326" s="291">
        <f t="shared" si="4"/>
        <v>2597.4799999999996</v>
      </c>
      <c r="W326" s="292">
        <v>2272.8000000000002</v>
      </c>
      <c r="X326" s="290">
        <v>51260</v>
      </c>
      <c r="Y326" s="291">
        <v>324.69</v>
      </c>
      <c r="Z326" s="289" t="s">
        <v>944</v>
      </c>
      <c r="AA326" s="289"/>
      <c r="AB326" s="289" t="s">
        <v>1761</v>
      </c>
      <c r="AC326" s="289"/>
      <c r="AD326" s="289" t="s">
        <v>1446</v>
      </c>
      <c r="AE326" s="289" t="s">
        <v>410</v>
      </c>
      <c r="AF326" s="290" t="s">
        <v>1447</v>
      </c>
      <c r="AG326" s="289"/>
      <c r="AH326" s="290" t="s">
        <v>1448</v>
      </c>
      <c r="AI326" s="289">
        <v>0</v>
      </c>
      <c r="AJ326" s="289">
        <v>0</v>
      </c>
    </row>
    <row r="327" spans="2:36">
      <c r="B327" s="290">
        <v>2111</v>
      </c>
      <c r="C327" s="294">
        <v>236435</v>
      </c>
      <c r="D327" s="290" t="s">
        <v>944</v>
      </c>
      <c r="E327" s="289" t="s">
        <v>1134</v>
      </c>
      <c r="F327" s="290">
        <v>936</v>
      </c>
      <c r="G327" s="289"/>
      <c r="H327" s="289"/>
      <c r="I327" s="289"/>
      <c r="J327" s="289">
        <v>0</v>
      </c>
      <c r="K327" s="289" t="s">
        <v>1462</v>
      </c>
      <c r="L327" s="289"/>
      <c r="M327" s="289" t="s">
        <v>1463</v>
      </c>
      <c r="N327" s="293">
        <v>44049</v>
      </c>
      <c r="O327" s="293">
        <v>44049</v>
      </c>
      <c r="P327" s="289" t="s">
        <v>1757</v>
      </c>
      <c r="Q327" s="290">
        <v>700</v>
      </c>
      <c r="R327" s="290">
        <v>14050</v>
      </c>
      <c r="S327" s="291">
        <v>36147.24</v>
      </c>
      <c r="T327" s="290">
        <v>14056</v>
      </c>
      <c r="U327" s="291">
        <v>10327.780000000001</v>
      </c>
      <c r="V327" s="291">
        <f t="shared" si="4"/>
        <v>25819.46</v>
      </c>
      <c r="W327" s="292">
        <v>3012.27</v>
      </c>
      <c r="X327" s="290">
        <v>54260</v>
      </c>
      <c r="Y327" s="291">
        <v>430.32</v>
      </c>
      <c r="Z327" s="289" t="s">
        <v>944</v>
      </c>
      <c r="AA327" s="289"/>
      <c r="AB327" s="289">
        <v>50114345</v>
      </c>
      <c r="AC327" s="289"/>
      <c r="AD327" s="289" t="s">
        <v>1446</v>
      </c>
      <c r="AE327" s="289" t="s">
        <v>410</v>
      </c>
      <c r="AF327" s="290" t="s">
        <v>1447</v>
      </c>
      <c r="AG327" s="289"/>
      <c r="AH327" s="290" t="s">
        <v>1448</v>
      </c>
      <c r="AI327" s="289">
        <v>0</v>
      </c>
      <c r="AJ327" s="289">
        <v>0</v>
      </c>
    </row>
    <row r="328" spans="2:36">
      <c r="B328" s="290">
        <v>2111</v>
      </c>
      <c r="C328" s="294">
        <v>236434</v>
      </c>
      <c r="D328" s="290" t="s">
        <v>944</v>
      </c>
      <c r="E328" s="289" t="s">
        <v>1762</v>
      </c>
      <c r="F328" s="290">
        <v>702</v>
      </c>
      <c r="G328" s="289"/>
      <c r="H328" s="289"/>
      <c r="I328" s="289"/>
      <c r="J328" s="289">
        <v>0</v>
      </c>
      <c r="K328" s="289" t="s">
        <v>1462</v>
      </c>
      <c r="L328" s="289"/>
      <c r="M328" s="289" t="s">
        <v>1463</v>
      </c>
      <c r="N328" s="293">
        <v>44053</v>
      </c>
      <c r="O328" s="293">
        <v>44053</v>
      </c>
      <c r="P328" s="289" t="s">
        <v>1757</v>
      </c>
      <c r="Q328" s="290">
        <v>700</v>
      </c>
      <c r="R328" s="290">
        <v>14050</v>
      </c>
      <c r="S328" s="291">
        <v>30196.43</v>
      </c>
      <c r="T328" s="290">
        <v>14056</v>
      </c>
      <c r="U328" s="291">
        <v>8627.56</v>
      </c>
      <c r="V328" s="291">
        <f t="shared" si="4"/>
        <v>21568.870000000003</v>
      </c>
      <c r="W328" s="292">
        <v>2516.37</v>
      </c>
      <c r="X328" s="290">
        <v>54260</v>
      </c>
      <c r="Y328" s="291">
        <v>359.48</v>
      </c>
      <c r="Z328" s="289" t="s">
        <v>944</v>
      </c>
      <c r="AA328" s="289"/>
      <c r="AB328" s="289">
        <v>50115053</v>
      </c>
      <c r="AC328" s="289"/>
      <c r="AD328" s="289" t="s">
        <v>1446</v>
      </c>
      <c r="AE328" s="289" t="s">
        <v>410</v>
      </c>
      <c r="AF328" s="290" t="s">
        <v>1447</v>
      </c>
      <c r="AG328" s="289"/>
      <c r="AH328" s="290" t="s">
        <v>1448</v>
      </c>
      <c r="AI328" s="289">
        <v>0</v>
      </c>
      <c r="AJ328" s="289">
        <v>0</v>
      </c>
    </row>
    <row r="329" spans="2:36">
      <c r="B329" s="290">
        <v>2111</v>
      </c>
      <c r="C329" s="294">
        <v>236403</v>
      </c>
      <c r="D329" s="290" t="s">
        <v>944</v>
      </c>
      <c r="E329" s="289" t="s">
        <v>1068</v>
      </c>
      <c r="F329" s="290"/>
      <c r="G329" s="289"/>
      <c r="H329" s="289" t="s">
        <v>1763</v>
      </c>
      <c r="I329" s="289"/>
      <c r="J329" s="289">
        <v>2020</v>
      </c>
      <c r="K329" s="289" t="s">
        <v>1483</v>
      </c>
      <c r="L329" s="289" t="s">
        <v>1764</v>
      </c>
      <c r="M329" s="289" t="s">
        <v>1495</v>
      </c>
      <c r="N329" s="293">
        <v>44073</v>
      </c>
      <c r="O329" s="293">
        <v>44073</v>
      </c>
      <c r="P329" s="289" t="s">
        <v>1765</v>
      </c>
      <c r="Q329" s="290">
        <v>1000</v>
      </c>
      <c r="R329" s="290">
        <v>14040</v>
      </c>
      <c r="S329" s="291">
        <v>368546.11</v>
      </c>
      <c r="T329" s="290">
        <v>14046</v>
      </c>
      <c r="U329" s="291">
        <v>70638</v>
      </c>
      <c r="V329" s="291">
        <f t="shared" si="4"/>
        <v>297908.11</v>
      </c>
      <c r="W329" s="292">
        <v>21498.52</v>
      </c>
      <c r="X329" s="290">
        <v>51260</v>
      </c>
      <c r="Y329" s="291">
        <v>3071.21</v>
      </c>
      <c r="Z329" s="289" t="s">
        <v>944</v>
      </c>
      <c r="AA329" s="289"/>
      <c r="AB329" s="289"/>
      <c r="AC329" s="289">
        <v>864</v>
      </c>
      <c r="AD329" s="289" t="s">
        <v>1446</v>
      </c>
      <c r="AE329" s="289" t="s">
        <v>410</v>
      </c>
      <c r="AF329" s="290" t="s">
        <v>1447</v>
      </c>
      <c r="AG329" s="289"/>
      <c r="AH329" s="290" t="s">
        <v>1448</v>
      </c>
      <c r="AI329" s="289">
        <v>0</v>
      </c>
      <c r="AJ329" s="289">
        <v>0</v>
      </c>
    </row>
    <row r="330" spans="2:36">
      <c r="B330" s="290">
        <v>2111</v>
      </c>
      <c r="C330" s="294">
        <v>236120</v>
      </c>
      <c r="D330" s="290">
        <v>232980</v>
      </c>
      <c r="E330" s="289" t="s">
        <v>1766</v>
      </c>
      <c r="F330" s="290"/>
      <c r="G330" s="289"/>
      <c r="H330" s="289"/>
      <c r="I330" s="289"/>
      <c r="J330" s="289">
        <v>0</v>
      </c>
      <c r="K330" s="289" t="s">
        <v>1456</v>
      </c>
      <c r="L330" s="289"/>
      <c r="M330" s="289"/>
      <c r="N330" s="293">
        <v>43982</v>
      </c>
      <c r="O330" s="293">
        <v>43982</v>
      </c>
      <c r="P330" s="289" t="s">
        <v>1767</v>
      </c>
      <c r="Q330" s="290">
        <v>1000</v>
      </c>
      <c r="R330" s="290">
        <v>14010</v>
      </c>
      <c r="S330" s="291">
        <v>2000.59</v>
      </c>
      <c r="T330" s="290">
        <v>14016</v>
      </c>
      <c r="U330" s="291">
        <v>433.42</v>
      </c>
      <c r="V330" s="291">
        <f t="shared" si="4"/>
        <v>1567.1699999999998</v>
      </c>
      <c r="W330" s="292">
        <v>116.7</v>
      </c>
      <c r="X330" s="290">
        <v>57260</v>
      </c>
      <c r="Y330" s="291">
        <v>16.670000000000002</v>
      </c>
      <c r="Z330" s="289" t="s">
        <v>944</v>
      </c>
      <c r="AA330" s="289"/>
      <c r="AB330" s="289" t="s">
        <v>1768</v>
      </c>
      <c r="AC330" s="289"/>
      <c r="AD330" s="289" t="s">
        <v>1446</v>
      </c>
      <c r="AE330" s="289" t="s">
        <v>410</v>
      </c>
      <c r="AF330" s="290" t="s">
        <v>1447</v>
      </c>
      <c r="AG330" s="289"/>
      <c r="AH330" s="290" t="s">
        <v>1448</v>
      </c>
      <c r="AI330" s="289">
        <v>0</v>
      </c>
      <c r="AJ330" s="289">
        <v>0</v>
      </c>
    </row>
    <row r="331" spans="2:36">
      <c r="B331" s="290">
        <v>2111</v>
      </c>
      <c r="C331" s="294">
        <v>235960</v>
      </c>
      <c r="D331" s="290">
        <v>232980</v>
      </c>
      <c r="E331" s="289" t="s">
        <v>1769</v>
      </c>
      <c r="F331" s="290"/>
      <c r="G331" s="289"/>
      <c r="H331" s="289"/>
      <c r="I331" s="289"/>
      <c r="J331" s="289">
        <v>0</v>
      </c>
      <c r="K331" s="289" t="s">
        <v>1456</v>
      </c>
      <c r="L331" s="289"/>
      <c r="M331" s="289"/>
      <c r="N331" s="293">
        <v>43982</v>
      </c>
      <c r="O331" s="293">
        <v>43982</v>
      </c>
      <c r="P331" s="289" t="s">
        <v>1767</v>
      </c>
      <c r="Q331" s="290">
        <v>1000</v>
      </c>
      <c r="R331" s="290">
        <v>14010</v>
      </c>
      <c r="S331" s="291">
        <v>2473.3200000000002</v>
      </c>
      <c r="T331" s="290">
        <v>14016</v>
      </c>
      <c r="U331" s="291">
        <v>535.89</v>
      </c>
      <c r="V331" s="291">
        <f t="shared" si="4"/>
        <v>1937.4300000000003</v>
      </c>
      <c r="W331" s="292">
        <v>144.28</v>
      </c>
      <c r="X331" s="290">
        <v>57260</v>
      </c>
      <c r="Y331" s="291">
        <v>20.61</v>
      </c>
      <c r="Z331" s="289" t="s">
        <v>944</v>
      </c>
      <c r="AA331" s="289"/>
      <c r="AB331" s="289" t="s">
        <v>1770</v>
      </c>
      <c r="AC331" s="289"/>
      <c r="AD331" s="289" t="s">
        <v>1446</v>
      </c>
      <c r="AE331" s="289" t="s">
        <v>410</v>
      </c>
      <c r="AF331" s="290" t="s">
        <v>1447</v>
      </c>
      <c r="AG331" s="289"/>
      <c r="AH331" s="290" t="s">
        <v>1448</v>
      </c>
      <c r="AI331" s="289">
        <v>0</v>
      </c>
      <c r="AJ331" s="289">
        <v>0</v>
      </c>
    </row>
    <row r="332" spans="2:36">
      <c r="B332" s="290">
        <v>2111</v>
      </c>
      <c r="C332" s="294">
        <v>235803</v>
      </c>
      <c r="D332" s="290" t="s">
        <v>944</v>
      </c>
      <c r="E332" s="289" t="s">
        <v>1771</v>
      </c>
      <c r="F332" s="290"/>
      <c r="G332" s="289"/>
      <c r="H332" s="289"/>
      <c r="I332" s="289"/>
      <c r="J332" s="289">
        <v>0</v>
      </c>
      <c r="K332" s="289" t="s">
        <v>1657</v>
      </c>
      <c r="L332" s="289"/>
      <c r="M332" s="289"/>
      <c r="N332" s="293">
        <v>44043</v>
      </c>
      <c r="O332" s="293">
        <v>44043</v>
      </c>
      <c r="P332" s="289" t="s">
        <v>1753</v>
      </c>
      <c r="Q332" s="290">
        <v>300</v>
      </c>
      <c r="R332" s="290">
        <v>14110</v>
      </c>
      <c r="S332" s="291">
        <v>1512.14</v>
      </c>
      <c r="T332" s="290">
        <v>14116</v>
      </c>
      <c r="U332" s="291">
        <v>1008.1</v>
      </c>
      <c r="V332" s="291">
        <f t="shared" si="4"/>
        <v>504.04000000000008</v>
      </c>
      <c r="W332" s="292">
        <v>294.02999999999997</v>
      </c>
      <c r="X332" s="290">
        <v>70260</v>
      </c>
      <c r="Y332" s="291">
        <v>42</v>
      </c>
      <c r="Z332" s="289" t="s">
        <v>944</v>
      </c>
      <c r="AA332" s="289"/>
      <c r="AB332" s="289" t="s">
        <v>1772</v>
      </c>
      <c r="AC332" s="289"/>
      <c r="AD332" s="289" t="s">
        <v>1446</v>
      </c>
      <c r="AE332" s="289" t="s">
        <v>410</v>
      </c>
      <c r="AF332" s="290" t="s">
        <v>1447</v>
      </c>
      <c r="AG332" s="289"/>
      <c r="AH332" s="290" t="s">
        <v>1448</v>
      </c>
      <c r="AI332" s="289">
        <v>0</v>
      </c>
      <c r="AJ332" s="289">
        <v>0</v>
      </c>
    </row>
    <row r="333" spans="2:36">
      <c r="B333" s="290">
        <v>2111</v>
      </c>
      <c r="C333" s="294">
        <v>235802</v>
      </c>
      <c r="D333" s="290" t="s">
        <v>944</v>
      </c>
      <c r="E333" s="289" t="s">
        <v>1773</v>
      </c>
      <c r="F333" s="290"/>
      <c r="G333" s="289"/>
      <c r="H333" s="289"/>
      <c r="I333" s="289"/>
      <c r="J333" s="289">
        <v>0</v>
      </c>
      <c r="K333" s="289" t="s">
        <v>1657</v>
      </c>
      <c r="L333" s="289"/>
      <c r="M333" s="289"/>
      <c r="N333" s="293">
        <v>44043</v>
      </c>
      <c r="O333" s="293">
        <v>44043</v>
      </c>
      <c r="P333" s="289" t="s">
        <v>1774</v>
      </c>
      <c r="Q333" s="290">
        <v>200</v>
      </c>
      <c r="R333" s="290">
        <v>14110</v>
      </c>
      <c r="S333" s="291">
        <v>2202.67</v>
      </c>
      <c r="T333" s="290">
        <v>14116</v>
      </c>
      <c r="U333" s="291">
        <v>2202.67</v>
      </c>
      <c r="V333" s="291">
        <f t="shared" si="4"/>
        <v>0</v>
      </c>
      <c r="W333" s="292">
        <v>642.44000000000005</v>
      </c>
      <c r="X333" s="290">
        <v>70260</v>
      </c>
      <c r="Y333" s="291">
        <v>91.77</v>
      </c>
      <c r="Z333" s="289" t="s">
        <v>944</v>
      </c>
      <c r="AA333" s="289"/>
      <c r="AB333" s="289" t="s">
        <v>1775</v>
      </c>
      <c r="AC333" s="289"/>
      <c r="AD333" s="289" t="s">
        <v>1446</v>
      </c>
      <c r="AE333" s="289" t="s">
        <v>410</v>
      </c>
      <c r="AF333" s="290" t="s">
        <v>1447</v>
      </c>
      <c r="AG333" s="289"/>
      <c r="AH333" s="290" t="s">
        <v>1448</v>
      </c>
      <c r="AI333" s="289">
        <v>0</v>
      </c>
      <c r="AJ333" s="289">
        <v>0</v>
      </c>
    </row>
    <row r="334" spans="2:36">
      <c r="B334" s="290">
        <v>2111</v>
      </c>
      <c r="C334" s="294">
        <v>235097</v>
      </c>
      <c r="D334" s="290" t="s">
        <v>944</v>
      </c>
      <c r="E334" s="289" t="s">
        <v>1068</v>
      </c>
      <c r="F334" s="290"/>
      <c r="G334" s="289"/>
      <c r="H334" s="289" t="s">
        <v>1776</v>
      </c>
      <c r="I334" s="289"/>
      <c r="J334" s="289">
        <v>2020</v>
      </c>
      <c r="K334" s="289" t="s">
        <v>1483</v>
      </c>
      <c r="L334" s="289" t="s">
        <v>1764</v>
      </c>
      <c r="M334" s="289" t="s">
        <v>1495</v>
      </c>
      <c r="N334" s="293">
        <v>44027</v>
      </c>
      <c r="O334" s="293">
        <v>44027</v>
      </c>
      <c r="P334" s="289" t="s">
        <v>1777</v>
      </c>
      <c r="Q334" s="290">
        <v>1000</v>
      </c>
      <c r="R334" s="290">
        <v>14040</v>
      </c>
      <c r="S334" s="291">
        <v>364970.65</v>
      </c>
      <c r="T334" s="290">
        <v>14046</v>
      </c>
      <c r="U334" s="291">
        <v>76035.56</v>
      </c>
      <c r="V334" s="291">
        <f t="shared" ref="V334:V397" si="5">S334-U334</f>
        <v>288935.09000000003</v>
      </c>
      <c r="W334" s="292">
        <v>21289.96</v>
      </c>
      <c r="X334" s="290">
        <v>51260</v>
      </c>
      <c r="Y334" s="291">
        <v>3041.42</v>
      </c>
      <c r="Z334" s="289" t="s">
        <v>944</v>
      </c>
      <c r="AA334" s="289"/>
      <c r="AB334" s="289"/>
      <c r="AC334" s="289">
        <v>863</v>
      </c>
      <c r="AD334" s="289" t="s">
        <v>1446</v>
      </c>
      <c r="AE334" s="289" t="s">
        <v>410</v>
      </c>
      <c r="AF334" s="290" t="s">
        <v>1447</v>
      </c>
      <c r="AG334" s="289"/>
      <c r="AH334" s="290" t="s">
        <v>1448</v>
      </c>
      <c r="AI334" s="289">
        <v>0</v>
      </c>
      <c r="AJ334" s="289">
        <v>0</v>
      </c>
    </row>
    <row r="335" spans="2:36">
      <c r="B335" s="290">
        <v>2111</v>
      </c>
      <c r="C335" s="294">
        <v>234891</v>
      </c>
      <c r="D335" s="290">
        <v>232980</v>
      </c>
      <c r="E335" s="289" t="s">
        <v>1778</v>
      </c>
      <c r="F335" s="290"/>
      <c r="G335" s="289"/>
      <c r="H335" s="289"/>
      <c r="I335" s="289"/>
      <c r="J335" s="289">
        <v>0</v>
      </c>
      <c r="K335" s="289" t="s">
        <v>1779</v>
      </c>
      <c r="L335" s="289"/>
      <c r="M335" s="289"/>
      <c r="N335" s="293">
        <v>43982</v>
      </c>
      <c r="O335" s="293">
        <v>43982</v>
      </c>
      <c r="P335" s="289" t="s">
        <v>1767</v>
      </c>
      <c r="Q335" s="290">
        <v>1000</v>
      </c>
      <c r="R335" s="290">
        <v>14010</v>
      </c>
      <c r="S335" s="291">
        <v>69420.509999999995</v>
      </c>
      <c r="T335" s="290">
        <v>14016</v>
      </c>
      <c r="U335" s="291">
        <v>15041.11</v>
      </c>
      <c r="V335" s="291">
        <f t="shared" si="5"/>
        <v>54379.399999999994</v>
      </c>
      <c r="W335" s="292">
        <v>4049.53</v>
      </c>
      <c r="X335" s="290">
        <v>57260</v>
      </c>
      <c r="Y335" s="291">
        <v>578.5</v>
      </c>
      <c r="Z335" s="289" t="s">
        <v>944</v>
      </c>
      <c r="AA335" s="289"/>
      <c r="AB335" s="289" t="s">
        <v>1780</v>
      </c>
      <c r="AC335" s="289"/>
      <c r="AD335" s="289" t="s">
        <v>1446</v>
      </c>
      <c r="AE335" s="289" t="s">
        <v>410</v>
      </c>
      <c r="AF335" s="290" t="s">
        <v>1447</v>
      </c>
      <c r="AG335" s="289"/>
      <c r="AH335" s="290" t="s">
        <v>1448</v>
      </c>
      <c r="AI335" s="289">
        <v>0</v>
      </c>
      <c r="AJ335" s="289">
        <v>0</v>
      </c>
    </row>
    <row r="336" spans="2:36">
      <c r="B336" s="290">
        <v>2111</v>
      </c>
      <c r="C336" s="294">
        <v>234890</v>
      </c>
      <c r="D336" s="290">
        <v>232978</v>
      </c>
      <c r="E336" s="289" t="s">
        <v>1781</v>
      </c>
      <c r="F336" s="290"/>
      <c r="G336" s="289"/>
      <c r="H336" s="289"/>
      <c r="I336" s="289"/>
      <c r="J336" s="289">
        <v>0</v>
      </c>
      <c r="K336" s="289" t="s">
        <v>1456</v>
      </c>
      <c r="L336" s="289"/>
      <c r="M336" s="289"/>
      <c r="N336" s="293">
        <v>43982</v>
      </c>
      <c r="O336" s="293">
        <v>43982</v>
      </c>
      <c r="P336" s="289" t="s">
        <v>1699</v>
      </c>
      <c r="Q336" s="290">
        <v>1000</v>
      </c>
      <c r="R336" s="290">
        <v>14010</v>
      </c>
      <c r="S336" s="291">
        <v>322.5</v>
      </c>
      <c r="T336" s="290">
        <v>14016</v>
      </c>
      <c r="U336" s="291">
        <v>69.87</v>
      </c>
      <c r="V336" s="291">
        <f t="shared" si="5"/>
        <v>252.63</v>
      </c>
      <c r="W336" s="292">
        <v>18.809999999999999</v>
      </c>
      <c r="X336" s="290">
        <v>57260</v>
      </c>
      <c r="Y336" s="291">
        <v>2.68</v>
      </c>
      <c r="Z336" s="289" t="s">
        <v>944</v>
      </c>
      <c r="AA336" s="289"/>
      <c r="AB336" s="289" t="s">
        <v>1782</v>
      </c>
      <c r="AC336" s="289"/>
      <c r="AD336" s="289" t="s">
        <v>1446</v>
      </c>
      <c r="AE336" s="289" t="s">
        <v>410</v>
      </c>
      <c r="AF336" s="290" t="s">
        <v>1447</v>
      </c>
      <c r="AG336" s="289"/>
      <c r="AH336" s="290" t="s">
        <v>1448</v>
      </c>
      <c r="AI336" s="289">
        <v>0</v>
      </c>
      <c r="AJ336" s="289">
        <v>0</v>
      </c>
    </row>
    <row r="337" spans="2:36">
      <c r="B337" s="290">
        <v>2111</v>
      </c>
      <c r="C337" s="294">
        <v>234041</v>
      </c>
      <c r="D337" s="290">
        <v>232980</v>
      </c>
      <c r="E337" s="289" t="s">
        <v>1783</v>
      </c>
      <c r="F337" s="290"/>
      <c r="G337" s="289"/>
      <c r="H337" s="289"/>
      <c r="I337" s="289"/>
      <c r="J337" s="289">
        <v>0</v>
      </c>
      <c r="K337" s="289" t="s">
        <v>1784</v>
      </c>
      <c r="L337" s="289"/>
      <c r="M337" s="289"/>
      <c r="N337" s="293">
        <v>43982</v>
      </c>
      <c r="O337" s="293">
        <v>43982</v>
      </c>
      <c r="P337" s="289" t="s">
        <v>1767</v>
      </c>
      <c r="Q337" s="290">
        <v>1000</v>
      </c>
      <c r="R337" s="290">
        <v>14010</v>
      </c>
      <c r="S337" s="291">
        <v>7211</v>
      </c>
      <c r="T337" s="290">
        <v>14016</v>
      </c>
      <c r="U337" s="291">
        <v>1562.38</v>
      </c>
      <c r="V337" s="291">
        <f t="shared" si="5"/>
        <v>5648.62</v>
      </c>
      <c r="W337" s="292">
        <v>420.64</v>
      </c>
      <c r="X337" s="290">
        <v>57260</v>
      </c>
      <c r="Y337" s="291">
        <v>60.09</v>
      </c>
      <c r="Z337" s="289" t="s">
        <v>944</v>
      </c>
      <c r="AA337" s="289"/>
      <c r="AB337" s="289">
        <v>3164</v>
      </c>
      <c r="AC337" s="289"/>
      <c r="AD337" s="289" t="s">
        <v>1446</v>
      </c>
      <c r="AE337" s="289" t="s">
        <v>410</v>
      </c>
      <c r="AF337" s="290" t="s">
        <v>1447</v>
      </c>
      <c r="AG337" s="289"/>
      <c r="AH337" s="290" t="s">
        <v>1448</v>
      </c>
      <c r="AI337" s="289">
        <v>0</v>
      </c>
      <c r="AJ337" s="289">
        <v>0</v>
      </c>
    </row>
    <row r="338" spans="2:36">
      <c r="B338" s="290">
        <v>2111</v>
      </c>
      <c r="C338" s="294">
        <v>234040</v>
      </c>
      <c r="D338" s="290">
        <v>232980</v>
      </c>
      <c r="E338" s="289" t="s">
        <v>1785</v>
      </c>
      <c r="F338" s="290"/>
      <c r="G338" s="289"/>
      <c r="H338" s="289"/>
      <c r="I338" s="289"/>
      <c r="J338" s="289">
        <v>0</v>
      </c>
      <c r="K338" s="289" t="s">
        <v>1456</v>
      </c>
      <c r="L338" s="289"/>
      <c r="M338" s="289"/>
      <c r="N338" s="293">
        <v>43982</v>
      </c>
      <c r="O338" s="293">
        <v>43982</v>
      </c>
      <c r="P338" s="289" t="s">
        <v>1767</v>
      </c>
      <c r="Q338" s="290">
        <v>1000</v>
      </c>
      <c r="R338" s="290">
        <v>14010</v>
      </c>
      <c r="S338" s="291">
        <v>1700.62</v>
      </c>
      <c r="T338" s="290">
        <v>14016</v>
      </c>
      <c r="U338" s="291">
        <v>368.46</v>
      </c>
      <c r="V338" s="291">
        <f t="shared" si="5"/>
        <v>1332.1599999999999</v>
      </c>
      <c r="W338" s="292">
        <v>99.2</v>
      </c>
      <c r="X338" s="290">
        <v>57260</v>
      </c>
      <c r="Y338" s="291">
        <v>14.17</v>
      </c>
      <c r="Z338" s="289" t="s">
        <v>944</v>
      </c>
      <c r="AA338" s="289"/>
      <c r="AB338" s="289" t="s">
        <v>1786</v>
      </c>
      <c r="AC338" s="289"/>
      <c r="AD338" s="289" t="s">
        <v>1446</v>
      </c>
      <c r="AE338" s="289" t="s">
        <v>410</v>
      </c>
      <c r="AF338" s="290" t="s">
        <v>1447</v>
      </c>
      <c r="AG338" s="289"/>
      <c r="AH338" s="290" t="s">
        <v>1448</v>
      </c>
      <c r="AI338" s="289">
        <v>0</v>
      </c>
      <c r="AJ338" s="289">
        <v>0</v>
      </c>
    </row>
    <row r="339" spans="2:36">
      <c r="B339" s="290">
        <v>2111</v>
      </c>
      <c r="C339" s="294">
        <v>234039</v>
      </c>
      <c r="D339" s="290">
        <v>232980</v>
      </c>
      <c r="E339" s="289" t="s">
        <v>1787</v>
      </c>
      <c r="F339" s="290"/>
      <c r="G339" s="289"/>
      <c r="H339" s="289"/>
      <c r="I339" s="289"/>
      <c r="J339" s="289">
        <v>0</v>
      </c>
      <c r="K339" s="289" t="s">
        <v>1456</v>
      </c>
      <c r="L339" s="289"/>
      <c r="M339" s="289"/>
      <c r="N339" s="293">
        <v>43982</v>
      </c>
      <c r="O339" s="293">
        <v>43982</v>
      </c>
      <c r="P339" s="289" t="s">
        <v>1767</v>
      </c>
      <c r="Q339" s="290">
        <v>1000</v>
      </c>
      <c r="R339" s="290">
        <v>14010</v>
      </c>
      <c r="S339" s="291">
        <v>702</v>
      </c>
      <c r="T339" s="290">
        <v>14016</v>
      </c>
      <c r="U339" s="291">
        <v>152.1</v>
      </c>
      <c r="V339" s="291">
        <f t="shared" si="5"/>
        <v>549.9</v>
      </c>
      <c r="W339" s="292">
        <v>40.950000000000003</v>
      </c>
      <c r="X339" s="290">
        <v>57260</v>
      </c>
      <c r="Y339" s="291">
        <v>5.85</v>
      </c>
      <c r="Z339" s="289" t="s">
        <v>944</v>
      </c>
      <c r="AA339" s="289"/>
      <c r="AB339" s="289" t="s">
        <v>1788</v>
      </c>
      <c r="AC339" s="289"/>
      <c r="AD339" s="289" t="s">
        <v>1446</v>
      </c>
      <c r="AE339" s="289" t="s">
        <v>410</v>
      </c>
      <c r="AF339" s="290" t="s">
        <v>1447</v>
      </c>
      <c r="AG339" s="289"/>
      <c r="AH339" s="290" t="s">
        <v>1448</v>
      </c>
      <c r="AI339" s="289">
        <v>0</v>
      </c>
      <c r="AJ339" s="289">
        <v>0</v>
      </c>
    </row>
    <row r="340" spans="2:36">
      <c r="B340" s="290">
        <v>2111</v>
      </c>
      <c r="C340" s="294">
        <v>234038</v>
      </c>
      <c r="D340" s="290">
        <v>232979</v>
      </c>
      <c r="E340" s="289" t="s">
        <v>1789</v>
      </c>
      <c r="F340" s="290"/>
      <c r="G340" s="289"/>
      <c r="H340" s="289"/>
      <c r="I340" s="289"/>
      <c r="J340" s="289">
        <v>0</v>
      </c>
      <c r="K340" s="289" t="s">
        <v>1779</v>
      </c>
      <c r="L340" s="289"/>
      <c r="M340" s="289"/>
      <c r="N340" s="293">
        <v>43982</v>
      </c>
      <c r="O340" s="293">
        <v>43982</v>
      </c>
      <c r="P340" s="289" t="s">
        <v>1790</v>
      </c>
      <c r="Q340" s="290">
        <v>1000</v>
      </c>
      <c r="R340" s="290">
        <v>14010</v>
      </c>
      <c r="S340" s="291">
        <v>226012.36</v>
      </c>
      <c r="T340" s="290">
        <v>14016</v>
      </c>
      <c r="U340" s="291">
        <v>48969.36</v>
      </c>
      <c r="V340" s="291">
        <f t="shared" si="5"/>
        <v>177043</v>
      </c>
      <c r="W340" s="292">
        <v>13184.06</v>
      </c>
      <c r="X340" s="290">
        <v>57260</v>
      </c>
      <c r="Y340" s="291">
        <v>1883.44</v>
      </c>
      <c r="Z340" s="289" t="s">
        <v>944</v>
      </c>
      <c r="AA340" s="289"/>
      <c r="AB340" s="289" t="s">
        <v>1791</v>
      </c>
      <c r="AC340" s="289"/>
      <c r="AD340" s="289" t="s">
        <v>1446</v>
      </c>
      <c r="AE340" s="289" t="s">
        <v>410</v>
      </c>
      <c r="AF340" s="290" t="s">
        <v>1447</v>
      </c>
      <c r="AG340" s="289"/>
      <c r="AH340" s="290" t="s">
        <v>1448</v>
      </c>
      <c r="AI340" s="289">
        <v>0</v>
      </c>
      <c r="AJ340" s="289">
        <v>0</v>
      </c>
    </row>
    <row r="341" spans="2:36">
      <c r="B341" s="290">
        <v>2111</v>
      </c>
      <c r="C341" s="294">
        <v>234037</v>
      </c>
      <c r="D341" s="290">
        <v>232979</v>
      </c>
      <c r="E341" s="289" t="s">
        <v>1792</v>
      </c>
      <c r="F341" s="290"/>
      <c r="G341" s="289"/>
      <c r="H341" s="289"/>
      <c r="I341" s="289"/>
      <c r="J341" s="289">
        <v>0</v>
      </c>
      <c r="K341" s="289" t="s">
        <v>1456</v>
      </c>
      <c r="L341" s="289"/>
      <c r="M341" s="289"/>
      <c r="N341" s="293">
        <v>43982</v>
      </c>
      <c r="O341" s="293">
        <v>43982</v>
      </c>
      <c r="P341" s="289" t="s">
        <v>1790</v>
      </c>
      <c r="Q341" s="290">
        <v>1000</v>
      </c>
      <c r="R341" s="290">
        <v>14010</v>
      </c>
      <c r="S341" s="291">
        <v>1148.5</v>
      </c>
      <c r="T341" s="290">
        <v>14016</v>
      </c>
      <c r="U341" s="291">
        <v>248.83</v>
      </c>
      <c r="V341" s="291">
        <f t="shared" si="5"/>
        <v>899.67</v>
      </c>
      <c r="W341" s="292">
        <v>66.989999999999995</v>
      </c>
      <c r="X341" s="290">
        <v>57260</v>
      </c>
      <c r="Y341" s="291">
        <v>9.57</v>
      </c>
      <c r="Z341" s="289" t="s">
        <v>944</v>
      </c>
      <c r="AA341" s="289"/>
      <c r="AB341" s="289" t="s">
        <v>1793</v>
      </c>
      <c r="AC341" s="289"/>
      <c r="AD341" s="289" t="s">
        <v>1446</v>
      </c>
      <c r="AE341" s="289" t="s">
        <v>410</v>
      </c>
      <c r="AF341" s="290" t="s">
        <v>1447</v>
      </c>
      <c r="AG341" s="289"/>
      <c r="AH341" s="290" t="s">
        <v>1448</v>
      </c>
      <c r="AI341" s="289">
        <v>0</v>
      </c>
      <c r="AJ341" s="289">
        <v>0</v>
      </c>
    </row>
    <row r="342" spans="2:36">
      <c r="B342" s="290">
        <v>2111</v>
      </c>
      <c r="C342" s="294">
        <v>234036</v>
      </c>
      <c r="D342" s="290">
        <v>232979</v>
      </c>
      <c r="E342" s="289" t="s">
        <v>1794</v>
      </c>
      <c r="F342" s="290"/>
      <c r="G342" s="289"/>
      <c r="H342" s="289"/>
      <c r="I342" s="289"/>
      <c r="J342" s="289">
        <v>0</v>
      </c>
      <c r="K342" s="289" t="s">
        <v>1795</v>
      </c>
      <c r="L342" s="289"/>
      <c r="M342" s="289"/>
      <c r="N342" s="293">
        <v>43982</v>
      </c>
      <c r="O342" s="293">
        <v>43982</v>
      </c>
      <c r="P342" s="289" t="s">
        <v>1790</v>
      </c>
      <c r="Q342" s="290">
        <v>1000</v>
      </c>
      <c r="R342" s="290">
        <v>14010</v>
      </c>
      <c r="S342" s="291">
        <v>1417.62</v>
      </c>
      <c r="T342" s="290">
        <v>14016</v>
      </c>
      <c r="U342" s="291">
        <v>307.13</v>
      </c>
      <c r="V342" s="291">
        <f t="shared" si="5"/>
        <v>1110.4899999999998</v>
      </c>
      <c r="W342" s="292">
        <v>82.69</v>
      </c>
      <c r="X342" s="290">
        <v>57260</v>
      </c>
      <c r="Y342" s="291">
        <v>11.81</v>
      </c>
      <c r="Z342" s="289" t="s">
        <v>944</v>
      </c>
      <c r="AA342" s="289"/>
      <c r="AB342" s="289">
        <v>90979109</v>
      </c>
      <c r="AC342" s="289"/>
      <c r="AD342" s="289" t="s">
        <v>1446</v>
      </c>
      <c r="AE342" s="289" t="s">
        <v>410</v>
      </c>
      <c r="AF342" s="290" t="s">
        <v>1447</v>
      </c>
      <c r="AG342" s="289"/>
      <c r="AH342" s="290" t="s">
        <v>1448</v>
      </c>
      <c r="AI342" s="289">
        <v>0</v>
      </c>
      <c r="AJ342" s="289">
        <v>0</v>
      </c>
    </row>
    <row r="343" spans="2:36">
      <c r="B343" s="290">
        <v>2111</v>
      </c>
      <c r="C343" s="294">
        <v>233513</v>
      </c>
      <c r="D343" s="290">
        <v>232980</v>
      </c>
      <c r="E343" s="289" t="s">
        <v>1796</v>
      </c>
      <c r="F343" s="290"/>
      <c r="G343" s="289"/>
      <c r="H343" s="289"/>
      <c r="I343" s="289"/>
      <c r="J343" s="289">
        <v>0</v>
      </c>
      <c r="K343" s="289" t="s">
        <v>1779</v>
      </c>
      <c r="L343" s="289"/>
      <c r="M343" s="289"/>
      <c r="N343" s="293">
        <v>43982</v>
      </c>
      <c r="O343" s="293">
        <v>43982</v>
      </c>
      <c r="P343" s="289" t="s">
        <v>1767</v>
      </c>
      <c r="Q343" s="290">
        <v>1000</v>
      </c>
      <c r="R343" s="290">
        <v>14010</v>
      </c>
      <c r="S343" s="291">
        <v>6243.75</v>
      </c>
      <c r="T343" s="290">
        <v>14016</v>
      </c>
      <c r="U343" s="291">
        <v>1352.82</v>
      </c>
      <c r="V343" s="291">
        <f t="shared" si="5"/>
        <v>4890.93</v>
      </c>
      <c r="W343" s="292">
        <v>364.22</v>
      </c>
      <c r="X343" s="290">
        <v>57260</v>
      </c>
      <c r="Y343" s="291">
        <v>52.03</v>
      </c>
      <c r="Z343" s="289" t="s">
        <v>944</v>
      </c>
      <c r="AA343" s="289"/>
      <c r="AB343" s="289" t="s">
        <v>1797</v>
      </c>
      <c r="AC343" s="289"/>
      <c r="AD343" s="289" t="s">
        <v>1446</v>
      </c>
      <c r="AE343" s="289" t="s">
        <v>410</v>
      </c>
      <c r="AF343" s="290" t="s">
        <v>1447</v>
      </c>
      <c r="AG343" s="289"/>
      <c r="AH343" s="290" t="s">
        <v>1448</v>
      </c>
      <c r="AI343" s="289">
        <v>0</v>
      </c>
      <c r="AJ343" s="289">
        <v>0</v>
      </c>
    </row>
    <row r="344" spans="2:36">
      <c r="B344" s="290">
        <v>2111</v>
      </c>
      <c r="C344" s="294">
        <v>233512</v>
      </c>
      <c r="D344" s="290">
        <v>232979</v>
      </c>
      <c r="E344" s="289" t="s">
        <v>1798</v>
      </c>
      <c r="F344" s="290"/>
      <c r="G344" s="289"/>
      <c r="H344" s="289"/>
      <c r="I344" s="289"/>
      <c r="J344" s="289">
        <v>0</v>
      </c>
      <c r="K344" s="289" t="s">
        <v>1779</v>
      </c>
      <c r="L344" s="289"/>
      <c r="M344" s="289"/>
      <c r="N344" s="293">
        <v>43982</v>
      </c>
      <c r="O344" s="293">
        <v>43982</v>
      </c>
      <c r="P344" s="289" t="s">
        <v>1790</v>
      </c>
      <c r="Q344" s="290">
        <v>1000</v>
      </c>
      <c r="R344" s="290">
        <v>14010</v>
      </c>
      <c r="S344" s="291">
        <v>240504.3</v>
      </c>
      <c r="T344" s="290">
        <v>14016</v>
      </c>
      <c r="U344" s="291">
        <v>52109.25</v>
      </c>
      <c r="V344" s="291">
        <f t="shared" si="5"/>
        <v>188395.05</v>
      </c>
      <c r="W344" s="292">
        <v>14029.42</v>
      </c>
      <c r="X344" s="290">
        <v>57260</v>
      </c>
      <c r="Y344" s="291">
        <v>2004.2</v>
      </c>
      <c r="Z344" s="289" t="s">
        <v>944</v>
      </c>
      <c r="AA344" s="289"/>
      <c r="AB344" s="289" t="s">
        <v>1799</v>
      </c>
      <c r="AC344" s="289"/>
      <c r="AD344" s="289" t="s">
        <v>1446</v>
      </c>
      <c r="AE344" s="289" t="s">
        <v>410</v>
      </c>
      <c r="AF344" s="290" t="s">
        <v>1447</v>
      </c>
      <c r="AG344" s="289"/>
      <c r="AH344" s="290" t="s">
        <v>1448</v>
      </c>
      <c r="AI344" s="289">
        <v>0</v>
      </c>
      <c r="AJ344" s="289">
        <v>0</v>
      </c>
    </row>
    <row r="345" spans="2:36">
      <c r="B345" s="290">
        <v>2111</v>
      </c>
      <c r="C345" s="294">
        <v>233511</v>
      </c>
      <c r="D345" s="290">
        <v>232979</v>
      </c>
      <c r="E345" s="289" t="s">
        <v>1800</v>
      </c>
      <c r="F345" s="290"/>
      <c r="G345" s="289"/>
      <c r="H345" s="289"/>
      <c r="I345" s="289"/>
      <c r="J345" s="289">
        <v>0</v>
      </c>
      <c r="K345" s="289" t="s">
        <v>1456</v>
      </c>
      <c r="L345" s="289"/>
      <c r="M345" s="289"/>
      <c r="N345" s="293">
        <v>43982</v>
      </c>
      <c r="O345" s="293">
        <v>43982</v>
      </c>
      <c r="P345" s="289" t="s">
        <v>1790</v>
      </c>
      <c r="Q345" s="290">
        <v>1000</v>
      </c>
      <c r="R345" s="290">
        <v>14010</v>
      </c>
      <c r="S345" s="291">
        <v>381</v>
      </c>
      <c r="T345" s="290">
        <v>14016</v>
      </c>
      <c r="U345" s="291">
        <v>82.56</v>
      </c>
      <c r="V345" s="291">
        <f t="shared" si="5"/>
        <v>298.44</v>
      </c>
      <c r="W345" s="292">
        <v>22.23</v>
      </c>
      <c r="X345" s="290">
        <v>57260</v>
      </c>
      <c r="Y345" s="291">
        <v>3.18</v>
      </c>
      <c r="Z345" s="289" t="s">
        <v>944</v>
      </c>
      <c r="AA345" s="289"/>
      <c r="AB345" s="289" t="s">
        <v>1801</v>
      </c>
      <c r="AC345" s="289"/>
      <c r="AD345" s="289" t="s">
        <v>1446</v>
      </c>
      <c r="AE345" s="289" t="s">
        <v>410</v>
      </c>
      <c r="AF345" s="290" t="s">
        <v>1447</v>
      </c>
      <c r="AG345" s="289"/>
      <c r="AH345" s="290" t="s">
        <v>1448</v>
      </c>
      <c r="AI345" s="289">
        <v>0</v>
      </c>
      <c r="AJ345" s="289">
        <v>0</v>
      </c>
    </row>
    <row r="346" spans="2:36">
      <c r="B346" s="290">
        <v>2111</v>
      </c>
      <c r="C346" s="294">
        <v>233286</v>
      </c>
      <c r="D346" s="290" t="s">
        <v>944</v>
      </c>
      <c r="E346" s="289" t="s">
        <v>1136</v>
      </c>
      <c r="F346" s="290">
        <v>702</v>
      </c>
      <c r="G346" s="289"/>
      <c r="H346" s="289"/>
      <c r="I346" s="289"/>
      <c r="J346" s="289">
        <v>0</v>
      </c>
      <c r="K346" s="289" t="s">
        <v>1462</v>
      </c>
      <c r="L346" s="289"/>
      <c r="M346" s="289" t="s">
        <v>1463</v>
      </c>
      <c r="N346" s="293">
        <v>43963</v>
      </c>
      <c r="O346" s="293">
        <v>43963</v>
      </c>
      <c r="P346" s="289" t="s">
        <v>1802</v>
      </c>
      <c r="Q346" s="290">
        <v>700</v>
      </c>
      <c r="R346" s="290">
        <v>14050</v>
      </c>
      <c r="S346" s="291">
        <v>27943.66</v>
      </c>
      <c r="T346" s="290">
        <v>14056</v>
      </c>
      <c r="U346" s="291">
        <v>8981.89</v>
      </c>
      <c r="V346" s="291">
        <f t="shared" si="5"/>
        <v>18961.77</v>
      </c>
      <c r="W346" s="292">
        <v>2328.64</v>
      </c>
      <c r="X346" s="290">
        <v>54260</v>
      </c>
      <c r="Y346" s="291">
        <v>332.66</v>
      </c>
      <c r="Z346" s="289" t="s">
        <v>944</v>
      </c>
      <c r="AA346" s="289"/>
      <c r="AB346" s="289">
        <v>50099616</v>
      </c>
      <c r="AC346" s="289"/>
      <c r="AD346" s="289" t="s">
        <v>1446</v>
      </c>
      <c r="AE346" s="289" t="s">
        <v>410</v>
      </c>
      <c r="AF346" s="290" t="s">
        <v>1447</v>
      </c>
      <c r="AG346" s="289"/>
      <c r="AH346" s="290" t="s">
        <v>1448</v>
      </c>
      <c r="AI346" s="289">
        <v>0</v>
      </c>
      <c r="AJ346" s="289">
        <v>0</v>
      </c>
    </row>
    <row r="347" spans="2:36">
      <c r="B347" s="290">
        <v>2111</v>
      </c>
      <c r="C347" s="294">
        <v>233285</v>
      </c>
      <c r="D347" s="290" t="s">
        <v>944</v>
      </c>
      <c r="E347" s="289" t="s">
        <v>1135</v>
      </c>
      <c r="F347" s="290">
        <v>702</v>
      </c>
      <c r="G347" s="289"/>
      <c r="H347" s="289"/>
      <c r="I347" s="289"/>
      <c r="J347" s="289">
        <v>0</v>
      </c>
      <c r="K347" s="289" t="s">
        <v>1462</v>
      </c>
      <c r="L347" s="289"/>
      <c r="M347" s="289" t="s">
        <v>1463</v>
      </c>
      <c r="N347" s="293">
        <v>43963</v>
      </c>
      <c r="O347" s="293">
        <v>43963</v>
      </c>
      <c r="P347" s="289" t="s">
        <v>1802</v>
      </c>
      <c r="Q347" s="290">
        <v>700</v>
      </c>
      <c r="R347" s="290">
        <v>14050</v>
      </c>
      <c r="S347" s="291">
        <v>27943.66</v>
      </c>
      <c r="T347" s="290">
        <v>14056</v>
      </c>
      <c r="U347" s="291">
        <v>8981.89</v>
      </c>
      <c r="V347" s="291">
        <f t="shared" si="5"/>
        <v>18961.77</v>
      </c>
      <c r="W347" s="292">
        <v>2328.64</v>
      </c>
      <c r="X347" s="290">
        <v>54260</v>
      </c>
      <c r="Y347" s="291">
        <v>332.66</v>
      </c>
      <c r="Z347" s="289" t="s">
        <v>944</v>
      </c>
      <c r="AA347" s="289"/>
      <c r="AB347" s="289">
        <v>50099468</v>
      </c>
      <c r="AC347" s="289"/>
      <c r="AD347" s="289" t="s">
        <v>1446</v>
      </c>
      <c r="AE347" s="289" t="s">
        <v>410</v>
      </c>
      <c r="AF347" s="290" t="s">
        <v>1447</v>
      </c>
      <c r="AG347" s="289"/>
      <c r="AH347" s="290" t="s">
        <v>1448</v>
      </c>
      <c r="AI347" s="289">
        <v>0</v>
      </c>
      <c r="AJ347" s="289">
        <v>0</v>
      </c>
    </row>
    <row r="348" spans="2:36">
      <c r="B348" s="290">
        <v>2111</v>
      </c>
      <c r="C348" s="294">
        <v>233284</v>
      </c>
      <c r="D348" s="290" t="s">
        <v>944</v>
      </c>
      <c r="E348" s="289" t="s">
        <v>1803</v>
      </c>
      <c r="F348" s="290">
        <v>702</v>
      </c>
      <c r="G348" s="289"/>
      <c r="H348" s="289"/>
      <c r="I348" s="289"/>
      <c r="J348" s="289">
        <v>0</v>
      </c>
      <c r="K348" s="289" t="s">
        <v>1462</v>
      </c>
      <c r="L348" s="289"/>
      <c r="M348" s="289" t="s">
        <v>1463</v>
      </c>
      <c r="N348" s="293">
        <v>43963</v>
      </c>
      <c r="O348" s="293">
        <v>43963</v>
      </c>
      <c r="P348" s="289" t="s">
        <v>1802</v>
      </c>
      <c r="Q348" s="290">
        <v>700</v>
      </c>
      <c r="R348" s="290">
        <v>14050</v>
      </c>
      <c r="S348" s="291">
        <v>27943.66</v>
      </c>
      <c r="T348" s="290">
        <v>14056</v>
      </c>
      <c r="U348" s="291">
        <v>8981.89</v>
      </c>
      <c r="V348" s="291">
        <f t="shared" si="5"/>
        <v>18961.77</v>
      </c>
      <c r="W348" s="292">
        <v>2328.64</v>
      </c>
      <c r="X348" s="290">
        <v>54260</v>
      </c>
      <c r="Y348" s="291">
        <v>332.66</v>
      </c>
      <c r="Z348" s="289" t="s">
        <v>944</v>
      </c>
      <c r="AA348" s="289"/>
      <c r="AB348" s="289">
        <v>50099038</v>
      </c>
      <c r="AC348" s="289"/>
      <c r="AD348" s="289" t="s">
        <v>1446</v>
      </c>
      <c r="AE348" s="289" t="s">
        <v>410</v>
      </c>
      <c r="AF348" s="290" t="s">
        <v>1447</v>
      </c>
      <c r="AG348" s="289"/>
      <c r="AH348" s="290" t="s">
        <v>1448</v>
      </c>
      <c r="AI348" s="289">
        <v>0</v>
      </c>
      <c r="AJ348" s="289">
        <v>0</v>
      </c>
    </row>
    <row r="349" spans="2:36">
      <c r="B349" s="290">
        <v>2111</v>
      </c>
      <c r="C349" s="294">
        <v>233283</v>
      </c>
      <c r="D349" s="290" t="s">
        <v>944</v>
      </c>
      <c r="E349" s="289" t="s">
        <v>1803</v>
      </c>
      <c r="F349" s="290">
        <v>702</v>
      </c>
      <c r="G349" s="289"/>
      <c r="H349" s="289"/>
      <c r="I349" s="289"/>
      <c r="J349" s="289">
        <v>0</v>
      </c>
      <c r="K349" s="289" t="s">
        <v>1462</v>
      </c>
      <c r="L349" s="289"/>
      <c r="M349" s="289" t="s">
        <v>1463</v>
      </c>
      <c r="N349" s="293">
        <v>43963</v>
      </c>
      <c r="O349" s="293">
        <v>43963</v>
      </c>
      <c r="P349" s="289" t="s">
        <v>1802</v>
      </c>
      <c r="Q349" s="290">
        <v>700</v>
      </c>
      <c r="R349" s="290">
        <v>14050</v>
      </c>
      <c r="S349" s="291">
        <v>27943.66</v>
      </c>
      <c r="T349" s="290">
        <v>14056</v>
      </c>
      <c r="U349" s="291">
        <v>8981.89</v>
      </c>
      <c r="V349" s="291">
        <f t="shared" si="5"/>
        <v>18961.77</v>
      </c>
      <c r="W349" s="292">
        <v>2328.64</v>
      </c>
      <c r="X349" s="290">
        <v>54260</v>
      </c>
      <c r="Y349" s="291">
        <v>332.66</v>
      </c>
      <c r="Z349" s="289" t="s">
        <v>944</v>
      </c>
      <c r="AA349" s="289"/>
      <c r="AB349" s="289">
        <v>50097030</v>
      </c>
      <c r="AC349" s="289"/>
      <c r="AD349" s="289" t="s">
        <v>1446</v>
      </c>
      <c r="AE349" s="289" t="s">
        <v>410</v>
      </c>
      <c r="AF349" s="290" t="s">
        <v>1447</v>
      </c>
      <c r="AG349" s="289"/>
      <c r="AH349" s="290" t="s">
        <v>1448</v>
      </c>
      <c r="AI349" s="289">
        <v>0</v>
      </c>
      <c r="AJ349" s="289">
        <v>0</v>
      </c>
    </row>
    <row r="350" spans="2:36">
      <c r="B350" s="290">
        <v>2111</v>
      </c>
      <c r="C350" s="294">
        <v>233201</v>
      </c>
      <c r="D350" s="290" t="s">
        <v>944</v>
      </c>
      <c r="E350" s="289" t="s">
        <v>1762</v>
      </c>
      <c r="F350" s="290">
        <v>312</v>
      </c>
      <c r="G350" s="289"/>
      <c r="H350" s="289"/>
      <c r="I350" s="289"/>
      <c r="J350" s="289">
        <v>0</v>
      </c>
      <c r="K350" s="289" t="s">
        <v>1755</v>
      </c>
      <c r="L350" s="289"/>
      <c r="M350" s="289" t="s">
        <v>1463</v>
      </c>
      <c r="N350" s="293">
        <v>43946</v>
      </c>
      <c r="O350" s="293">
        <v>43946</v>
      </c>
      <c r="P350" s="289" t="s">
        <v>1804</v>
      </c>
      <c r="Q350" s="290">
        <v>700</v>
      </c>
      <c r="R350" s="290">
        <v>14050</v>
      </c>
      <c r="S350" s="291">
        <v>12686.86</v>
      </c>
      <c r="T350" s="290">
        <v>14056</v>
      </c>
      <c r="U350" s="291">
        <v>4077.92</v>
      </c>
      <c r="V350" s="291">
        <f t="shared" si="5"/>
        <v>8608.94</v>
      </c>
      <c r="W350" s="292">
        <v>1057.24</v>
      </c>
      <c r="X350" s="290">
        <v>54260</v>
      </c>
      <c r="Y350" s="291">
        <v>151.03</v>
      </c>
      <c r="Z350" s="289" t="s">
        <v>944</v>
      </c>
      <c r="AA350" s="289"/>
      <c r="AB350" s="289">
        <v>65662411</v>
      </c>
      <c r="AC350" s="289"/>
      <c r="AD350" s="289" t="s">
        <v>1446</v>
      </c>
      <c r="AE350" s="289" t="s">
        <v>410</v>
      </c>
      <c r="AF350" s="290" t="s">
        <v>1447</v>
      </c>
      <c r="AG350" s="289"/>
      <c r="AH350" s="290" t="s">
        <v>1448</v>
      </c>
      <c r="AI350" s="289">
        <v>0</v>
      </c>
      <c r="AJ350" s="289">
        <v>0</v>
      </c>
    </row>
    <row r="351" spans="2:36">
      <c r="B351" s="290">
        <v>2111</v>
      </c>
      <c r="C351" s="294">
        <v>233200</v>
      </c>
      <c r="D351" s="290" t="s">
        <v>944</v>
      </c>
      <c r="E351" s="289" t="s">
        <v>1805</v>
      </c>
      <c r="F351" s="290">
        <v>312</v>
      </c>
      <c r="G351" s="289"/>
      <c r="H351" s="289"/>
      <c r="I351" s="289"/>
      <c r="J351" s="289">
        <v>0</v>
      </c>
      <c r="K351" s="289" t="s">
        <v>1755</v>
      </c>
      <c r="L351" s="289"/>
      <c r="M351" s="289" t="s">
        <v>1463</v>
      </c>
      <c r="N351" s="293">
        <v>43946</v>
      </c>
      <c r="O351" s="293">
        <v>43946</v>
      </c>
      <c r="P351" s="289" t="s">
        <v>1804</v>
      </c>
      <c r="Q351" s="290">
        <v>700</v>
      </c>
      <c r="R351" s="290">
        <v>14050</v>
      </c>
      <c r="S351" s="291">
        <v>12686.86</v>
      </c>
      <c r="T351" s="290">
        <v>14056</v>
      </c>
      <c r="U351" s="291">
        <v>4077.92</v>
      </c>
      <c r="V351" s="291">
        <f t="shared" si="5"/>
        <v>8608.94</v>
      </c>
      <c r="W351" s="292">
        <v>1057.24</v>
      </c>
      <c r="X351" s="290">
        <v>54260</v>
      </c>
      <c r="Y351" s="291">
        <v>151.03</v>
      </c>
      <c r="Z351" s="289" t="s">
        <v>944</v>
      </c>
      <c r="AA351" s="289"/>
      <c r="AB351" s="289">
        <v>65662411</v>
      </c>
      <c r="AC351" s="289"/>
      <c r="AD351" s="289" t="s">
        <v>1446</v>
      </c>
      <c r="AE351" s="289" t="s">
        <v>410</v>
      </c>
      <c r="AF351" s="290" t="s">
        <v>1447</v>
      </c>
      <c r="AG351" s="289"/>
      <c r="AH351" s="290" t="s">
        <v>1448</v>
      </c>
      <c r="AI351" s="289">
        <v>0</v>
      </c>
      <c r="AJ351" s="289">
        <v>0</v>
      </c>
    </row>
    <row r="352" spans="2:36">
      <c r="B352" s="290">
        <v>2111</v>
      </c>
      <c r="C352" s="294">
        <v>233199</v>
      </c>
      <c r="D352" s="290" t="s">
        <v>944</v>
      </c>
      <c r="E352" s="289" t="s">
        <v>1806</v>
      </c>
      <c r="F352" s="290">
        <v>624</v>
      </c>
      <c r="G352" s="289"/>
      <c r="H352" s="289"/>
      <c r="I352" s="289"/>
      <c r="J352" s="289">
        <v>0</v>
      </c>
      <c r="K352" s="289" t="s">
        <v>1755</v>
      </c>
      <c r="L352" s="289"/>
      <c r="M352" s="289" t="s">
        <v>1463</v>
      </c>
      <c r="N352" s="293">
        <v>43946</v>
      </c>
      <c r="O352" s="293">
        <v>43946</v>
      </c>
      <c r="P352" s="289" t="s">
        <v>1804</v>
      </c>
      <c r="Q352" s="290">
        <v>700</v>
      </c>
      <c r="R352" s="290">
        <v>14050</v>
      </c>
      <c r="S352" s="291">
        <v>25373.71</v>
      </c>
      <c r="T352" s="290">
        <v>14056</v>
      </c>
      <c r="U352" s="291">
        <v>8155.84</v>
      </c>
      <c r="V352" s="291">
        <f t="shared" si="5"/>
        <v>17217.87</v>
      </c>
      <c r="W352" s="292">
        <v>2114.48</v>
      </c>
      <c r="X352" s="290">
        <v>54260</v>
      </c>
      <c r="Y352" s="291">
        <v>302.07</v>
      </c>
      <c r="Z352" s="289" t="s">
        <v>944</v>
      </c>
      <c r="AA352" s="289"/>
      <c r="AB352" s="289">
        <v>65662828</v>
      </c>
      <c r="AC352" s="289"/>
      <c r="AD352" s="289" t="s">
        <v>1446</v>
      </c>
      <c r="AE352" s="289" t="s">
        <v>410</v>
      </c>
      <c r="AF352" s="290" t="s">
        <v>1447</v>
      </c>
      <c r="AG352" s="289"/>
      <c r="AH352" s="290" t="s">
        <v>1448</v>
      </c>
      <c r="AI352" s="289">
        <v>0</v>
      </c>
      <c r="AJ352" s="289">
        <v>0</v>
      </c>
    </row>
    <row r="353" spans="2:36">
      <c r="B353" s="290">
        <v>2111</v>
      </c>
      <c r="C353" s="294">
        <v>232980</v>
      </c>
      <c r="D353" s="290" t="s">
        <v>944</v>
      </c>
      <c r="E353" s="289" t="s">
        <v>1807</v>
      </c>
      <c r="F353" s="290"/>
      <c r="G353" s="289"/>
      <c r="H353" s="289"/>
      <c r="I353" s="289"/>
      <c r="J353" s="289">
        <v>0</v>
      </c>
      <c r="K353" s="289"/>
      <c r="L353" s="289"/>
      <c r="M353" s="289"/>
      <c r="N353" s="293">
        <v>43982</v>
      </c>
      <c r="O353" s="293">
        <v>43982</v>
      </c>
      <c r="P353" s="289" t="s">
        <v>1692</v>
      </c>
      <c r="Q353" s="290">
        <v>1000</v>
      </c>
      <c r="R353" s="290">
        <v>14010</v>
      </c>
      <c r="S353" s="291">
        <v>289762.48</v>
      </c>
      <c r="T353" s="290">
        <v>14016</v>
      </c>
      <c r="U353" s="291">
        <v>62781.87</v>
      </c>
      <c r="V353" s="291">
        <f t="shared" si="5"/>
        <v>226980.61</v>
      </c>
      <c r="W353" s="292">
        <v>16902.810000000001</v>
      </c>
      <c r="X353" s="290">
        <v>57260</v>
      </c>
      <c r="Y353" s="291">
        <v>2414.6799999999998</v>
      </c>
      <c r="Z353" s="289" t="s">
        <v>944</v>
      </c>
      <c r="AA353" s="289"/>
      <c r="AB353" s="289"/>
      <c r="AC353" s="289"/>
      <c r="AD353" s="289" t="s">
        <v>1446</v>
      </c>
      <c r="AE353" s="289" t="s">
        <v>410</v>
      </c>
      <c r="AF353" s="290" t="s">
        <v>1447</v>
      </c>
      <c r="AG353" s="289"/>
      <c r="AH353" s="290" t="s">
        <v>1448</v>
      </c>
      <c r="AI353" s="289">
        <v>0</v>
      </c>
      <c r="AJ353" s="289">
        <v>0</v>
      </c>
    </row>
    <row r="354" spans="2:36">
      <c r="B354" s="290">
        <v>2111</v>
      </c>
      <c r="C354" s="294">
        <v>232979</v>
      </c>
      <c r="D354" s="290" t="s">
        <v>944</v>
      </c>
      <c r="E354" s="289" t="s">
        <v>1808</v>
      </c>
      <c r="F354" s="290"/>
      <c r="G354" s="289"/>
      <c r="H354" s="289"/>
      <c r="I354" s="289"/>
      <c r="J354" s="289">
        <v>0</v>
      </c>
      <c r="K354" s="289"/>
      <c r="L354" s="289"/>
      <c r="M354" s="289"/>
      <c r="N354" s="293">
        <v>43982</v>
      </c>
      <c r="O354" s="293">
        <v>43982</v>
      </c>
      <c r="P354" s="289" t="s">
        <v>1809</v>
      </c>
      <c r="Q354" s="290">
        <v>1000</v>
      </c>
      <c r="R354" s="290">
        <v>14010</v>
      </c>
      <c r="S354" s="291">
        <v>1213512.47</v>
      </c>
      <c r="T354" s="290">
        <v>14016</v>
      </c>
      <c r="U354" s="291">
        <v>262927.71000000002</v>
      </c>
      <c r="V354" s="291">
        <f t="shared" si="5"/>
        <v>950584.76</v>
      </c>
      <c r="W354" s="292">
        <v>70788.23</v>
      </c>
      <c r="X354" s="290">
        <v>57260</v>
      </c>
      <c r="Y354" s="291">
        <v>10112.6</v>
      </c>
      <c r="Z354" s="289" t="s">
        <v>944</v>
      </c>
      <c r="AA354" s="289"/>
      <c r="AB354" s="289"/>
      <c r="AC354" s="289"/>
      <c r="AD354" s="289" t="s">
        <v>1446</v>
      </c>
      <c r="AE354" s="289" t="s">
        <v>410</v>
      </c>
      <c r="AF354" s="290" t="s">
        <v>1447</v>
      </c>
      <c r="AG354" s="289"/>
      <c r="AH354" s="290" t="s">
        <v>1448</v>
      </c>
      <c r="AI354" s="289">
        <v>0</v>
      </c>
      <c r="AJ354" s="289">
        <v>0</v>
      </c>
    </row>
    <row r="355" spans="2:36">
      <c r="B355" s="290">
        <v>2111</v>
      </c>
      <c r="C355" s="294">
        <v>232978</v>
      </c>
      <c r="D355" s="290" t="s">
        <v>944</v>
      </c>
      <c r="E355" s="289" t="s">
        <v>1077</v>
      </c>
      <c r="F355" s="290"/>
      <c r="G355" s="289"/>
      <c r="H355" s="289"/>
      <c r="I355" s="289"/>
      <c r="J355" s="289">
        <v>0</v>
      </c>
      <c r="K355" s="289"/>
      <c r="L355" s="289"/>
      <c r="M355" s="289"/>
      <c r="N355" s="293">
        <v>43982</v>
      </c>
      <c r="O355" s="293">
        <v>43982</v>
      </c>
      <c r="P355" s="289" t="s">
        <v>1810</v>
      </c>
      <c r="Q355" s="290">
        <v>1000</v>
      </c>
      <c r="R355" s="290">
        <v>14010</v>
      </c>
      <c r="S355" s="291">
        <v>2027.5</v>
      </c>
      <c r="T355" s="290">
        <v>14016</v>
      </c>
      <c r="U355" s="291">
        <v>439.29</v>
      </c>
      <c r="V355" s="291">
        <f t="shared" si="5"/>
        <v>1588.21</v>
      </c>
      <c r="W355" s="292">
        <v>118.27</v>
      </c>
      <c r="X355" s="290">
        <v>57260</v>
      </c>
      <c r="Y355" s="291">
        <v>16.89</v>
      </c>
      <c r="Z355" s="289" t="s">
        <v>944</v>
      </c>
      <c r="AA355" s="289"/>
      <c r="AB355" s="289"/>
      <c r="AC355" s="289"/>
      <c r="AD355" s="289" t="s">
        <v>1446</v>
      </c>
      <c r="AE355" s="289" t="s">
        <v>410</v>
      </c>
      <c r="AF355" s="290" t="s">
        <v>1447</v>
      </c>
      <c r="AG355" s="289"/>
      <c r="AH355" s="290" t="s">
        <v>1448</v>
      </c>
      <c r="AI355" s="289">
        <v>0</v>
      </c>
      <c r="AJ355" s="289">
        <v>0</v>
      </c>
    </row>
    <row r="356" spans="2:36">
      <c r="B356" s="290">
        <v>2111</v>
      </c>
      <c r="C356" s="294">
        <v>232809</v>
      </c>
      <c r="D356" s="290" t="s">
        <v>944</v>
      </c>
      <c r="E356" s="289" t="s">
        <v>1811</v>
      </c>
      <c r="F356" s="290"/>
      <c r="G356" s="289"/>
      <c r="H356" s="289"/>
      <c r="I356" s="289"/>
      <c r="J356" s="289">
        <v>0</v>
      </c>
      <c r="K356" s="289" t="s">
        <v>1812</v>
      </c>
      <c r="L356" s="289"/>
      <c r="M356" s="289"/>
      <c r="N356" s="293">
        <v>43921</v>
      </c>
      <c r="O356" s="293">
        <v>43921</v>
      </c>
      <c r="P356" s="289" t="s">
        <v>1813</v>
      </c>
      <c r="Q356" s="290">
        <v>500</v>
      </c>
      <c r="R356" s="290">
        <v>14070</v>
      </c>
      <c r="S356" s="291">
        <v>233040</v>
      </c>
      <c r="T356" s="290">
        <v>14076</v>
      </c>
      <c r="U356" s="291">
        <v>108752</v>
      </c>
      <c r="V356" s="291">
        <f t="shared" si="5"/>
        <v>124288</v>
      </c>
      <c r="W356" s="292">
        <v>27188</v>
      </c>
      <c r="X356" s="290">
        <v>51260</v>
      </c>
      <c r="Y356" s="291">
        <v>3884</v>
      </c>
      <c r="Z356" s="289" t="s">
        <v>944</v>
      </c>
      <c r="AA356" s="289"/>
      <c r="AB356" s="289">
        <v>4709</v>
      </c>
      <c r="AC356" s="289"/>
      <c r="AD356" s="289" t="s">
        <v>1446</v>
      </c>
      <c r="AE356" s="289" t="s">
        <v>410</v>
      </c>
      <c r="AF356" s="290" t="s">
        <v>1447</v>
      </c>
      <c r="AG356" s="289"/>
      <c r="AH356" s="290" t="s">
        <v>1448</v>
      </c>
      <c r="AI356" s="289">
        <v>0</v>
      </c>
      <c r="AJ356" s="289">
        <v>0</v>
      </c>
    </row>
    <row r="357" spans="2:36">
      <c r="B357" s="290">
        <v>2111</v>
      </c>
      <c r="C357" s="294">
        <v>232456</v>
      </c>
      <c r="D357" s="290" t="s">
        <v>944</v>
      </c>
      <c r="E357" s="289" t="s">
        <v>1123</v>
      </c>
      <c r="F357" s="290"/>
      <c r="G357" s="289"/>
      <c r="H357" s="289" t="s">
        <v>1814</v>
      </c>
      <c r="I357" s="289"/>
      <c r="J357" s="289">
        <v>2006</v>
      </c>
      <c r="K357" s="289"/>
      <c r="L357" s="289"/>
      <c r="M357" s="289" t="s">
        <v>1495</v>
      </c>
      <c r="N357" s="293">
        <v>43952</v>
      </c>
      <c r="O357" s="293">
        <v>43952</v>
      </c>
      <c r="P357" s="289" t="s">
        <v>1815</v>
      </c>
      <c r="Q357" s="290">
        <v>0</v>
      </c>
      <c r="R357" s="290">
        <v>14040</v>
      </c>
      <c r="S357" s="291">
        <v>0</v>
      </c>
      <c r="T357" s="290">
        <v>14046</v>
      </c>
      <c r="U357" s="291">
        <v>0</v>
      </c>
      <c r="V357" s="291">
        <f t="shared" si="5"/>
        <v>0</v>
      </c>
      <c r="W357" s="292">
        <v>0</v>
      </c>
      <c r="X357" s="290">
        <v>51260</v>
      </c>
      <c r="Y357" s="291">
        <v>0</v>
      </c>
      <c r="Z357" s="289" t="s">
        <v>944</v>
      </c>
      <c r="AA357" s="289"/>
      <c r="AB357" s="289"/>
      <c r="AC357" s="289" t="s">
        <v>1816</v>
      </c>
      <c r="AD357" s="289" t="s">
        <v>1446</v>
      </c>
      <c r="AE357" s="289" t="s">
        <v>410</v>
      </c>
      <c r="AF357" s="290" t="s">
        <v>1660</v>
      </c>
      <c r="AG357" s="289"/>
      <c r="AH357" s="290" t="s">
        <v>1448</v>
      </c>
      <c r="AI357" s="289">
        <v>0</v>
      </c>
      <c r="AJ357" s="289">
        <v>0</v>
      </c>
    </row>
    <row r="358" spans="2:36">
      <c r="B358" s="290">
        <v>2111</v>
      </c>
      <c r="C358" s="294">
        <v>231042</v>
      </c>
      <c r="D358" s="290" t="s">
        <v>944</v>
      </c>
      <c r="E358" s="289" t="s">
        <v>1817</v>
      </c>
      <c r="F358" s="290">
        <v>9</v>
      </c>
      <c r="G358" s="289"/>
      <c r="H358" s="289"/>
      <c r="I358" s="289"/>
      <c r="J358" s="289">
        <v>0</v>
      </c>
      <c r="K358" s="289" t="s">
        <v>1726</v>
      </c>
      <c r="L358" s="289"/>
      <c r="M358" s="289" t="s">
        <v>1662</v>
      </c>
      <c r="N358" s="293">
        <v>43831</v>
      </c>
      <c r="O358" s="293">
        <v>43831</v>
      </c>
      <c r="P358" s="289" t="s">
        <v>1818</v>
      </c>
      <c r="Q358" s="290">
        <v>1200</v>
      </c>
      <c r="R358" s="290">
        <v>14050</v>
      </c>
      <c r="S358" s="291">
        <v>9149.18</v>
      </c>
      <c r="T358" s="290">
        <v>14056</v>
      </c>
      <c r="U358" s="291">
        <v>1969.61</v>
      </c>
      <c r="V358" s="291">
        <f t="shared" si="5"/>
        <v>7179.5700000000006</v>
      </c>
      <c r="W358" s="292">
        <v>444.75</v>
      </c>
      <c r="X358" s="290">
        <v>54260</v>
      </c>
      <c r="Y358" s="291">
        <v>63.53</v>
      </c>
      <c r="Z358" s="289" t="s">
        <v>944</v>
      </c>
      <c r="AA358" s="289"/>
      <c r="AB358" s="289">
        <v>158274</v>
      </c>
      <c r="AC358" s="289"/>
      <c r="AD358" s="289" t="s">
        <v>1446</v>
      </c>
      <c r="AE358" s="289" t="s">
        <v>410</v>
      </c>
      <c r="AF358" s="290" t="s">
        <v>1447</v>
      </c>
      <c r="AG358" s="289"/>
      <c r="AH358" s="290" t="s">
        <v>1448</v>
      </c>
      <c r="AI358" s="289">
        <v>0</v>
      </c>
      <c r="AJ358" s="289">
        <v>0</v>
      </c>
    </row>
    <row r="359" spans="2:36">
      <c r="B359" s="290">
        <v>2111</v>
      </c>
      <c r="C359" s="294">
        <v>231041</v>
      </c>
      <c r="D359" s="290" t="s">
        <v>944</v>
      </c>
      <c r="E359" s="289" t="s">
        <v>1819</v>
      </c>
      <c r="F359" s="290">
        <v>15</v>
      </c>
      <c r="G359" s="289"/>
      <c r="H359" s="289"/>
      <c r="I359" s="289"/>
      <c r="J359" s="289">
        <v>0</v>
      </c>
      <c r="K359" s="289" t="s">
        <v>1726</v>
      </c>
      <c r="L359" s="289"/>
      <c r="M359" s="289" t="s">
        <v>1659</v>
      </c>
      <c r="N359" s="293">
        <v>43831</v>
      </c>
      <c r="O359" s="293">
        <v>43831</v>
      </c>
      <c r="P359" s="289" t="s">
        <v>1818</v>
      </c>
      <c r="Q359" s="290">
        <v>1200</v>
      </c>
      <c r="R359" s="290">
        <v>14050</v>
      </c>
      <c r="S359" s="291">
        <v>9561.2999999999993</v>
      </c>
      <c r="T359" s="290">
        <v>14056</v>
      </c>
      <c r="U359" s="291">
        <v>2058.35</v>
      </c>
      <c r="V359" s="291">
        <f t="shared" si="5"/>
        <v>7502.9499999999989</v>
      </c>
      <c r="W359" s="292">
        <v>464.79</v>
      </c>
      <c r="X359" s="290">
        <v>54260</v>
      </c>
      <c r="Y359" s="291">
        <v>66.400000000000006</v>
      </c>
      <c r="Z359" s="289" t="s">
        <v>944</v>
      </c>
      <c r="AA359" s="289"/>
      <c r="AB359" s="289">
        <v>158223</v>
      </c>
      <c r="AC359" s="289"/>
      <c r="AD359" s="289" t="s">
        <v>1446</v>
      </c>
      <c r="AE359" s="289" t="s">
        <v>410</v>
      </c>
      <c r="AF359" s="290" t="s">
        <v>1447</v>
      </c>
      <c r="AG359" s="289"/>
      <c r="AH359" s="290" t="s">
        <v>1448</v>
      </c>
      <c r="AI359" s="289">
        <v>0</v>
      </c>
      <c r="AJ359" s="289">
        <v>0</v>
      </c>
    </row>
    <row r="360" spans="2:36">
      <c r="B360" s="290">
        <v>2111</v>
      </c>
      <c r="C360" s="294">
        <v>231040</v>
      </c>
      <c r="D360" s="290" t="s">
        <v>944</v>
      </c>
      <c r="E360" s="289" t="s">
        <v>1820</v>
      </c>
      <c r="F360" s="290">
        <v>10</v>
      </c>
      <c r="G360" s="289"/>
      <c r="H360" s="289"/>
      <c r="I360" s="289"/>
      <c r="J360" s="289">
        <v>0</v>
      </c>
      <c r="K360" s="289" t="s">
        <v>1726</v>
      </c>
      <c r="L360" s="289"/>
      <c r="M360" s="289" t="s">
        <v>1664</v>
      </c>
      <c r="N360" s="293">
        <v>43831</v>
      </c>
      <c r="O360" s="293">
        <v>43831</v>
      </c>
      <c r="P360" s="289" t="s">
        <v>1818</v>
      </c>
      <c r="Q360" s="290">
        <v>1200</v>
      </c>
      <c r="R360" s="290">
        <v>14050</v>
      </c>
      <c r="S360" s="291">
        <v>8572.2000000000007</v>
      </c>
      <c r="T360" s="290">
        <v>14056</v>
      </c>
      <c r="U360" s="291">
        <v>1845.4</v>
      </c>
      <c r="V360" s="291">
        <f t="shared" si="5"/>
        <v>6726.8000000000011</v>
      </c>
      <c r="W360" s="292">
        <v>416.7</v>
      </c>
      <c r="X360" s="290">
        <v>54260</v>
      </c>
      <c r="Y360" s="291">
        <v>59.52</v>
      </c>
      <c r="Z360" s="289" t="s">
        <v>944</v>
      </c>
      <c r="AA360" s="289"/>
      <c r="AB360" s="289">
        <v>158222</v>
      </c>
      <c r="AC360" s="289"/>
      <c r="AD360" s="289" t="s">
        <v>1446</v>
      </c>
      <c r="AE360" s="289" t="s">
        <v>410</v>
      </c>
      <c r="AF360" s="290" t="s">
        <v>1447</v>
      </c>
      <c r="AG360" s="289"/>
      <c r="AH360" s="290" t="s">
        <v>1448</v>
      </c>
      <c r="AI360" s="289">
        <v>0</v>
      </c>
      <c r="AJ360" s="289">
        <v>0</v>
      </c>
    </row>
    <row r="361" spans="2:36">
      <c r="B361" s="290">
        <v>2111</v>
      </c>
      <c r="C361" s="294">
        <v>231039</v>
      </c>
      <c r="D361" s="290" t="s">
        <v>944</v>
      </c>
      <c r="E361" s="289" t="s">
        <v>1821</v>
      </c>
      <c r="F361" s="290">
        <v>10</v>
      </c>
      <c r="G361" s="289"/>
      <c r="H361" s="289"/>
      <c r="I361" s="289"/>
      <c r="J361" s="289">
        <v>0</v>
      </c>
      <c r="K361" s="289" t="s">
        <v>1726</v>
      </c>
      <c r="L361" s="289"/>
      <c r="M361" s="289" t="s">
        <v>1659</v>
      </c>
      <c r="N361" s="293">
        <v>43831</v>
      </c>
      <c r="O361" s="293">
        <v>43831</v>
      </c>
      <c r="P361" s="289" t="s">
        <v>1818</v>
      </c>
      <c r="Q361" s="290">
        <v>1200</v>
      </c>
      <c r="R361" s="290">
        <v>14050</v>
      </c>
      <c r="S361" s="291">
        <v>6758.85</v>
      </c>
      <c r="T361" s="290">
        <v>14056</v>
      </c>
      <c r="U361" s="291">
        <v>1455.04</v>
      </c>
      <c r="V361" s="291">
        <f t="shared" si="5"/>
        <v>5303.81</v>
      </c>
      <c r="W361" s="292">
        <v>328.56</v>
      </c>
      <c r="X361" s="290">
        <v>54260</v>
      </c>
      <c r="Y361" s="291">
        <v>46.94</v>
      </c>
      <c r="Z361" s="289" t="s">
        <v>944</v>
      </c>
      <c r="AA361" s="289"/>
      <c r="AB361" s="289">
        <v>158215</v>
      </c>
      <c r="AC361" s="289"/>
      <c r="AD361" s="289" t="s">
        <v>1446</v>
      </c>
      <c r="AE361" s="289" t="s">
        <v>410</v>
      </c>
      <c r="AF361" s="290" t="s">
        <v>1447</v>
      </c>
      <c r="AG361" s="289"/>
      <c r="AH361" s="290" t="s">
        <v>1448</v>
      </c>
      <c r="AI361" s="289">
        <v>0</v>
      </c>
      <c r="AJ361" s="289">
        <v>0</v>
      </c>
    </row>
    <row r="362" spans="2:36">
      <c r="B362" s="290">
        <v>2111</v>
      </c>
      <c r="C362" s="294">
        <v>230983</v>
      </c>
      <c r="D362" s="290">
        <v>225662</v>
      </c>
      <c r="E362" s="289" t="s">
        <v>1822</v>
      </c>
      <c r="F362" s="290"/>
      <c r="G362" s="289"/>
      <c r="H362" s="289"/>
      <c r="I362" s="289"/>
      <c r="J362" s="289">
        <v>0</v>
      </c>
      <c r="K362" s="289" t="s">
        <v>1456</v>
      </c>
      <c r="L362" s="289"/>
      <c r="M362" s="289"/>
      <c r="N362" s="293">
        <v>43831</v>
      </c>
      <c r="O362" s="293">
        <v>43831</v>
      </c>
      <c r="P362" s="289" t="s">
        <v>1823</v>
      </c>
      <c r="Q362" s="290">
        <v>700</v>
      </c>
      <c r="R362" s="290">
        <v>14010</v>
      </c>
      <c r="S362" s="291">
        <v>3126.88</v>
      </c>
      <c r="T362" s="290">
        <v>14016</v>
      </c>
      <c r="U362" s="291">
        <v>1098.1400000000001</v>
      </c>
      <c r="V362" s="291">
        <f t="shared" si="5"/>
        <v>2028.74</v>
      </c>
      <c r="W362" s="292">
        <v>260.58</v>
      </c>
      <c r="X362" s="290">
        <v>57260</v>
      </c>
      <c r="Y362" s="291">
        <v>37.229999999999997</v>
      </c>
      <c r="Z362" s="289" t="s">
        <v>944</v>
      </c>
      <c r="AA362" s="289"/>
      <c r="AB362" s="289" t="s">
        <v>1824</v>
      </c>
      <c r="AC362" s="289"/>
      <c r="AD362" s="289" t="s">
        <v>1446</v>
      </c>
      <c r="AE362" s="289" t="s">
        <v>410</v>
      </c>
      <c r="AF362" s="290" t="s">
        <v>1447</v>
      </c>
      <c r="AG362" s="295">
        <v>43982</v>
      </c>
      <c r="AH362" s="290" t="s">
        <v>1448</v>
      </c>
      <c r="AI362" s="289">
        <v>0</v>
      </c>
      <c r="AJ362" s="289">
        <v>130.29</v>
      </c>
    </row>
    <row r="363" spans="2:36">
      <c r="B363" s="290">
        <v>2111</v>
      </c>
      <c r="C363" s="294">
        <v>230971</v>
      </c>
      <c r="D363" s="290" t="s">
        <v>944</v>
      </c>
      <c r="E363" s="289" t="s">
        <v>1817</v>
      </c>
      <c r="F363" s="290">
        <v>16</v>
      </c>
      <c r="G363" s="289"/>
      <c r="H363" s="289"/>
      <c r="I363" s="289"/>
      <c r="J363" s="289">
        <v>0</v>
      </c>
      <c r="K363" s="289" t="s">
        <v>1726</v>
      </c>
      <c r="L363" s="289"/>
      <c r="M363" s="289" t="s">
        <v>1662</v>
      </c>
      <c r="N363" s="293">
        <v>43831</v>
      </c>
      <c r="O363" s="293">
        <v>43831</v>
      </c>
      <c r="P363" s="289" t="s">
        <v>1818</v>
      </c>
      <c r="Q363" s="290">
        <v>1200</v>
      </c>
      <c r="R363" s="290">
        <v>14050</v>
      </c>
      <c r="S363" s="291">
        <v>16265.21</v>
      </c>
      <c r="T363" s="290">
        <v>14056</v>
      </c>
      <c r="U363" s="291">
        <v>3501.55</v>
      </c>
      <c r="V363" s="291">
        <f t="shared" si="5"/>
        <v>12763.66</v>
      </c>
      <c r="W363" s="292">
        <v>790.67</v>
      </c>
      <c r="X363" s="290">
        <v>54260</v>
      </c>
      <c r="Y363" s="291">
        <v>112.95</v>
      </c>
      <c r="Z363" s="289" t="s">
        <v>944</v>
      </c>
      <c r="AA363" s="289"/>
      <c r="AB363" s="289">
        <v>158279</v>
      </c>
      <c r="AC363" s="289"/>
      <c r="AD363" s="289" t="s">
        <v>1446</v>
      </c>
      <c r="AE363" s="289" t="s">
        <v>410</v>
      </c>
      <c r="AF363" s="290" t="s">
        <v>1447</v>
      </c>
      <c r="AG363" s="289"/>
      <c r="AH363" s="290" t="s">
        <v>1448</v>
      </c>
      <c r="AI363" s="289">
        <v>0</v>
      </c>
      <c r="AJ363" s="289">
        <v>0</v>
      </c>
    </row>
    <row r="364" spans="2:36">
      <c r="B364" s="290">
        <v>2111</v>
      </c>
      <c r="C364" s="294">
        <v>229685</v>
      </c>
      <c r="D364" s="290" t="s">
        <v>944</v>
      </c>
      <c r="E364" s="289" t="s">
        <v>1825</v>
      </c>
      <c r="F364" s="290">
        <v>0</v>
      </c>
      <c r="G364" s="289"/>
      <c r="H364" s="289" t="s">
        <v>1826</v>
      </c>
      <c r="I364" s="289"/>
      <c r="J364" s="289">
        <v>2006</v>
      </c>
      <c r="K364" s="289" t="s">
        <v>1483</v>
      </c>
      <c r="L364" s="289" t="s">
        <v>1827</v>
      </c>
      <c r="M364" s="289" t="s">
        <v>1495</v>
      </c>
      <c r="N364" s="293">
        <v>39755</v>
      </c>
      <c r="O364" s="293">
        <v>39755</v>
      </c>
      <c r="P364" s="289"/>
      <c r="Q364" s="290">
        <v>700</v>
      </c>
      <c r="R364" s="290">
        <v>14040</v>
      </c>
      <c r="S364" s="291">
        <v>123500</v>
      </c>
      <c r="T364" s="290">
        <v>14046</v>
      </c>
      <c r="U364" s="291">
        <v>123500</v>
      </c>
      <c r="V364" s="291">
        <f t="shared" si="5"/>
        <v>0</v>
      </c>
      <c r="W364" s="292">
        <v>0</v>
      </c>
      <c r="X364" s="290">
        <v>51260</v>
      </c>
      <c r="Y364" s="291">
        <v>0</v>
      </c>
      <c r="Z364" s="289" t="s">
        <v>410</v>
      </c>
      <c r="AA364" s="289" t="s">
        <v>1828</v>
      </c>
      <c r="AB364" s="289"/>
      <c r="AC364" s="289">
        <v>861</v>
      </c>
      <c r="AD364" s="289" t="s">
        <v>1446</v>
      </c>
      <c r="AE364" s="289" t="s">
        <v>410</v>
      </c>
      <c r="AF364" s="290" t="s">
        <v>1447</v>
      </c>
      <c r="AG364" s="295">
        <v>43890</v>
      </c>
      <c r="AH364" s="290" t="s">
        <v>1448</v>
      </c>
      <c r="AI364" s="289">
        <v>0</v>
      </c>
      <c r="AJ364" s="289">
        <v>123500</v>
      </c>
    </row>
    <row r="365" spans="2:36">
      <c r="B365" s="290">
        <v>2111</v>
      </c>
      <c r="C365" s="294">
        <v>229297</v>
      </c>
      <c r="D365" s="290">
        <v>225662</v>
      </c>
      <c r="E365" s="289" t="s">
        <v>1829</v>
      </c>
      <c r="F365" s="290"/>
      <c r="G365" s="289"/>
      <c r="H365" s="289"/>
      <c r="I365" s="289"/>
      <c r="J365" s="289">
        <v>0</v>
      </c>
      <c r="K365" s="289" t="s">
        <v>1779</v>
      </c>
      <c r="L365" s="289"/>
      <c r="M365" s="289"/>
      <c r="N365" s="293">
        <v>43889</v>
      </c>
      <c r="O365" s="293">
        <v>43889</v>
      </c>
      <c r="P365" s="289" t="s">
        <v>1823</v>
      </c>
      <c r="Q365" s="290">
        <v>700</v>
      </c>
      <c r="R365" s="290">
        <v>14010</v>
      </c>
      <c r="S365" s="291">
        <v>384635.57</v>
      </c>
      <c r="T365" s="290">
        <v>14016</v>
      </c>
      <c r="U365" s="291">
        <v>128669.75999999999</v>
      </c>
      <c r="V365" s="291">
        <f t="shared" si="5"/>
        <v>255965.81</v>
      </c>
      <c r="W365" s="292">
        <v>32052.97</v>
      </c>
      <c r="X365" s="290">
        <v>57260</v>
      </c>
      <c r="Y365" s="291">
        <v>4579</v>
      </c>
      <c r="Z365" s="289" t="s">
        <v>944</v>
      </c>
      <c r="AA365" s="289"/>
      <c r="AB365" s="289" t="s">
        <v>1830</v>
      </c>
      <c r="AC365" s="289"/>
      <c r="AD365" s="289" t="s">
        <v>1446</v>
      </c>
      <c r="AE365" s="289" t="s">
        <v>410</v>
      </c>
      <c r="AF365" s="290" t="s">
        <v>1447</v>
      </c>
      <c r="AG365" s="295">
        <v>43982</v>
      </c>
      <c r="AH365" s="290" t="s">
        <v>1448</v>
      </c>
      <c r="AI365" s="289">
        <v>0</v>
      </c>
      <c r="AJ365" s="289">
        <v>9615.89</v>
      </c>
    </row>
    <row r="366" spans="2:36">
      <c r="B366" s="290">
        <v>2111</v>
      </c>
      <c r="C366" s="294">
        <v>229018</v>
      </c>
      <c r="D366" s="290">
        <v>225229</v>
      </c>
      <c r="E366" s="289" t="s">
        <v>1831</v>
      </c>
      <c r="F366" s="290"/>
      <c r="G366" s="289"/>
      <c r="H366" s="289"/>
      <c r="I366" s="289"/>
      <c r="J366" s="289">
        <v>0</v>
      </c>
      <c r="K366" s="289" t="s">
        <v>1832</v>
      </c>
      <c r="L366" s="289"/>
      <c r="M366" s="289" t="s">
        <v>1467</v>
      </c>
      <c r="N366" s="293">
        <v>43889</v>
      </c>
      <c r="O366" s="293">
        <v>43889</v>
      </c>
      <c r="P366" s="289" t="s">
        <v>1833</v>
      </c>
      <c r="Q366" s="290">
        <v>1000</v>
      </c>
      <c r="R366" s="290">
        <v>14040</v>
      </c>
      <c r="S366" s="291">
        <v>192.33</v>
      </c>
      <c r="T366" s="290">
        <v>14046</v>
      </c>
      <c r="U366" s="291">
        <v>46.48</v>
      </c>
      <c r="V366" s="291">
        <f t="shared" si="5"/>
        <v>145.85000000000002</v>
      </c>
      <c r="W366" s="292">
        <v>11.22</v>
      </c>
      <c r="X366" s="290">
        <v>51260</v>
      </c>
      <c r="Y366" s="291">
        <v>1.6</v>
      </c>
      <c r="Z366" s="289" t="s">
        <v>944</v>
      </c>
      <c r="AA366" s="289"/>
      <c r="AB366" s="289" t="s">
        <v>1834</v>
      </c>
      <c r="AC366" s="289"/>
      <c r="AD366" s="289" t="s">
        <v>1446</v>
      </c>
      <c r="AE366" s="289" t="s">
        <v>410</v>
      </c>
      <c r="AF366" s="290" t="s">
        <v>1447</v>
      </c>
      <c r="AG366" s="289"/>
      <c r="AH366" s="290" t="s">
        <v>1448</v>
      </c>
      <c r="AI366" s="289">
        <v>0</v>
      </c>
      <c r="AJ366" s="289">
        <v>0</v>
      </c>
    </row>
    <row r="367" spans="2:36">
      <c r="B367" s="290">
        <v>2111</v>
      </c>
      <c r="C367" s="294">
        <v>229017</v>
      </c>
      <c r="D367" s="290">
        <v>223824</v>
      </c>
      <c r="E367" s="289" t="s">
        <v>1835</v>
      </c>
      <c r="F367" s="290"/>
      <c r="G367" s="289"/>
      <c r="H367" s="289"/>
      <c r="I367" s="289"/>
      <c r="J367" s="289">
        <v>0</v>
      </c>
      <c r="K367" s="289" t="s">
        <v>1832</v>
      </c>
      <c r="L367" s="289"/>
      <c r="M367" s="289" t="s">
        <v>1467</v>
      </c>
      <c r="N367" s="293">
        <v>43889</v>
      </c>
      <c r="O367" s="293">
        <v>43889</v>
      </c>
      <c r="P367" s="289" t="s">
        <v>1836</v>
      </c>
      <c r="Q367" s="290">
        <v>1000</v>
      </c>
      <c r="R367" s="290">
        <v>14040</v>
      </c>
      <c r="S367" s="291">
        <v>439.6</v>
      </c>
      <c r="T367" s="290">
        <v>14046</v>
      </c>
      <c r="U367" s="291">
        <v>106.23</v>
      </c>
      <c r="V367" s="291">
        <f t="shared" si="5"/>
        <v>333.37</v>
      </c>
      <c r="W367" s="292">
        <v>25.64</v>
      </c>
      <c r="X367" s="290">
        <v>51260</v>
      </c>
      <c r="Y367" s="291">
        <v>3.66</v>
      </c>
      <c r="Z367" s="289" t="s">
        <v>944</v>
      </c>
      <c r="AA367" s="289"/>
      <c r="AB367" s="289">
        <v>741</v>
      </c>
      <c r="AC367" s="289"/>
      <c r="AD367" s="289" t="s">
        <v>1446</v>
      </c>
      <c r="AE367" s="289" t="s">
        <v>410</v>
      </c>
      <c r="AF367" s="290" t="s">
        <v>1447</v>
      </c>
      <c r="AG367" s="289"/>
      <c r="AH367" s="290" t="s">
        <v>1448</v>
      </c>
      <c r="AI367" s="289">
        <v>0</v>
      </c>
      <c r="AJ367" s="289">
        <v>0</v>
      </c>
    </row>
    <row r="368" spans="2:36">
      <c r="B368" s="290">
        <v>2111</v>
      </c>
      <c r="C368" s="294">
        <v>228985</v>
      </c>
      <c r="D368" s="290" t="s">
        <v>944</v>
      </c>
      <c r="E368" s="289" t="s">
        <v>1134</v>
      </c>
      <c r="F368" s="290">
        <v>1872</v>
      </c>
      <c r="G368" s="289"/>
      <c r="H368" s="289"/>
      <c r="I368" s="289"/>
      <c r="J368" s="289">
        <v>0</v>
      </c>
      <c r="K368" s="289" t="s">
        <v>1462</v>
      </c>
      <c r="L368" s="289"/>
      <c r="M368" s="289" t="s">
        <v>1463</v>
      </c>
      <c r="N368" s="293">
        <v>43871</v>
      </c>
      <c r="O368" s="293">
        <v>43871</v>
      </c>
      <c r="P368" s="289" t="s">
        <v>1837</v>
      </c>
      <c r="Q368" s="290">
        <v>700</v>
      </c>
      <c r="R368" s="290">
        <v>14050</v>
      </c>
      <c r="S368" s="291">
        <v>73734.64</v>
      </c>
      <c r="T368" s="290">
        <v>14056</v>
      </c>
      <c r="U368" s="291">
        <v>26333.8</v>
      </c>
      <c r="V368" s="291">
        <f t="shared" si="5"/>
        <v>47400.84</v>
      </c>
      <c r="W368" s="292">
        <v>6144.55</v>
      </c>
      <c r="X368" s="290">
        <v>54260</v>
      </c>
      <c r="Y368" s="291">
        <v>877.79</v>
      </c>
      <c r="Z368" s="289" t="s">
        <v>944</v>
      </c>
      <c r="AA368" s="289"/>
      <c r="AB368" s="289">
        <v>50079428</v>
      </c>
      <c r="AC368" s="289"/>
      <c r="AD368" s="289" t="s">
        <v>1446</v>
      </c>
      <c r="AE368" s="289" t="s">
        <v>410</v>
      </c>
      <c r="AF368" s="290" t="s">
        <v>1447</v>
      </c>
      <c r="AG368" s="289"/>
      <c r="AH368" s="290" t="s">
        <v>1448</v>
      </c>
      <c r="AI368" s="289">
        <v>0</v>
      </c>
      <c r="AJ368" s="289">
        <v>0</v>
      </c>
    </row>
    <row r="369" spans="2:36">
      <c r="B369" s="290">
        <v>2111</v>
      </c>
      <c r="C369" s="294">
        <v>228949</v>
      </c>
      <c r="D369" s="290" t="s">
        <v>944</v>
      </c>
      <c r="E369" s="289" t="s">
        <v>1149</v>
      </c>
      <c r="F369" s="290">
        <v>702</v>
      </c>
      <c r="G369" s="289"/>
      <c r="H369" s="289"/>
      <c r="I369" s="289"/>
      <c r="J369" s="289">
        <v>0</v>
      </c>
      <c r="K369" s="289" t="s">
        <v>1462</v>
      </c>
      <c r="L369" s="289"/>
      <c r="M369" s="289" t="s">
        <v>1463</v>
      </c>
      <c r="N369" s="293">
        <v>43871</v>
      </c>
      <c r="O369" s="293">
        <v>43871</v>
      </c>
      <c r="P369" s="289" t="s">
        <v>1837</v>
      </c>
      <c r="Q369" s="290">
        <v>700</v>
      </c>
      <c r="R369" s="290">
        <v>14050</v>
      </c>
      <c r="S369" s="291">
        <v>31747.14</v>
      </c>
      <c r="T369" s="290">
        <v>14056</v>
      </c>
      <c r="U369" s="291">
        <v>11338.27</v>
      </c>
      <c r="V369" s="291">
        <f t="shared" si="5"/>
        <v>20408.87</v>
      </c>
      <c r="W369" s="292">
        <v>2645.6</v>
      </c>
      <c r="X369" s="290">
        <v>54260</v>
      </c>
      <c r="Y369" s="291">
        <v>377.94</v>
      </c>
      <c r="Z369" s="289" t="s">
        <v>944</v>
      </c>
      <c r="AA369" s="289"/>
      <c r="AB369" s="289">
        <v>50079251</v>
      </c>
      <c r="AC369" s="289"/>
      <c r="AD369" s="289" t="s">
        <v>1446</v>
      </c>
      <c r="AE369" s="289" t="s">
        <v>410</v>
      </c>
      <c r="AF369" s="290" t="s">
        <v>1447</v>
      </c>
      <c r="AG369" s="289"/>
      <c r="AH369" s="290" t="s">
        <v>1448</v>
      </c>
      <c r="AI369" s="289">
        <v>0</v>
      </c>
      <c r="AJ369" s="289">
        <v>0</v>
      </c>
    </row>
    <row r="370" spans="2:36">
      <c r="B370" s="290">
        <v>2111</v>
      </c>
      <c r="C370" s="294">
        <v>228948</v>
      </c>
      <c r="D370" s="290" t="s">
        <v>944</v>
      </c>
      <c r="E370" s="289" t="s">
        <v>1135</v>
      </c>
      <c r="F370" s="290">
        <v>702</v>
      </c>
      <c r="G370" s="289"/>
      <c r="H370" s="289"/>
      <c r="I370" s="289"/>
      <c r="J370" s="289">
        <v>0</v>
      </c>
      <c r="K370" s="289" t="s">
        <v>1462</v>
      </c>
      <c r="L370" s="289"/>
      <c r="M370" s="289" t="s">
        <v>1463</v>
      </c>
      <c r="N370" s="293">
        <v>43871</v>
      </c>
      <c r="O370" s="293">
        <v>43871</v>
      </c>
      <c r="P370" s="289" t="s">
        <v>1837</v>
      </c>
      <c r="Q370" s="290">
        <v>700</v>
      </c>
      <c r="R370" s="290">
        <v>14050</v>
      </c>
      <c r="S370" s="291">
        <v>31747.14</v>
      </c>
      <c r="T370" s="290">
        <v>14056</v>
      </c>
      <c r="U370" s="291">
        <v>11338.27</v>
      </c>
      <c r="V370" s="291">
        <f t="shared" si="5"/>
        <v>20408.87</v>
      </c>
      <c r="W370" s="292">
        <v>2645.6</v>
      </c>
      <c r="X370" s="290">
        <v>54260</v>
      </c>
      <c r="Y370" s="291">
        <v>377.94</v>
      </c>
      <c r="Z370" s="289" t="s">
        <v>944</v>
      </c>
      <c r="AA370" s="289"/>
      <c r="AB370" s="289">
        <v>50079251</v>
      </c>
      <c r="AC370" s="289"/>
      <c r="AD370" s="289" t="s">
        <v>1446</v>
      </c>
      <c r="AE370" s="289" t="s">
        <v>410</v>
      </c>
      <c r="AF370" s="290" t="s">
        <v>1447</v>
      </c>
      <c r="AG370" s="289"/>
      <c r="AH370" s="290" t="s">
        <v>1448</v>
      </c>
      <c r="AI370" s="289">
        <v>0</v>
      </c>
      <c r="AJ370" s="289">
        <v>0</v>
      </c>
    </row>
    <row r="371" spans="2:36">
      <c r="B371" s="290">
        <v>2111</v>
      </c>
      <c r="C371" s="294">
        <v>228947</v>
      </c>
      <c r="D371" s="290" t="s">
        <v>944</v>
      </c>
      <c r="E371" s="289" t="s">
        <v>1135</v>
      </c>
      <c r="F371" s="290">
        <v>702</v>
      </c>
      <c r="G371" s="289"/>
      <c r="H371" s="289"/>
      <c r="I371" s="289"/>
      <c r="J371" s="289">
        <v>0</v>
      </c>
      <c r="K371" s="289" t="s">
        <v>1462</v>
      </c>
      <c r="L371" s="289"/>
      <c r="M371" s="289" t="s">
        <v>1463</v>
      </c>
      <c r="N371" s="293">
        <v>43871</v>
      </c>
      <c r="O371" s="293">
        <v>43871</v>
      </c>
      <c r="P371" s="289" t="s">
        <v>1837</v>
      </c>
      <c r="Q371" s="290">
        <v>700</v>
      </c>
      <c r="R371" s="290">
        <v>14050</v>
      </c>
      <c r="S371" s="291">
        <v>31747.14</v>
      </c>
      <c r="T371" s="290">
        <v>14056</v>
      </c>
      <c r="U371" s="291">
        <v>11338.27</v>
      </c>
      <c r="V371" s="291">
        <f t="shared" si="5"/>
        <v>20408.87</v>
      </c>
      <c r="W371" s="292">
        <v>2645.6</v>
      </c>
      <c r="X371" s="290">
        <v>54260</v>
      </c>
      <c r="Y371" s="291">
        <v>377.94</v>
      </c>
      <c r="Z371" s="289" t="s">
        <v>944</v>
      </c>
      <c r="AA371" s="289"/>
      <c r="AB371" s="289">
        <v>50079004</v>
      </c>
      <c r="AC371" s="289"/>
      <c r="AD371" s="289" t="s">
        <v>1446</v>
      </c>
      <c r="AE371" s="289" t="s">
        <v>410</v>
      </c>
      <c r="AF371" s="290" t="s">
        <v>1447</v>
      </c>
      <c r="AG371" s="289"/>
      <c r="AH371" s="290" t="s">
        <v>1448</v>
      </c>
      <c r="AI371" s="289">
        <v>0</v>
      </c>
      <c r="AJ371" s="289">
        <v>0</v>
      </c>
    </row>
    <row r="372" spans="2:36">
      <c r="B372" s="290">
        <v>2111</v>
      </c>
      <c r="C372" s="294">
        <v>228781</v>
      </c>
      <c r="D372" s="290" t="s">
        <v>944</v>
      </c>
      <c r="E372" s="289" t="s">
        <v>1825</v>
      </c>
      <c r="F372" s="290">
        <v>0</v>
      </c>
      <c r="G372" s="289"/>
      <c r="H372" s="289" t="s">
        <v>1838</v>
      </c>
      <c r="I372" s="289"/>
      <c r="J372" s="289">
        <v>2006</v>
      </c>
      <c r="K372" s="289" t="s">
        <v>1483</v>
      </c>
      <c r="L372" s="289" t="s">
        <v>1827</v>
      </c>
      <c r="M372" s="289" t="s">
        <v>1495</v>
      </c>
      <c r="N372" s="293">
        <v>39755</v>
      </c>
      <c r="O372" s="293">
        <v>39755</v>
      </c>
      <c r="P372" s="289"/>
      <c r="Q372" s="290">
        <v>700</v>
      </c>
      <c r="R372" s="290">
        <v>14040</v>
      </c>
      <c r="S372" s="291">
        <v>123500</v>
      </c>
      <c r="T372" s="290">
        <v>14046</v>
      </c>
      <c r="U372" s="291">
        <v>123500</v>
      </c>
      <c r="V372" s="291">
        <f t="shared" si="5"/>
        <v>0</v>
      </c>
      <c r="W372" s="292">
        <v>0</v>
      </c>
      <c r="X372" s="290">
        <v>51260</v>
      </c>
      <c r="Y372" s="291">
        <v>0</v>
      </c>
      <c r="Z372" s="289" t="s">
        <v>410</v>
      </c>
      <c r="AA372" s="289" t="s">
        <v>1828</v>
      </c>
      <c r="AB372" s="289"/>
      <c r="AC372" s="289">
        <v>862</v>
      </c>
      <c r="AD372" s="289" t="s">
        <v>1446</v>
      </c>
      <c r="AE372" s="289" t="s">
        <v>410</v>
      </c>
      <c r="AF372" s="290" t="s">
        <v>1447</v>
      </c>
      <c r="AG372" s="295">
        <v>43861</v>
      </c>
      <c r="AH372" s="290" t="s">
        <v>1448</v>
      </c>
      <c r="AI372" s="289">
        <v>0</v>
      </c>
      <c r="AJ372" s="289">
        <v>123500</v>
      </c>
    </row>
    <row r="373" spans="2:36">
      <c r="B373" s="290">
        <v>2111</v>
      </c>
      <c r="C373" s="294">
        <v>228658</v>
      </c>
      <c r="D373" s="290" t="s">
        <v>944</v>
      </c>
      <c r="E373" s="289" t="s">
        <v>1825</v>
      </c>
      <c r="F373" s="290">
        <v>0</v>
      </c>
      <c r="G373" s="289"/>
      <c r="H373" s="289" t="s">
        <v>1814</v>
      </c>
      <c r="I373" s="289"/>
      <c r="J373" s="289">
        <v>2006</v>
      </c>
      <c r="K373" s="289" t="s">
        <v>1483</v>
      </c>
      <c r="L373" s="289" t="s">
        <v>1827</v>
      </c>
      <c r="M373" s="289" t="s">
        <v>1495</v>
      </c>
      <c r="N373" s="293">
        <v>39755</v>
      </c>
      <c r="O373" s="293">
        <v>39755</v>
      </c>
      <c r="P373" s="289"/>
      <c r="Q373" s="290">
        <v>700</v>
      </c>
      <c r="R373" s="290">
        <v>14040</v>
      </c>
      <c r="S373" s="291">
        <v>123500</v>
      </c>
      <c r="T373" s="290">
        <v>14046</v>
      </c>
      <c r="U373" s="291">
        <v>123500</v>
      </c>
      <c r="V373" s="291">
        <f t="shared" si="5"/>
        <v>0</v>
      </c>
      <c r="W373" s="292">
        <v>0</v>
      </c>
      <c r="X373" s="290">
        <v>51260</v>
      </c>
      <c r="Y373" s="291">
        <v>0</v>
      </c>
      <c r="Z373" s="289" t="s">
        <v>410</v>
      </c>
      <c r="AA373" s="289" t="s">
        <v>1828</v>
      </c>
      <c r="AB373" s="289"/>
      <c r="AC373" s="289">
        <v>860</v>
      </c>
      <c r="AD373" s="289" t="s">
        <v>1446</v>
      </c>
      <c r="AE373" s="289" t="s">
        <v>410</v>
      </c>
      <c r="AF373" s="290" t="s">
        <v>1447</v>
      </c>
      <c r="AG373" s="295">
        <v>43861</v>
      </c>
      <c r="AH373" s="290" t="s">
        <v>1448</v>
      </c>
      <c r="AI373" s="289">
        <v>0</v>
      </c>
      <c r="AJ373" s="289">
        <v>123500</v>
      </c>
    </row>
    <row r="374" spans="2:36">
      <c r="B374" s="290">
        <v>2111</v>
      </c>
      <c r="C374" s="294">
        <v>228513</v>
      </c>
      <c r="D374" s="290">
        <v>225662</v>
      </c>
      <c r="E374" s="289" t="s">
        <v>1839</v>
      </c>
      <c r="F374" s="290"/>
      <c r="G374" s="289"/>
      <c r="H374" s="289"/>
      <c r="I374" s="289"/>
      <c r="J374" s="289">
        <v>0</v>
      </c>
      <c r="K374" s="289" t="s">
        <v>1779</v>
      </c>
      <c r="L374" s="289"/>
      <c r="M374" s="289"/>
      <c r="N374" s="293">
        <v>43860</v>
      </c>
      <c r="O374" s="293">
        <v>43860</v>
      </c>
      <c r="P374" s="289" t="s">
        <v>1823</v>
      </c>
      <c r="Q374" s="290">
        <v>700</v>
      </c>
      <c r="R374" s="290">
        <v>14010</v>
      </c>
      <c r="S374" s="291">
        <v>35264.699999999997</v>
      </c>
      <c r="T374" s="290">
        <v>14016</v>
      </c>
      <c r="U374" s="291">
        <v>12090.77</v>
      </c>
      <c r="V374" s="291">
        <f t="shared" si="5"/>
        <v>23173.929999999997</v>
      </c>
      <c r="W374" s="292">
        <v>2938.73</v>
      </c>
      <c r="X374" s="290">
        <v>57260</v>
      </c>
      <c r="Y374" s="291">
        <v>419.82</v>
      </c>
      <c r="Z374" s="289" t="s">
        <v>944</v>
      </c>
      <c r="AA374" s="289"/>
      <c r="AB374" s="289" t="s">
        <v>1840</v>
      </c>
      <c r="AC374" s="289"/>
      <c r="AD374" s="289" t="s">
        <v>1446</v>
      </c>
      <c r="AE374" s="289" t="s">
        <v>410</v>
      </c>
      <c r="AF374" s="290" t="s">
        <v>1447</v>
      </c>
      <c r="AG374" s="295">
        <v>43982</v>
      </c>
      <c r="AH374" s="290" t="s">
        <v>1448</v>
      </c>
      <c r="AI374" s="289">
        <v>0</v>
      </c>
      <c r="AJ374" s="289">
        <v>1175.49</v>
      </c>
    </row>
    <row r="375" spans="2:36">
      <c r="B375" s="290">
        <v>2111</v>
      </c>
      <c r="C375" s="294">
        <v>228512</v>
      </c>
      <c r="D375" s="290">
        <v>225662</v>
      </c>
      <c r="E375" s="289" t="s">
        <v>1841</v>
      </c>
      <c r="F375" s="290"/>
      <c r="G375" s="289"/>
      <c r="H375" s="289"/>
      <c r="I375" s="289"/>
      <c r="J375" s="289">
        <v>0</v>
      </c>
      <c r="K375" s="289" t="s">
        <v>1779</v>
      </c>
      <c r="L375" s="289"/>
      <c r="M375" s="289"/>
      <c r="N375" s="293">
        <v>43860</v>
      </c>
      <c r="O375" s="293">
        <v>43860</v>
      </c>
      <c r="P375" s="289" t="s">
        <v>1823</v>
      </c>
      <c r="Q375" s="290">
        <v>700</v>
      </c>
      <c r="R375" s="290">
        <v>14010</v>
      </c>
      <c r="S375" s="291">
        <v>14885.1</v>
      </c>
      <c r="T375" s="290">
        <v>14016</v>
      </c>
      <c r="U375" s="291">
        <v>5103.46</v>
      </c>
      <c r="V375" s="291">
        <f t="shared" si="5"/>
        <v>9781.64</v>
      </c>
      <c r="W375" s="292">
        <v>1240.42</v>
      </c>
      <c r="X375" s="290">
        <v>57260</v>
      </c>
      <c r="Y375" s="291">
        <v>177.2</v>
      </c>
      <c r="Z375" s="289" t="s">
        <v>944</v>
      </c>
      <c r="AA375" s="289"/>
      <c r="AB375" s="289" t="s">
        <v>1840</v>
      </c>
      <c r="AC375" s="289"/>
      <c r="AD375" s="289" t="s">
        <v>1446</v>
      </c>
      <c r="AE375" s="289" t="s">
        <v>410</v>
      </c>
      <c r="AF375" s="290" t="s">
        <v>1447</v>
      </c>
      <c r="AG375" s="295">
        <v>43982</v>
      </c>
      <c r="AH375" s="290" t="s">
        <v>1448</v>
      </c>
      <c r="AI375" s="289">
        <v>0</v>
      </c>
      <c r="AJ375" s="289">
        <v>496.17</v>
      </c>
    </row>
    <row r="376" spans="2:36">
      <c r="B376" s="290">
        <v>2111</v>
      </c>
      <c r="C376" s="294">
        <v>228452</v>
      </c>
      <c r="D376" s="290">
        <v>228449</v>
      </c>
      <c r="E376" s="289" t="s">
        <v>1842</v>
      </c>
      <c r="F376" s="290"/>
      <c r="G376" s="289"/>
      <c r="H376" s="289"/>
      <c r="I376" s="289"/>
      <c r="J376" s="289">
        <v>0</v>
      </c>
      <c r="K376" s="289"/>
      <c r="L376" s="289"/>
      <c r="M376" s="289" t="s">
        <v>1467</v>
      </c>
      <c r="N376" s="293">
        <v>42141</v>
      </c>
      <c r="O376" s="293"/>
      <c r="P376" s="289" t="s">
        <v>1843</v>
      </c>
      <c r="Q376" s="290">
        <v>300</v>
      </c>
      <c r="R376" s="290">
        <v>14040</v>
      </c>
      <c r="S376" s="291">
        <v>312.32</v>
      </c>
      <c r="T376" s="290">
        <v>14046</v>
      </c>
      <c r="U376" s="291">
        <v>312.32</v>
      </c>
      <c r="V376" s="291">
        <f t="shared" si="5"/>
        <v>0</v>
      </c>
      <c r="W376" s="292">
        <v>0</v>
      </c>
      <c r="X376" s="290">
        <v>51260</v>
      </c>
      <c r="Y376" s="291">
        <v>0</v>
      </c>
      <c r="Z376" s="289" t="s">
        <v>944</v>
      </c>
      <c r="AA376" s="289"/>
      <c r="AB376" s="289" t="s">
        <v>1844</v>
      </c>
      <c r="AC376" s="289"/>
      <c r="AD376" s="289" t="s">
        <v>1446</v>
      </c>
      <c r="AE376" s="289" t="s">
        <v>410</v>
      </c>
      <c r="AF376" s="290" t="s">
        <v>1447</v>
      </c>
      <c r="AG376" s="295">
        <v>43861</v>
      </c>
      <c r="AH376" s="290" t="s">
        <v>1448</v>
      </c>
      <c r="AI376" s="289">
        <v>0</v>
      </c>
      <c r="AJ376" s="289">
        <v>312.32</v>
      </c>
    </row>
    <row r="377" spans="2:36">
      <c r="B377" s="290">
        <v>2111</v>
      </c>
      <c r="C377" s="294">
        <v>228451</v>
      </c>
      <c r="D377" s="290">
        <v>228449</v>
      </c>
      <c r="E377" s="289" t="s">
        <v>1845</v>
      </c>
      <c r="F377" s="290"/>
      <c r="G377" s="289"/>
      <c r="H377" s="289"/>
      <c r="I377" s="289"/>
      <c r="J377" s="289">
        <v>0</v>
      </c>
      <c r="K377" s="289" t="s">
        <v>1846</v>
      </c>
      <c r="L377" s="289"/>
      <c r="M377" s="289" t="s">
        <v>1586</v>
      </c>
      <c r="N377" s="293">
        <v>42139</v>
      </c>
      <c r="O377" s="293"/>
      <c r="P377" s="289" t="s">
        <v>1847</v>
      </c>
      <c r="Q377" s="290">
        <v>300</v>
      </c>
      <c r="R377" s="290">
        <v>14030</v>
      </c>
      <c r="S377" s="291">
        <v>23073.41</v>
      </c>
      <c r="T377" s="290">
        <v>14036</v>
      </c>
      <c r="U377" s="291">
        <v>23073.41</v>
      </c>
      <c r="V377" s="291">
        <f t="shared" si="5"/>
        <v>0</v>
      </c>
      <c r="W377" s="292">
        <v>0</v>
      </c>
      <c r="X377" s="290">
        <v>51260</v>
      </c>
      <c r="Y377" s="291">
        <v>0</v>
      </c>
      <c r="Z377" s="289" t="s">
        <v>944</v>
      </c>
      <c r="AA377" s="289"/>
      <c r="AB377" s="289">
        <v>16931</v>
      </c>
      <c r="AC377" s="289"/>
      <c r="AD377" s="289" t="s">
        <v>1446</v>
      </c>
      <c r="AE377" s="289" t="s">
        <v>410</v>
      </c>
      <c r="AF377" s="290" t="s">
        <v>1447</v>
      </c>
      <c r="AG377" s="295">
        <v>43861</v>
      </c>
      <c r="AH377" s="290" t="s">
        <v>1448</v>
      </c>
      <c r="AI377" s="289">
        <v>0</v>
      </c>
      <c r="AJ377" s="289">
        <v>23073.41</v>
      </c>
    </row>
    <row r="378" spans="2:36">
      <c r="B378" s="290">
        <v>2111</v>
      </c>
      <c r="C378" s="294">
        <v>228450</v>
      </c>
      <c r="D378" s="290">
        <v>228449</v>
      </c>
      <c r="E378" s="289" t="s">
        <v>1848</v>
      </c>
      <c r="F378" s="290"/>
      <c r="G378" s="289"/>
      <c r="H378" s="289"/>
      <c r="I378" s="289"/>
      <c r="J378" s="289">
        <v>0</v>
      </c>
      <c r="K378" s="289"/>
      <c r="L378" s="289"/>
      <c r="M378" s="289"/>
      <c r="N378" s="293">
        <v>42139</v>
      </c>
      <c r="O378" s="293"/>
      <c r="P378" s="289" t="s">
        <v>1849</v>
      </c>
      <c r="Q378" s="290">
        <v>300</v>
      </c>
      <c r="R378" s="290">
        <v>14040</v>
      </c>
      <c r="S378" s="291">
        <v>3694.18</v>
      </c>
      <c r="T378" s="290">
        <v>14046</v>
      </c>
      <c r="U378" s="291">
        <v>3694.18</v>
      </c>
      <c r="V378" s="291">
        <f t="shared" si="5"/>
        <v>0</v>
      </c>
      <c r="W378" s="292">
        <v>0</v>
      </c>
      <c r="X378" s="290">
        <v>51260</v>
      </c>
      <c r="Y378" s="291">
        <v>0</v>
      </c>
      <c r="Z378" s="289" t="s">
        <v>944</v>
      </c>
      <c r="AA378" s="289"/>
      <c r="AB378" s="289" t="s">
        <v>1850</v>
      </c>
      <c r="AC378" s="289"/>
      <c r="AD378" s="289" t="s">
        <v>1446</v>
      </c>
      <c r="AE378" s="289" t="s">
        <v>410</v>
      </c>
      <c r="AF378" s="290" t="s">
        <v>1447</v>
      </c>
      <c r="AG378" s="295">
        <v>43861</v>
      </c>
      <c r="AH378" s="290" t="s">
        <v>1448</v>
      </c>
      <c r="AI378" s="289">
        <v>0</v>
      </c>
      <c r="AJ378" s="289">
        <v>3694.18</v>
      </c>
    </row>
    <row r="379" spans="2:36">
      <c r="B379" s="290">
        <v>2111</v>
      </c>
      <c r="C379" s="294">
        <v>228449</v>
      </c>
      <c r="D379" s="290" t="s">
        <v>944</v>
      </c>
      <c r="E379" s="289" t="s">
        <v>1851</v>
      </c>
      <c r="F379" s="290"/>
      <c r="G379" s="289"/>
      <c r="H379" s="289" t="s">
        <v>1852</v>
      </c>
      <c r="I379" s="289"/>
      <c r="J379" s="289">
        <v>1998</v>
      </c>
      <c r="K379" s="289" t="s">
        <v>1853</v>
      </c>
      <c r="L379" s="289"/>
      <c r="M379" s="289" t="s">
        <v>1575</v>
      </c>
      <c r="N379" s="293">
        <v>42095</v>
      </c>
      <c r="O379" s="293">
        <v>42095</v>
      </c>
      <c r="P379" s="289"/>
      <c r="Q379" s="290">
        <v>300</v>
      </c>
      <c r="R379" s="290">
        <v>14040</v>
      </c>
      <c r="S379" s="291">
        <v>2500</v>
      </c>
      <c r="T379" s="290">
        <v>14046</v>
      </c>
      <c r="U379" s="291">
        <v>2500</v>
      </c>
      <c r="V379" s="291">
        <f t="shared" si="5"/>
        <v>0</v>
      </c>
      <c r="W379" s="292">
        <v>0</v>
      </c>
      <c r="X379" s="290">
        <v>51260</v>
      </c>
      <c r="Y379" s="291">
        <v>0</v>
      </c>
      <c r="Z379" s="289" t="s">
        <v>410</v>
      </c>
      <c r="AA379" s="289" t="s">
        <v>1854</v>
      </c>
      <c r="AB379" s="289"/>
      <c r="AC379" s="289" t="s">
        <v>1855</v>
      </c>
      <c r="AD379" s="289" t="s">
        <v>1446</v>
      </c>
      <c r="AE379" s="289" t="s">
        <v>410</v>
      </c>
      <c r="AF379" s="290" t="s">
        <v>1447</v>
      </c>
      <c r="AG379" s="295">
        <v>43861</v>
      </c>
      <c r="AH379" s="290" t="s">
        <v>1448</v>
      </c>
      <c r="AI379" s="289">
        <v>0</v>
      </c>
      <c r="AJ379" s="289">
        <v>2500</v>
      </c>
    </row>
    <row r="380" spans="2:36">
      <c r="B380" s="290">
        <v>2111</v>
      </c>
      <c r="C380" s="294">
        <v>228448</v>
      </c>
      <c r="D380" s="290">
        <v>228446</v>
      </c>
      <c r="E380" s="289" t="s">
        <v>1856</v>
      </c>
      <c r="F380" s="290"/>
      <c r="G380" s="289"/>
      <c r="H380" s="289"/>
      <c r="I380" s="289"/>
      <c r="J380" s="289">
        <v>0</v>
      </c>
      <c r="K380" s="289"/>
      <c r="L380" s="289"/>
      <c r="M380" s="289" t="s">
        <v>1467</v>
      </c>
      <c r="N380" s="293">
        <v>42141</v>
      </c>
      <c r="O380" s="293"/>
      <c r="P380" s="289" t="s">
        <v>1857</v>
      </c>
      <c r="Q380" s="290">
        <v>300</v>
      </c>
      <c r="R380" s="290">
        <v>14040</v>
      </c>
      <c r="S380" s="291">
        <v>1139.99</v>
      </c>
      <c r="T380" s="290">
        <v>14046</v>
      </c>
      <c r="U380" s="291">
        <v>1139.99</v>
      </c>
      <c r="V380" s="291">
        <f t="shared" si="5"/>
        <v>0</v>
      </c>
      <c r="W380" s="292">
        <v>0</v>
      </c>
      <c r="X380" s="290">
        <v>51260</v>
      </c>
      <c r="Y380" s="291">
        <v>0</v>
      </c>
      <c r="Z380" s="289" t="s">
        <v>944</v>
      </c>
      <c r="AA380" s="289"/>
      <c r="AB380" s="289" t="s">
        <v>1844</v>
      </c>
      <c r="AC380" s="289"/>
      <c r="AD380" s="289" t="s">
        <v>1446</v>
      </c>
      <c r="AE380" s="289" t="s">
        <v>410</v>
      </c>
      <c r="AF380" s="290" t="s">
        <v>1447</v>
      </c>
      <c r="AG380" s="295">
        <v>43861</v>
      </c>
      <c r="AH380" s="290" t="s">
        <v>1448</v>
      </c>
      <c r="AI380" s="289">
        <v>0</v>
      </c>
      <c r="AJ380" s="289">
        <v>1139.99</v>
      </c>
    </row>
    <row r="381" spans="2:36">
      <c r="B381" s="290">
        <v>2111</v>
      </c>
      <c r="C381" s="294">
        <v>228447</v>
      </c>
      <c r="D381" s="290">
        <v>228446</v>
      </c>
      <c r="E381" s="289" t="s">
        <v>1858</v>
      </c>
      <c r="F381" s="290"/>
      <c r="G381" s="289"/>
      <c r="H381" s="289"/>
      <c r="I381" s="289"/>
      <c r="J381" s="289">
        <v>0</v>
      </c>
      <c r="K381" s="289"/>
      <c r="L381" s="289"/>
      <c r="M381" s="289"/>
      <c r="N381" s="293">
        <v>42139</v>
      </c>
      <c r="O381" s="293">
        <v>42139</v>
      </c>
      <c r="P381" s="289" t="s">
        <v>1859</v>
      </c>
      <c r="Q381" s="290">
        <v>300</v>
      </c>
      <c r="R381" s="290">
        <v>14040</v>
      </c>
      <c r="S381" s="291">
        <v>5335.55</v>
      </c>
      <c r="T381" s="290">
        <v>14046</v>
      </c>
      <c r="U381" s="291">
        <v>5335.55</v>
      </c>
      <c r="V381" s="291">
        <f t="shared" si="5"/>
        <v>0</v>
      </c>
      <c r="W381" s="292">
        <v>0</v>
      </c>
      <c r="X381" s="290">
        <v>51260</v>
      </c>
      <c r="Y381" s="291">
        <v>0</v>
      </c>
      <c r="Z381" s="289" t="s">
        <v>944</v>
      </c>
      <c r="AA381" s="289"/>
      <c r="AB381" s="289" t="s">
        <v>1850</v>
      </c>
      <c r="AC381" s="289"/>
      <c r="AD381" s="289" t="s">
        <v>1446</v>
      </c>
      <c r="AE381" s="289" t="s">
        <v>410</v>
      </c>
      <c r="AF381" s="290" t="s">
        <v>1447</v>
      </c>
      <c r="AG381" s="295">
        <v>43861</v>
      </c>
      <c r="AH381" s="290" t="s">
        <v>1448</v>
      </c>
      <c r="AI381" s="289">
        <v>0</v>
      </c>
      <c r="AJ381" s="289">
        <v>5335.55</v>
      </c>
    </row>
    <row r="382" spans="2:36">
      <c r="B382" s="290">
        <v>2111</v>
      </c>
      <c r="C382" s="294">
        <v>228446</v>
      </c>
      <c r="D382" s="290" t="s">
        <v>944</v>
      </c>
      <c r="E382" s="289" t="s">
        <v>1851</v>
      </c>
      <c r="F382" s="290"/>
      <c r="G382" s="289"/>
      <c r="H382" s="289" t="s">
        <v>1860</v>
      </c>
      <c r="I382" s="289"/>
      <c r="J382" s="289">
        <v>1998</v>
      </c>
      <c r="K382" s="289" t="s">
        <v>1853</v>
      </c>
      <c r="L382" s="289"/>
      <c r="M382" s="289" t="s">
        <v>1575</v>
      </c>
      <c r="N382" s="293">
        <v>42095</v>
      </c>
      <c r="O382" s="293">
        <v>42095</v>
      </c>
      <c r="P382" s="289"/>
      <c r="Q382" s="290">
        <v>300</v>
      </c>
      <c r="R382" s="290">
        <v>14040</v>
      </c>
      <c r="S382" s="291">
        <v>2500</v>
      </c>
      <c r="T382" s="290">
        <v>14046</v>
      </c>
      <c r="U382" s="291">
        <v>2500</v>
      </c>
      <c r="V382" s="291">
        <f t="shared" si="5"/>
        <v>0</v>
      </c>
      <c r="W382" s="292">
        <v>0</v>
      </c>
      <c r="X382" s="290">
        <v>51260</v>
      </c>
      <c r="Y382" s="291">
        <v>0</v>
      </c>
      <c r="Z382" s="289" t="s">
        <v>410</v>
      </c>
      <c r="AA382" s="289" t="s">
        <v>1854</v>
      </c>
      <c r="AB382" s="289"/>
      <c r="AC382" s="289" t="s">
        <v>1861</v>
      </c>
      <c r="AD382" s="289" t="s">
        <v>1446</v>
      </c>
      <c r="AE382" s="289" t="s">
        <v>410</v>
      </c>
      <c r="AF382" s="290" t="s">
        <v>1447</v>
      </c>
      <c r="AG382" s="295">
        <v>43861</v>
      </c>
      <c r="AH382" s="290" t="s">
        <v>1448</v>
      </c>
      <c r="AI382" s="289">
        <v>0</v>
      </c>
      <c r="AJ382" s="289">
        <v>2500</v>
      </c>
    </row>
    <row r="383" spans="2:36">
      <c r="B383" s="290">
        <v>2111</v>
      </c>
      <c r="C383" s="294">
        <v>228445</v>
      </c>
      <c r="D383" s="290">
        <v>228442</v>
      </c>
      <c r="E383" s="289" t="s">
        <v>1862</v>
      </c>
      <c r="F383" s="290"/>
      <c r="G383" s="289"/>
      <c r="H383" s="289"/>
      <c r="I383" s="289"/>
      <c r="J383" s="289">
        <v>0</v>
      </c>
      <c r="K383" s="289"/>
      <c r="L383" s="289"/>
      <c r="M383" s="289" t="s">
        <v>1467</v>
      </c>
      <c r="N383" s="293">
        <v>42141</v>
      </c>
      <c r="O383" s="293"/>
      <c r="P383" s="289" t="s">
        <v>1863</v>
      </c>
      <c r="Q383" s="290">
        <v>300</v>
      </c>
      <c r="R383" s="290">
        <v>14040</v>
      </c>
      <c r="S383" s="291">
        <v>1897.24</v>
      </c>
      <c r="T383" s="290">
        <v>14046</v>
      </c>
      <c r="U383" s="291">
        <v>1897.24</v>
      </c>
      <c r="V383" s="291">
        <f t="shared" si="5"/>
        <v>0</v>
      </c>
      <c r="W383" s="292">
        <v>0</v>
      </c>
      <c r="X383" s="290">
        <v>51260</v>
      </c>
      <c r="Y383" s="291">
        <v>0</v>
      </c>
      <c r="Z383" s="289" t="s">
        <v>944</v>
      </c>
      <c r="AA383" s="289"/>
      <c r="AB383" s="289" t="s">
        <v>1844</v>
      </c>
      <c r="AC383" s="289"/>
      <c r="AD383" s="289" t="s">
        <v>1446</v>
      </c>
      <c r="AE383" s="289" t="s">
        <v>410</v>
      </c>
      <c r="AF383" s="290" t="s">
        <v>1447</v>
      </c>
      <c r="AG383" s="295">
        <v>43861</v>
      </c>
      <c r="AH383" s="290" t="s">
        <v>1448</v>
      </c>
      <c r="AI383" s="289">
        <v>0</v>
      </c>
      <c r="AJ383" s="289">
        <v>1897.24</v>
      </c>
    </row>
    <row r="384" spans="2:36">
      <c r="B384" s="290">
        <v>2111</v>
      </c>
      <c r="C384" s="294">
        <v>228444</v>
      </c>
      <c r="D384" s="290">
        <v>228442</v>
      </c>
      <c r="E384" s="289" t="s">
        <v>1858</v>
      </c>
      <c r="F384" s="290"/>
      <c r="G384" s="289"/>
      <c r="H384" s="289"/>
      <c r="I384" s="289"/>
      <c r="J384" s="289">
        <v>0</v>
      </c>
      <c r="K384" s="289"/>
      <c r="L384" s="289"/>
      <c r="M384" s="289"/>
      <c r="N384" s="293">
        <v>42139</v>
      </c>
      <c r="O384" s="293"/>
      <c r="P384" s="289" t="s">
        <v>1864</v>
      </c>
      <c r="Q384" s="290">
        <v>300</v>
      </c>
      <c r="R384" s="290">
        <v>14040</v>
      </c>
      <c r="S384" s="291">
        <v>5335.55</v>
      </c>
      <c r="T384" s="290">
        <v>14046</v>
      </c>
      <c r="U384" s="291">
        <v>5335.55</v>
      </c>
      <c r="V384" s="291">
        <f t="shared" si="5"/>
        <v>0</v>
      </c>
      <c r="W384" s="292">
        <v>0</v>
      </c>
      <c r="X384" s="290">
        <v>51260</v>
      </c>
      <c r="Y384" s="291">
        <v>0</v>
      </c>
      <c r="Z384" s="289" t="s">
        <v>944</v>
      </c>
      <c r="AA384" s="289"/>
      <c r="AB384" s="289" t="s">
        <v>1850</v>
      </c>
      <c r="AC384" s="289"/>
      <c r="AD384" s="289" t="s">
        <v>1446</v>
      </c>
      <c r="AE384" s="289" t="s">
        <v>410</v>
      </c>
      <c r="AF384" s="290" t="s">
        <v>1447</v>
      </c>
      <c r="AG384" s="295">
        <v>43861</v>
      </c>
      <c r="AH384" s="290" t="s">
        <v>1448</v>
      </c>
      <c r="AI384" s="289">
        <v>0</v>
      </c>
      <c r="AJ384" s="289">
        <v>5335.55</v>
      </c>
    </row>
    <row r="385" spans="2:36">
      <c r="B385" s="290">
        <v>2111</v>
      </c>
      <c r="C385" s="294">
        <v>228443</v>
      </c>
      <c r="D385" s="290">
        <v>228442</v>
      </c>
      <c r="E385" s="289" t="s">
        <v>1865</v>
      </c>
      <c r="F385" s="290"/>
      <c r="G385" s="289"/>
      <c r="H385" s="289"/>
      <c r="I385" s="289"/>
      <c r="J385" s="289">
        <v>0</v>
      </c>
      <c r="K385" s="289" t="s">
        <v>1846</v>
      </c>
      <c r="L385" s="289"/>
      <c r="M385" s="289"/>
      <c r="N385" s="293">
        <v>42139</v>
      </c>
      <c r="O385" s="293"/>
      <c r="P385" s="289" t="s">
        <v>1864</v>
      </c>
      <c r="Q385" s="290">
        <v>300</v>
      </c>
      <c r="R385" s="290">
        <v>14040</v>
      </c>
      <c r="S385" s="291">
        <v>25000</v>
      </c>
      <c r="T385" s="290">
        <v>14046</v>
      </c>
      <c r="U385" s="291">
        <v>25000</v>
      </c>
      <c r="V385" s="291">
        <f t="shared" si="5"/>
        <v>0</v>
      </c>
      <c r="W385" s="292">
        <v>0</v>
      </c>
      <c r="X385" s="290">
        <v>51260</v>
      </c>
      <c r="Y385" s="291">
        <v>0</v>
      </c>
      <c r="Z385" s="289" t="s">
        <v>944</v>
      </c>
      <c r="AA385" s="289"/>
      <c r="AB385" s="289">
        <v>17723</v>
      </c>
      <c r="AC385" s="289"/>
      <c r="AD385" s="289" t="s">
        <v>1446</v>
      </c>
      <c r="AE385" s="289" t="s">
        <v>410</v>
      </c>
      <c r="AF385" s="290" t="s">
        <v>1447</v>
      </c>
      <c r="AG385" s="295">
        <v>43861</v>
      </c>
      <c r="AH385" s="290" t="s">
        <v>1448</v>
      </c>
      <c r="AI385" s="289">
        <v>0</v>
      </c>
      <c r="AJ385" s="289">
        <v>25000</v>
      </c>
    </row>
    <row r="386" spans="2:36">
      <c r="B386" s="290">
        <v>2111</v>
      </c>
      <c r="C386" s="294">
        <v>228442</v>
      </c>
      <c r="D386" s="290" t="s">
        <v>944</v>
      </c>
      <c r="E386" s="289" t="s">
        <v>1851</v>
      </c>
      <c r="F386" s="290"/>
      <c r="G386" s="289"/>
      <c r="H386" s="289" t="s">
        <v>1866</v>
      </c>
      <c r="I386" s="289"/>
      <c r="J386" s="289">
        <v>1998</v>
      </c>
      <c r="K386" s="289" t="s">
        <v>1853</v>
      </c>
      <c r="L386" s="289"/>
      <c r="M386" s="289" t="s">
        <v>1575</v>
      </c>
      <c r="N386" s="293">
        <v>42095</v>
      </c>
      <c r="O386" s="293">
        <v>42095</v>
      </c>
      <c r="P386" s="289"/>
      <c r="Q386" s="290">
        <v>300</v>
      </c>
      <c r="R386" s="290">
        <v>14040</v>
      </c>
      <c r="S386" s="291">
        <v>2500</v>
      </c>
      <c r="T386" s="290">
        <v>14046</v>
      </c>
      <c r="U386" s="291">
        <v>2500</v>
      </c>
      <c r="V386" s="291">
        <f t="shared" si="5"/>
        <v>0</v>
      </c>
      <c r="W386" s="292">
        <v>0</v>
      </c>
      <c r="X386" s="290">
        <v>51260</v>
      </c>
      <c r="Y386" s="291">
        <v>0</v>
      </c>
      <c r="Z386" s="289" t="s">
        <v>410</v>
      </c>
      <c r="AA386" s="289" t="s">
        <v>1854</v>
      </c>
      <c r="AB386" s="289"/>
      <c r="AC386" s="289" t="s">
        <v>1867</v>
      </c>
      <c r="AD386" s="289" t="s">
        <v>1446</v>
      </c>
      <c r="AE386" s="289" t="s">
        <v>410</v>
      </c>
      <c r="AF386" s="290" t="s">
        <v>1447</v>
      </c>
      <c r="AG386" s="295">
        <v>43861</v>
      </c>
      <c r="AH386" s="290" t="s">
        <v>1448</v>
      </c>
      <c r="AI386" s="289">
        <v>0</v>
      </c>
      <c r="AJ386" s="289">
        <v>2500</v>
      </c>
    </row>
    <row r="387" spans="2:36">
      <c r="B387" s="290">
        <v>2111</v>
      </c>
      <c r="C387" s="294">
        <v>228441</v>
      </c>
      <c r="D387" s="290">
        <v>228439</v>
      </c>
      <c r="E387" s="289" t="s">
        <v>1868</v>
      </c>
      <c r="F387" s="290"/>
      <c r="G387" s="289"/>
      <c r="H387" s="289"/>
      <c r="I387" s="289"/>
      <c r="J387" s="289">
        <v>0</v>
      </c>
      <c r="K387" s="289"/>
      <c r="L387" s="289"/>
      <c r="M387" s="289" t="s">
        <v>1467</v>
      </c>
      <c r="N387" s="293">
        <v>42141</v>
      </c>
      <c r="O387" s="293"/>
      <c r="P387" s="289" t="s">
        <v>1869</v>
      </c>
      <c r="Q387" s="290">
        <v>300</v>
      </c>
      <c r="R387" s="290">
        <v>14040</v>
      </c>
      <c r="S387" s="291">
        <v>2034.96</v>
      </c>
      <c r="T387" s="290">
        <v>14046</v>
      </c>
      <c r="U387" s="291">
        <v>2034.96</v>
      </c>
      <c r="V387" s="291">
        <f t="shared" si="5"/>
        <v>0</v>
      </c>
      <c r="W387" s="292">
        <v>0</v>
      </c>
      <c r="X387" s="290">
        <v>51260</v>
      </c>
      <c r="Y387" s="291">
        <v>0</v>
      </c>
      <c r="Z387" s="289" t="s">
        <v>944</v>
      </c>
      <c r="AA387" s="289"/>
      <c r="AB387" s="289" t="s">
        <v>1870</v>
      </c>
      <c r="AC387" s="289"/>
      <c r="AD387" s="289" t="s">
        <v>1446</v>
      </c>
      <c r="AE387" s="289" t="s">
        <v>410</v>
      </c>
      <c r="AF387" s="290" t="s">
        <v>1447</v>
      </c>
      <c r="AG387" s="295">
        <v>43861</v>
      </c>
      <c r="AH387" s="290" t="s">
        <v>1448</v>
      </c>
      <c r="AI387" s="289">
        <v>0</v>
      </c>
      <c r="AJ387" s="289">
        <v>2034.96</v>
      </c>
    </row>
    <row r="388" spans="2:36">
      <c r="B388" s="290">
        <v>2111</v>
      </c>
      <c r="C388" s="294">
        <v>228440</v>
      </c>
      <c r="D388" s="290">
        <v>228439</v>
      </c>
      <c r="E388" s="289" t="s">
        <v>1848</v>
      </c>
      <c r="F388" s="290"/>
      <c r="G388" s="289"/>
      <c r="H388" s="289"/>
      <c r="I388" s="289"/>
      <c r="J388" s="289">
        <v>0</v>
      </c>
      <c r="K388" s="289"/>
      <c r="L388" s="289"/>
      <c r="M388" s="289"/>
      <c r="N388" s="293">
        <v>42139</v>
      </c>
      <c r="O388" s="293"/>
      <c r="P388" s="289" t="s">
        <v>1871</v>
      </c>
      <c r="Q388" s="290">
        <v>300</v>
      </c>
      <c r="R388" s="290">
        <v>14040</v>
      </c>
      <c r="S388" s="291">
        <v>3694.18</v>
      </c>
      <c r="T388" s="290">
        <v>14046</v>
      </c>
      <c r="U388" s="291">
        <v>3694.18</v>
      </c>
      <c r="V388" s="291">
        <f t="shared" si="5"/>
        <v>0</v>
      </c>
      <c r="W388" s="292">
        <v>0</v>
      </c>
      <c r="X388" s="290">
        <v>51260</v>
      </c>
      <c r="Y388" s="291">
        <v>0</v>
      </c>
      <c r="Z388" s="289" t="s">
        <v>944</v>
      </c>
      <c r="AA388" s="289"/>
      <c r="AB388" s="289" t="s">
        <v>1850</v>
      </c>
      <c r="AC388" s="289"/>
      <c r="AD388" s="289" t="s">
        <v>1446</v>
      </c>
      <c r="AE388" s="289" t="s">
        <v>410</v>
      </c>
      <c r="AF388" s="290" t="s">
        <v>1447</v>
      </c>
      <c r="AG388" s="295">
        <v>43861</v>
      </c>
      <c r="AH388" s="290" t="s">
        <v>1448</v>
      </c>
      <c r="AI388" s="289">
        <v>0</v>
      </c>
      <c r="AJ388" s="289">
        <v>3694.18</v>
      </c>
    </row>
    <row r="389" spans="2:36">
      <c r="B389" s="290">
        <v>2111</v>
      </c>
      <c r="C389" s="294">
        <v>228439</v>
      </c>
      <c r="D389" s="290" t="s">
        <v>944</v>
      </c>
      <c r="E389" s="289" t="s">
        <v>1851</v>
      </c>
      <c r="F389" s="290"/>
      <c r="G389" s="289"/>
      <c r="H389" s="289" t="s">
        <v>1872</v>
      </c>
      <c r="I389" s="289"/>
      <c r="J389" s="289">
        <v>2003</v>
      </c>
      <c r="K389" s="289" t="s">
        <v>1873</v>
      </c>
      <c r="L389" s="289"/>
      <c r="M389" s="289" t="s">
        <v>1575</v>
      </c>
      <c r="N389" s="293">
        <v>42095</v>
      </c>
      <c r="O389" s="293">
        <v>42095</v>
      </c>
      <c r="P389" s="289"/>
      <c r="Q389" s="290">
        <v>300</v>
      </c>
      <c r="R389" s="290">
        <v>14040</v>
      </c>
      <c r="S389" s="291">
        <v>23500</v>
      </c>
      <c r="T389" s="290">
        <v>14046</v>
      </c>
      <c r="U389" s="291">
        <v>23500</v>
      </c>
      <c r="V389" s="291">
        <f t="shared" si="5"/>
        <v>0</v>
      </c>
      <c r="W389" s="292">
        <v>0</v>
      </c>
      <c r="X389" s="290">
        <v>51260</v>
      </c>
      <c r="Y389" s="291">
        <v>0</v>
      </c>
      <c r="Z389" s="289" t="s">
        <v>410</v>
      </c>
      <c r="AA389" s="289" t="s">
        <v>1854</v>
      </c>
      <c r="AB389" s="289"/>
      <c r="AC389" s="289" t="s">
        <v>1874</v>
      </c>
      <c r="AD389" s="289" t="s">
        <v>1446</v>
      </c>
      <c r="AE389" s="289" t="s">
        <v>410</v>
      </c>
      <c r="AF389" s="290" t="s">
        <v>1447</v>
      </c>
      <c r="AG389" s="295">
        <v>43861</v>
      </c>
      <c r="AH389" s="290" t="s">
        <v>1448</v>
      </c>
      <c r="AI389" s="289">
        <v>0</v>
      </c>
      <c r="AJ389" s="289">
        <v>23500</v>
      </c>
    </row>
    <row r="390" spans="2:36">
      <c r="B390" s="290">
        <v>2111</v>
      </c>
      <c r="C390" s="294">
        <v>228222</v>
      </c>
      <c r="D390" s="290" t="s">
        <v>944</v>
      </c>
      <c r="E390" s="289" t="s">
        <v>1875</v>
      </c>
      <c r="F390" s="290"/>
      <c r="G390" s="289"/>
      <c r="H390" s="289"/>
      <c r="I390" s="289"/>
      <c r="J390" s="289">
        <v>0</v>
      </c>
      <c r="K390" s="289" t="s">
        <v>1657</v>
      </c>
      <c r="L390" s="289"/>
      <c r="M390" s="289"/>
      <c r="N390" s="293">
        <v>43861</v>
      </c>
      <c r="O390" s="293">
        <v>43861</v>
      </c>
      <c r="P390" s="289" t="s">
        <v>1876</v>
      </c>
      <c r="Q390" s="290">
        <v>100</v>
      </c>
      <c r="R390" s="290">
        <v>14110</v>
      </c>
      <c r="S390" s="291">
        <v>1377.46</v>
      </c>
      <c r="T390" s="290">
        <v>14116</v>
      </c>
      <c r="U390" s="291">
        <v>1377.46</v>
      </c>
      <c r="V390" s="291">
        <f t="shared" si="5"/>
        <v>0</v>
      </c>
      <c r="W390" s="292">
        <v>0</v>
      </c>
      <c r="X390" s="290">
        <v>70260</v>
      </c>
      <c r="Y390" s="291">
        <v>0</v>
      </c>
      <c r="Z390" s="289" t="s">
        <v>944</v>
      </c>
      <c r="AA390" s="289"/>
      <c r="AB390" s="289" t="s">
        <v>1877</v>
      </c>
      <c r="AC390" s="289"/>
      <c r="AD390" s="289" t="s">
        <v>1446</v>
      </c>
      <c r="AE390" s="289" t="s">
        <v>410</v>
      </c>
      <c r="AF390" s="290" t="s">
        <v>1447</v>
      </c>
      <c r="AG390" s="289"/>
      <c r="AH390" s="290" t="s">
        <v>1448</v>
      </c>
      <c r="AI390" s="289">
        <v>0</v>
      </c>
      <c r="AJ390" s="289">
        <v>0</v>
      </c>
    </row>
    <row r="391" spans="2:36">
      <c r="B391" s="290">
        <v>2111</v>
      </c>
      <c r="C391" s="294">
        <v>228221</v>
      </c>
      <c r="D391" s="290" t="s">
        <v>944</v>
      </c>
      <c r="E391" s="289" t="s">
        <v>1875</v>
      </c>
      <c r="F391" s="290"/>
      <c r="G391" s="289"/>
      <c r="H391" s="289"/>
      <c r="I391" s="289"/>
      <c r="J391" s="289">
        <v>0</v>
      </c>
      <c r="K391" s="289" t="s">
        <v>1657</v>
      </c>
      <c r="L391" s="289"/>
      <c r="M391" s="289"/>
      <c r="N391" s="293">
        <v>43861</v>
      </c>
      <c r="O391" s="293">
        <v>43861</v>
      </c>
      <c r="P391" s="289" t="s">
        <v>1878</v>
      </c>
      <c r="Q391" s="290">
        <v>100</v>
      </c>
      <c r="R391" s="290">
        <v>14110</v>
      </c>
      <c r="S391" s="291">
        <v>1377.46</v>
      </c>
      <c r="T391" s="290">
        <v>14116</v>
      </c>
      <c r="U391" s="291">
        <v>1377.46</v>
      </c>
      <c r="V391" s="291">
        <f t="shared" si="5"/>
        <v>0</v>
      </c>
      <c r="W391" s="292">
        <v>0</v>
      </c>
      <c r="X391" s="290">
        <v>70260</v>
      </c>
      <c r="Y391" s="291">
        <v>0</v>
      </c>
      <c r="Z391" s="289" t="s">
        <v>944</v>
      </c>
      <c r="AA391" s="289"/>
      <c r="AB391" s="289" t="s">
        <v>1877</v>
      </c>
      <c r="AC391" s="289"/>
      <c r="AD391" s="289" t="s">
        <v>1446</v>
      </c>
      <c r="AE391" s="289" t="s">
        <v>410</v>
      </c>
      <c r="AF391" s="290" t="s">
        <v>1447</v>
      </c>
      <c r="AG391" s="289"/>
      <c r="AH391" s="290" t="s">
        <v>1448</v>
      </c>
      <c r="AI391" s="289">
        <v>0</v>
      </c>
      <c r="AJ391" s="289">
        <v>0</v>
      </c>
    </row>
    <row r="392" spans="2:36">
      <c r="B392" s="290">
        <v>2111</v>
      </c>
      <c r="C392" s="294">
        <v>228220</v>
      </c>
      <c r="D392" s="290" t="s">
        <v>944</v>
      </c>
      <c r="E392" s="289" t="s">
        <v>1875</v>
      </c>
      <c r="F392" s="290"/>
      <c r="G392" s="289"/>
      <c r="H392" s="289"/>
      <c r="I392" s="289"/>
      <c r="J392" s="289">
        <v>0</v>
      </c>
      <c r="K392" s="289" t="s">
        <v>1657</v>
      </c>
      <c r="L392" s="289"/>
      <c r="M392" s="289"/>
      <c r="N392" s="293">
        <v>43861</v>
      </c>
      <c r="O392" s="293">
        <v>43861</v>
      </c>
      <c r="P392" s="289" t="s">
        <v>1879</v>
      </c>
      <c r="Q392" s="290">
        <v>100</v>
      </c>
      <c r="R392" s="290">
        <v>14110</v>
      </c>
      <c r="S392" s="291">
        <v>1377.46</v>
      </c>
      <c r="T392" s="290">
        <v>14116</v>
      </c>
      <c r="U392" s="291">
        <v>1377.46</v>
      </c>
      <c r="V392" s="291">
        <f t="shared" si="5"/>
        <v>0</v>
      </c>
      <c r="W392" s="292">
        <v>0</v>
      </c>
      <c r="X392" s="290">
        <v>70260</v>
      </c>
      <c r="Y392" s="291">
        <v>0</v>
      </c>
      <c r="Z392" s="289" t="s">
        <v>944</v>
      </c>
      <c r="AA392" s="289"/>
      <c r="AB392" s="289" t="s">
        <v>1877</v>
      </c>
      <c r="AC392" s="289"/>
      <c r="AD392" s="289" t="s">
        <v>1446</v>
      </c>
      <c r="AE392" s="289" t="s">
        <v>410</v>
      </c>
      <c r="AF392" s="290" t="s">
        <v>1447</v>
      </c>
      <c r="AG392" s="289"/>
      <c r="AH392" s="290" t="s">
        <v>1448</v>
      </c>
      <c r="AI392" s="289">
        <v>0</v>
      </c>
      <c r="AJ392" s="289">
        <v>0</v>
      </c>
    </row>
    <row r="393" spans="2:36">
      <c r="B393" s="290">
        <v>2111</v>
      </c>
      <c r="C393" s="294">
        <v>228219</v>
      </c>
      <c r="D393" s="290" t="s">
        <v>944</v>
      </c>
      <c r="E393" s="289" t="s">
        <v>1880</v>
      </c>
      <c r="F393" s="290"/>
      <c r="G393" s="289"/>
      <c r="H393" s="289"/>
      <c r="I393" s="289"/>
      <c r="J393" s="289">
        <v>0</v>
      </c>
      <c r="K393" s="289" t="s">
        <v>1657</v>
      </c>
      <c r="L393" s="289"/>
      <c r="M393" s="289"/>
      <c r="N393" s="293">
        <v>43831</v>
      </c>
      <c r="O393" s="293">
        <v>43831</v>
      </c>
      <c r="P393" s="289" t="s">
        <v>1881</v>
      </c>
      <c r="Q393" s="290">
        <v>300</v>
      </c>
      <c r="R393" s="290">
        <v>14110</v>
      </c>
      <c r="S393" s="291">
        <v>16.66</v>
      </c>
      <c r="T393" s="290">
        <v>14116</v>
      </c>
      <c r="U393" s="291">
        <v>14.34</v>
      </c>
      <c r="V393" s="291">
        <f t="shared" si="5"/>
        <v>2.3200000000000003</v>
      </c>
      <c r="W393" s="292">
        <v>3.24</v>
      </c>
      <c r="X393" s="290">
        <v>70260</v>
      </c>
      <c r="Y393" s="291">
        <v>0.46</v>
      </c>
      <c r="Z393" s="289" t="s">
        <v>944</v>
      </c>
      <c r="AA393" s="289"/>
      <c r="AB393" s="289" t="s">
        <v>1882</v>
      </c>
      <c r="AC393" s="289"/>
      <c r="AD393" s="289" t="s">
        <v>1446</v>
      </c>
      <c r="AE393" s="289" t="s">
        <v>410</v>
      </c>
      <c r="AF393" s="290" t="s">
        <v>1447</v>
      </c>
      <c r="AG393" s="289"/>
      <c r="AH393" s="290" t="s">
        <v>1448</v>
      </c>
      <c r="AI393" s="289">
        <v>0</v>
      </c>
      <c r="AJ393" s="289">
        <v>0</v>
      </c>
    </row>
    <row r="394" spans="2:36">
      <c r="B394" s="290">
        <v>2111</v>
      </c>
      <c r="C394" s="294">
        <v>228218</v>
      </c>
      <c r="D394" s="290" t="s">
        <v>944</v>
      </c>
      <c r="E394" s="289" t="s">
        <v>1883</v>
      </c>
      <c r="F394" s="290"/>
      <c r="G394" s="289"/>
      <c r="H394" s="289"/>
      <c r="I394" s="289"/>
      <c r="J394" s="289">
        <v>0</v>
      </c>
      <c r="K394" s="289" t="s">
        <v>1657</v>
      </c>
      <c r="L394" s="289"/>
      <c r="M394" s="289"/>
      <c r="N394" s="293">
        <v>43831</v>
      </c>
      <c r="O394" s="293">
        <v>43831</v>
      </c>
      <c r="P394" s="289" t="s">
        <v>1881</v>
      </c>
      <c r="Q394" s="290">
        <v>300</v>
      </c>
      <c r="R394" s="290">
        <v>14110</v>
      </c>
      <c r="S394" s="291">
        <v>1014.79</v>
      </c>
      <c r="T394" s="290">
        <v>14116</v>
      </c>
      <c r="U394" s="291">
        <v>873.84</v>
      </c>
      <c r="V394" s="291">
        <f t="shared" si="5"/>
        <v>140.94999999999993</v>
      </c>
      <c r="W394" s="292">
        <v>197.32</v>
      </c>
      <c r="X394" s="290">
        <v>70260</v>
      </c>
      <c r="Y394" s="291">
        <v>28.19</v>
      </c>
      <c r="Z394" s="289" t="s">
        <v>944</v>
      </c>
      <c r="AA394" s="289"/>
      <c r="AB394" s="289" t="s">
        <v>1884</v>
      </c>
      <c r="AC394" s="289"/>
      <c r="AD394" s="289" t="s">
        <v>1446</v>
      </c>
      <c r="AE394" s="289" t="s">
        <v>410</v>
      </c>
      <c r="AF394" s="290" t="s">
        <v>1447</v>
      </c>
      <c r="AG394" s="289"/>
      <c r="AH394" s="290" t="s">
        <v>1448</v>
      </c>
      <c r="AI394" s="289">
        <v>0</v>
      </c>
      <c r="AJ394" s="289">
        <v>0</v>
      </c>
    </row>
    <row r="395" spans="2:36">
      <c r="B395" s="290">
        <v>2111</v>
      </c>
      <c r="C395" s="294">
        <v>228193</v>
      </c>
      <c r="D395" s="290" t="s">
        <v>944</v>
      </c>
      <c r="E395" s="289" t="s">
        <v>1885</v>
      </c>
      <c r="F395" s="290">
        <v>864</v>
      </c>
      <c r="G395" s="289"/>
      <c r="H395" s="289"/>
      <c r="I395" s="289"/>
      <c r="J395" s="289">
        <v>0</v>
      </c>
      <c r="K395" s="289" t="s">
        <v>1755</v>
      </c>
      <c r="L395" s="289"/>
      <c r="M395" s="289" t="s">
        <v>1463</v>
      </c>
      <c r="N395" s="293">
        <v>43831</v>
      </c>
      <c r="O395" s="293">
        <v>43831</v>
      </c>
      <c r="P395" s="289" t="s">
        <v>1886</v>
      </c>
      <c r="Q395" s="290">
        <v>611</v>
      </c>
      <c r="R395" s="290">
        <v>14050</v>
      </c>
      <c r="S395" s="291">
        <v>35360.720000000001</v>
      </c>
      <c r="T395" s="290">
        <v>14056</v>
      </c>
      <c r="U395" s="291">
        <v>13207.01</v>
      </c>
      <c r="V395" s="291">
        <f t="shared" si="5"/>
        <v>22153.71</v>
      </c>
      <c r="W395" s="292">
        <v>2982.23</v>
      </c>
      <c r="X395" s="290">
        <v>54260</v>
      </c>
      <c r="Y395" s="291">
        <v>426.03</v>
      </c>
      <c r="Z395" s="289" t="s">
        <v>944</v>
      </c>
      <c r="AA395" s="289"/>
      <c r="AB395" s="289">
        <v>65634996</v>
      </c>
      <c r="AC395" s="289"/>
      <c r="AD395" s="289" t="s">
        <v>1446</v>
      </c>
      <c r="AE395" s="289" t="s">
        <v>410</v>
      </c>
      <c r="AF395" s="290" t="s">
        <v>1447</v>
      </c>
      <c r="AG395" s="289"/>
      <c r="AH395" s="290" t="s">
        <v>1448</v>
      </c>
      <c r="AI395" s="289">
        <v>0</v>
      </c>
      <c r="AJ395" s="289">
        <v>0</v>
      </c>
    </row>
    <row r="396" spans="2:36">
      <c r="B396" s="290">
        <v>2111</v>
      </c>
      <c r="C396" s="294">
        <v>228192</v>
      </c>
      <c r="D396" s="290" t="s">
        <v>944</v>
      </c>
      <c r="E396" s="289" t="s">
        <v>1762</v>
      </c>
      <c r="F396" s="290">
        <v>312</v>
      </c>
      <c r="G396" s="289"/>
      <c r="H396" s="289"/>
      <c r="I396" s="289"/>
      <c r="J396" s="289">
        <v>0</v>
      </c>
      <c r="K396" s="289" t="s">
        <v>1755</v>
      </c>
      <c r="L396" s="289"/>
      <c r="M396" s="289" t="s">
        <v>1463</v>
      </c>
      <c r="N396" s="293">
        <v>43831</v>
      </c>
      <c r="O396" s="293">
        <v>43831</v>
      </c>
      <c r="P396" s="289" t="s">
        <v>1886</v>
      </c>
      <c r="Q396" s="290">
        <v>611</v>
      </c>
      <c r="R396" s="290">
        <v>14050</v>
      </c>
      <c r="S396" s="291">
        <v>14226.43</v>
      </c>
      <c r="T396" s="290">
        <v>14056</v>
      </c>
      <c r="U396" s="291">
        <v>5313.48</v>
      </c>
      <c r="V396" s="291">
        <f t="shared" si="5"/>
        <v>8912.9500000000007</v>
      </c>
      <c r="W396" s="292">
        <v>1199.82</v>
      </c>
      <c r="X396" s="290">
        <v>54260</v>
      </c>
      <c r="Y396" s="291">
        <v>171.4</v>
      </c>
      <c r="Z396" s="289" t="s">
        <v>944</v>
      </c>
      <c r="AA396" s="289"/>
      <c r="AB396" s="289">
        <v>65634606</v>
      </c>
      <c r="AC396" s="289"/>
      <c r="AD396" s="289" t="s">
        <v>1446</v>
      </c>
      <c r="AE396" s="289" t="s">
        <v>410</v>
      </c>
      <c r="AF396" s="290" t="s">
        <v>1447</v>
      </c>
      <c r="AG396" s="289"/>
      <c r="AH396" s="290" t="s">
        <v>1448</v>
      </c>
      <c r="AI396" s="289">
        <v>0</v>
      </c>
      <c r="AJ396" s="289">
        <v>0</v>
      </c>
    </row>
    <row r="397" spans="2:36">
      <c r="B397" s="290">
        <v>2111</v>
      </c>
      <c r="C397" s="294">
        <v>228191</v>
      </c>
      <c r="D397" s="290" t="s">
        <v>944</v>
      </c>
      <c r="E397" s="289" t="s">
        <v>1887</v>
      </c>
      <c r="F397" s="290">
        <v>312</v>
      </c>
      <c r="G397" s="289"/>
      <c r="H397" s="289"/>
      <c r="I397" s="289"/>
      <c r="J397" s="289">
        <v>0</v>
      </c>
      <c r="K397" s="289" t="s">
        <v>1755</v>
      </c>
      <c r="L397" s="289"/>
      <c r="M397" s="289" t="s">
        <v>1463</v>
      </c>
      <c r="N397" s="293">
        <v>43831</v>
      </c>
      <c r="O397" s="293">
        <v>43831</v>
      </c>
      <c r="P397" s="289" t="s">
        <v>1886</v>
      </c>
      <c r="Q397" s="290">
        <v>611</v>
      </c>
      <c r="R397" s="290">
        <v>14050</v>
      </c>
      <c r="S397" s="291">
        <v>14226.43</v>
      </c>
      <c r="T397" s="290">
        <v>14056</v>
      </c>
      <c r="U397" s="291">
        <v>5313.48</v>
      </c>
      <c r="V397" s="291">
        <f t="shared" si="5"/>
        <v>8912.9500000000007</v>
      </c>
      <c r="W397" s="292">
        <v>1199.82</v>
      </c>
      <c r="X397" s="290">
        <v>54260</v>
      </c>
      <c r="Y397" s="291">
        <v>171.4</v>
      </c>
      <c r="Z397" s="289" t="s">
        <v>944</v>
      </c>
      <c r="AA397" s="289"/>
      <c r="AB397" s="289">
        <v>65634606</v>
      </c>
      <c r="AC397" s="289"/>
      <c r="AD397" s="289" t="s">
        <v>1446</v>
      </c>
      <c r="AE397" s="289" t="s">
        <v>410</v>
      </c>
      <c r="AF397" s="290" t="s">
        <v>1447</v>
      </c>
      <c r="AG397" s="289"/>
      <c r="AH397" s="290" t="s">
        <v>1448</v>
      </c>
      <c r="AI397" s="289">
        <v>0</v>
      </c>
      <c r="AJ397" s="289">
        <v>0</v>
      </c>
    </row>
    <row r="398" spans="2:36">
      <c r="B398" s="290">
        <v>2111</v>
      </c>
      <c r="C398" s="294">
        <v>228163</v>
      </c>
      <c r="D398" s="290">
        <v>223824</v>
      </c>
      <c r="E398" s="289" t="s">
        <v>1888</v>
      </c>
      <c r="F398" s="290"/>
      <c r="G398" s="289"/>
      <c r="H398" s="289"/>
      <c r="I398" s="289"/>
      <c r="J398" s="289">
        <v>0</v>
      </c>
      <c r="K398" s="289" t="s">
        <v>1554</v>
      </c>
      <c r="L398" s="289"/>
      <c r="M398" s="289" t="s">
        <v>1467</v>
      </c>
      <c r="N398" s="293">
        <v>43831</v>
      </c>
      <c r="O398" s="293">
        <v>43831</v>
      </c>
      <c r="P398" s="289" t="s">
        <v>1836</v>
      </c>
      <c r="Q398" s="290">
        <v>908</v>
      </c>
      <c r="R398" s="290">
        <v>14040</v>
      </c>
      <c r="S398" s="291">
        <v>857.48</v>
      </c>
      <c r="T398" s="290">
        <v>14046</v>
      </c>
      <c r="U398" s="291">
        <v>229.17</v>
      </c>
      <c r="V398" s="291">
        <f t="shared" ref="V398:V461" si="6">S398-U398</f>
        <v>628.31000000000006</v>
      </c>
      <c r="W398" s="292">
        <v>51.75</v>
      </c>
      <c r="X398" s="290">
        <v>51260</v>
      </c>
      <c r="Y398" s="291">
        <v>7.39</v>
      </c>
      <c r="Z398" s="289" t="s">
        <v>944</v>
      </c>
      <c r="AA398" s="289"/>
      <c r="AB398" s="289" t="s">
        <v>1889</v>
      </c>
      <c r="AC398" s="289"/>
      <c r="AD398" s="289" t="s">
        <v>1446</v>
      </c>
      <c r="AE398" s="289" t="s">
        <v>410</v>
      </c>
      <c r="AF398" s="290" t="s">
        <v>1447</v>
      </c>
      <c r="AG398" s="289"/>
      <c r="AH398" s="290" t="s">
        <v>1448</v>
      </c>
      <c r="AI398" s="289">
        <v>0</v>
      </c>
      <c r="AJ398" s="289">
        <v>0</v>
      </c>
    </row>
    <row r="399" spans="2:36">
      <c r="B399" s="290">
        <v>2111</v>
      </c>
      <c r="C399" s="294">
        <v>227886</v>
      </c>
      <c r="D399" s="290">
        <v>225662</v>
      </c>
      <c r="E399" s="289" t="s">
        <v>1890</v>
      </c>
      <c r="F399" s="290"/>
      <c r="G399" s="289"/>
      <c r="H399" s="289"/>
      <c r="I399" s="289"/>
      <c r="J399" s="289">
        <v>0</v>
      </c>
      <c r="K399" s="289" t="s">
        <v>1891</v>
      </c>
      <c r="L399" s="289"/>
      <c r="M399" s="289"/>
      <c r="N399" s="293">
        <v>43860</v>
      </c>
      <c r="O399" s="293">
        <v>43860</v>
      </c>
      <c r="P399" s="289" t="s">
        <v>1823</v>
      </c>
      <c r="Q399" s="290">
        <v>700</v>
      </c>
      <c r="R399" s="290">
        <v>14010</v>
      </c>
      <c r="S399" s="291">
        <v>6868.75</v>
      </c>
      <c r="T399" s="290">
        <v>14016</v>
      </c>
      <c r="U399" s="291">
        <v>2355.0100000000002</v>
      </c>
      <c r="V399" s="291">
        <f t="shared" si="6"/>
        <v>4513.74</v>
      </c>
      <c r="W399" s="292">
        <v>572.4</v>
      </c>
      <c r="X399" s="290">
        <v>57260</v>
      </c>
      <c r="Y399" s="291">
        <v>81.77</v>
      </c>
      <c r="Z399" s="289" t="s">
        <v>944</v>
      </c>
      <c r="AA399" s="289"/>
      <c r="AB399" s="289">
        <v>56672</v>
      </c>
      <c r="AC399" s="289"/>
      <c r="AD399" s="289" t="s">
        <v>1446</v>
      </c>
      <c r="AE399" s="289" t="s">
        <v>410</v>
      </c>
      <c r="AF399" s="290" t="s">
        <v>1447</v>
      </c>
      <c r="AG399" s="295">
        <v>43982</v>
      </c>
      <c r="AH399" s="290" t="s">
        <v>1448</v>
      </c>
      <c r="AI399" s="289">
        <v>0</v>
      </c>
      <c r="AJ399" s="289">
        <v>228.96</v>
      </c>
    </row>
    <row r="400" spans="2:36">
      <c r="B400" s="290">
        <v>2111</v>
      </c>
      <c r="C400" s="294">
        <v>227885</v>
      </c>
      <c r="D400" s="290">
        <v>225662</v>
      </c>
      <c r="E400" s="289" t="s">
        <v>1792</v>
      </c>
      <c r="F400" s="290"/>
      <c r="G400" s="289"/>
      <c r="H400" s="289"/>
      <c r="I400" s="289"/>
      <c r="J400" s="289">
        <v>0</v>
      </c>
      <c r="K400" s="289" t="s">
        <v>1456</v>
      </c>
      <c r="L400" s="289"/>
      <c r="M400" s="289"/>
      <c r="N400" s="293">
        <v>43831</v>
      </c>
      <c r="O400" s="293">
        <v>43831</v>
      </c>
      <c r="P400" s="289" t="s">
        <v>1823</v>
      </c>
      <c r="Q400" s="290">
        <v>700</v>
      </c>
      <c r="R400" s="290">
        <v>14010</v>
      </c>
      <c r="S400" s="291">
        <v>2659</v>
      </c>
      <c r="T400" s="290">
        <v>14016</v>
      </c>
      <c r="U400" s="291">
        <v>933.82</v>
      </c>
      <c r="V400" s="291">
        <f t="shared" si="6"/>
        <v>1725.1799999999998</v>
      </c>
      <c r="W400" s="292">
        <v>221.59</v>
      </c>
      <c r="X400" s="290">
        <v>57260</v>
      </c>
      <c r="Y400" s="291">
        <v>31.66</v>
      </c>
      <c r="Z400" s="289" t="s">
        <v>944</v>
      </c>
      <c r="AA400" s="289"/>
      <c r="AB400" s="289" t="s">
        <v>1892</v>
      </c>
      <c r="AC400" s="289"/>
      <c r="AD400" s="289" t="s">
        <v>1446</v>
      </c>
      <c r="AE400" s="289" t="s">
        <v>410</v>
      </c>
      <c r="AF400" s="290" t="s">
        <v>1447</v>
      </c>
      <c r="AG400" s="295">
        <v>43982</v>
      </c>
      <c r="AH400" s="290" t="s">
        <v>1448</v>
      </c>
      <c r="AI400" s="289">
        <v>0</v>
      </c>
      <c r="AJ400" s="289">
        <v>110.79</v>
      </c>
    </row>
    <row r="401" spans="2:36">
      <c r="B401" s="290">
        <v>2111</v>
      </c>
      <c r="C401" s="294">
        <v>227884</v>
      </c>
      <c r="D401" s="290">
        <v>225662</v>
      </c>
      <c r="E401" s="289" t="s">
        <v>1785</v>
      </c>
      <c r="F401" s="290"/>
      <c r="G401" s="289"/>
      <c r="H401" s="289"/>
      <c r="I401" s="289"/>
      <c r="J401" s="289">
        <v>0</v>
      </c>
      <c r="K401" s="289" t="s">
        <v>1456</v>
      </c>
      <c r="L401" s="289"/>
      <c r="M401" s="289"/>
      <c r="N401" s="293">
        <v>43831</v>
      </c>
      <c r="O401" s="293">
        <v>43831</v>
      </c>
      <c r="P401" s="289" t="s">
        <v>1823</v>
      </c>
      <c r="Q401" s="290">
        <v>700</v>
      </c>
      <c r="R401" s="290">
        <v>14010</v>
      </c>
      <c r="S401" s="291">
        <v>121</v>
      </c>
      <c r="T401" s="290">
        <v>14016</v>
      </c>
      <c r="U401" s="291">
        <v>42.51</v>
      </c>
      <c r="V401" s="291">
        <f t="shared" si="6"/>
        <v>78.490000000000009</v>
      </c>
      <c r="W401" s="292">
        <v>10.09</v>
      </c>
      <c r="X401" s="290">
        <v>57260</v>
      </c>
      <c r="Y401" s="291">
        <v>1.44</v>
      </c>
      <c r="Z401" s="289" t="s">
        <v>944</v>
      </c>
      <c r="AA401" s="289"/>
      <c r="AB401" s="289" t="s">
        <v>1893</v>
      </c>
      <c r="AC401" s="289"/>
      <c r="AD401" s="289" t="s">
        <v>1446</v>
      </c>
      <c r="AE401" s="289" t="s">
        <v>410</v>
      </c>
      <c r="AF401" s="290" t="s">
        <v>1447</v>
      </c>
      <c r="AG401" s="295">
        <v>43982</v>
      </c>
      <c r="AH401" s="290" t="s">
        <v>1448</v>
      </c>
      <c r="AI401" s="289">
        <v>0</v>
      </c>
      <c r="AJ401" s="289">
        <v>5.04</v>
      </c>
    </row>
    <row r="402" spans="2:36">
      <c r="B402" s="290">
        <v>2111</v>
      </c>
      <c r="C402" s="294">
        <v>227574</v>
      </c>
      <c r="D402" s="290">
        <v>225662</v>
      </c>
      <c r="E402" s="289" t="s">
        <v>1894</v>
      </c>
      <c r="F402" s="290"/>
      <c r="G402" s="289"/>
      <c r="H402" s="289"/>
      <c r="I402" s="289"/>
      <c r="J402" s="289">
        <v>0</v>
      </c>
      <c r="K402" s="289" t="s">
        <v>1784</v>
      </c>
      <c r="L402" s="289"/>
      <c r="M402" s="289"/>
      <c r="N402" s="293">
        <v>43831</v>
      </c>
      <c r="O402" s="293">
        <v>43831</v>
      </c>
      <c r="P402" s="289" t="s">
        <v>1823</v>
      </c>
      <c r="Q402" s="290">
        <v>700</v>
      </c>
      <c r="R402" s="290">
        <v>14010</v>
      </c>
      <c r="S402" s="291">
        <v>2462.4</v>
      </c>
      <c r="T402" s="290">
        <v>14016</v>
      </c>
      <c r="U402" s="291">
        <v>864.77</v>
      </c>
      <c r="V402" s="291">
        <f t="shared" si="6"/>
        <v>1597.63</v>
      </c>
      <c r="W402" s="292">
        <v>205.2</v>
      </c>
      <c r="X402" s="290">
        <v>57260</v>
      </c>
      <c r="Y402" s="291">
        <v>29.31</v>
      </c>
      <c r="Z402" s="289" t="s">
        <v>944</v>
      </c>
      <c r="AA402" s="289"/>
      <c r="AB402" s="289">
        <v>2957</v>
      </c>
      <c r="AC402" s="289"/>
      <c r="AD402" s="289" t="s">
        <v>1446</v>
      </c>
      <c r="AE402" s="289" t="s">
        <v>410</v>
      </c>
      <c r="AF402" s="290" t="s">
        <v>1447</v>
      </c>
      <c r="AG402" s="295">
        <v>43982</v>
      </c>
      <c r="AH402" s="290" t="s">
        <v>1448</v>
      </c>
      <c r="AI402" s="289">
        <v>0</v>
      </c>
      <c r="AJ402" s="289">
        <v>102.6</v>
      </c>
    </row>
    <row r="403" spans="2:36">
      <c r="B403" s="290">
        <v>2111</v>
      </c>
      <c r="C403" s="294">
        <v>226488</v>
      </c>
      <c r="D403" s="290">
        <v>223823</v>
      </c>
      <c r="E403" s="289" t="s">
        <v>1247</v>
      </c>
      <c r="F403" s="290"/>
      <c r="G403" s="289"/>
      <c r="H403" s="289"/>
      <c r="I403" s="289"/>
      <c r="J403" s="289">
        <v>0</v>
      </c>
      <c r="K403" s="289" t="s">
        <v>1895</v>
      </c>
      <c r="L403" s="289"/>
      <c r="M403" s="289" t="s">
        <v>1467</v>
      </c>
      <c r="N403" s="293">
        <v>43696</v>
      </c>
      <c r="O403" s="293">
        <v>43696</v>
      </c>
      <c r="P403" s="289" t="s">
        <v>1896</v>
      </c>
      <c r="Q403" s="290">
        <v>900</v>
      </c>
      <c r="R403" s="290">
        <v>14040</v>
      </c>
      <c r="S403" s="291">
        <v>7293.88</v>
      </c>
      <c r="T403" s="290">
        <v>14046</v>
      </c>
      <c r="U403" s="291">
        <v>2363.75</v>
      </c>
      <c r="V403" s="291">
        <f t="shared" si="6"/>
        <v>4930.13</v>
      </c>
      <c r="W403" s="292">
        <v>472.75</v>
      </c>
      <c r="X403" s="290">
        <v>51260</v>
      </c>
      <c r="Y403" s="291">
        <v>67.53</v>
      </c>
      <c r="Z403" s="289" t="s">
        <v>944</v>
      </c>
      <c r="AA403" s="289"/>
      <c r="AB403" s="289">
        <v>38747</v>
      </c>
      <c r="AC403" s="289"/>
      <c r="AD403" s="289" t="s">
        <v>1446</v>
      </c>
      <c r="AE403" s="289" t="s">
        <v>410</v>
      </c>
      <c r="AF403" s="290" t="s">
        <v>1447</v>
      </c>
      <c r="AG403" s="289"/>
      <c r="AH403" s="290" t="s">
        <v>1448</v>
      </c>
      <c r="AI403" s="289">
        <v>0</v>
      </c>
      <c r="AJ403" s="289">
        <v>0</v>
      </c>
    </row>
    <row r="404" spans="2:36">
      <c r="B404" s="290">
        <v>2111</v>
      </c>
      <c r="C404" s="294">
        <v>226487</v>
      </c>
      <c r="D404" s="290">
        <v>223823</v>
      </c>
      <c r="E404" s="289" t="s">
        <v>1193</v>
      </c>
      <c r="F404" s="290"/>
      <c r="G404" s="289"/>
      <c r="H404" s="289"/>
      <c r="I404" s="289"/>
      <c r="J404" s="289">
        <v>0</v>
      </c>
      <c r="K404" s="289" t="s">
        <v>1580</v>
      </c>
      <c r="L404" s="289"/>
      <c r="M404" s="289" t="s">
        <v>1467</v>
      </c>
      <c r="N404" s="293">
        <v>43696</v>
      </c>
      <c r="O404" s="293">
        <v>43696</v>
      </c>
      <c r="P404" s="289" t="s">
        <v>1896</v>
      </c>
      <c r="Q404" s="290">
        <v>900</v>
      </c>
      <c r="R404" s="290">
        <v>14040</v>
      </c>
      <c r="S404" s="291">
        <v>6907.22</v>
      </c>
      <c r="T404" s="290">
        <v>14046</v>
      </c>
      <c r="U404" s="291">
        <v>2238.4499999999998</v>
      </c>
      <c r="V404" s="291">
        <f t="shared" si="6"/>
        <v>4668.7700000000004</v>
      </c>
      <c r="W404" s="292">
        <v>447.69</v>
      </c>
      <c r="X404" s="290">
        <v>51260</v>
      </c>
      <c r="Y404" s="291">
        <v>63.95</v>
      </c>
      <c r="Z404" s="289" t="s">
        <v>944</v>
      </c>
      <c r="AA404" s="289"/>
      <c r="AB404" s="289">
        <v>15365</v>
      </c>
      <c r="AC404" s="289"/>
      <c r="AD404" s="289" t="s">
        <v>1446</v>
      </c>
      <c r="AE404" s="289" t="s">
        <v>410</v>
      </c>
      <c r="AF404" s="290" t="s">
        <v>1447</v>
      </c>
      <c r="AG404" s="289"/>
      <c r="AH404" s="290" t="s">
        <v>1448</v>
      </c>
      <c r="AI404" s="289">
        <v>0</v>
      </c>
      <c r="AJ404" s="289">
        <v>0</v>
      </c>
    </row>
    <row r="405" spans="2:36">
      <c r="B405" s="290">
        <v>2111</v>
      </c>
      <c r="C405" s="294">
        <v>226401</v>
      </c>
      <c r="D405" s="290">
        <v>219747</v>
      </c>
      <c r="E405" s="289" t="s">
        <v>1897</v>
      </c>
      <c r="F405" s="290"/>
      <c r="G405" s="289"/>
      <c r="H405" s="289"/>
      <c r="I405" s="289"/>
      <c r="J405" s="289">
        <v>0</v>
      </c>
      <c r="K405" s="289" t="s">
        <v>1898</v>
      </c>
      <c r="L405" s="289"/>
      <c r="M405" s="289" t="s">
        <v>1467</v>
      </c>
      <c r="N405" s="293">
        <v>43696</v>
      </c>
      <c r="O405" s="293">
        <v>43696</v>
      </c>
      <c r="P405" s="289" t="s">
        <v>1899</v>
      </c>
      <c r="Q405" s="290">
        <v>1000</v>
      </c>
      <c r="R405" s="290">
        <v>14040</v>
      </c>
      <c r="S405" s="291">
        <v>832.5</v>
      </c>
      <c r="T405" s="290">
        <v>14046</v>
      </c>
      <c r="U405" s="291">
        <v>242.81</v>
      </c>
      <c r="V405" s="291">
        <f t="shared" si="6"/>
        <v>589.69000000000005</v>
      </c>
      <c r="W405" s="292">
        <v>48.56</v>
      </c>
      <c r="X405" s="290">
        <v>51260</v>
      </c>
      <c r="Y405" s="291">
        <v>6.93</v>
      </c>
      <c r="Z405" s="289" t="s">
        <v>944</v>
      </c>
      <c r="AA405" s="289"/>
      <c r="AB405" s="289">
        <v>38992090</v>
      </c>
      <c r="AC405" s="289"/>
      <c r="AD405" s="289" t="s">
        <v>1446</v>
      </c>
      <c r="AE405" s="289" t="s">
        <v>410</v>
      </c>
      <c r="AF405" s="290" t="s">
        <v>1447</v>
      </c>
      <c r="AG405" s="289"/>
      <c r="AH405" s="290" t="s">
        <v>1448</v>
      </c>
      <c r="AI405" s="289">
        <v>0</v>
      </c>
      <c r="AJ405" s="289">
        <v>0</v>
      </c>
    </row>
    <row r="406" spans="2:36">
      <c r="B406" s="290">
        <v>2111</v>
      </c>
      <c r="C406" s="294">
        <v>225795</v>
      </c>
      <c r="D406" s="290">
        <v>225662</v>
      </c>
      <c r="E406" s="289" t="s">
        <v>1785</v>
      </c>
      <c r="F406" s="290"/>
      <c r="G406" s="289"/>
      <c r="H406" s="289"/>
      <c r="I406" s="289"/>
      <c r="J406" s="289">
        <v>0</v>
      </c>
      <c r="K406" s="289" t="s">
        <v>1456</v>
      </c>
      <c r="L406" s="289"/>
      <c r="M406" s="289"/>
      <c r="N406" s="293">
        <v>43539</v>
      </c>
      <c r="O406" s="293">
        <v>43539</v>
      </c>
      <c r="P406" s="289" t="s">
        <v>1823</v>
      </c>
      <c r="Q406" s="290">
        <v>2000</v>
      </c>
      <c r="R406" s="290">
        <v>14080</v>
      </c>
      <c r="S406" s="291">
        <v>8935.75</v>
      </c>
      <c r="T406" s="290">
        <v>14086</v>
      </c>
      <c r="U406" s="291">
        <v>1526.49</v>
      </c>
      <c r="V406" s="291">
        <f t="shared" si="6"/>
        <v>7409.26</v>
      </c>
      <c r="W406" s="292">
        <v>260.63</v>
      </c>
      <c r="X406" s="290">
        <v>57260</v>
      </c>
      <c r="Y406" s="291">
        <v>37.229999999999997</v>
      </c>
      <c r="Z406" s="289" t="s">
        <v>944</v>
      </c>
      <c r="AA406" s="289"/>
      <c r="AB406" s="289" t="s">
        <v>1900</v>
      </c>
      <c r="AC406" s="289"/>
      <c r="AD406" s="289" t="s">
        <v>1446</v>
      </c>
      <c r="AE406" s="289" t="s">
        <v>410</v>
      </c>
      <c r="AF406" s="290" t="s">
        <v>1447</v>
      </c>
      <c r="AG406" s="289"/>
      <c r="AH406" s="290" t="s">
        <v>1448</v>
      </c>
      <c r="AI406" s="289">
        <v>0</v>
      </c>
      <c r="AJ406" s="289">
        <v>0</v>
      </c>
    </row>
    <row r="407" spans="2:36">
      <c r="B407" s="290">
        <v>2111</v>
      </c>
      <c r="C407" s="294">
        <v>225662</v>
      </c>
      <c r="D407" s="290" t="s">
        <v>944</v>
      </c>
      <c r="E407" s="289" t="s">
        <v>1901</v>
      </c>
      <c r="F407" s="290"/>
      <c r="G407" s="289"/>
      <c r="H407" s="289"/>
      <c r="I407" s="289"/>
      <c r="J407" s="289">
        <v>0</v>
      </c>
      <c r="K407" s="289"/>
      <c r="L407" s="289"/>
      <c r="M407" s="289"/>
      <c r="N407" s="293">
        <v>43830</v>
      </c>
      <c r="O407" s="293">
        <v>43830</v>
      </c>
      <c r="P407" s="289" t="s">
        <v>1902</v>
      </c>
      <c r="Q407" s="290">
        <v>1000</v>
      </c>
      <c r="R407" s="290">
        <v>14010</v>
      </c>
      <c r="S407" s="291">
        <v>174948.48000000001</v>
      </c>
      <c r="T407" s="290">
        <v>14016</v>
      </c>
      <c r="U407" s="291">
        <v>45195.03</v>
      </c>
      <c r="V407" s="291">
        <f t="shared" si="6"/>
        <v>129753.45000000001</v>
      </c>
      <c r="W407" s="292">
        <v>10205.33</v>
      </c>
      <c r="X407" s="290">
        <v>57260</v>
      </c>
      <c r="Y407" s="291">
        <v>1457.9</v>
      </c>
      <c r="Z407" s="289" t="s">
        <v>944</v>
      </c>
      <c r="AA407" s="289"/>
      <c r="AB407" s="289"/>
      <c r="AC407" s="289"/>
      <c r="AD407" s="289" t="s">
        <v>1446</v>
      </c>
      <c r="AE407" s="289" t="s">
        <v>410</v>
      </c>
      <c r="AF407" s="290" t="s">
        <v>1447</v>
      </c>
      <c r="AG407" s="289"/>
      <c r="AH407" s="290" t="s">
        <v>1448</v>
      </c>
      <c r="AI407" s="289">
        <v>0</v>
      </c>
      <c r="AJ407" s="289">
        <v>0</v>
      </c>
    </row>
    <row r="408" spans="2:36">
      <c r="B408" s="290">
        <v>2111</v>
      </c>
      <c r="C408" s="294">
        <v>225267</v>
      </c>
      <c r="D408" s="290" t="s">
        <v>944</v>
      </c>
      <c r="E408" s="289" t="s">
        <v>1903</v>
      </c>
      <c r="F408" s="290"/>
      <c r="G408" s="289"/>
      <c r="H408" s="289" t="s">
        <v>1904</v>
      </c>
      <c r="I408" s="289"/>
      <c r="J408" s="289">
        <v>2020</v>
      </c>
      <c r="K408" s="289" t="s">
        <v>1483</v>
      </c>
      <c r="L408" s="289" t="s">
        <v>1764</v>
      </c>
      <c r="M408" s="289" t="s">
        <v>1495</v>
      </c>
      <c r="N408" s="293">
        <v>43823</v>
      </c>
      <c r="O408" s="293">
        <v>43823</v>
      </c>
      <c r="P408" s="289" t="s">
        <v>1905</v>
      </c>
      <c r="Q408" s="290">
        <v>1000</v>
      </c>
      <c r="R408" s="290">
        <v>14040</v>
      </c>
      <c r="S408" s="291">
        <v>360568.03</v>
      </c>
      <c r="T408" s="290">
        <v>14046</v>
      </c>
      <c r="U408" s="291">
        <v>93146.73</v>
      </c>
      <c r="V408" s="291">
        <f t="shared" si="6"/>
        <v>267421.30000000005</v>
      </c>
      <c r="W408" s="292">
        <v>21033.13</v>
      </c>
      <c r="X408" s="290">
        <v>51260</v>
      </c>
      <c r="Y408" s="291">
        <v>3004.73</v>
      </c>
      <c r="Z408" s="289" t="s">
        <v>944</v>
      </c>
      <c r="AA408" s="289"/>
      <c r="AB408" s="289"/>
      <c r="AC408" s="289">
        <v>859</v>
      </c>
      <c r="AD408" s="289" t="s">
        <v>1446</v>
      </c>
      <c r="AE408" s="289" t="s">
        <v>410</v>
      </c>
      <c r="AF408" s="290" t="s">
        <v>1447</v>
      </c>
      <c r="AG408" s="289"/>
      <c r="AH408" s="290" t="s">
        <v>1448</v>
      </c>
      <c r="AI408" s="289">
        <v>0</v>
      </c>
      <c r="AJ408" s="289">
        <v>0</v>
      </c>
    </row>
    <row r="409" spans="2:36">
      <c r="B409" s="290">
        <v>2111</v>
      </c>
      <c r="C409" s="294">
        <v>225229</v>
      </c>
      <c r="D409" s="290" t="s">
        <v>944</v>
      </c>
      <c r="E409" s="289" t="s">
        <v>1335</v>
      </c>
      <c r="F409" s="290"/>
      <c r="G409" s="289"/>
      <c r="H409" s="289" t="s">
        <v>1906</v>
      </c>
      <c r="I409" s="289"/>
      <c r="J409" s="289">
        <v>2020</v>
      </c>
      <c r="K409" s="289" t="s">
        <v>1483</v>
      </c>
      <c r="L409" s="289"/>
      <c r="M409" s="289" t="s">
        <v>1907</v>
      </c>
      <c r="N409" s="293">
        <v>43819</v>
      </c>
      <c r="O409" s="293">
        <v>43819</v>
      </c>
      <c r="P409" s="289" t="s">
        <v>1908</v>
      </c>
      <c r="Q409" s="290">
        <v>1000</v>
      </c>
      <c r="R409" s="290">
        <v>14040</v>
      </c>
      <c r="S409" s="291">
        <v>222504.59</v>
      </c>
      <c r="T409" s="290">
        <v>14046</v>
      </c>
      <c r="U409" s="291">
        <v>57480.34</v>
      </c>
      <c r="V409" s="291">
        <f t="shared" si="6"/>
        <v>165024.25</v>
      </c>
      <c r="W409" s="292">
        <v>12979.44</v>
      </c>
      <c r="X409" s="290">
        <v>51260</v>
      </c>
      <c r="Y409" s="291">
        <v>1854.21</v>
      </c>
      <c r="Z409" s="289" t="s">
        <v>944</v>
      </c>
      <c r="AA409" s="289"/>
      <c r="AB409" s="289"/>
      <c r="AC409" s="289">
        <v>445</v>
      </c>
      <c r="AD409" s="289" t="s">
        <v>1446</v>
      </c>
      <c r="AE409" s="289" t="s">
        <v>410</v>
      </c>
      <c r="AF409" s="290" t="s">
        <v>1447</v>
      </c>
      <c r="AG409" s="289"/>
      <c r="AH409" s="290" t="s">
        <v>1448</v>
      </c>
      <c r="AI409" s="289">
        <v>0</v>
      </c>
      <c r="AJ409" s="289">
        <v>0</v>
      </c>
    </row>
    <row r="410" spans="2:36">
      <c r="B410" s="290">
        <v>2111</v>
      </c>
      <c r="C410" s="294">
        <v>224757</v>
      </c>
      <c r="D410" s="290" t="s">
        <v>944</v>
      </c>
      <c r="E410" s="289" t="s">
        <v>1068</v>
      </c>
      <c r="F410" s="290"/>
      <c r="G410" s="289"/>
      <c r="H410" s="289" t="s">
        <v>1909</v>
      </c>
      <c r="I410" s="289"/>
      <c r="J410" s="289">
        <v>2020</v>
      </c>
      <c r="K410" s="289" t="s">
        <v>1483</v>
      </c>
      <c r="L410" s="289" t="s">
        <v>1764</v>
      </c>
      <c r="M410" s="289" t="s">
        <v>1495</v>
      </c>
      <c r="N410" s="293">
        <v>43803</v>
      </c>
      <c r="O410" s="293">
        <v>43803</v>
      </c>
      <c r="P410" s="289" t="s">
        <v>1910</v>
      </c>
      <c r="Q410" s="290">
        <v>1000</v>
      </c>
      <c r="R410" s="290">
        <v>14040</v>
      </c>
      <c r="S410" s="291">
        <v>360568.03</v>
      </c>
      <c r="T410" s="290">
        <v>14046</v>
      </c>
      <c r="U410" s="291">
        <v>96151.46</v>
      </c>
      <c r="V410" s="291">
        <f t="shared" si="6"/>
        <v>264416.57</v>
      </c>
      <c r="W410" s="292">
        <v>21033.13</v>
      </c>
      <c r="X410" s="290">
        <v>51260</v>
      </c>
      <c r="Y410" s="291">
        <v>3004.73</v>
      </c>
      <c r="Z410" s="289" t="s">
        <v>944</v>
      </c>
      <c r="AA410" s="289"/>
      <c r="AB410" s="289"/>
      <c r="AC410" s="289">
        <v>858</v>
      </c>
      <c r="AD410" s="289" t="s">
        <v>1446</v>
      </c>
      <c r="AE410" s="289" t="s">
        <v>410</v>
      </c>
      <c r="AF410" s="290" t="s">
        <v>1447</v>
      </c>
      <c r="AG410" s="289"/>
      <c r="AH410" s="290" t="s">
        <v>1448</v>
      </c>
      <c r="AI410" s="289">
        <v>0</v>
      </c>
      <c r="AJ410" s="289">
        <v>0</v>
      </c>
    </row>
    <row r="411" spans="2:36">
      <c r="B411" s="290">
        <v>2111</v>
      </c>
      <c r="C411" s="294">
        <v>223824</v>
      </c>
      <c r="D411" s="290" t="s">
        <v>944</v>
      </c>
      <c r="E411" s="289" t="s">
        <v>1060</v>
      </c>
      <c r="F411" s="290"/>
      <c r="G411" s="289"/>
      <c r="H411" s="289" t="s">
        <v>1911</v>
      </c>
      <c r="I411" s="289"/>
      <c r="J411" s="289">
        <v>2020</v>
      </c>
      <c r="K411" s="289" t="s">
        <v>1483</v>
      </c>
      <c r="L411" s="289" t="s">
        <v>1764</v>
      </c>
      <c r="M411" s="289" t="s">
        <v>1523</v>
      </c>
      <c r="N411" s="293">
        <v>43770</v>
      </c>
      <c r="O411" s="293">
        <v>43770</v>
      </c>
      <c r="P411" s="289" t="s">
        <v>1912</v>
      </c>
      <c r="Q411" s="290">
        <v>1000</v>
      </c>
      <c r="R411" s="290">
        <v>14040</v>
      </c>
      <c r="S411" s="291">
        <v>338875.87</v>
      </c>
      <c r="T411" s="290">
        <v>14046</v>
      </c>
      <c r="U411" s="291">
        <v>93190.87</v>
      </c>
      <c r="V411" s="291">
        <f t="shared" si="6"/>
        <v>245685</v>
      </c>
      <c r="W411" s="292">
        <v>19767.759999999998</v>
      </c>
      <c r="X411" s="290">
        <v>51260</v>
      </c>
      <c r="Y411" s="291">
        <v>2823.96</v>
      </c>
      <c r="Z411" s="289" t="s">
        <v>944</v>
      </c>
      <c r="AA411" s="289"/>
      <c r="AB411" s="289"/>
      <c r="AC411" s="289">
        <v>915</v>
      </c>
      <c r="AD411" s="289" t="s">
        <v>1446</v>
      </c>
      <c r="AE411" s="289" t="s">
        <v>410</v>
      </c>
      <c r="AF411" s="290" t="s">
        <v>1447</v>
      </c>
      <c r="AG411" s="289"/>
      <c r="AH411" s="290" t="s">
        <v>1448</v>
      </c>
      <c r="AI411" s="289">
        <v>0</v>
      </c>
      <c r="AJ411" s="289">
        <v>0</v>
      </c>
    </row>
    <row r="412" spans="2:36">
      <c r="B412" s="290">
        <v>2111</v>
      </c>
      <c r="C412" s="294">
        <v>223823</v>
      </c>
      <c r="D412" s="290" t="s">
        <v>944</v>
      </c>
      <c r="E412" s="289" t="s">
        <v>1177</v>
      </c>
      <c r="F412" s="290"/>
      <c r="G412" s="289"/>
      <c r="H412" s="289" t="s">
        <v>1913</v>
      </c>
      <c r="I412" s="289"/>
      <c r="J412" s="289">
        <v>2019</v>
      </c>
      <c r="K412" s="289" t="s">
        <v>1483</v>
      </c>
      <c r="L412" s="289"/>
      <c r="M412" s="289" t="s">
        <v>1577</v>
      </c>
      <c r="N412" s="293">
        <v>43770</v>
      </c>
      <c r="O412" s="293">
        <v>43770</v>
      </c>
      <c r="P412" s="289" t="s">
        <v>1914</v>
      </c>
      <c r="Q412" s="290">
        <v>900</v>
      </c>
      <c r="R412" s="290">
        <v>14040</v>
      </c>
      <c r="S412" s="291">
        <v>162499.54</v>
      </c>
      <c r="T412" s="290">
        <v>14046</v>
      </c>
      <c r="U412" s="291">
        <v>49652.65</v>
      </c>
      <c r="V412" s="291">
        <f t="shared" si="6"/>
        <v>112846.89000000001</v>
      </c>
      <c r="W412" s="292">
        <v>10532.38</v>
      </c>
      <c r="X412" s="290">
        <v>51260</v>
      </c>
      <c r="Y412" s="291">
        <v>1504.62</v>
      </c>
      <c r="Z412" s="289" t="s">
        <v>944</v>
      </c>
      <c r="AA412" s="289"/>
      <c r="AB412" s="289"/>
      <c r="AC412" s="289">
        <v>191</v>
      </c>
      <c r="AD412" s="289" t="s">
        <v>1446</v>
      </c>
      <c r="AE412" s="289" t="s">
        <v>410</v>
      </c>
      <c r="AF412" s="290" t="s">
        <v>1447</v>
      </c>
      <c r="AG412" s="289"/>
      <c r="AH412" s="290" t="s">
        <v>1448</v>
      </c>
      <c r="AI412" s="289">
        <v>0</v>
      </c>
      <c r="AJ412" s="289">
        <v>0</v>
      </c>
    </row>
    <row r="413" spans="2:36">
      <c r="B413" s="290">
        <v>2111</v>
      </c>
      <c r="C413" s="294">
        <v>223804</v>
      </c>
      <c r="D413" s="290" t="s">
        <v>944</v>
      </c>
      <c r="E413" s="289" t="s">
        <v>1051</v>
      </c>
      <c r="F413" s="290">
        <v>13</v>
      </c>
      <c r="G413" s="289"/>
      <c r="H413" s="289"/>
      <c r="I413" s="289"/>
      <c r="J413" s="289">
        <v>0</v>
      </c>
      <c r="K413" s="289" t="s">
        <v>1537</v>
      </c>
      <c r="L413" s="289"/>
      <c r="M413" s="289" t="s">
        <v>1662</v>
      </c>
      <c r="N413" s="293">
        <v>43745</v>
      </c>
      <c r="O413" s="293">
        <v>43745</v>
      </c>
      <c r="P413" s="289" t="s">
        <v>1915</v>
      </c>
      <c r="Q413" s="290">
        <v>1200</v>
      </c>
      <c r="R413" s="290">
        <v>14050</v>
      </c>
      <c r="S413" s="291">
        <v>12740.06</v>
      </c>
      <c r="T413" s="290">
        <v>14056</v>
      </c>
      <c r="U413" s="291">
        <v>3008.07</v>
      </c>
      <c r="V413" s="291">
        <f t="shared" si="6"/>
        <v>9731.99</v>
      </c>
      <c r="W413" s="292">
        <v>619.30999999999995</v>
      </c>
      <c r="X413" s="290">
        <v>54260</v>
      </c>
      <c r="Y413" s="291">
        <v>88.47</v>
      </c>
      <c r="Z413" s="289" t="s">
        <v>944</v>
      </c>
      <c r="AA413" s="289"/>
      <c r="AB413" s="289" t="s">
        <v>1916</v>
      </c>
      <c r="AC413" s="289"/>
      <c r="AD413" s="289" t="s">
        <v>1446</v>
      </c>
      <c r="AE413" s="289" t="s">
        <v>410</v>
      </c>
      <c r="AF413" s="290" t="s">
        <v>1447</v>
      </c>
      <c r="AG413" s="289"/>
      <c r="AH413" s="290" t="s">
        <v>1448</v>
      </c>
      <c r="AI413" s="289">
        <v>0</v>
      </c>
      <c r="AJ413" s="289">
        <v>0</v>
      </c>
    </row>
    <row r="414" spans="2:36">
      <c r="B414" s="290">
        <v>2111</v>
      </c>
      <c r="C414" s="294">
        <v>223803</v>
      </c>
      <c r="D414" s="290" t="s">
        <v>944</v>
      </c>
      <c r="E414" s="289" t="s">
        <v>1051</v>
      </c>
      <c r="F414" s="290">
        <v>7</v>
      </c>
      <c r="G414" s="289"/>
      <c r="H414" s="289"/>
      <c r="I414" s="289"/>
      <c r="J414" s="289">
        <v>0</v>
      </c>
      <c r="K414" s="289" t="s">
        <v>1537</v>
      </c>
      <c r="L414" s="289"/>
      <c r="M414" s="289" t="s">
        <v>1662</v>
      </c>
      <c r="N414" s="293">
        <v>43745</v>
      </c>
      <c r="O414" s="293">
        <v>43745</v>
      </c>
      <c r="P414" s="289" t="s">
        <v>1917</v>
      </c>
      <c r="Q414" s="290">
        <v>1200</v>
      </c>
      <c r="R414" s="290">
        <v>14050</v>
      </c>
      <c r="S414" s="291">
        <v>6860.03</v>
      </c>
      <c r="T414" s="290">
        <v>14056</v>
      </c>
      <c r="U414" s="291">
        <v>1619.73</v>
      </c>
      <c r="V414" s="291">
        <f t="shared" si="6"/>
        <v>5240.2999999999993</v>
      </c>
      <c r="W414" s="292">
        <v>333.47</v>
      </c>
      <c r="X414" s="290">
        <v>54260</v>
      </c>
      <c r="Y414" s="291">
        <v>47.63</v>
      </c>
      <c r="Z414" s="289" t="s">
        <v>944</v>
      </c>
      <c r="AA414" s="289"/>
      <c r="AB414" s="289" t="s">
        <v>1916</v>
      </c>
      <c r="AC414" s="289"/>
      <c r="AD414" s="289" t="s">
        <v>1446</v>
      </c>
      <c r="AE414" s="289" t="s">
        <v>410</v>
      </c>
      <c r="AF414" s="290" t="s">
        <v>1447</v>
      </c>
      <c r="AG414" s="289"/>
      <c r="AH414" s="290" t="s">
        <v>1448</v>
      </c>
      <c r="AI414" s="289">
        <v>0</v>
      </c>
      <c r="AJ414" s="289">
        <v>0</v>
      </c>
    </row>
    <row r="415" spans="2:36">
      <c r="B415" s="290">
        <v>2111</v>
      </c>
      <c r="C415" s="294">
        <v>223802</v>
      </c>
      <c r="D415" s="290" t="s">
        <v>944</v>
      </c>
      <c r="E415" s="289" t="s">
        <v>1052</v>
      </c>
      <c r="F415" s="290">
        <v>15</v>
      </c>
      <c r="G415" s="289"/>
      <c r="H415" s="289"/>
      <c r="I415" s="289"/>
      <c r="J415" s="289">
        <v>0</v>
      </c>
      <c r="K415" s="289" t="s">
        <v>1537</v>
      </c>
      <c r="L415" s="289"/>
      <c r="M415" s="289" t="s">
        <v>1664</v>
      </c>
      <c r="N415" s="293">
        <v>43745</v>
      </c>
      <c r="O415" s="293">
        <v>43745</v>
      </c>
      <c r="P415" s="289" t="s">
        <v>1917</v>
      </c>
      <c r="Q415" s="290">
        <v>1200</v>
      </c>
      <c r="R415" s="290">
        <v>14050</v>
      </c>
      <c r="S415" s="291">
        <v>11040.4</v>
      </c>
      <c r="T415" s="290">
        <v>14056</v>
      </c>
      <c r="U415" s="291">
        <v>2606.75</v>
      </c>
      <c r="V415" s="291">
        <f t="shared" si="6"/>
        <v>8433.65</v>
      </c>
      <c r="W415" s="292">
        <v>536.67999999999995</v>
      </c>
      <c r="X415" s="290">
        <v>54260</v>
      </c>
      <c r="Y415" s="291">
        <v>76.66</v>
      </c>
      <c r="Z415" s="289" t="s">
        <v>944</v>
      </c>
      <c r="AA415" s="289"/>
      <c r="AB415" s="289" t="s">
        <v>1916</v>
      </c>
      <c r="AC415" s="289"/>
      <c r="AD415" s="289" t="s">
        <v>1446</v>
      </c>
      <c r="AE415" s="289" t="s">
        <v>410</v>
      </c>
      <c r="AF415" s="290" t="s">
        <v>1447</v>
      </c>
      <c r="AG415" s="289"/>
      <c r="AH415" s="290" t="s">
        <v>1448</v>
      </c>
      <c r="AI415" s="289">
        <v>0</v>
      </c>
      <c r="AJ415" s="289">
        <v>0</v>
      </c>
    </row>
    <row r="416" spans="2:36">
      <c r="B416" s="290">
        <v>2111</v>
      </c>
      <c r="C416" s="294">
        <v>223801</v>
      </c>
      <c r="D416" s="290" t="s">
        <v>944</v>
      </c>
      <c r="E416" s="289" t="s">
        <v>1053</v>
      </c>
      <c r="F416" s="290">
        <v>20</v>
      </c>
      <c r="G416" s="289"/>
      <c r="H416" s="289"/>
      <c r="I416" s="289"/>
      <c r="J416" s="289">
        <v>0</v>
      </c>
      <c r="K416" s="289" t="s">
        <v>1537</v>
      </c>
      <c r="L416" s="289"/>
      <c r="M416" s="289" t="s">
        <v>1659</v>
      </c>
      <c r="N416" s="293">
        <v>43745</v>
      </c>
      <c r="O416" s="293">
        <v>43745</v>
      </c>
      <c r="P416" s="289" t="s">
        <v>1917</v>
      </c>
      <c r="Q416" s="290">
        <v>1200</v>
      </c>
      <c r="R416" s="290">
        <v>14050</v>
      </c>
      <c r="S416" s="291">
        <v>12566.49</v>
      </c>
      <c r="T416" s="290">
        <v>14056</v>
      </c>
      <c r="U416" s="291">
        <v>2967.09</v>
      </c>
      <c r="V416" s="291">
        <f t="shared" si="6"/>
        <v>9599.4</v>
      </c>
      <c r="W416" s="292">
        <v>610.87</v>
      </c>
      <c r="X416" s="290">
        <v>54260</v>
      </c>
      <c r="Y416" s="291">
        <v>87.26</v>
      </c>
      <c r="Z416" s="289" t="s">
        <v>944</v>
      </c>
      <c r="AA416" s="289"/>
      <c r="AB416" s="289" t="s">
        <v>1916</v>
      </c>
      <c r="AC416" s="289"/>
      <c r="AD416" s="289" t="s">
        <v>1446</v>
      </c>
      <c r="AE416" s="289" t="s">
        <v>410</v>
      </c>
      <c r="AF416" s="290" t="s">
        <v>1447</v>
      </c>
      <c r="AG416" s="289"/>
      <c r="AH416" s="290" t="s">
        <v>1448</v>
      </c>
      <c r="AI416" s="289">
        <v>0</v>
      </c>
      <c r="AJ416" s="289">
        <v>0</v>
      </c>
    </row>
    <row r="417" spans="2:36">
      <c r="B417" s="290">
        <v>2111</v>
      </c>
      <c r="C417" s="294">
        <v>223800</v>
      </c>
      <c r="D417" s="290" t="s">
        <v>944</v>
      </c>
      <c r="E417" s="289" t="s">
        <v>1054</v>
      </c>
      <c r="F417" s="290">
        <v>15</v>
      </c>
      <c r="G417" s="289"/>
      <c r="H417" s="289"/>
      <c r="I417" s="289"/>
      <c r="J417" s="289">
        <v>0</v>
      </c>
      <c r="K417" s="289" t="s">
        <v>1537</v>
      </c>
      <c r="L417" s="289"/>
      <c r="M417" s="289" t="s">
        <v>1665</v>
      </c>
      <c r="N417" s="293">
        <v>43745</v>
      </c>
      <c r="O417" s="293">
        <v>43745</v>
      </c>
      <c r="P417" s="289" t="s">
        <v>1917</v>
      </c>
      <c r="Q417" s="290">
        <v>1200</v>
      </c>
      <c r="R417" s="290">
        <v>14050</v>
      </c>
      <c r="S417" s="291">
        <v>8765.4699999999993</v>
      </c>
      <c r="T417" s="290">
        <v>14056</v>
      </c>
      <c r="U417" s="291">
        <v>2069.63</v>
      </c>
      <c r="V417" s="291">
        <f t="shared" si="6"/>
        <v>6695.8399999999992</v>
      </c>
      <c r="W417" s="292">
        <v>426.1</v>
      </c>
      <c r="X417" s="290">
        <v>54260</v>
      </c>
      <c r="Y417" s="291">
        <v>60.87</v>
      </c>
      <c r="Z417" s="289" t="s">
        <v>944</v>
      </c>
      <c r="AA417" s="289"/>
      <c r="AB417" s="289" t="s">
        <v>1916</v>
      </c>
      <c r="AC417" s="289"/>
      <c r="AD417" s="289" t="s">
        <v>1446</v>
      </c>
      <c r="AE417" s="289" t="s">
        <v>410</v>
      </c>
      <c r="AF417" s="290" t="s">
        <v>1447</v>
      </c>
      <c r="AG417" s="289"/>
      <c r="AH417" s="290" t="s">
        <v>1448</v>
      </c>
      <c r="AI417" s="289">
        <v>0</v>
      </c>
      <c r="AJ417" s="289">
        <v>0</v>
      </c>
    </row>
    <row r="418" spans="2:36">
      <c r="B418" s="290">
        <v>2111</v>
      </c>
      <c r="C418" s="294">
        <v>223799</v>
      </c>
      <c r="D418" s="290" t="s">
        <v>944</v>
      </c>
      <c r="E418" s="289" t="s">
        <v>1055</v>
      </c>
      <c r="F418" s="290">
        <v>20</v>
      </c>
      <c r="G418" s="289"/>
      <c r="H418" s="289"/>
      <c r="I418" s="289"/>
      <c r="J418" s="289">
        <v>0</v>
      </c>
      <c r="K418" s="289" t="s">
        <v>1537</v>
      </c>
      <c r="L418" s="289"/>
      <c r="M418" s="289" t="s">
        <v>1918</v>
      </c>
      <c r="N418" s="293">
        <v>43745</v>
      </c>
      <c r="O418" s="293">
        <v>43745</v>
      </c>
      <c r="P418" s="289" t="s">
        <v>1917</v>
      </c>
      <c r="Q418" s="290">
        <v>1200</v>
      </c>
      <c r="R418" s="290">
        <v>14050</v>
      </c>
      <c r="S418" s="291">
        <v>10874.03</v>
      </c>
      <c r="T418" s="290">
        <v>14056</v>
      </c>
      <c r="U418" s="291">
        <v>2567.48</v>
      </c>
      <c r="V418" s="291">
        <f t="shared" si="6"/>
        <v>8306.5500000000011</v>
      </c>
      <c r="W418" s="292">
        <v>528.6</v>
      </c>
      <c r="X418" s="290">
        <v>54260</v>
      </c>
      <c r="Y418" s="291">
        <v>75.510000000000005</v>
      </c>
      <c r="Z418" s="289" t="s">
        <v>944</v>
      </c>
      <c r="AA418" s="289"/>
      <c r="AB418" s="289" t="s">
        <v>1916</v>
      </c>
      <c r="AC418" s="289"/>
      <c r="AD418" s="289" t="s">
        <v>1446</v>
      </c>
      <c r="AE418" s="289" t="s">
        <v>410</v>
      </c>
      <c r="AF418" s="290" t="s">
        <v>1447</v>
      </c>
      <c r="AG418" s="289"/>
      <c r="AH418" s="290" t="s">
        <v>1448</v>
      </c>
      <c r="AI418" s="289">
        <v>0</v>
      </c>
      <c r="AJ418" s="289">
        <v>0</v>
      </c>
    </row>
    <row r="419" spans="2:36">
      <c r="B419" s="290">
        <v>2111</v>
      </c>
      <c r="C419" s="294">
        <v>223798</v>
      </c>
      <c r="D419" s="290" t="s">
        <v>944</v>
      </c>
      <c r="E419" s="289" t="s">
        <v>1056</v>
      </c>
      <c r="F419" s="290">
        <v>8</v>
      </c>
      <c r="G419" s="289"/>
      <c r="H419" s="289"/>
      <c r="I419" s="289"/>
      <c r="J419" s="289">
        <v>0</v>
      </c>
      <c r="K419" s="289" t="s">
        <v>1537</v>
      </c>
      <c r="L419" s="289"/>
      <c r="M419" s="289" t="s">
        <v>1659</v>
      </c>
      <c r="N419" s="293">
        <v>43745</v>
      </c>
      <c r="O419" s="293">
        <v>43745</v>
      </c>
      <c r="P419" s="289" t="s">
        <v>1917</v>
      </c>
      <c r="Q419" s="290">
        <v>1200</v>
      </c>
      <c r="R419" s="290">
        <v>14050</v>
      </c>
      <c r="S419" s="291">
        <v>4965.05</v>
      </c>
      <c r="T419" s="290">
        <v>14056</v>
      </c>
      <c r="U419" s="291">
        <v>1172.32</v>
      </c>
      <c r="V419" s="291">
        <f t="shared" si="6"/>
        <v>3792.7300000000005</v>
      </c>
      <c r="W419" s="292">
        <v>241.36</v>
      </c>
      <c r="X419" s="290">
        <v>54260</v>
      </c>
      <c r="Y419" s="291">
        <v>34.479999999999997</v>
      </c>
      <c r="Z419" s="289" t="s">
        <v>944</v>
      </c>
      <c r="AA419" s="289"/>
      <c r="AB419" s="289" t="s">
        <v>1916</v>
      </c>
      <c r="AC419" s="289"/>
      <c r="AD419" s="289" t="s">
        <v>1446</v>
      </c>
      <c r="AE419" s="289" t="s">
        <v>410</v>
      </c>
      <c r="AF419" s="290" t="s">
        <v>1447</v>
      </c>
      <c r="AG419" s="289"/>
      <c r="AH419" s="290" t="s">
        <v>1448</v>
      </c>
      <c r="AI419" s="289">
        <v>0</v>
      </c>
      <c r="AJ419" s="289">
        <v>0</v>
      </c>
    </row>
    <row r="420" spans="2:36">
      <c r="B420" s="290">
        <v>2111</v>
      </c>
      <c r="C420" s="294">
        <v>223797</v>
      </c>
      <c r="D420" s="290" t="s">
        <v>944</v>
      </c>
      <c r="E420" s="289" t="s">
        <v>1057</v>
      </c>
      <c r="F420" s="290">
        <v>15</v>
      </c>
      <c r="G420" s="289"/>
      <c r="H420" s="289"/>
      <c r="I420" s="289"/>
      <c r="J420" s="289">
        <v>0</v>
      </c>
      <c r="K420" s="289" t="s">
        <v>1537</v>
      </c>
      <c r="L420" s="289"/>
      <c r="M420" s="289" t="s">
        <v>1665</v>
      </c>
      <c r="N420" s="293">
        <v>43745</v>
      </c>
      <c r="O420" s="293">
        <v>43745</v>
      </c>
      <c r="P420" s="289" t="s">
        <v>1917</v>
      </c>
      <c r="Q420" s="290">
        <v>1200</v>
      </c>
      <c r="R420" s="290">
        <v>14050</v>
      </c>
      <c r="S420" s="291">
        <v>8270.92</v>
      </c>
      <c r="T420" s="290">
        <v>14056</v>
      </c>
      <c r="U420" s="291">
        <v>1952.85</v>
      </c>
      <c r="V420" s="291">
        <f t="shared" si="6"/>
        <v>6318.07</v>
      </c>
      <c r="W420" s="292">
        <v>402.06</v>
      </c>
      <c r="X420" s="290">
        <v>54260</v>
      </c>
      <c r="Y420" s="291">
        <v>57.44</v>
      </c>
      <c r="Z420" s="289" t="s">
        <v>944</v>
      </c>
      <c r="AA420" s="289"/>
      <c r="AB420" s="289" t="s">
        <v>1916</v>
      </c>
      <c r="AC420" s="289"/>
      <c r="AD420" s="289" t="s">
        <v>1446</v>
      </c>
      <c r="AE420" s="289" t="s">
        <v>410</v>
      </c>
      <c r="AF420" s="290" t="s">
        <v>1447</v>
      </c>
      <c r="AG420" s="289"/>
      <c r="AH420" s="290" t="s">
        <v>1448</v>
      </c>
      <c r="AI420" s="289">
        <v>0</v>
      </c>
      <c r="AJ420" s="289">
        <v>0</v>
      </c>
    </row>
    <row r="421" spans="2:36">
      <c r="B421" s="290">
        <v>2111</v>
      </c>
      <c r="C421" s="294">
        <v>223796</v>
      </c>
      <c r="D421" s="290" t="s">
        <v>944</v>
      </c>
      <c r="E421" s="289" t="s">
        <v>1058</v>
      </c>
      <c r="F421" s="290">
        <v>20</v>
      </c>
      <c r="G421" s="289"/>
      <c r="H421" s="289"/>
      <c r="I421" s="289"/>
      <c r="J421" s="289">
        <v>0</v>
      </c>
      <c r="K421" s="289" t="s">
        <v>1537</v>
      </c>
      <c r="L421" s="289"/>
      <c r="M421" s="289" t="s">
        <v>1918</v>
      </c>
      <c r="N421" s="293">
        <v>43745</v>
      </c>
      <c r="O421" s="293">
        <v>43745</v>
      </c>
      <c r="P421" s="289" t="s">
        <v>1917</v>
      </c>
      <c r="Q421" s="290">
        <v>1200</v>
      </c>
      <c r="R421" s="290">
        <v>14050</v>
      </c>
      <c r="S421" s="291">
        <v>10632.25</v>
      </c>
      <c r="T421" s="290">
        <v>14056</v>
      </c>
      <c r="U421" s="291">
        <v>2510.4</v>
      </c>
      <c r="V421" s="291">
        <f t="shared" si="6"/>
        <v>8121.85</v>
      </c>
      <c r="W421" s="292">
        <v>516.85</v>
      </c>
      <c r="X421" s="290">
        <v>54260</v>
      </c>
      <c r="Y421" s="291">
        <v>73.84</v>
      </c>
      <c r="Z421" s="289" t="s">
        <v>944</v>
      </c>
      <c r="AA421" s="289"/>
      <c r="AB421" s="289" t="s">
        <v>1916</v>
      </c>
      <c r="AC421" s="289"/>
      <c r="AD421" s="289" t="s">
        <v>1446</v>
      </c>
      <c r="AE421" s="289" t="s">
        <v>410</v>
      </c>
      <c r="AF421" s="290" t="s">
        <v>1447</v>
      </c>
      <c r="AG421" s="289"/>
      <c r="AH421" s="290" t="s">
        <v>1448</v>
      </c>
      <c r="AI421" s="289">
        <v>0</v>
      </c>
      <c r="AJ421" s="289">
        <v>0</v>
      </c>
    </row>
    <row r="422" spans="2:36">
      <c r="B422" s="290">
        <v>2111</v>
      </c>
      <c r="C422" s="294">
        <v>223371</v>
      </c>
      <c r="D422" s="290" t="s">
        <v>944</v>
      </c>
      <c r="E422" s="289" t="s">
        <v>1919</v>
      </c>
      <c r="F422" s="290">
        <v>18</v>
      </c>
      <c r="G422" s="289"/>
      <c r="H422" s="289"/>
      <c r="I422" s="289"/>
      <c r="J422" s="289">
        <v>0</v>
      </c>
      <c r="K422" s="289"/>
      <c r="L422" s="289"/>
      <c r="M422" s="289" t="s">
        <v>1920</v>
      </c>
      <c r="N422" s="293">
        <v>43770</v>
      </c>
      <c r="O422" s="293">
        <v>43770</v>
      </c>
      <c r="P422" s="289" t="s">
        <v>1921</v>
      </c>
      <c r="Q422" s="290">
        <v>0</v>
      </c>
      <c r="R422" s="290">
        <v>14050</v>
      </c>
      <c r="S422" s="291">
        <v>0</v>
      </c>
      <c r="T422" s="290">
        <v>14056</v>
      </c>
      <c r="U422" s="291">
        <v>0</v>
      </c>
      <c r="V422" s="291">
        <f t="shared" si="6"/>
        <v>0</v>
      </c>
      <c r="W422" s="292">
        <v>0</v>
      </c>
      <c r="X422" s="290">
        <v>54260</v>
      </c>
      <c r="Y422" s="291">
        <v>0</v>
      </c>
      <c r="Z422" s="289" t="s">
        <v>944</v>
      </c>
      <c r="AA422" s="289"/>
      <c r="AB422" s="289"/>
      <c r="AC422" s="289"/>
      <c r="AD422" s="289" t="s">
        <v>1446</v>
      </c>
      <c r="AE422" s="289" t="s">
        <v>410</v>
      </c>
      <c r="AF422" s="290" t="s">
        <v>1660</v>
      </c>
      <c r="AG422" s="289"/>
      <c r="AH422" s="290" t="s">
        <v>1448</v>
      </c>
      <c r="AI422" s="289">
        <v>0</v>
      </c>
      <c r="AJ422" s="289">
        <v>0</v>
      </c>
    </row>
    <row r="423" spans="2:36">
      <c r="B423" s="290">
        <v>2111</v>
      </c>
      <c r="C423" s="294">
        <v>223148</v>
      </c>
      <c r="D423" s="290" t="s">
        <v>944</v>
      </c>
      <c r="E423" s="289" t="s">
        <v>1922</v>
      </c>
      <c r="F423" s="290">
        <v>167</v>
      </c>
      <c r="G423" s="289"/>
      <c r="H423" s="289"/>
      <c r="I423" s="289"/>
      <c r="J423" s="289">
        <v>0</v>
      </c>
      <c r="K423" s="289"/>
      <c r="L423" s="289"/>
      <c r="M423" s="289" t="s">
        <v>1670</v>
      </c>
      <c r="N423" s="293">
        <v>43770</v>
      </c>
      <c r="O423" s="293">
        <v>43770</v>
      </c>
      <c r="P423" s="289" t="s">
        <v>1921</v>
      </c>
      <c r="Q423" s="290">
        <v>0</v>
      </c>
      <c r="R423" s="290">
        <v>14050</v>
      </c>
      <c r="S423" s="291">
        <v>0</v>
      </c>
      <c r="T423" s="290">
        <v>14056</v>
      </c>
      <c r="U423" s="291">
        <v>0</v>
      </c>
      <c r="V423" s="291">
        <f t="shared" si="6"/>
        <v>0</v>
      </c>
      <c r="W423" s="292">
        <v>0</v>
      </c>
      <c r="X423" s="290">
        <v>54260</v>
      </c>
      <c r="Y423" s="291">
        <v>0</v>
      </c>
      <c r="Z423" s="289" t="s">
        <v>944</v>
      </c>
      <c r="AA423" s="289"/>
      <c r="AB423" s="289"/>
      <c r="AC423" s="289"/>
      <c r="AD423" s="289" t="s">
        <v>1446</v>
      </c>
      <c r="AE423" s="289" t="s">
        <v>410</v>
      </c>
      <c r="AF423" s="290" t="s">
        <v>1660</v>
      </c>
      <c r="AG423" s="289"/>
      <c r="AH423" s="290" t="s">
        <v>1448</v>
      </c>
      <c r="AI423" s="289">
        <v>0</v>
      </c>
      <c r="AJ423" s="289">
        <v>0</v>
      </c>
    </row>
    <row r="424" spans="2:36">
      <c r="B424" s="290">
        <v>2111</v>
      </c>
      <c r="C424" s="294">
        <v>223108</v>
      </c>
      <c r="D424" s="290" t="s">
        <v>944</v>
      </c>
      <c r="E424" s="289" t="s">
        <v>1923</v>
      </c>
      <c r="F424" s="290">
        <v>3</v>
      </c>
      <c r="G424" s="289"/>
      <c r="H424" s="289"/>
      <c r="I424" s="289"/>
      <c r="J424" s="289">
        <v>0</v>
      </c>
      <c r="K424" s="289"/>
      <c r="L424" s="289"/>
      <c r="M424" s="289" t="s">
        <v>1924</v>
      </c>
      <c r="N424" s="293">
        <v>43770</v>
      </c>
      <c r="O424" s="293">
        <v>43770</v>
      </c>
      <c r="P424" s="289" t="s">
        <v>1921</v>
      </c>
      <c r="Q424" s="290">
        <v>0</v>
      </c>
      <c r="R424" s="290">
        <v>14050</v>
      </c>
      <c r="S424" s="291">
        <v>0</v>
      </c>
      <c r="T424" s="290">
        <v>14056</v>
      </c>
      <c r="U424" s="291">
        <v>0</v>
      </c>
      <c r="V424" s="291">
        <f t="shared" si="6"/>
        <v>0</v>
      </c>
      <c r="W424" s="292">
        <v>0</v>
      </c>
      <c r="X424" s="290">
        <v>54260</v>
      </c>
      <c r="Y424" s="291">
        <v>0</v>
      </c>
      <c r="Z424" s="289" t="s">
        <v>944</v>
      </c>
      <c r="AA424" s="289"/>
      <c r="AB424" s="289"/>
      <c r="AC424" s="289"/>
      <c r="AD424" s="289" t="s">
        <v>1446</v>
      </c>
      <c r="AE424" s="289" t="s">
        <v>410</v>
      </c>
      <c r="AF424" s="290" t="s">
        <v>1660</v>
      </c>
      <c r="AG424" s="289"/>
      <c r="AH424" s="290" t="s">
        <v>1448</v>
      </c>
      <c r="AI424" s="289">
        <v>0</v>
      </c>
      <c r="AJ424" s="289">
        <v>0</v>
      </c>
    </row>
    <row r="425" spans="2:36">
      <c r="B425" s="290">
        <v>2111</v>
      </c>
      <c r="C425" s="294">
        <v>223089</v>
      </c>
      <c r="D425" s="290" t="s">
        <v>944</v>
      </c>
      <c r="E425" s="289" t="s">
        <v>1925</v>
      </c>
      <c r="F425" s="290">
        <v>2</v>
      </c>
      <c r="G425" s="289"/>
      <c r="H425" s="289"/>
      <c r="I425" s="289"/>
      <c r="J425" s="289">
        <v>0</v>
      </c>
      <c r="K425" s="289"/>
      <c r="L425" s="289"/>
      <c r="M425" s="289" t="s">
        <v>1926</v>
      </c>
      <c r="N425" s="293">
        <v>43770</v>
      </c>
      <c r="O425" s="293">
        <v>43770</v>
      </c>
      <c r="P425" s="289" t="s">
        <v>1921</v>
      </c>
      <c r="Q425" s="290">
        <v>0</v>
      </c>
      <c r="R425" s="290">
        <v>14050</v>
      </c>
      <c r="S425" s="291">
        <v>0</v>
      </c>
      <c r="T425" s="290">
        <v>14056</v>
      </c>
      <c r="U425" s="291">
        <v>0</v>
      </c>
      <c r="V425" s="291">
        <f t="shared" si="6"/>
        <v>0</v>
      </c>
      <c r="W425" s="292">
        <v>0</v>
      </c>
      <c r="X425" s="290">
        <v>54260</v>
      </c>
      <c r="Y425" s="291">
        <v>0</v>
      </c>
      <c r="Z425" s="289" t="s">
        <v>944</v>
      </c>
      <c r="AA425" s="289"/>
      <c r="AB425" s="289"/>
      <c r="AC425" s="289"/>
      <c r="AD425" s="289" t="s">
        <v>1446</v>
      </c>
      <c r="AE425" s="289" t="s">
        <v>410</v>
      </c>
      <c r="AF425" s="290" t="s">
        <v>1660</v>
      </c>
      <c r="AG425" s="289"/>
      <c r="AH425" s="290" t="s">
        <v>1448</v>
      </c>
      <c r="AI425" s="289">
        <v>0</v>
      </c>
      <c r="AJ425" s="289">
        <v>0</v>
      </c>
    </row>
    <row r="426" spans="2:36">
      <c r="B426" s="290">
        <v>2111</v>
      </c>
      <c r="C426" s="294">
        <v>222278</v>
      </c>
      <c r="D426" s="290" t="s">
        <v>944</v>
      </c>
      <c r="E426" s="289" t="s">
        <v>1927</v>
      </c>
      <c r="F426" s="290"/>
      <c r="G426" s="289"/>
      <c r="H426" s="289"/>
      <c r="I426" s="289"/>
      <c r="J426" s="289">
        <v>0</v>
      </c>
      <c r="K426" s="289" t="s">
        <v>1657</v>
      </c>
      <c r="L426" s="289"/>
      <c r="M426" s="289"/>
      <c r="N426" s="293">
        <v>43742</v>
      </c>
      <c r="O426" s="293">
        <v>43742</v>
      </c>
      <c r="P426" s="289" t="s">
        <v>1928</v>
      </c>
      <c r="Q426" s="290">
        <v>300</v>
      </c>
      <c r="R426" s="290">
        <v>14110</v>
      </c>
      <c r="S426" s="291">
        <v>1413.67</v>
      </c>
      <c r="T426" s="290">
        <v>14116</v>
      </c>
      <c r="U426" s="291">
        <v>1335.13</v>
      </c>
      <c r="V426" s="291">
        <f t="shared" si="6"/>
        <v>78.539999999999964</v>
      </c>
      <c r="W426" s="292">
        <v>274.88</v>
      </c>
      <c r="X426" s="290">
        <v>70260</v>
      </c>
      <c r="Y426" s="291">
        <v>39.270000000000003</v>
      </c>
      <c r="Z426" s="289" t="s">
        <v>944</v>
      </c>
      <c r="AA426" s="289"/>
      <c r="AB426" s="289" t="s">
        <v>1929</v>
      </c>
      <c r="AC426" s="289"/>
      <c r="AD426" s="289" t="s">
        <v>1446</v>
      </c>
      <c r="AE426" s="289" t="s">
        <v>410</v>
      </c>
      <c r="AF426" s="290" t="s">
        <v>1447</v>
      </c>
      <c r="AG426" s="289"/>
      <c r="AH426" s="290" t="s">
        <v>1448</v>
      </c>
      <c r="AI426" s="289">
        <v>0</v>
      </c>
      <c r="AJ426" s="289">
        <v>0</v>
      </c>
    </row>
    <row r="427" spans="2:36">
      <c r="B427" s="290">
        <v>2111</v>
      </c>
      <c r="C427" s="294">
        <v>222013</v>
      </c>
      <c r="D427" s="290">
        <v>219747</v>
      </c>
      <c r="E427" s="289" t="s">
        <v>1930</v>
      </c>
      <c r="F427" s="290"/>
      <c r="G427" s="289"/>
      <c r="H427" s="289"/>
      <c r="I427" s="289"/>
      <c r="J427" s="289">
        <v>0</v>
      </c>
      <c r="K427" s="289" t="s">
        <v>1832</v>
      </c>
      <c r="L427" s="289"/>
      <c r="M427" s="289" t="s">
        <v>1467</v>
      </c>
      <c r="N427" s="293">
        <v>43696</v>
      </c>
      <c r="O427" s="293">
        <v>43696</v>
      </c>
      <c r="P427" s="289" t="s">
        <v>1899</v>
      </c>
      <c r="Q427" s="290">
        <v>1000</v>
      </c>
      <c r="R427" s="290">
        <v>14040</v>
      </c>
      <c r="S427" s="291">
        <v>467.75</v>
      </c>
      <c r="T427" s="290">
        <v>14046</v>
      </c>
      <c r="U427" s="291">
        <v>136.44</v>
      </c>
      <c r="V427" s="291">
        <f t="shared" si="6"/>
        <v>331.31</v>
      </c>
      <c r="W427" s="292">
        <v>27.29</v>
      </c>
      <c r="X427" s="290">
        <v>51260</v>
      </c>
      <c r="Y427" s="291">
        <v>3.9</v>
      </c>
      <c r="Z427" s="289" t="s">
        <v>944</v>
      </c>
      <c r="AA427" s="289"/>
      <c r="AB427" s="289">
        <v>651</v>
      </c>
      <c r="AC427" s="289"/>
      <c r="AD427" s="289" t="s">
        <v>1446</v>
      </c>
      <c r="AE427" s="289" t="s">
        <v>410</v>
      </c>
      <c r="AF427" s="290" t="s">
        <v>1447</v>
      </c>
      <c r="AG427" s="289"/>
      <c r="AH427" s="290" t="s">
        <v>1448</v>
      </c>
      <c r="AI427" s="289">
        <v>0</v>
      </c>
      <c r="AJ427" s="289">
        <v>0</v>
      </c>
    </row>
    <row r="428" spans="2:36">
      <c r="B428" s="290">
        <v>2111</v>
      </c>
      <c r="C428" s="294">
        <v>221745</v>
      </c>
      <c r="D428" s="290" t="s">
        <v>944</v>
      </c>
      <c r="E428" s="289" t="s">
        <v>1068</v>
      </c>
      <c r="F428" s="290"/>
      <c r="G428" s="289"/>
      <c r="H428" s="289" t="s">
        <v>1931</v>
      </c>
      <c r="I428" s="289"/>
      <c r="J428" s="289">
        <v>2020</v>
      </c>
      <c r="K428" s="289" t="s">
        <v>1483</v>
      </c>
      <c r="L428" s="289" t="s">
        <v>1764</v>
      </c>
      <c r="M428" s="289" t="s">
        <v>1495</v>
      </c>
      <c r="N428" s="293">
        <v>43755</v>
      </c>
      <c r="O428" s="293">
        <v>43755</v>
      </c>
      <c r="P428" s="289" t="s">
        <v>1932</v>
      </c>
      <c r="Q428" s="290">
        <v>1000</v>
      </c>
      <c r="R428" s="290">
        <v>14040</v>
      </c>
      <c r="S428" s="291">
        <v>360568.03</v>
      </c>
      <c r="T428" s="290">
        <v>14046</v>
      </c>
      <c r="U428" s="291">
        <v>99156.2</v>
      </c>
      <c r="V428" s="291">
        <f t="shared" si="6"/>
        <v>261411.83000000002</v>
      </c>
      <c r="W428" s="292">
        <v>21033.13</v>
      </c>
      <c r="X428" s="290">
        <v>51260</v>
      </c>
      <c r="Y428" s="291">
        <v>3004.73</v>
      </c>
      <c r="Z428" s="289" t="s">
        <v>944</v>
      </c>
      <c r="AA428" s="289"/>
      <c r="AB428" s="289"/>
      <c r="AC428" s="289">
        <v>857</v>
      </c>
      <c r="AD428" s="289" t="s">
        <v>1446</v>
      </c>
      <c r="AE428" s="289" t="s">
        <v>410</v>
      </c>
      <c r="AF428" s="290" t="s">
        <v>1447</v>
      </c>
      <c r="AG428" s="289"/>
      <c r="AH428" s="290" t="s">
        <v>1448</v>
      </c>
      <c r="AI428" s="289">
        <v>0</v>
      </c>
      <c r="AJ428" s="289">
        <v>0</v>
      </c>
    </row>
    <row r="429" spans="2:36">
      <c r="B429" s="290">
        <v>2111</v>
      </c>
      <c r="C429" s="294">
        <v>220853</v>
      </c>
      <c r="D429" s="290">
        <v>219747</v>
      </c>
      <c r="E429" s="289" t="s">
        <v>1248</v>
      </c>
      <c r="F429" s="290"/>
      <c r="G429" s="289"/>
      <c r="H429" s="289"/>
      <c r="I429" s="289"/>
      <c r="J429" s="289">
        <v>0</v>
      </c>
      <c r="K429" s="289" t="s">
        <v>1933</v>
      </c>
      <c r="L429" s="289"/>
      <c r="M429" s="289" t="s">
        <v>1467</v>
      </c>
      <c r="N429" s="293">
        <v>43696</v>
      </c>
      <c r="O429" s="293">
        <v>43696</v>
      </c>
      <c r="P429" s="289" t="s">
        <v>1899</v>
      </c>
      <c r="Q429" s="290">
        <v>500</v>
      </c>
      <c r="R429" s="290">
        <v>14040</v>
      </c>
      <c r="S429" s="291">
        <v>505.54</v>
      </c>
      <c r="T429" s="290">
        <v>14046</v>
      </c>
      <c r="U429" s="291">
        <v>294.89999999999998</v>
      </c>
      <c r="V429" s="291">
        <f t="shared" si="6"/>
        <v>210.64000000000004</v>
      </c>
      <c r="W429" s="292">
        <v>58.98</v>
      </c>
      <c r="X429" s="290">
        <v>51260</v>
      </c>
      <c r="Y429" s="291">
        <v>8.42</v>
      </c>
      <c r="Z429" s="289" t="s">
        <v>944</v>
      </c>
      <c r="AA429" s="289"/>
      <c r="AB429" s="289">
        <v>5216048</v>
      </c>
      <c r="AC429" s="289"/>
      <c r="AD429" s="289" t="s">
        <v>1446</v>
      </c>
      <c r="AE429" s="289" t="s">
        <v>410</v>
      </c>
      <c r="AF429" s="290" t="s">
        <v>1447</v>
      </c>
      <c r="AG429" s="289"/>
      <c r="AH429" s="290" t="s">
        <v>1448</v>
      </c>
      <c r="AI429" s="289">
        <v>0</v>
      </c>
      <c r="AJ429" s="289">
        <v>0</v>
      </c>
    </row>
    <row r="430" spans="2:36">
      <c r="B430" s="290">
        <v>2111</v>
      </c>
      <c r="C430" s="294">
        <v>220852</v>
      </c>
      <c r="D430" s="290"/>
      <c r="E430" s="289" t="s">
        <v>1248</v>
      </c>
      <c r="F430" s="290"/>
      <c r="G430" s="289"/>
      <c r="H430" s="289"/>
      <c r="I430" s="289"/>
      <c r="J430" s="289">
        <v>0</v>
      </c>
      <c r="K430" s="289" t="s">
        <v>1933</v>
      </c>
      <c r="L430" s="289"/>
      <c r="M430" s="289" t="s">
        <v>1467</v>
      </c>
      <c r="N430" s="293">
        <v>43696</v>
      </c>
      <c r="O430" s="293">
        <v>43696</v>
      </c>
      <c r="P430" s="289" t="s">
        <v>1934</v>
      </c>
      <c r="Q430" s="290">
        <v>500</v>
      </c>
      <c r="R430" s="290">
        <v>14040</v>
      </c>
      <c r="S430" s="291">
        <v>505.54</v>
      </c>
      <c r="T430" s="290">
        <v>14046</v>
      </c>
      <c r="U430" s="291">
        <v>294.89999999999998</v>
      </c>
      <c r="V430" s="291">
        <f t="shared" si="6"/>
        <v>210.64000000000004</v>
      </c>
      <c r="W430" s="292">
        <v>58.98</v>
      </c>
      <c r="X430" s="290">
        <v>51260</v>
      </c>
      <c r="Y430" s="291">
        <v>8.42</v>
      </c>
      <c r="Z430" s="289" t="s">
        <v>944</v>
      </c>
      <c r="AA430" s="289"/>
      <c r="AB430" s="289">
        <v>5216048</v>
      </c>
      <c r="AC430" s="289"/>
      <c r="AD430" s="289" t="s">
        <v>1446</v>
      </c>
      <c r="AE430" s="289" t="s">
        <v>410</v>
      </c>
      <c r="AF430" s="290" t="s">
        <v>1447</v>
      </c>
      <c r="AG430" s="289"/>
      <c r="AH430" s="290" t="s">
        <v>1448</v>
      </c>
      <c r="AI430" s="289">
        <v>0</v>
      </c>
      <c r="AJ430" s="289">
        <v>0</v>
      </c>
    </row>
    <row r="431" spans="2:36">
      <c r="B431" s="290">
        <v>2111</v>
      </c>
      <c r="C431" s="294">
        <v>220851</v>
      </c>
      <c r="D431" s="290"/>
      <c r="E431" s="289" t="s">
        <v>1248</v>
      </c>
      <c r="F431" s="290"/>
      <c r="G431" s="289"/>
      <c r="H431" s="289"/>
      <c r="I431" s="289"/>
      <c r="J431" s="289">
        <v>0</v>
      </c>
      <c r="K431" s="289" t="s">
        <v>1933</v>
      </c>
      <c r="L431" s="289"/>
      <c r="M431" s="289" t="s">
        <v>1467</v>
      </c>
      <c r="N431" s="293">
        <v>43696</v>
      </c>
      <c r="O431" s="293">
        <v>43696</v>
      </c>
      <c r="P431" s="289" t="s">
        <v>1935</v>
      </c>
      <c r="Q431" s="290">
        <v>500</v>
      </c>
      <c r="R431" s="290">
        <v>14040</v>
      </c>
      <c r="S431" s="291">
        <v>505.54</v>
      </c>
      <c r="T431" s="290">
        <v>14046</v>
      </c>
      <c r="U431" s="291">
        <v>294.89999999999998</v>
      </c>
      <c r="V431" s="291">
        <f t="shared" si="6"/>
        <v>210.64000000000004</v>
      </c>
      <c r="W431" s="292">
        <v>58.98</v>
      </c>
      <c r="X431" s="290">
        <v>51260</v>
      </c>
      <c r="Y431" s="291">
        <v>8.42</v>
      </c>
      <c r="Z431" s="289" t="s">
        <v>944</v>
      </c>
      <c r="AA431" s="289"/>
      <c r="AB431" s="289">
        <v>5216048</v>
      </c>
      <c r="AC431" s="289"/>
      <c r="AD431" s="289" t="s">
        <v>1446</v>
      </c>
      <c r="AE431" s="289" t="s">
        <v>410</v>
      </c>
      <c r="AF431" s="290" t="s">
        <v>1447</v>
      </c>
      <c r="AG431" s="289"/>
      <c r="AH431" s="290" t="s">
        <v>1448</v>
      </c>
      <c r="AI431" s="289">
        <v>0</v>
      </c>
      <c r="AJ431" s="289">
        <v>0</v>
      </c>
    </row>
    <row r="432" spans="2:36">
      <c r="B432" s="290">
        <v>2111</v>
      </c>
      <c r="C432" s="294">
        <v>220557</v>
      </c>
      <c r="D432" s="290" t="s">
        <v>944</v>
      </c>
      <c r="E432" s="289" t="s">
        <v>1936</v>
      </c>
      <c r="F432" s="290">
        <v>624</v>
      </c>
      <c r="G432" s="289"/>
      <c r="H432" s="289"/>
      <c r="I432" s="289"/>
      <c r="J432" s="289">
        <v>0</v>
      </c>
      <c r="K432" s="289" t="s">
        <v>1755</v>
      </c>
      <c r="L432" s="289"/>
      <c r="M432" s="289"/>
      <c r="N432" s="293">
        <v>43657</v>
      </c>
      <c r="O432" s="293">
        <v>43657</v>
      </c>
      <c r="P432" s="289" t="s">
        <v>1937</v>
      </c>
      <c r="Q432" s="290">
        <v>700</v>
      </c>
      <c r="R432" s="290">
        <v>14050</v>
      </c>
      <c r="S432" s="291">
        <v>31961</v>
      </c>
      <c r="T432" s="290">
        <v>14056</v>
      </c>
      <c r="U432" s="291">
        <v>14078.07</v>
      </c>
      <c r="V432" s="291">
        <f t="shared" si="6"/>
        <v>17882.93</v>
      </c>
      <c r="W432" s="292">
        <v>2663.42</v>
      </c>
      <c r="X432" s="290">
        <v>54260</v>
      </c>
      <c r="Y432" s="291">
        <v>380.49</v>
      </c>
      <c r="Z432" s="289" t="s">
        <v>944</v>
      </c>
      <c r="AA432" s="289"/>
      <c r="AB432" s="289">
        <v>65618699</v>
      </c>
      <c r="AC432" s="289"/>
      <c r="AD432" s="289" t="s">
        <v>1446</v>
      </c>
      <c r="AE432" s="289" t="s">
        <v>410</v>
      </c>
      <c r="AF432" s="290" t="s">
        <v>1447</v>
      </c>
      <c r="AG432" s="289"/>
      <c r="AH432" s="290" t="s">
        <v>1448</v>
      </c>
      <c r="AI432" s="289">
        <v>0</v>
      </c>
      <c r="AJ432" s="289">
        <v>0</v>
      </c>
    </row>
    <row r="433" spans="2:36">
      <c r="B433" s="290">
        <v>2111</v>
      </c>
      <c r="C433" s="294">
        <v>220556</v>
      </c>
      <c r="D433" s="290" t="s">
        <v>944</v>
      </c>
      <c r="E433" s="289" t="s">
        <v>903</v>
      </c>
      <c r="F433" s="290">
        <v>624</v>
      </c>
      <c r="G433" s="289"/>
      <c r="H433" s="289"/>
      <c r="I433" s="289"/>
      <c r="J433" s="289">
        <v>0</v>
      </c>
      <c r="K433" s="289" t="s">
        <v>1755</v>
      </c>
      <c r="L433" s="289"/>
      <c r="M433" s="289"/>
      <c r="N433" s="293">
        <v>43657</v>
      </c>
      <c r="O433" s="293">
        <v>43657</v>
      </c>
      <c r="P433" s="289" t="s">
        <v>1937</v>
      </c>
      <c r="Q433" s="290">
        <v>700</v>
      </c>
      <c r="R433" s="290">
        <v>14050</v>
      </c>
      <c r="S433" s="291">
        <v>31961</v>
      </c>
      <c r="T433" s="290">
        <v>14056</v>
      </c>
      <c r="U433" s="291">
        <v>14078.07</v>
      </c>
      <c r="V433" s="291">
        <f t="shared" si="6"/>
        <v>17882.93</v>
      </c>
      <c r="W433" s="292">
        <v>2663.42</v>
      </c>
      <c r="X433" s="290">
        <v>54260</v>
      </c>
      <c r="Y433" s="291">
        <v>380.49</v>
      </c>
      <c r="Z433" s="289" t="s">
        <v>944</v>
      </c>
      <c r="AA433" s="289"/>
      <c r="AB433" s="289">
        <v>65619029</v>
      </c>
      <c r="AC433" s="289"/>
      <c r="AD433" s="289" t="s">
        <v>1446</v>
      </c>
      <c r="AE433" s="289" t="s">
        <v>410</v>
      </c>
      <c r="AF433" s="290" t="s">
        <v>1447</v>
      </c>
      <c r="AG433" s="289"/>
      <c r="AH433" s="290" t="s">
        <v>1448</v>
      </c>
      <c r="AI433" s="289">
        <v>0</v>
      </c>
      <c r="AJ433" s="289">
        <v>0</v>
      </c>
    </row>
    <row r="434" spans="2:36">
      <c r="B434" s="290">
        <v>2111</v>
      </c>
      <c r="C434" s="294">
        <v>220555</v>
      </c>
      <c r="D434" s="290" t="s">
        <v>944</v>
      </c>
      <c r="E434" s="289" t="s">
        <v>1936</v>
      </c>
      <c r="F434" s="290">
        <v>624</v>
      </c>
      <c r="G434" s="289"/>
      <c r="H434" s="289"/>
      <c r="I434" s="289"/>
      <c r="J434" s="289">
        <v>0</v>
      </c>
      <c r="K434" s="289" t="s">
        <v>1755</v>
      </c>
      <c r="L434" s="289"/>
      <c r="M434" s="289"/>
      <c r="N434" s="293">
        <v>43657</v>
      </c>
      <c r="O434" s="293">
        <v>43657</v>
      </c>
      <c r="P434" s="289" t="s">
        <v>1937</v>
      </c>
      <c r="Q434" s="290">
        <v>700</v>
      </c>
      <c r="R434" s="290">
        <v>14050</v>
      </c>
      <c r="S434" s="291">
        <v>31961</v>
      </c>
      <c r="T434" s="290">
        <v>14056</v>
      </c>
      <c r="U434" s="291">
        <v>14078.07</v>
      </c>
      <c r="V434" s="291">
        <f t="shared" si="6"/>
        <v>17882.93</v>
      </c>
      <c r="W434" s="292">
        <v>2663.42</v>
      </c>
      <c r="X434" s="290">
        <v>54260</v>
      </c>
      <c r="Y434" s="291">
        <v>380.49</v>
      </c>
      <c r="Z434" s="289" t="s">
        <v>944</v>
      </c>
      <c r="AA434" s="289"/>
      <c r="AB434" s="289">
        <v>65619043</v>
      </c>
      <c r="AC434" s="289"/>
      <c r="AD434" s="289" t="s">
        <v>1446</v>
      </c>
      <c r="AE434" s="289" t="s">
        <v>410</v>
      </c>
      <c r="AF434" s="290" t="s">
        <v>1447</v>
      </c>
      <c r="AG434" s="289"/>
      <c r="AH434" s="290" t="s">
        <v>1448</v>
      </c>
      <c r="AI434" s="289">
        <v>0</v>
      </c>
      <c r="AJ434" s="289">
        <v>0</v>
      </c>
    </row>
    <row r="435" spans="2:36">
      <c r="B435" s="290">
        <v>2111</v>
      </c>
      <c r="C435" s="294">
        <v>220554</v>
      </c>
      <c r="D435" s="290" t="s">
        <v>944</v>
      </c>
      <c r="E435" s="289" t="s">
        <v>1938</v>
      </c>
      <c r="F435" s="290">
        <v>864</v>
      </c>
      <c r="G435" s="289"/>
      <c r="H435" s="289"/>
      <c r="I435" s="289"/>
      <c r="J435" s="289">
        <v>0</v>
      </c>
      <c r="K435" s="289" t="s">
        <v>1755</v>
      </c>
      <c r="L435" s="289"/>
      <c r="M435" s="289"/>
      <c r="N435" s="293">
        <v>43657</v>
      </c>
      <c r="O435" s="293">
        <v>43657</v>
      </c>
      <c r="P435" s="289" t="s">
        <v>1937</v>
      </c>
      <c r="Q435" s="290">
        <v>700</v>
      </c>
      <c r="R435" s="290">
        <v>14050</v>
      </c>
      <c r="S435" s="291">
        <v>39372.660000000003</v>
      </c>
      <c r="T435" s="290">
        <v>14056</v>
      </c>
      <c r="U435" s="291">
        <v>17342.73</v>
      </c>
      <c r="V435" s="291">
        <f t="shared" si="6"/>
        <v>22029.930000000004</v>
      </c>
      <c r="W435" s="292">
        <v>3281.06</v>
      </c>
      <c r="X435" s="290">
        <v>54260</v>
      </c>
      <c r="Y435" s="291">
        <v>468.72</v>
      </c>
      <c r="Z435" s="289" t="s">
        <v>944</v>
      </c>
      <c r="AA435" s="289"/>
      <c r="AB435" s="289">
        <v>65620170</v>
      </c>
      <c r="AC435" s="289"/>
      <c r="AD435" s="289" t="s">
        <v>1446</v>
      </c>
      <c r="AE435" s="289" t="s">
        <v>410</v>
      </c>
      <c r="AF435" s="290" t="s">
        <v>1447</v>
      </c>
      <c r="AG435" s="289"/>
      <c r="AH435" s="290" t="s">
        <v>1448</v>
      </c>
      <c r="AI435" s="289">
        <v>0</v>
      </c>
      <c r="AJ435" s="289">
        <v>0</v>
      </c>
    </row>
    <row r="436" spans="2:36">
      <c r="B436" s="290">
        <v>2111</v>
      </c>
      <c r="C436" s="294">
        <v>219747</v>
      </c>
      <c r="D436" s="290" t="s">
        <v>944</v>
      </c>
      <c r="E436" s="289" t="s">
        <v>1939</v>
      </c>
      <c r="F436" s="290"/>
      <c r="G436" s="289"/>
      <c r="H436" s="289" t="s">
        <v>1940</v>
      </c>
      <c r="I436" s="289"/>
      <c r="J436" s="289">
        <v>2019</v>
      </c>
      <c r="K436" s="289" t="s">
        <v>1483</v>
      </c>
      <c r="L436" s="289" t="s">
        <v>1764</v>
      </c>
      <c r="M436" s="289" t="s">
        <v>1523</v>
      </c>
      <c r="N436" s="293">
        <v>43738</v>
      </c>
      <c r="O436" s="293">
        <v>43738</v>
      </c>
      <c r="P436" s="289" t="s">
        <v>1941</v>
      </c>
      <c r="Q436" s="290">
        <v>1000</v>
      </c>
      <c r="R436" s="290">
        <v>14040</v>
      </c>
      <c r="S436" s="291">
        <v>338200.33</v>
      </c>
      <c r="T436" s="290">
        <v>14046</v>
      </c>
      <c r="U436" s="291">
        <v>95823.42</v>
      </c>
      <c r="V436" s="291">
        <f t="shared" si="6"/>
        <v>242376.91000000003</v>
      </c>
      <c r="W436" s="292">
        <v>19728.349999999999</v>
      </c>
      <c r="X436" s="290">
        <v>51260</v>
      </c>
      <c r="Y436" s="291">
        <v>2818.33</v>
      </c>
      <c r="Z436" s="289" t="s">
        <v>944</v>
      </c>
      <c r="AA436" s="289"/>
      <c r="AB436" s="289"/>
      <c r="AC436" s="289">
        <v>914</v>
      </c>
      <c r="AD436" s="289" t="s">
        <v>1446</v>
      </c>
      <c r="AE436" s="289" t="s">
        <v>410</v>
      </c>
      <c r="AF436" s="290" t="s">
        <v>1447</v>
      </c>
      <c r="AG436" s="289"/>
      <c r="AH436" s="290" t="s">
        <v>1448</v>
      </c>
      <c r="AI436" s="289">
        <v>0</v>
      </c>
      <c r="AJ436" s="289">
        <v>0</v>
      </c>
    </row>
    <row r="437" spans="2:36">
      <c r="B437" s="290">
        <v>2111</v>
      </c>
      <c r="C437" s="294">
        <v>219032</v>
      </c>
      <c r="D437" s="290" t="s">
        <v>944</v>
      </c>
      <c r="E437" s="289" t="s">
        <v>1936</v>
      </c>
      <c r="F437" s="290">
        <v>1248</v>
      </c>
      <c r="G437" s="289"/>
      <c r="H437" s="289"/>
      <c r="I437" s="289"/>
      <c r="J437" s="289">
        <v>0</v>
      </c>
      <c r="K437" s="289" t="s">
        <v>1755</v>
      </c>
      <c r="L437" s="289"/>
      <c r="M437" s="289"/>
      <c r="N437" s="293">
        <v>43657</v>
      </c>
      <c r="O437" s="293">
        <v>43657</v>
      </c>
      <c r="P437" s="289" t="s">
        <v>1937</v>
      </c>
      <c r="Q437" s="290">
        <v>700</v>
      </c>
      <c r="R437" s="290">
        <v>14050</v>
      </c>
      <c r="S437" s="291">
        <v>53635.38</v>
      </c>
      <c r="T437" s="290">
        <v>14056</v>
      </c>
      <c r="U437" s="291">
        <v>23625.119999999999</v>
      </c>
      <c r="V437" s="291">
        <f t="shared" si="6"/>
        <v>30010.26</v>
      </c>
      <c r="W437" s="292">
        <v>4469.62</v>
      </c>
      <c r="X437" s="290">
        <v>54260</v>
      </c>
      <c r="Y437" s="291">
        <v>638.52</v>
      </c>
      <c r="Z437" s="289" t="s">
        <v>944</v>
      </c>
      <c r="AA437" s="289"/>
      <c r="AB437" s="289">
        <v>65609346</v>
      </c>
      <c r="AC437" s="289"/>
      <c r="AD437" s="289" t="s">
        <v>1446</v>
      </c>
      <c r="AE437" s="289" t="s">
        <v>410</v>
      </c>
      <c r="AF437" s="290" t="s">
        <v>1447</v>
      </c>
      <c r="AG437" s="289"/>
      <c r="AH437" s="290" t="s">
        <v>1448</v>
      </c>
      <c r="AI437" s="289">
        <v>0</v>
      </c>
      <c r="AJ437" s="289">
        <v>0</v>
      </c>
    </row>
    <row r="438" spans="2:36">
      <c r="B438" s="290">
        <v>2111</v>
      </c>
      <c r="C438" s="294">
        <v>217872</v>
      </c>
      <c r="D438" s="290" t="s">
        <v>944</v>
      </c>
      <c r="E438" s="289" t="s">
        <v>902</v>
      </c>
      <c r="F438" s="290">
        <v>250</v>
      </c>
      <c r="G438" s="289"/>
      <c r="H438" s="289"/>
      <c r="I438" s="289"/>
      <c r="J438" s="289">
        <v>0</v>
      </c>
      <c r="K438" s="289" t="s">
        <v>1755</v>
      </c>
      <c r="L438" s="289"/>
      <c r="M438" s="289"/>
      <c r="N438" s="293">
        <v>43642</v>
      </c>
      <c r="O438" s="293">
        <v>43642</v>
      </c>
      <c r="P438" s="289" t="s">
        <v>1942</v>
      </c>
      <c r="Q438" s="290">
        <v>700</v>
      </c>
      <c r="R438" s="290">
        <v>14050</v>
      </c>
      <c r="S438" s="291">
        <v>11598.41</v>
      </c>
      <c r="T438" s="290">
        <v>14056</v>
      </c>
      <c r="U438" s="291">
        <v>5108.84</v>
      </c>
      <c r="V438" s="291">
        <f t="shared" si="6"/>
        <v>6489.57</v>
      </c>
      <c r="W438" s="292">
        <v>966.54</v>
      </c>
      <c r="X438" s="290">
        <v>54260</v>
      </c>
      <c r="Y438" s="291">
        <v>138.08000000000001</v>
      </c>
      <c r="Z438" s="289" t="s">
        <v>944</v>
      </c>
      <c r="AA438" s="289"/>
      <c r="AB438" s="289">
        <v>65607458</v>
      </c>
      <c r="AC438" s="289"/>
      <c r="AD438" s="289" t="s">
        <v>1446</v>
      </c>
      <c r="AE438" s="289" t="s">
        <v>410</v>
      </c>
      <c r="AF438" s="290" t="s">
        <v>1447</v>
      </c>
      <c r="AG438" s="289"/>
      <c r="AH438" s="290" t="s">
        <v>1448</v>
      </c>
      <c r="AI438" s="289">
        <v>0</v>
      </c>
      <c r="AJ438" s="289">
        <v>0</v>
      </c>
    </row>
    <row r="439" spans="2:36">
      <c r="B439" s="290">
        <v>2111</v>
      </c>
      <c r="C439" s="294">
        <v>217871</v>
      </c>
      <c r="D439" s="290" t="s">
        <v>944</v>
      </c>
      <c r="E439" s="289" t="s">
        <v>900</v>
      </c>
      <c r="F439" s="290">
        <v>624</v>
      </c>
      <c r="G439" s="289"/>
      <c r="H439" s="289"/>
      <c r="I439" s="289"/>
      <c r="J439" s="289">
        <v>0</v>
      </c>
      <c r="K439" s="289" t="s">
        <v>1755</v>
      </c>
      <c r="L439" s="289"/>
      <c r="M439" s="289"/>
      <c r="N439" s="293">
        <v>43642</v>
      </c>
      <c r="O439" s="293">
        <v>43642</v>
      </c>
      <c r="P439" s="289" t="s">
        <v>1942</v>
      </c>
      <c r="Q439" s="290">
        <v>700</v>
      </c>
      <c r="R439" s="290">
        <v>14050</v>
      </c>
      <c r="S439" s="291">
        <v>31929.82</v>
      </c>
      <c r="T439" s="290">
        <v>14056</v>
      </c>
      <c r="U439" s="291">
        <v>14064.32</v>
      </c>
      <c r="V439" s="291">
        <f t="shared" si="6"/>
        <v>17865.5</v>
      </c>
      <c r="W439" s="292">
        <v>2660.82</v>
      </c>
      <c r="X439" s="290">
        <v>54260</v>
      </c>
      <c r="Y439" s="291">
        <v>380.12</v>
      </c>
      <c r="Z439" s="289" t="s">
        <v>944</v>
      </c>
      <c r="AA439" s="289"/>
      <c r="AB439" s="289">
        <v>65606353</v>
      </c>
      <c r="AC439" s="289"/>
      <c r="AD439" s="289" t="s">
        <v>1446</v>
      </c>
      <c r="AE439" s="289" t="s">
        <v>410</v>
      </c>
      <c r="AF439" s="290" t="s">
        <v>1447</v>
      </c>
      <c r="AG439" s="289"/>
      <c r="AH439" s="290" t="s">
        <v>1448</v>
      </c>
      <c r="AI439" s="289">
        <v>0</v>
      </c>
      <c r="AJ439" s="289">
        <v>0</v>
      </c>
    </row>
    <row r="440" spans="2:36">
      <c r="B440" s="290">
        <v>2111</v>
      </c>
      <c r="C440" s="294">
        <v>217870</v>
      </c>
      <c r="D440" s="290" t="s">
        <v>944</v>
      </c>
      <c r="E440" s="289" t="s">
        <v>900</v>
      </c>
      <c r="F440" s="290">
        <v>624</v>
      </c>
      <c r="G440" s="289"/>
      <c r="H440" s="289"/>
      <c r="I440" s="289"/>
      <c r="J440" s="289">
        <v>0</v>
      </c>
      <c r="K440" s="289" t="s">
        <v>1755</v>
      </c>
      <c r="L440" s="289"/>
      <c r="M440" s="289"/>
      <c r="N440" s="293">
        <v>43642</v>
      </c>
      <c r="O440" s="293">
        <v>43642</v>
      </c>
      <c r="P440" s="289" t="s">
        <v>1942</v>
      </c>
      <c r="Q440" s="290">
        <v>700</v>
      </c>
      <c r="R440" s="290">
        <v>14050</v>
      </c>
      <c r="S440" s="291">
        <v>31929.82</v>
      </c>
      <c r="T440" s="290">
        <v>14056</v>
      </c>
      <c r="U440" s="291">
        <v>14064.32</v>
      </c>
      <c r="V440" s="291">
        <f t="shared" si="6"/>
        <v>17865.5</v>
      </c>
      <c r="W440" s="292">
        <v>2660.82</v>
      </c>
      <c r="X440" s="290">
        <v>54260</v>
      </c>
      <c r="Y440" s="291">
        <v>380.12</v>
      </c>
      <c r="Z440" s="289" t="s">
        <v>944</v>
      </c>
      <c r="AA440" s="289"/>
      <c r="AB440" s="289">
        <v>65606354</v>
      </c>
      <c r="AC440" s="289"/>
      <c r="AD440" s="289" t="s">
        <v>1446</v>
      </c>
      <c r="AE440" s="289" t="s">
        <v>410</v>
      </c>
      <c r="AF440" s="290" t="s">
        <v>1447</v>
      </c>
      <c r="AG440" s="289"/>
      <c r="AH440" s="290" t="s">
        <v>1448</v>
      </c>
      <c r="AI440" s="289">
        <v>0</v>
      </c>
      <c r="AJ440" s="289">
        <v>0</v>
      </c>
    </row>
    <row r="441" spans="2:36">
      <c r="B441" s="290">
        <v>2111</v>
      </c>
      <c r="C441" s="294">
        <v>217869</v>
      </c>
      <c r="D441" s="290" t="s">
        <v>944</v>
      </c>
      <c r="E441" s="289" t="s">
        <v>903</v>
      </c>
      <c r="F441" s="290">
        <v>250</v>
      </c>
      <c r="G441" s="289"/>
      <c r="H441" s="289"/>
      <c r="I441" s="289"/>
      <c r="J441" s="289">
        <v>0</v>
      </c>
      <c r="K441" s="289" t="s">
        <v>1755</v>
      </c>
      <c r="L441" s="289"/>
      <c r="M441" s="289"/>
      <c r="N441" s="293">
        <v>43642</v>
      </c>
      <c r="O441" s="293">
        <v>43642</v>
      </c>
      <c r="P441" s="289" t="s">
        <v>1942</v>
      </c>
      <c r="Q441" s="290">
        <v>700</v>
      </c>
      <c r="R441" s="290">
        <v>14050</v>
      </c>
      <c r="S441" s="291">
        <v>12697.41</v>
      </c>
      <c r="T441" s="290">
        <v>14056</v>
      </c>
      <c r="U441" s="291">
        <v>5592.92</v>
      </c>
      <c r="V441" s="291">
        <f t="shared" si="6"/>
        <v>7104.49</v>
      </c>
      <c r="W441" s="292">
        <v>1058.1199999999999</v>
      </c>
      <c r="X441" s="290">
        <v>54260</v>
      </c>
      <c r="Y441" s="291">
        <v>151.16</v>
      </c>
      <c r="Z441" s="289" t="s">
        <v>944</v>
      </c>
      <c r="AA441" s="289"/>
      <c r="AB441" s="289">
        <v>65607458</v>
      </c>
      <c r="AC441" s="289"/>
      <c r="AD441" s="289" t="s">
        <v>1446</v>
      </c>
      <c r="AE441" s="289" t="s">
        <v>410</v>
      </c>
      <c r="AF441" s="290" t="s">
        <v>1447</v>
      </c>
      <c r="AG441" s="289"/>
      <c r="AH441" s="290" t="s">
        <v>1448</v>
      </c>
      <c r="AI441" s="289">
        <v>0</v>
      </c>
      <c r="AJ441" s="289">
        <v>0</v>
      </c>
    </row>
    <row r="442" spans="2:36">
      <c r="B442" s="290">
        <v>2111</v>
      </c>
      <c r="C442" s="294">
        <v>217868</v>
      </c>
      <c r="D442" s="290" t="s">
        <v>944</v>
      </c>
      <c r="E442" s="289" t="s">
        <v>1936</v>
      </c>
      <c r="F442" s="290">
        <v>182</v>
      </c>
      <c r="G442" s="289"/>
      <c r="H442" s="289"/>
      <c r="I442" s="289"/>
      <c r="J442" s="289">
        <v>0</v>
      </c>
      <c r="K442" s="289" t="s">
        <v>1755</v>
      </c>
      <c r="L442" s="289"/>
      <c r="M442" s="289"/>
      <c r="N442" s="293">
        <v>43642</v>
      </c>
      <c r="O442" s="293">
        <v>43642</v>
      </c>
      <c r="P442" s="289" t="s">
        <v>1942</v>
      </c>
      <c r="Q442" s="290">
        <v>700</v>
      </c>
      <c r="R442" s="290">
        <v>14050</v>
      </c>
      <c r="S442" s="291">
        <v>9244.0499999999993</v>
      </c>
      <c r="T442" s="290">
        <v>14056</v>
      </c>
      <c r="U442" s="291">
        <v>4071.79</v>
      </c>
      <c r="V442" s="291">
        <f t="shared" si="6"/>
        <v>5172.2599999999993</v>
      </c>
      <c r="W442" s="292">
        <v>770.34</v>
      </c>
      <c r="X442" s="290">
        <v>54260</v>
      </c>
      <c r="Y442" s="291">
        <v>110.05</v>
      </c>
      <c r="Z442" s="289" t="s">
        <v>944</v>
      </c>
      <c r="AA442" s="289"/>
      <c r="AB442" s="289">
        <v>65607458</v>
      </c>
      <c r="AC442" s="289"/>
      <c r="AD442" s="289" t="s">
        <v>1446</v>
      </c>
      <c r="AE442" s="289" t="s">
        <v>410</v>
      </c>
      <c r="AF442" s="290" t="s">
        <v>1447</v>
      </c>
      <c r="AG442" s="289"/>
      <c r="AH442" s="290" t="s">
        <v>1448</v>
      </c>
      <c r="AI442" s="289">
        <v>0</v>
      </c>
      <c r="AJ442" s="289">
        <v>0</v>
      </c>
    </row>
    <row r="443" spans="2:36">
      <c r="B443" s="290">
        <v>2111</v>
      </c>
      <c r="C443" s="294">
        <v>217185</v>
      </c>
      <c r="D443" s="290">
        <v>102187</v>
      </c>
      <c r="E443" s="289" t="s">
        <v>1249</v>
      </c>
      <c r="F443" s="290"/>
      <c r="G443" s="289"/>
      <c r="H443" s="289"/>
      <c r="I443" s="289"/>
      <c r="J443" s="289">
        <v>0</v>
      </c>
      <c r="K443" s="289" t="s">
        <v>1943</v>
      </c>
      <c r="L443" s="289"/>
      <c r="M443" s="289" t="s">
        <v>1467</v>
      </c>
      <c r="N443" s="293">
        <v>43518</v>
      </c>
      <c r="O443" s="293">
        <v>43518</v>
      </c>
      <c r="P443" s="289" t="s">
        <v>1944</v>
      </c>
      <c r="Q443" s="290">
        <v>300</v>
      </c>
      <c r="R443" s="290">
        <v>14040</v>
      </c>
      <c r="S443" s="291">
        <v>6435.44</v>
      </c>
      <c r="T443" s="290">
        <v>14046</v>
      </c>
      <c r="U443" s="291">
        <v>6435.44</v>
      </c>
      <c r="V443" s="291">
        <f t="shared" si="6"/>
        <v>0</v>
      </c>
      <c r="W443" s="292">
        <v>357.52</v>
      </c>
      <c r="X443" s="290">
        <v>51260</v>
      </c>
      <c r="Y443" s="291">
        <v>0</v>
      </c>
      <c r="Z443" s="289" t="s">
        <v>944</v>
      </c>
      <c r="AA443" s="289"/>
      <c r="AB443" s="289">
        <v>37930</v>
      </c>
      <c r="AC443" s="289"/>
      <c r="AD443" s="289" t="s">
        <v>1446</v>
      </c>
      <c r="AE443" s="289" t="s">
        <v>410</v>
      </c>
      <c r="AF443" s="290" t="s">
        <v>1447</v>
      </c>
      <c r="AG443" s="289"/>
      <c r="AH443" s="290" t="s">
        <v>1448</v>
      </c>
      <c r="AI443" s="289">
        <v>0</v>
      </c>
      <c r="AJ443" s="289">
        <v>0</v>
      </c>
    </row>
    <row r="444" spans="2:36">
      <c r="B444" s="290">
        <v>2111</v>
      </c>
      <c r="C444" s="294">
        <v>217184</v>
      </c>
      <c r="D444" s="290">
        <v>60338</v>
      </c>
      <c r="E444" s="289" t="s">
        <v>1250</v>
      </c>
      <c r="F444" s="290"/>
      <c r="G444" s="289"/>
      <c r="H444" s="289"/>
      <c r="I444" s="289"/>
      <c r="J444" s="289">
        <v>0</v>
      </c>
      <c r="K444" s="289" t="s">
        <v>1943</v>
      </c>
      <c r="L444" s="289"/>
      <c r="M444" s="289" t="s">
        <v>1467</v>
      </c>
      <c r="N444" s="293">
        <v>43518</v>
      </c>
      <c r="O444" s="293">
        <v>43518</v>
      </c>
      <c r="P444" s="289" t="s">
        <v>1945</v>
      </c>
      <c r="Q444" s="290">
        <v>300</v>
      </c>
      <c r="R444" s="290">
        <v>14040</v>
      </c>
      <c r="S444" s="291">
        <v>6435.44</v>
      </c>
      <c r="T444" s="290">
        <v>14046</v>
      </c>
      <c r="U444" s="291">
        <v>6435.44</v>
      </c>
      <c r="V444" s="291">
        <f t="shared" si="6"/>
        <v>0</v>
      </c>
      <c r="W444" s="292">
        <v>357.52</v>
      </c>
      <c r="X444" s="290">
        <v>51260</v>
      </c>
      <c r="Y444" s="291">
        <v>0</v>
      </c>
      <c r="Z444" s="289" t="s">
        <v>944</v>
      </c>
      <c r="AA444" s="289"/>
      <c r="AB444" s="289">
        <v>37929</v>
      </c>
      <c r="AC444" s="289"/>
      <c r="AD444" s="289" t="s">
        <v>1446</v>
      </c>
      <c r="AE444" s="289" t="s">
        <v>410</v>
      </c>
      <c r="AF444" s="290" t="s">
        <v>1447</v>
      </c>
      <c r="AG444" s="289"/>
      <c r="AH444" s="290" t="s">
        <v>1448</v>
      </c>
      <c r="AI444" s="289">
        <v>0</v>
      </c>
      <c r="AJ444" s="289">
        <v>0</v>
      </c>
    </row>
    <row r="445" spans="2:36">
      <c r="B445" s="290">
        <v>2111</v>
      </c>
      <c r="C445" s="294">
        <v>217183</v>
      </c>
      <c r="D445" s="290">
        <v>102347</v>
      </c>
      <c r="E445" s="289" t="s">
        <v>1251</v>
      </c>
      <c r="F445" s="290"/>
      <c r="G445" s="289"/>
      <c r="H445" s="289"/>
      <c r="I445" s="289"/>
      <c r="J445" s="289">
        <v>0</v>
      </c>
      <c r="K445" s="289" t="s">
        <v>1943</v>
      </c>
      <c r="L445" s="289"/>
      <c r="M445" s="289" t="s">
        <v>1467</v>
      </c>
      <c r="N445" s="293">
        <v>43518</v>
      </c>
      <c r="O445" s="293">
        <v>43518</v>
      </c>
      <c r="P445" s="289" t="s">
        <v>1946</v>
      </c>
      <c r="Q445" s="290">
        <v>300</v>
      </c>
      <c r="R445" s="290">
        <v>14040</v>
      </c>
      <c r="S445" s="291">
        <v>6435.44</v>
      </c>
      <c r="T445" s="290">
        <v>14046</v>
      </c>
      <c r="U445" s="291">
        <v>6435.44</v>
      </c>
      <c r="V445" s="291">
        <f t="shared" si="6"/>
        <v>0</v>
      </c>
      <c r="W445" s="292">
        <v>357.52</v>
      </c>
      <c r="X445" s="290">
        <v>51260</v>
      </c>
      <c r="Y445" s="291">
        <v>0</v>
      </c>
      <c r="Z445" s="289" t="s">
        <v>944</v>
      </c>
      <c r="AA445" s="289"/>
      <c r="AB445" s="289">
        <v>37928</v>
      </c>
      <c r="AC445" s="289"/>
      <c r="AD445" s="289" t="s">
        <v>1446</v>
      </c>
      <c r="AE445" s="289" t="s">
        <v>410</v>
      </c>
      <c r="AF445" s="290" t="s">
        <v>1447</v>
      </c>
      <c r="AG445" s="289"/>
      <c r="AH445" s="290" t="s">
        <v>1448</v>
      </c>
      <c r="AI445" s="289">
        <v>0</v>
      </c>
      <c r="AJ445" s="289">
        <v>0</v>
      </c>
    </row>
    <row r="446" spans="2:36">
      <c r="B446" s="290">
        <v>2111</v>
      </c>
      <c r="C446" s="294">
        <v>216712</v>
      </c>
      <c r="D446" s="290" t="s">
        <v>944</v>
      </c>
      <c r="E446" s="289" t="s">
        <v>901</v>
      </c>
      <c r="F446" s="290">
        <v>200</v>
      </c>
      <c r="G446" s="289"/>
      <c r="H446" s="289"/>
      <c r="I446" s="289"/>
      <c r="J446" s="289">
        <v>0</v>
      </c>
      <c r="K446" s="289" t="s">
        <v>1755</v>
      </c>
      <c r="L446" s="289"/>
      <c r="M446" s="289"/>
      <c r="N446" s="293">
        <v>43582</v>
      </c>
      <c r="O446" s="293">
        <v>43582</v>
      </c>
      <c r="P446" s="289" t="s">
        <v>1947</v>
      </c>
      <c r="Q446" s="290">
        <v>700</v>
      </c>
      <c r="R446" s="290">
        <v>14050</v>
      </c>
      <c r="S446" s="291">
        <v>7478.78</v>
      </c>
      <c r="T446" s="290">
        <v>14056</v>
      </c>
      <c r="U446" s="291">
        <v>3472.3</v>
      </c>
      <c r="V446" s="291">
        <f t="shared" si="6"/>
        <v>4006.4799999999996</v>
      </c>
      <c r="W446" s="292">
        <v>623.23</v>
      </c>
      <c r="X446" s="290">
        <v>54260</v>
      </c>
      <c r="Y446" s="291">
        <v>89.03</v>
      </c>
      <c r="Z446" s="289" t="s">
        <v>944</v>
      </c>
      <c r="AA446" s="289"/>
      <c r="AB446" s="289">
        <v>65595915</v>
      </c>
      <c r="AC446" s="289"/>
      <c r="AD446" s="289" t="s">
        <v>1446</v>
      </c>
      <c r="AE446" s="289" t="s">
        <v>410</v>
      </c>
      <c r="AF446" s="290" t="s">
        <v>1447</v>
      </c>
      <c r="AG446" s="289"/>
      <c r="AH446" s="290" t="s">
        <v>1448</v>
      </c>
      <c r="AI446" s="289">
        <v>0</v>
      </c>
      <c r="AJ446" s="289">
        <v>0</v>
      </c>
    </row>
    <row r="447" spans="2:36">
      <c r="B447" s="290">
        <v>2111</v>
      </c>
      <c r="C447" s="294">
        <v>216711</v>
      </c>
      <c r="D447" s="290" t="s">
        <v>944</v>
      </c>
      <c r="E447" s="289" t="s">
        <v>903</v>
      </c>
      <c r="F447" s="290">
        <v>150</v>
      </c>
      <c r="G447" s="289"/>
      <c r="H447" s="289"/>
      <c r="I447" s="289"/>
      <c r="J447" s="289">
        <v>0</v>
      </c>
      <c r="K447" s="289" t="s">
        <v>1755</v>
      </c>
      <c r="L447" s="289"/>
      <c r="M447" s="289"/>
      <c r="N447" s="293">
        <v>43582</v>
      </c>
      <c r="O447" s="293">
        <v>43582</v>
      </c>
      <c r="P447" s="289" t="s">
        <v>1947</v>
      </c>
      <c r="Q447" s="290">
        <v>700</v>
      </c>
      <c r="R447" s="290">
        <v>14050</v>
      </c>
      <c r="S447" s="291">
        <v>7587.03</v>
      </c>
      <c r="T447" s="290">
        <v>14056</v>
      </c>
      <c r="U447" s="291">
        <v>3522.55</v>
      </c>
      <c r="V447" s="291">
        <f t="shared" si="6"/>
        <v>4064.4799999999996</v>
      </c>
      <c r="W447" s="292">
        <v>632.25</v>
      </c>
      <c r="X447" s="290">
        <v>54260</v>
      </c>
      <c r="Y447" s="291">
        <v>90.32</v>
      </c>
      <c r="Z447" s="289" t="s">
        <v>944</v>
      </c>
      <c r="AA447" s="289"/>
      <c r="AB447" s="289">
        <v>65595915</v>
      </c>
      <c r="AC447" s="289"/>
      <c r="AD447" s="289" t="s">
        <v>1446</v>
      </c>
      <c r="AE447" s="289" t="s">
        <v>410</v>
      </c>
      <c r="AF447" s="290" t="s">
        <v>1447</v>
      </c>
      <c r="AG447" s="289"/>
      <c r="AH447" s="290" t="s">
        <v>1448</v>
      </c>
      <c r="AI447" s="289">
        <v>0</v>
      </c>
      <c r="AJ447" s="289">
        <v>0</v>
      </c>
    </row>
    <row r="448" spans="2:36">
      <c r="B448" s="290">
        <v>2111</v>
      </c>
      <c r="C448" s="294">
        <v>216710</v>
      </c>
      <c r="D448" s="290" t="s">
        <v>944</v>
      </c>
      <c r="E448" s="289" t="s">
        <v>899</v>
      </c>
      <c r="F448" s="290">
        <v>312</v>
      </c>
      <c r="G448" s="289"/>
      <c r="H448" s="289"/>
      <c r="I448" s="289"/>
      <c r="J448" s="289">
        <v>0</v>
      </c>
      <c r="K448" s="289" t="s">
        <v>1755</v>
      </c>
      <c r="L448" s="289"/>
      <c r="M448" s="289"/>
      <c r="N448" s="293">
        <v>43582</v>
      </c>
      <c r="O448" s="293">
        <v>43582</v>
      </c>
      <c r="P448" s="289" t="s">
        <v>1947</v>
      </c>
      <c r="Q448" s="290">
        <v>700</v>
      </c>
      <c r="R448" s="290">
        <v>14050</v>
      </c>
      <c r="S448" s="291">
        <v>15782.15</v>
      </c>
      <c r="T448" s="290">
        <v>14056</v>
      </c>
      <c r="U448" s="291">
        <v>7327.42</v>
      </c>
      <c r="V448" s="291">
        <f t="shared" si="6"/>
        <v>8454.73</v>
      </c>
      <c r="W448" s="292">
        <v>1315.18</v>
      </c>
      <c r="X448" s="290">
        <v>54260</v>
      </c>
      <c r="Y448" s="291">
        <v>187.88</v>
      </c>
      <c r="Z448" s="289" t="s">
        <v>944</v>
      </c>
      <c r="AA448" s="289"/>
      <c r="AB448" s="289">
        <v>65595915</v>
      </c>
      <c r="AC448" s="289"/>
      <c r="AD448" s="289" t="s">
        <v>1446</v>
      </c>
      <c r="AE448" s="289" t="s">
        <v>410</v>
      </c>
      <c r="AF448" s="290" t="s">
        <v>1447</v>
      </c>
      <c r="AG448" s="289"/>
      <c r="AH448" s="290" t="s">
        <v>1448</v>
      </c>
      <c r="AI448" s="289">
        <v>0</v>
      </c>
      <c r="AJ448" s="289">
        <v>0</v>
      </c>
    </row>
    <row r="449" spans="2:36">
      <c r="B449" s="290">
        <v>2111</v>
      </c>
      <c r="C449" s="294">
        <v>216709</v>
      </c>
      <c r="D449" s="290" t="s">
        <v>944</v>
      </c>
      <c r="E449" s="289" t="s">
        <v>900</v>
      </c>
      <c r="F449" s="290">
        <v>624</v>
      </c>
      <c r="G449" s="289"/>
      <c r="H449" s="289"/>
      <c r="I449" s="289"/>
      <c r="J449" s="289">
        <v>0</v>
      </c>
      <c r="K449" s="289" t="s">
        <v>1755</v>
      </c>
      <c r="L449" s="289"/>
      <c r="M449" s="289"/>
      <c r="N449" s="293">
        <v>43582</v>
      </c>
      <c r="O449" s="293">
        <v>43582</v>
      </c>
      <c r="P449" s="289" t="s">
        <v>1947</v>
      </c>
      <c r="Q449" s="290">
        <v>700</v>
      </c>
      <c r="R449" s="290">
        <v>14050</v>
      </c>
      <c r="S449" s="291">
        <v>31710.67</v>
      </c>
      <c r="T449" s="290">
        <v>14056</v>
      </c>
      <c r="U449" s="291">
        <v>14722.82</v>
      </c>
      <c r="V449" s="291">
        <f t="shared" si="6"/>
        <v>16987.849999999999</v>
      </c>
      <c r="W449" s="292">
        <v>2642.56</v>
      </c>
      <c r="X449" s="290">
        <v>54260</v>
      </c>
      <c r="Y449" s="291">
        <v>377.51</v>
      </c>
      <c r="Z449" s="289" t="s">
        <v>944</v>
      </c>
      <c r="AA449" s="289"/>
      <c r="AB449" s="289">
        <v>65595984</v>
      </c>
      <c r="AC449" s="289"/>
      <c r="AD449" s="289" t="s">
        <v>1446</v>
      </c>
      <c r="AE449" s="289" t="s">
        <v>410</v>
      </c>
      <c r="AF449" s="290" t="s">
        <v>1447</v>
      </c>
      <c r="AG449" s="289"/>
      <c r="AH449" s="290" t="s">
        <v>1448</v>
      </c>
      <c r="AI449" s="289">
        <v>0</v>
      </c>
      <c r="AJ449" s="289">
        <v>0</v>
      </c>
    </row>
    <row r="450" spans="2:36">
      <c r="B450" s="290">
        <v>2111</v>
      </c>
      <c r="C450" s="294">
        <v>213241</v>
      </c>
      <c r="D450" s="290" t="s">
        <v>944</v>
      </c>
      <c r="E450" s="289" t="s">
        <v>1948</v>
      </c>
      <c r="F450" s="290">
        <v>0</v>
      </c>
      <c r="G450" s="289"/>
      <c r="H450" s="289" t="s">
        <v>1949</v>
      </c>
      <c r="I450" s="289"/>
      <c r="J450" s="289">
        <v>1993</v>
      </c>
      <c r="K450" s="289" t="s">
        <v>1950</v>
      </c>
      <c r="L450" s="289" t="s">
        <v>1950</v>
      </c>
      <c r="M450" s="289" t="s">
        <v>1951</v>
      </c>
      <c r="N450" s="293">
        <v>39755</v>
      </c>
      <c r="O450" s="293">
        <v>39755</v>
      </c>
      <c r="P450" s="289"/>
      <c r="Q450" s="290">
        <v>300</v>
      </c>
      <c r="R450" s="290">
        <v>14040</v>
      </c>
      <c r="S450" s="291">
        <v>2500</v>
      </c>
      <c r="T450" s="290">
        <v>14046</v>
      </c>
      <c r="U450" s="291">
        <v>2500</v>
      </c>
      <c r="V450" s="291">
        <f t="shared" si="6"/>
        <v>0</v>
      </c>
      <c r="W450" s="292">
        <v>0</v>
      </c>
      <c r="X450" s="290">
        <v>51260</v>
      </c>
      <c r="Y450" s="291">
        <v>0</v>
      </c>
      <c r="Z450" s="289" t="s">
        <v>410</v>
      </c>
      <c r="AA450" s="289" t="s">
        <v>1828</v>
      </c>
      <c r="AB450" s="289"/>
      <c r="AC450" s="289" t="s">
        <v>1952</v>
      </c>
      <c r="AD450" s="289" t="s">
        <v>1446</v>
      </c>
      <c r="AE450" s="289" t="s">
        <v>410</v>
      </c>
      <c r="AF450" s="290" t="s">
        <v>1447</v>
      </c>
      <c r="AG450" s="295">
        <v>43585</v>
      </c>
      <c r="AH450" s="290" t="s">
        <v>1448</v>
      </c>
      <c r="AI450" s="289">
        <v>0</v>
      </c>
      <c r="AJ450" s="289">
        <v>2500</v>
      </c>
    </row>
    <row r="451" spans="2:36">
      <c r="B451" s="290">
        <v>2111</v>
      </c>
      <c r="C451" s="294">
        <v>213240</v>
      </c>
      <c r="D451" s="290" t="s">
        <v>944</v>
      </c>
      <c r="E451" s="289" t="s">
        <v>576</v>
      </c>
      <c r="F451" s="290">
        <v>0</v>
      </c>
      <c r="G451" s="289"/>
      <c r="H451" s="289" t="s">
        <v>1953</v>
      </c>
      <c r="I451" s="289"/>
      <c r="J451" s="289">
        <v>1991</v>
      </c>
      <c r="K451" s="289" t="s">
        <v>1954</v>
      </c>
      <c r="L451" s="289" t="s">
        <v>1954</v>
      </c>
      <c r="M451" s="289" t="s">
        <v>1582</v>
      </c>
      <c r="N451" s="293">
        <v>39755</v>
      </c>
      <c r="O451" s="293">
        <v>39755</v>
      </c>
      <c r="P451" s="289"/>
      <c r="Q451" s="290">
        <v>300</v>
      </c>
      <c r="R451" s="290">
        <v>14040</v>
      </c>
      <c r="S451" s="291">
        <v>2500</v>
      </c>
      <c r="T451" s="290">
        <v>14046</v>
      </c>
      <c r="U451" s="291">
        <v>2500</v>
      </c>
      <c r="V451" s="291">
        <f t="shared" si="6"/>
        <v>0</v>
      </c>
      <c r="W451" s="292">
        <v>0</v>
      </c>
      <c r="X451" s="290">
        <v>51260</v>
      </c>
      <c r="Y451" s="291">
        <v>0</v>
      </c>
      <c r="Z451" s="289" t="s">
        <v>410</v>
      </c>
      <c r="AA451" s="289" t="s">
        <v>1828</v>
      </c>
      <c r="AB451" s="289"/>
      <c r="AC451" s="289" t="s">
        <v>1955</v>
      </c>
      <c r="AD451" s="289" t="s">
        <v>1446</v>
      </c>
      <c r="AE451" s="289" t="s">
        <v>410</v>
      </c>
      <c r="AF451" s="290" t="s">
        <v>1447</v>
      </c>
      <c r="AG451" s="295">
        <v>43585</v>
      </c>
      <c r="AH451" s="290" t="s">
        <v>1448</v>
      </c>
      <c r="AI451" s="289">
        <v>0</v>
      </c>
      <c r="AJ451" s="289">
        <v>2500</v>
      </c>
    </row>
    <row r="452" spans="2:36">
      <c r="B452" s="290">
        <v>2111</v>
      </c>
      <c r="C452" s="294">
        <v>212879</v>
      </c>
      <c r="D452" s="290" t="s">
        <v>944</v>
      </c>
      <c r="E452" s="289" t="s">
        <v>902</v>
      </c>
      <c r="F452" s="290">
        <v>864</v>
      </c>
      <c r="G452" s="289"/>
      <c r="H452" s="289"/>
      <c r="I452" s="289"/>
      <c r="J452" s="289">
        <v>0</v>
      </c>
      <c r="K452" s="289" t="s">
        <v>1755</v>
      </c>
      <c r="L452" s="289"/>
      <c r="M452" s="289"/>
      <c r="N452" s="293">
        <v>43544</v>
      </c>
      <c r="O452" s="293">
        <v>43544</v>
      </c>
      <c r="P452" s="289" t="s">
        <v>1956</v>
      </c>
      <c r="Q452" s="290">
        <v>700</v>
      </c>
      <c r="R452" s="290">
        <v>14050</v>
      </c>
      <c r="S452" s="291">
        <v>39533.47</v>
      </c>
      <c r="T452" s="290">
        <v>14056</v>
      </c>
      <c r="U452" s="291">
        <v>18825.47</v>
      </c>
      <c r="V452" s="291">
        <f t="shared" si="6"/>
        <v>20708</v>
      </c>
      <c r="W452" s="292">
        <v>3294.46</v>
      </c>
      <c r="X452" s="290">
        <v>54260</v>
      </c>
      <c r="Y452" s="291">
        <v>470.64</v>
      </c>
      <c r="Z452" s="289" t="s">
        <v>944</v>
      </c>
      <c r="AA452" s="289"/>
      <c r="AB452" s="289">
        <v>65588879</v>
      </c>
      <c r="AC452" s="289"/>
      <c r="AD452" s="289" t="s">
        <v>1446</v>
      </c>
      <c r="AE452" s="289" t="s">
        <v>410</v>
      </c>
      <c r="AF452" s="290" t="s">
        <v>1447</v>
      </c>
      <c r="AG452" s="289"/>
      <c r="AH452" s="290" t="s">
        <v>1448</v>
      </c>
      <c r="AI452" s="289">
        <v>0</v>
      </c>
      <c r="AJ452" s="289">
        <v>0</v>
      </c>
    </row>
    <row r="453" spans="2:36">
      <c r="B453" s="290">
        <v>2111</v>
      </c>
      <c r="C453" s="294">
        <v>212878</v>
      </c>
      <c r="D453" s="290" t="s">
        <v>944</v>
      </c>
      <c r="E453" s="289" t="s">
        <v>1957</v>
      </c>
      <c r="F453" s="290">
        <v>624</v>
      </c>
      <c r="G453" s="289"/>
      <c r="H453" s="289"/>
      <c r="I453" s="289"/>
      <c r="J453" s="289">
        <v>0</v>
      </c>
      <c r="K453" s="289" t="s">
        <v>1755</v>
      </c>
      <c r="L453" s="289"/>
      <c r="M453" s="289"/>
      <c r="N453" s="293">
        <v>43544</v>
      </c>
      <c r="O453" s="293">
        <v>43544</v>
      </c>
      <c r="P453" s="289" t="s">
        <v>1956</v>
      </c>
      <c r="Q453" s="290">
        <v>700</v>
      </c>
      <c r="R453" s="290">
        <v>14050</v>
      </c>
      <c r="S453" s="291">
        <v>32121.81</v>
      </c>
      <c r="T453" s="290">
        <v>14056</v>
      </c>
      <c r="U453" s="291">
        <v>15296.1</v>
      </c>
      <c r="V453" s="291">
        <f t="shared" si="6"/>
        <v>16825.71</v>
      </c>
      <c r="W453" s="292">
        <v>2676.82</v>
      </c>
      <c r="X453" s="290">
        <v>54260</v>
      </c>
      <c r="Y453" s="291">
        <v>382.4</v>
      </c>
      <c r="Z453" s="289" t="s">
        <v>944</v>
      </c>
      <c r="AA453" s="289"/>
      <c r="AB453" s="289">
        <v>65585554</v>
      </c>
      <c r="AC453" s="289"/>
      <c r="AD453" s="289" t="s">
        <v>1446</v>
      </c>
      <c r="AE453" s="289" t="s">
        <v>410</v>
      </c>
      <c r="AF453" s="290" t="s">
        <v>1447</v>
      </c>
      <c r="AG453" s="289"/>
      <c r="AH453" s="290" t="s">
        <v>1448</v>
      </c>
      <c r="AI453" s="289">
        <v>0</v>
      </c>
      <c r="AJ453" s="289">
        <v>0</v>
      </c>
    </row>
    <row r="454" spans="2:36">
      <c r="B454" s="290">
        <v>2111</v>
      </c>
      <c r="C454" s="294">
        <v>212877</v>
      </c>
      <c r="D454" s="290" t="s">
        <v>944</v>
      </c>
      <c r="E454" s="289" t="s">
        <v>1936</v>
      </c>
      <c r="F454" s="290">
        <v>624</v>
      </c>
      <c r="G454" s="289"/>
      <c r="H454" s="289"/>
      <c r="I454" s="289"/>
      <c r="J454" s="289">
        <v>0</v>
      </c>
      <c r="K454" s="289" t="s">
        <v>1755</v>
      </c>
      <c r="L454" s="289"/>
      <c r="M454" s="289"/>
      <c r="N454" s="293">
        <v>43544</v>
      </c>
      <c r="O454" s="293">
        <v>43544</v>
      </c>
      <c r="P454" s="289" t="s">
        <v>1956</v>
      </c>
      <c r="Q454" s="290">
        <v>700</v>
      </c>
      <c r="R454" s="290">
        <v>14050</v>
      </c>
      <c r="S454" s="291">
        <v>32121.81</v>
      </c>
      <c r="T454" s="290">
        <v>14056</v>
      </c>
      <c r="U454" s="291">
        <v>15296.1</v>
      </c>
      <c r="V454" s="291">
        <f t="shared" si="6"/>
        <v>16825.71</v>
      </c>
      <c r="W454" s="292">
        <v>2676.82</v>
      </c>
      <c r="X454" s="290">
        <v>54260</v>
      </c>
      <c r="Y454" s="291">
        <v>382.4</v>
      </c>
      <c r="Z454" s="289" t="s">
        <v>944</v>
      </c>
      <c r="AA454" s="289"/>
      <c r="AB454" s="289">
        <v>65585948</v>
      </c>
      <c r="AC454" s="289"/>
      <c r="AD454" s="289" t="s">
        <v>1446</v>
      </c>
      <c r="AE454" s="289" t="s">
        <v>410</v>
      </c>
      <c r="AF454" s="290" t="s">
        <v>1447</v>
      </c>
      <c r="AG454" s="289"/>
      <c r="AH454" s="290" t="s">
        <v>1448</v>
      </c>
      <c r="AI454" s="289">
        <v>0</v>
      </c>
      <c r="AJ454" s="289">
        <v>0</v>
      </c>
    </row>
    <row r="455" spans="2:36">
      <c r="B455" s="290">
        <v>2111</v>
      </c>
      <c r="C455" s="294">
        <v>212170</v>
      </c>
      <c r="D455" s="290">
        <v>212164</v>
      </c>
      <c r="E455" s="289" t="s">
        <v>1958</v>
      </c>
      <c r="F455" s="290"/>
      <c r="G455" s="289"/>
      <c r="H455" s="289"/>
      <c r="I455" s="289"/>
      <c r="J455" s="289">
        <v>2015</v>
      </c>
      <c r="K455" s="289" t="s">
        <v>1959</v>
      </c>
      <c r="L455" s="289" t="s">
        <v>1959</v>
      </c>
      <c r="M455" s="289" t="s">
        <v>1960</v>
      </c>
      <c r="N455" s="293">
        <v>43556</v>
      </c>
      <c r="O455" s="293">
        <v>43556</v>
      </c>
      <c r="P455" s="289" t="s">
        <v>1961</v>
      </c>
      <c r="Q455" s="290">
        <v>300</v>
      </c>
      <c r="R455" s="290">
        <v>14030</v>
      </c>
      <c r="S455" s="291">
        <v>9447.0400000000009</v>
      </c>
      <c r="T455" s="290">
        <v>14036</v>
      </c>
      <c r="U455" s="291">
        <v>9447.0400000000009</v>
      </c>
      <c r="V455" s="291">
        <f t="shared" si="6"/>
        <v>0</v>
      </c>
      <c r="W455" s="292">
        <v>787.26</v>
      </c>
      <c r="X455" s="290">
        <v>51260</v>
      </c>
      <c r="Y455" s="291">
        <v>0</v>
      </c>
      <c r="Z455" s="289" t="s">
        <v>944</v>
      </c>
      <c r="AA455" s="289"/>
      <c r="AB455" s="289" t="s">
        <v>1962</v>
      </c>
      <c r="AC455" s="289"/>
      <c r="AD455" s="289" t="s">
        <v>1446</v>
      </c>
      <c r="AE455" s="289" t="s">
        <v>410</v>
      </c>
      <c r="AF455" s="290" t="s">
        <v>1447</v>
      </c>
      <c r="AG455" s="289"/>
      <c r="AH455" s="290" t="s">
        <v>1448</v>
      </c>
      <c r="AI455" s="289">
        <v>0</v>
      </c>
      <c r="AJ455" s="289">
        <v>0</v>
      </c>
    </row>
    <row r="456" spans="2:36">
      <c r="B456" s="290">
        <v>2111</v>
      </c>
      <c r="C456" s="294">
        <v>212169</v>
      </c>
      <c r="D456" s="290">
        <v>212164</v>
      </c>
      <c r="E456" s="289" t="s">
        <v>1963</v>
      </c>
      <c r="F456" s="290"/>
      <c r="G456" s="289"/>
      <c r="H456" s="289"/>
      <c r="I456" s="289"/>
      <c r="J456" s="289">
        <v>2015</v>
      </c>
      <c r="K456" s="289" t="s">
        <v>1959</v>
      </c>
      <c r="L456" s="289" t="s">
        <v>1959</v>
      </c>
      <c r="M456" s="289" t="s">
        <v>1960</v>
      </c>
      <c r="N456" s="293">
        <v>43556</v>
      </c>
      <c r="O456" s="293">
        <v>43556</v>
      </c>
      <c r="P456" s="289" t="s">
        <v>1961</v>
      </c>
      <c r="Q456" s="290">
        <v>300</v>
      </c>
      <c r="R456" s="290">
        <v>14030</v>
      </c>
      <c r="S456" s="291">
        <v>9447.0400000000009</v>
      </c>
      <c r="T456" s="290">
        <v>14036</v>
      </c>
      <c r="U456" s="291">
        <v>9447.0400000000009</v>
      </c>
      <c r="V456" s="291">
        <f t="shared" si="6"/>
        <v>0</v>
      </c>
      <c r="W456" s="292">
        <v>787.26</v>
      </c>
      <c r="X456" s="290">
        <v>51260</v>
      </c>
      <c r="Y456" s="291">
        <v>0</v>
      </c>
      <c r="Z456" s="289" t="s">
        <v>944</v>
      </c>
      <c r="AA456" s="289"/>
      <c r="AB456" s="289" t="s">
        <v>1962</v>
      </c>
      <c r="AC456" s="289"/>
      <c r="AD456" s="289" t="s">
        <v>1446</v>
      </c>
      <c r="AE456" s="289" t="s">
        <v>410</v>
      </c>
      <c r="AF456" s="290" t="s">
        <v>1447</v>
      </c>
      <c r="AG456" s="289"/>
      <c r="AH456" s="290" t="s">
        <v>1448</v>
      </c>
      <c r="AI456" s="289">
        <v>0</v>
      </c>
      <c r="AJ456" s="289">
        <v>0</v>
      </c>
    </row>
    <row r="457" spans="2:36">
      <c r="B457" s="290">
        <v>2111</v>
      </c>
      <c r="C457" s="294">
        <v>212168</v>
      </c>
      <c r="D457" s="290">
        <v>212164</v>
      </c>
      <c r="E457" s="289" t="s">
        <v>1964</v>
      </c>
      <c r="F457" s="290"/>
      <c r="G457" s="289"/>
      <c r="H457" s="289"/>
      <c r="I457" s="289"/>
      <c r="J457" s="289">
        <v>2015</v>
      </c>
      <c r="K457" s="289" t="s">
        <v>1959</v>
      </c>
      <c r="L457" s="289" t="s">
        <v>1959</v>
      </c>
      <c r="M457" s="289" t="s">
        <v>1960</v>
      </c>
      <c r="N457" s="293">
        <v>43556</v>
      </c>
      <c r="O457" s="293">
        <v>43556</v>
      </c>
      <c r="P457" s="289" t="s">
        <v>1961</v>
      </c>
      <c r="Q457" s="290">
        <v>300</v>
      </c>
      <c r="R457" s="290">
        <v>14030</v>
      </c>
      <c r="S457" s="291">
        <v>18894.080000000002</v>
      </c>
      <c r="T457" s="290">
        <v>14036</v>
      </c>
      <c r="U457" s="291">
        <v>18894.080000000002</v>
      </c>
      <c r="V457" s="291">
        <f t="shared" si="6"/>
        <v>0</v>
      </c>
      <c r="W457" s="292">
        <v>1574.5</v>
      </c>
      <c r="X457" s="290">
        <v>51260</v>
      </c>
      <c r="Y457" s="291">
        <v>0</v>
      </c>
      <c r="Z457" s="289" t="s">
        <v>944</v>
      </c>
      <c r="AA457" s="289"/>
      <c r="AB457" s="289" t="s">
        <v>1962</v>
      </c>
      <c r="AC457" s="289"/>
      <c r="AD457" s="289" t="s">
        <v>1446</v>
      </c>
      <c r="AE457" s="289" t="s">
        <v>410</v>
      </c>
      <c r="AF457" s="290" t="s">
        <v>1447</v>
      </c>
      <c r="AG457" s="289"/>
      <c r="AH457" s="290" t="s">
        <v>1448</v>
      </c>
      <c r="AI457" s="289">
        <v>0</v>
      </c>
      <c r="AJ457" s="289">
        <v>0</v>
      </c>
    </row>
    <row r="458" spans="2:36">
      <c r="B458" s="290">
        <v>2111</v>
      </c>
      <c r="C458" s="294">
        <v>212167</v>
      </c>
      <c r="D458" s="290">
        <v>212164</v>
      </c>
      <c r="E458" s="289" t="s">
        <v>1965</v>
      </c>
      <c r="F458" s="290"/>
      <c r="G458" s="289"/>
      <c r="H458" s="289"/>
      <c r="I458" s="289"/>
      <c r="J458" s="289">
        <v>2015</v>
      </c>
      <c r="K458" s="289" t="s">
        <v>1959</v>
      </c>
      <c r="L458" s="289" t="s">
        <v>1959</v>
      </c>
      <c r="M458" s="289" t="s">
        <v>1960</v>
      </c>
      <c r="N458" s="293">
        <v>43556</v>
      </c>
      <c r="O458" s="293">
        <v>43556</v>
      </c>
      <c r="P458" s="289" t="s">
        <v>1961</v>
      </c>
      <c r="Q458" s="290">
        <v>300</v>
      </c>
      <c r="R458" s="290">
        <v>14030</v>
      </c>
      <c r="S458" s="291">
        <v>9447.0400000000009</v>
      </c>
      <c r="T458" s="290">
        <v>14036</v>
      </c>
      <c r="U458" s="291">
        <v>9447.0400000000009</v>
      </c>
      <c r="V458" s="291">
        <f t="shared" si="6"/>
        <v>0</v>
      </c>
      <c r="W458" s="292">
        <v>787.26</v>
      </c>
      <c r="X458" s="290">
        <v>51260</v>
      </c>
      <c r="Y458" s="291">
        <v>0</v>
      </c>
      <c r="Z458" s="289" t="s">
        <v>944</v>
      </c>
      <c r="AA458" s="289"/>
      <c r="AB458" s="289" t="s">
        <v>1962</v>
      </c>
      <c r="AC458" s="289"/>
      <c r="AD458" s="289" t="s">
        <v>1446</v>
      </c>
      <c r="AE458" s="289" t="s">
        <v>410</v>
      </c>
      <c r="AF458" s="290" t="s">
        <v>1447</v>
      </c>
      <c r="AG458" s="289"/>
      <c r="AH458" s="290" t="s">
        <v>1448</v>
      </c>
      <c r="AI458" s="289">
        <v>0</v>
      </c>
      <c r="AJ458" s="289">
        <v>0</v>
      </c>
    </row>
    <row r="459" spans="2:36">
      <c r="B459" s="290">
        <v>2111</v>
      </c>
      <c r="C459" s="294">
        <v>212166</v>
      </c>
      <c r="D459" s="290">
        <v>212164</v>
      </c>
      <c r="E459" s="289" t="s">
        <v>1966</v>
      </c>
      <c r="F459" s="290"/>
      <c r="G459" s="289"/>
      <c r="H459" s="289"/>
      <c r="I459" s="289"/>
      <c r="J459" s="289">
        <v>2015</v>
      </c>
      <c r="K459" s="289" t="s">
        <v>1959</v>
      </c>
      <c r="L459" s="289" t="s">
        <v>1959</v>
      </c>
      <c r="M459" s="289" t="s">
        <v>1960</v>
      </c>
      <c r="N459" s="293">
        <v>43556</v>
      </c>
      <c r="O459" s="293">
        <v>43556</v>
      </c>
      <c r="P459" s="289" t="s">
        <v>1961</v>
      </c>
      <c r="Q459" s="290">
        <v>300</v>
      </c>
      <c r="R459" s="290">
        <v>14030</v>
      </c>
      <c r="S459" s="291">
        <v>18894.080000000002</v>
      </c>
      <c r="T459" s="290">
        <v>14036</v>
      </c>
      <c r="U459" s="291">
        <v>18894.080000000002</v>
      </c>
      <c r="V459" s="291">
        <f t="shared" si="6"/>
        <v>0</v>
      </c>
      <c r="W459" s="292">
        <v>1574.5</v>
      </c>
      <c r="X459" s="290">
        <v>51260</v>
      </c>
      <c r="Y459" s="291">
        <v>0</v>
      </c>
      <c r="Z459" s="289" t="s">
        <v>944</v>
      </c>
      <c r="AA459" s="289"/>
      <c r="AB459" s="289" t="s">
        <v>1962</v>
      </c>
      <c r="AC459" s="289"/>
      <c r="AD459" s="289" t="s">
        <v>1446</v>
      </c>
      <c r="AE459" s="289" t="s">
        <v>410</v>
      </c>
      <c r="AF459" s="290" t="s">
        <v>1447</v>
      </c>
      <c r="AG459" s="289"/>
      <c r="AH459" s="290" t="s">
        <v>1448</v>
      </c>
      <c r="AI459" s="289">
        <v>0</v>
      </c>
      <c r="AJ459" s="289">
        <v>0</v>
      </c>
    </row>
    <row r="460" spans="2:36">
      <c r="B460" s="290">
        <v>2111</v>
      </c>
      <c r="C460" s="294">
        <v>212165</v>
      </c>
      <c r="D460" s="290">
        <v>212164</v>
      </c>
      <c r="E460" s="289" t="s">
        <v>1967</v>
      </c>
      <c r="F460" s="290"/>
      <c r="G460" s="289"/>
      <c r="H460" s="289"/>
      <c r="I460" s="289"/>
      <c r="J460" s="289">
        <v>2015</v>
      </c>
      <c r="K460" s="289" t="s">
        <v>1959</v>
      </c>
      <c r="L460" s="289" t="s">
        <v>1959</v>
      </c>
      <c r="M460" s="289" t="s">
        <v>1960</v>
      </c>
      <c r="N460" s="293">
        <v>43556</v>
      </c>
      <c r="O460" s="293">
        <v>43556</v>
      </c>
      <c r="P460" s="289" t="s">
        <v>1961</v>
      </c>
      <c r="Q460" s="290">
        <v>300</v>
      </c>
      <c r="R460" s="290">
        <v>14030</v>
      </c>
      <c r="S460" s="291">
        <v>21255.84</v>
      </c>
      <c r="T460" s="290">
        <v>14036</v>
      </c>
      <c r="U460" s="291">
        <v>21255.84</v>
      </c>
      <c r="V460" s="291">
        <f t="shared" si="6"/>
        <v>0</v>
      </c>
      <c r="W460" s="292">
        <v>1771.32</v>
      </c>
      <c r="X460" s="290">
        <v>51260</v>
      </c>
      <c r="Y460" s="291">
        <v>0</v>
      </c>
      <c r="Z460" s="289" t="s">
        <v>944</v>
      </c>
      <c r="AA460" s="289"/>
      <c r="AB460" s="289" t="s">
        <v>1962</v>
      </c>
      <c r="AC460" s="289"/>
      <c r="AD460" s="289" t="s">
        <v>1446</v>
      </c>
      <c r="AE460" s="289" t="s">
        <v>410</v>
      </c>
      <c r="AF460" s="290" t="s">
        <v>1447</v>
      </c>
      <c r="AG460" s="289"/>
      <c r="AH460" s="290" t="s">
        <v>1448</v>
      </c>
      <c r="AI460" s="289">
        <v>0</v>
      </c>
      <c r="AJ460" s="289">
        <v>0</v>
      </c>
    </row>
    <row r="461" spans="2:36">
      <c r="B461" s="290">
        <v>2111</v>
      </c>
      <c r="C461" s="294">
        <v>212164</v>
      </c>
      <c r="D461" s="290" t="s">
        <v>944</v>
      </c>
      <c r="E461" s="289" t="s">
        <v>1968</v>
      </c>
      <c r="F461" s="290"/>
      <c r="G461" s="289"/>
      <c r="H461" s="289" t="s">
        <v>1969</v>
      </c>
      <c r="I461" s="289"/>
      <c r="J461" s="289">
        <v>2015</v>
      </c>
      <c r="K461" s="289" t="s">
        <v>1959</v>
      </c>
      <c r="L461" s="289" t="s">
        <v>1959</v>
      </c>
      <c r="M461" s="289" t="s">
        <v>1044</v>
      </c>
      <c r="N461" s="293">
        <v>43556</v>
      </c>
      <c r="O461" s="293">
        <v>43556</v>
      </c>
      <c r="P461" s="289" t="s">
        <v>1961</v>
      </c>
      <c r="Q461" s="290">
        <v>800</v>
      </c>
      <c r="R461" s="290">
        <v>14030</v>
      </c>
      <c r="S461" s="291">
        <v>148790.88</v>
      </c>
      <c r="T461" s="290">
        <v>14036</v>
      </c>
      <c r="U461" s="291">
        <v>61996.21</v>
      </c>
      <c r="V461" s="291">
        <f t="shared" si="6"/>
        <v>86794.670000000013</v>
      </c>
      <c r="W461" s="292">
        <v>10849.34</v>
      </c>
      <c r="X461" s="290">
        <v>51260</v>
      </c>
      <c r="Y461" s="291">
        <v>1549.91</v>
      </c>
      <c r="Z461" s="289" t="s">
        <v>944</v>
      </c>
      <c r="AA461" s="289"/>
      <c r="AB461" s="289" t="s">
        <v>1962</v>
      </c>
      <c r="AC461" s="289" t="s">
        <v>1970</v>
      </c>
      <c r="AD461" s="289" t="s">
        <v>1446</v>
      </c>
      <c r="AE461" s="289" t="s">
        <v>410</v>
      </c>
      <c r="AF461" s="290" t="s">
        <v>1447</v>
      </c>
      <c r="AG461" s="289"/>
      <c r="AH461" s="290" t="s">
        <v>1448</v>
      </c>
      <c r="AI461" s="289">
        <v>0</v>
      </c>
      <c r="AJ461" s="289">
        <v>0</v>
      </c>
    </row>
    <row r="462" spans="2:36">
      <c r="B462" s="290">
        <v>2111</v>
      </c>
      <c r="C462" s="294">
        <v>211523</v>
      </c>
      <c r="D462" s="290" t="s">
        <v>944</v>
      </c>
      <c r="E462" s="289" t="s">
        <v>1971</v>
      </c>
      <c r="F462" s="290"/>
      <c r="G462" s="289"/>
      <c r="H462" s="289" t="s">
        <v>1969</v>
      </c>
      <c r="I462" s="289" t="s">
        <v>1584</v>
      </c>
      <c r="J462" s="289">
        <v>2015</v>
      </c>
      <c r="K462" s="289" t="s">
        <v>1959</v>
      </c>
      <c r="L462" s="289" t="s">
        <v>1959</v>
      </c>
      <c r="M462" s="289" t="s">
        <v>1044</v>
      </c>
      <c r="N462" s="293">
        <v>43555</v>
      </c>
      <c r="O462" s="293">
        <v>43555</v>
      </c>
      <c r="P462" s="289" t="s">
        <v>1961</v>
      </c>
      <c r="Q462" s="290">
        <v>800</v>
      </c>
      <c r="R462" s="290">
        <v>14030</v>
      </c>
      <c r="S462" s="291">
        <v>10000</v>
      </c>
      <c r="T462" s="290">
        <v>14036</v>
      </c>
      <c r="U462" s="291">
        <v>4166.67</v>
      </c>
      <c r="V462" s="291">
        <f t="shared" ref="V462:V525" si="7">S462-U462</f>
        <v>5833.33</v>
      </c>
      <c r="W462" s="292">
        <v>729.17</v>
      </c>
      <c r="X462" s="290">
        <v>51260</v>
      </c>
      <c r="Y462" s="291">
        <v>104.17</v>
      </c>
      <c r="Z462" s="289" t="s">
        <v>944</v>
      </c>
      <c r="AA462" s="289"/>
      <c r="AB462" s="289">
        <v>15985</v>
      </c>
      <c r="AC462" s="289"/>
      <c r="AD462" s="289" t="s">
        <v>1446</v>
      </c>
      <c r="AE462" s="289" t="s">
        <v>410</v>
      </c>
      <c r="AF462" s="290" t="s">
        <v>1447</v>
      </c>
      <c r="AG462" s="289"/>
      <c r="AH462" s="290" t="s">
        <v>1448</v>
      </c>
      <c r="AI462" s="289">
        <v>0</v>
      </c>
      <c r="AJ462" s="289">
        <v>0</v>
      </c>
    </row>
    <row r="463" spans="2:36">
      <c r="B463" s="290">
        <v>2111</v>
      </c>
      <c r="C463" s="294">
        <v>211496</v>
      </c>
      <c r="D463" s="290" t="s">
        <v>944</v>
      </c>
      <c r="E463" s="289" t="s">
        <v>1972</v>
      </c>
      <c r="F463" s="290"/>
      <c r="G463" s="289"/>
      <c r="H463" s="289"/>
      <c r="I463" s="289" t="s">
        <v>1584</v>
      </c>
      <c r="J463" s="289">
        <v>0</v>
      </c>
      <c r="K463" s="289" t="s">
        <v>1973</v>
      </c>
      <c r="L463" s="289"/>
      <c r="M463" s="289"/>
      <c r="N463" s="293">
        <v>43555</v>
      </c>
      <c r="O463" s="293">
        <v>43555</v>
      </c>
      <c r="P463" s="289" t="s">
        <v>1974</v>
      </c>
      <c r="Q463" s="290">
        <v>0</v>
      </c>
      <c r="R463" s="290">
        <v>14000</v>
      </c>
      <c r="S463" s="291">
        <v>15428.17</v>
      </c>
      <c r="T463" s="290"/>
      <c r="U463" s="291">
        <v>0</v>
      </c>
      <c r="V463" s="291">
        <f t="shared" si="7"/>
        <v>15428.17</v>
      </c>
      <c r="W463" s="292">
        <v>0</v>
      </c>
      <c r="X463" s="290"/>
      <c r="Y463" s="291">
        <v>0</v>
      </c>
      <c r="Z463" s="289" t="s">
        <v>944</v>
      </c>
      <c r="AA463" s="289"/>
      <c r="AB463" s="289" t="s">
        <v>1975</v>
      </c>
      <c r="AC463" s="289"/>
      <c r="AD463" s="289" t="s">
        <v>1446</v>
      </c>
      <c r="AE463" s="289" t="s">
        <v>410</v>
      </c>
      <c r="AF463" s="290" t="s">
        <v>1660</v>
      </c>
      <c r="AG463" s="289"/>
      <c r="AH463" s="290" t="s">
        <v>1448</v>
      </c>
      <c r="AI463" s="289">
        <v>0</v>
      </c>
      <c r="AJ463" s="289">
        <v>0</v>
      </c>
    </row>
    <row r="464" spans="2:36">
      <c r="B464" s="290">
        <v>2111</v>
      </c>
      <c r="C464" s="294">
        <v>211495</v>
      </c>
      <c r="D464" s="290" t="s">
        <v>944</v>
      </c>
      <c r="E464" s="289" t="s">
        <v>1972</v>
      </c>
      <c r="F464" s="290"/>
      <c r="G464" s="289"/>
      <c r="H464" s="289"/>
      <c r="I464" s="289" t="s">
        <v>1584</v>
      </c>
      <c r="J464" s="289">
        <v>0</v>
      </c>
      <c r="K464" s="289" t="s">
        <v>1973</v>
      </c>
      <c r="L464" s="289"/>
      <c r="M464" s="289"/>
      <c r="N464" s="293">
        <v>43555</v>
      </c>
      <c r="O464" s="293">
        <v>43555</v>
      </c>
      <c r="P464" s="289" t="s">
        <v>1976</v>
      </c>
      <c r="Q464" s="290">
        <v>0</v>
      </c>
      <c r="R464" s="290">
        <v>14000</v>
      </c>
      <c r="S464" s="291">
        <v>1695.6</v>
      </c>
      <c r="T464" s="290"/>
      <c r="U464" s="291">
        <v>0</v>
      </c>
      <c r="V464" s="291">
        <f t="shared" si="7"/>
        <v>1695.6</v>
      </c>
      <c r="W464" s="292">
        <v>0</v>
      </c>
      <c r="X464" s="290"/>
      <c r="Y464" s="291">
        <v>0</v>
      </c>
      <c r="Z464" s="289" t="s">
        <v>944</v>
      </c>
      <c r="AA464" s="289"/>
      <c r="AB464" s="289" t="s">
        <v>1975</v>
      </c>
      <c r="AC464" s="289"/>
      <c r="AD464" s="289" t="s">
        <v>1446</v>
      </c>
      <c r="AE464" s="289" t="s">
        <v>410</v>
      </c>
      <c r="AF464" s="290" t="s">
        <v>1660</v>
      </c>
      <c r="AG464" s="289"/>
      <c r="AH464" s="290" t="s">
        <v>1448</v>
      </c>
      <c r="AI464" s="289">
        <v>0</v>
      </c>
      <c r="AJ464" s="289">
        <v>0</v>
      </c>
    </row>
    <row r="465" spans="2:36">
      <c r="B465" s="290">
        <v>2111</v>
      </c>
      <c r="C465" s="294">
        <v>211105</v>
      </c>
      <c r="D465" s="290" t="s">
        <v>944</v>
      </c>
      <c r="E465" s="289" t="s">
        <v>1977</v>
      </c>
      <c r="F465" s="290"/>
      <c r="G465" s="289"/>
      <c r="H465" s="289"/>
      <c r="I465" s="289"/>
      <c r="J465" s="289">
        <v>0</v>
      </c>
      <c r="K465" s="289"/>
      <c r="L465" s="289"/>
      <c r="M465" s="289"/>
      <c r="N465" s="293">
        <v>43466</v>
      </c>
      <c r="O465" s="293">
        <v>43466</v>
      </c>
      <c r="P465" s="289" t="s">
        <v>1978</v>
      </c>
      <c r="Q465" s="290">
        <v>2000</v>
      </c>
      <c r="R465" s="290">
        <v>14080</v>
      </c>
      <c r="S465" s="291">
        <v>9590.25</v>
      </c>
      <c r="T465" s="290">
        <v>14086</v>
      </c>
      <c r="U465" s="291">
        <v>1718.24</v>
      </c>
      <c r="V465" s="291">
        <f t="shared" si="7"/>
        <v>7872.01</v>
      </c>
      <c r="W465" s="292">
        <v>279.70999999999998</v>
      </c>
      <c r="X465" s="290">
        <v>57260</v>
      </c>
      <c r="Y465" s="291">
        <v>39.950000000000003</v>
      </c>
      <c r="Z465" s="289" t="s">
        <v>944</v>
      </c>
      <c r="AA465" s="289"/>
      <c r="AB465" s="289" t="s">
        <v>1979</v>
      </c>
      <c r="AC465" s="289"/>
      <c r="AD465" s="289" t="s">
        <v>1446</v>
      </c>
      <c r="AE465" s="289" t="s">
        <v>410</v>
      </c>
      <c r="AF465" s="290" t="s">
        <v>1447</v>
      </c>
      <c r="AG465" s="289"/>
      <c r="AH465" s="290" t="s">
        <v>1448</v>
      </c>
      <c r="AI465" s="289">
        <v>0</v>
      </c>
      <c r="AJ465" s="289">
        <v>0</v>
      </c>
    </row>
    <row r="466" spans="2:36">
      <c r="B466" s="290">
        <v>2111</v>
      </c>
      <c r="C466" s="294">
        <v>211102</v>
      </c>
      <c r="D466" s="290">
        <v>102187</v>
      </c>
      <c r="E466" s="289" t="s">
        <v>1252</v>
      </c>
      <c r="F466" s="290"/>
      <c r="G466" s="289"/>
      <c r="H466" s="289"/>
      <c r="I466" s="289" t="s">
        <v>1584</v>
      </c>
      <c r="J466" s="289">
        <v>0</v>
      </c>
      <c r="K466" s="289" t="s">
        <v>1980</v>
      </c>
      <c r="L466" s="289"/>
      <c r="M466" s="289"/>
      <c r="N466" s="293">
        <v>43466</v>
      </c>
      <c r="O466" s="293">
        <v>43466</v>
      </c>
      <c r="P466" s="289" t="s">
        <v>1981</v>
      </c>
      <c r="Q466" s="290">
        <v>300</v>
      </c>
      <c r="R466" s="290">
        <v>14040</v>
      </c>
      <c r="S466" s="291">
        <v>25377</v>
      </c>
      <c r="T466" s="290">
        <v>14046</v>
      </c>
      <c r="U466" s="291">
        <v>25377</v>
      </c>
      <c r="V466" s="291">
        <f t="shared" si="7"/>
        <v>0</v>
      </c>
      <c r="W466" s="292">
        <v>0</v>
      </c>
      <c r="X466" s="290">
        <v>51260</v>
      </c>
      <c r="Y466" s="291">
        <v>0</v>
      </c>
      <c r="Z466" s="289" t="s">
        <v>944</v>
      </c>
      <c r="AA466" s="289"/>
      <c r="AB466" s="289" t="s">
        <v>1982</v>
      </c>
      <c r="AC466" s="289"/>
      <c r="AD466" s="289" t="s">
        <v>1446</v>
      </c>
      <c r="AE466" s="289" t="s">
        <v>410</v>
      </c>
      <c r="AF466" s="290" t="s">
        <v>1447</v>
      </c>
      <c r="AG466" s="289"/>
      <c r="AH466" s="290" t="s">
        <v>1448</v>
      </c>
      <c r="AI466" s="289">
        <v>0</v>
      </c>
      <c r="AJ466" s="289">
        <v>0</v>
      </c>
    </row>
    <row r="467" spans="2:36">
      <c r="B467" s="290">
        <v>2111</v>
      </c>
      <c r="C467" s="294">
        <v>210046</v>
      </c>
      <c r="D467" s="290">
        <v>210037</v>
      </c>
      <c r="E467" s="289" t="s">
        <v>1983</v>
      </c>
      <c r="F467" s="290"/>
      <c r="G467" s="289"/>
      <c r="H467" s="289" t="s">
        <v>1984</v>
      </c>
      <c r="I467" s="289"/>
      <c r="J467" s="289">
        <v>2019</v>
      </c>
      <c r="K467" s="289" t="s">
        <v>1985</v>
      </c>
      <c r="L467" s="289"/>
      <c r="M467" s="289" t="s">
        <v>1467</v>
      </c>
      <c r="N467" s="293">
        <v>43466</v>
      </c>
      <c r="O467" s="293">
        <v>43466</v>
      </c>
      <c r="P467" s="289" t="s">
        <v>1986</v>
      </c>
      <c r="Q467" s="290">
        <v>300</v>
      </c>
      <c r="R467" s="290">
        <v>14030</v>
      </c>
      <c r="S467" s="291">
        <v>5336.04</v>
      </c>
      <c r="T467" s="290">
        <v>14036</v>
      </c>
      <c r="U467" s="291">
        <v>5336.04</v>
      </c>
      <c r="V467" s="291">
        <f t="shared" si="7"/>
        <v>0</v>
      </c>
      <c r="W467" s="292">
        <v>0</v>
      </c>
      <c r="X467" s="290">
        <v>51260</v>
      </c>
      <c r="Y467" s="291">
        <v>0</v>
      </c>
      <c r="Z467" s="289" t="s">
        <v>944</v>
      </c>
      <c r="AA467" s="289"/>
      <c r="AB467" s="289" t="s">
        <v>1987</v>
      </c>
      <c r="AC467" s="289"/>
      <c r="AD467" s="289" t="s">
        <v>1446</v>
      </c>
      <c r="AE467" s="289" t="s">
        <v>410</v>
      </c>
      <c r="AF467" s="290" t="s">
        <v>1447</v>
      </c>
      <c r="AG467" s="289"/>
      <c r="AH467" s="290" t="s">
        <v>1448</v>
      </c>
      <c r="AI467" s="289">
        <v>0</v>
      </c>
      <c r="AJ467" s="289">
        <v>0</v>
      </c>
    </row>
    <row r="468" spans="2:36">
      <c r="B468" s="290">
        <v>2111</v>
      </c>
      <c r="C468" s="294">
        <v>210045</v>
      </c>
      <c r="D468" s="290">
        <v>210037</v>
      </c>
      <c r="E468" s="289" t="s">
        <v>1988</v>
      </c>
      <c r="F468" s="290"/>
      <c r="G468" s="289"/>
      <c r="H468" s="289" t="s">
        <v>1984</v>
      </c>
      <c r="I468" s="289"/>
      <c r="J468" s="289">
        <v>2019</v>
      </c>
      <c r="K468" s="289" t="s">
        <v>1985</v>
      </c>
      <c r="L468" s="289"/>
      <c r="M468" s="289" t="s">
        <v>1467</v>
      </c>
      <c r="N468" s="293">
        <v>43466</v>
      </c>
      <c r="O468" s="293">
        <v>43466</v>
      </c>
      <c r="P468" s="289" t="s">
        <v>1986</v>
      </c>
      <c r="Q468" s="290">
        <v>300</v>
      </c>
      <c r="R468" s="290">
        <v>14030</v>
      </c>
      <c r="S468" s="291">
        <v>5336.04</v>
      </c>
      <c r="T468" s="290">
        <v>14036</v>
      </c>
      <c r="U468" s="291">
        <v>5336.04</v>
      </c>
      <c r="V468" s="291">
        <f t="shared" si="7"/>
        <v>0</v>
      </c>
      <c r="W468" s="292">
        <v>0</v>
      </c>
      <c r="X468" s="290">
        <v>51260</v>
      </c>
      <c r="Y468" s="291">
        <v>0</v>
      </c>
      <c r="Z468" s="289" t="s">
        <v>944</v>
      </c>
      <c r="AA468" s="289"/>
      <c r="AB468" s="289" t="s">
        <v>1987</v>
      </c>
      <c r="AC468" s="289"/>
      <c r="AD468" s="289" t="s">
        <v>1446</v>
      </c>
      <c r="AE468" s="289" t="s">
        <v>410</v>
      </c>
      <c r="AF468" s="290" t="s">
        <v>1447</v>
      </c>
      <c r="AG468" s="289"/>
      <c r="AH468" s="290" t="s">
        <v>1448</v>
      </c>
      <c r="AI468" s="289">
        <v>0</v>
      </c>
      <c r="AJ468" s="289">
        <v>0</v>
      </c>
    </row>
    <row r="469" spans="2:36">
      <c r="B469" s="290">
        <v>2111</v>
      </c>
      <c r="C469" s="294">
        <v>210044</v>
      </c>
      <c r="D469" s="290">
        <v>210037</v>
      </c>
      <c r="E469" s="289" t="s">
        <v>1989</v>
      </c>
      <c r="F469" s="290"/>
      <c r="G469" s="289"/>
      <c r="H469" s="289" t="s">
        <v>1984</v>
      </c>
      <c r="I469" s="289"/>
      <c r="J469" s="289">
        <v>2019</v>
      </c>
      <c r="K469" s="289" t="s">
        <v>1985</v>
      </c>
      <c r="L469" s="289"/>
      <c r="M469" s="289" t="s">
        <v>1467</v>
      </c>
      <c r="N469" s="293">
        <v>43466</v>
      </c>
      <c r="O469" s="293">
        <v>43466</v>
      </c>
      <c r="P469" s="289" t="s">
        <v>1986</v>
      </c>
      <c r="Q469" s="290">
        <v>300</v>
      </c>
      <c r="R469" s="290">
        <v>14030</v>
      </c>
      <c r="S469" s="291">
        <v>5336.04</v>
      </c>
      <c r="T469" s="290">
        <v>14036</v>
      </c>
      <c r="U469" s="291">
        <v>5336.04</v>
      </c>
      <c r="V469" s="291">
        <f t="shared" si="7"/>
        <v>0</v>
      </c>
      <c r="W469" s="292">
        <v>0</v>
      </c>
      <c r="X469" s="290">
        <v>51260</v>
      </c>
      <c r="Y469" s="291">
        <v>0</v>
      </c>
      <c r="Z469" s="289" t="s">
        <v>944</v>
      </c>
      <c r="AA469" s="289"/>
      <c r="AB469" s="289" t="s">
        <v>1987</v>
      </c>
      <c r="AC469" s="289"/>
      <c r="AD469" s="289" t="s">
        <v>1446</v>
      </c>
      <c r="AE469" s="289" t="s">
        <v>410</v>
      </c>
      <c r="AF469" s="290" t="s">
        <v>1447</v>
      </c>
      <c r="AG469" s="289"/>
      <c r="AH469" s="290" t="s">
        <v>1448</v>
      </c>
      <c r="AI469" s="289">
        <v>0</v>
      </c>
      <c r="AJ469" s="289">
        <v>0</v>
      </c>
    </row>
    <row r="470" spans="2:36">
      <c r="B470" s="290">
        <v>2111</v>
      </c>
      <c r="C470" s="294">
        <v>210043</v>
      </c>
      <c r="D470" s="290">
        <v>210037</v>
      </c>
      <c r="E470" s="289" t="s">
        <v>1990</v>
      </c>
      <c r="F470" s="290"/>
      <c r="G470" s="289"/>
      <c r="H470" s="289" t="s">
        <v>1984</v>
      </c>
      <c r="I470" s="289"/>
      <c r="J470" s="289">
        <v>2019</v>
      </c>
      <c r="K470" s="289" t="s">
        <v>1985</v>
      </c>
      <c r="L470" s="289"/>
      <c r="M470" s="289" t="s">
        <v>1467</v>
      </c>
      <c r="N470" s="293">
        <v>43466</v>
      </c>
      <c r="O470" s="293">
        <v>43466</v>
      </c>
      <c r="P470" s="289" t="s">
        <v>1986</v>
      </c>
      <c r="Q470" s="290">
        <v>300</v>
      </c>
      <c r="R470" s="290">
        <v>14030</v>
      </c>
      <c r="S470" s="291">
        <v>5336.04</v>
      </c>
      <c r="T470" s="290">
        <v>14036</v>
      </c>
      <c r="U470" s="291">
        <v>5336.04</v>
      </c>
      <c r="V470" s="291">
        <f t="shared" si="7"/>
        <v>0</v>
      </c>
      <c r="W470" s="292">
        <v>0</v>
      </c>
      <c r="X470" s="290">
        <v>51260</v>
      </c>
      <c r="Y470" s="291">
        <v>0</v>
      </c>
      <c r="Z470" s="289" t="s">
        <v>944</v>
      </c>
      <c r="AA470" s="289"/>
      <c r="AB470" s="289" t="s">
        <v>1987</v>
      </c>
      <c r="AC470" s="289"/>
      <c r="AD470" s="289" t="s">
        <v>1446</v>
      </c>
      <c r="AE470" s="289" t="s">
        <v>410</v>
      </c>
      <c r="AF470" s="290" t="s">
        <v>1447</v>
      </c>
      <c r="AG470" s="289"/>
      <c r="AH470" s="290" t="s">
        <v>1448</v>
      </c>
      <c r="AI470" s="289">
        <v>0</v>
      </c>
      <c r="AJ470" s="289">
        <v>0</v>
      </c>
    </row>
    <row r="471" spans="2:36">
      <c r="B471" s="290">
        <v>2111</v>
      </c>
      <c r="C471" s="294">
        <v>210042</v>
      </c>
      <c r="D471" s="290">
        <v>210037</v>
      </c>
      <c r="E471" s="289" t="s">
        <v>1991</v>
      </c>
      <c r="F471" s="290"/>
      <c r="G471" s="289"/>
      <c r="H471" s="289" t="s">
        <v>1984</v>
      </c>
      <c r="I471" s="289"/>
      <c r="J471" s="289">
        <v>2019</v>
      </c>
      <c r="K471" s="289" t="s">
        <v>1985</v>
      </c>
      <c r="L471" s="289"/>
      <c r="M471" s="289" t="s">
        <v>1467</v>
      </c>
      <c r="N471" s="293">
        <v>43466</v>
      </c>
      <c r="O471" s="293">
        <v>43466</v>
      </c>
      <c r="P471" s="289" t="s">
        <v>1986</v>
      </c>
      <c r="Q471" s="290">
        <v>300</v>
      </c>
      <c r="R471" s="290">
        <v>14030</v>
      </c>
      <c r="S471" s="291">
        <v>8893.4</v>
      </c>
      <c r="T471" s="290">
        <v>14036</v>
      </c>
      <c r="U471" s="291">
        <v>8893.4</v>
      </c>
      <c r="V471" s="291">
        <f t="shared" si="7"/>
        <v>0</v>
      </c>
      <c r="W471" s="292">
        <v>0</v>
      </c>
      <c r="X471" s="290">
        <v>51260</v>
      </c>
      <c r="Y471" s="291">
        <v>0</v>
      </c>
      <c r="Z471" s="289" t="s">
        <v>944</v>
      </c>
      <c r="AA471" s="289"/>
      <c r="AB471" s="289" t="s">
        <v>1987</v>
      </c>
      <c r="AC471" s="289"/>
      <c r="AD471" s="289" t="s">
        <v>1446</v>
      </c>
      <c r="AE471" s="289" t="s">
        <v>410</v>
      </c>
      <c r="AF471" s="290" t="s">
        <v>1447</v>
      </c>
      <c r="AG471" s="289"/>
      <c r="AH471" s="290" t="s">
        <v>1448</v>
      </c>
      <c r="AI471" s="289">
        <v>0</v>
      </c>
      <c r="AJ471" s="289">
        <v>0</v>
      </c>
    </row>
    <row r="472" spans="2:36">
      <c r="B472" s="290">
        <v>2111</v>
      </c>
      <c r="C472" s="294">
        <v>210041</v>
      </c>
      <c r="D472" s="290">
        <v>210037</v>
      </c>
      <c r="E472" s="289" t="s">
        <v>1992</v>
      </c>
      <c r="F472" s="290"/>
      <c r="G472" s="289"/>
      <c r="H472" s="289" t="s">
        <v>1984</v>
      </c>
      <c r="I472" s="289"/>
      <c r="J472" s="289">
        <v>2019</v>
      </c>
      <c r="K472" s="289" t="s">
        <v>1985</v>
      </c>
      <c r="L472" s="289"/>
      <c r="M472" s="289" t="s">
        <v>1467</v>
      </c>
      <c r="N472" s="293">
        <v>43466</v>
      </c>
      <c r="O472" s="293">
        <v>43466</v>
      </c>
      <c r="P472" s="289" t="s">
        <v>1986</v>
      </c>
      <c r="Q472" s="290">
        <v>300</v>
      </c>
      <c r="R472" s="290">
        <v>14030</v>
      </c>
      <c r="S472" s="291">
        <v>8893.4</v>
      </c>
      <c r="T472" s="290">
        <v>14036</v>
      </c>
      <c r="U472" s="291">
        <v>8893.4</v>
      </c>
      <c r="V472" s="291">
        <f t="shared" si="7"/>
        <v>0</v>
      </c>
      <c r="W472" s="292">
        <v>0</v>
      </c>
      <c r="X472" s="290">
        <v>51260</v>
      </c>
      <c r="Y472" s="291">
        <v>0</v>
      </c>
      <c r="Z472" s="289" t="s">
        <v>944</v>
      </c>
      <c r="AA472" s="289"/>
      <c r="AB472" s="289" t="s">
        <v>1987</v>
      </c>
      <c r="AC472" s="289"/>
      <c r="AD472" s="289" t="s">
        <v>1446</v>
      </c>
      <c r="AE472" s="289" t="s">
        <v>410</v>
      </c>
      <c r="AF472" s="290" t="s">
        <v>1447</v>
      </c>
      <c r="AG472" s="289"/>
      <c r="AH472" s="290" t="s">
        <v>1448</v>
      </c>
      <c r="AI472" s="289">
        <v>0</v>
      </c>
      <c r="AJ472" s="289">
        <v>0</v>
      </c>
    </row>
    <row r="473" spans="2:36">
      <c r="B473" s="290">
        <v>2111</v>
      </c>
      <c r="C473" s="294">
        <v>210040</v>
      </c>
      <c r="D473" s="290">
        <v>210037</v>
      </c>
      <c r="E473" s="289" t="s">
        <v>1993</v>
      </c>
      <c r="F473" s="290"/>
      <c r="G473" s="289"/>
      <c r="H473" s="289" t="s">
        <v>1984</v>
      </c>
      <c r="I473" s="289"/>
      <c r="J473" s="289">
        <v>2019</v>
      </c>
      <c r="K473" s="289" t="s">
        <v>1985</v>
      </c>
      <c r="L473" s="289"/>
      <c r="M473" s="289" t="s">
        <v>1467</v>
      </c>
      <c r="N473" s="293">
        <v>43466</v>
      </c>
      <c r="O473" s="293">
        <v>43466</v>
      </c>
      <c r="P473" s="289" t="s">
        <v>1986</v>
      </c>
      <c r="Q473" s="290">
        <v>300</v>
      </c>
      <c r="R473" s="290">
        <v>14030</v>
      </c>
      <c r="S473" s="291">
        <v>7114.72</v>
      </c>
      <c r="T473" s="290">
        <v>14036</v>
      </c>
      <c r="U473" s="291">
        <v>7114.72</v>
      </c>
      <c r="V473" s="291">
        <f t="shared" si="7"/>
        <v>0</v>
      </c>
      <c r="W473" s="292">
        <v>0</v>
      </c>
      <c r="X473" s="290">
        <v>51260</v>
      </c>
      <c r="Y473" s="291">
        <v>0</v>
      </c>
      <c r="Z473" s="289" t="s">
        <v>944</v>
      </c>
      <c r="AA473" s="289"/>
      <c r="AB473" s="289" t="s">
        <v>1987</v>
      </c>
      <c r="AC473" s="289"/>
      <c r="AD473" s="289" t="s">
        <v>1446</v>
      </c>
      <c r="AE473" s="289" t="s">
        <v>410</v>
      </c>
      <c r="AF473" s="290" t="s">
        <v>1447</v>
      </c>
      <c r="AG473" s="289"/>
      <c r="AH473" s="290" t="s">
        <v>1448</v>
      </c>
      <c r="AI473" s="289">
        <v>0</v>
      </c>
      <c r="AJ473" s="289">
        <v>0</v>
      </c>
    </row>
    <row r="474" spans="2:36">
      <c r="B474" s="290">
        <v>2111</v>
      </c>
      <c r="C474" s="294">
        <v>210039</v>
      </c>
      <c r="D474" s="290">
        <v>210037</v>
      </c>
      <c r="E474" s="289" t="s">
        <v>1994</v>
      </c>
      <c r="F474" s="290"/>
      <c r="G474" s="289"/>
      <c r="H474" s="289" t="s">
        <v>1984</v>
      </c>
      <c r="I474" s="289"/>
      <c r="J474" s="289">
        <v>2019</v>
      </c>
      <c r="K474" s="289" t="s">
        <v>1985</v>
      </c>
      <c r="L474" s="289"/>
      <c r="M474" s="289" t="s">
        <v>1467</v>
      </c>
      <c r="N474" s="293">
        <v>43466</v>
      </c>
      <c r="O474" s="293">
        <v>43466</v>
      </c>
      <c r="P474" s="289" t="s">
        <v>1986</v>
      </c>
      <c r="Q474" s="290">
        <v>300</v>
      </c>
      <c r="R474" s="290">
        <v>14030</v>
      </c>
      <c r="S474" s="291">
        <v>14229.44</v>
      </c>
      <c r="T474" s="290">
        <v>14036</v>
      </c>
      <c r="U474" s="291">
        <v>14229.44</v>
      </c>
      <c r="V474" s="291">
        <f t="shared" si="7"/>
        <v>0</v>
      </c>
      <c r="W474" s="292">
        <v>0</v>
      </c>
      <c r="X474" s="290">
        <v>51260</v>
      </c>
      <c r="Y474" s="291">
        <v>0</v>
      </c>
      <c r="Z474" s="289" t="s">
        <v>944</v>
      </c>
      <c r="AA474" s="289"/>
      <c r="AB474" s="289" t="s">
        <v>1987</v>
      </c>
      <c r="AC474" s="289"/>
      <c r="AD474" s="289" t="s">
        <v>1446</v>
      </c>
      <c r="AE474" s="289" t="s">
        <v>410</v>
      </c>
      <c r="AF474" s="290" t="s">
        <v>1447</v>
      </c>
      <c r="AG474" s="289"/>
      <c r="AH474" s="290" t="s">
        <v>1448</v>
      </c>
      <c r="AI474" s="289">
        <v>0</v>
      </c>
      <c r="AJ474" s="289">
        <v>0</v>
      </c>
    </row>
    <row r="475" spans="2:36">
      <c r="B475" s="290">
        <v>2111</v>
      </c>
      <c r="C475" s="294">
        <v>210038</v>
      </c>
      <c r="D475" s="290">
        <v>210037</v>
      </c>
      <c r="E475" s="289" t="s">
        <v>1995</v>
      </c>
      <c r="F475" s="290"/>
      <c r="G475" s="289"/>
      <c r="H475" s="289" t="s">
        <v>1984</v>
      </c>
      <c r="I475" s="289"/>
      <c r="J475" s="289">
        <v>2019</v>
      </c>
      <c r="K475" s="289" t="s">
        <v>1985</v>
      </c>
      <c r="L475" s="289"/>
      <c r="M475" s="289" t="s">
        <v>1467</v>
      </c>
      <c r="N475" s="293">
        <v>43466</v>
      </c>
      <c r="O475" s="293">
        <v>43466</v>
      </c>
      <c r="P475" s="289" t="s">
        <v>1986</v>
      </c>
      <c r="Q475" s="290">
        <v>300</v>
      </c>
      <c r="R475" s="290">
        <v>14030</v>
      </c>
      <c r="S475" s="291">
        <v>21344.17</v>
      </c>
      <c r="T475" s="290">
        <v>14036</v>
      </c>
      <c r="U475" s="291">
        <v>21344.17</v>
      </c>
      <c r="V475" s="291">
        <f t="shared" si="7"/>
        <v>0</v>
      </c>
      <c r="W475" s="292">
        <v>0</v>
      </c>
      <c r="X475" s="290">
        <v>51260</v>
      </c>
      <c r="Y475" s="291">
        <v>0</v>
      </c>
      <c r="Z475" s="289" t="s">
        <v>944</v>
      </c>
      <c r="AA475" s="289"/>
      <c r="AB475" s="289" t="s">
        <v>1987</v>
      </c>
      <c r="AC475" s="289"/>
      <c r="AD475" s="289" t="s">
        <v>1446</v>
      </c>
      <c r="AE475" s="289" t="s">
        <v>410</v>
      </c>
      <c r="AF475" s="290" t="s">
        <v>1447</v>
      </c>
      <c r="AG475" s="289"/>
      <c r="AH475" s="290" t="s">
        <v>1448</v>
      </c>
      <c r="AI475" s="289">
        <v>0</v>
      </c>
      <c r="AJ475" s="289">
        <v>0</v>
      </c>
    </row>
    <row r="476" spans="2:36">
      <c r="B476" s="290">
        <v>2111</v>
      </c>
      <c r="C476" s="294">
        <v>210037</v>
      </c>
      <c r="D476" s="290" t="s">
        <v>944</v>
      </c>
      <c r="E476" s="289" t="s">
        <v>1996</v>
      </c>
      <c r="F476" s="290"/>
      <c r="G476" s="289"/>
      <c r="H476" s="289" t="s">
        <v>1984</v>
      </c>
      <c r="I476" s="289"/>
      <c r="J476" s="289">
        <v>2019</v>
      </c>
      <c r="K476" s="289" t="s">
        <v>1985</v>
      </c>
      <c r="L476" s="289"/>
      <c r="M476" s="289" t="s">
        <v>1041</v>
      </c>
      <c r="N476" s="293">
        <v>43466</v>
      </c>
      <c r="O476" s="293">
        <v>43466</v>
      </c>
      <c r="P476" s="289" t="s">
        <v>1986</v>
      </c>
      <c r="Q476" s="290">
        <v>1200</v>
      </c>
      <c r="R476" s="290">
        <v>14030</v>
      </c>
      <c r="S476" s="291">
        <v>96048.76</v>
      </c>
      <c r="T476" s="290">
        <v>14036</v>
      </c>
      <c r="U476" s="291">
        <v>28681.22</v>
      </c>
      <c r="V476" s="291">
        <f t="shared" si="7"/>
        <v>67367.539999999994</v>
      </c>
      <c r="W476" s="292">
        <v>4669.04</v>
      </c>
      <c r="X476" s="290">
        <v>51260</v>
      </c>
      <c r="Y476" s="291">
        <v>667.01</v>
      </c>
      <c r="Z476" s="289" t="s">
        <v>944</v>
      </c>
      <c r="AA476" s="289"/>
      <c r="AB476" s="289" t="s">
        <v>1987</v>
      </c>
      <c r="AC476" s="289" t="s">
        <v>1997</v>
      </c>
      <c r="AD476" s="289" t="s">
        <v>1446</v>
      </c>
      <c r="AE476" s="289" t="s">
        <v>410</v>
      </c>
      <c r="AF476" s="290" t="s">
        <v>1447</v>
      </c>
      <c r="AG476" s="289"/>
      <c r="AH476" s="290" t="s">
        <v>1448</v>
      </c>
      <c r="AI476" s="289">
        <v>0</v>
      </c>
      <c r="AJ476" s="289">
        <v>0</v>
      </c>
    </row>
    <row r="477" spans="2:36">
      <c r="B477" s="290">
        <v>2111</v>
      </c>
      <c r="C477" s="294">
        <v>209120</v>
      </c>
      <c r="D477" s="290">
        <v>25019</v>
      </c>
      <c r="E477" s="289" t="s">
        <v>1998</v>
      </c>
      <c r="F477" s="290"/>
      <c r="G477" s="289"/>
      <c r="H477" s="289"/>
      <c r="I477" s="289"/>
      <c r="J477" s="289">
        <v>0</v>
      </c>
      <c r="K477" s="289" t="s">
        <v>1759</v>
      </c>
      <c r="L477" s="289"/>
      <c r="M477" s="289" t="s">
        <v>1586</v>
      </c>
      <c r="N477" s="293">
        <v>43466</v>
      </c>
      <c r="O477" s="293">
        <v>43466</v>
      </c>
      <c r="P477" s="289" t="s">
        <v>1999</v>
      </c>
      <c r="Q477" s="290">
        <v>210</v>
      </c>
      <c r="R477" s="290">
        <v>14040</v>
      </c>
      <c r="S477" s="291">
        <v>12383.93</v>
      </c>
      <c r="T477" s="290">
        <v>14046</v>
      </c>
      <c r="U477" s="291">
        <v>12383.93</v>
      </c>
      <c r="V477" s="291">
        <f t="shared" si="7"/>
        <v>0</v>
      </c>
      <c r="W477" s="292">
        <v>0</v>
      </c>
      <c r="X477" s="290">
        <v>51260</v>
      </c>
      <c r="Y477" s="291">
        <v>0</v>
      </c>
      <c r="Z477" s="289" t="s">
        <v>944</v>
      </c>
      <c r="AA477" s="289"/>
      <c r="AB477" s="289" t="s">
        <v>2000</v>
      </c>
      <c r="AC477" s="289"/>
      <c r="AD477" s="289" t="s">
        <v>1446</v>
      </c>
      <c r="AE477" s="289" t="s">
        <v>410</v>
      </c>
      <c r="AF477" s="290" t="s">
        <v>1447</v>
      </c>
      <c r="AG477" s="289"/>
      <c r="AH477" s="290" t="s">
        <v>1448</v>
      </c>
      <c r="AI477" s="289">
        <v>0</v>
      </c>
      <c r="AJ477" s="289">
        <v>0</v>
      </c>
    </row>
    <row r="478" spans="2:36">
      <c r="B478" s="290">
        <v>2111</v>
      </c>
      <c r="C478" s="294">
        <v>208020</v>
      </c>
      <c r="D478" s="290">
        <v>202939</v>
      </c>
      <c r="E478" s="289" t="s">
        <v>1253</v>
      </c>
      <c r="F478" s="290"/>
      <c r="G478" s="289"/>
      <c r="H478" s="289"/>
      <c r="I478" s="289"/>
      <c r="J478" s="289">
        <v>0</v>
      </c>
      <c r="K478" s="289" t="s">
        <v>2001</v>
      </c>
      <c r="L478" s="289"/>
      <c r="M478" s="289" t="s">
        <v>1467</v>
      </c>
      <c r="N478" s="293">
        <v>43328</v>
      </c>
      <c r="O478" s="293">
        <v>43328</v>
      </c>
      <c r="P478" s="289" t="s">
        <v>2002</v>
      </c>
      <c r="Q478" s="290">
        <v>500</v>
      </c>
      <c r="R478" s="290">
        <v>14040</v>
      </c>
      <c r="S478" s="291">
        <v>471.37</v>
      </c>
      <c r="T478" s="290">
        <v>14046</v>
      </c>
      <c r="U478" s="291">
        <v>369.23</v>
      </c>
      <c r="V478" s="291">
        <f t="shared" si="7"/>
        <v>102.13999999999999</v>
      </c>
      <c r="W478" s="292">
        <v>54.99</v>
      </c>
      <c r="X478" s="290">
        <v>51260</v>
      </c>
      <c r="Y478" s="291">
        <v>7.85</v>
      </c>
      <c r="Z478" s="289" t="s">
        <v>944</v>
      </c>
      <c r="AA478" s="289"/>
      <c r="AB478" s="289">
        <v>5135690</v>
      </c>
      <c r="AC478" s="289"/>
      <c r="AD478" s="289" t="s">
        <v>1446</v>
      </c>
      <c r="AE478" s="289" t="s">
        <v>410</v>
      </c>
      <c r="AF478" s="290" t="s">
        <v>1447</v>
      </c>
      <c r="AG478" s="289"/>
      <c r="AH478" s="290" t="s">
        <v>1448</v>
      </c>
      <c r="AI478" s="289">
        <v>0</v>
      </c>
      <c r="AJ478" s="289">
        <v>0</v>
      </c>
    </row>
    <row r="479" spans="2:36">
      <c r="B479" s="290">
        <v>2111</v>
      </c>
      <c r="C479" s="294">
        <v>208019</v>
      </c>
      <c r="D479" s="290">
        <v>102347</v>
      </c>
      <c r="E479" s="289" t="s">
        <v>1254</v>
      </c>
      <c r="F479" s="290"/>
      <c r="G479" s="289"/>
      <c r="H479" s="289"/>
      <c r="I479" s="289"/>
      <c r="J479" s="289">
        <v>0</v>
      </c>
      <c r="K479" s="289" t="s">
        <v>2003</v>
      </c>
      <c r="L479" s="289"/>
      <c r="M479" s="289" t="s">
        <v>1467</v>
      </c>
      <c r="N479" s="293">
        <v>43430</v>
      </c>
      <c r="O479" s="293">
        <v>43430</v>
      </c>
      <c r="P479" s="289" t="s">
        <v>2004</v>
      </c>
      <c r="Q479" s="290">
        <v>300</v>
      </c>
      <c r="R479" s="290">
        <v>14040</v>
      </c>
      <c r="S479" s="291">
        <v>26806.880000000001</v>
      </c>
      <c r="T479" s="290">
        <v>14046</v>
      </c>
      <c r="U479" s="291">
        <v>26806.880000000001</v>
      </c>
      <c r="V479" s="291">
        <f t="shared" si="7"/>
        <v>0</v>
      </c>
      <c r="W479" s="292">
        <v>0</v>
      </c>
      <c r="X479" s="290">
        <v>51260</v>
      </c>
      <c r="Y479" s="291">
        <v>0</v>
      </c>
      <c r="Z479" s="289" t="s">
        <v>944</v>
      </c>
      <c r="AA479" s="289"/>
      <c r="AB479" s="289">
        <v>30380</v>
      </c>
      <c r="AC479" s="289"/>
      <c r="AD479" s="289" t="s">
        <v>1446</v>
      </c>
      <c r="AE479" s="289" t="s">
        <v>410</v>
      </c>
      <c r="AF479" s="290" t="s">
        <v>1447</v>
      </c>
      <c r="AG479" s="289"/>
      <c r="AH479" s="290" t="s">
        <v>1448</v>
      </c>
      <c r="AI479" s="289">
        <v>0</v>
      </c>
      <c r="AJ479" s="289">
        <v>0</v>
      </c>
    </row>
    <row r="480" spans="2:36">
      <c r="B480" s="290">
        <v>2111</v>
      </c>
      <c r="C480" s="294">
        <v>207730</v>
      </c>
      <c r="D480" s="290" t="s">
        <v>944</v>
      </c>
      <c r="E480" s="289" t="s">
        <v>900</v>
      </c>
      <c r="F480" s="290">
        <v>624</v>
      </c>
      <c r="G480" s="289"/>
      <c r="H480" s="289"/>
      <c r="I480" s="289"/>
      <c r="J480" s="289">
        <v>0</v>
      </c>
      <c r="K480" s="289" t="s">
        <v>1755</v>
      </c>
      <c r="L480" s="289"/>
      <c r="M480" s="289"/>
      <c r="N480" s="293">
        <v>43411</v>
      </c>
      <c r="O480" s="293">
        <v>43411</v>
      </c>
      <c r="P480" s="289" t="s">
        <v>2005</v>
      </c>
      <c r="Q480" s="290">
        <v>700</v>
      </c>
      <c r="R480" s="290">
        <v>14050</v>
      </c>
      <c r="S480" s="291">
        <v>34653.24</v>
      </c>
      <c r="T480" s="290">
        <v>14056</v>
      </c>
      <c r="U480" s="291">
        <v>18564.23</v>
      </c>
      <c r="V480" s="291">
        <f t="shared" si="7"/>
        <v>16089.009999999998</v>
      </c>
      <c r="W480" s="292">
        <v>2887.77</v>
      </c>
      <c r="X480" s="290">
        <v>54260</v>
      </c>
      <c r="Y480" s="291">
        <v>412.54</v>
      </c>
      <c r="Z480" s="289" t="s">
        <v>944</v>
      </c>
      <c r="AA480" s="289"/>
      <c r="AB480" s="289">
        <v>65562516</v>
      </c>
      <c r="AC480" s="289"/>
      <c r="AD480" s="289" t="s">
        <v>1446</v>
      </c>
      <c r="AE480" s="289" t="s">
        <v>410</v>
      </c>
      <c r="AF480" s="290" t="s">
        <v>1447</v>
      </c>
      <c r="AG480" s="289"/>
      <c r="AH480" s="290" t="s">
        <v>1448</v>
      </c>
      <c r="AI480" s="289">
        <v>0</v>
      </c>
      <c r="AJ480" s="289">
        <v>0</v>
      </c>
    </row>
    <row r="481" spans="2:36">
      <c r="B481" s="290">
        <v>2111</v>
      </c>
      <c r="C481" s="294">
        <v>207729</v>
      </c>
      <c r="D481" s="290" t="s">
        <v>944</v>
      </c>
      <c r="E481" s="289" t="s">
        <v>903</v>
      </c>
      <c r="F481" s="290">
        <v>312</v>
      </c>
      <c r="G481" s="289"/>
      <c r="H481" s="289"/>
      <c r="I481" s="289"/>
      <c r="J481" s="289">
        <v>0</v>
      </c>
      <c r="K481" s="289" t="s">
        <v>1755</v>
      </c>
      <c r="L481" s="289"/>
      <c r="M481" s="289"/>
      <c r="N481" s="293">
        <v>43411</v>
      </c>
      <c r="O481" s="293">
        <v>43411</v>
      </c>
      <c r="P481" s="289" t="s">
        <v>2005</v>
      </c>
      <c r="Q481" s="290">
        <v>700</v>
      </c>
      <c r="R481" s="290">
        <v>14050</v>
      </c>
      <c r="S481" s="291">
        <v>16563.830000000002</v>
      </c>
      <c r="T481" s="290">
        <v>14056</v>
      </c>
      <c r="U481" s="291">
        <v>8873.48</v>
      </c>
      <c r="V481" s="291">
        <f t="shared" si="7"/>
        <v>7690.3500000000022</v>
      </c>
      <c r="W481" s="292">
        <v>1380.32</v>
      </c>
      <c r="X481" s="290">
        <v>54260</v>
      </c>
      <c r="Y481" s="291">
        <v>197.19</v>
      </c>
      <c r="Z481" s="289" t="s">
        <v>944</v>
      </c>
      <c r="AA481" s="289"/>
      <c r="AB481" s="289">
        <v>65563357</v>
      </c>
      <c r="AC481" s="289"/>
      <c r="AD481" s="289" t="s">
        <v>1446</v>
      </c>
      <c r="AE481" s="289" t="s">
        <v>410</v>
      </c>
      <c r="AF481" s="290" t="s">
        <v>1447</v>
      </c>
      <c r="AG481" s="289"/>
      <c r="AH481" s="290" t="s">
        <v>1448</v>
      </c>
      <c r="AI481" s="289">
        <v>0</v>
      </c>
      <c r="AJ481" s="289">
        <v>0</v>
      </c>
    </row>
    <row r="482" spans="2:36">
      <c r="B482" s="290">
        <v>2111</v>
      </c>
      <c r="C482" s="294">
        <v>207728</v>
      </c>
      <c r="D482" s="290" t="s">
        <v>944</v>
      </c>
      <c r="E482" s="289" t="s">
        <v>902</v>
      </c>
      <c r="F482" s="290">
        <v>432</v>
      </c>
      <c r="G482" s="289"/>
      <c r="H482" s="289"/>
      <c r="I482" s="289"/>
      <c r="J482" s="289">
        <v>0</v>
      </c>
      <c r="K482" s="289" t="s">
        <v>1755</v>
      </c>
      <c r="L482" s="289"/>
      <c r="M482" s="289"/>
      <c r="N482" s="293">
        <v>43411</v>
      </c>
      <c r="O482" s="293">
        <v>43411</v>
      </c>
      <c r="P482" s="289" t="s">
        <v>2005</v>
      </c>
      <c r="Q482" s="290">
        <v>700</v>
      </c>
      <c r="R482" s="290">
        <v>14050</v>
      </c>
      <c r="S482" s="291">
        <v>20205.03</v>
      </c>
      <c r="T482" s="290">
        <v>14056</v>
      </c>
      <c r="U482" s="291">
        <v>10824.11</v>
      </c>
      <c r="V482" s="291">
        <f t="shared" si="7"/>
        <v>9380.9199999999983</v>
      </c>
      <c r="W482" s="292">
        <v>1683.75</v>
      </c>
      <c r="X482" s="290">
        <v>54260</v>
      </c>
      <c r="Y482" s="291">
        <v>240.53</v>
      </c>
      <c r="Z482" s="289" t="s">
        <v>944</v>
      </c>
      <c r="AA482" s="289"/>
      <c r="AB482" s="289">
        <v>65563357</v>
      </c>
      <c r="AC482" s="289"/>
      <c r="AD482" s="289" t="s">
        <v>1446</v>
      </c>
      <c r="AE482" s="289" t="s">
        <v>410</v>
      </c>
      <c r="AF482" s="290" t="s">
        <v>1447</v>
      </c>
      <c r="AG482" s="289"/>
      <c r="AH482" s="290" t="s">
        <v>1448</v>
      </c>
      <c r="AI482" s="289">
        <v>0</v>
      </c>
      <c r="AJ482" s="289">
        <v>0</v>
      </c>
    </row>
    <row r="483" spans="2:36">
      <c r="B483" s="290">
        <v>2111</v>
      </c>
      <c r="C483" s="294">
        <v>207727</v>
      </c>
      <c r="D483" s="290" t="s">
        <v>944</v>
      </c>
      <c r="E483" s="289" t="s">
        <v>899</v>
      </c>
      <c r="F483" s="290">
        <v>624</v>
      </c>
      <c r="G483" s="289"/>
      <c r="H483" s="289"/>
      <c r="I483" s="289"/>
      <c r="J483" s="289">
        <v>0</v>
      </c>
      <c r="K483" s="289" t="s">
        <v>1755</v>
      </c>
      <c r="L483" s="289"/>
      <c r="M483" s="289"/>
      <c r="N483" s="293">
        <v>43411</v>
      </c>
      <c r="O483" s="293">
        <v>43411</v>
      </c>
      <c r="P483" s="289" t="s">
        <v>2005</v>
      </c>
      <c r="Q483" s="290">
        <v>700</v>
      </c>
      <c r="R483" s="290">
        <v>14050</v>
      </c>
      <c r="S483" s="291">
        <v>33597.15</v>
      </c>
      <c r="T483" s="290">
        <v>14056</v>
      </c>
      <c r="U483" s="291">
        <v>17998.46</v>
      </c>
      <c r="V483" s="291">
        <f t="shared" si="7"/>
        <v>15598.690000000002</v>
      </c>
      <c r="W483" s="292">
        <v>2799.76</v>
      </c>
      <c r="X483" s="290">
        <v>54260</v>
      </c>
      <c r="Y483" s="291">
        <v>399.96</v>
      </c>
      <c r="Z483" s="289" t="s">
        <v>944</v>
      </c>
      <c r="AA483" s="289"/>
      <c r="AB483" s="289">
        <v>65562357</v>
      </c>
      <c r="AC483" s="289"/>
      <c r="AD483" s="289" t="s">
        <v>1446</v>
      </c>
      <c r="AE483" s="289" t="s">
        <v>410</v>
      </c>
      <c r="AF483" s="290" t="s">
        <v>1447</v>
      </c>
      <c r="AG483" s="289"/>
      <c r="AH483" s="290" t="s">
        <v>1448</v>
      </c>
      <c r="AI483" s="289">
        <v>0</v>
      </c>
      <c r="AJ483" s="289">
        <v>0</v>
      </c>
    </row>
    <row r="484" spans="2:36">
      <c r="B484" s="290">
        <v>2111</v>
      </c>
      <c r="C484" s="294">
        <v>207291</v>
      </c>
      <c r="D484" s="290" t="s">
        <v>944</v>
      </c>
      <c r="E484" s="289" t="s">
        <v>1070</v>
      </c>
      <c r="F484" s="290"/>
      <c r="G484" s="289"/>
      <c r="H484" s="289"/>
      <c r="I484" s="289"/>
      <c r="J484" s="289">
        <v>0</v>
      </c>
      <c r="K484" s="289"/>
      <c r="L484" s="289"/>
      <c r="M484" s="289"/>
      <c r="N484" s="293">
        <v>43465</v>
      </c>
      <c r="O484" s="293">
        <v>43465</v>
      </c>
      <c r="P484" s="289" t="s">
        <v>1978</v>
      </c>
      <c r="Q484" s="290">
        <v>2000</v>
      </c>
      <c r="R484" s="290">
        <v>14080</v>
      </c>
      <c r="S484" s="291">
        <v>768057.19</v>
      </c>
      <c r="T484" s="290">
        <v>14086</v>
      </c>
      <c r="U484" s="291">
        <v>137610.25</v>
      </c>
      <c r="V484" s="291">
        <f t="shared" si="7"/>
        <v>630446.93999999994</v>
      </c>
      <c r="W484" s="292">
        <v>22401.67</v>
      </c>
      <c r="X484" s="290">
        <v>57260</v>
      </c>
      <c r="Y484" s="291">
        <v>3200.24</v>
      </c>
      <c r="Z484" s="289" t="s">
        <v>944</v>
      </c>
      <c r="AA484" s="289"/>
      <c r="AB484" s="289">
        <v>62871</v>
      </c>
      <c r="AC484" s="289"/>
      <c r="AD484" s="289" t="s">
        <v>1446</v>
      </c>
      <c r="AE484" s="289" t="s">
        <v>410</v>
      </c>
      <c r="AF484" s="290" t="s">
        <v>1447</v>
      </c>
      <c r="AG484" s="289"/>
      <c r="AH484" s="290" t="s">
        <v>1448</v>
      </c>
      <c r="AI484" s="289">
        <v>0</v>
      </c>
      <c r="AJ484" s="289">
        <v>0</v>
      </c>
    </row>
    <row r="485" spans="2:36">
      <c r="B485" s="290">
        <v>2111</v>
      </c>
      <c r="C485" s="294">
        <v>207290</v>
      </c>
      <c r="D485" s="290" t="s">
        <v>944</v>
      </c>
      <c r="E485" s="289" t="s">
        <v>1070</v>
      </c>
      <c r="F485" s="290"/>
      <c r="G485" s="289"/>
      <c r="H485" s="289"/>
      <c r="I485" s="289"/>
      <c r="J485" s="289">
        <v>0</v>
      </c>
      <c r="K485" s="289"/>
      <c r="L485" s="289"/>
      <c r="M485" s="289"/>
      <c r="N485" s="293">
        <v>43465</v>
      </c>
      <c r="O485" s="293">
        <v>43465</v>
      </c>
      <c r="P485" s="289" t="s">
        <v>2006</v>
      </c>
      <c r="Q485" s="290">
        <v>2000</v>
      </c>
      <c r="R485" s="290">
        <v>14080</v>
      </c>
      <c r="S485" s="291">
        <v>909559.57</v>
      </c>
      <c r="T485" s="290">
        <v>14086</v>
      </c>
      <c r="U485" s="291">
        <v>162962.76</v>
      </c>
      <c r="V485" s="291">
        <f t="shared" si="7"/>
        <v>746596.80999999994</v>
      </c>
      <c r="W485" s="292">
        <v>26528.82</v>
      </c>
      <c r="X485" s="290">
        <v>57260</v>
      </c>
      <c r="Y485" s="291">
        <v>3789.83</v>
      </c>
      <c r="Z485" s="289" t="s">
        <v>944</v>
      </c>
      <c r="AA485" s="289"/>
      <c r="AB485" s="289">
        <v>62871</v>
      </c>
      <c r="AC485" s="289"/>
      <c r="AD485" s="289" t="s">
        <v>1446</v>
      </c>
      <c r="AE485" s="289" t="s">
        <v>410</v>
      </c>
      <c r="AF485" s="290" t="s">
        <v>1447</v>
      </c>
      <c r="AG485" s="289"/>
      <c r="AH485" s="290" t="s">
        <v>1448</v>
      </c>
      <c r="AI485" s="289">
        <v>0</v>
      </c>
      <c r="AJ485" s="289">
        <v>0</v>
      </c>
    </row>
    <row r="486" spans="2:36">
      <c r="B486" s="290">
        <v>2111</v>
      </c>
      <c r="C486" s="294">
        <v>207289</v>
      </c>
      <c r="D486" s="290" t="s">
        <v>944</v>
      </c>
      <c r="E486" s="289" t="s">
        <v>1070</v>
      </c>
      <c r="F486" s="290"/>
      <c r="G486" s="289"/>
      <c r="H486" s="289"/>
      <c r="I486" s="289"/>
      <c r="J486" s="289">
        <v>0</v>
      </c>
      <c r="K486" s="289"/>
      <c r="L486" s="289"/>
      <c r="M486" s="289"/>
      <c r="N486" s="293">
        <v>43465</v>
      </c>
      <c r="O486" s="293">
        <v>43465</v>
      </c>
      <c r="P486" s="289" t="s">
        <v>2007</v>
      </c>
      <c r="Q486" s="290">
        <v>2000</v>
      </c>
      <c r="R486" s="290">
        <v>14080</v>
      </c>
      <c r="S486" s="291">
        <v>160834.74</v>
      </c>
      <c r="T486" s="290">
        <v>14086</v>
      </c>
      <c r="U486" s="291">
        <v>28816.240000000002</v>
      </c>
      <c r="V486" s="291">
        <f t="shared" si="7"/>
        <v>132018.5</v>
      </c>
      <c r="W486" s="292">
        <v>4691.0200000000004</v>
      </c>
      <c r="X486" s="290">
        <v>57260</v>
      </c>
      <c r="Y486" s="291">
        <v>670.15</v>
      </c>
      <c r="Z486" s="289" t="s">
        <v>944</v>
      </c>
      <c r="AA486" s="289"/>
      <c r="AB486" s="289">
        <v>62871</v>
      </c>
      <c r="AC486" s="289"/>
      <c r="AD486" s="289" t="s">
        <v>1446</v>
      </c>
      <c r="AE486" s="289" t="s">
        <v>410</v>
      </c>
      <c r="AF486" s="290" t="s">
        <v>1447</v>
      </c>
      <c r="AG486" s="289"/>
      <c r="AH486" s="290" t="s">
        <v>1448</v>
      </c>
      <c r="AI486" s="289">
        <v>0</v>
      </c>
      <c r="AJ486" s="289">
        <v>0</v>
      </c>
    </row>
    <row r="487" spans="2:36">
      <c r="B487" s="290">
        <v>2111</v>
      </c>
      <c r="C487" s="294">
        <v>207288</v>
      </c>
      <c r="D487" s="290" t="s">
        <v>944</v>
      </c>
      <c r="E487" s="289" t="s">
        <v>1070</v>
      </c>
      <c r="F487" s="290"/>
      <c r="G487" s="289"/>
      <c r="H487" s="289"/>
      <c r="I487" s="289"/>
      <c r="J487" s="289">
        <v>0</v>
      </c>
      <c r="K487" s="289"/>
      <c r="L487" s="289"/>
      <c r="M487" s="289"/>
      <c r="N487" s="293">
        <v>43465</v>
      </c>
      <c r="O487" s="293">
        <v>43465</v>
      </c>
      <c r="P487" s="289" t="s">
        <v>2008</v>
      </c>
      <c r="Q487" s="290">
        <v>2000</v>
      </c>
      <c r="R487" s="290">
        <v>14080</v>
      </c>
      <c r="S487" s="291">
        <v>242372.07</v>
      </c>
      <c r="T487" s="290">
        <v>14086</v>
      </c>
      <c r="U487" s="291">
        <v>43424.98</v>
      </c>
      <c r="V487" s="291">
        <f t="shared" si="7"/>
        <v>198947.09</v>
      </c>
      <c r="W487" s="292">
        <v>7069.18</v>
      </c>
      <c r="X487" s="290">
        <v>57260</v>
      </c>
      <c r="Y487" s="291">
        <v>1009.88</v>
      </c>
      <c r="Z487" s="289" t="s">
        <v>944</v>
      </c>
      <c r="AA487" s="289"/>
      <c r="AB487" s="289">
        <v>62871</v>
      </c>
      <c r="AC487" s="289"/>
      <c r="AD487" s="289" t="s">
        <v>1446</v>
      </c>
      <c r="AE487" s="289" t="s">
        <v>410</v>
      </c>
      <c r="AF487" s="290" t="s">
        <v>1447</v>
      </c>
      <c r="AG487" s="289"/>
      <c r="AH487" s="290" t="s">
        <v>1448</v>
      </c>
      <c r="AI487" s="289">
        <v>0</v>
      </c>
      <c r="AJ487" s="289">
        <v>0</v>
      </c>
    </row>
    <row r="488" spans="2:36">
      <c r="B488" s="290">
        <v>2111</v>
      </c>
      <c r="C488" s="294">
        <v>207287</v>
      </c>
      <c r="D488" s="290" t="s">
        <v>944</v>
      </c>
      <c r="E488" s="289" t="s">
        <v>1070</v>
      </c>
      <c r="F488" s="290"/>
      <c r="G488" s="289"/>
      <c r="H488" s="289"/>
      <c r="I488" s="289"/>
      <c r="J488" s="289">
        <v>0</v>
      </c>
      <c r="K488" s="289"/>
      <c r="L488" s="289"/>
      <c r="M488" s="289"/>
      <c r="N488" s="293">
        <v>43465</v>
      </c>
      <c r="O488" s="293">
        <v>43465</v>
      </c>
      <c r="P488" s="289" t="s">
        <v>2009</v>
      </c>
      <c r="Q488" s="290">
        <v>2000</v>
      </c>
      <c r="R488" s="290">
        <v>14080</v>
      </c>
      <c r="S488" s="291">
        <v>1555350.36</v>
      </c>
      <c r="T488" s="290">
        <v>14086</v>
      </c>
      <c r="U488" s="291">
        <v>278666.95</v>
      </c>
      <c r="V488" s="291">
        <f t="shared" si="7"/>
        <v>1276683.4100000001</v>
      </c>
      <c r="W488" s="292">
        <v>45364.39</v>
      </c>
      <c r="X488" s="290">
        <v>57260</v>
      </c>
      <c r="Y488" s="291">
        <v>6480.63</v>
      </c>
      <c r="Z488" s="289" t="s">
        <v>944</v>
      </c>
      <c r="AA488" s="289"/>
      <c r="AB488" s="289">
        <v>62871</v>
      </c>
      <c r="AC488" s="289"/>
      <c r="AD488" s="289" t="s">
        <v>1446</v>
      </c>
      <c r="AE488" s="289" t="s">
        <v>410</v>
      </c>
      <c r="AF488" s="290" t="s">
        <v>1447</v>
      </c>
      <c r="AG488" s="289"/>
      <c r="AH488" s="290" t="s">
        <v>1448</v>
      </c>
      <c r="AI488" s="289">
        <v>0</v>
      </c>
      <c r="AJ488" s="289">
        <v>0</v>
      </c>
    </row>
    <row r="489" spans="2:36">
      <c r="B489" s="290">
        <v>2111</v>
      </c>
      <c r="C489" s="294">
        <v>207202</v>
      </c>
      <c r="D489" s="290" t="s">
        <v>944</v>
      </c>
      <c r="E489" s="289" t="s">
        <v>2010</v>
      </c>
      <c r="F489" s="290">
        <v>24</v>
      </c>
      <c r="G489" s="289"/>
      <c r="H489" s="289"/>
      <c r="I489" s="289"/>
      <c r="J489" s="289">
        <v>0</v>
      </c>
      <c r="K489" s="289" t="s">
        <v>1509</v>
      </c>
      <c r="L489" s="289"/>
      <c r="M489" s="289" t="s">
        <v>2011</v>
      </c>
      <c r="N489" s="293">
        <v>43395</v>
      </c>
      <c r="O489" s="293">
        <v>43395</v>
      </c>
      <c r="P489" s="289" t="s">
        <v>2012</v>
      </c>
      <c r="Q489" s="290">
        <v>1200</v>
      </c>
      <c r="R489" s="290">
        <v>14050</v>
      </c>
      <c r="S489" s="291">
        <v>31591.94</v>
      </c>
      <c r="T489" s="290">
        <v>14056</v>
      </c>
      <c r="U489" s="291">
        <v>9872.48</v>
      </c>
      <c r="V489" s="291">
        <f t="shared" si="7"/>
        <v>21719.46</v>
      </c>
      <c r="W489" s="292">
        <v>1535.72</v>
      </c>
      <c r="X489" s="290">
        <v>54260</v>
      </c>
      <c r="Y489" s="291">
        <v>219.39</v>
      </c>
      <c r="Z489" s="289" t="s">
        <v>944</v>
      </c>
      <c r="AA489" s="289"/>
      <c r="AB489" s="289" t="s">
        <v>2013</v>
      </c>
      <c r="AC489" s="289"/>
      <c r="AD489" s="289" t="s">
        <v>1446</v>
      </c>
      <c r="AE489" s="289" t="s">
        <v>410</v>
      </c>
      <c r="AF489" s="290" t="s">
        <v>1447</v>
      </c>
      <c r="AG489" s="289"/>
      <c r="AH489" s="290" t="s">
        <v>1448</v>
      </c>
      <c r="AI489" s="289">
        <v>0</v>
      </c>
      <c r="AJ489" s="289">
        <v>0</v>
      </c>
    </row>
    <row r="490" spans="2:36">
      <c r="B490" s="290">
        <v>2111</v>
      </c>
      <c r="C490" s="294">
        <v>207201</v>
      </c>
      <c r="D490" s="290" t="s">
        <v>944</v>
      </c>
      <c r="E490" s="289" t="s">
        <v>2014</v>
      </c>
      <c r="F490" s="290">
        <v>6</v>
      </c>
      <c r="G490" s="289"/>
      <c r="H490" s="289"/>
      <c r="I490" s="289"/>
      <c r="J490" s="289">
        <v>0</v>
      </c>
      <c r="K490" s="289" t="s">
        <v>1509</v>
      </c>
      <c r="L490" s="289"/>
      <c r="M490" s="289" t="s">
        <v>1664</v>
      </c>
      <c r="N490" s="293">
        <v>43395</v>
      </c>
      <c r="O490" s="293">
        <v>43395</v>
      </c>
      <c r="P490" s="289" t="s">
        <v>2012</v>
      </c>
      <c r="Q490" s="290">
        <v>1200</v>
      </c>
      <c r="R490" s="290">
        <v>14050</v>
      </c>
      <c r="S490" s="291">
        <v>6008.18</v>
      </c>
      <c r="T490" s="290">
        <v>14056</v>
      </c>
      <c r="U490" s="291">
        <v>1877.55</v>
      </c>
      <c r="V490" s="291">
        <f t="shared" si="7"/>
        <v>4130.63</v>
      </c>
      <c r="W490" s="292">
        <v>292.06</v>
      </c>
      <c r="X490" s="290">
        <v>54260</v>
      </c>
      <c r="Y490" s="291">
        <v>41.72</v>
      </c>
      <c r="Z490" s="289" t="s">
        <v>944</v>
      </c>
      <c r="AA490" s="289"/>
      <c r="AB490" s="289" t="s">
        <v>2013</v>
      </c>
      <c r="AC490" s="289"/>
      <c r="AD490" s="289" t="s">
        <v>1446</v>
      </c>
      <c r="AE490" s="289" t="s">
        <v>410</v>
      </c>
      <c r="AF490" s="290" t="s">
        <v>1447</v>
      </c>
      <c r="AG490" s="289"/>
      <c r="AH490" s="290" t="s">
        <v>1448</v>
      </c>
      <c r="AI490" s="289">
        <v>0</v>
      </c>
      <c r="AJ490" s="289">
        <v>0</v>
      </c>
    </row>
    <row r="491" spans="2:36">
      <c r="B491" s="290">
        <v>2111</v>
      </c>
      <c r="C491" s="294">
        <v>207200</v>
      </c>
      <c r="D491" s="290" t="s">
        <v>944</v>
      </c>
      <c r="E491" s="289" t="s">
        <v>2015</v>
      </c>
      <c r="F491" s="290">
        <v>30</v>
      </c>
      <c r="G491" s="289"/>
      <c r="H491" s="289"/>
      <c r="I491" s="289"/>
      <c r="J491" s="289">
        <v>0</v>
      </c>
      <c r="K491" s="289" t="s">
        <v>1509</v>
      </c>
      <c r="L491" s="289"/>
      <c r="M491" s="289" t="s">
        <v>1662</v>
      </c>
      <c r="N491" s="293">
        <v>43395</v>
      </c>
      <c r="O491" s="293">
        <v>43395</v>
      </c>
      <c r="P491" s="289" t="s">
        <v>2012</v>
      </c>
      <c r="Q491" s="290">
        <v>1200</v>
      </c>
      <c r="R491" s="290">
        <v>14050</v>
      </c>
      <c r="S491" s="291">
        <v>36935.919999999998</v>
      </c>
      <c r="T491" s="290">
        <v>14056</v>
      </c>
      <c r="U491" s="291">
        <v>11542.46</v>
      </c>
      <c r="V491" s="291">
        <f t="shared" si="7"/>
        <v>25393.46</v>
      </c>
      <c r="W491" s="292">
        <v>1795.49</v>
      </c>
      <c r="X491" s="290">
        <v>54260</v>
      </c>
      <c r="Y491" s="291">
        <v>256.49</v>
      </c>
      <c r="Z491" s="289" t="s">
        <v>944</v>
      </c>
      <c r="AA491" s="289"/>
      <c r="AB491" s="289" t="s">
        <v>2016</v>
      </c>
      <c r="AC491" s="289"/>
      <c r="AD491" s="289" t="s">
        <v>1446</v>
      </c>
      <c r="AE491" s="289" t="s">
        <v>410</v>
      </c>
      <c r="AF491" s="290" t="s">
        <v>1447</v>
      </c>
      <c r="AG491" s="289"/>
      <c r="AH491" s="290" t="s">
        <v>1448</v>
      </c>
      <c r="AI491" s="289">
        <v>0</v>
      </c>
      <c r="AJ491" s="289">
        <v>0</v>
      </c>
    </row>
    <row r="492" spans="2:36">
      <c r="B492" s="290">
        <v>2111</v>
      </c>
      <c r="C492" s="294">
        <v>206330</v>
      </c>
      <c r="D492" s="290" t="s">
        <v>944</v>
      </c>
      <c r="E492" s="289" t="s">
        <v>2017</v>
      </c>
      <c r="F492" s="290"/>
      <c r="G492" s="289"/>
      <c r="H492" s="289"/>
      <c r="I492" s="289"/>
      <c r="J492" s="289">
        <v>0</v>
      </c>
      <c r="K492" s="289" t="s">
        <v>2018</v>
      </c>
      <c r="L492" s="289"/>
      <c r="M492" s="289"/>
      <c r="N492" s="293">
        <v>43375</v>
      </c>
      <c r="O492" s="293">
        <v>43375</v>
      </c>
      <c r="P492" s="289" t="s">
        <v>2019</v>
      </c>
      <c r="Q492" s="290">
        <v>1000</v>
      </c>
      <c r="R492" s="290">
        <v>14080</v>
      </c>
      <c r="S492" s="291">
        <v>14028.1</v>
      </c>
      <c r="T492" s="290">
        <v>14086</v>
      </c>
      <c r="U492" s="291">
        <v>5377.44</v>
      </c>
      <c r="V492" s="291">
        <f t="shared" si="7"/>
        <v>8650.66</v>
      </c>
      <c r="W492" s="292">
        <v>818.31</v>
      </c>
      <c r="X492" s="290">
        <v>57260</v>
      </c>
      <c r="Y492" s="291">
        <v>116.9</v>
      </c>
      <c r="Z492" s="289" t="s">
        <v>944</v>
      </c>
      <c r="AA492" s="289"/>
      <c r="AB492" s="289">
        <v>8970</v>
      </c>
      <c r="AC492" s="289"/>
      <c r="AD492" s="289" t="s">
        <v>1446</v>
      </c>
      <c r="AE492" s="289" t="s">
        <v>410</v>
      </c>
      <c r="AF492" s="290" t="s">
        <v>1447</v>
      </c>
      <c r="AG492" s="289"/>
      <c r="AH492" s="290" t="s">
        <v>1448</v>
      </c>
      <c r="AI492" s="289">
        <v>0</v>
      </c>
      <c r="AJ492" s="289">
        <v>0</v>
      </c>
    </row>
    <row r="493" spans="2:36">
      <c r="B493" s="290">
        <v>2111</v>
      </c>
      <c r="C493" s="294">
        <v>205635</v>
      </c>
      <c r="D493" s="290" t="s">
        <v>944</v>
      </c>
      <c r="E493" s="289" t="s">
        <v>1255</v>
      </c>
      <c r="F493" s="290"/>
      <c r="G493" s="289"/>
      <c r="H493" s="289" t="s">
        <v>2020</v>
      </c>
      <c r="I493" s="289"/>
      <c r="J493" s="289">
        <v>2016</v>
      </c>
      <c r="K493" s="289" t="s">
        <v>1594</v>
      </c>
      <c r="L493" s="289"/>
      <c r="M493" s="289" t="s">
        <v>2021</v>
      </c>
      <c r="N493" s="293">
        <v>43425</v>
      </c>
      <c r="O493" s="293">
        <v>43425</v>
      </c>
      <c r="P493" s="289" t="s">
        <v>2022</v>
      </c>
      <c r="Q493" s="290">
        <v>300</v>
      </c>
      <c r="R493" s="290">
        <v>14040</v>
      </c>
      <c r="S493" s="291">
        <v>23708</v>
      </c>
      <c r="T493" s="290">
        <v>14046</v>
      </c>
      <c r="U493" s="291">
        <v>23708</v>
      </c>
      <c r="V493" s="291">
        <f t="shared" si="7"/>
        <v>0</v>
      </c>
      <c r="W493" s="292">
        <v>0</v>
      </c>
      <c r="X493" s="290">
        <v>51260</v>
      </c>
      <c r="Y493" s="291">
        <v>0</v>
      </c>
      <c r="Z493" s="289" t="s">
        <v>944</v>
      </c>
      <c r="AA493" s="289"/>
      <c r="AB493" s="289">
        <v>2010132752</v>
      </c>
      <c r="AC493" s="289">
        <v>15</v>
      </c>
      <c r="AD493" s="289" t="s">
        <v>1446</v>
      </c>
      <c r="AE493" s="289" t="s">
        <v>410</v>
      </c>
      <c r="AF493" s="290" t="s">
        <v>1447</v>
      </c>
      <c r="AG493" s="289"/>
      <c r="AH493" s="290" t="s">
        <v>1448</v>
      </c>
      <c r="AI493" s="289">
        <v>0</v>
      </c>
      <c r="AJ493" s="289">
        <v>0</v>
      </c>
    </row>
    <row r="494" spans="2:36">
      <c r="B494" s="290">
        <v>2111</v>
      </c>
      <c r="C494" s="294">
        <v>204986</v>
      </c>
      <c r="D494" s="290">
        <v>202139</v>
      </c>
      <c r="E494" s="289" t="s">
        <v>1256</v>
      </c>
      <c r="F494" s="290"/>
      <c r="G494" s="289"/>
      <c r="H494" s="289"/>
      <c r="I494" s="289"/>
      <c r="J494" s="289">
        <v>0</v>
      </c>
      <c r="K494" s="289" t="s">
        <v>1554</v>
      </c>
      <c r="L494" s="289"/>
      <c r="M494" s="289" t="s">
        <v>1586</v>
      </c>
      <c r="N494" s="293">
        <v>43373</v>
      </c>
      <c r="O494" s="293">
        <v>43373</v>
      </c>
      <c r="P494" s="289" t="s">
        <v>2023</v>
      </c>
      <c r="Q494" s="290">
        <v>1000</v>
      </c>
      <c r="R494" s="290">
        <v>14040</v>
      </c>
      <c r="S494" s="291">
        <v>1094.5</v>
      </c>
      <c r="T494" s="290">
        <v>14046</v>
      </c>
      <c r="U494" s="291">
        <v>419.43</v>
      </c>
      <c r="V494" s="291">
        <f t="shared" si="7"/>
        <v>675.06999999999994</v>
      </c>
      <c r="W494" s="292">
        <v>63.84</v>
      </c>
      <c r="X494" s="290">
        <v>51260</v>
      </c>
      <c r="Y494" s="291">
        <v>9.11</v>
      </c>
      <c r="Z494" s="289" t="s">
        <v>944</v>
      </c>
      <c r="AA494" s="289"/>
      <c r="AB494" s="289">
        <v>88939</v>
      </c>
      <c r="AC494" s="289"/>
      <c r="AD494" s="289" t="s">
        <v>1446</v>
      </c>
      <c r="AE494" s="289" t="s">
        <v>410</v>
      </c>
      <c r="AF494" s="290" t="s">
        <v>1447</v>
      </c>
      <c r="AG494" s="289"/>
      <c r="AH494" s="290" t="s">
        <v>1448</v>
      </c>
      <c r="AI494" s="289">
        <v>0</v>
      </c>
      <c r="AJ494" s="289">
        <v>0</v>
      </c>
    </row>
    <row r="495" spans="2:36">
      <c r="B495" s="290">
        <v>2111</v>
      </c>
      <c r="C495" s="294">
        <v>204870</v>
      </c>
      <c r="D495" s="290" t="s">
        <v>944</v>
      </c>
      <c r="E495" s="289" t="s">
        <v>899</v>
      </c>
      <c r="F495" s="290">
        <v>624</v>
      </c>
      <c r="G495" s="289"/>
      <c r="H495" s="289"/>
      <c r="I495" s="289"/>
      <c r="J495" s="289">
        <v>0</v>
      </c>
      <c r="K495" s="289" t="s">
        <v>1755</v>
      </c>
      <c r="L495" s="289"/>
      <c r="M495" s="289"/>
      <c r="N495" s="293">
        <v>43371</v>
      </c>
      <c r="O495" s="293">
        <v>43371</v>
      </c>
      <c r="P495" s="289" t="s">
        <v>2024</v>
      </c>
      <c r="Q495" s="290">
        <v>700</v>
      </c>
      <c r="R495" s="290">
        <v>14050</v>
      </c>
      <c r="S495" s="291">
        <v>33406.58</v>
      </c>
      <c r="T495" s="290">
        <v>14056</v>
      </c>
      <c r="U495" s="291">
        <v>18294.080000000002</v>
      </c>
      <c r="V495" s="291">
        <f t="shared" si="7"/>
        <v>15112.5</v>
      </c>
      <c r="W495" s="292">
        <v>2783.88</v>
      </c>
      <c r="X495" s="290">
        <v>54260</v>
      </c>
      <c r="Y495" s="291">
        <v>397.69</v>
      </c>
      <c r="Z495" s="289" t="s">
        <v>944</v>
      </c>
      <c r="AA495" s="289"/>
      <c r="AB495" s="289">
        <v>65555741</v>
      </c>
      <c r="AC495" s="289"/>
      <c r="AD495" s="289" t="s">
        <v>1446</v>
      </c>
      <c r="AE495" s="289" t="s">
        <v>410</v>
      </c>
      <c r="AF495" s="290" t="s">
        <v>1447</v>
      </c>
      <c r="AG495" s="289"/>
      <c r="AH495" s="290" t="s">
        <v>1448</v>
      </c>
      <c r="AI495" s="289">
        <v>0</v>
      </c>
      <c r="AJ495" s="289">
        <v>0</v>
      </c>
    </row>
    <row r="496" spans="2:36">
      <c r="B496" s="290">
        <v>2111</v>
      </c>
      <c r="C496" s="294">
        <v>204869</v>
      </c>
      <c r="D496" s="290" t="s">
        <v>944</v>
      </c>
      <c r="E496" s="289" t="s">
        <v>900</v>
      </c>
      <c r="F496" s="290">
        <v>624</v>
      </c>
      <c r="G496" s="289"/>
      <c r="H496" s="289"/>
      <c r="I496" s="289"/>
      <c r="J496" s="289">
        <v>0</v>
      </c>
      <c r="K496" s="289" t="s">
        <v>1755</v>
      </c>
      <c r="L496" s="289"/>
      <c r="M496" s="289"/>
      <c r="N496" s="293">
        <v>43371</v>
      </c>
      <c r="O496" s="293">
        <v>43371</v>
      </c>
      <c r="P496" s="289" t="s">
        <v>2024</v>
      </c>
      <c r="Q496" s="290">
        <v>700</v>
      </c>
      <c r="R496" s="290">
        <v>14050</v>
      </c>
      <c r="S496" s="291">
        <v>34462.67</v>
      </c>
      <c r="T496" s="290">
        <v>14056</v>
      </c>
      <c r="U496" s="291">
        <v>18872.419999999998</v>
      </c>
      <c r="V496" s="291">
        <f t="shared" si="7"/>
        <v>15590.25</v>
      </c>
      <c r="W496" s="292">
        <v>2871.89</v>
      </c>
      <c r="X496" s="290">
        <v>54260</v>
      </c>
      <c r="Y496" s="291">
        <v>410.27</v>
      </c>
      <c r="Z496" s="289" t="s">
        <v>944</v>
      </c>
      <c r="AA496" s="289"/>
      <c r="AB496" s="289">
        <v>65555728</v>
      </c>
      <c r="AC496" s="289"/>
      <c r="AD496" s="289" t="s">
        <v>1446</v>
      </c>
      <c r="AE496" s="289" t="s">
        <v>410</v>
      </c>
      <c r="AF496" s="290" t="s">
        <v>1447</v>
      </c>
      <c r="AG496" s="289"/>
      <c r="AH496" s="290" t="s">
        <v>1448</v>
      </c>
      <c r="AI496" s="289">
        <v>0</v>
      </c>
      <c r="AJ496" s="289">
        <v>0</v>
      </c>
    </row>
    <row r="497" spans="2:36">
      <c r="B497" s="290">
        <v>2111</v>
      </c>
      <c r="C497" s="294">
        <v>204868</v>
      </c>
      <c r="D497" s="290" t="s">
        <v>944</v>
      </c>
      <c r="E497" s="289" t="s">
        <v>903</v>
      </c>
      <c r="F497" s="290">
        <v>312</v>
      </c>
      <c r="G497" s="289"/>
      <c r="H497" s="289"/>
      <c r="I497" s="289"/>
      <c r="J497" s="289">
        <v>0</v>
      </c>
      <c r="K497" s="289" t="s">
        <v>1755</v>
      </c>
      <c r="L497" s="289"/>
      <c r="M497" s="289"/>
      <c r="N497" s="293">
        <v>43371</v>
      </c>
      <c r="O497" s="293">
        <v>43371</v>
      </c>
      <c r="P497" s="289" t="s">
        <v>2024</v>
      </c>
      <c r="Q497" s="290">
        <v>700</v>
      </c>
      <c r="R497" s="290">
        <v>14050</v>
      </c>
      <c r="S497" s="291">
        <v>16484.36</v>
      </c>
      <c r="T497" s="290">
        <v>14056</v>
      </c>
      <c r="U497" s="291">
        <v>9027.16</v>
      </c>
      <c r="V497" s="291">
        <f t="shared" si="7"/>
        <v>7457.2000000000007</v>
      </c>
      <c r="W497" s="292">
        <v>1373.7</v>
      </c>
      <c r="X497" s="290">
        <v>54260</v>
      </c>
      <c r="Y497" s="291">
        <v>196.24</v>
      </c>
      <c r="Z497" s="289" t="s">
        <v>944</v>
      </c>
      <c r="AA497" s="289"/>
      <c r="AB497" s="289">
        <v>65556139</v>
      </c>
      <c r="AC497" s="289"/>
      <c r="AD497" s="289" t="s">
        <v>1446</v>
      </c>
      <c r="AE497" s="289" t="s">
        <v>410</v>
      </c>
      <c r="AF497" s="290" t="s">
        <v>1447</v>
      </c>
      <c r="AG497" s="289"/>
      <c r="AH497" s="290" t="s">
        <v>1448</v>
      </c>
      <c r="AI497" s="289">
        <v>0</v>
      </c>
      <c r="AJ497" s="289">
        <v>0</v>
      </c>
    </row>
    <row r="498" spans="2:36">
      <c r="B498" s="290">
        <v>2111</v>
      </c>
      <c r="C498" s="294">
        <v>204867</v>
      </c>
      <c r="D498" s="290" t="s">
        <v>944</v>
      </c>
      <c r="E498" s="289" t="s">
        <v>902</v>
      </c>
      <c r="F498" s="290">
        <v>432</v>
      </c>
      <c r="G498" s="289"/>
      <c r="H498" s="289"/>
      <c r="I498" s="289"/>
      <c r="J498" s="289">
        <v>0</v>
      </c>
      <c r="K498" s="289" t="s">
        <v>1755</v>
      </c>
      <c r="L498" s="289"/>
      <c r="M498" s="289"/>
      <c r="N498" s="293">
        <v>43371</v>
      </c>
      <c r="O498" s="293">
        <v>43371</v>
      </c>
      <c r="P498" s="289" t="s">
        <v>2024</v>
      </c>
      <c r="Q498" s="290">
        <v>700</v>
      </c>
      <c r="R498" s="290">
        <v>14050</v>
      </c>
      <c r="S498" s="291">
        <v>20093.93</v>
      </c>
      <c r="T498" s="290">
        <v>14056</v>
      </c>
      <c r="U498" s="291">
        <v>11003.81</v>
      </c>
      <c r="V498" s="291">
        <f t="shared" si="7"/>
        <v>9090.1200000000008</v>
      </c>
      <c r="W498" s="292">
        <v>1674.49</v>
      </c>
      <c r="X498" s="290">
        <v>54260</v>
      </c>
      <c r="Y498" s="291">
        <v>239.21</v>
      </c>
      <c r="Z498" s="289" t="s">
        <v>944</v>
      </c>
      <c r="AA498" s="289"/>
      <c r="AB498" s="289">
        <v>65556139</v>
      </c>
      <c r="AC498" s="289"/>
      <c r="AD498" s="289" t="s">
        <v>1446</v>
      </c>
      <c r="AE498" s="289" t="s">
        <v>410</v>
      </c>
      <c r="AF498" s="290" t="s">
        <v>1447</v>
      </c>
      <c r="AG498" s="289"/>
      <c r="AH498" s="290" t="s">
        <v>1448</v>
      </c>
      <c r="AI498" s="289">
        <v>0</v>
      </c>
      <c r="AJ498" s="289">
        <v>0</v>
      </c>
    </row>
    <row r="499" spans="2:36">
      <c r="B499" s="290">
        <v>2111</v>
      </c>
      <c r="C499" s="294">
        <v>204027</v>
      </c>
      <c r="D499" s="290" t="s">
        <v>944</v>
      </c>
      <c r="E499" s="289" t="s">
        <v>945</v>
      </c>
      <c r="F499" s="290"/>
      <c r="G499" s="289"/>
      <c r="H499" s="289" t="s">
        <v>2025</v>
      </c>
      <c r="I499" s="289"/>
      <c r="J499" s="289">
        <v>2012</v>
      </c>
      <c r="K499" s="289" t="s">
        <v>2026</v>
      </c>
      <c r="L499" s="289"/>
      <c r="M499" s="289" t="s">
        <v>2021</v>
      </c>
      <c r="N499" s="293">
        <v>42173</v>
      </c>
      <c r="O499" s="293">
        <v>42173</v>
      </c>
      <c r="P499" s="289" t="s">
        <v>2027</v>
      </c>
      <c r="Q499" s="290">
        <v>300</v>
      </c>
      <c r="R499" s="290">
        <v>14040</v>
      </c>
      <c r="S499" s="291">
        <v>29540.76</v>
      </c>
      <c r="T499" s="290">
        <v>14046</v>
      </c>
      <c r="U499" s="291">
        <v>29540.76</v>
      </c>
      <c r="V499" s="291">
        <f t="shared" si="7"/>
        <v>0</v>
      </c>
      <c r="W499" s="292">
        <v>0</v>
      </c>
      <c r="X499" s="290">
        <v>51260</v>
      </c>
      <c r="Y499" s="291">
        <v>0</v>
      </c>
      <c r="Z499" s="289" t="s">
        <v>944</v>
      </c>
      <c r="AA499" s="289"/>
      <c r="AB499" s="289">
        <v>755833</v>
      </c>
      <c r="AC499" s="289">
        <v>6052</v>
      </c>
      <c r="AD499" s="289" t="s">
        <v>1446</v>
      </c>
      <c r="AE499" s="289" t="s">
        <v>410</v>
      </c>
      <c r="AF499" s="290" t="s">
        <v>1447</v>
      </c>
      <c r="AG499" s="295">
        <v>43373</v>
      </c>
      <c r="AH499" s="290" t="s">
        <v>1448</v>
      </c>
      <c r="AI499" s="289">
        <v>0</v>
      </c>
      <c r="AJ499" s="289">
        <v>29540.76</v>
      </c>
    </row>
    <row r="500" spans="2:36">
      <c r="B500" s="290">
        <v>2111</v>
      </c>
      <c r="C500" s="294">
        <v>203952</v>
      </c>
      <c r="D500" s="290" t="s">
        <v>944</v>
      </c>
      <c r="E500" s="289" t="s">
        <v>946</v>
      </c>
      <c r="F500" s="290">
        <v>17</v>
      </c>
      <c r="G500" s="289"/>
      <c r="H500" s="289"/>
      <c r="I500" s="289"/>
      <c r="J500" s="289">
        <v>0</v>
      </c>
      <c r="K500" s="289" t="s">
        <v>1509</v>
      </c>
      <c r="L500" s="289"/>
      <c r="M500" s="289" t="s">
        <v>2011</v>
      </c>
      <c r="N500" s="293">
        <v>43328</v>
      </c>
      <c r="O500" s="293">
        <v>43328</v>
      </c>
      <c r="P500" s="289" t="s">
        <v>2028</v>
      </c>
      <c r="Q500" s="290">
        <v>1200</v>
      </c>
      <c r="R500" s="290">
        <v>14050</v>
      </c>
      <c r="S500" s="291">
        <v>19932.96</v>
      </c>
      <c r="T500" s="290">
        <v>14056</v>
      </c>
      <c r="U500" s="291">
        <v>6505.88</v>
      </c>
      <c r="V500" s="291">
        <f t="shared" si="7"/>
        <v>13427.079999999998</v>
      </c>
      <c r="W500" s="292">
        <v>968.96</v>
      </c>
      <c r="X500" s="290">
        <v>54260</v>
      </c>
      <c r="Y500" s="291">
        <v>138.41999999999999</v>
      </c>
      <c r="Z500" s="289" t="s">
        <v>944</v>
      </c>
      <c r="AA500" s="289"/>
      <c r="AB500" s="289" t="s">
        <v>2029</v>
      </c>
      <c r="AC500" s="289"/>
      <c r="AD500" s="289" t="s">
        <v>1446</v>
      </c>
      <c r="AE500" s="289" t="s">
        <v>410</v>
      </c>
      <c r="AF500" s="290" t="s">
        <v>1447</v>
      </c>
      <c r="AG500" s="289"/>
      <c r="AH500" s="290" t="s">
        <v>1448</v>
      </c>
      <c r="AI500" s="289">
        <v>0</v>
      </c>
      <c r="AJ500" s="289">
        <v>0</v>
      </c>
    </row>
    <row r="501" spans="2:36">
      <c r="B501" s="290">
        <v>2111</v>
      </c>
      <c r="C501" s="294">
        <v>203951</v>
      </c>
      <c r="D501" s="290" t="s">
        <v>944</v>
      </c>
      <c r="E501" s="289" t="s">
        <v>947</v>
      </c>
      <c r="F501" s="290">
        <v>45</v>
      </c>
      <c r="G501" s="289"/>
      <c r="H501" s="289"/>
      <c r="I501" s="289"/>
      <c r="J501" s="289">
        <v>0</v>
      </c>
      <c r="K501" s="289" t="s">
        <v>1509</v>
      </c>
      <c r="L501" s="289"/>
      <c r="M501" s="289" t="s">
        <v>1659</v>
      </c>
      <c r="N501" s="293">
        <v>43328</v>
      </c>
      <c r="O501" s="293">
        <v>43328</v>
      </c>
      <c r="P501" s="289" t="s">
        <v>2028</v>
      </c>
      <c r="Q501" s="290">
        <v>1200</v>
      </c>
      <c r="R501" s="290">
        <v>14050</v>
      </c>
      <c r="S501" s="291">
        <v>30114.18</v>
      </c>
      <c r="T501" s="290">
        <v>14056</v>
      </c>
      <c r="U501" s="291">
        <v>9828.9599999999991</v>
      </c>
      <c r="V501" s="291">
        <f t="shared" si="7"/>
        <v>20285.22</v>
      </c>
      <c r="W501" s="292">
        <v>1463.89</v>
      </c>
      <c r="X501" s="290">
        <v>54260</v>
      </c>
      <c r="Y501" s="291">
        <v>209.13</v>
      </c>
      <c r="Z501" s="289" t="s">
        <v>944</v>
      </c>
      <c r="AA501" s="289"/>
      <c r="AB501" s="289" t="s">
        <v>2029</v>
      </c>
      <c r="AC501" s="289"/>
      <c r="AD501" s="289" t="s">
        <v>1446</v>
      </c>
      <c r="AE501" s="289" t="s">
        <v>410</v>
      </c>
      <c r="AF501" s="290" t="s">
        <v>1447</v>
      </c>
      <c r="AG501" s="289"/>
      <c r="AH501" s="290" t="s">
        <v>1448</v>
      </c>
      <c r="AI501" s="289">
        <v>0</v>
      </c>
      <c r="AJ501" s="289">
        <v>0</v>
      </c>
    </row>
    <row r="502" spans="2:36">
      <c r="B502" s="290">
        <v>2111</v>
      </c>
      <c r="C502" s="294">
        <v>203939</v>
      </c>
      <c r="D502" s="290">
        <v>9537</v>
      </c>
      <c r="E502" s="289" t="s">
        <v>940</v>
      </c>
      <c r="F502" s="290"/>
      <c r="G502" s="289"/>
      <c r="H502" s="289"/>
      <c r="I502" s="289"/>
      <c r="J502" s="289">
        <v>0</v>
      </c>
      <c r="K502" s="289" t="s">
        <v>1572</v>
      </c>
      <c r="L502" s="289"/>
      <c r="M502" s="289" t="s">
        <v>1586</v>
      </c>
      <c r="N502" s="293">
        <v>43356</v>
      </c>
      <c r="O502" s="293">
        <v>43356</v>
      </c>
      <c r="P502" s="289" t="s">
        <v>2030</v>
      </c>
      <c r="Q502" s="290">
        <v>300</v>
      </c>
      <c r="R502" s="290">
        <v>14040</v>
      </c>
      <c r="S502" s="291">
        <v>11069.35</v>
      </c>
      <c r="T502" s="290">
        <v>14046</v>
      </c>
      <c r="U502" s="291">
        <v>11069.35</v>
      </c>
      <c r="V502" s="291">
        <f t="shared" si="7"/>
        <v>0</v>
      </c>
      <c r="W502" s="292">
        <v>0</v>
      </c>
      <c r="X502" s="290">
        <v>51260</v>
      </c>
      <c r="Y502" s="291">
        <v>0</v>
      </c>
      <c r="Z502" s="289" t="s">
        <v>944</v>
      </c>
      <c r="AA502" s="289"/>
      <c r="AB502" s="289">
        <v>14676</v>
      </c>
      <c r="AC502" s="289"/>
      <c r="AD502" s="289" t="s">
        <v>1446</v>
      </c>
      <c r="AE502" s="289" t="s">
        <v>410</v>
      </c>
      <c r="AF502" s="290" t="s">
        <v>1447</v>
      </c>
      <c r="AG502" s="289"/>
      <c r="AH502" s="290" t="s">
        <v>1448</v>
      </c>
      <c r="AI502" s="289">
        <v>0</v>
      </c>
      <c r="AJ502" s="289">
        <v>0</v>
      </c>
    </row>
    <row r="503" spans="2:36">
      <c r="B503" s="290">
        <v>2111</v>
      </c>
      <c r="C503" s="294">
        <v>203867</v>
      </c>
      <c r="D503" s="290" t="s">
        <v>944</v>
      </c>
      <c r="E503" s="289" t="s">
        <v>2031</v>
      </c>
      <c r="F503" s="290"/>
      <c r="G503" s="289"/>
      <c r="H503" s="289" t="s">
        <v>2032</v>
      </c>
      <c r="I503" s="289"/>
      <c r="J503" s="289">
        <v>2019</v>
      </c>
      <c r="K503" s="289"/>
      <c r="L503" s="289"/>
      <c r="M503" s="289" t="s">
        <v>1523</v>
      </c>
      <c r="N503" s="293">
        <v>43385</v>
      </c>
      <c r="O503" s="293">
        <v>43385</v>
      </c>
      <c r="P503" s="289" t="s">
        <v>2033</v>
      </c>
      <c r="Q503" s="290">
        <v>1000</v>
      </c>
      <c r="R503" s="290">
        <v>14040</v>
      </c>
      <c r="S503" s="291">
        <v>350406.5</v>
      </c>
      <c r="T503" s="290">
        <v>14046</v>
      </c>
      <c r="U503" s="291">
        <v>134322.49</v>
      </c>
      <c r="V503" s="291">
        <f t="shared" si="7"/>
        <v>216084.01</v>
      </c>
      <c r="W503" s="292">
        <v>20440.38</v>
      </c>
      <c r="X503" s="290">
        <v>51260</v>
      </c>
      <c r="Y503" s="291">
        <v>2920.05</v>
      </c>
      <c r="Z503" s="289" t="s">
        <v>944</v>
      </c>
      <c r="AA503" s="289"/>
      <c r="AB503" s="289">
        <v>9934</v>
      </c>
      <c r="AC503" s="289">
        <v>856</v>
      </c>
      <c r="AD503" s="289" t="s">
        <v>1446</v>
      </c>
      <c r="AE503" s="289" t="s">
        <v>410</v>
      </c>
      <c r="AF503" s="290" t="s">
        <v>1447</v>
      </c>
      <c r="AG503" s="289"/>
      <c r="AH503" s="290" t="s">
        <v>1448</v>
      </c>
      <c r="AI503" s="289">
        <v>0</v>
      </c>
      <c r="AJ503" s="289">
        <v>0</v>
      </c>
    </row>
    <row r="504" spans="2:36">
      <c r="B504" s="290">
        <v>2111</v>
      </c>
      <c r="C504" s="294">
        <v>203779</v>
      </c>
      <c r="D504" s="290">
        <v>201533</v>
      </c>
      <c r="E504" s="289" t="s">
        <v>943</v>
      </c>
      <c r="F504" s="290"/>
      <c r="G504" s="289"/>
      <c r="H504" s="289"/>
      <c r="I504" s="289"/>
      <c r="J504" s="289">
        <v>0</v>
      </c>
      <c r="K504" s="289" t="s">
        <v>1522</v>
      </c>
      <c r="L504" s="289"/>
      <c r="M504" s="289" t="s">
        <v>1586</v>
      </c>
      <c r="N504" s="293">
        <v>43287</v>
      </c>
      <c r="O504" s="293">
        <v>43287</v>
      </c>
      <c r="P504" s="289" t="s">
        <v>2034</v>
      </c>
      <c r="Q504" s="290">
        <v>700</v>
      </c>
      <c r="R504" s="290">
        <v>14040</v>
      </c>
      <c r="S504" s="291">
        <v>11207.98</v>
      </c>
      <c r="T504" s="290">
        <v>14046</v>
      </c>
      <c r="U504" s="291">
        <v>6537.99</v>
      </c>
      <c r="V504" s="291">
        <f t="shared" si="7"/>
        <v>4669.99</v>
      </c>
      <c r="W504" s="292">
        <v>934</v>
      </c>
      <c r="X504" s="290">
        <v>51260</v>
      </c>
      <c r="Y504" s="291">
        <v>133.43</v>
      </c>
      <c r="Z504" s="289" t="s">
        <v>944</v>
      </c>
      <c r="AA504" s="289"/>
      <c r="AB504" s="289" t="s">
        <v>2035</v>
      </c>
      <c r="AC504" s="289"/>
      <c r="AD504" s="289" t="s">
        <v>1446</v>
      </c>
      <c r="AE504" s="289" t="s">
        <v>410</v>
      </c>
      <c r="AF504" s="290" t="s">
        <v>1447</v>
      </c>
      <c r="AG504" s="289"/>
      <c r="AH504" s="290" t="s">
        <v>1448</v>
      </c>
      <c r="AI504" s="289">
        <v>0</v>
      </c>
      <c r="AJ504" s="289">
        <v>0</v>
      </c>
    </row>
    <row r="505" spans="2:36">
      <c r="B505" s="290">
        <v>2111</v>
      </c>
      <c r="C505" s="294">
        <v>203608</v>
      </c>
      <c r="D505" s="290" t="s">
        <v>944</v>
      </c>
      <c r="E505" s="289" t="s">
        <v>899</v>
      </c>
      <c r="F505" s="290">
        <v>624</v>
      </c>
      <c r="G505" s="289"/>
      <c r="H505" s="289"/>
      <c r="I505" s="289"/>
      <c r="J505" s="289">
        <v>0</v>
      </c>
      <c r="K505" s="289" t="s">
        <v>1755</v>
      </c>
      <c r="L505" s="289"/>
      <c r="M505" s="289"/>
      <c r="N505" s="293">
        <v>43309</v>
      </c>
      <c r="O505" s="293">
        <v>43309</v>
      </c>
      <c r="P505" s="289" t="s">
        <v>2036</v>
      </c>
      <c r="Q505" s="290">
        <v>700</v>
      </c>
      <c r="R505" s="290">
        <v>14050</v>
      </c>
      <c r="S505" s="291">
        <v>33831.370000000003</v>
      </c>
      <c r="T505" s="290">
        <v>14056</v>
      </c>
      <c r="U505" s="291">
        <v>19332.2</v>
      </c>
      <c r="V505" s="291">
        <f t="shared" si="7"/>
        <v>14499.170000000002</v>
      </c>
      <c r="W505" s="292">
        <v>2819.28</v>
      </c>
      <c r="X505" s="290">
        <v>54260</v>
      </c>
      <c r="Y505" s="291">
        <v>402.75</v>
      </c>
      <c r="Z505" s="289" t="s">
        <v>944</v>
      </c>
      <c r="AA505" s="289"/>
      <c r="AB505" s="289">
        <v>65547417</v>
      </c>
      <c r="AC505" s="289"/>
      <c r="AD505" s="289" t="s">
        <v>1446</v>
      </c>
      <c r="AE505" s="289" t="s">
        <v>410</v>
      </c>
      <c r="AF505" s="290" t="s">
        <v>1447</v>
      </c>
      <c r="AG505" s="289"/>
      <c r="AH505" s="290" t="s">
        <v>1448</v>
      </c>
      <c r="AI505" s="289">
        <v>0</v>
      </c>
      <c r="AJ505" s="289">
        <v>0</v>
      </c>
    </row>
    <row r="506" spans="2:36">
      <c r="B506" s="290">
        <v>2111</v>
      </c>
      <c r="C506" s="294">
        <v>203607</v>
      </c>
      <c r="D506" s="290" t="s">
        <v>944</v>
      </c>
      <c r="E506" s="289" t="s">
        <v>900</v>
      </c>
      <c r="F506" s="290">
        <v>312</v>
      </c>
      <c r="G506" s="289"/>
      <c r="H506" s="289"/>
      <c r="I506" s="289"/>
      <c r="J506" s="289">
        <v>0</v>
      </c>
      <c r="K506" s="289" t="s">
        <v>1755</v>
      </c>
      <c r="L506" s="289"/>
      <c r="M506" s="289"/>
      <c r="N506" s="293">
        <v>43309</v>
      </c>
      <c r="O506" s="293">
        <v>43309</v>
      </c>
      <c r="P506" s="289" t="s">
        <v>2036</v>
      </c>
      <c r="Q506" s="290">
        <v>700</v>
      </c>
      <c r="R506" s="290">
        <v>14050</v>
      </c>
      <c r="S506" s="291">
        <v>16915.689999999999</v>
      </c>
      <c r="T506" s="290">
        <v>14056</v>
      </c>
      <c r="U506" s="291">
        <v>9666.1200000000008</v>
      </c>
      <c r="V506" s="291">
        <f t="shared" si="7"/>
        <v>7249.5699999999979</v>
      </c>
      <c r="W506" s="292">
        <v>1409.64</v>
      </c>
      <c r="X506" s="290">
        <v>54260</v>
      </c>
      <c r="Y506" s="291">
        <v>201.37</v>
      </c>
      <c r="Z506" s="289" t="s">
        <v>944</v>
      </c>
      <c r="AA506" s="289"/>
      <c r="AB506" s="289">
        <v>65549833</v>
      </c>
      <c r="AC506" s="289"/>
      <c r="AD506" s="289" t="s">
        <v>1446</v>
      </c>
      <c r="AE506" s="289" t="s">
        <v>410</v>
      </c>
      <c r="AF506" s="290" t="s">
        <v>1447</v>
      </c>
      <c r="AG506" s="289"/>
      <c r="AH506" s="290" t="s">
        <v>1448</v>
      </c>
      <c r="AI506" s="289">
        <v>0</v>
      </c>
      <c r="AJ506" s="289">
        <v>0</v>
      </c>
    </row>
    <row r="507" spans="2:36">
      <c r="B507" s="290">
        <v>2111</v>
      </c>
      <c r="C507" s="294">
        <v>203606</v>
      </c>
      <c r="D507" s="290" t="s">
        <v>944</v>
      </c>
      <c r="E507" s="289" t="s">
        <v>901</v>
      </c>
      <c r="F507" s="290">
        <v>475</v>
      </c>
      <c r="G507" s="289"/>
      <c r="H507" s="289"/>
      <c r="I507" s="289"/>
      <c r="J507" s="289">
        <v>0</v>
      </c>
      <c r="K507" s="289" t="s">
        <v>1755</v>
      </c>
      <c r="L507" s="289"/>
      <c r="M507" s="289"/>
      <c r="N507" s="293">
        <v>43309</v>
      </c>
      <c r="O507" s="293">
        <v>43309</v>
      </c>
      <c r="P507" s="289" t="s">
        <v>2036</v>
      </c>
      <c r="Q507" s="290">
        <v>700</v>
      </c>
      <c r="R507" s="290">
        <v>14050</v>
      </c>
      <c r="S507" s="291">
        <v>18365.82</v>
      </c>
      <c r="T507" s="290">
        <v>14056</v>
      </c>
      <c r="U507" s="291">
        <v>10494.76</v>
      </c>
      <c r="V507" s="291">
        <f t="shared" si="7"/>
        <v>7871.0599999999995</v>
      </c>
      <c r="W507" s="292">
        <v>1530.49</v>
      </c>
      <c r="X507" s="290">
        <v>54260</v>
      </c>
      <c r="Y507" s="291">
        <v>218.64</v>
      </c>
      <c r="Z507" s="289" t="s">
        <v>944</v>
      </c>
      <c r="AA507" s="289"/>
      <c r="AB507" s="289">
        <v>65549833</v>
      </c>
      <c r="AC507" s="289"/>
      <c r="AD507" s="289" t="s">
        <v>1446</v>
      </c>
      <c r="AE507" s="289" t="s">
        <v>410</v>
      </c>
      <c r="AF507" s="290" t="s">
        <v>1447</v>
      </c>
      <c r="AG507" s="289"/>
      <c r="AH507" s="290" t="s">
        <v>1448</v>
      </c>
      <c r="AI507" s="289">
        <v>0</v>
      </c>
      <c r="AJ507" s="289">
        <v>0</v>
      </c>
    </row>
    <row r="508" spans="2:36">
      <c r="B508" s="290">
        <v>2111</v>
      </c>
      <c r="C508" s="294">
        <v>202939</v>
      </c>
      <c r="D508" s="290" t="s">
        <v>944</v>
      </c>
      <c r="E508" s="289" t="s">
        <v>895</v>
      </c>
      <c r="F508" s="290"/>
      <c r="G508" s="289"/>
      <c r="H508" s="289" t="s">
        <v>2037</v>
      </c>
      <c r="I508" s="289"/>
      <c r="J508" s="289">
        <v>2016</v>
      </c>
      <c r="K508" s="289" t="s">
        <v>2038</v>
      </c>
      <c r="L508" s="289"/>
      <c r="M508" s="289" t="s">
        <v>2039</v>
      </c>
      <c r="N508" s="293">
        <v>43328</v>
      </c>
      <c r="O508" s="293">
        <v>43328</v>
      </c>
      <c r="P508" s="289" t="s">
        <v>2002</v>
      </c>
      <c r="Q508" s="290">
        <v>700</v>
      </c>
      <c r="R508" s="290">
        <v>14040</v>
      </c>
      <c r="S508" s="291">
        <v>42500</v>
      </c>
      <c r="T508" s="290">
        <v>14046</v>
      </c>
      <c r="U508" s="291">
        <v>23779.77</v>
      </c>
      <c r="V508" s="291">
        <f t="shared" si="7"/>
        <v>18720.23</v>
      </c>
      <c r="W508" s="292">
        <v>3541.67</v>
      </c>
      <c r="X508" s="290">
        <v>51260</v>
      </c>
      <c r="Y508" s="291">
        <v>505.95</v>
      </c>
      <c r="Z508" s="289" t="s">
        <v>944</v>
      </c>
      <c r="AA508" s="289"/>
      <c r="AB508" s="289">
        <v>13624</v>
      </c>
      <c r="AC508" s="289" t="s">
        <v>1006</v>
      </c>
      <c r="AD508" s="289" t="s">
        <v>1446</v>
      </c>
      <c r="AE508" s="289" t="s">
        <v>410</v>
      </c>
      <c r="AF508" s="290" t="s">
        <v>1447</v>
      </c>
      <c r="AG508" s="289"/>
      <c r="AH508" s="290" t="s">
        <v>1448</v>
      </c>
      <c r="AI508" s="289">
        <v>0</v>
      </c>
      <c r="AJ508" s="289">
        <v>0</v>
      </c>
    </row>
    <row r="509" spans="2:36">
      <c r="B509" s="290">
        <v>2111</v>
      </c>
      <c r="C509" s="294">
        <v>202833</v>
      </c>
      <c r="D509" s="290">
        <v>202139</v>
      </c>
      <c r="E509" s="289" t="s">
        <v>898</v>
      </c>
      <c r="F509" s="290"/>
      <c r="G509" s="289"/>
      <c r="H509" s="289" t="s">
        <v>2040</v>
      </c>
      <c r="I509" s="289"/>
      <c r="J509" s="289">
        <v>2019</v>
      </c>
      <c r="K509" s="289" t="s">
        <v>751</v>
      </c>
      <c r="L509" s="289" t="s">
        <v>751</v>
      </c>
      <c r="M509" s="289" t="s">
        <v>1523</v>
      </c>
      <c r="N509" s="293">
        <v>43373</v>
      </c>
      <c r="O509" s="293">
        <v>43373</v>
      </c>
      <c r="P509" s="289" t="s">
        <v>2023</v>
      </c>
      <c r="Q509" s="290">
        <v>1000</v>
      </c>
      <c r="R509" s="290">
        <v>14040</v>
      </c>
      <c r="S509" s="291">
        <v>330697.77</v>
      </c>
      <c r="T509" s="290">
        <v>14046</v>
      </c>
      <c r="U509" s="291">
        <v>126767.5</v>
      </c>
      <c r="V509" s="291">
        <f t="shared" si="7"/>
        <v>203930.27000000002</v>
      </c>
      <c r="W509" s="292">
        <v>19290.71</v>
      </c>
      <c r="X509" s="290">
        <v>51260</v>
      </c>
      <c r="Y509" s="291">
        <v>2755.82</v>
      </c>
      <c r="Z509" s="289" t="s">
        <v>944</v>
      </c>
      <c r="AA509" s="289"/>
      <c r="AB509" s="289">
        <v>9740</v>
      </c>
      <c r="AC509" s="289">
        <v>913</v>
      </c>
      <c r="AD509" s="289" t="s">
        <v>1446</v>
      </c>
      <c r="AE509" s="289" t="s">
        <v>410</v>
      </c>
      <c r="AF509" s="290" t="s">
        <v>1447</v>
      </c>
      <c r="AG509" s="289"/>
      <c r="AH509" s="290" t="s">
        <v>1448</v>
      </c>
      <c r="AI509" s="289">
        <v>0</v>
      </c>
      <c r="AJ509" s="289">
        <v>0</v>
      </c>
    </row>
    <row r="510" spans="2:36">
      <c r="B510" s="290">
        <v>2111</v>
      </c>
      <c r="C510" s="294">
        <v>202832</v>
      </c>
      <c r="D510" s="290" t="s">
        <v>944</v>
      </c>
      <c r="E510" s="289" t="s">
        <v>898</v>
      </c>
      <c r="F510" s="290"/>
      <c r="G510" s="289"/>
      <c r="H510" s="289" t="s">
        <v>2041</v>
      </c>
      <c r="I510" s="289"/>
      <c r="J510" s="289">
        <v>2019</v>
      </c>
      <c r="K510" s="289" t="s">
        <v>751</v>
      </c>
      <c r="L510" s="289" t="s">
        <v>751</v>
      </c>
      <c r="M510" s="289" t="s">
        <v>1523</v>
      </c>
      <c r="N510" s="293">
        <v>43373</v>
      </c>
      <c r="O510" s="293">
        <v>43373</v>
      </c>
      <c r="P510" s="289" t="s">
        <v>2042</v>
      </c>
      <c r="Q510" s="290">
        <v>1000</v>
      </c>
      <c r="R510" s="290">
        <v>14040</v>
      </c>
      <c r="S510" s="291">
        <v>331358.90999999997</v>
      </c>
      <c r="T510" s="290">
        <v>14046</v>
      </c>
      <c r="U510" s="291">
        <v>127020.91</v>
      </c>
      <c r="V510" s="291">
        <f t="shared" si="7"/>
        <v>204337.99999999997</v>
      </c>
      <c r="W510" s="292">
        <v>19329.27</v>
      </c>
      <c r="X510" s="290">
        <v>51260</v>
      </c>
      <c r="Y510" s="291">
        <v>2761.32</v>
      </c>
      <c r="Z510" s="289" t="s">
        <v>944</v>
      </c>
      <c r="AA510" s="289"/>
      <c r="AB510" s="289">
        <v>9740</v>
      </c>
      <c r="AC510" s="289">
        <v>912</v>
      </c>
      <c r="AD510" s="289" t="s">
        <v>1446</v>
      </c>
      <c r="AE510" s="289" t="s">
        <v>410</v>
      </c>
      <c r="AF510" s="290" t="s">
        <v>1447</v>
      </c>
      <c r="AG510" s="289"/>
      <c r="AH510" s="290" t="s">
        <v>1448</v>
      </c>
      <c r="AI510" s="289">
        <v>0</v>
      </c>
      <c r="AJ510" s="289">
        <v>0</v>
      </c>
    </row>
    <row r="511" spans="2:36">
      <c r="B511" s="290">
        <v>2111</v>
      </c>
      <c r="C511" s="294">
        <v>202609</v>
      </c>
      <c r="D511" s="290" t="s">
        <v>944</v>
      </c>
      <c r="E511" s="289" t="s">
        <v>902</v>
      </c>
      <c r="F511" s="290">
        <v>864</v>
      </c>
      <c r="G511" s="289"/>
      <c r="H511" s="289"/>
      <c r="I511" s="289"/>
      <c r="J511" s="289">
        <v>0</v>
      </c>
      <c r="K511" s="289" t="s">
        <v>1755</v>
      </c>
      <c r="L511" s="289"/>
      <c r="M511" s="289"/>
      <c r="N511" s="293">
        <v>43309</v>
      </c>
      <c r="O511" s="293">
        <v>43309</v>
      </c>
      <c r="P511" s="289" t="s">
        <v>2036</v>
      </c>
      <c r="Q511" s="290">
        <v>700</v>
      </c>
      <c r="R511" s="290">
        <v>14050</v>
      </c>
      <c r="S511" s="291">
        <v>40306.68</v>
      </c>
      <c r="T511" s="290">
        <v>14056</v>
      </c>
      <c r="U511" s="291">
        <v>23032.400000000001</v>
      </c>
      <c r="V511" s="291">
        <f t="shared" si="7"/>
        <v>17274.28</v>
      </c>
      <c r="W511" s="292">
        <v>3358.89</v>
      </c>
      <c r="X511" s="290">
        <v>54260</v>
      </c>
      <c r="Y511" s="291">
        <v>479.84</v>
      </c>
      <c r="Z511" s="289" t="s">
        <v>944</v>
      </c>
      <c r="AA511" s="289"/>
      <c r="AB511" s="289">
        <v>65546506</v>
      </c>
      <c r="AC511" s="289"/>
      <c r="AD511" s="289" t="s">
        <v>1446</v>
      </c>
      <c r="AE511" s="289" t="s">
        <v>410</v>
      </c>
      <c r="AF511" s="290" t="s">
        <v>1447</v>
      </c>
      <c r="AG511" s="289"/>
      <c r="AH511" s="290" t="s">
        <v>1448</v>
      </c>
      <c r="AI511" s="289">
        <v>0</v>
      </c>
      <c r="AJ511" s="289">
        <v>0</v>
      </c>
    </row>
    <row r="512" spans="2:36">
      <c r="B512" s="290">
        <v>2111</v>
      </c>
      <c r="C512" s="294">
        <v>202478</v>
      </c>
      <c r="D512" s="290" t="s">
        <v>944</v>
      </c>
      <c r="E512" s="289" t="s">
        <v>903</v>
      </c>
      <c r="F512" s="290">
        <v>864</v>
      </c>
      <c r="G512" s="289"/>
      <c r="H512" s="289"/>
      <c r="I512" s="289"/>
      <c r="J512" s="289">
        <v>0</v>
      </c>
      <c r="K512" s="289" t="s">
        <v>1755</v>
      </c>
      <c r="L512" s="289"/>
      <c r="M512" s="289"/>
      <c r="N512" s="293">
        <v>43276</v>
      </c>
      <c r="O512" s="293">
        <v>43276</v>
      </c>
      <c r="P512" s="289" t="s">
        <v>2043</v>
      </c>
      <c r="Q512" s="290">
        <v>700</v>
      </c>
      <c r="R512" s="290">
        <v>14050</v>
      </c>
      <c r="S512" s="291">
        <v>40104.33</v>
      </c>
      <c r="T512" s="290">
        <v>14056</v>
      </c>
      <c r="U512" s="291">
        <v>23394.2</v>
      </c>
      <c r="V512" s="291">
        <f t="shared" si="7"/>
        <v>16710.13</v>
      </c>
      <c r="W512" s="292">
        <v>3342.03</v>
      </c>
      <c r="X512" s="290">
        <v>54260</v>
      </c>
      <c r="Y512" s="291">
        <v>477.43</v>
      </c>
      <c r="Z512" s="289" t="s">
        <v>944</v>
      </c>
      <c r="AA512" s="289"/>
      <c r="AB512" s="289">
        <v>65538967</v>
      </c>
      <c r="AC512" s="289"/>
      <c r="AD512" s="289" t="s">
        <v>1446</v>
      </c>
      <c r="AE512" s="289" t="s">
        <v>410</v>
      </c>
      <c r="AF512" s="290" t="s">
        <v>1447</v>
      </c>
      <c r="AG512" s="289"/>
      <c r="AH512" s="290" t="s">
        <v>1448</v>
      </c>
      <c r="AI512" s="289">
        <v>0</v>
      </c>
      <c r="AJ512" s="289">
        <v>0</v>
      </c>
    </row>
    <row r="513" spans="2:36">
      <c r="B513" s="290">
        <v>2111</v>
      </c>
      <c r="C513" s="294">
        <v>201533</v>
      </c>
      <c r="D513" s="290" t="s">
        <v>944</v>
      </c>
      <c r="E513" s="289" t="s">
        <v>896</v>
      </c>
      <c r="F513" s="290"/>
      <c r="G513" s="289"/>
      <c r="H513" s="289" t="s">
        <v>2044</v>
      </c>
      <c r="I513" s="289"/>
      <c r="J513" s="289">
        <v>2019</v>
      </c>
      <c r="K513" s="289" t="s">
        <v>1594</v>
      </c>
      <c r="L513" s="289" t="s">
        <v>1594</v>
      </c>
      <c r="M513" s="289" t="s">
        <v>1582</v>
      </c>
      <c r="N513" s="293">
        <v>43287</v>
      </c>
      <c r="O513" s="293">
        <v>43287</v>
      </c>
      <c r="P513" s="289" t="s">
        <v>2034</v>
      </c>
      <c r="Q513" s="290">
        <v>700</v>
      </c>
      <c r="R513" s="290">
        <v>14040</v>
      </c>
      <c r="S513" s="291">
        <v>100872.99</v>
      </c>
      <c r="T513" s="290">
        <v>14046</v>
      </c>
      <c r="U513" s="291">
        <v>58842.58</v>
      </c>
      <c r="V513" s="291">
        <f t="shared" si="7"/>
        <v>42030.41</v>
      </c>
      <c r="W513" s="292">
        <v>8406.08</v>
      </c>
      <c r="X513" s="290">
        <v>51260</v>
      </c>
      <c r="Y513" s="291">
        <v>1200.8599999999999</v>
      </c>
      <c r="Z513" s="289" t="s">
        <v>944</v>
      </c>
      <c r="AA513" s="289"/>
      <c r="AB513" s="289" t="s">
        <v>2045</v>
      </c>
      <c r="AC513" s="289" t="s">
        <v>1007</v>
      </c>
      <c r="AD513" s="289" t="s">
        <v>1446</v>
      </c>
      <c r="AE513" s="289" t="s">
        <v>410</v>
      </c>
      <c r="AF513" s="290" t="s">
        <v>1447</v>
      </c>
      <c r="AG513" s="289"/>
      <c r="AH513" s="290" t="s">
        <v>1448</v>
      </c>
      <c r="AI513" s="289">
        <v>0</v>
      </c>
      <c r="AJ513" s="289">
        <v>0</v>
      </c>
    </row>
    <row r="514" spans="2:36">
      <c r="B514" s="290">
        <v>2111</v>
      </c>
      <c r="C514" s="294">
        <v>201178</v>
      </c>
      <c r="D514" s="290" t="s">
        <v>944</v>
      </c>
      <c r="E514" s="289" t="s">
        <v>906</v>
      </c>
      <c r="F514" s="290"/>
      <c r="G514" s="289"/>
      <c r="H514" s="289"/>
      <c r="I514" s="289"/>
      <c r="J514" s="289">
        <v>0</v>
      </c>
      <c r="K514" s="289" t="s">
        <v>1657</v>
      </c>
      <c r="L514" s="289"/>
      <c r="M514" s="289"/>
      <c r="N514" s="293">
        <v>43318</v>
      </c>
      <c r="O514" s="293">
        <v>43318</v>
      </c>
      <c r="P514" s="289" t="s">
        <v>2046</v>
      </c>
      <c r="Q514" s="290">
        <v>300</v>
      </c>
      <c r="R514" s="290">
        <v>14110</v>
      </c>
      <c r="S514" s="291">
        <v>1365.39</v>
      </c>
      <c r="T514" s="290">
        <v>14116</v>
      </c>
      <c r="U514" s="291">
        <v>1365.39</v>
      </c>
      <c r="V514" s="291">
        <f t="shared" si="7"/>
        <v>0</v>
      </c>
      <c r="W514" s="292">
        <v>0</v>
      </c>
      <c r="X514" s="290">
        <v>70260</v>
      </c>
      <c r="Y514" s="291">
        <v>0</v>
      </c>
      <c r="Z514" s="289" t="s">
        <v>944</v>
      </c>
      <c r="AA514" s="289"/>
      <c r="AB514" s="289" t="s">
        <v>2047</v>
      </c>
      <c r="AC514" s="289"/>
      <c r="AD514" s="289" t="s">
        <v>1446</v>
      </c>
      <c r="AE514" s="289" t="s">
        <v>410</v>
      </c>
      <c r="AF514" s="290" t="s">
        <v>1447</v>
      </c>
      <c r="AG514" s="289"/>
      <c r="AH514" s="290" t="s">
        <v>1448</v>
      </c>
      <c r="AI514" s="289">
        <v>0</v>
      </c>
      <c r="AJ514" s="289">
        <v>0</v>
      </c>
    </row>
    <row r="515" spans="2:36">
      <c r="B515" s="290">
        <v>2111</v>
      </c>
      <c r="C515" s="294">
        <v>201172</v>
      </c>
      <c r="D515" s="290" t="s">
        <v>944</v>
      </c>
      <c r="E515" s="289" t="s">
        <v>903</v>
      </c>
      <c r="F515" s="290">
        <v>624</v>
      </c>
      <c r="G515" s="289"/>
      <c r="H515" s="289"/>
      <c r="I515" s="289"/>
      <c r="J515" s="289">
        <v>0</v>
      </c>
      <c r="K515" s="289" t="s">
        <v>1755</v>
      </c>
      <c r="L515" s="289"/>
      <c r="M515" s="289"/>
      <c r="N515" s="293">
        <v>43276</v>
      </c>
      <c r="O515" s="293">
        <v>43276</v>
      </c>
      <c r="P515" s="289" t="s">
        <v>2043</v>
      </c>
      <c r="Q515" s="290">
        <v>700</v>
      </c>
      <c r="R515" s="290">
        <v>14050</v>
      </c>
      <c r="S515" s="291">
        <v>33629.019999999997</v>
      </c>
      <c r="T515" s="290">
        <v>14056</v>
      </c>
      <c r="U515" s="291">
        <v>19616.939999999999</v>
      </c>
      <c r="V515" s="291">
        <f t="shared" si="7"/>
        <v>14012.079999999998</v>
      </c>
      <c r="W515" s="292">
        <v>2802.42</v>
      </c>
      <c r="X515" s="290">
        <v>54260</v>
      </c>
      <c r="Y515" s="291">
        <v>400.34</v>
      </c>
      <c r="Z515" s="289" t="s">
        <v>944</v>
      </c>
      <c r="AA515" s="289"/>
      <c r="AB515" s="289">
        <v>65537690</v>
      </c>
      <c r="AC515" s="289"/>
      <c r="AD515" s="289" t="s">
        <v>1446</v>
      </c>
      <c r="AE515" s="289" t="s">
        <v>410</v>
      </c>
      <c r="AF515" s="290" t="s">
        <v>1447</v>
      </c>
      <c r="AG515" s="289"/>
      <c r="AH515" s="290" t="s">
        <v>1448</v>
      </c>
      <c r="AI515" s="289">
        <v>0</v>
      </c>
      <c r="AJ515" s="289">
        <v>0</v>
      </c>
    </row>
    <row r="516" spans="2:36">
      <c r="B516" s="290">
        <v>2111</v>
      </c>
      <c r="C516" s="294">
        <v>201171</v>
      </c>
      <c r="D516" s="290" t="s">
        <v>944</v>
      </c>
      <c r="E516" s="289" t="s">
        <v>899</v>
      </c>
      <c r="F516" s="290">
        <v>624</v>
      </c>
      <c r="G516" s="289"/>
      <c r="H516" s="289"/>
      <c r="I516" s="289"/>
      <c r="J516" s="289">
        <v>0</v>
      </c>
      <c r="K516" s="289" t="s">
        <v>1755</v>
      </c>
      <c r="L516" s="289"/>
      <c r="M516" s="289"/>
      <c r="N516" s="293">
        <v>43276</v>
      </c>
      <c r="O516" s="293">
        <v>43276</v>
      </c>
      <c r="P516" s="289" t="s">
        <v>2043</v>
      </c>
      <c r="Q516" s="290">
        <v>700</v>
      </c>
      <c r="R516" s="290">
        <v>14050</v>
      </c>
      <c r="S516" s="291">
        <v>33629.03</v>
      </c>
      <c r="T516" s="290">
        <v>14056</v>
      </c>
      <c r="U516" s="291">
        <v>19616.939999999999</v>
      </c>
      <c r="V516" s="291">
        <f t="shared" si="7"/>
        <v>14012.09</v>
      </c>
      <c r="W516" s="292">
        <v>2802.42</v>
      </c>
      <c r="X516" s="290">
        <v>54260</v>
      </c>
      <c r="Y516" s="291">
        <v>400.34</v>
      </c>
      <c r="Z516" s="289" t="s">
        <v>944</v>
      </c>
      <c r="AA516" s="289"/>
      <c r="AB516" s="289">
        <v>65539972</v>
      </c>
      <c r="AC516" s="289"/>
      <c r="AD516" s="289" t="s">
        <v>1446</v>
      </c>
      <c r="AE516" s="289" t="s">
        <v>410</v>
      </c>
      <c r="AF516" s="290" t="s">
        <v>1447</v>
      </c>
      <c r="AG516" s="289"/>
      <c r="AH516" s="290" t="s">
        <v>1448</v>
      </c>
      <c r="AI516" s="289">
        <v>0</v>
      </c>
      <c r="AJ516" s="289">
        <v>0</v>
      </c>
    </row>
    <row r="517" spans="2:36">
      <c r="B517" s="290">
        <v>2111</v>
      </c>
      <c r="C517" s="294">
        <v>201170</v>
      </c>
      <c r="D517" s="290" t="s">
        <v>944</v>
      </c>
      <c r="E517" s="289" t="s">
        <v>904</v>
      </c>
      <c r="F517" s="290">
        <v>624</v>
      </c>
      <c r="G517" s="289"/>
      <c r="H517" s="289"/>
      <c r="I517" s="289"/>
      <c r="J517" s="289">
        <v>0</v>
      </c>
      <c r="K517" s="289" t="s">
        <v>1755</v>
      </c>
      <c r="L517" s="289"/>
      <c r="M517" s="289"/>
      <c r="N517" s="293">
        <v>43276</v>
      </c>
      <c r="O517" s="293">
        <v>43276</v>
      </c>
      <c r="P517" s="289" t="s">
        <v>2043</v>
      </c>
      <c r="Q517" s="290">
        <v>700</v>
      </c>
      <c r="R517" s="290">
        <v>14050</v>
      </c>
      <c r="S517" s="291">
        <v>34685.120000000003</v>
      </c>
      <c r="T517" s="290">
        <v>14056</v>
      </c>
      <c r="U517" s="291">
        <v>20233</v>
      </c>
      <c r="V517" s="291">
        <f t="shared" si="7"/>
        <v>14452.120000000003</v>
      </c>
      <c r="W517" s="292">
        <v>2890.43</v>
      </c>
      <c r="X517" s="290">
        <v>54260</v>
      </c>
      <c r="Y517" s="291">
        <v>412.92</v>
      </c>
      <c r="Z517" s="289" t="s">
        <v>944</v>
      </c>
      <c r="AA517" s="289"/>
      <c r="AB517" s="289">
        <v>65540992</v>
      </c>
      <c r="AC517" s="289"/>
      <c r="AD517" s="289" t="s">
        <v>1446</v>
      </c>
      <c r="AE517" s="289" t="s">
        <v>410</v>
      </c>
      <c r="AF517" s="290" t="s">
        <v>1447</v>
      </c>
      <c r="AG517" s="289"/>
      <c r="AH517" s="290" t="s">
        <v>1448</v>
      </c>
      <c r="AI517" s="289">
        <v>0</v>
      </c>
      <c r="AJ517" s="289">
        <v>0</v>
      </c>
    </row>
    <row r="518" spans="2:36">
      <c r="B518" s="290">
        <v>2111</v>
      </c>
      <c r="C518" s="294">
        <v>200783</v>
      </c>
      <c r="D518" s="290" t="s">
        <v>944</v>
      </c>
      <c r="E518" s="289" t="s">
        <v>897</v>
      </c>
      <c r="F518" s="290"/>
      <c r="G518" s="289"/>
      <c r="H518" s="289" t="s">
        <v>2048</v>
      </c>
      <c r="I518" s="289"/>
      <c r="J518" s="289">
        <v>2019</v>
      </c>
      <c r="K518" s="289"/>
      <c r="L518" s="289"/>
      <c r="M518" s="289" t="s">
        <v>2049</v>
      </c>
      <c r="N518" s="293">
        <v>43294</v>
      </c>
      <c r="O518" s="293">
        <v>43294</v>
      </c>
      <c r="P518" s="289" t="s">
        <v>2050</v>
      </c>
      <c r="Q518" s="290">
        <v>1000</v>
      </c>
      <c r="R518" s="290">
        <v>14040</v>
      </c>
      <c r="S518" s="291">
        <v>131900.57999999999</v>
      </c>
      <c r="T518" s="290">
        <v>14046</v>
      </c>
      <c r="U518" s="291">
        <v>53859.37</v>
      </c>
      <c r="V518" s="291">
        <f t="shared" si="7"/>
        <v>78041.209999999992</v>
      </c>
      <c r="W518" s="292">
        <v>7694.2</v>
      </c>
      <c r="X518" s="290">
        <v>51260</v>
      </c>
      <c r="Y518" s="291">
        <v>1099.17</v>
      </c>
      <c r="Z518" s="289" t="s">
        <v>944</v>
      </c>
      <c r="AA518" s="289"/>
      <c r="AB518" s="289"/>
      <c r="AC518" s="289">
        <v>150</v>
      </c>
      <c r="AD518" s="289" t="s">
        <v>1446</v>
      </c>
      <c r="AE518" s="289" t="s">
        <v>410</v>
      </c>
      <c r="AF518" s="290" t="s">
        <v>1447</v>
      </c>
      <c r="AG518" s="289"/>
      <c r="AH518" s="290" t="s">
        <v>1448</v>
      </c>
      <c r="AI518" s="289">
        <v>0</v>
      </c>
      <c r="AJ518" s="289">
        <v>0</v>
      </c>
    </row>
    <row r="519" spans="2:36">
      <c r="B519" s="290">
        <v>2111</v>
      </c>
      <c r="C519" s="294">
        <v>200782</v>
      </c>
      <c r="D519" s="290" t="s">
        <v>944</v>
      </c>
      <c r="E519" s="289" t="s">
        <v>907</v>
      </c>
      <c r="F519" s="290">
        <v>0</v>
      </c>
      <c r="G519" s="289"/>
      <c r="H519" s="289"/>
      <c r="I519" s="289"/>
      <c r="J519" s="289">
        <v>0</v>
      </c>
      <c r="K519" s="289"/>
      <c r="L519" s="289"/>
      <c r="M519" s="289"/>
      <c r="N519" s="293">
        <v>43296</v>
      </c>
      <c r="O519" s="293">
        <v>43296</v>
      </c>
      <c r="P519" s="289" t="s">
        <v>2051</v>
      </c>
      <c r="Q519" s="290">
        <v>300</v>
      </c>
      <c r="R519" s="290">
        <v>14110</v>
      </c>
      <c r="S519" s="291">
        <v>2910</v>
      </c>
      <c r="T519" s="290">
        <v>14116</v>
      </c>
      <c r="U519" s="291">
        <v>2910</v>
      </c>
      <c r="V519" s="291">
        <f t="shared" si="7"/>
        <v>0</v>
      </c>
      <c r="W519" s="292">
        <v>0</v>
      </c>
      <c r="X519" s="290">
        <v>70260</v>
      </c>
      <c r="Y519" s="291">
        <v>0</v>
      </c>
      <c r="Z519" s="289" t="s">
        <v>944</v>
      </c>
      <c r="AA519" s="289"/>
      <c r="AB519" s="289"/>
      <c r="AC519" s="289"/>
      <c r="AD519" s="289" t="s">
        <v>1446</v>
      </c>
      <c r="AE519" s="289" t="s">
        <v>410</v>
      </c>
      <c r="AF519" s="290" t="s">
        <v>1447</v>
      </c>
      <c r="AG519" s="289"/>
      <c r="AH519" s="290" t="s">
        <v>1448</v>
      </c>
      <c r="AI519" s="289">
        <v>0</v>
      </c>
      <c r="AJ519" s="289">
        <v>0</v>
      </c>
    </row>
    <row r="520" spans="2:36">
      <c r="B520" s="290">
        <v>2111</v>
      </c>
      <c r="C520" s="294">
        <v>200714</v>
      </c>
      <c r="D520" s="290">
        <v>173078</v>
      </c>
      <c r="E520" s="289" t="s">
        <v>567</v>
      </c>
      <c r="F520" s="290"/>
      <c r="G520" s="289"/>
      <c r="H520" s="289"/>
      <c r="I520" s="289"/>
      <c r="J520" s="289">
        <v>0</v>
      </c>
      <c r="K520" s="289" t="s">
        <v>1561</v>
      </c>
      <c r="L520" s="289"/>
      <c r="M520" s="289" t="s">
        <v>1586</v>
      </c>
      <c r="N520" s="293">
        <v>43306</v>
      </c>
      <c r="O520" s="293">
        <v>43306</v>
      </c>
      <c r="P520" s="289" t="s">
        <v>2052</v>
      </c>
      <c r="Q520" s="290">
        <v>300</v>
      </c>
      <c r="R520" s="290">
        <v>14040</v>
      </c>
      <c r="S520" s="291">
        <v>9099.7199999999993</v>
      </c>
      <c r="T520" s="290">
        <v>14046</v>
      </c>
      <c r="U520" s="291">
        <v>9099.7199999999993</v>
      </c>
      <c r="V520" s="291">
        <f t="shared" si="7"/>
        <v>0</v>
      </c>
      <c r="W520" s="292">
        <v>0</v>
      </c>
      <c r="X520" s="290">
        <v>51260</v>
      </c>
      <c r="Y520" s="291">
        <v>0</v>
      </c>
      <c r="Z520" s="289" t="s">
        <v>944</v>
      </c>
      <c r="AA520" s="289"/>
      <c r="AB520" s="289">
        <v>4103084</v>
      </c>
      <c r="AC520" s="289"/>
      <c r="AD520" s="289" t="s">
        <v>1446</v>
      </c>
      <c r="AE520" s="289" t="s">
        <v>410</v>
      </c>
      <c r="AF520" s="290" t="s">
        <v>1447</v>
      </c>
      <c r="AG520" s="289"/>
      <c r="AH520" s="290" t="s">
        <v>1448</v>
      </c>
      <c r="AI520" s="289">
        <v>0</v>
      </c>
      <c r="AJ520" s="289">
        <v>0</v>
      </c>
    </row>
    <row r="521" spans="2:36">
      <c r="B521" s="290">
        <v>2111</v>
      </c>
      <c r="C521" s="294">
        <v>199577</v>
      </c>
      <c r="D521" s="290" t="s">
        <v>944</v>
      </c>
      <c r="E521" s="289" t="s">
        <v>2053</v>
      </c>
      <c r="F521" s="290"/>
      <c r="G521" s="289"/>
      <c r="H521" s="289"/>
      <c r="I521" s="289"/>
      <c r="J521" s="289">
        <v>0</v>
      </c>
      <c r="K521" s="289" t="s">
        <v>2054</v>
      </c>
      <c r="L521" s="289"/>
      <c r="M521" s="289"/>
      <c r="N521" s="293">
        <v>43251</v>
      </c>
      <c r="O521" s="293">
        <v>43251</v>
      </c>
      <c r="P521" s="289" t="s">
        <v>2055</v>
      </c>
      <c r="Q521" s="290">
        <v>300</v>
      </c>
      <c r="R521" s="290">
        <v>14110</v>
      </c>
      <c r="S521" s="291">
        <v>2910</v>
      </c>
      <c r="T521" s="290">
        <v>14116</v>
      </c>
      <c r="U521" s="291">
        <v>2910</v>
      </c>
      <c r="V521" s="291">
        <f t="shared" si="7"/>
        <v>0</v>
      </c>
      <c r="W521" s="292">
        <v>0</v>
      </c>
      <c r="X521" s="290">
        <v>70260</v>
      </c>
      <c r="Y521" s="291">
        <v>0</v>
      </c>
      <c r="Z521" s="289" t="s">
        <v>944</v>
      </c>
      <c r="AA521" s="289"/>
      <c r="AB521" s="289">
        <v>17748</v>
      </c>
      <c r="AC521" s="289"/>
      <c r="AD521" s="289" t="s">
        <v>1446</v>
      </c>
      <c r="AE521" s="289" t="s">
        <v>410</v>
      </c>
      <c r="AF521" s="290" t="s">
        <v>1447</v>
      </c>
      <c r="AG521" s="289"/>
      <c r="AH521" s="290" t="s">
        <v>1448</v>
      </c>
      <c r="AI521" s="289">
        <v>0</v>
      </c>
      <c r="AJ521" s="289">
        <v>0</v>
      </c>
    </row>
    <row r="522" spans="2:36">
      <c r="B522" s="290">
        <v>2111</v>
      </c>
      <c r="C522" s="294">
        <v>199570</v>
      </c>
      <c r="D522" s="290">
        <v>199165</v>
      </c>
      <c r="E522" s="289" t="s">
        <v>2056</v>
      </c>
      <c r="F522" s="290"/>
      <c r="G522" s="289"/>
      <c r="H522" s="289"/>
      <c r="I522" s="289"/>
      <c r="J522" s="289">
        <v>0</v>
      </c>
      <c r="K522" s="289" t="s">
        <v>2057</v>
      </c>
      <c r="L522" s="289"/>
      <c r="M522" s="289" t="s">
        <v>1586</v>
      </c>
      <c r="N522" s="293">
        <v>43252</v>
      </c>
      <c r="O522" s="293">
        <v>43252</v>
      </c>
      <c r="P522" s="289" t="s">
        <v>2058</v>
      </c>
      <c r="Q522" s="290">
        <v>900</v>
      </c>
      <c r="R522" s="290">
        <v>14040</v>
      </c>
      <c r="S522" s="291">
        <v>1745</v>
      </c>
      <c r="T522" s="290">
        <v>14046</v>
      </c>
      <c r="U522" s="291">
        <v>807.87</v>
      </c>
      <c r="V522" s="291">
        <f t="shared" si="7"/>
        <v>937.13</v>
      </c>
      <c r="W522" s="292">
        <v>113.1</v>
      </c>
      <c r="X522" s="290">
        <v>51260</v>
      </c>
      <c r="Y522" s="291">
        <v>16.149999999999999</v>
      </c>
      <c r="Z522" s="289" t="s">
        <v>944</v>
      </c>
      <c r="AA522" s="289"/>
      <c r="AB522" s="289" t="s">
        <v>2059</v>
      </c>
      <c r="AC522" s="289"/>
      <c r="AD522" s="289" t="s">
        <v>1446</v>
      </c>
      <c r="AE522" s="289" t="s">
        <v>410</v>
      </c>
      <c r="AF522" s="290" t="s">
        <v>1447</v>
      </c>
      <c r="AG522" s="289"/>
      <c r="AH522" s="290" t="s">
        <v>1448</v>
      </c>
      <c r="AI522" s="289">
        <v>0</v>
      </c>
      <c r="AJ522" s="289">
        <v>0</v>
      </c>
    </row>
    <row r="523" spans="2:36">
      <c r="B523" s="290">
        <v>2111</v>
      </c>
      <c r="C523" s="294">
        <v>199443</v>
      </c>
      <c r="D523" s="290" t="s">
        <v>944</v>
      </c>
      <c r="E523" s="289" t="s">
        <v>900</v>
      </c>
      <c r="F523" s="290">
        <v>624</v>
      </c>
      <c r="G523" s="289"/>
      <c r="H523" s="289"/>
      <c r="I523" s="289"/>
      <c r="J523" s="289">
        <v>0</v>
      </c>
      <c r="K523" s="289" t="s">
        <v>1755</v>
      </c>
      <c r="L523" s="289"/>
      <c r="M523" s="289"/>
      <c r="N523" s="293">
        <v>43200</v>
      </c>
      <c r="O523" s="293">
        <v>43200</v>
      </c>
      <c r="P523" s="289" t="s">
        <v>2060</v>
      </c>
      <c r="Q523" s="290">
        <v>700</v>
      </c>
      <c r="R523" s="290">
        <v>14050</v>
      </c>
      <c r="S523" s="291">
        <v>33245.019999999997</v>
      </c>
      <c r="T523" s="290">
        <v>14056</v>
      </c>
      <c r="U523" s="291">
        <v>20580.259999999998</v>
      </c>
      <c r="V523" s="291">
        <f t="shared" si="7"/>
        <v>12664.759999999998</v>
      </c>
      <c r="W523" s="292">
        <v>2770.42</v>
      </c>
      <c r="X523" s="290">
        <v>54260</v>
      </c>
      <c r="Y523" s="291">
        <v>395.77</v>
      </c>
      <c r="Z523" s="289" t="s">
        <v>944</v>
      </c>
      <c r="AA523" s="289"/>
      <c r="AB523" s="289">
        <v>65530552</v>
      </c>
      <c r="AC523" s="289"/>
      <c r="AD523" s="289" t="s">
        <v>1446</v>
      </c>
      <c r="AE523" s="289" t="s">
        <v>410</v>
      </c>
      <c r="AF523" s="290" t="s">
        <v>1447</v>
      </c>
      <c r="AG523" s="289"/>
      <c r="AH523" s="290" t="s">
        <v>1448</v>
      </c>
      <c r="AI523" s="289">
        <v>0</v>
      </c>
      <c r="AJ523" s="289">
        <v>0</v>
      </c>
    </row>
    <row r="524" spans="2:36">
      <c r="B524" s="290">
        <v>2111</v>
      </c>
      <c r="C524" s="294">
        <v>199192</v>
      </c>
      <c r="D524" s="290">
        <v>9537</v>
      </c>
      <c r="E524" s="289" t="s">
        <v>460</v>
      </c>
      <c r="F524" s="290"/>
      <c r="G524" s="289"/>
      <c r="H524" s="289"/>
      <c r="I524" s="289"/>
      <c r="J524" s="289">
        <v>0</v>
      </c>
      <c r="K524" s="289" t="s">
        <v>1980</v>
      </c>
      <c r="L524" s="289"/>
      <c r="M524" s="289" t="s">
        <v>1586</v>
      </c>
      <c r="N524" s="293">
        <v>43228</v>
      </c>
      <c r="O524" s="293">
        <v>43228</v>
      </c>
      <c r="P524" s="289" t="s">
        <v>2061</v>
      </c>
      <c r="Q524" s="290">
        <v>300</v>
      </c>
      <c r="R524" s="290">
        <v>14040</v>
      </c>
      <c r="S524" s="291">
        <v>28485.64</v>
      </c>
      <c r="T524" s="290">
        <v>14046</v>
      </c>
      <c r="U524" s="291">
        <v>28485.64</v>
      </c>
      <c r="V524" s="291">
        <f t="shared" si="7"/>
        <v>0</v>
      </c>
      <c r="W524" s="292">
        <v>0</v>
      </c>
      <c r="X524" s="290">
        <v>51260</v>
      </c>
      <c r="Y524" s="291">
        <v>0</v>
      </c>
      <c r="Z524" s="289" t="s">
        <v>944</v>
      </c>
      <c r="AA524" s="289"/>
      <c r="AB524" s="289" t="s">
        <v>2062</v>
      </c>
      <c r="AC524" s="289"/>
      <c r="AD524" s="289" t="s">
        <v>1446</v>
      </c>
      <c r="AE524" s="289" t="s">
        <v>410</v>
      </c>
      <c r="AF524" s="290" t="s">
        <v>1447</v>
      </c>
      <c r="AG524" s="289"/>
      <c r="AH524" s="290" t="s">
        <v>1448</v>
      </c>
      <c r="AI524" s="289">
        <v>0</v>
      </c>
      <c r="AJ524" s="289">
        <v>0</v>
      </c>
    </row>
    <row r="525" spans="2:36">
      <c r="B525" s="290">
        <v>2111</v>
      </c>
      <c r="C525" s="294">
        <v>199165</v>
      </c>
      <c r="D525" s="290" t="s">
        <v>944</v>
      </c>
      <c r="E525" s="289" t="s">
        <v>501</v>
      </c>
      <c r="F525" s="290"/>
      <c r="G525" s="289"/>
      <c r="H525" s="289" t="s">
        <v>2063</v>
      </c>
      <c r="I525" s="289"/>
      <c r="J525" s="289">
        <v>2017</v>
      </c>
      <c r="K525" s="289"/>
      <c r="L525" s="289"/>
      <c r="M525" s="289" t="s">
        <v>1495</v>
      </c>
      <c r="N525" s="293">
        <v>43252</v>
      </c>
      <c r="O525" s="293">
        <v>43252</v>
      </c>
      <c r="P525" s="289" t="s">
        <v>2058</v>
      </c>
      <c r="Q525" s="290">
        <v>900</v>
      </c>
      <c r="R525" s="290">
        <v>14040</v>
      </c>
      <c r="S525" s="291">
        <v>345746.04</v>
      </c>
      <c r="T525" s="290">
        <v>14046</v>
      </c>
      <c r="U525" s="291">
        <v>160067.63</v>
      </c>
      <c r="V525" s="291">
        <f t="shared" si="7"/>
        <v>185678.40999999997</v>
      </c>
      <c r="W525" s="292">
        <v>22409.47</v>
      </c>
      <c r="X525" s="290">
        <v>51260</v>
      </c>
      <c r="Y525" s="291">
        <v>3201.35</v>
      </c>
      <c r="Z525" s="289" t="s">
        <v>944</v>
      </c>
      <c r="AA525" s="289"/>
      <c r="AB525" s="289"/>
      <c r="AC525" s="289">
        <v>855</v>
      </c>
      <c r="AD525" s="289" t="s">
        <v>1446</v>
      </c>
      <c r="AE525" s="289" t="s">
        <v>410</v>
      </c>
      <c r="AF525" s="290" t="s">
        <v>1447</v>
      </c>
      <c r="AG525" s="289"/>
      <c r="AH525" s="290" t="s">
        <v>1448</v>
      </c>
      <c r="AI525" s="289">
        <v>0</v>
      </c>
      <c r="AJ525" s="289">
        <v>0</v>
      </c>
    </row>
    <row r="526" spans="2:36">
      <c r="B526" s="290">
        <v>2111</v>
      </c>
      <c r="C526" s="294">
        <v>199164</v>
      </c>
      <c r="D526" s="290" t="s">
        <v>944</v>
      </c>
      <c r="E526" s="289" t="s">
        <v>501</v>
      </c>
      <c r="F526" s="290"/>
      <c r="G526" s="289"/>
      <c r="H526" s="289" t="s">
        <v>2064</v>
      </c>
      <c r="I526" s="289"/>
      <c r="J526" s="289">
        <v>2017</v>
      </c>
      <c r="K526" s="289"/>
      <c r="L526" s="289"/>
      <c r="M526" s="289" t="s">
        <v>1495</v>
      </c>
      <c r="N526" s="293">
        <v>43252</v>
      </c>
      <c r="O526" s="293">
        <v>43252</v>
      </c>
      <c r="P526" s="289" t="s">
        <v>2065</v>
      </c>
      <c r="Q526" s="290">
        <v>900</v>
      </c>
      <c r="R526" s="290">
        <v>14040</v>
      </c>
      <c r="S526" s="291">
        <v>347491.04</v>
      </c>
      <c r="T526" s="290">
        <v>14046</v>
      </c>
      <c r="U526" s="291">
        <v>160875.5</v>
      </c>
      <c r="V526" s="291">
        <f t="shared" ref="V526:V589" si="8">S526-U526</f>
        <v>186615.53999999998</v>
      </c>
      <c r="W526" s="292">
        <v>22522.57</v>
      </c>
      <c r="X526" s="290">
        <v>51260</v>
      </c>
      <c r="Y526" s="291">
        <v>3217.51</v>
      </c>
      <c r="Z526" s="289" t="s">
        <v>944</v>
      </c>
      <c r="AA526" s="289"/>
      <c r="AB526" s="289"/>
      <c r="AC526" s="289">
        <v>854</v>
      </c>
      <c r="AD526" s="289" t="s">
        <v>1446</v>
      </c>
      <c r="AE526" s="289" t="s">
        <v>410</v>
      </c>
      <c r="AF526" s="290" t="s">
        <v>1447</v>
      </c>
      <c r="AG526" s="289"/>
      <c r="AH526" s="290" t="s">
        <v>1448</v>
      </c>
      <c r="AI526" s="289">
        <v>0</v>
      </c>
      <c r="AJ526" s="289">
        <v>0</v>
      </c>
    </row>
    <row r="527" spans="2:36">
      <c r="B527" s="290">
        <v>2111</v>
      </c>
      <c r="C527" s="294">
        <v>199096</v>
      </c>
      <c r="D527" s="290" t="s">
        <v>944</v>
      </c>
      <c r="E527" s="289" t="s">
        <v>2066</v>
      </c>
      <c r="F527" s="290">
        <v>15</v>
      </c>
      <c r="G527" s="289"/>
      <c r="H527" s="289"/>
      <c r="I527" s="289"/>
      <c r="J527" s="289">
        <v>0</v>
      </c>
      <c r="K527" s="289" t="s">
        <v>1509</v>
      </c>
      <c r="L527" s="289"/>
      <c r="M527" s="289" t="s">
        <v>1662</v>
      </c>
      <c r="N527" s="293">
        <v>43224</v>
      </c>
      <c r="O527" s="293">
        <v>43224</v>
      </c>
      <c r="P527" s="289" t="s">
        <v>2067</v>
      </c>
      <c r="Q527" s="290">
        <v>1200</v>
      </c>
      <c r="R527" s="290">
        <v>14050</v>
      </c>
      <c r="S527" s="291">
        <v>13539.32</v>
      </c>
      <c r="T527" s="290">
        <v>14056</v>
      </c>
      <c r="U527" s="291">
        <v>4795.1899999999996</v>
      </c>
      <c r="V527" s="291">
        <f t="shared" si="8"/>
        <v>8744.130000000001</v>
      </c>
      <c r="W527" s="292">
        <v>658.16</v>
      </c>
      <c r="X527" s="290">
        <v>54260</v>
      </c>
      <c r="Y527" s="291">
        <v>94.02</v>
      </c>
      <c r="Z527" s="289" t="s">
        <v>944</v>
      </c>
      <c r="AA527" s="289"/>
      <c r="AB527" s="289" t="s">
        <v>2068</v>
      </c>
      <c r="AC527" s="289"/>
      <c r="AD527" s="289" t="s">
        <v>1446</v>
      </c>
      <c r="AE527" s="289" t="s">
        <v>410</v>
      </c>
      <c r="AF527" s="290" t="s">
        <v>1447</v>
      </c>
      <c r="AG527" s="289"/>
      <c r="AH527" s="290" t="s">
        <v>1448</v>
      </c>
      <c r="AI527" s="289">
        <v>0</v>
      </c>
      <c r="AJ527" s="289">
        <v>0</v>
      </c>
    </row>
    <row r="528" spans="2:36">
      <c r="B528" s="290">
        <v>2111</v>
      </c>
      <c r="C528" s="294">
        <v>199095</v>
      </c>
      <c r="D528" s="290" t="s">
        <v>944</v>
      </c>
      <c r="E528" s="289" t="s">
        <v>2069</v>
      </c>
      <c r="F528" s="290">
        <v>15</v>
      </c>
      <c r="G528" s="289"/>
      <c r="H528" s="289"/>
      <c r="I528" s="289"/>
      <c r="J528" s="289">
        <v>0</v>
      </c>
      <c r="K528" s="289" t="s">
        <v>1509</v>
      </c>
      <c r="L528" s="289"/>
      <c r="M528" s="289" t="s">
        <v>1664</v>
      </c>
      <c r="N528" s="293">
        <v>43224</v>
      </c>
      <c r="O528" s="293">
        <v>43224</v>
      </c>
      <c r="P528" s="289" t="s">
        <v>2067</v>
      </c>
      <c r="Q528" s="290">
        <v>1200</v>
      </c>
      <c r="R528" s="290">
        <v>14050</v>
      </c>
      <c r="S528" s="291">
        <v>11547.28</v>
      </c>
      <c r="T528" s="290">
        <v>14056</v>
      </c>
      <c r="U528" s="291">
        <v>4089.65</v>
      </c>
      <c r="V528" s="291">
        <f t="shared" si="8"/>
        <v>7457.630000000001</v>
      </c>
      <c r="W528" s="292">
        <v>561.32000000000005</v>
      </c>
      <c r="X528" s="290">
        <v>54260</v>
      </c>
      <c r="Y528" s="291">
        <v>80.180000000000007</v>
      </c>
      <c r="Z528" s="289" t="s">
        <v>944</v>
      </c>
      <c r="AA528" s="289"/>
      <c r="AB528" s="289" t="s">
        <v>2068</v>
      </c>
      <c r="AC528" s="289"/>
      <c r="AD528" s="289" t="s">
        <v>1446</v>
      </c>
      <c r="AE528" s="289" t="s">
        <v>410</v>
      </c>
      <c r="AF528" s="290" t="s">
        <v>1447</v>
      </c>
      <c r="AG528" s="289"/>
      <c r="AH528" s="290" t="s">
        <v>1448</v>
      </c>
      <c r="AI528" s="289">
        <v>0</v>
      </c>
      <c r="AJ528" s="289">
        <v>0</v>
      </c>
    </row>
    <row r="529" spans="2:36">
      <c r="B529" s="290">
        <v>2111</v>
      </c>
      <c r="C529" s="294">
        <v>198690</v>
      </c>
      <c r="D529" s="290" t="s">
        <v>944</v>
      </c>
      <c r="E529" s="289" t="s">
        <v>2070</v>
      </c>
      <c r="F529" s="290">
        <v>50</v>
      </c>
      <c r="G529" s="289"/>
      <c r="H529" s="289"/>
      <c r="I529" s="289"/>
      <c r="J529" s="289">
        <v>0</v>
      </c>
      <c r="K529" s="289" t="s">
        <v>1509</v>
      </c>
      <c r="L529" s="289"/>
      <c r="M529" s="289" t="s">
        <v>1659</v>
      </c>
      <c r="N529" s="293">
        <v>43224</v>
      </c>
      <c r="O529" s="293">
        <v>43224</v>
      </c>
      <c r="P529" s="289" t="s">
        <v>2067</v>
      </c>
      <c r="Q529" s="290">
        <v>1200</v>
      </c>
      <c r="R529" s="290">
        <v>14050</v>
      </c>
      <c r="S529" s="291">
        <v>31389.09</v>
      </c>
      <c r="T529" s="290">
        <v>14056</v>
      </c>
      <c r="U529" s="291">
        <v>11116.98</v>
      </c>
      <c r="V529" s="291">
        <f t="shared" si="8"/>
        <v>20272.11</v>
      </c>
      <c r="W529" s="292">
        <v>1525.86</v>
      </c>
      <c r="X529" s="290">
        <v>54260</v>
      </c>
      <c r="Y529" s="291">
        <v>217.98</v>
      </c>
      <c r="Z529" s="289" t="s">
        <v>944</v>
      </c>
      <c r="AA529" s="289"/>
      <c r="AB529" s="289" t="s">
        <v>2071</v>
      </c>
      <c r="AC529" s="289"/>
      <c r="AD529" s="289" t="s">
        <v>1446</v>
      </c>
      <c r="AE529" s="289" t="s">
        <v>410</v>
      </c>
      <c r="AF529" s="290" t="s">
        <v>1447</v>
      </c>
      <c r="AG529" s="289"/>
      <c r="AH529" s="290" t="s">
        <v>1448</v>
      </c>
      <c r="AI529" s="289">
        <v>0</v>
      </c>
      <c r="AJ529" s="289">
        <v>0</v>
      </c>
    </row>
    <row r="530" spans="2:36">
      <c r="B530" s="290">
        <v>2111</v>
      </c>
      <c r="C530" s="294">
        <v>198526</v>
      </c>
      <c r="D530" s="290" t="s">
        <v>944</v>
      </c>
      <c r="E530" s="289" t="s">
        <v>1243</v>
      </c>
      <c r="F530" s="290"/>
      <c r="G530" s="289"/>
      <c r="H530" s="289" t="s">
        <v>2072</v>
      </c>
      <c r="I530" s="289"/>
      <c r="J530" s="289">
        <v>2016</v>
      </c>
      <c r="K530" s="289"/>
      <c r="L530" s="289"/>
      <c r="M530" s="289" t="s">
        <v>1495</v>
      </c>
      <c r="N530" s="293">
        <v>42566</v>
      </c>
      <c r="O530" s="293">
        <v>42566</v>
      </c>
      <c r="P530" s="289" t="s">
        <v>2073</v>
      </c>
      <c r="Q530" s="290">
        <v>900</v>
      </c>
      <c r="R530" s="290">
        <v>14040</v>
      </c>
      <c r="S530" s="291">
        <v>327729.78000000003</v>
      </c>
      <c r="T530" s="290">
        <v>14046</v>
      </c>
      <c r="U530" s="291">
        <v>221521.06</v>
      </c>
      <c r="V530" s="291">
        <f t="shared" si="8"/>
        <v>106208.72000000003</v>
      </c>
      <c r="W530" s="292">
        <v>21241.75</v>
      </c>
      <c r="X530" s="290">
        <v>51260</v>
      </c>
      <c r="Y530" s="291">
        <v>3034.54</v>
      </c>
      <c r="Z530" s="289" t="s">
        <v>944</v>
      </c>
      <c r="AA530" s="289"/>
      <c r="AB530" s="289" t="s">
        <v>2074</v>
      </c>
      <c r="AC530" s="289">
        <v>838</v>
      </c>
      <c r="AD530" s="289" t="s">
        <v>1446</v>
      </c>
      <c r="AE530" s="289" t="s">
        <v>410</v>
      </c>
      <c r="AF530" s="290" t="s">
        <v>1447</v>
      </c>
      <c r="AG530" s="295">
        <v>43251</v>
      </c>
      <c r="AH530" s="290" t="s">
        <v>1448</v>
      </c>
      <c r="AI530" s="289">
        <v>0</v>
      </c>
      <c r="AJ530" s="289">
        <v>69794.31</v>
      </c>
    </row>
    <row r="531" spans="2:36">
      <c r="B531" s="290">
        <v>2111</v>
      </c>
      <c r="C531" s="294">
        <v>198129</v>
      </c>
      <c r="D531" s="290" t="s">
        <v>944</v>
      </c>
      <c r="E531" s="289" t="s">
        <v>2075</v>
      </c>
      <c r="F531" s="290"/>
      <c r="G531" s="289"/>
      <c r="H531" s="289" t="s">
        <v>2076</v>
      </c>
      <c r="I531" s="289"/>
      <c r="J531" s="289">
        <v>2005</v>
      </c>
      <c r="K531" s="289"/>
      <c r="L531" s="289"/>
      <c r="M531" s="289" t="s">
        <v>2077</v>
      </c>
      <c r="N531" s="293">
        <v>43269</v>
      </c>
      <c r="O531" s="293">
        <v>43269</v>
      </c>
      <c r="P531" s="289"/>
      <c r="Q531" s="290">
        <v>0</v>
      </c>
      <c r="R531" s="290">
        <v>14040</v>
      </c>
      <c r="S531" s="291">
        <v>0</v>
      </c>
      <c r="T531" s="290">
        <v>14046</v>
      </c>
      <c r="U531" s="291">
        <v>0</v>
      </c>
      <c r="V531" s="291">
        <f t="shared" si="8"/>
        <v>0</v>
      </c>
      <c r="W531" s="292">
        <v>0</v>
      </c>
      <c r="X531" s="290">
        <v>51260</v>
      </c>
      <c r="Y531" s="291">
        <v>0</v>
      </c>
      <c r="Z531" s="289" t="s">
        <v>944</v>
      </c>
      <c r="AA531" s="289"/>
      <c r="AB531" s="289"/>
      <c r="AC531" s="289" t="s">
        <v>2078</v>
      </c>
      <c r="AD531" s="289" t="s">
        <v>1446</v>
      </c>
      <c r="AE531" s="289" t="s">
        <v>410</v>
      </c>
      <c r="AF531" s="290" t="s">
        <v>1660</v>
      </c>
      <c r="AG531" s="289"/>
      <c r="AH531" s="290" t="s">
        <v>1448</v>
      </c>
      <c r="AI531" s="289">
        <v>0</v>
      </c>
      <c r="AJ531" s="289">
        <v>0</v>
      </c>
    </row>
    <row r="532" spans="2:36">
      <c r="B532" s="290">
        <v>2111</v>
      </c>
      <c r="C532" s="294">
        <v>197020</v>
      </c>
      <c r="D532" s="290" t="s">
        <v>944</v>
      </c>
      <c r="E532" s="289" t="s">
        <v>2079</v>
      </c>
      <c r="F532" s="290">
        <v>20</v>
      </c>
      <c r="G532" s="289"/>
      <c r="H532" s="289"/>
      <c r="I532" s="289"/>
      <c r="J532" s="289">
        <v>0</v>
      </c>
      <c r="K532" s="289" t="s">
        <v>1509</v>
      </c>
      <c r="L532" s="289"/>
      <c r="M532" s="289" t="s">
        <v>1662</v>
      </c>
      <c r="N532" s="293">
        <v>43185</v>
      </c>
      <c r="O532" s="293">
        <v>43185</v>
      </c>
      <c r="P532" s="289" t="s">
        <v>2080</v>
      </c>
      <c r="Q532" s="290">
        <v>1200</v>
      </c>
      <c r="R532" s="290">
        <v>14050</v>
      </c>
      <c r="S532" s="291">
        <v>18996.43</v>
      </c>
      <c r="T532" s="290">
        <v>14056</v>
      </c>
      <c r="U532" s="291">
        <v>6859.84</v>
      </c>
      <c r="V532" s="291">
        <f t="shared" si="8"/>
        <v>12136.59</v>
      </c>
      <c r="W532" s="292">
        <v>923.44</v>
      </c>
      <c r="X532" s="290">
        <v>54260</v>
      </c>
      <c r="Y532" s="291">
        <v>131.91999999999999</v>
      </c>
      <c r="Z532" s="289" t="s">
        <v>944</v>
      </c>
      <c r="AA532" s="289"/>
      <c r="AB532" s="289" t="s">
        <v>2081</v>
      </c>
      <c r="AC532" s="289"/>
      <c r="AD532" s="289" t="s">
        <v>1446</v>
      </c>
      <c r="AE532" s="289" t="s">
        <v>410</v>
      </c>
      <c r="AF532" s="290" t="s">
        <v>1447</v>
      </c>
      <c r="AG532" s="289"/>
      <c r="AH532" s="290" t="s">
        <v>1448</v>
      </c>
      <c r="AI532" s="289">
        <v>0</v>
      </c>
      <c r="AJ532" s="289">
        <v>0</v>
      </c>
    </row>
    <row r="533" spans="2:36">
      <c r="B533" s="290">
        <v>2111</v>
      </c>
      <c r="C533" s="294">
        <v>197019</v>
      </c>
      <c r="D533" s="290" t="s">
        <v>944</v>
      </c>
      <c r="E533" s="289" t="s">
        <v>2082</v>
      </c>
      <c r="F533" s="290">
        <v>18</v>
      </c>
      <c r="G533" s="289"/>
      <c r="H533" s="289"/>
      <c r="I533" s="289"/>
      <c r="J533" s="289">
        <v>0</v>
      </c>
      <c r="K533" s="289" t="s">
        <v>1509</v>
      </c>
      <c r="L533" s="289"/>
      <c r="M533" s="289" t="s">
        <v>1662</v>
      </c>
      <c r="N533" s="293">
        <v>43185</v>
      </c>
      <c r="O533" s="293">
        <v>43185</v>
      </c>
      <c r="P533" s="289" t="s">
        <v>2080</v>
      </c>
      <c r="Q533" s="290">
        <v>1200</v>
      </c>
      <c r="R533" s="290">
        <v>14050</v>
      </c>
      <c r="S533" s="291">
        <v>14958.12</v>
      </c>
      <c r="T533" s="290">
        <v>14056</v>
      </c>
      <c r="U533" s="291">
        <v>5401.54</v>
      </c>
      <c r="V533" s="291">
        <f t="shared" si="8"/>
        <v>9556.5800000000017</v>
      </c>
      <c r="W533" s="292">
        <v>727.13</v>
      </c>
      <c r="X533" s="290">
        <v>54260</v>
      </c>
      <c r="Y533" s="291">
        <v>103.87</v>
      </c>
      <c r="Z533" s="289" t="s">
        <v>944</v>
      </c>
      <c r="AA533" s="289"/>
      <c r="AB533" s="289" t="s">
        <v>2083</v>
      </c>
      <c r="AC533" s="289"/>
      <c r="AD533" s="289" t="s">
        <v>1446</v>
      </c>
      <c r="AE533" s="289" t="s">
        <v>410</v>
      </c>
      <c r="AF533" s="290" t="s">
        <v>1447</v>
      </c>
      <c r="AG533" s="289"/>
      <c r="AH533" s="290" t="s">
        <v>1448</v>
      </c>
      <c r="AI533" s="289">
        <v>0</v>
      </c>
      <c r="AJ533" s="289">
        <v>0</v>
      </c>
    </row>
    <row r="534" spans="2:36">
      <c r="B534" s="290">
        <v>2111</v>
      </c>
      <c r="C534" s="294">
        <v>197018</v>
      </c>
      <c r="D534" s="290" t="s">
        <v>944</v>
      </c>
      <c r="E534" s="289" t="s">
        <v>2084</v>
      </c>
      <c r="F534" s="290">
        <v>15</v>
      </c>
      <c r="G534" s="289"/>
      <c r="H534" s="289"/>
      <c r="I534" s="289"/>
      <c r="J534" s="289">
        <v>0</v>
      </c>
      <c r="K534" s="289" t="s">
        <v>1509</v>
      </c>
      <c r="L534" s="289"/>
      <c r="M534" s="289" t="s">
        <v>1659</v>
      </c>
      <c r="N534" s="293">
        <v>43185</v>
      </c>
      <c r="O534" s="293">
        <v>43185</v>
      </c>
      <c r="P534" s="289" t="s">
        <v>2080</v>
      </c>
      <c r="Q534" s="290">
        <v>1200</v>
      </c>
      <c r="R534" s="290">
        <v>14050</v>
      </c>
      <c r="S534" s="291">
        <v>9539.17</v>
      </c>
      <c r="T534" s="290">
        <v>14056</v>
      </c>
      <c r="U534" s="291">
        <v>3444.7</v>
      </c>
      <c r="V534" s="291">
        <f t="shared" si="8"/>
        <v>6094.47</v>
      </c>
      <c r="W534" s="292">
        <v>463.71</v>
      </c>
      <c r="X534" s="290">
        <v>54260</v>
      </c>
      <c r="Y534" s="291">
        <v>66.239999999999995</v>
      </c>
      <c r="Z534" s="289" t="s">
        <v>944</v>
      </c>
      <c r="AA534" s="289"/>
      <c r="AB534" s="289" t="s">
        <v>2083</v>
      </c>
      <c r="AC534" s="289"/>
      <c r="AD534" s="289" t="s">
        <v>1446</v>
      </c>
      <c r="AE534" s="289" t="s">
        <v>410</v>
      </c>
      <c r="AF534" s="290" t="s">
        <v>1447</v>
      </c>
      <c r="AG534" s="289"/>
      <c r="AH534" s="290" t="s">
        <v>1448</v>
      </c>
      <c r="AI534" s="289">
        <v>0</v>
      </c>
      <c r="AJ534" s="289">
        <v>0</v>
      </c>
    </row>
    <row r="535" spans="2:36">
      <c r="B535" s="290">
        <v>2111</v>
      </c>
      <c r="C535" s="294">
        <v>196666</v>
      </c>
      <c r="D535" s="290" t="s">
        <v>944</v>
      </c>
      <c r="E535" s="289" t="s">
        <v>2085</v>
      </c>
      <c r="F535" s="290">
        <v>624</v>
      </c>
      <c r="G535" s="289"/>
      <c r="H535" s="289"/>
      <c r="I535" s="289" t="s">
        <v>1584</v>
      </c>
      <c r="J535" s="289">
        <v>0</v>
      </c>
      <c r="K535" s="289" t="s">
        <v>1755</v>
      </c>
      <c r="L535" s="289"/>
      <c r="M535" s="289"/>
      <c r="N535" s="293">
        <v>43185</v>
      </c>
      <c r="O535" s="293">
        <v>43185</v>
      </c>
      <c r="P535" s="289" t="s">
        <v>2086</v>
      </c>
      <c r="Q535" s="290">
        <v>700</v>
      </c>
      <c r="R535" s="290">
        <v>14050</v>
      </c>
      <c r="S535" s="291">
        <v>32931.01</v>
      </c>
      <c r="T535" s="290">
        <v>14056</v>
      </c>
      <c r="U535" s="291">
        <v>20385.86</v>
      </c>
      <c r="V535" s="291">
        <f t="shared" si="8"/>
        <v>12545.150000000001</v>
      </c>
      <c r="W535" s="292">
        <v>2744.25</v>
      </c>
      <c r="X535" s="290">
        <v>54260</v>
      </c>
      <c r="Y535" s="291">
        <v>392.03</v>
      </c>
      <c r="Z535" s="289" t="s">
        <v>944</v>
      </c>
      <c r="AA535" s="289"/>
      <c r="AB535" s="289">
        <v>65525034</v>
      </c>
      <c r="AC535" s="289"/>
      <c r="AD535" s="289" t="s">
        <v>1446</v>
      </c>
      <c r="AE535" s="289" t="s">
        <v>410</v>
      </c>
      <c r="AF535" s="290" t="s">
        <v>1447</v>
      </c>
      <c r="AG535" s="289"/>
      <c r="AH535" s="290" t="s">
        <v>1448</v>
      </c>
      <c r="AI535" s="289">
        <v>0</v>
      </c>
      <c r="AJ535" s="289">
        <v>0</v>
      </c>
    </row>
    <row r="536" spans="2:36">
      <c r="B536" s="290">
        <v>2111</v>
      </c>
      <c r="C536" s="294">
        <v>196665</v>
      </c>
      <c r="D536" s="290" t="s">
        <v>944</v>
      </c>
      <c r="E536" s="289" t="s">
        <v>2085</v>
      </c>
      <c r="F536" s="290">
        <v>624</v>
      </c>
      <c r="G536" s="289"/>
      <c r="H536" s="289"/>
      <c r="I536" s="289" t="s">
        <v>1584</v>
      </c>
      <c r="J536" s="289">
        <v>0</v>
      </c>
      <c r="K536" s="289" t="s">
        <v>1755</v>
      </c>
      <c r="L536" s="289"/>
      <c r="M536" s="289"/>
      <c r="N536" s="293">
        <v>43200</v>
      </c>
      <c r="O536" s="293">
        <v>43200</v>
      </c>
      <c r="P536" s="289" t="s">
        <v>2060</v>
      </c>
      <c r="Q536" s="290">
        <v>700</v>
      </c>
      <c r="R536" s="290">
        <v>14050</v>
      </c>
      <c r="S536" s="291">
        <v>32912.57</v>
      </c>
      <c r="T536" s="290">
        <v>14056</v>
      </c>
      <c r="U536" s="291">
        <v>20374.47</v>
      </c>
      <c r="V536" s="291">
        <f t="shared" si="8"/>
        <v>12538.099999999999</v>
      </c>
      <c r="W536" s="292">
        <v>2742.72</v>
      </c>
      <c r="X536" s="290">
        <v>54260</v>
      </c>
      <c r="Y536" s="291">
        <v>391.82</v>
      </c>
      <c r="Z536" s="289" t="s">
        <v>944</v>
      </c>
      <c r="AA536" s="289"/>
      <c r="AB536" s="289">
        <v>65528050</v>
      </c>
      <c r="AC536" s="289"/>
      <c r="AD536" s="289" t="s">
        <v>1446</v>
      </c>
      <c r="AE536" s="289" t="s">
        <v>410</v>
      </c>
      <c r="AF536" s="290" t="s">
        <v>1447</v>
      </c>
      <c r="AG536" s="289"/>
      <c r="AH536" s="290" t="s">
        <v>1448</v>
      </c>
      <c r="AI536" s="289">
        <v>0</v>
      </c>
      <c r="AJ536" s="289">
        <v>0</v>
      </c>
    </row>
    <row r="537" spans="2:36">
      <c r="B537" s="290">
        <v>2111</v>
      </c>
      <c r="C537" s="294">
        <v>196664</v>
      </c>
      <c r="D537" s="290" t="s">
        <v>944</v>
      </c>
      <c r="E537" s="289" t="s">
        <v>2085</v>
      </c>
      <c r="F537" s="290">
        <v>624</v>
      </c>
      <c r="G537" s="289"/>
      <c r="H537" s="289"/>
      <c r="I537" s="289" t="s">
        <v>1584</v>
      </c>
      <c r="J537" s="289">
        <v>0</v>
      </c>
      <c r="K537" s="289" t="s">
        <v>1755</v>
      </c>
      <c r="L537" s="289"/>
      <c r="M537" s="289"/>
      <c r="N537" s="293">
        <v>43200</v>
      </c>
      <c r="O537" s="293">
        <v>43200</v>
      </c>
      <c r="P537" s="289" t="s">
        <v>2060</v>
      </c>
      <c r="Q537" s="290">
        <v>700</v>
      </c>
      <c r="R537" s="290">
        <v>14050</v>
      </c>
      <c r="S537" s="291">
        <v>32912.57</v>
      </c>
      <c r="T537" s="290">
        <v>14056</v>
      </c>
      <c r="U537" s="291">
        <v>20374.47</v>
      </c>
      <c r="V537" s="291">
        <f t="shared" si="8"/>
        <v>12538.099999999999</v>
      </c>
      <c r="W537" s="292">
        <v>2742.72</v>
      </c>
      <c r="X537" s="290">
        <v>54260</v>
      </c>
      <c r="Y537" s="291">
        <v>391.82</v>
      </c>
      <c r="Z537" s="289" t="s">
        <v>944</v>
      </c>
      <c r="AA537" s="289"/>
      <c r="AB537" s="289">
        <v>65527667</v>
      </c>
      <c r="AC537" s="289"/>
      <c r="AD537" s="289" t="s">
        <v>1446</v>
      </c>
      <c r="AE537" s="289" t="s">
        <v>410</v>
      </c>
      <c r="AF537" s="290" t="s">
        <v>1447</v>
      </c>
      <c r="AG537" s="289"/>
      <c r="AH537" s="290" t="s">
        <v>1448</v>
      </c>
      <c r="AI537" s="289">
        <v>0</v>
      </c>
      <c r="AJ537" s="289">
        <v>0</v>
      </c>
    </row>
    <row r="538" spans="2:36">
      <c r="B538" s="290">
        <v>2111</v>
      </c>
      <c r="C538" s="294">
        <v>196548</v>
      </c>
      <c r="D538" s="290" t="s">
        <v>944</v>
      </c>
      <c r="E538" s="289" t="s">
        <v>2087</v>
      </c>
      <c r="F538" s="290">
        <v>624</v>
      </c>
      <c r="G538" s="289"/>
      <c r="H538" s="289"/>
      <c r="I538" s="289" t="s">
        <v>1584</v>
      </c>
      <c r="J538" s="289">
        <v>0</v>
      </c>
      <c r="K538" s="289" t="s">
        <v>2088</v>
      </c>
      <c r="L538" s="289"/>
      <c r="M538" s="289"/>
      <c r="N538" s="293">
        <v>43185</v>
      </c>
      <c r="O538" s="293">
        <v>43185</v>
      </c>
      <c r="P538" s="289" t="s">
        <v>2086</v>
      </c>
      <c r="Q538" s="290">
        <v>700</v>
      </c>
      <c r="R538" s="290">
        <v>14050</v>
      </c>
      <c r="S538" s="291">
        <v>33263.65</v>
      </c>
      <c r="T538" s="290">
        <v>14056</v>
      </c>
      <c r="U538" s="291">
        <v>20591.78</v>
      </c>
      <c r="V538" s="291">
        <f t="shared" si="8"/>
        <v>12671.870000000003</v>
      </c>
      <c r="W538" s="292">
        <v>2771.97</v>
      </c>
      <c r="X538" s="290">
        <v>54260</v>
      </c>
      <c r="Y538" s="291">
        <v>395.99</v>
      </c>
      <c r="Z538" s="289" t="s">
        <v>944</v>
      </c>
      <c r="AA538" s="289"/>
      <c r="AB538" s="289">
        <v>65525897</v>
      </c>
      <c r="AC538" s="289"/>
      <c r="AD538" s="289" t="s">
        <v>1446</v>
      </c>
      <c r="AE538" s="289" t="s">
        <v>410</v>
      </c>
      <c r="AF538" s="290" t="s">
        <v>1447</v>
      </c>
      <c r="AG538" s="289"/>
      <c r="AH538" s="290" t="s">
        <v>1448</v>
      </c>
      <c r="AI538" s="289">
        <v>0</v>
      </c>
      <c r="AJ538" s="289">
        <v>0</v>
      </c>
    </row>
    <row r="539" spans="2:36">
      <c r="B539" s="290">
        <v>2111</v>
      </c>
      <c r="C539" s="294">
        <v>196547</v>
      </c>
      <c r="D539" s="290" t="s">
        <v>944</v>
      </c>
      <c r="E539" s="289" t="s">
        <v>2089</v>
      </c>
      <c r="F539" s="290">
        <v>312</v>
      </c>
      <c r="G539" s="289"/>
      <c r="H539" s="289"/>
      <c r="I539" s="289" t="s">
        <v>1584</v>
      </c>
      <c r="J539" s="289">
        <v>0</v>
      </c>
      <c r="K539" s="289" t="s">
        <v>2088</v>
      </c>
      <c r="L539" s="289"/>
      <c r="M539" s="289"/>
      <c r="N539" s="293">
        <v>43185</v>
      </c>
      <c r="O539" s="293">
        <v>43185</v>
      </c>
      <c r="P539" s="289" t="s">
        <v>2086</v>
      </c>
      <c r="Q539" s="290">
        <v>700</v>
      </c>
      <c r="R539" s="290">
        <v>14050</v>
      </c>
      <c r="S539" s="291">
        <v>16631.830000000002</v>
      </c>
      <c r="T539" s="290">
        <v>14056</v>
      </c>
      <c r="U539" s="291">
        <v>10295.91</v>
      </c>
      <c r="V539" s="291">
        <f t="shared" si="8"/>
        <v>6335.9200000000019</v>
      </c>
      <c r="W539" s="292">
        <v>1385.99</v>
      </c>
      <c r="X539" s="290">
        <v>54260</v>
      </c>
      <c r="Y539" s="291">
        <v>198</v>
      </c>
      <c r="Z539" s="289" t="s">
        <v>944</v>
      </c>
      <c r="AA539" s="289"/>
      <c r="AB539" s="289">
        <v>65525381</v>
      </c>
      <c r="AC539" s="289"/>
      <c r="AD539" s="289" t="s">
        <v>1446</v>
      </c>
      <c r="AE539" s="289" t="s">
        <v>410</v>
      </c>
      <c r="AF539" s="290" t="s">
        <v>1447</v>
      </c>
      <c r="AG539" s="289"/>
      <c r="AH539" s="290" t="s">
        <v>1448</v>
      </c>
      <c r="AI539" s="289">
        <v>0</v>
      </c>
      <c r="AJ539" s="289">
        <v>0</v>
      </c>
    </row>
    <row r="540" spans="2:36">
      <c r="B540" s="290">
        <v>2111</v>
      </c>
      <c r="C540" s="294">
        <v>196546</v>
      </c>
      <c r="D540" s="290" t="s">
        <v>944</v>
      </c>
      <c r="E540" s="289" t="s">
        <v>2090</v>
      </c>
      <c r="F540" s="290">
        <v>312</v>
      </c>
      <c r="G540" s="289"/>
      <c r="H540" s="289"/>
      <c r="I540" s="289" t="s">
        <v>1584</v>
      </c>
      <c r="J540" s="289">
        <v>0</v>
      </c>
      <c r="K540" s="289" t="s">
        <v>2088</v>
      </c>
      <c r="L540" s="289"/>
      <c r="M540" s="289"/>
      <c r="N540" s="293">
        <v>43185</v>
      </c>
      <c r="O540" s="293">
        <v>43185</v>
      </c>
      <c r="P540" s="289" t="s">
        <v>2086</v>
      </c>
      <c r="Q540" s="290">
        <v>700</v>
      </c>
      <c r="R540" s="290">
        <v>14050</v>
      </c>
      <c r="S540" s="291">
        <v>16631.830000000002</v>
      </c>
      <c r="T540" s="290">
        <v>14056</v>
      </c>
      <c r="U540" s="291">
        <v>10295.91</v>
      </c>
      <c r="V540" s="291">
        <f t="shared" si="8"/>
        <v>6335.9200000000019</v>
      </c>
      <c r="W540" s="292">
        <v>1385.99</v>
      </c>
      <c r="X540" s="290">
        <v>54260</v>
      </c>
      <c r="Y540" s="291">
        <v>198</v>
      </c>
      <c r="Z540" s="289" t="s">
        <v>944</v>
      </c>
      <c r="AA540" s="289"/>
      <c r="AB540" s="289">
        <v>65525381</v>
      </c>
      <c r="AC540" s="289"/>
      <c r="AD540" s="289" t="s">
        <v>1446</v>
      </c>
      <c r="AE540" s="289" t="s">
        <v>410</v>
      </c>
      <c r="AF540" s="290" t="s">
        <v>1447</v>
      </c>
      <c r="AG540" s="289"/>
      <c r="AH540" s="290" t="s">
        <v>1448</v>
      </c>
      <c r="AI540" s="289">
        <v>0</v>
      </c>
      <c r="AJ540" s="289">
        <v>0</v>
      </c>
    </row>
    <row r="541" spans="2:36">
      <c r="B541" s="290">
        <v>2111</v>
      </c>
      <c r="C541" s="294">
        <v>195820</v>
      </c>
      <c r="D541" s="290">
        <v>102169</v>
      </c>
      <c r="E541" s="289" t="s">
        <v>2091</v>
      </c>
      <c r="F541" s="290"/>
      <c r="G541" s="289"/>
      <c r="H541" s="289"/>
      <c r="I541" s="289" t="s">
        <v>1584</v>
      </c>
      <c r="J541" s="289">
        <v>0</v>
      </c>
      <c r="K541" s="289" t="s">
        <v>1572</v>
      </c>
      <c r="L541" s="289"/>
      <c r="M541" s="289" t="s">
        <v>1586</v>
      </c>
      <c r="N541" s="293">
        <v>43214</v>
      </c>
      <c r="O541" s="293">
        <v>43214</v>
      </c>
      <c r="P541" s="289" t="s">
        <v>2092</v>
      </c>
      <c r="Q541" s="290">
        <v>300</v>
      </c>
      <c r="R541" s="290">
        <v>14040</v>
      </c>
      <c r="S541" s="291">
        <v>8770.02</v>
      </c>
      <c r="T541" s="290">
        <v>14046</v>
      </c>
      <c r="U541" s="291">
        <v>8770.02</v>
      </c>
      <c r="V541" s="291">
        <f t="shared" si="8"/>
        <v>0</v>
      </c>
      <c r="W541" s="292">
        <v>0</v>
      </c>
      <c r="X541" s="290">
        <v>51260</v>
      </c>
      <c r="Y541" s="291">
        <v>0</v>
      </c>
      <c r="Z541" s="289" t="s">
        <v>944</v>
      </c>
      <c r="AA541" s="289"/>
      <c r="AB541" s="289">
        <v>14411</v>
      </c>
      <c r="AC541" s="289"/>
      <c r="AD541" s="289" t="s">
        <v>1446</v>
      </c>
      <c r="AE541" s="289" t="s">
        <v>410</v>
      </c>
      <c r="AF541" s="290" t="s">
        <v>1447</v>
      </c>
      <c r="AG541" s="289"/>
      <c r="AH541" s="290" t="s">
        <v>1448</v>
      </c>
      <c r="AI541" s="289">
        <v>0</v>
      </c>
      <c r="AJ541" s="289">
        <v>0</v>
      </c>
    </row>
    <row r="542" spans="2:36">
      <c r="B542" s="290">
        <v>2111</v>
      </c>
      <c r="C542" s="294">
        <v>194937</v>
      </c>
      <c r="D542" s="290" t="s">
        <v>944</v>
      </c>
      <c r="E542" s="289" t="s">
        <v>512</v>
      </c>
      <c r="F542" s="290">
        <v>624</v>
      </c>
      <c r="G542" s="289"/>
      <c r="H542" s="289"/>
      <c r="I542" s="289" t="s">
        <v>1584</v>
      </c>
      <c r="J542" s="289">
        <v>0</v>
      </c>
      <c r="K542" s="289" t="s">
        <v>2093</v>
      </c>
      <c r="L542" s="289"/>
      <c r="M542" s="289"/>
      <c r="N542" s="293">
        <v>43133</v>
      </c>
      <c r="O542" s="293">
        <v>43133</v>
      </c>
      <c r="P542" s="289" t="s">
        <v>2094</v>
      </c>
      <c r="Q542" s="290">
        <v>700</v>
      </c>
      <c r="R542" s="290">
        <v>14050</v>
      </c>
      <c r="S542" s="291">
        <v>33120.080000000002</v>
      </c>
      <c r="T542" s="290">
        <v>14056</v>
      </c>
      <c r="U542" s="291">
        <v>21291.48</v>
      </c>
      <c r="V542" s="291">
        <f t="shared" si="8"/>
        <v>11828.600000000002</v>
      </c>
      <c r="W542" s="292">
        <v>2760.01</v>
      </c>
      <c r="X542" s="290">
        <v>54260</v>
      </c>
      <c r="Y542" s="291">
        <v>394.29</v>
      </c>
      <c r="Z542" s="289" t="s">
        <v>944</v>
      </c>
      <c r="AA542" s="289"/>
      <c r="AB542" s="289">
        <v>65518722</v>
      </c>
      <c r="AC542" s="289"/>
      <c r="AD542" s="289" t="s">
        <v>1446</v>
      </c>
      <c r="AE542" s="289" t="s">
        <v>410</v>
      </c>
      <c r="AF542" s="290" t="s">
        <v>1447</v>
      </c>
      <c r="AG542" s="289"/>
      <c r="AH542" s="290" t="s">
        <v>1448</v>
      </c>
      <c r="AI542" s="289">
        <v>0</v>
      </c>
      <c r="AJ542" s="289">
        <v>0</v>
      </c>
    </row>
    <row r="543" spans="2:36">
      <c r="B543" s="290">
        <v>2111</v>
      </c>
      <c r="C543" s="294">
        <v>194936</v>
      </c>
      <c r="D543" s="290" t="s">
        <v>944</v>
      </c>
      <c r="E543" s="289" t="s">
        <v>513</v>
      </c>
      <c r="F543" s="290">
        <v>864</v>
      </c>
      <c r="G543" s="289"/>
      <c r="H543" s="289"/>
      <c r="I543" s="289" t="s">
        <v>1584</v>
      </c>
      <c r="J543" s="289">
        <v>0</v>
      </c>
      <c r="K543" s="289" t="s">
        <v>2093</v>
      </c>
      <c r="L543" s="289"/>
      <c r="M543" s="289"/>
      <c r="N543" s="293">
        <v>43125</v>
      </c>
      <c r="O543" s="293">
        <v>43125</v>
      </c>
      <c r="P543" s="289" t="s">
        <v>2094</v>
      </c>
      <c r="Q543" s="290">
        <v>700</v>
      </c>
      <c r="R543" s="290">
        <v>14050</v>
      </c>
      <c r="S543" s="291">
        <v>39634.949999999997</v>
      </c>
      <c r="T543" s="290">
        <v>14056</v>
      </c>
      <c r="U543" s="291">
        <v>25479.63</v>
      </c>
      <c r="V543" s="291">
        <f t="shared" si="8"/>
        <v>14155.319999999996</v>
      </c>
      <c r="W543" s="292">
        <v>3302.92</v>
      </c>
      <c r="X543" s="290">
        <v>54260</v>
      </c>
      <c r="Y543" s="291">
        <v>471.85</v>
      </c>
      <c r="Z543" s="289" t="s">
        <v>944</v>
      </c>
      <c r="AA543" s="289"/>
      <c r="AB543" s="289">
        <v>65517191</v>
      </c>
      <c r="AC543" s="289"/>
      <c r="AD543" s="289" t="s">
        <v>1446</v>
      </c>
      <c r="AE543" s="289" t="s">
        <v>410</v>
      </c>
      <c r="AF543" s="290" t="s">
        <v>1447</v>
      </c>
      <c r="AG543" s="289"/>
      <c r="AH543" s="290" t="s">
        <v>1448</v>
      </c>
      <c r="AI543" s="289">
        <v>0</v>
      </c>
      <c r="AJ543" s="289">
        <v>0</v>
      </c>
    </row>
    <row r="544" spans="2:36">
      <c r="B544" s="290">
        <v>2111</v>
      </c>
      <c r="C544" s="294">
        <v>194935</v>
      </c>
      <c r="D544" s="290" t="s">
        <v>944</v>
      </c>
      <c r="E544" s="289" t="s">
        <v>514</v>
      </c>
      <c r="F544" s="290">
        <v>624</v>
      </c>
      <c r="G544" s="289"/>
      <c r="H544" s="289"/>
      <c r="I544" s="289" t="s">
        <v>1584</v>
      </c>
      <c r="J544" s="289">
        <v>0</v>
      </c>
      <c r="K544" s="289" t="s">
        <v>2093</v>
      </c>
      <c r="L544" s="289"/>
      <c r="M544" s="289"/>
      <c r="N544" s="293">
        <v>43101</v>
      </c>
      <c r="O544" s="293">
        <v>43101</v>
      </c>
      <c r="P544" s="289" t="s">
        <v>2095</v>
      </c>
      <c r="Q544" s="290">
        <v>610</v>
      </c>
      <c r="R544" s="290">
        <v>14050</v>
      </c>
      <c r="S544" s="291">
        <v>32987.93</v>
      </c>
      <c r="T544" s="290">
        <v>14056</v>
      </c>
      <c r="U544" s="291">
        <v>22126.04</v>
      </c>
      <c r="V544" s="291">
        <f t="shared" si="8"/>
        <v>10861.89</v>
      </c>
      <c r="W544" s="292">
        <v>2816.04</v>
      </c>
      <c r="X544" s="290">
        <v>54260</v>
      </c>
      <c r="Y544" s="291">
        <v>402.29</v>
      </c>
      <c r="Z544" s="289" t="s">
        <v>944</v>
      </c>
      <c r="AA544" s="289"/>
      <c r="AB544" s="289">
        <v>65501277</v>
      </c>
      <c r="AC544" s="289"/>
      <c r="AD544" s="289" t="s">
        <v>1446</v>
      </c>
      <c r="AE544" s="289" t="s">
        <v>410</v>
      </c>
      <c r="AF544" s="290" t="s">
        <v>1447</v>
      </c>
      <c r="AG544" s="289"/>
      <c r="AH544" s="290" t="s">
        <v>1448</v>
      </c>
      <c r="AI544" s="289">
        <v>0</v>
      </c>
      <c r="AJ544" s="289">
        <v>0</v>
      </c>
    </row>
    <row r="545" spans="2:36">
      <c r="B545" s="290">
        <v>2111</v>
      </c>
      <c r="C545" s="294">
        <v>194073</v>
      </c>
      <c r="D545" s="290" t="s">
        <v>944</v>
      </c>
      <c r="E545" s="289" t="s">
        <v>594</v>
      </c>
      <c r="F545" s="290"/>
      <c r="G545" s="289"/>
      <c r="H545" s="289"/>
      <c r="I545" s="289" t="s">
        <v>1584</v>
      </c>
      <c r="J545" s="289">
        <v>0</v>
      </c>
      <c r="K545" s="289" t="s">
        <v>2096</v>
      </c>
      <c r="L545" s="289"/>
      <c r="M545" s="289"/>
      <c r="N545" s="293">
        <v>43186</v>
      </c>
      <c r="O545" s="293">
        <v>43186</v>
      </c>
      <c r="P545" s="289" t="s">
        <v>2097</v>
      </c>
      <c r="Q545" s="290">
        <v>1000</v>
      </c>
      <c r="R545" s="290">
        <v>14080</v>
      </c>
      <c r="S545" s="291">
        <v>69188.7</v>
      </c>
      <c r="T545" s="290">
        <v>14086</v>
      </c>
      <c r="U545" s="291">
        <v>29981.77</v>
      </c>
      <c r="V545" s="291">
        <f t="shared" si="8"/>
        <v>39206.929999999993</v>
      </c>
      <c r="W545" s="292">
        <v>4036.01</v>
      </c>
      <c r="X545" s="290">
        <v>57260</v>
      </c>
      <c r="Y545" s="291">
        <v>576.57000000000005</v>
      </c>
      <c r="Z545" s="289" t="s">
        <v>944</v>
      </c>
      <c r="AA545" s="289"/>
      <c r="AB545" s="289">
        <v>319949</v>
      </c>
      <c r="AC545" s="289"/>
      <c r="AD545" s="289" t="s">
        <v>1446</v>
      </c>
      <c r="AE545" s="289" t="s">
        <v>410</v>
      </c>
      <c r="AF545" s="290" t="s">
        <v>1447</v>
      </c>
      <c r="AG545" s="289"/>
      <c r="AH545" s="290" t="s">
        <v>1448</v>
      </c>
      <c r="AI545" s="289">
        <v>0</v>
      </c>
      <c r="AJ545" s="289">
        <v>0</v>
      </c>
    </row>
    <row r="546" spans="2:36">
      <c r="B546" s="290">
        <v>2111</v>
      </c>
      <c r="C546" s="294">
        <v>190633</v>
      </c>
      <c r="D546" s="290" t="s">
        <v>944</v>
      </c>
      <c r="E546" s="289" t="s">
        <v>515</v>
      </c>
      <c r="F546" s="290">
        <v>312</v>
      </c>
      <c r="G546" s="289"/>
      <c r="H546" s="289"/>
      <c r="I546" s="289" t="s">
        <v>1584</v>
      </c>
      <c r="J546" s="289">
        <v>0</v>
      </c>
      <c r="K546" s="289" t="s">
        <v>2093</v>
      </c>
      <c r="L546" s="289"/>
      <c r="M546" s="289"/>
      <c r="N546" s="293">
        <v>43064</v>
      </c>
      <c r="O546" s="293">
        <v>43064</v>
      </c>
      <c r="P546" s="289" t="s">
        <v>2098</v>
      </c>
      <c r="Q546" s="290">
        <v>700</v>
      </c>
      <c r="R546" s="290">
        <v>14050</v>
      </c>
      <c r="S546" s="291">
        <v>16322.37</v>
      </c>
      <c r="T546" s="290">
        <v>14056</v>
      </c>
      <c r="U546" s="291">
        <v>10881.59</v>
      </c>
      <c r="V546" s="291">
        <f t="shared" si="8"/>
        <v>5440.7800000000007</v>
      </c>
      <c r="W546" s="292">
        <v>1360.2</v>
      </c>
      <c r="X546" s="290">
        <v>54260</v>
      </c>
      <c r="Y546" s="291">
        <v>194.31</v>
      </c>
      <c r="Z546" s="289" t="s">
        <v>944</v>
      </c>
      <c r="AA546" s="289"/>
      <c r="AB546" s="289">
        <v>65506339</v>
      </c>
      <c r="AC546" s="289"/>
      <c r="AD546" s="289" t="s">
        <v>1446</v>
      </c>
      <c r="AE546" s="289" t="s">
        <v>410</v>
      </c>
      <c r="AF546" s="290" t="s">
        <v>1447</v>
      </c>
      <c r="AG546" s="289"/>
      <c r="AH546" s="290" t="s">
        <v>1448</v>
      </c>
      <c r="AI546" s="289">
        <v>0</v>
      </c>
      <c r="AJ546" s="289">
        <v>0</v>
      </c>
    </row>
    <row r="547" spans="2:36">
      <c r="B547" s="290">
        <v>2111</v>
      </c>
      <c r="C547" s="294">
        <v>190632</v>
      </c>
      <c r="D547" s="290" t="s">
        <v>944</v>
      </c>
      <c r="E547" s="289" t="s">
        <v>516</v>
      </c>
      <c r="F547" s="290">
        <v>432</v>
      </c>
      <c r="G547" s="289"/>
      <c r="H547" s="289"/>
      <c r="I547" s="289" t="s">
        <v>1584</v>
      </c>
      <c r="J547" s="289">
        <v>0</v>
      </c>
      <c r="K547" s="289" t="s">
        <v>2093</v>
      </c>
      <c r="L547" s="289"/>
      <c r="M547" s="289"/>
      <c r="N547" s="293">
        <v>43064</v>
      </c>
      <c r="O547" s="293">
        <v>43064</v>
      </c>
      <c r="P547" s="289" t="s">
        <v>2098</v>
      </c>
      <c r="Q547" s="290">
        <v>700</v>
      </c>
      <c r="R547" s="290">
        <v>14050</v>
      </c>
      <c r="S547" s="291">
        <v>19988.98</v>
      </c>
      <c r="T547" s="290">
        <v>14056</v>
      </c>
      <c r="U547" s="291">
        <v>13325.99</v>
      </c>
      <c r="V547" s="291">
        <f t="shared" si="8"/>
        <v>6662.99</v>
      </c>
      <c r="W547" s="292">
        <v>1665.75</v>
      </c>
      <c r="X547" s="290">
        <v>54260</v>
      </c>
      <c r="Y547" s="291">
        <v>237.96</v>
      </c>
      <c r="Z547" s="289" t="s">
        <v>944</v>
      </c>
      <c r="AA547" s="289"/>
      <c r="AB547" s="289">
        <v>65506339</v>
      </c>
      <c r="AC547" s="289"/>
      <c r="AD547" s="289" t="s">
        <v>1446</v>
      </c>
      <c r="AE547" s="289" t="s">
        <v>410</v>
      </c>
      <c r="AF547" s="290" t="s">
        <v>1447</v>
      </c>
      <c r="AG547" s="289"/>
      <c r="AH547" s="290" t="s">
        <v>1448</v>
      </c>
      <c r="AI547" s="289">
        <v>0</v>
      </c>
      <c r="AJ547" s="289">
        <v>0</v>
      </c>
    </row>
    <row r="548" spans="2:36">
      <c r="B548" s="290">
        <v>2111</v>
      </c>
      <c r="C548" s="294">
        <v>190183</v>
      </c>
      <c r="D548" s="290" t="s">
        <v>944</v>
      </c>
      <c r="E548" s="289" t="s">
        <v>534</v>
      </c>
      <c r="F548" s="290">
        <v>15</v>
      </c>
      <c r="G548" s="289"/>
      <c r="H548" s="289"/>
      <c r="I548" s="289" t="s">
        <v>1584</v>
      </c>
      <c r="J548" s="289">
        <v>0</v>
      </c>
      <c r="K548" s="289" t="s">
        <v>1509</v>
      </c>
      <c r="L548" s="289"/>
      <c r="M548" s="289" t="s">
        <v>1662</v>
      </c>
      <c r="N548" s="293">
        <v>43077</v>
      </c>
      <c r="O548" s="293">
        <v>43077</v>
      </c>
      <c r="P548" s="289" t="s">
        <v>2099</v>
      </c>
      <c r="Q548" s="290">
        <v>1200</v>
      </c>
      <c r="R548" s="290">
        <v>14050</v>
      </c>
      <c r="S548" s="291">
        <v>12736.29</v>
      </c>
      <c r="T548" s="290">
        <v>14056</v>
      </c>
      <c r="U548" s="291">
        <v>4953.0200000000004</v>
      </c>
      <c r="V548" s="291">
        <f t="shared" si="8"/>
        <v>7783.27</v>
      </c>
      <c r="W548" s="292">
        <v>619.13</v>
      </c>
      <c r="X548" s="290">
        <v>54260</v>
      </c>
      <c r="Y548" s="291">
        <v>88.45</v>
      </c>
      <c r="Z548" s="289" t="s">
        <v>944</v>
      </c>
      <c r="AA548" s="289"/>
      <c r="AB548" s="289" t="s">
        <v>2100</v>
      </c>
      <c r="AC548" s="289"/>
      <c r="AD548" s="289" t="s">
        <v>1446</v>
      </c>
      <c r="AE548" s="289" t="s">
        <v>410</v>
      </c>
      <c r="AF548" s="290" t="s">
        <v>1447</v>
      </c>
      <c r="AG548" s="289"/>
      <c r="AH548" s="290" t="s">
        <v>1448</v>
      </c>
      <c r="AI548" s="289">
        <v>0</v>
      </c>
      <c r="AJ548" s="289">
        <v>0</v>
      </c>
    </row>
    <row r="549" spans="2:36">
      <c r="B549" s="290">
        <v>2111</v>
      </c>
      <c r="C549" s="294">
        <v>190182</v>
      </c>
      <c r="D549" s="290" t="s">
        <v>944</v>
      </c>
      <c r="E549" s="289" t="s">
        <v>2101</v>
      </c>
      <c r="F549" s="290">
        <v>19</v>
      </c>
      <c r="G549" s="289"/>
      <c r="H549" s="289"/>
      <c r="I549" s="289" t="s">
        <v>1584</v>
      </c>
      <c r="J549" s="289">
        <v>0</v>
      </c>
      <c r="K549" s="289" t="s">
        <v>1509</v>
      </c>
      <c r="L549" s="289"/>
      <c r="M549" s="289" t="s">
        <v>1664</v>
      </c>
      <c r="N549" s="293">
        <v>43077</v>
      </c>
      <c r="O549" s="293">
        <v>43077</v>
      </c>
      <c r="P549" s="289" t="s">
        <v>2099</v>
      </c>
      <c r="Q549" s="290">
        <v>1200</v>
      </c>
      <c r="R549" s="290">
        <v>14050</v>
      </c>
      <c r="S549" s="291">
        <v>14023.45</v>
      </c>
      <c r="T549" s="290">
        <v>14056</v>
      </c>
      <c r="U549" s="291">
        <v>5453.57</v>
      </c>
      <c r="V549" s="291">
        <f t="shared" si="8"/>
        <v>8569.880000000001</v>
      </c>
      <c r="W549" s="292">
        <v>681.7</v>
      </c>
      <c r="X549" s="290">
        <v>54260</v>
      </c>
      <c r="Y549" s="291">
        <v>97.39</v>
      </c>
      <c r="Z549" s="289" t="s">
        <v>944</v>
      </c>
      <c r="AA549" s="289"/>
      <c r="AB549" s="289" t="s">
        <v>2100</v>
      </c>
      <c r="AC549" s="289"/>
      <c r="AD549" s="289" t="s">
        <v>1446</v>
      </c>
      <c r="AE549" s="289" t="s">
        <v>410</v>
      </c>
      <c r="AF549" s="290" t="s">
        <v>1447</v>
      </c>
      <c r="AG549" s="289"/>
      <c r="AH549" s="290" t="s">
        <v>1448</v>
      </c>
      <c r="AI549" s="289">
        <v>0</v>
      </c>
      <c r="AJ549" s="289">
        <v>0</v>
      </c>
    </row>
    <row r="550" spans="2:36">
      <c r="B550" s="290">
        <v>2111</v>
      </c>
      <c r="C550" s="294">
        <v>190181</v>
      </c>
      <c r="D550" s="290" t="s">
        <v>944</v>
      </c>
      <c r="E550" s="289" t="s">
        <v>2101</v>
      </c>
      <c r="F550" s="290">
        <v>1</v>
      </c>
      <c r="G550" s="289"/>
      <c r="H550" s="289"/>
      <c r="I550" s="289" t="s">
        <v>1584</v>
      </c>
      <c r="J550" s="289">
        <v>0</v>
      </c>
      <c r="K550" s="289" t="s">
        <v>1509</v>
      </c>
      <c r="L550" s="289"/>
      <c r="M550" s="289" t="s">
        <v>1664</v>
      </c>
      <c r="N550" s="293">
        <v>43077</v>
      </c>
      <c r="O550" s="293">
        <v>43077</v>
      </c>
      <c r="P550" s="289" t="s">
        <v>2102</v>
      </c>
      <c r="Q550" s="290">
        <v>1200</v>
      </c>
      <c r="R550" s="290">
        <v>14050</v>
      </c>
      <c r="S550" s="291">
        <v>738.08</v>
      </c>
      <c r="T550" s="290">
        <v>14056</v>
      </c>
      <c r="U550" s="291">
        <v>287.05</v>
      </c>
      <c r="V550" s="291">
        <f t="shared" si="8"/>
        <v>451.03000000000003</v>
      </c>
      <c r="W550" s="292">
        <v>35.880000000000003</v>
      </c>
      <c r="X550" s="290">
        <v>54260</v>
      </c>
      <c r="Y550" s="291">
        <v>5.12</v>
      </c>
      <c r="Z550" s="289" t="s">
        <v>944</v>
      </c>
      <c r="AA550" s="289"/>
      <c r="AB550" s="289" t="s">
        <v>2100</v>
      </c>
      <c r="AC550" s="289"/>
      <c r="AD550" s="289" t="s">
        <v>1446</v>
      </c>
      <c r="AE550" s="289" t="s">
        <v>410</v>
      </c>
      <c r="AF550" s="290" t="s">
        <v>1447</v>
      </c>
      <c r="AG550" s="289"/>
      <c r="AH550" s="290" t="s">
        <v>1448</v>
      </c>
      <c r="AI550" s="289">
        <v>0</v>
      </c>
      <c r="AJ550" s="289">
        <v>0</v>
      </c>
    </row>
    <row r="551" spans="2:36">
      <c r="B551" s="290">
        <v>2111</v>
      </c>
      <c r="C551" s="294">
        <v>190180</v>
      </c>
      <c r="D551" s="290" t="s">
        <v>944</v>
      </c>
      <c r="E551" s="289" t="s">
        <v>472</v>
      </c>
      <c r="F551" s="290">
        <v>1</v>
      </c>
      <c r="G551" s="289"/>
      <c r="H551" s="289"/>
      <c r="I551" s="289" t="s">
        <v>1584</v>
      </c>
      <c r="J551" s="289">
        <v>0</v>
      </c>
      <c r="K551" s="289" t="s">
        <v>1509</v>
      </c>
      <c r="L551" s="289"/>
      <c r="M551" s="289" t="s">
        <v>1918</v>
      </c>
      <c r="N551" s="293">
        <v>43077</v>
      </c>
      <c r="O551" s="293">
        <v>43077</v>
      </c>
      <c r="P551" s="289" t="s">
        <v>2102</v>
      </c>
      <c r="Q551" s="290">
        <v>1200</v>
      </c>
      <c r="R551" s="290">
        <v>14050</v>
      </c>
      <c r="S551" s="291">
        <v>677.85</v>
      </c>
      <c r="T551" s="290">
        <v>14056</v>
      </c>
      <c r="U551" s="291">
        <v>263.62</v>
      </c>
      <c r="V551" s="291">
        <f t="shared" si="8"/>
        <v>414.23</v>
      </c>
      <c r="W551" s="292">
        <v>32.950000000000003</v>
      </c>
      <c r="X551" s="290">
        <v>54260</v>
      </c>
      <c r="Y551" s="291">
        <v>4.7</v>
      </c>
      <c r="Z551" s="289" t="s">
        <v>944</v>
      </c>
      <c r="AA551" s="289"/>
      <c r="AB551" s="289" t="s">
        <v>2100</v>
      </c>
      <c r="AC551" s="289"/>
      <c r="AD551" s="289" t="s">
        <v>1446</v>
      </c>
      <c r="AE551" s="289" t="s">
        <v>410</v>
      </c>
      <c r="AF551" s="290" t="s">
        <v>1447</v>
      </c>
      <c r="AG551" s="289"/>
      <c r="AH551" s="290" t="s">
        <v>1448</v>
      </c>
      <c r="AI551" s="289">
        <v>0</v>
      </c>
      <c r="AJ551" s="289">
        <v>0</v>
      </c>
    </row>
    <row r="552" spans="2:36">
      <c r="B552" s="290">
        <v>2111</v>
      </c>
      <c r="C552" s="294">
        <v>190070</v>
      </c>
      <c r="D552" s="290" t="s">
        <v>944</v>
      </c>
      <c r="E552" s="289" t="s">
        <v>536</v>
      </c>
      <c r="F552" s="290">
        <v>25</v>
      </c>
      <c r="G552" s="289"/>
      <c r="H552" s="289"/>
      <c r="I552" s="289" t="s">
        <v>1584</v>
      </c>
      <c r="J552" s="289">
        <v>0</v>
      </c>
      <c r="K552" s="289" t="s">
        <v>1509</v>
      </c>
      <c r="L552" s="289"/>
      <c r="M552" s="289" t="s">
        <v>1659</v>
      </c>
      <c r="N552" s="293">
        <v>43077</v>
      </c>
      <c r="O552" s="293">
        <v>43077</v>
      </c>
      <c r="P552" s="289" t="s">
        <v>2102</v>
      </c>
      <c r="Q552" s="290">
        <v>1200</v>
      </c>
      <c r="R552" s="290">
        <v>14050</v>
      </c>
      <c r="S552" s="291">
        <v>16723.55</v>
      </c>
      <c r="T552" s="290">
        <v>14056</v>
      </c>
      <c r="U552" s="291">
        <v>6503.61</v>
      </c>
      <c r="V552" s="291">
        <f t="shared" si="8"/>
        <v>10219.939999999999</v>
      </c>
      <c r="W552" s="292">
        <v>812.95</v>
      </c>
      <c r="X552" s="290">
        <v>54260</v>
      </c>
      <c r="Y552" s="291">
        <v>116.13</v>
      </c>
      <c r="Z552" s="289" t="s">
        <v>944</v>
      </c>
      <c r="AA552" s="289"/>
      <c r="AB552" s="289" t="s">
        <v>2103</v>
      </c>
      <c r="AC552" s="289"/>
      <c r="AD552" s="289" t="s">
        <v>1446</v>
      </c>
      <c r="AE552" s="289" t="s">
        <v>410</v>
      </c>
      <c r="AF552" s="290" t="s">
        <v>1447</v>
      </c>
      <c r="AG552" s="289"/>
      <c r="AH552" s="290" t="s">
        <v>1448</v>
      </c>
      <c r="AI552" s="289">
        <v>0</v>
      </c>
      <c r="AJ552" s="289">
        <v>0</v>
      </c>
    </row>
    <row r="553" spans="2:36">
      <c r="B553" s="290">
        <v>2111</v>
      </c>
      <c r="C553" s="294">
        <v>190069</v>
      </c>
      <c r="D553" s="290" t="s">
        <v>944</v>
      </c>
      <c r="E553" s="289" t="s">
        <v>537</v>
      </c>
      <c r="F553" s="290">
        <v>25</v>
      </c>
      <c r="G553" s="289"/>
      <c r="H553" s="289"/>
      <c r="I553" s="289" t="s">
        <v>1584</v>
      </c>
      <c r="J553" s="289">
        <v>0</v>
      </c>
      <c r="K553" s="289" t="s">
        <v>1509</v>
      </c>
      <c r="L553" s="289"/>
      <c r="M553" s="289" t="s">
        <v>1659</v>
      </c>
      <c r="N553" s="293">
        <v>43077</v>
      </c>
      <c r="O553" s="293">
        <v>43077</v>
      </c>
      <c r="P553" s="289" t="s">
        <v>2102</v>
      </c>
      <c r="Q553" s="290">
        <v>1200</v>
      </c>
      <c r="R553" s="290">
        <v>14050</v>
      </c>
      <c r="S553" s="291">
        <v>15212.43</v>
      </c>
      <c r="T553" s="290">
        <v>14056</v>
      </c>
      <c r="U553" s="291">
        <v>5915.93</v>
      </c>
      <c r="V553" s="291">
        <f t="shared" si="8"/>
        <v>9296.5</v>
      </c>
      <c r="W553" s="292">
        <v>739.49</v>
      </c>
      <c r="X553" s="290">
        <v>54260</v>
      </c>
      <c r="Y553" s="291">
        <v>105.64</v>
      </c>
      <c r="Z553" s="289" t="s">
        <v>944</v>
      </c>
      <c r="AA553" s="289"/>
      <c r="AB553" s="289" t="s">
        <v>2103</v>
      </c>
      <c r="AC553" s="289"/>
      <c r="AD553" s="289" t="s">
        <v>1446</v>
      </c>
      <c r="AE553" s="289" t="s">
        <v>410</v>
      </c>
      <c r="AF553" s="290" t="s">
        <v>1447</v>
      </c>
      <c r="AG553" s="289"/>
      <c r="AH553" s="290" t="s">
        <v>1448</v>
      </c>
      <c r="AI553" s="289">
        <v>0</v>
      </c>
      <c r="AJ553" s="289">
        <v>0</v>
      </c>
    </row>
    <row r="554" spans="2:36">
      <c r="B554" s="290">
        <v>2111</v>
      </c>
      <c r="C554" s="294">
        <v>190068</v>
      </c>
      <c r="D554" s="290" t="s">
        <v>944</v>
      </c>
      <c r="E554" s="289" t="s">
        <v>472</v>
      </c>
      <c r="F554" s="290">
        <v>19</v>
      </c>
      <c r="G554" s="289"/>
      <c r="H554" s="289"/>
      <c r="I554" s="289" t="s">
        <v>1584</v>
      </c>
      <c r="J554" s="289">
        <v>0</v>
      </c>
      <c r="K554" s="289" t="s">
        <v>1509</v>
      </c>
      <c r="L554" s="289"/>
      <c r="M554" s="289" t="s">
        <v>1918</v>
      </c>
      <c r="N554" s="293">
        <v>43077</v>
      </c>
      <c r="O554" s="293">
        <v>43077</v>
      </c>
      <c r="P554" s="289" t="s">
        <v>2102</v>
      </c>
      <c r="Q554" s="290">
        <v>1200</v>
      </c>
      <c r="R554" s="290">
        <v>14050</v>
      </c>
      <c r="S554" s="291">
        <v>12188.71</v>
      </c>
      <c r="T554" s="290">
        <v>14056</v>
      </c>
      <c r="U554" s="291">
        <v>4740.07</v>
      </c>
      <c r="V554" s="291">
        <f t="shared" si="8"/>
        <v>7448.6399999999994</v>
      </c>
      <c r="W554" s="292">
        <v>592.51</v>
      </c>
      <c r="X554" s="290">
        <v>54260</v>
      </c>
      <c r="Y554" s="291">
        <v>84.64</v>
      </c>
      <c r="Z554" s="289" t="s">
        <v>944</v>
      </c>
      <c r="AA554" s="289"/>
      <c r="AB554" s="289" t="s">
        <v>2103</v>
      </c>
      <c r="AC554" s="289"/>
      <c r="AD554" s="289" t="s">
        <v>1446</v>
      </c>
      <c r="AE554" s="289" t="s">
        <v>410</v>
      </c>
      <c r="AF554" s="290" t="s">
        <v>1447</v>
      </c>
      <c r="AG554" s="289"/>
      <c r="AH554" s="290" t="s">
        <v>1448</v>
      </c>
      <c r="AI554" s="289">
        <v>0</v>
      </c>
      <c r="AJ554" s="289">
        <v>0</v>
      </c>
    </row>
    <row r="555" spans="2:36">
      <c r="B555" s="290">
        <v>2111</v>
      </c>
      <c r="C555" s="294">
        <v>190067</v>
      </c>
      <c r="D555" s="290" t="s">
        <v>944</v>
      </c>
      <c r="E555" s="289" t="s">
        <v>534</v>
      </c>
      <c r="F555" s="290">
        <v>25</v>
      </c>
      <c r="G555" s="289"/>
      <c r="H555" s="289"/>
      <c r="I555" s="289" t="s">
        <v>1584</v>
      </c>
      <c r="J555" s="289">
        <v>0</v>
      </c>
      <c r="K555" s="289" t="s">
        <v>1509</v>
      </c>
      <c r="L555" s="289"/>
      <c r="M555" s="289" t="s">
        <v>1662</v>
      </c>
      <c r="N555" s="293">
        <v>43020</v>
      </c>
      <c r="O555" s="293">
        <v>43020</v>
      </c>
      <c r="P555" s="289" t="s">
        <v>2099</v>
      </c>
      <c r="Q555" s="290">
        <v>1200</v>
      </c>
      <c r="R555" s="290">
        <v>14050</v>
      </c>
      <c r="S555" s="291">
        <v>22541.040000000001</v>
      </c>
      <c r="T555" s="290">
        <v>14056</v>
      </c>
      <c r="U555" s="291">
        <v>9079.0400000000009</v>
      </c>
      <c r="V555" s="291">
        <f t="shared" si="8"/>
        <v>13462</v>
      </c>
      <c r="W555" s="292">
        <v>1095.75</v>
      </c>
      <c r="X555" s="290">
        <v>54260</v>
      </c>
      <c r="Y555" s="291">
        <v>156.54</v>
      </c>
      <c r="Z555" s="289" t="s">
        <v>944</v>
      </c>
      <c r="AA555" s="289"/>
      <c r="AB555" s="289" t="s">
        <v>2104</v>
      </c>
      <c r="AC555" s="289"/>
      <c r="AD555" s="289" t="s">
        <v>1446</v>
      </c>
      <c r="AE555" s="289" t="s">
        <v>410</v>
      </c>
      <c r="AF555" s="290" t="s">
        <v>1447</v>
      </c>
      <c r="AG555" s="289"/>
      <c r="AH555" s="290" t="s">
        <v>1448</v>
      </c>
      <c r="AI555" s="289">
        <v>0</v>
      </c>
      <c r="AJ555" s="289">
        <v>0</v>
      </c>
    </row>
    <row r="556" spans="2:36">
      <c r="B556" s="290">
        <v>2111</v>
      </c>
      <c r="C556" s="294">
        <v>189538</v>
      </c>
      <c r="D556" s="290">
        <v>183279</v>
      </c>
      <c r="E556" s="289" t="s">
        <v>2105</v>
      </c>
      <c r="F556" s="290"/>
      <c r="G556" s="289"/>
      <c r="H556" s="289"/>
      <c r="I556" s="289" t="s">
        <v>1584</v>
      </c>
      <c r="J556" s="289">
        <v>0</v>
      </c>
      <c r="K556" s="289" t="s">
        <v>1832</v>
      </c>
      <c r="L556" s="289"/>
      <c r="M556" s="289" t="s">
        <v>1586</v>
      </c>
      <c r="N556" s="293">
        <v>42887</v>
      </c>
      <c r="O556" s="293">
        <v>42887</v>
      </c>
      <c r="P556" s="289" t="s">
        <v>2106</v>
      </c>
      <c r="Q556" s="290">
        <v>1000</v>
      </c>
      <c r="R556" s="290">
        <v>14040</v>
      </c>
      <c r="S556" s="291">
        <v>494.55</v>
      </c>
      <c r="T556" s="290">
        <v>14046</v>
      </c>
      <c r="U556" s="291">
        <v>255.5</v>
      </c>
      <c r="V556" s="291">
        <f t="shared" si="8"/>
        <v>239.05</v>
      </c>
      <c r="W556" s="292">
        <v>28.85</v>
      </c>
      <c r="X556" s="290">
        <v>51260</v>
      </c>
      <c r="Y556" s="291">
        <v>4.12</v>
      </c>
      <c r="Z556" s="289" t="s">
        <v>944</v>
      </c>
      <c r="AA556" s="289"/>
      <c r="AB556" s="289">
        <v>212</v>
      </c>
      <c r="AC556" s="289"/>
      <c r="AD556" s="289" t="s">
        <v>1446</v>
      </c>
      <c r="AE556" s="289" t="s">
        <v>410</v>
      </c>
      <c r="AF556" s="290" t="s">
        <v>1447</v>
      </c>
      <c r="AG556" s="289"/>
      <c r="AH556" s="290" t="s">
        <v>1448</v>
      </c>
      <c r="AI556" s="289">
        <v>0</v>
      </c>
      <c r="AJ556" s="289">
        <v>0</v>
      </c>
    </row>
    <row r="557" spans="2:36">
      <c r="B557" s="290">
        <v>2111</v>
      </c>
      <c r="C557" s="294">
        <v>189537</v>
      </c>
      <c r="D557" s="290">
        <v>183277</v>
      </c>
      <c r="E557" s="289" t="s">
        <v>2105</v>
      </c>
      <c r="F557" s="290"/>
      <c r="G557" s="289"/>
      <c r="H557" s="289"/>
      <c r="I557" s="289" t="s">
        <v>1584</v>
      </c>
      <c r="J557" s="289">
        <v>0</v>
      </c>
      <c r="K557" s="289" t="s">
        <v>1832</v>
      </c>
      <c r="L557" s="289"/>
      <c r="M557" s="289" t="s">
        <v>1586</v>
      </c>
      <c r="N557" s="293">
        <v>42887</v>
      </c>
      <c r="O557" s="293">
        <v>42887</v>
      </c>
      <c r="P557" s="289" t="s">
        <v>2107</v>
      </c>
      <c r="Q557" s="290">
        <v>1000</v>
      </c>
      <c r="R557" s="290">
        <v>14040</v>
      </c>
      <c r="S557" s="291">
        <v>494.55</v>
      </c>
      <c r="T557" s="290">
        <v>14046</v>
      </c>
      <c r="U557" s="291">
        <v>255.5</v>
      </c>
      <c r="V557" s="291">
        <f t="shared" si="8"/>
        <v>239.05</v>
      </c>
      <c r="W557" s="292">
        <v>28.85</v>
      </c>
      <c r="X557" s="290">
        <v>51260</v>
      </c>
      <c r="Y557" s="291">
        <v>4.12</v>
      </c>
      <c r="Z557" s="289" t="s">
        <v>944</v>
      </c>
      <c r="AA557" s="289"/>
      <c r="AB557" s="289">
        <v>212</v>
      </c>
      <c r="AC557" s="289"/>
      <c r="AD557" s="289" t="s">
        <v>1446</v>
      </c>
      <c r="AE557" s="289" t="s">
        <v>410</v>
      </c>
      <c r="AF557" s="290" t="s">
        <v>1447</v>
      </c>
      <c r="AG557" s="289"/>
      <c r="AH557" s="290" t="s">
        <v>1448</v>
      </c>
      <c r="AI557" s="289">
        <v>0</v>
      </c>
      <c r="AJ557" s="289">
        <v>0</v>
      </c>
    </row>
    <row r="558" spans="2:36">
      <c r="B558" s="290">
        <v>2111</v>
      </c>
      <c r="C558" s="294">
        <v>189536</v>
      </c>
      <c r="D558" s="290">
        <v>180338</v>
      </c>
      <c r="E558" s="289" t="s">
        <v>2105</v>
      </c>
      <c r="F558" s="290"/>
      <c r="G558" s="289"/>
      <c r="H558" s="289"/>
      <c r="I558" s="289" t="s">
        <v>1584</v>
      </c>
      <c r="J558" s="289">
        <v>0</v>
      </c>
      <c r="K558" s="289" t="s">
        <v>1832</v>
      </c>
      <c r="L558" s="289"/>
      <c r="M558" s="289" t="s">
        <v>1586</v>
      </c>
      <c r="N558" s="293">
        <v>42826</v>
      </c>
      <c r="O558" s="293">
        <v>42826</v>
      </c>
      <c r="P558" s="289" t="s">
        <v>2108</v>
      </c>
      <c r="Q558" s="290">
        <v>1000</v>
      </c>
      <c r="R558" s="290">
        <v>14040</v>
      </c>
      <c r="S558" s="291">
        <v>494.55</v>
      </c>
      <c r="T558" s="290">
        <v>14046</v>
      </c>
      <c r="U558" s="291">
        <v>263.74</v>
      </c>
      <c r="V558" s="291">
        <f t="shared" si="8"/>
        <v>230.81</v>
      </c>
      <c r="W558" s="292">
        <v>28.85</v>
      </c>
      <c r="X558" s="290">
        <v>51260</v>
      </c>
      <c r="Y558" s="291">
        <v>4.12</v>
      </c>
      <c r="Z558" s="289" t="s">
        <v>944</v>
      </c>
      <c r="AA558" s="289"/>
      <c r="AB558" s="289">
        <v>212</v>
      </c>
      <c r="AC558" s="289"/>
      <c r="AD558" s="289" t="s">
        <v>1446</v>
      </c>
      <c r="AE558" s="289" t="s">
        <v>410</v>
      </c>
      <c r="AF558" s="290" t="s">
        <v>1447</v>
      </c>
      <c r="AG558" s="289"/>
      <c r="AH558" s="290" t="s">
        <v>1448</v>
      </c>
      <c r="AI558" s="289">
        <v>0</v>
      </c>
      <c r="AJ558" s="289">
        <v>0</v>
      </c>
    </row>
    <row r="559" spans="2:36">
      <c r="B559" s="290">
        <v>2111</v>
      </c>
      <c r="C559" s="294">
        <v>189535</v>
      </c>
      <c r="D559" s="290">
        <v>183278</v>
      </c>
      <c r="E559" s="289" t="s">
        <v>2105</v>
      </c>
      <c r="F559" s="290"/>
      <c r="G559" s="289"/>
      <c r="H559" s="289"/>
      <c r="I559" s="289" t="s">
        <v>1584</v>
      </c>
      <c r="J559" s="289">
        <v>0</v>
      </c>
      <c r="K559" s="289" t="s">
        <v>1832</v>
      </c>
      <c r="L559" s="289"/>
      <c r="M559" s="289" t="s">
        <v>1586</v>
      </c>
      <c r="N559" s="293">
        <v>42887</v>
      </c>
      <c r="O559" s="293">
        <v>42887</v>
      </c>
      <c r="P559" s="289" t="s">
        <v>2109</v>
      </c>
      <c r="Q559" s="290">
        <v>1000</v>
      </c>
      <c r="R559" s="290">
        <v>14040</v>
      </c>
      <c r="S559" s="291">
        <v>494.55</v>
      </c>
      <c r="T559" s="290">
        <v>14046</v>
      </c>
      <c r="U559" s="291">
        <v>255.5</v>
      </c>
      <c r="V559" s="291">
        <f t="shared" si="8"/>
        <v>239.05</v>
      </c>
      <c r="W559" s="292">
        <v>28.85</v>
      </c>
      <c r="X559" s="290">
        <v>51260</v>
      </c>
      <c r="Y559" s="291">
        <v>4.12</v>
      </c>
      <c r="Z559" s="289" t="s">
        <v>944</v>
      </c>
      <c r="AA559" s="289"/>
      <c r="AB559" s="289">
        <v>212</v>
      </c>
      <c r="AC559" s="289"/>
      <c r="AD559" s="289" t="s">
        <v>1446</v>
      </c>
      <c r="AE559" s="289" t="s">
        <v>410</v>
      </c>
      <c r="AF559" s="290" t="s">
        <v>1447</v>
      </c>
      <c r="AG559" s="289"/>
      <c r="AH559" s="290" t="s">
        <v>1448</v>
      </c>
      <c r="AI559" s="289">
        <v>0</v>
      </c>
      <c r="AJ559" s="289">
        <v>0</v>
      </c>
    </row>
    <row r="560" spans="2:36">
      <c r="B560" s="290">
        <v>2111</v>
      </c>
      <c r="C560" s="294">
        <v>189448</v>
      </c>
      <c r="D560" s="290" t="s">
        <v>944</v>
      </c>
      <c r="E560" s="289" t="s">
        <v>2110</v>
      </c>
      <c r="F560" s="290">
        <v>312</v>
      </c>
      <c r="G560" s="289"/>
      <c r="H560" s="289"/>
      <c r="I560" s="289" t="s">
        <v>1584</v>
      </c>
      <c r="J560" s="289">
        <v>0</v>
      </c>
      <c r="K560" s="289" t="s">
        <v>2111</v>
      </c>
      <c r="L560" s="289"/>
      <c r="M560" s="289"/>
      <c r="N560" s="293">
        <v>43006</v>
      </c>
      <c r="O560" s="293">
        <v>43006</v>
      </c>
      <c r="P560" s="289" t="s">
        <v>2112</v>
      </c>
      <c r="Q560" s="290">
        <v>700</v>
      </c>
      <c r="R560" s="290">
        <v>14050</v>
      </c>
      <c r="S560" s="291">
        <v>16446.669999999998</v>
      </c>
      <c r="T560" s="290">
        <v>14056</v>
      </c>
      <c r="U560" s="291">
        <v>11356.06</v>
      </c>
      <c r="V560" s="291">
        <f t="shared" si="8"/>
        <v>5090.6099999999988</v>
      </c>
      <c r="W560" s="292">
        <v>1370.56</v>
      </c>
      <c r="X560" s="290">
        <v>54260</v>
      </c>
      <c r="Y560" s="291">
        <v>195.79</v>
      </c>
      <c r="Z560" s="289" t="s">
        <v>944</v>
      </c>
      <c r="AA560" s="289"/>
      <c r="AB560" s="289">
        <v>65494817</v>
      </c>
      <c r="AC560" s="289"/>
      <c r="AD560" s="289" t="s">
        <v>1446</v>
      </c>
      <c r="AE560" s="289" t="s">
        <v>410</v>
      </c>
      <c r="AF560" s="290" t="s">
        <v>1447</v>
      </c>
      <c r="AG560" s="289"/>
      <c r="AH560" s="290" t="s">
        <v>1448</v>
      </c>
      <c r="AI560" s="289">
        <v>0</v>
      </c>
      <c r="AJ560" s="289">
        <v>0</v>
      </c>
    </row>
    <row r="561" spans="2:36">
      <c r="B561" s="290">
        <v>2111</v>
      </c>
      <c r="C561" s="294">
        <v>189447</v>
      </c>
      <c r="D561" s="290" t="s">
        <v>944</v>
      </c>
      <c r="E561" s="289" t="s">
        <v>2113</v>
      </c>
      <c r="F561" s="290">
        <v>312</v>
      </c>
      <c r="G561" s="289"/>
      <c r="H561" s="289"/>
      <c r="I561" s="289" t="s">
        <v>1584</v>
      </c>
      <c r="J561" s="289">
        <v>0</v>
      </c>
      <c r="K561" s="289" t="s">
        <v>2111</v>
      </c>
      <c r="L561" s="289"/>
      <c r="M561" s="289"/>
      <c r="N561" s="293">
        <v>43006</v>
      </c>
      <c r="O561" s="293">
        <v>43006</v>
      </c>
      <c r="P561" s="289" t="s">
        <v>2112</v>
      </c>
      <c r="Q561" s="290">
        <v>700</v>
      </c>
      <c r="R561" s="290">
        <v>14050</v>
      </c>
      <c r="S561" s="291">
        <v>16446.68</v>
      </c>
      <c r="T561" s="290">
        <v>14056</v>
      </c>
      <c r="U561" s="291">
        <v>11356.06</v>
      </c>
      <c r="V561" s="291">
        <f t="shared" si="8"/>
        <v>5090.6200000000008</v>
      </c>
      <c r="W561" s="292">
        <v>1370.56</v>
      </c>
      <c r="X561" s="290">
        <v>54260</v>
      </c>
      <c r="Y561" s="291">
        <v>195.79</v>
      </c>
      <c r="Z561" s="289" t="s">
        <v>944</v>
      </c>
      <c r="AA561" s="289"/>
      <c r="AB561" s="289">
        <v>65494817</v>
      </c>
      <c r="AC561" s="289"/>
      <c r="AD561" s="289" t="s">
        <v>1446</v>
      </c>
      <c r="AE561" s="289" t="s">
        <v>410</v>
      </c>
      <c r="AF561" s="290" t="s">
        <v>1447</v>
      </c>
      <c r="AG561" s="289"/>
      <c r="AH561" s="290" t="s">
        <v>1448</v>
      </c>
      <c r="AI561" s="289">
        <v>0</v>
      </c>
      <c r="AJ561" s="289">
        <v>0</v>
      </c>
    </row>
    <row r="562" spans="2:36">
      <c r="B562" s="290">
        <v>2111</v>
      </c>
      <c r="C562" s="294">
        <v>189446</v>
      </c>
      <c r="D562" s="290" t="s">
        <v>944</v>
      </c>
      <c r="E562" s="289" t="s">
        <v>2114</v>
      </c>
      <c r="F562" s="290">
        <v>864</v>
      </c>
      <c r="G562" s="289"/>
      <c r="H562" s="289"/>
      <c r="I562" s="289" t="s">
        <v>1584</v>
      </c>
      <c r="J562" s="289">
        <v>0</v>
      </c>
      <c r="K562" s="289" t="s">
        <v>2111</v>
      </c>
      <c r="L562" s="289"/>
      <c r="M562" s="289"/>
      <c r="N562" s="293">
        <v>42963</v>
      </c>
      <c r="O562" s="293">
        <v>42963</v>
      </c>
      <c r="P562" s="289" t="s">
        <v>2115</v>
      </c>
      <c r="Q562" s="290">
        <v>700</v>
      </c>
      <c r="R562" s="290">
        <v>14050</v>
      </c>
      <c r="S562" s="291">
        <v>39027.35</v>
      </c>
      <c r="T562" s="290">
        <v>14056</v>
      </c>
      <c r="U562" s="291">
        <v>27412.05</v>
      </c>
      <c r="V562" s="291">
        <f t="shared" si="8"/>
        <v>11615.3</v>
      </c>
      <c r="W562" s="292">
        <v>3252.28</v>
      </c>
      <c r="X562" s="290">
        <v>54260</v>
      </c>
      <c r="Y562" s="291">
        <v>464.61</v>
      </c>
      <c r="Z562" s="289" t="s">
        <v>944</v>
      </c>
      <c r="AA562" s="289"/>
      <c r="AB562" s="289">
        <v>65485315</v>
      </c>
      <c r="AC562" s="289"/>
      <c r="AD562" s="289" t="s">
        <v>1446</v>
      </c>
      <c r="AE562" s="289" t="s">
        <v>410</v>
      </c>
      <c r="AF562" s="290" t="s">
        <v>1447</v>
      </c>
      <c r="AG562" s="289"/>
      <c r="AH562" s="290" t="s">
        <v>1448</v>
      </c>
      <c r="AI562" s="289">
        <v>0</v>
      </c>
      <c r="AJ562" s="289">
        <v>0</v>
      </c>
    </row>
    <row r="563" spans="2:36">
      <c r="B563" s="290">
        <v>2111</v>
      </c>
      <c r="C563" s="294">
        <v>189445</v>
      </c>
      <c r="D563" s="290" t="s">
        <v>944</v>
      </c>
      <c r="E563" s="289" t="s">
        <v>2116</v>
      </c>
      <c r="F563" s="290">
        <v>624</v>
      </c>
      <c r="G563" s="289"/>
      <c r="H563" s="289"/>
      <c r="I563" s="289" t="s">
        <v>1584</v>
      </c>
      <c r="J563" s="289">
        <v>0</v>
      </c>
      <c r="K563" s="289" t="s">
        <v>2111</v>
      </c>
      <c r="L563" s="289"/>
      <c r="M563" s="289"/>
      <c r="N563" s="293">
        <v>42933</v>
      </c>
      <c r="O563" s="293">
        <v>42933</v>
      </c>
      <c r="P563" s="289" t="s">
        <v>2117</v>
      </c>
      <c r="Q563" s="290">
        <v>700</v>
      </c>
      <c r="R563" s="290">
        <v>14050</v>
      </c>
      <c r="S563" s="291">
        <v>32408.89</v>
      </c>
      <c r="T563" s="290">
        <v>14056</v>
      </c>
      <c r="U563" s="291">
        <v>23149.200000000001</v>
      </c>
      <c r="V563" s="291">
        <f t="shared" si="8"/>
        <v>9259.6899999999987</v>
      </c>
      <c r="W563" s="292">
        <v>2700.74</v>
      </c>
      <c r="X563" s="290">
        <v>54260</v>
      </c>
      <c r="Y563" s="291">
        <v>385.82</v>
      </c>
      <c r="Z563" s="289" t="s">
        <v>944</v>
      </c>
      <c r="AA563" s="289"/>
      <c r="AB563" s="289">
        <v>65478756</v>
      </c>
      <c r="AC563" s="289"/>
      <c r="AD563" s="289" t="s">
        <v>1446</v>
      </c>
      <c r="AE563" s="289" t="s">
        <v>410</v>
      </c>
      <c r="AF563" s="290" t="s">
        <v>1447</v>
      </c>
      <c r="AG563" s="289"/>
      <c r="AH563" s="290" t="s">
        <v>1448</v>
      </c>
      <c r="AI563" s="289">
        <v>0</v>
      </c>
      <c r="AJ563" s="289">
        <v>0</v>
      </c>
    </row>
    <row r="564" spans="2:36">
      <c r="B564" s="290">
        <v>2111</v>
      </c>
      <c r="C564" s="294">
        <v>188830</v>
      </c>
      <c r="D564" s="290">
        <v>185179</v>
      </c>
      <c r="E564" s="289" t="s">
        <v>2118</v>
      </c>
      <c r="F564" s="290"/>
      <c r="G564" s="289"/>
      <c r="H564" s="289"/>
      <c r="I564" s="289" t="s">
        <v>1584</v>
      </c>
      <c r="J564" s="289">
        <v>0</v>
      </c>
      <c r="K564" s="289" t="s">
        <v>1462</v>
      </c>
      <c r="L564" s="289"/>
      <c r="M564" s="289"/>
      <c r="N564" s="293">
        <v>42870</v>
      </c>
      <c r="O564" s="293">
        <v>42870</v>
      </c>
      <c r="P564" s="289" t="s">
        <v>2119</v>
      </c>
      <c r="Q564" s="290">
        <v>700</v>
      </c>
      <c r="R564" s="290">
        <v>14050</v>
      </c>
      <c r="S564" s="291">
        <v>623.76</v>
      </c>
      <c r="T564" s="290">
        <v>14056</v>
      </c>
      <c r="U564" s="291">
        <v>467.83</v>
      </c>
      <c r="V564" s="291">
        <f t="shared" si="8"/>
        <v>155.93</v>
      </c>
      <c r="W564" s="292">
        <v>51.98</v>
      </c>
      <c r="X564" s="290">
        <v>54260</v>
      </c>
      <c r="Y564" s="291">
        <v>7.42</v>
      </c>
      <c r="Z564" s="289" t="s">
        <v>944</v>
      </c>
      <c r="AA564" s="289"/>
      <c r="AB564" s="289" t="s">
        <v>2120</v>
      </c>
      <c r="AC564" s="289"/>
      <c r="AD564" s="289" t="s">
        <v>1446</v>
      </c>
      <c r="AE564" s="289" t="s">
        <v>410</v>
      </c>
      <c r="AF564" s="290" t="s">
        <v>1447</v>
      </c>
      <c r="AG564" s="289"/>
      <c r="AH564" s="290" t="s">
        <v>1448</v>
      </c>
      <c r="AI564" s="289">
        <v>0</v>
      </c>
      <c r="AJ564" s="289">
        <v>0</v>
      </c>
    </row>
    <row r="565" spans="2:36">
      <c r="B565" s="290">
        <v>2111</v>
      </c>
      <c r="C565" s="294">
        <v>188829</v>
      </c>
      <c r="D565" s="290">
        <v>185178</v>
      </c>
      <c r="E565" s="289" t="s">
        <v>2121</v>
      </c>
      <c r="F565" s="290"/>
      <c r="G565" s="289"/>
      <c r="H565" s="289"/>
      <c r="I565" s="289" t="s">
        <v>1584</v>
      </c>
      <c r="J565" s="289">
        <v>0</v>
      </c>
      <c r="K565" s="289" t="s">
        <v>1462</v>
      </c>
      <c r="L565" s="289"/>
      <c r="M565" s="289"/>
      <c r="N565" s="293">
        <v>42870</v>
      </c>
      <c r="O565" s="293">
        <v>42870</v>
      </c>
      <c r="P565" s="289" t="s">
        <v>2119</v>
      </c>
      <c r="Q565" s="290">
        <v>700</v>
      </c>
      <c r="R565" s="290">
        <v>14050</v>
      </c>
      <c r="S565" s="291">
        <v>5821.73</v>
      </c>
      <c r="T565" s="290">
        <v>14056</v>
      </c>
      <c r="U565" s="291">
        <v>4366.32</v>
      </c>
      <c r="V565" s="291">
        <f t="shared" si="8"/>
        <v>1455.4099999999999</v>
      </c>
      <c r="W565" s="292">
        <v>485.15</v>
      </c>
      <c r="X565" s="290">
        <v>54260</v>
      </c>
      <c r="Y565" s="291">
        <v>69.31</v>
      </c>
      <c r="Z565" s="289" t="s">
        <v>944</v>
      </c>
      <c r="AA565" s="289"/>
      <c r="AB565" s="289" t="s">
        <v>2120</v>
      </c>
      <c r="AC565" s="289"/>
      <c r="AD565" s="289" t="s">
        <v>1446</v>
      </c>
      <c r="AE565" s="289" t="s">
        <v>410</v>
      </c>
      <c r="AF565" s="290" t="s">
        <v>1447</v>
      </c>
      <c r="AG565" s="289"/>
      <c r="AH565" s="290" t="s">
        <v>1448</v>
      </c>
      <c r="AI565" s="289">
        <v>0</v>
      </c>
      <c r="AJ565" s="289">
        <v>0</v>
      </c>
    </row>
    <row r="566" spans="2:36">
      <c r="B566" s="290">
        <v>2111</v>
      </c>
      <c r="C566" s="294">
        <v>188828</v>
      </c>
      <c r="D566" s="290">
        <v>185177</v>
      </c>
      <c r="E566" s="289" t="s">
        <v>2122</v>
      </c>
      <c r="F566" s="290"/>
      <c r="G566" s="289"/>
      <c r="H566" s="289"/>
      <c r="I566" s="289" t="s">
        <v>1584</v>
      </c>
      <c r="J566" s="289">
        <v>0</v>
      </c>
      <c r="K566" s="289" t="s">
        <v>1462</v>
      </c>
      <c r="L566" s="289"/>
      <c r="M566" s="289"/>
      <c r="N566" s="293">
        <v>42870</v>
      </c>
      <c r="O566" s="293">
        <v>42870</v>
      </c>
      <c r="P566" s="289" t="s">
        <v>2119</v>
      </c>
      <c r="Q566" s="290">
        <v>700</v>
      </c>
      <c r="R566" s="290">
        <v>14050</v>
      </c>
      <c r="S566" s="291">
        <v>16009.75</v>
      </c>
      <c r="T566" s="290">
        <v>14056</v>
      </c>
      <c r="U566" s="291">
        <v>12007.33</v>
      </c>
      <c r="V566" s="291">
        <f t="shared" si="8"/>
        <v>4002.42</v>
      </c>
      <c r="W566" s="292">
        <v>1334.15</v>
      </c>
      <c r="X566" s="290">
        <v>54260</v>
      </c>
      <c r="Y566" s="291">
        <v>190.59</v>
      </c>
      <c r="Z566" s="289" t="s">
        <v>944</v>
      </c>
      <c r="AA566" s="289"/>
      <c r="AB566" s="289" t="s">
        <v>2120</v>
      </c>
      <c r="AC566" s="289"/>
      <c r="AD566" s="289" t="s">
        <v>1446</v>
      </c>
      <c r="AE566" s="289" t="s">
        <v>410</v>
      </c>
      <c r="AF566" s="290" t="s">
        <v>1447</v>
      </c>
      <c r="AG566" s="289"/>
      <c r="AH566" s="290" t="s">
        <v>1448</v>
      </c>
      <c r="AI566" s="289">
        <v>0</v>
      </c>
      <c r="AJ566" s="289">
        <v>0</v>
      </c>
    </row>
    <row r="567" spans="2:36">
      <c r="B567" s="290">
        <v>2111</v>
      </c>
      <c r="C567" s="294">
        <v>188827</v>
      </c>
      <c r="D567" s="290">
        <v>185180</v>
      </c>
      <c r="E567" s="289" t="s">
        <v>2123</v>
      </c>
      <c r="F567" s="290"/>
      <c r="G567" s="289"/>
      <c r="H567" s="289"/>
      <c r="I567" s="289" t="s">
        <v>1584</v>
      </c>
      <c r="J567" s="289">
        <v>0</v>
      </c>
      <c r="K567" s="289" t="s">
        <v>1462</v>
      </c>
      <c r="L567" s="289"/>
      <c r="M567" s="289"/>
      <c r="N567" s="293">
        <v>42870</v>
      </c>
      <c r="O567" s="293">
        <v>42870</v>
      </c>
      <c r="P567" s="289" t="s">
        <v>2119</v>
      </c>
      <c r="Q567" s="290">
        <v>700</v>
      </c>
      <c r="R567" s="290">
        <v>14050</v>
      </c>
      <c r="S567" s="291">
        <v>623.76</v>
      </c>
      <c r="T567" s="290">
        <v>14056</v>
      </c>
      <c r="U567" s="291">
        <v>467.83</v>
      </c>
      <c r="V567" s="291">
        <f t="shared" si="8"/>
        <v>155.93</v>
      </c>
      <c r="W567" s="292">
        <v>51.98</v>
      </c>
      <c r="X567" s="290">
        <v>54260</v>
      </c>
      <c r="Y567" s="291">
        <v>7.42</v>
      </c>
      <c r="Z567" s="289" t="s">
        <v>944</v>
      </c>
      <c r="AA567" s="289"/>
      <c r="AB567" s="289" t="s">
        <v>2120</v>
      </c>
      <c r="AC567" s="289"/>
      <c r="AD567" s="289" t="s">
        <v>1446</v>
      </c>
      <c r="AE567" s="289" t="s">
        <v>410</v>
      </c>
      <c r="AF567" s="290" t="s">
        <v>1447</v>
      </c>
      <c r="AG567" s="289"/>
      <c r="AH567" s="290" t="s">
        <v>1448</v>
      </c>
      <c r="AI567" s="289">
        <v>0</v>
      </c>
      <c r="AJ567" s="289">
        <v>0</v>
      </c>
    </row>
    <row r="568" spans="2:36">
      <c r="B568" s="290">
        <v>2111</v>
      </c>
      <c r="C568" s="294">
        <v>188020</v>
      </c>
      <c r="D568" s="290" t="s">
        <v>944</v>
      </c>
      <c r="E568" s="289" t="s">
        <v>2124</v>
      </c>
      <c r="F568" s="290">
        <v>12</v>
      </c>
      <c r="G568" s="289"/>
      <c r="H568" s="289"/>
      <c r="I568" s="289" t="s">
        <v>1584</v>
      </c>
      <c r="J568" s="289">
        <v>0</v>
      </c>
      <c r="K568" s="289" t="s">
        <v>2125</v>
      </c>
      <c r="L568" s="289"/>
      <c r="M568" s="289" t="s">
        <v>1662</v>
      </c>
      <c r="N568" s="293">
        <v>42864</v>
      </c>
      <c r="O568" s="293">
        <v>42864</v>
      </c>
      <c r="P568" s="289" t="s">
        <v>2126</v>
      </c>
      <c r="Q568" s="290">
        <v>1200</v>
      </c>
      <c r="R568" s="290">
        <v>14050</v>
      </c>
      <c r="S568" s="291">
        <v>10576.78</v>
      </c>
      <c r="T568" s="290">
        <v>14056</v>
      </c>
      <c r="U568" s="291">
        <v>4627.3500000000004</v>
      </c>
      <c r="V568" s="291">
        <f t="shared" si="8"/>
        <v>5949.43</v>
      </c>
      <c r="W568" s="292">
        <v>514.15</v>
      </c>
      <c r="X568" s="290">
        <v>54260</v>
      </c>
      <c r="Y568" s="291">
        <v>73.45</v>
      </c>
      <c r="Z568" s="289" t="s">
        <v>944</v>
      </c>
      <c r="AA568" s="289"/>
      <c r="AB568" s="289">
        <v>129385</v>
      </c>
      <c r="AC568" s="289"/>
      <c r="AD568" s="289" t="s">
        <v>1446</v>
      </c>
      <c r="AE568" s="289" t="s">
        <v>410</v>
      </c>
      <c r="AF568" s="290" t="s">
        <v>1447</v>
      </c>
      <c r="AG568" s="289"/>
      <c r="AH568" s="290" t="s">
        <v>1448</v>
      </c>
      <c r="AI568" s="289">
        <v>0</v>
      </c>
      <c r="AJ568" s="289">
        <v>0</v>
      </c>
    </row>
    <row r="569" spans="2:36">
      <c r="B569" s="290">
        <v>2111</v>
      </c>
      <c r="C569" s="294">
        <v>188019</v>
      </c>
      <c r="D569" s="290" t="s">
        <v>944</v>
      </c>
      <c r="E569" s="289" t="s">
        <v>2124</v>
      </c>
      <c r="F569" s="290">
        <v>9</v>
      </c>
      <c r="G569" s="289"/>
      <c r="H569" s="289"/>
      <c r="I569" s="289" t="s">
        <v>1584</v>
      </c>
      <c r="J569" s="289">
        <v>0</v>
      </c>
      <c r="K569" s="289" t="s">
        <v>2125</v>
      </c>
      <c r="L569" s="289"/>
      <c r="M569" s="289" t="s">
        <v>1662</v>
      </c>
      <c r="N569" s="293">
        <v>42864</v>
      </c>
      <c r="O569" s="293">
        <v>42864</v>
      </c>
      <c r="P569" s="289" t="s">
        <v>2126</v>
      </c>
      <c r="Q569" s="290">
        <v>1200</v>
      </c>
      <c r="R569" s="290">
        <v>14050</v>
      </c>
      <c r="S569" s="291">
        <v>7932.58</v>
      </c>
      <c r="T569" s="290">
        <v>14056</v>
      </c>
      <c r="U569" s="291">
        <v>3470.51</v>
      </c>
      <c r="V569" s="291">
        <f t="shared" si="8"/>
        <v>4462.07</v>
      </c>
      <c r="W569" s="292">
        <v>385.61</v>
      </c>
      <c r="X569" s="290">
        <v>54260</v>
      </c>
      <c r="Y569" s="291">
        <v>55.08</v>
      </c>
      <c r="Z569" s="289" t="s">
        <v>944</v>
      </c>
      <c r="AA569" s="289"/>
      <c r="AB569" s="289">
        <v>129392</v>
      </c>
      <c r="AC569" s="289"/>
      <c r="AD569" s="289" t="s">
        <v>1446</v>
      </c>
      <c r="AE569" s="289" t="s">
        <v>410</v>
      </c>
      <c r="AF569" s="290" t="s">
        <v>1447</v>
      </c>
      <c r="AG569" s="289"/>
      <c r="AH569" s="290" t="s">
        <v>1448</v>
      </c>
      <c r="AI569" s="289">
        <v>0</v>
      </c>
      <c r="AJ569" s="289">
        <v>0</v>
      </c>
    </row>
    <row r="570" spans="2:36">
      <c r="B570" s="290">
        <v>2111</v>
      </c>
      <c r="C570" s="294">
        <v>188018</v>
      </c>
      <c r="D570" s="290" t="s">
        <v>944</v>
      </c>
      <c r="E570" s="289" t="s">
        <v>2124</v>
      </c>
      <c r="F570" s="290">
        <v>9</v>
      </c>
      <c r="G570" s="289"/>
      <c r="H570" s="289"/>
      <c r="I570" s="289" t="s">
        <v>1584</v>
      </c>
      <c r="J570" s="289">
        <v>0</v>
      </c>
      <c r="K570" s="289" t="s">
        <v>2125</v>
      </c>
      <c r="L570" s="289"/>
      <c r="M570" s="289" t="s">
        <v>1662</v>
      </c>
      <c r="N570" s="293">
        <v>42864</v>
      </c>
      <c r="O570" s="293">
        <v>42864</v>
      </c>
      <c r="P570" s="289" t="s">
        <v>2126</v>
      </c>
      <c r="Q570" s="290">
        <v>1200</v>
      </c>
      <c r="R570" s="290">
        <v>14050</v>
      </c>
      <c r="S570" s="291">
        <v>7932.58</v>
      </c>
      <c r="T570" s="290">
        <v>14056</v>
      </c>
      <c r="U570" s="291">
        <v>3470.51</v>
      </c>
      <c r="V570" s="291">
        <f t="shared" si="8"/>
        <v>4462.07</v>
      </c>
      <c r="W570" s="292">
        <v>385.61</v>
      </c>
      <c r="X570" s="290">
        <v>54260</v>
      </c>
      <c r="Y570" s="291">
        <v>55.08</v>
      </c>
      <c r="Z570" s="289" t="s">
        <v>944</v>
      </c>
      <c r="AA570" s="289"/>
      <c r="AB570" s="289">
        <v>129411</v>
      </c>
      <c r="AC570" s="289"/>
      <c r="AD570" s="289" t="s">
        <v>1446</v>
      </c>
      <c r="AE570" s="289" t="s">
        <v>410</v>
      </c>
      <c r="AF570" s="290" t="s">
        <v>1447</v>
      </c>
      <c r="AG570" s="289"/>
      <c r="AH570" s="290" t="s">
        <v>1448</v>
      </c>
      <c r="AI570" s="289">
        <v>0</v>
      </c>
      <c r="AJ570" s="289">
        <v>0</v>
      </c>
    </row>
    <row r="571" spans="2:36">
      <c r="B571" s="290">
        <v>2111</v>
      </c>
      <c r="C571" s="294">
        <v>186746</v>
      </c>
      <c r="D571" s="290" t="s">
        <v>944</v>
      </c>
      <c r="E571" s="289" t="s">
        <v>517</v>
      </c>
      <c r="F571" s="290">
        <v>350</v>
      </c>
      <c r="G571" s="289"/>
      <c r="H571" s="289"/>
      <c r="I571" s="289" t="s">
        <v>1584</v>
      </c>
      <c r="J571" s="289">
        <v>0</v>
      </c>
      <c r="K571" s="289" t="s">
        <v>2093</v>
      </c>
      <c r="L571" s="289"/>
      <c r="M571" s="289"/>
      <c r="N571" s="293">
        <v>42888</v>
      </c>
      <c r="O571" s="293">
        <v>42888</v>
      </c>
      <c r="P571" s="289" t="s">
        <v>2127</v>
      </c>
      <c r="Q571" s="290">
        <v>700</v>
      </c>
      <c r="R571" s="290">
        <v>14050</v>
      </c>
      <c r="S571" s="291">
        <v>11193.83</v>
      </c>
      <c r="T571" s="290">
        <v>14056</v>
      </c>
      <c r="U571" s="291">
        <v>8262.1200000000008</v>
      </c>
      <c r="V571" s="291">
        <f t="shared" si="8"/>
        <v>2931.7099999999991</v>
      </c>
      <c r="W571" s="292">
        <v>932.82</v>
      </c>
      <c r="X571" s="290">
        <v>54260</v>
      </c>
      <c r="Y571" s="291">
        <v>133.26</v>
      </c>
      <c r="Z571" s="289" t="s">
        <v>944</v>
      </c>
      <c r="AA571" s="289"/>
      <c r="AB571" s="289">
        <v>65470290</v>
      </c>
      <c r="AC571" s="289"/>
      <c r="AD571" s="289" t="s">
        <v>1446</v>
      </c>
      <c r="AE571" s="289" t="s">
        <v>410</v>
      </c>
      <c r="AF571" s="290" t="s">
        <v>1447</v>
      </c>
      <c r="AG571" s="289"/>
      <c r="AH571" s="290" t="s">
        <v>1448</v>
      </c>
      <c r="AI571" s="289">
        <v>0</v>
      </c>
      <c r="AJ571" s="289">
        <v>0</v>
      </c>
    </row>
    <row r="572" spans="2:36">
      <c r="B572" s="290">
        <v>2111</v>
      </c>
      <c r="C572" s="294">
        <v>186745</v>
      </c>
      <c r="D572" s="290" t="s">
        <v>944</v>
      </c>
      <c r="E572" s="289" t="s">
        <v>530</v>
      </c>
      <c r="F572" s="290">
        <v>350</v>
      </c>
      <c r="G572" s="289"/>
      <c r="H572" s="289"/>
      <c r="I572" s="289" t="s">
        <v>1584</v>
      </c>
      <c r="J572" s="289">
        <v>0</v>
      </c>
      <c r="K572" s="289" t="s">
        <v>2093</v>
      </c>
      <c r="L572" s="289"/>
      <c r="M572" s="289"/>
      <c r="N572" s="293">
        <v>42888</v>
      </c>
      <c r="O572" s="293">
        <v>42888</v>
      </c>
      <c r="P572" s="289" t="s">
        <v>2127</v>
      </c>
      <c r="Q572" s="290">
        <v>700</v>
      </c>
      <c r="R572" s="290">
        <v>14050</v>
      </c>
      <c r="S572" s="291">
        <v>13501.74</v>
      </c>
      <c r="T572" s="290">
        <v>14056</v>
      </c>
      <c r="U572" s="291">
        <v>9965.58</v>
      </c>
      <c r="V572" s="291">
        <f t="shared" si="8"/>
        <v>3536.16</v>
      </c>
      <c r="W572" s="292">
        <v>1125.1500000000001</v>
      </c>
      <c r="X572" s="290">
        <v>54260</v>
      </c>
      <c r="Y572" s="291">
        <v>160.74</v>
      </c>
      <c r="Z572" s="289" t="s">
        <v>944</v>
      </c>
      <c r="AA572" s="289"/>
      <c r="AB572" s="289">
        <v>65470290</v>
      </c>
      <c r="AC572" s="289"/>
      <c r="AD572" s="289" t="s">
        <v>1446</v>
      </c>
      <c r="AE572" s="289" t="s">
        <v>410</v>
      </c>
      <c r="AF572" s="290" t="s">
        <v>1447</v>
      </c>
      <c r="AG572" s="289"/>
      <c r="AH572" s="290" t="s">
        <v>1448</v>
      </c>
      <c r="AI572" s="289">
        <v>0</v>
      </c>
      <c r="AJ572" s="289">
        <v>0</v>
      </c>
    </row>
    <row r="573" spans="2:36">
      <c r="B573" s="290">
        <v>2111</v>
      </c>
      <c r="C573" s="294">
        <v>186676</v>
      </c>
      <c r="D573" s="290" t="s">
        <v>944</v>
      </c>
      <c r="E573" s="289" t="s">
        <v>518</v>
      </c>
      <c r="F573" s="290">
        <v>624</v>
      </c>
      <c r="G573" s="289"/>
      <c r="H573" s="289"/>
      <c r="I573" s="289" t="s">
        <v>1584</v>
      </c>
      <c r="J573" s="289">
        <v>0</v>
      </c>
      <c r="K573" s="289" t="s">
        <v>2093</v>
      </c>
      <c r="L573" s="289"/>
      <c r="M573" s="289"/>
      <c r="N573" s="293">
        <v>42823</v>
      </c>
      <c r="O573" s="293">
        <v>42823</v>
      </c>
      <c r="P573" s="289" t="s">
        <v>2128</v>
      </c>
      <c r="Q573" s="290">
        <v>700</v>
      </c>
      <c r="R573" s="290">
        <v>14050</v>
      </c>
      <c r="S573" s="291">
        <v>32611.53</v>
      </c>
      <c r="T573" s="290">
        <v>14056</v>
      </c>
      <c r="U573" s="291">
        <v>24846.880000000001</v>
      </c>
      <c r="V573" s="291">
        <f t="shared" si="8"/>
        <v>7764.6499999999978</v>
      </c>
      <c r="W573" s="292">
        <v>2717.63</v>
      </c>
      <c r="X573" s="290">
        <v>54260</v>
      </c>
      <c r="Y573" s="291">
        <v>388.23</v>
      </c>
      <c r="Z573" s="289" t="s">
        <v>944</v>
      </c>
      <c r="AA573" s="289"/>
      <c r="AB573" s="289">
        <v>65452221</v>
      </c>
      <c r="AC573" s="289"/>
      <c r="AD573" s="289" t="s">
        <v>1446</v>
      </c>
      <c r="AE573" s="289" t="s">
        <v>410</v>
      </c>
      <c r="AF573" s="290" t="s">
        <v>1447</v>
      </c>
      <c r="AG573" s="289"/>
      <c r="AH573" s="290" t="s">
        <v>1448</v>
      </c>
      <c r="AI573" s="289">
        <v>0</v>
      </c>
      <c r="AJ573" s="289">
        <v>0</v>
      </c>
    </row>
    <row r="574" spans="2:36">
      <c r="B574" s="290">
        <v>2111</v>
      </c>
      <c r="C574" s="294">
        <v>186095</v>
      </c>
      <c r="D574" s="290">
        <v>102350</v>
      </c>
      <c r="E574" s="289" t="s">
        <v>2129</v>
      </c>
      <c r="F574" s="290"/>
      <c r="G574" s="289"/>
      <c r="H574" s="289"/>
      <c r="I574" s="289" t="s">
        <v>1584</v>
      </c>
      <c r="J574" s="289">
        <v>0</v>
      </c>
      <c r="K574" s="289" t="s">
        <v>1561</v>
      </c>
      <c r="L574" s="289"/>
      <c r="M574" s="289" t="s">
        <v>1586</v>
      </c>
      <c r="N574" s="293">
        <v>42951</v>
      </c>
      <c r="O574" s="293">
        <v>42951</v>
      </c>
      <c r="P574" s="289" t="s">
        <v>2130</v>
      </c>
      <c r="Q574" s="290">
        <v>300</v>
      </c>
      <c r="R574" s="290">
        <v>14040</v>
      </c>
      <c r="S574" s="291">
        <v>9492.07</v>
      </c>
      <c r="T574" s="290">
        <v>14046</v>
      </c>
      <c r="U574" s="291">
        <v>9492.07</v>
      </c>
      <c r="V574" s="291">
        <f t="shared" si="8"/>
        <v>0</v>
      </c>
      <c r="W574" s="292">
        <v>0</v>
      </c>
      <c r="X574" s="290">
        <v>51260</v>
      </c>
      <c r="Y574" s="291">
        <v>0</v>
      </c>
      <c r="Z574" s="289" t="s">
        <v>944</v>
      </c>
      <c r="AA574" s="289"/>
      <c r="AB574" s="289" t="s">
        <v>2131</v>
      </c>
      <c r="AC574" s="289"/>
      <c r="AD574" s="289" t="s">
        <v>1446</v>
      </c>
      <c r="AE574" s="289" t="s">
        <v>410</v>
      </c>
      <c r="AF574" s="290" t="s">
        <v>1447</v>
      </c>
      <c r="AG574" s="289"/>
      <c r="AH574" s="290" t="s">
        <v>1448</v>
      </c>
      <c r="AI574" s="289">
        <v>0</v>
      </c>
      <c r="AJ574" s="289">
        <v>0</v>
      </c>
    </row>
    <row r="575" spans="2:36">
      <c r="B575" s="290">
        <v>2111</v>
      </c>
      <c r="C575" s="294">
        <v>185867</v>
      </c>
      <c r="D575" s="290" t="s">
        <v>944</v>
      </c>
      <c r="E575" s="289" t="s">
        <v>517</v>
      </c>
      <c r="F575" s="290">
        <v>430</v>
      </c>
      <c r="G575" s="289"/>
      <c r="H575" s="289"/>
      <c r="I575" s="289"/>
      <c r="J575" s="289">
        <v>0</v>
      </c>
      <c r="K575" s="289" t="s">
        <v>1462</v>
      </c>
      <c r="L575" s="289"/>
      <c r="M575" s="289"/>
      <c r="N575" s="293">
        <v>42941</v>
      </c>
      <c r="O575" s="293">
        <v>42941</v>
      </c>
      <c r="P575" s="289" t="s">
        <v>2132</v>
      </c>
      <c r="Q575" s="290">
        <v>700</v>
      </c>
      <c r="R575" s="290">
        <v>14050</v>
      </c>
      <c r="S575" s="291">
        <v>18827.189999999999</v>
      </c>
      <c r="T575" s="290">
        <v>14056</v>
      </c>
      <c r="U575" s="291">
        <v>13448</v>
      </c>
      <c r="V575" s="291">
        <f t="shared" si="8"/>
        <v>5379.1899999999987</v>
      </c>
      <c r="W575" s="292">
        <v>1568.93</v>
      </c>
      <c r="X575" s="290">
        <v>54260</v>
      </c>
      <c r="Y575" s="291">
        <v>224.13</v>
      </c>
      <c r="Z575" s="289" t="s">
        <v>944</v>
      </c>
      <c r="AA575" s="289"/>
      <c r="AB575" s="289" t="s">
        <v>2133</v>
      </c>
      <c r="AC575" s="289"/>
      <c r="AD575" s="289" t="s">
        <v>1446</v>
      </c>
      <c r="AE575" s="289" t="s">
        <v>410</v>
      </c>
      <c r="AF575" s="290" t="s">
        <v>1447</v>
      </c>
      <c r="AG575" s="289"/>
      <c r="AH575" s="290" t="s">
        <v>1448</v>
      </c>
      <c r="AI575" s="289">
        <v>0</v>
      </c>
      <c r="AJ575" s="289">
        <v>0</v>
      </c>
    </row>
    <row r="576" spans="2:36">
      <c r="B576" s="290">
        <v>2111</v>
      </c>
      <c r="C576" s="294">
        <v>185866</v>
      </c>
      <c r="D576" s="290" t="s">
        <v>944</v>
      </c>
      <c r="E576" s="289" t="s">
        <v>519</v>
      </c>
      <c r="F576" s="290">
        <v>220</v>
      </c>
      <c r="G576" s="289"/>
      <c r="H576" s="289"/>
      <c r="I576" s="289"/>
      <c r="J576" s="289">
        <v>0</v>
      </c>
      <c r="K576" s="289" t="s">
        <v>1462</v>
      </c>
      <c r="L576" s="289"/>
      <c r="M576" s="289"/>
      <c r="N576" s="293">
        <v>42941</v>
      </c>
      <c r="O576" s="293">
        <v>42941</v>
      </c>
      <c r="P576" s="289" t="s">
        <v>2132</v>
      </c>
      <c r="Q576" s="290">
        <v>700</v>
      </c>
      <c r="R576" s="290">
        <v>14050</v>
      </c>
      <c r="S576" s="291">
        <v>13394.61</v>
      </c>
      <c r="T576" s="290">
        <v>14056</v>
      </c>
      <c r="U576" s="291">
        <v>9567.6</v>
      </c>
      <c r="V576" s="291">
        <f t="shared" si="8"/>
        <v>3827.01</v>
      </c>
      <c r="W576" s="292">
        <v>1116.22</v>
      </c>
      <c r="X576" s="290">
        <v>54260</v>
      </c>
      <c r="Y576" s="291">
        <v>159.46</v>
      </c>
      <c r="Z576" s="289" t="s">
        <v>944</v>
      </c>
      <c r="AA576" s="289"/>
      <c r="AB576" s="289" t="s">
        <v>2134</v>
      </c>
      <c r="AC576" s="289"/>
      <c r="AD576" s="289" t="s">
        <v>1446</v>
      </c>
      <c r="AE576" s="289" t="s">
        <v>410</v>
      </c>
      <c r="AF576" s="290" t="s">
        <v>1447</v>
      </c>
      <c r="AG576" s="289"/>
      <c r="AH576" s="290" t="s">
        <v>1448</v>
      </c>
      <c r="AI576" s="289">
        <v>0</v>
      </c>
      <c r="AJ576" s="289">
        <v>0</v>
      </c>
    </row>
    <row r="577" spans="2:36">
      <c r="B577" s="290">
        <v>2111</v>
      </c>
      <c r="C577" s="294">
        <v>185865</v>
      </c>
      <c r="D577" s="290" t="s">
        <v>944</v>
      </c>
      <c r="E577" s="289" t="s">
        <v>530</v>
      </c>
      <c r="F577" s="290">
        <v>702</v>
      </c>
      <c r="G577" s="289"/>
      <c r="H577" s="289"/>
      <c r="I577" s="289"/>
      <c r="J577" s="289">
        <v>0</v>
      </c>
      <c r="K577" s="289" t="s">
        <v>1462</v>
      </c>
      <c r="L577" s="289"/>
      <c r="M577" s="289"/>
      <c r="N577" s="293">
        <v>42906</v>
      </c>
      <c r="O577" s="293">
        <v>42906</v>
      </c>
      <c r="P577" s="289" t="s">
        <v>2135</v>
      </c>
      <c r="Q577" s="290">
        <v>700</v>
      </c>
      <c r="R577" s="290">
        <v>14050</v>
      </c>
      <c r="S577" s="291">
        <v>35294.01</v>
      </c>
      <c r="T577" s="290">
        <v>14056</v>
      </c>
      <c r="U577" s="291">
        <v>25630.17</v>
      </c>
      <c r="V577" s="291">
        <f t="shared" si="8"/>
        <v>9663.8400000000038</v>
      </c>
      <c r="W577" s="292">
        <v>2941.17</v>
      </c>
      <c r="X577" s="290">
        <v>54260</v>
      </c>
      <c r="Y577" s="291">
        <v>420.17</v>
      </c>
      <c r="Z577" s="289" t="s">
        <v>944</v>
      </c>
      <c r="AA577" s="289"/>
      <c r="AB577" s="289" t="s">
        <v>2136</v>
      </c>
      <c r="AC577" s="289"/>
      <c r="AD577" s="289" t="s">
        <v>1446</v>
      </c>
      <c r="AE577" s="289" t="s">
        <v>410</v>
      </c>
      <c r="AF577" s="290" t="s">
        <v>1447</v>
      </c>
      <c r="AG577" s="289"/>
      <c r="AH577" s="290" t="s">
        <v>1448</v>
      </c>
      <c r="AI577" s="289">
        <v>0</v>
      </c>
      <c r="AJ577" s="289">
        <v>0</v>
      </c>
    </row>
    <row r="578" spans="2:36">
      <c r="B578" s="290">
        <v>2111</v>
      </c>
      <c r="C578" s="294">
        <v>185864</v>
      </c>
      <c r="D578" s="290" t="s">
        <v>944</v>
      </c>
      <c r="E578" s="289" t="s">
        <v>530</v>
      </c>
      <c r="F578" s="290">
        <v>702</v>
      </c>
      <c r="G578" s="289"/>
      <c r="H578" s="289"/>
      <c r="I578" s="289"/>
      <c r="J578" s="289">
        <v>0</v>
      </c>
      <c r="K578" s="289" t="s">
        <v>1462</v>
      </c>
      <c r="L578" s="289"/>
      <c r="M578" s="289"/>
      <c r="N578" s="293">
        <v>42906</v>
      </c>
      <c r="O578" s="293">
        <v>42906</v>
      </c>
      <c r="P578" s="289" t="s">
        <v>2135</v>
      </c>
      <c r="Q578" s="290">
        <v>700</v>
      </c>
      <c r="R578" s="290">
        <v>14050</v>
      </c>
      <c r="S578" s="291">
        <v>35294.01</v>
      </c>
      <c r="T578" s="290">
        <v>14056</v>
      </c>
      <c r="U578" s="291">
        <v>25630.17</v>
      </c>
      <c r="V578" s="291">
        <f t="shared" si="8"/>
        <v>9663.8400000000038</v>
      </c>
      <c r="W578" s="292">
        <v>2941.17</v>
      </c>
      <c r="X578" s="290">
        <v>54260</v>
      </c>
      <c r="Y578" s="291">
        <v>420.17</v>
      </c>
      <c r="Z578" s="289" t="s">
        <v>944</v>
      </c>
      <c r="AA578" s="289"/>
      <c r="AB578" s="289" t="s">
        <v>2137</v>
      </c>
      <c r="AC578" s="289"/>
      <c r="AD578" s="289" t="s">
        <v>1446</v>
      </c>
      <c r="AE578" s="289" t="s">
        <v>410</v>
      </c>
      <c r="AF578" s="290" t="s">
        <v>1447</v>
      </c>
      <c r="AG578" s="289"/>
      <c r="AH578" s="290" t="s">
        <v>1448</v>
      </c>
      <c r="AI578" s="289">
        <v>0</v>
      </c>
      <c r="AJ578" s="289">
        <v>0</v>
      </c>
    </row>
    <row r="579" spans="2:36">
      <c r="B579" s="290">
        <v>2111</v>
      </c>
      <c r="C579" s="294">
        <v>185863</v>
      </c>
      <c r="D579" s="290" t="s">
        <v>944</v>
      </c>
      <c r="E579" s="289" t="s">
        <v>530</v>
      </c>
      <c r="F579" s="290">
        <v>702</v>
      </c>
      <c r="G579" s="289"/>
      <c r="H579" s="289"/>
      <c r="I579" s="289"/>
      <c r="J579" s="289">
        <v>0</v>
      </c>
      <c r="K579" s="289" t="s">
        <v>1462</v>
      </c>
      <c r="L579" s="289"/>
      <c r="M579" s="289"/>
      <c r="N579" s="293">
        <v>42751</v>
      </c>
      <c r="O579" s="293">
        <v>42751</v>
      </c>
      <c r="P579" s="289" t="s">
        <v>2138</v>
      </c>
      <c r="Q579" s="290">
        <v>700</v>
      </c>
      <c r="R579" s="290">
        <v>14050</v>
      </c>
      <c r="S579" s="291">
        <v>36186.67</v>
      </c>
      <c r="T579" s="290">
        <v>14056</v>
      </c>
      <c r="U579" s="291">
        <v>28432.41</v>
      </c>
      <c r="V579" s="291">
        <f t="shared" si="8"/>
        <v>7754.2599999999984</v>
      </c>
      <c r="W579" s="292">
        <v>3015.56</v>
      </c>
      <c r="X579" s="290">
        <v>54260</v>
      </c>
      <c r="Y579" s="291">
        <v>430.79</v>
      </c>
      <c r="Z579" s="289" t="s">
        <v>944</v>
      </c>
      <c r="AA579" s="289"/>
      <c r="AB579" s="289" t="s">
        <v>2139</v>
      </c>
      <c r="AC579" s="289"/>
      <c r="AD579" s="289" t="s">
        <v>1446</v>
      </c>
      <c r="AE579" s="289" t="s">
        <v>410</v>
      </c>
      <c r="AF579" s="290" t="s">
        <v>1447</v>
      </c>
      <c r="AG579" s="289"/>
      <c r="AH579" s="290" t="s">
        <v>1448</v>
      </c>
      <c r="AI579" s="289">
        <v>0</v>
      </c>
      <c r="AJ579" s="289">
        <v>0</v>
      </c>
    </row>
    <row r="580" spans="2:36">
      <c r="B580" s="290">
        <v>2111</v>
      </c>
      <c r="C580" s="294">
        <v>185862</v>
      </c>
      <c r="D580" s="290" t="s">
        <v>944</v>
      </c>
      <c r="E580" s="289" t="s">
        <v>530</v>
      </c>
      <c r="F580" s="290">
        <v>702</v>
      </c>
      <c r="G580" s="289"/>
      <c r="H580" s="289"/>
      <c r="I580" s="289"/>
      <c r="J580" s="289">
        <v>0</v>
      </c>
      <c r="K580" s="289" t="s">
        <v>1462</v>
      </c>
      <c r="L580" s="289"/>
      <c r="M580" s="289"/>
      <c r="N580" s="293">
        <v>42751</v>
      </c>
      <c r="O580" s="293">
        <v>42751</v>
      </c>
      <c r="P580" s="289" t="s">
        <v>2138</v>
      </c>
      <c r="Q580" s="290">
        <v>700</v>
      </c>
      <c r="R580" s="290">
        <v>14050</v>
      </c>
      <c r="S580" s="291">
        <v>36186.67</v>
      </c>
      <c r="T580" s="290">
        <v>14056</v>
      </c>
      <c r="U580" s="291">
        <v>28432.41</v>
      </c>
      <c r="V580" s="291">
        <f t="shared" si="8"/>
        <v>7754.2599999999984</v>
      </c>
      <c r="W580" s="292">
        <v>3015.56</v>
      </c>
      <c r="X580" s="290">
        <v>54260</v>
      </c>
      <c r="Y580" s="291">
        <v>430.79</v>
      </c>
      <c r="Z580" s="289" t="s">
        <v>944</v>
      </c>
      <c r="AA580" s="289"/>
      <c r="AB580" s="289" t="s">
        <v>2140</v>
      </c>
      <c r="AC580" s="289"/>
      <c r="AD580" s="289" t="s">
        <v>1446</v>
      </c>
      <c r="AE580" s="289" t="s">
        <v>410</v>
      </c>
      <c r="AF580" s="290" t="s">
        <v>1447</v>
      </c>
      <c r="AG580" s="289"/>
      <c r="AH580" s="290" t="s">
        <v>1448</v>
      </c>
      <c r="AI580" s="289">
        <v>0</v>
      </c>
      <c r="AJ580" s="289">
        <v>0</v>
      </c>
    </row>
    <row r="581" spans="2:36">
      <c r="B581" s="290">
        <v>2111</v>
      </c>
      <c r="C581" s="294">
        <v>185768</v>
      </c>
      <c r="D581" s="290">
        <v>102169</v>
      </c>
      <c r="E581" s="289" t="s">
        <v>2141</v>
      </c>
      <c r="F581" s="290"/>
      <c r="G581" s="289"/>
      <c r="H581" s="289"/>
      <c r="I581" s="289"/>
      <c r="J581" s="289">
        <v>0</v>
      </c>
      <c r="K581" s="289" t="s">
        <v>1561</v>
      </c>
      <c r="L581" s="289"/>
      <c r="M581" s="289" t="s">
        <v>1586</v>
      </c>
      <c r="N581" s="293">
        <v>42961</v>
      </c>
      <c r="O581" s="293">
        <v>42961</v>
      </c>
      <c r="P581" s="289" t="s">
        <v>2142</v>
      </c>
      <c r="Q581" s="290">
        <v>300</v>
      </c>
      <c r="R581" s="290">
        <v>14040</v>
      </c>
      <c r="S581" s="291">
        <v>9492.07</v>
      </c>
      <c r="T581" s="290">
        <v>14046</v>
      </c>
      <c r="U581" s="291">
        <v>9492.07</v>
      </c>
      <c r="V581" s="291">
        <f t="shared" si="8"/>
        <v>0</v>
      </c>
      <c r="W581" s="292">
        <v>0</v>
      </c>
      <c r="X581" s="290">
        <v>51260</v>
      </c>
      <c r="Y581" s="291">
        <v>0</v>
      </c>
      <c r="Z581" s="289" t="s">
        <v>944</v>
      </c>
      <c r="AA581" s="289"/>
      <c r="AB581" s="289" t="s">
        <v>2143</v>
      </c>
      <c r="AC581" s="289"/>
      <c r="AD581" s="289" t="s">
        <v>1446</v>
      </c>
      <c r="AE581" s="289" t="s">
        <v>410</v>
      </c>
      <c r="AF581" s="290" t="s">
        <v>1447</v>
      </c>
      <c r="AG581" s="289"/>
      <c r="AH581" s="290" t="s">
        <v>1448</v>
      </c>
      <c r="AI581" s="289">
        <v>0</v>
      </c>
      <c r="AJ581" s="289">
        <v>0</v>
      </c>
    </row>
    <row r="582" spans="2:36">
      <c r="B582" s="290">
        <v>2111</v>
      </c>
      <c r="C582" s="294">
        <v>185180</v>
      </c>
      <c r="D582" s="290" t="s">
        <v>944</v>
      </c>
      <c r="E582" s="289" t="s">
        <v>2144</v>
      </c>
      <c r="F582" s="290">
        <v>1500</v>
      </c>
      <c r="G582" s="289"/>
      <c r="H582" s="289"/>
      <c r="I582" s="289"/>
      <c r="J582" s="289">
        <v>0</v>
      </c>
      <c r="K582" s="289" t="s">
        <v>1462</v>
      </c>
      <c r="L582" s="289"/>
      <c r="M582" s="289"/>
      <c r="N582" s="293">
        <v>42870</v>
      </c>
      <c r="O582" s="293">
        <v>42870</v>
      </c>
      <c r="P582" s="289" t="s">
        <v>2119</v>
      </c>
      <c r="Q582" s="290">
        <v>700</v>
      </c>
      <c r="R582" s="290">
        <v>14050</v>
      </c>
      <c r="S582" s="291">
        <v>58945.49</v>
      </c>
      <c r="T582" s="290">
        <v>14056</v>
      </c>
      <c r="U582" s="291">
        <v>44209.1</v>
      </c>
      <c r="V582" s="291">
        <f t="shared" si="8"/>
        <v>14736.39</v>
      </c>
      <c r="W582" s="292">
        <v>4912.13</v>
      </c>
      <c r="X582" s="290">
        <v>54260</v>
      </c>
      <c r="Y582" s="291">
        <v>701.73</v>
      </c>
      <c r="Z582" s="289" t="s">
        <v>944</v>
      </c>
      <c r="AA582" s="289"/>
      <c r="AB582" s="289" t="s">
        <v>2145</v>
      </c>
      <c r="AC582" s="289"/>
      <c r="AD582" s="289" t="s">
        <v>1446</v>
      </c>
      <c r="AE582" s="289" t="s">
        <v>410</v>
      </c>
      <c r="AF582" s="290" t="s">
        <v>1447</v>
      </c>
      <c r="AG582" s="289"/>
      <c r="AH582" s="290" t="s">
        <v>1448</v>
      </c>
      <c r="AI582" s="289">
        <v>0</v>
      </c>
      <c r="AJ582" s="289">
        <v>0</v>
      </c>
    </row>
    <row r="583" spans="2:36">
      <c r="B583" s="290">
        <v>2111</v>
      </c>
      <c r="C583" s="294">
        <v>185179</v>
      </c>
      <c r="D583" s="290" t="s">
        <v>944</v>
      </c>
      <c r="E583" s="289" t="s">
        <v>2146</v>
      </c>
      <c r="F583" s="290">
        <v>1500</v>
      </c>
      <c r="G583" s="289"/>
      <c r="H583" s="289"/>
      <c r="I583" s="289"/>
      <c r="J583" s="289">
        <v>0</v>
      </c>
      <c r="K583" s="289" t="s">
        <v>1462</v>
      </c>
      <c r="L583" s="289"/>
      <c r="M583" s="289"/>
      <c r="N583" s="293">
        <v>42870</v>
      </c>
      <c r="O583" s="293">
        <v>42870</v>
      </c>
      <c r="P583" s="289" t="s">
        <v>2119</v>
      </c>
      <c r="Q583" s="290">
        <v>700</v>
      </c>
      <c r="R583" s="290">
        <v>14050</v>
      </c>
      <c r="S583" s="291">
        <v>79480.89</v>
      </c>
      <c r="T583" s="290">
        <v>14056</v>
      </c>
      <c r="U583" s="291">
        <v>59610.66</v>
      </c>
      <c r="V583" s="291">
        <f t="shared" si="8"/>
        <v>19870.229999999996</v>
      </c>
      <c r="W583" s="292">
        <v>6623.41</v>
      </c>
      <c r="X583" s="290">
        <v>54260</v>
      </c>
      <c r="Y583" s="291">
        <v>946.2</v>
      </c>
      <c r="Z583" s="289" t="s">
        <v>944</v>
      </c>
      <c r="AA583" s="289"/>
      <c r="AB583" s="289" t="s">
        <v>2145</v>
      </c>
      <c r="AC583" s="289"/>
      <c r="AD583" s="289" t="s">
        <v>1446</v>
      </c>
      <c r="AE583" s="289" t="s">
        <v>410</v>
      </c>
      <c r="AF583" s="290" t="s">
        <v>1447</v>
      </c>
      <c r="AG583" s="289"/>
      <c r="AH583" s="290" t="s">
        <v>1448</v>
      </c>
      <c r="AI583" s="289">
        <v>0</v>
      </c>
      <c r="AJ583" s="289">
        <v>0</v>
      </c>
    </row>
    <row r="584" spans="2:36">
      <c r="B584" s="290">
        <v>2111</v>
      </c>
      <c r="C584" s="294">
        <v>185178</v>
      </c>
      <c r="D584" s="290" t="s">
        <v>944</v>
      </c>
      <c r="E584" s="289" t="s">
        <v>2147</v>
      </c>
      <c r="F584" s="290">
        <v>14000</v>
      </c>
      <c r="G584" s="289"/>
      <c r="H584" s="289"/>
      <c r="I584" s="289"/>
      <c r="J584" s="289">
        <v>0</v>
      </c>
      <c r="K584" s="289" t="s">
        <v>1462</v>
      </c>
      <c r="L584" s="289"/>
      <c r="M584" s="289"/>
      <c r="N584" s="293">
        <v>42870</v>
      </c>
      <c r="O584" s="293">
        <v>42870</v>
      </c>
      <c r="P584" s="289" t="s">
        <v>2119</v>
      </c>
      <c r="Q584" s="290">
        <v>700</v>
      </c>
      <c r="R584" s="290">
        <v>14050</v>
      </c>
      <c r="S584" s="291">
        <v>660879.97</v>
      </c>
      <c r="T584" s="290">
        <v>14056</v>
      </c>
      <c r="U584" s="291">
        <v>495660</v>
      </c>
      <c r="V584" s="291">
        <f t="shared" si="8"/>
        <v>165219.96999999997</v>
      </c>
      <c r="W584" s="292">
        <v>55073.33</v>
      </c>
      <c r="X584" s="290">
        <v>54260</v>
      </c>
      <c r="Y584" s="291">
        <v>7867.61</v>
      </c>
      <c r="Z584" s="289" t="s">
        <v>944</v>
      </c>
      <c r="AA584" s="289"/>
      <c r="AB584" s="289" t="s">
        <v>2145</v>
      </c>
      <c r="AC584" s="289"/>
      <c r="AD584" s="289" t="s">
        <v>1446</v>
      </c>
      <c r="AE584" s="289" t="s">
        <v>410</v>
      </c>
      <c r="AF584" s="290" t="s">
        <v>1447</v>
      </c>
      <c r="AG584" s="289"/>
      <c r="AH584" s="290" t="s">
        <v>1448</v>
      </c>
      <c r="AI584" s="289">
        <v>0</v>
      </c>
      <c r="AJ584" s="289">
        <v>0</v>
      </c>
    </row>
    <row r="585" spans="2:36">
      <c r="B585" s="290">
        <v>2111</v>
      </c>
      <c r="C585" s="294">
        <v>185177</v>
      </c>
      <c r="D585" s="290" t="s">
        <v>944</v>
      </c>
      <c r="E585" s="289" t="s">
        <v>2148</v>
      </c>
      <c r="F585" s="290">
        <v>38500</v>
      </c>
      <c r="G585" s="289"/>
      <c r="H585" s="289"/>
      <c r="I585" s="289"/>
      <c r="J585" s="289">
        <v>0</v>
      </c>
      <c r="K585" s="289" t="s">
        <v>1462</v>
      </c>
      <c r="L585" s="289"/>
      <c r="M585" s="289"/>
      <c r="N585" s="293">
        <v>42870</v>
      </c>
      <c r="O585" s="293">
        <v>42870</v>
      </c>
      <c r="P585" s="289" t="s">
        <v>2119</v>
      </c>
      <c r="Q585" s="290">
        <v>700</v>
      </c>
      <c r="R585" s="290">
        <v>14050</v>
      </c>
      <c r="S585" s="291">
        <v>1531833.28</v>
      </c>
      <c r="T585" s="290">
        <v>14056</v>
      </c>
      <c r="U585" s="291">
        <v>1148874.98</v>
      </c>
      <c r="V585" s="291">
        <f t="shared" si="8"/>
        <v>382958.30000000005</v>
      </c>
      <c r="W585" s="292">
        <v>127652.78</v>
      </c>
      <c r="X585" s="290">
        <v>54260</v>
      </c>
      <c r="Y585" s="291">
        <v>18236.11</v>
      </c>
      <c r="Z585" s="289" t="s">
        <v>944</v>
      </c>
      <c r="AA585" s="289"/>
      <c r="AB585" s="289" t="s">
        <v>2145</v>
      </c>
      <c r="AC585" s="289"/>
      <c r="AD585" s="289" t="s">
        <v>1446</v>
      </c>
      <c r="AE585" s="289" t="s">
        <v>410</v>
      </c>
      <c r="AF585" s="290" t="s">
        <v>1447</v>
      </c>
      <c r="AG585" s="289"/>
      <c r="AH585" s="290" t="s">
        <v>1448</v>
      </c>
      <c r="AI585" s="289">
        <v>0</v>
      </c>
      <c r="AJ585" s="289">
        <v>0</v>
      </c>
    </row>
    <row r="586" spans="2:36">
      <c r="B586" s="290">
        <v>2111</v>
      </c>
      <c r="C586" s="294">
        <v>184822</v>
      </c>
      <c r="D586" s="290" t="s">
        <v>944</v>
      </c>
      <c r="E586" s="289" t="s">
        <v>524</v>
      </c>
      <c r="F586" s="290">
        <v>940</v>
      </c>
      <c r="G586" s="289"/>
      <c r="H586" s="289"/>
      <c r="I586" s="289"/>
      <c r="J586" s="289">
        <v>0</v>
      </c>
      <c r="K586" s="289" t="s">
        <v>2093</v>
      </c>
      <c r="L586" s="289"/>
      <c r="M586" s="289"/>
      <c r="N586" s="293">
        <v>42854</v>
      </c>
      <c r="O586" s="293">
        <v>42854</v>
      </c>
      <c r="P586" s="289" t="s">
        <v>2149</v>
      </c>
      <c r="Q586" s="290">
        <v>700</v>
      </c>
      <c r="R586" s="290">
        <v>14050</v>
      </c>
      <c r="S586" s="291">
        <v>35253.71</v>
      </c>
      <c r="T586" s="290">
        <v>14056</v>
      </c>
      <c r="U586" s="291">
        <v>26440.31</v>
      </c>
      <c r="V586" s="291">
        <f t="shared" si="8"/>
        <v>8813.3999999999978</v>
      </c>
      <c r="W586" s="292">
        <v>2937.81</v>
      </c>
      <c r="X586" s="290">
        <v>54260</v>
      </c>
      <c r="Y586" s="291">
        <v>419.68</v>
      </c>
      <c r="Z586" s="289" t="s">
        <v>944</v>
      </c>
      <c r="AA586" s="289"/>
      <c r="AB586" s="289">
        <v>65460582</v>
      </c>
      <c r="AC586" s="289"/>
      <c r="AD586" s="289" t="s">
        <v>1446</v>
      </c>
      <c r="AE586" s="289" t="s">
        <v>410</v>
      </c>
      <c r="AF586" s="290" t="s">
        <v>1447</v>
      </c>
      <c r="AG586" s="289"/>
      <c r="AH586" s="290" t="s">
        <v>1448</v>
      </c>
      <c r="AI586" s="289">
        <v>0</v>
      </c>
      <c r="AJ586" s="289">
        <v>0</v>
      </c>
    </row>
    <row r="587" spans="2:36">
      <c r="B587" s="290">
        <v>2111</v>
      </c>
      <c r="C587" s="294">
        <v>184821</v>
      </c>
      <c r="D587" s="290" t="s">
        <v>944</v>
      </c>
      <c r="E587" s="289" t="s">
        <v>512</v>
      </c>
      <c r="F587" s="290">
        <v>624</v>
      </c>
      <c r="G587" s="289"/>
      <c r="H587" s="289"/>
      <c r="I587" s="289"/>
      <c r="J587" s="289">
        <v>0</v>
      </c>
      <c r="K587" s="289" t="s">
        <v>2093</v>
      </c>
      <c r="L587" s="289"/>
      <c r="M587" s="289"/>
      <c r="N587" s="293">
        <v>42832</v>
      </c>
      <c r="O587" s="293">
        <v>42832</v>
      </c>
      <c r="P587" s="289" t="s">
        <v>2150</v>
      </c>
      <c r="Q587" s="290">
        <v>700</v>
      </c>
      <c r="R587" s="290">
        <v>14050</v>
      </c>
      <c r="S587" s="291">
        <v>32760.57</v>
      </c>
      <c r="T587" s="290">
        <v>14056</v>
      </c>
      <c r="U587" s="291">
        <v>24960.43</v>
      </c>
      <c r="V587" s="291">
        <f t="shared" si="8"/>
        <v>7800.1399999999994</v>
      </c>
      <c r="W587" s="292">
        <v>2730.05</v>
      </c>
      <c r="X587" s="290">
        <v>54260</v>
      </c>
      <c r="Y587" s="291">
        <v>390.01</v>
      </c>
      <c r="Z587" s="289" t="s">
        <v>944</v>
      </c>
      <c r="AA587" s="289"/>
      <c r="AB587" s="289">
        <v>65454013</v>
      </c>
      <c r="AC587" s="289"/>
      <c r="AD587" s="289" t="s">
        <v>1446</v>
      </c>
      <c r="AE587" s="289" t="s">
        <v>410</v>
      </c>
      <c r="AF587" s="290" t="s">
        <v>1447</v>
      </c>
      <c r="AG587" s="289"/>
      <c r="AH587" s="290" t="s">
        <v>1448</v>
      </c>
      <c r="AI587" s="289">
        <v>0</v>
      </c>
      <c r="AJ587" s="289">
        <v>0</v>
      </c>
    </row>
    <row r="588" spans="2:36">
      <c r="B588" s="290">
        <v>2111</v>
      </c>
      <c r="C588" s="294">
        <v>184458</v>
      </c>
      <c r="D588" s="290" t="s">
        <v>944</v>
      </c>
      <c r="E588" s="289" t="s">
        <v>2151</v>
      </c>
      <c r="F588" s="290">
        <v>40</v>
      </c>
      <c r="G588" s="289"/>
      <c r="H588" s="289"/>
      <c r="I588" s="289"/>
      <c r="J588" s="289">
        <v>0</v>
      </c>
      <c r="K588" s="289" t="s">
        <v>1726</v>
      </c>
      <c r="L588" s="289"/>
      <c r="M588" s="289" t="s">
        <v>1659</v>
      </c>
      <c r="N588" s="293">
        <v>42825</v>
      </c>
      <c r="O588" s="293">
        <v>42825</v>
      </c>
      <c r="P588" s="289" t="s">
        <v>2152</v>
      </c>
      <c r="Q588" s="290">
        <v>1200</v>
      </c>
      <c r="R588" s="290">
        <v>14050</v>
      </c>
      <c r="S588" s="291">
        <v>23674.15</v>
      </c>
      <c r="T588" s="290">
        <v>14056</v>
      </c>
      <c r="U588" s="291">
        <v>10521.87</v>
      </c>
      <c r="V588" s="291">
        <f t="shared" si="8"/>
        <v>13152.28</v>
      </c>
      <c r="W588" s="292">
        <v>1150.83</v>
      </c>
      <c r="X588" s="290">
        <v>54260</v>
      </c>
      <c r="Y588" s="291">
        <v>164.4</v>
      </c>
      <c r="Z588" s="289" t="s">
        <v>944</v>
      </c>
      <c r="AA588" s="289"/>
      <c r="AB588" s="289">
        <v>128400</v>
      </c>
      <c r="AC588" s="289"/>
      <c r="AD588" s="289" t="s">
        <v>1446</v>
      </c>
      <c r="AE588" s="289" t="s">
        <v>410</v>
      </c>
      <c r="AF588" s="290" t="s">
        <v>1447</v>
      </c>
      <c r="AG588" s="289"/>
      <c r="AH588" s="290" t="s">
        <v>1448</v>
      </c>
      <c r="AI588" s="289">
        <v>0</v>
      </c>
      <c r="AJ588" s="289">
        <v>0</v>
      </c>
    </row>
    <row r="589" spans="2:36">
      <c r="B589" s="290">
        <v>2111</v>
      </c>
      <c r="C589" s="294">
        <v>183742</v>
      </c>
      <c r="D589" s="290">
        <v>173166</v>
      </c>
      <c r="E589" s="289" t="s">
        <v>2153</v>
      </c>
      <c r="F589" s="290"/>
      <c r="G589" s="289"/>
      <c r="H589" s="289"/>
      <c r="I589" s="289"/>
      <c r="J589" s="289">
        <v>0</v>
      </c>
      <c r="K589" s="289" t="s">
        <v>2154</v>
      </c>
      <c r="L589" s="289"/>
      <c r="M589" s="289" t="s">
        <v>1586</v>
      </c>
      <c r="N589" s="293">
        <v>42811</v>
      </c>
      <c r="O589" s="293">
        <v>42811</v>
      </c>
      <c r="P589" s="289" t="s">
        <v>2155</v>
      </c>
      <c r="Q589" s="290">
        <v>300</v>
      </c>
      <c r="R589" s="290">
        <v>14040</v>
      </c>
      <c r="S589" s="291">
        <v>15283.31</v>
      </c>
      <c r="T589" s="290">
        <v>14046</v>
      </c>
      <c r="U589" s="291">
        <v>15283.31</v>
      </c>
      <c r="V589" s="291">
        <f t="shared" si="8"/>
        <v>0</v>
      </c>
      <c r="W589" s="292">
        <v>0</v>
      </c>
      <c r="X589" s="290">
        <v>51260</v>
      </c>
      <c r="Y589" s="291">
        <v>0</v>
      </c>
      <c r="Z589" s="289" t="s">
        <v>944</v>
      </c>
      <c r="AA589" s="289"/>
      <c r="AB589" s="289">
        <v>140265</v>
      </c>
      <c r="AC589" s="289"/>
      <c r="AD589" s="289" t="s">
        <v>1446</v>
      </c>
      <c r="AE589" s="289" t="s">
        <v>410</v>
      </c>
      <c r="AF589" s="290" t="s">
        <v>1447</v>
      </c>
      <c r="AG589" s="289"/>
      <c r="AH589" s="290" t="s">
        <v>1448</v>
      </c>
      <c r="AI589" s="289">
        <v>0</v>
      </c>
      <c r="AJ589" s="289">
        <v>0</v>
      </c>
    </row>
    <row r="590" spans="2:36">
      <c r="B590" s="290">
        <v>2111</v>
      </c>
      <c r="C590" s="294">
        <v>183279</v>
      </c>
      <c r="D590" s="290" t="s">
        <v>944</v>
      </c>
      <c r="E590" s="289" t="s">
        <v>510</v>
      </c>
      <c r="F590" s="290"/>
      <c r="G590" s="289"/>
      <c r="H590" s="289" t="s">
        <v>2156</v>
      </c>
      <c r="I590" s="289"/>
      <c r="J590" s="289">
        <v>2017</v>
      </c>
      <c r="K590" s="289" t="s">
        <v>1483</v>
      </c>
      <c r="L590" s="289" t="s">
        <v>1522</v>
      </c>
      <c r="M590" s="289" t="s">
        <v>1495</v>
      </c>
      <c r="N590" s="293">
        <v>42887</v>
      </c>
      <c r="O590" s="293">
        <v>42887</v>
      </c>
      <c r="P590" s="289" t="s">
        <v>2106</v>
      </c>
      <c r="Q590" s="290">
        <v>1000</v>
      </c>
      <c r="R590" s="290">
        <v>14040</v>
      </c>
      <c r="S590" s="291">
        <v>336597.94</v>
      </c>
      <c r="T590" s="290">
        <v>14046</v>
      </c>
      <c r="U590" s="291">
        <v>173908.92</v>
      </c>
      <c r="V590" s="291">
        <f t="shared" ref="V590:V653" si="9">S590-U590</f>
        <v>162689.01999999999</v>
      </c>
      <c r="W590" s="292">
        <v>19634.88</v>
      </c>
      <c r="X590" s="290">
        <v>51260</v>
      </c>
      <c r="Y590" s="291">
        <v>2804.98</v>
      </c>
      <c r="Z590" s="289" t="s">
        <v>944</v>
      </c>
      <c r="AA590" s="289"/>
      <c r="AB590" s="289" t="s">
        <v>2157</v>
      </c>
      <c r="AC590" s="289">
        <v>853</v>
      </c>
      <c r="AD590" s="289" t="s">
        <v>1446</v>
      </c>
      <c r="AE590" s="289" t="s">
        <v>410</v>
      </c>
      <c r="AF590" s="290" t="s">
        <v>1447</v>
      </c>
      <c r="AG590" s="289"/>
      <c r="AH590" s="290" t="s">
        <v>1448</v>
      </c>
      <c r="AI590" s="289">
        <v>0</v>
      </c>
      <c r="AJ590" s="289">
        <v>0</v>
      </c>
    </row>
    <row r="591" spans="2:36">
      <c r="B591" s="290">
        <v>2111</v>
      </c>
      <c r="C591" s="294">
        <v>183278</v>
      </c>
      <c r="D591" s="290" t="s">
        <v>944</v>
      </c>
      <c r="E591" s="289" t="s">
        <v>510</v>
      </c>
      <c r="F591" s="290"/>
      <c r="G591" s="289"/>
      <c r="H591" s="289" t="s">
        <v>2158</v>
      </c>
      <c r="I591" s="289"/>
      <c r="J591" s="289">
        <v>2017</v>
      </c>
      <c r="K591" s="289" t="s">
        <v>1483</v>
      </c>
      <c r="L591" s="289" t="s">
        <v>1522</v>
      </c>
      <c r="M591" s="289" t="s">
        <v>1495</v>
      </c>
      <c r="N591" s="293">
        <v>42887</v>
      </c>
      <c r="O591" s="293">
        <v>42887</v>
      </c>
      <c r="P591" s="289" t="s">
        <v>2109</v>
      </c>
      <c r="Q591" s="290">
        <v>1000</v>
      </c>
      <c r="R591" s="290">
        <v>14040</v>
      </c>
      <c r="S591" s="291">
        <v>336597.94</v>
      </c>
      <c r="T591" s="290">
        <v>14046</v>
      </c>
      <c r="U591" s="291">
        <v>173908.92</v>
      </c>
      <c r="V591" s="291">
        <f t="shared" si="9"/>
        <v>162689.01999999999</v>
      </c>
      <c r="W591" s="292">
        <v>19634.88</v>
      </c>
      <c r="X591" s="290">
        <v>51260</v>
      </c>
      <c r="Y591" s="291">
        <v>2804.98</v>
      </c>
      <c r="Z591" s="289" t="s">
        <v>944</v>
      </c>
      <c r="AA591" s="289"/>
      <c r="AB591" s="289">
        <v>3527335</v>
      </c>
      <c r="AC591" s="289">
        <v>852</v>
      </c>
      <c r="AD591" s="289" t="s">
        <v>1446</v>
      </c>
      <c r="AE591" s="289" t="s">
        <v>410</v>
      </c>
      <c r="AF591" s="290" t="s">
        <v>1447</v>
      </c>
      <c r="AG591" s="289"/>
      <c r="AH591" s="290" t="s">
        <v>1448</v>
      </c>
      <c r="AI591" s="289">
        <v>0</v>
      </c>
      <c r="AJ591" s="289">
        <v>0</v>
      </c>
    </row>
    <row r="592" spans="2:36">
      <c r="B592" s="290">
        <v>2111</v>
      </c>
      <c r="C592" s="294">
        <v>183277</v>
      </c>
      <c r="D592" s="290" t="s">
        <v>944</v>
      </c>
      <c r="E592" s="289" t="s">
        <v>510</v>
      </c>
      <c r="F592" s="290"/>
      <c r="G592" s="289"/>
      <c r="H592" s="289" t="s">
        <v>2159</v>
      </c>
      <c r="I592" s="289"/>
      <c r="J592" s="289">
        <v>2017</v>
      </c>
      <c r="K592" s="289" t="s">
        <v>1483</v>
      </c>
      <c r="L592" s="289" t="s">
        <v>1522</v>
      </c>
      <c r="M592" s="289" t="s">
        <v>1495</v>
      </c>
      <c r="N592" s="293">
        <v>42887</v>
      </c>
      <c r="O592" s="293">
        <v>42887</v>
      </c>
      <c r="P592" s="289" t="s">
        <v>2107</v>
      </c>
      <c r="Q592" s="290">
        <v>1000</v>
      </c>
      <c r="R592" s="290">
        <v>14040</v>
      </c>
      <c r="S592" s="291">
        <v>336597.94</v>
      </c>
      <c r="T592" s="290">
        <v>14046</v>
      </c>
      <c r="U592" s="291">
        <v>173908.92</v>
      </c>
      <c r="V592" s="291">
        <f t="shared" si="9"/>
        <v>162689.01999999999</v>
      </c>
      <c r="W592" s="292">
        <v>19634.88</v>
      </c>
      <c r="X592" s="290">
        <v>51260</v>
      </c>
      <c r="Y592" s="291">
        <v>2804.98</v>
      </c>
      <c r="Z592" s="289" t="s">
        <v>944</v>
      </c>
      <c r="AA592" s="289"/>
      <c r="AB592" s="289">
        <v>3521876</v>
      </c>
      <c r="AC592" s="289">
        <v>851</v>
      </c>
      <c r="AD592" s="289" t="s">
        <v>1446</v>
      </c>
      <c r="AE592" s="289" t="s">
        <v>410</v>
      </c>
      <c r="AF592" s="290" t="s">
        <v>1447</v>
      </c>
      <c r="AG592" s="289"/>
      <c r="AH592" s="290" t="s">
        <v>1448</v>
      </c>
      <c r="AI592" s="289">
        <v>0</v>
      </c>
      <c r="AJ592" s="289">
        <v>0</v>
      </c>
    </row>
    <row r="593" spans="2:36">
      <c r="B593" s="290">
        <v>2111</v>
      </c>
      <c r="C593" s="294">
        <v>180515</v>
      </c>
      <c r="D593" s="290" t="s">
        <v>944</v>
      </c>
      <c r="E593" s="289" t="s">
        <v>574</v>
      </c>
      <c r="F593" s="290"/>
      <c r="G593" s="289"/>
      <c r="H593" s="289"/>
      <c r="I593" s="289"/>
      <c r="J593" s="289">
        <v>0</v>
      </c>
      <c r="K593" s="289" t="s">
        <v>2160</v>
      </c>
      <c r="L593" s="289"/>
      <c r="M593" s="289"/>
      <c r="N593" s="293">
        <v>42795</v>
      </c>
      <c r="O593" s="293">
        <v>42795</v>
      </c>
      <c r="P593" s="289" t="s">
        <v>2161</v>
      </c>
      <c r="Q593" s="290">
        <v>100</v>
      </c>
      <c r="R593" s="290">
        <v>14110</v>
      </c>
      <c r="S593" s="291">
        <v>6597.75</v>
      </c>
      <c r="T593" s="290">
        <v>14116</v>
      </c>
      <c r="U593" s="291">
        <v>6597.75</v>
      </c>
      <c r="V593" s="291">
        <f t="shared" si="9"/>
        <v>0</v>
      </c>
      <c r="W593" s="292">
        <v>0</v>
      </c>
      <c r="X593" s="290">
        <v>70260</v>
      </c>
      <c r="Y593" s="291">
        <v>0</v>
      </c>
      <c r="Z593" s="289" t="s">
        <v>944</v>
      </c>
      <c r="AA593" s="289"/>
      <c r="AB593" s="289" t="s">
        <v>2162</v>
      </c>
      <c r="AC593" s="289"/>
      <c r="AD593" s="289" t="s">
        <v>1446</v>
      </c>
      <c r="AE593" s="289" t="s">
        <v>410</v>
      </c>
      <c r="AF593" s="290" t="s">
        <v>1447</v>
      </c>
      <c r="AG593" s="289"/>
      <c r="AH593" s="290" t="s">
        <v>1448</v>
      </c>
      <c r="AI593" s="289">
        <v>0</v>
      </c>
      <c r="AJ593" s="289">
        <v>0</v>
      </c>
    </row>
    <row r="594" spans="2:36">
      <c r="B594" s="290">
        <v>2111</v>
      </c>
      <c r="C594" s="294">
        <v>180514</v>
      </c>
      <c r="D594" s="290" t="s">
        <v>944</v>
      </c>
      <c r="E594" s="289" t="s">
        <v>572</v>
      </c>
      <c r="F594" s="290"/>
      <c r="G594" s="289"/>
      <c r="H594" s="289"/>
      <c r="I594" s="289"/>
      <c r="J594" s="289">
        <v>0</v>
      </c>
      <c r="K594" s="289" t="s">
        <v>2163</v>
      </c>
      <c r="L594" s="289"/>
      <c r="M594" s="289"/>
      <c r="N594" s="293">
        <v>42760</v>
      </c>
      <c r="O594" s="293">
        <v>42760</v>
      </c>
      <c r="P594" s="289" t="s">
        <v>2164</v>
      </c>
      <c r="Q594" s="290">
        <v>200</v>
      </c>
      <c r="R594" s="290">
        <v>14110</v>
      </c>
      <c r="S594" s="291">
        <v>6944.72</v>
      </c>
      <c r="T594" s="290">
        <v>14116</v>
      </c>
      <c r="U594" s="291">
        <v>6944.72</v>
      </c>
      <c r="V594" s="291">
        <f t="shared" si="9"/>
        <v>0</v>
      </c>
      <c r="W594" s="292">
        <v>0</v>
      </c>
      <c r="X594" s="290">
        <v>70260</v>
      </c>
      <c r="Y594" s="291">
        <v>0</v>
      </c>
      <c r="Z594" s="289" t="s">
        <v>944</v>
      </c>
      <c r="AA594" s="289"/>
      <c r="AB594" s="289">
        <v>31696485</v>
      </c>
      <c r="AC594" s="289"/>
      <c r="AD594" s="289" t="s">
        <v>1446</v>
      </c>
      <c r="AE594" s="289" t="s">
        <v>410</v>
      </c>
      <c r="AF594" s="290" t="s">
        <v>1447</v>
      </c>
      <c r="AG594" s="289"/>
      <c r="AH594" s="290" t="s">
        <v>1448</v>
      </c>
      <c r="AI594" s="289">
        <v>0</v>
      </c>
      <c r="AJ594" s="289">
        <v>0</v>
      </c>
    </row>
    <row r="595" spans="2:36">
      <c r="B595" s="290">
        <v>2111</v>
      </c>
      <c r="C595" s="294">
        <v>180339</v>
      </c>
      <c r="D595" s="290" t="s">
        <v>944</v>
      </c>
      <c r="E595" s="289" t="s">
        <v>584</v>
      </c>
      <c r="F595" s="290"/>
      <c r="G595" s="289"/>
      <c r="H595" s="289" t="s">
        <v>2165</v>
      </c>
      <c r="I595" s="289"/>
      <c r="J595" s="289">
        <v>2012</v>
      </c>
      <c r="K595" s="289" t="s">
        <v>2166</v>
      </c>
      <c r="L595" s="289"/>
      <c r="M595" s="289" t="s">
        <v>2167</v>
      </c>
      <c r="N595" s="293">
        <v>42849</v>
      </c>
      <c r="O595" s="293">
        <v>42849</v>
      </c>
      <c r="P595" s="289" t="s">
        <v>2168</v>
      </c>
      <c r="Q595" s="290">
        <v>500</v>
      </c>
      <c r="R595" s="290">
        <v>14040</v>
      </c>
      <c r="S595" s="291">
        <v>35072</v>
      </c>
      <c r="T595" s="290">
        <v>14046</v>
      </c>
      <c r="U595" s="291">
        <v>35072</v>
      </c>
      <c r="V595" s="291">
        <f t="shared" si="9"/>
        <v>0</v>
      </c>
      <c r="W595" s="292">
        <v>2338.13</v>
      </c>
      <c r="X595" s="290">
        <v>51260</v>
      </c>
      <c r="Y595" s="291">
        <v>0</v>
      </c>
      <c r="Z595" s="289" t="s">
        <v>944</v>
      </c>
      <c r="AA595" s="289"/>
      <c r="AB595" s="289">
        <v>7961170223014</v>
      </c>
      <c r="AC595" s="289" t="s">
        <v>583</v>
      </c>
      <c r="AD595" s="289" t="s">
        <v>1446</v>
      </c>
      <c r="AE595" s="289" t="s">
        <v>410</v>
      </c>
      <c r="AF595" s="290" t="s">
        <v>1447</v>
      </c>
      <c r="AG595" s="289"/>
      <c r="AH595" s="290" t="s">
        <v>1448</v>
      </c>
      <c r="AI595" s="289">
        <v>0</v>
      </c>
      <c r="AJ595" s="289">
        <v>0</v>
      </c>
    </row>
    <row r="596" spans="2:36">
      <c r="B596" s="290">
        <v>2111</v>
      </c>
      <c r="C596" s="294">
        <v>180338</v>
      </c>
      <c r="D596" s="290" t="s">
        <v>944</v>
      </c>
      <c r="E596" s="289" t="s">
        <v>510</v>
      </c>
      <c r="F596" s="290"/>
      <c r="G596" s="289"/>
      <c r="H596" s="289" t="s">
        <v>2169</v>
      </c>
      <c r="I596" s="289"/>
      <c r="J596" s="289">
        <v>2017</v>
      </c>
      <c r="K596" s="289" t="s">
        <v>1483</v>
      </c>
      <c r="L596" s="289" t="s">
        <v>1522</v>
      </c>
      <c r="M596" s="289" t="s">
        <v>1495</v>
      </c>
      <c r="N596" s="293">
        <v>42826</v>
      </c>
      <c r="O596" s="293">
        <v>42826</v>
      </c>
      <c r="P596" s="289" t="s">
        <v>2108</v>
      </c>
      <c r="Q596" s="290">
        <v>1000</v>
      </c>
      <c r="R596" s="290">
        <v>14040</v>
      </c>
      <c r="S596" s="291">
        <v>336597.94</v>
      </c>
      <c r="T596" s="290">
        <v>14046</v>
      </c>
      <c r="U596" s="291">
        <v>179518.89</v>
      </c>
      <c r="V596" s="291">
        <f t="shared" si="9"/>
        <v>157079.04999999999</v>
      </c>
      <c r="W596" s="292">
        <v>19634.88</v>
      </c>
      <c r="X596" s="290">
        <v>51260</v>
      </c>
      <c r="Y596" s="291">
        <v>2804.98</v>
      </c>
      <c r="Z596" s="289" t="s">
        <v>944</v>
      </c>
      <c r="AA596" s="289"/>
      <c r="AB596" s="289">
        <v>3520448</v>
      </c>
      <c r="AC596" s="289">
        <v>850</v>
      </c>
      <c r="AD596" s="289" t="s">
        <v>1446</v>
      </c>
      <c r="AE596" s="289" t="s">
        <v>410</v>
      </c>
      <c r="AF596" s="290" t="s">
        <v>1447</v>
      </c>
      <c r="AG596" s="289"/>
      <c r="AH596" s="290" t="s">
        <v>1448</v>
      </c>
      <c r="AI596" s="289">
        <v>0</v>
      </c>
      <c r="AJ596" s="289">
        <v>0</v>
      </c>
    </row>
    <row r="597" spans="2:36">
      <c r="B597" s="290">
        <v>2111</v>
      </c>
      <c r="C597" s="294">
        <v>179408</v>
      </c>
      <c r="D597" s="290">
        <v>173291</v>
      </c>
      <c r="E597" s="289" t="s">
        <v>508</v>
      </c>
      <c r="F597" s="290"/>
      <c r="G597" s="289"/>
      <c r="H597" s="289"/>
      <c r="I597" s="289"/>
      <c r="J597" s="289">
        <v>0</v>
      </c>
      <c r="K597" s="289" t="s">
        <v>2170</v>
      </c>
      <c r="L597" s="289"/>
      <c r="M597" s="289" t="s">
        <v>1586</v>
      </c>
      <c r="N597" s="293">
        <v>42790</v>
      </c>
      <c r="O597" s="293">
        <v>42790</v>
      </c>
      <c r="P597" s="289" t="s">
        <v>2171</v>
      </c>
      <c r="Q597" s="290">
        <v>300</v>
      </c>
      <c r="R597" s="290">
        <v>14040</v>
      </c>
      <c r="S597" s="291">
        <v>19762.41</v>
      </c>
      <c r="T597" s="290">
        <v>14046</v>
      </c>
      <c r="U597" s="291">
        <v>19762.41</v>
      </c>
      <c r="V597" s="291">
        <f t="shared" si="9"/>
        <v>0</v>
      </c>
      <c r="W597" s="292">
        <v>0</v>
      </c>
      <c r="X597" s="290">
        <v>51260</v>
      </c>
      <c r="Y597" s="291">
        <v>0</v>
      </c>
      <c r="Z597" s="289" t="s">
        <v>944</v>
      </c>
      <c r="AA597" s="289"/>
      <c r="AB597" s="289" t="s">
        <v>2172</v>
      </c>
      <c r="AC597" s="289"/>
      <c r="AD597" s="289" t="s">
        <v>1446</v>
      </c>
      <c r="AE597" s="289" t="s">
        <v>410</v>
      </c>
      <c r="AF597" s="290" t="s">
        <v>1447</v>
      </c>
      <c r="AG597" s="289"/>
      <c r="AH597" s="290" t="s">
        <v>1448</v>
      </c>
      <c r="AI597" s="289">
        <v>0</v>
      </c>
      <c r="AJ597" s="289">
        <v>0</v>
      </c>
    </row>
    <row r="598" spans="2:36">
      <c r="B598" s="290">
        <v>2111</v>
      </c>
      <c r="C598" s="294">
        <v>179047</v>
      </c>
      <c r="D598" s="290" t="s">
        <v>944</v>
      </c>
      <c r="E598" s="289" t="s">
        <v>512</v>
      </c>
      <c r="F598" s="290">
        <v>624</v>
      </c>
      <c r="G598" s="289"/>
      <c r="H598" s="289"/>
      <c r="I598" s="289"/>
      <c r="J598" s="289">
        <v>0</v>
      </c>
      <c r="K598" s="289" t="s">
        <v>2093</v>
      </c>
      <c r="L598" s="289"/>
      <c r="M598" s="289"/>
      <c r="N598" s="293">
        <v>42736</v>
      </c>
      <c r="O598" s="293">
        <v>42736</v>
      </c>
      <c r="P598" s="289" t="s">
        <v>2173</v>
      </c>
      <c r="Q598" s="290">
        <v>611</v>
      </c>
      <c r="R598" s="290">
        <v>14050</v>
      </c>
      <c r="S598" s="291">
        <v>31928.87</v>
      </c>
      <c r="T598" s="290">
        <v>14056</v>
      </c>
      <c r="U598" s="291">
        <v>25773.9</v>
      </c>
      <c r="V598" s="291">
        <f t="shared" si="9"/>
        <v>6154.9699999999975</v>
      </c>
      <c r="W598" s="292">
        <v>2692.8</v>
      </c>
      <c r="X598" s="290">
        <v>54260</v>
      </c>
      <c r="Y598" s="291">
        <v>384.69</v>
      </c>
      <c r="Z598" s="289" t="s">
        <v>944</v>
      </c>
      <c r="AA598" s="289"/>
      <c r="AB598" s="289">
        <v>65439255</v>
      </c>
      <c r="AC598" s="289"/>
      <c r="AD598" s="289" t="s">
        <v>1446</v>
      </c>
      <c r="AE598" s="289" t="s">
        <v>410</v>
      </c>
      <c r="AF598" s="290" t="s">
        <v>1447</v>
      </c>
      <c r="AG598" s="295">
        <v>42794</v>
      </c>
      <c r="AH598" s="290" t="s">
        <v>1448</v>
      </c>
      <c r="AI598" s="289">
        <v>0</v>
      </c>
      <c r="AJ598" s="289">
        <v>769.37</v>
      </c>
    </row>
    <row r="599" spans="2:36">
      <c r="B599" s="290">
        <v>2111</v>
      </c>
      <c r="C599" s="294">
        <v>178939</v>
      </c>
      <c r="D599" s="290" t="s">
        <v>944</v>
      </c>
      <c r="E599" s="289" t="s">
        <v>573</v>
      </c>
      <c r="F599" s="290"/>
      <c r="G599" s="289"/>
      <c r="H599" s="289"/>
      <c r="I599" s="289"/>
      <c r="J599" s="289">
        <v>0</v>
      </c>
      <c r="K599" s="289"/>
      <c r="L599" s="289"/>
      <c r="M599" s="289"/>
      <c r="N599" s="293">
        <v>42794</v>
      </c>
      <c r="O599" s="293">
        <v>42794</v>
      </c>
      <c r="P599" s="289" t="s">
        <v>2164</v>
      </c>
      <c r="Q599" s="290">
        <v>300</v>
      </c>
      <c r="R599" s="290">
        <v>14110</v>
      </c>
      <c r="S599" s="291">
        <v>435.41</v>
      </c>
      <c r="T599" s="290">
        <v>14116</v>
      </c>
      <c r="U599" s="291">
        <v>435.41</v>
      </c>
      <c r="V599" s="291">
        <f t="shared" si="9"/>
        <v>0</v>
      </c>
      <c r="W599" s="292">
        <v>0</v>
      </c>
      <c r="X599" s="290">
        <v>70260</v>
      </c>
      <c r="Y599" s="291">
        <v>0</v>
      </c>
      <c r="Z599" s="289" t="s">
        <v>944</v>
      </c>
      <c r="AA599" s="289"/>
      <c r="AB599" s="289" t="s">
        <v>2174</v>
      </c>
      <c r="AC599" s="289"/>
      <c r="AD599" s="289" t="s">
        <v>1446</v>
      </c>
      <c r="AE599" s="289" t="s">
        <v>410</v>
      </c>
      <c r="AF599" s="290" t="s">
        <v>1447</v>
      </c>
      <c r="AG599" s="289"/>
      <c r="AH599" s="290" t="s">
        <v>1448</v>
      </c>
      <c r="AI599" s="289">
        <v>0</v>
      </c>
      <c r="AJ599" s="289">
        <v>0</v>
      </c>
    </row>
    <row r="600" spans="2:36">
      <c r="B600" s="290">
        <v>2111</v>
      </c>
      <c r="C600" s="294">
        <v>178938</v>
      </c>
      <c r="D600" s="290" t="s">
        <v>944</v>
      </c>
      <c r="E600" s="289" t="s">
        <v>510</v>
      </c>
      <c r="F600" s="290"/>
      <c r="G600" s="289"/>
      <c r="H600" s="289" t="s">
        <v>2175</v>
      </c>
      <c r="I600" s="289"/>
      <c r="J600" s="289">
        <v>2017</v>
      </c>
      <c r="K600" s="289" t="s">
        <v>1483</v>
      </c>
      <c r="L600" s="289" t="s">
        <v>1522</v>
      </c>
      <c r="M600" s="289" t="s">
        <v>1495</v>
      </c>
      <c r="N600" s="293">
        <v>42795</v>
      </c>
      <c r="O600" s="293">
        <v>42795</v>
      </c>
      <c r="P600" s="289" t="s">
        <v>2176</v>
      </c>
      <c r="Q600" s="290">
        <v>1000</v>
      </c>
      <c r="R600" s="290">
        <v>14040</v>
      </c>
      <c r="S600" s="291">
        <v>329412.94</v>
      </c>
      <c r="T600" s="290">
        <v>14046</v>
      </c>
      <c r="U600" s="291">
        <v>178431.99</v>
      </c>
      <c r="V600" s="291">
        <f t="shared" si="9"/>
        <v>150980.95000000001</v>
      </c>
      <c r="W600" s="292">
        <v>19215.75</v>
      </c>
      <c r="X600" s="290">
        <v>51260</v>
      </c>
      <c r="Y600" s="291">
        <v>2745.1</v>
      </c>
      <c r="Z600" s="289" t="s">
        <v>944</v>
      </c>
      <c r="AA600" s="289"/>
      <c r="AB600" s="289">
        <v>3415949</v>
      </c>
      <c r="AC600" s="289">
        <v>839</v>
      </c>
      <c r="AD600" s="289" t="s">
        <v>1446</v>
      </c>
      <c r="AE600" s="289" t="s">
        <v>410</v>
      </c>
      <c r="AF600" s="290" t="s">
        <v>1447</v>
      </c>
      <c r="AG600" s="289"/>
      <c r="AH600" s="290" t="s">
        <v>1448</v>
      </c>
      <c r="AI600" s="289">
        <v>0</v>
      </c>
      <c r="AJ600" s="289">
        <v>0</v>
      </c>
    </row>
    <row r="601" spans="2:36">
      <c r="B601" s="290">
        <v>2111</v>
      </c>
      <c r="C601" s="294">
        <v>178937</v>
      </c>
      <c r="D601" s="290" t="s">
        <v>944</v>
      </c>
      <c r="E601" s="289" t="s">
        <v>510</v>
      </c>
      <c r="F601" s="290"/>
      <c r="G601" s="289"/>
      <c r="H601" s="289" t="s">
        <v>2177</v>
      </c>
      <c r="I601" s="289"/>
      <c r="J601" s="289">
        <v>2017</v>
      </c>
      <c r="K601" s="289" t="s">
        <v>1483</v>
      </c>
      <c r="L601" s="289" t="s">
        <v>1522</v>
      </c>
      <c r="M601" s="289" t="s">
        <v>1495</v>
      </c>
      <c r="N601" s="293">
        <v>42795</v>
      </c>
      <c r="O601" s="293">
        <v>42795</v>
      </c>
      <c r="P601" s="289" t="s">
        <v>2178</v>
      </c>
      <c r="Q601" s="290">
        <v>1000</v>
      </c>
      <c r="R601" s="290">
        <v>14040</v>
      </c>
      <c r="S601" s="291">
        <v>330469.13</v>
      </c>
      <c r="T601" s="290">
        <v>14046</v>
      </c>
      <c r="U601" s="291">
        <v>179004.1</v>
      </c>
      <c r="V601" s="291">
        <f t="shared" si="9"/>
        <v>151465.03</v>
      </c>
      <c r="W601" s="292">
        <v>19277.36</v>
      </c>
      <c r="X601" s="290">
        <v>51260</v>
      </c>
      <c r="Y601" s="291">
        <v>2753.9</v>
      </c>
      <c r="Z601" s="289" t="s">
        <v>944</v>
      </c>
      <c r="AA601" s="289"/>
      <c r="AB601" s="289">
        <v>3415951</v>
      </c>
      <c r="AC601" s="289">
        <v>849</v>
      </c>
      <c r="AD601" s="289" t="s">
        <v>1446</v>
      </c>
      <c r="AE601" s="289" t="s">
        <v>410</v>
      </c>
      <c r="AF601" s="290" t="s">
        <v>1447</v>
      </c>
      <c r="AG601" s="289"/>
      <c r="AH601" s="290" t="s">
        <v>1448</v>
      </c>
      <c r="AI601" s="289">
        <v>0</v>
      </c>
      <c r="AJ601" s="289">
        <v>0</v>
      </c>
    </row>
    <row r="602" spans="2:36">
      <c r="B602" s="290">
        <v>2111</v>
      </c>
      <c r="C602" s="294">
        <v>178936</v>
      </c>
      <c r="D602" s="290" t="s">
        <v>944</v>
      </c>
      <c r="E602" s="289" t="s">
        <v>510</v>
      </c>
      <c r="F602" s="290"/>
      <c r="G602" s="289"/>
      <c r="H602" s="289" t="s">
        <v>2179</v>
      </c>
      <c r="I602" s="289"/>
      <c r="J602" s="289">
        <v>2017</v>
      </c>
      <c r="K602" s="289" t="s">
        <v>1483</v>
      </c>
      <c r="L602" s="289" t="s">
        <v>1522</v>
      </c>
      <c r="M602" s="289" t="s">
        <v>1495</v>
      </c>
      <c r="N602" s="293">
        <v>42795</v>
      </c>
      <c r="O602" s="293">
        <v>42795</v>
      </c>
      <c r="P602" s="289" t="s">
        <v>2180</v>
      </c>
      <c r="Q602" s="290">
        <v>1000</v>
      </c>
      <c r="R602" s="290">
        <v>14040</v>
      </c>
      <c r="S602" s="291">
        <v>329574.24</v>
      </c>
      <c r="T602" s="290">
        <v>14046</v>
      </c>
      <c r="U602" s="291">
        <v>178519.36</v>
      </c>
      <c r="V602" s="291">
        <f t="shared" si="9"/>
        <v>151054.88</v>
      </c>
      <c r="W602" s="292">
        <v>19225.16</v>
      </c>
      <c r="X602" s="290">
        <v>51260</v>
      </c>
      <c r="Y602" s="291">
        <v>2746.45</v>
      </c>
      <c r="Z602" s="289" t="s">
        <v>944</v>
      </c>
      <c r="AA602" s="289"/>
      <c r="AB602" s="289">
        <v>3415955</v>
      </c>
      <c r="AC602" s="289">
        <v>842</v>
      </c>
      <c r="AD602" s="289" t="s">
        <v>1446</v>
      </c>
      <c r="AE602" s="289" t="s">
        <v>410</v>
      </c>
      <c r="AF602" s="290" t="s">
        <v>1447</v>
      </c>
      <c r="AG602" s="289"/>
      <c r="AH602" s="290" t="s">
        <v>1448</v>
      </c>
      <c r="AI602" s="289">
        <v>0</v>
      </c>
      <c r="AJ602" s="289">
        <v>0</v>
      </c>
    </row>
    <row r="603" spans="2:36">
      <c r="B603" s="290">
        <v>2111</v>
      </c>
      <c r="C603" s="294">
        <v>178935</v>
      </c>
      <c r="D603" s="290" t="s">
        <v>944</v>
      </c>
      <c r="E603" s="289" t="s">
        <v>510</v>
      </c>
      <c r="F603" s="290"/>
      <c r="G603" s="289"/>
      <c r="H603" s="289" t="s">
        <v>2181</v>
      </c>
      <c r="I603" s="289"/>
      <c r="J603" s="289">
        <v>2017</v>
      </c>
      <c r="K603" s="289" t="s">
        <v>1483</v>
      </c>
      <c r="L603" s="289" t="s">
        <v>1522</v>
      </c>
      <c r="M603" s="289" t="s">
        <v>1495</v>
      </c>
      <c r="N603" s="293">
        <v>42795</v>
      </c>
      <c r="O603" s="293">
        <v>42795</v>
      </c>
      <c r="P603" s="289" t="s">
        <v>2182</v>
      </c>
      <c r="Q603" s="290">
        <v>1000</v>
      </c>
      <c r="R603" s="290">
        <v>14040</v>
      </c>
      <c r="S603" s="291">
        <v>327597.21000000002</v>
      </c>
      <c r="T603" s="290">
        <v>14046</v>
      </c>
      <c r="U603" s="291">
        <v>177448.49</v>
      </c>
      <c r="V603" s="291">
        <f t="shared" si="9"/>
        <v>150148.72000000003</v>
      </c>
      <c r="W603" s="292">
        <v>19109.84</v>
      </c>
      <c r="X603" s="290">
        <v>51260</v>
      </c>
      <c r="Y603" s="291">
        <v>2729.98</v>
      </c>
      <c r="Z603" s="289" t="s">
        <v>944</v>
      </c>
      <c r="AA603" s="289"/>
      <c r="AB603" s="289">
        <v>3415953</v>
      </c>
      <c r="AC603" s="289">
        <v>840</v>
      </c>
      <c r="AD603" s="289" t="s">
        <v>1446</v>
      </c>
      <c r="AE603" s="289" t="s">
        <v>410</v>
      </c>
      <c r="AF603" s="290" t="s">
        <v>1447</v>
      </c>
      <c r="AG603" s="289"/>
      <c r="AH603" s="290" t="s">
        <v>1448</v>
      </c>
      <c r="AI603" s="289">
        <v>0</v>
      </c>
      <c r="AJ603" s="289">
        <v>0</v>
      </c>
    </row>
    <row r="604" spans="2:36">
      <c r="B604" s="290">
        <v>2111</v>
      </c>
      <c r="C604" s="294">
        <v>178934</v>
      </c>
      <c r="D604" s="290" t="s">
        <v>944</v>
      </c>
      <c r="E604" s="289" t="s">
        <v>510</v>
      </c>
      <c r="F604" s="290"/>
      <c r="G604" s="289"/>
      <c r="H604" s="289" t="s">
        <v>2183</v>
      </c>
      <c r="I604" s="289"/>
      <c r="J604" s="289">
        <v>2017</v>
      </c>
      <c r="K604" s="289" t="s">
        <v>1483</v>
      </c>
      <c r="L604" s="289" t="s">
        <v>1522</v>
      </c>
      <c r="M604" s="289" t="s">
        <v>1495</v>
      </c>
      <c r="N604" s="293">
        <v>42795</v>
      </c>
      <c r="O604" s="293">
        <v>42795</v>
      </c>
      <c r="P604" s="289" t="s">
        <v>2184</v>
      </c>
      <c r="Q604" s="290">
        <v>1000</v>
      </c>
      <c r="R604" s="290">
        <v>14040</v>
      </c>
      <c r="S604" s="291">
        <v>329869.31</v>
      </c>
      <c r="T604" s="290">
        <v>14046</v>
      </c>
      <c r="U604" s="291">
        <v>178679.21</v>
      </c>
      <c r="V604" s="291">
        <f t="shared" si="9"/>
        <v>151190.1</v>
      </c>
      <c r="W604" s="292">
        <v>19242.38</v>
      </c>
      <c r="X604" s="290">
        <v>51260</v>
      </c>
      <c r="Y604" s="291">
        <v>2748.91</v>
      </c>
      <c r="Z604" s="289" t="s">
        <v>944</v>
      </c>
      <c r="AA604" s="289"/>
      <c r="AB604" s="289">
        <v>3415954</v>
      </c>
      <c r="AC604" s="289">
        <v>844</v>
      </c>
      <c r="AD604" s="289" t="s">
        <v>1446</v>
      </c>
      <c r="AE604" s="289" t="s">
        <v>410</v>
      </c>
      <c r="AF604" s="290" t="s">
        <v>1447</v>
      </c>
      <c r="AG604" s="289"/>
      <c r="AH604" s="290" t="s">
        <v>1448</v>
      </c>
      <c r="AI604" s="289">
        <v>0</v>
      </c>
      <c r="AJ604" s="289">
        <v>0</v>
      </c>
    </row>
    <row r="605" spans="2:36">
      <c r="B605" s="290">
        <v>2111</v>
      </c>
      <c r="C605" s="294">
        <v>178933</v>
      </c>
      <c r="D605" s="290" t="s">
        <v>944</v>
      </c>
      <c r="E605" s="289" t="s">
        <v>510</v>
      </c>
      <c r="F605" s="290"/>
      <c r="G605" s="289"/>
      <c r="H605" s="289" t="s">
        <v>2185</v>
      </c>
      <c r="I605" s="289"/>
      <c r="J605" s="289">
        <v>2017</v>
      </c>
      <c r="K605" s="289" t="s">
        <v>1483</v>
      </c>
      <c r="L605" s="289" t="s">
        <v>1522</v>
      </c>
      <c r="M605" s="289" t="s">
        <v>1495</v>
      </c>
      <c r="N605" s="293">
        <v>42795</v>
      </c>
      <c r="O605" s="293">
        <v>42795</v>
      </c>
      <c r="P605" s="289" t="s">
        <v>2186</v>
      </c>
      <c r="Q605" s="290">
        <v>1000</v>
      </c>
      <c r="R605" s="290">
        <v>14040</v>
      </c>
      <c r="S605" s="291">
        <v>330173.56</v>
      </c>
      <c r="T605" s="290">
        <v>14046</v>
      </c>
      <c r="U605" s="291">
        <v>178844.03</v>
      </c>
      <c r="V605" s="291">
        <f t="shared" si="9"/>
        <v>151329.53</v>
      </c>
      <c r="W605" s="292">
        <v>19260.13</v>
      </c>
      <c r="X605" s="290">
        <v>51260</v>
      </c>
      <c r="Y605" s="291">
        <v>2751.45</v>
      </c>
      <c r="Z605" s="289" t="s">
        <v>944</v>
      </c>
      <c r="AA605" s="289"/>
      <c r="AB605" s="289">
        <v>3415950</v>
      </c>
      <c r="AC605" s="289">
        <v>841</v>
      </c>
      <c r="AD605" s="289" t="s">
        <v>1446</v>
      </c>
      <c r="AE605" s="289" t="s">
        <v>410</v>
      </c>
      <c r="AF605" s="290" t="s">
        <v>1447</v>
      </c>
      <c r="AG605" s="289"/>
      <c r="AH605" s="290" t="s">
        <v>1448</v>
      </c>
      <c r="AI605" s="289">
        <v>0</v>
      </c>
      <c r="AJ605" s="289">
        <v>0</v>
      </c>
    </row>
    <row r="606" spans="2:36">
      <c r="B606" s="290">
        <v>2111</v>
      </c>
      <c r="C606" s="294">
        <v>178932</v>
      </c>
      <c r="D606" s="290" t="s">
        <v>944</v>
      </c>
      <c r="E606" s="289" t="s">
        <v>510</v>
      </c>
      <c r="F606" s="290"/>
      <c r="G606" s="289"/>
      <c r="H606" s="289" t="s">
        <v>2187</v>
      </c>
      <c r="I606" s="289"/>
      <c r="J606" s="289">
        <v>2017</v>
      </c>
      <c r="K606" s="289" t="s">
        <v>1483</v>
      </c>
      <c r="L606" s="289" t="s">
        <v>1522</v>
      </c>
      <c r="M606" s="289" t="s">
        <v>1495</v>
      </c>
      <c r="N606" s="293">
        <v>42795</v>
      </c>
      <c r="O606" s="293">
        <v>42795</v>
      </c>
      <c r="P606" s="289" t="s">
        <v>2188</v>
      </c>
      <c r="Q606" s="290">
        <v>1000</v>
      </c>
      <c r="R606" s="290">
        <v>14040</v>
      </c>
      <c r="S606" s="291">
        <v>327489.68</v>
      </c>
      <c r="T606" s="290">
        <v>14046</v>
      </c>
      <c r="U606" s="291">
        <v>177390.26</v>
      </c>
      <c r="V606" s="291">
        <f t="shared" si="9"/>
        <v>150099.41999999998</v>
      </c>
      <c r="W606" s="292">
        <v>19103.57</v>
      </c>
      <c r="X606" s="290">
        <v>51260</v>
      </c>
      <c r="Y606" s="291">
        <v>2729.08</v>
      </c>
      <c r="Z606" s="289" t="s">
        <v>944</v>
      </c>
      <c r="AA606" s="289"/>
      <c r="AB606" s="289">
        <v>3415952</v>
      </c>
      <c r="AC606" s="289">
        <v>843</v>
      </c>
      <c r="AD606" s="289" t="s">
        <v>1446</v>
      </c>
      <c r="AE606" s="289" t="s">
        <v>410</v>
      </c>
      <c r="AF606" s="290" t="s">
        <v>1447</v>
      </c>
      <c r="AG606" s="289"/>
      <c r="AH606" s="290" t="s">
        <v>1448</v>
      </c>
      <c r="AI606" s="289">
        <v>0</v>
      </c>
      <c r="AJ606" s="289">
        <v>0</v>
      </c>
    </row>
    <row r="607" spans="2:36">
      <c r="B607" s="290">
        <v>2111</v>
      </c>
      <c r="C607" s="294">
        <v>178931</v>
      </c>
      <c r="D607" s="290" t="s">
        <v>944</v>
      </c>
      <c r="E607" s="289" t="s">
        <v>511</v>
      </c>
      <c r="F607" s="290"/>
      <c r="G607" s="289"/>
      <c r="H607" s="289" t="s">
        <v>2189</v>
      </c>
      <c r="I607" s="289"/>
      <c r="J607" s="289">
        <v>2017</v>
      </c>
      <c r="K607" s="289" t="s">
        <v>1483</v>
      </c>
      <c r="L607" s="289" t="s">
        <v>2190</v>
      </c>
      <c r="M607" s="289" t="s">
        <v>1746</v>
      </c>
      <c r="N607" s="293">
        <v>42795</v>
      </c>
      <c r="O607" s="293">
        <v>42795</v>
      </c>
      <c r="P607" s="289" t="s">
        <v>2191</v>
      </c>
      <c r="Q607" s="290">
        <v>1000</v>
      </c>
      <c r="R607" s="290">
        <v>14040</v>
      </c>
      <c r="S607" s="291">
        <v>173960.49</v>
      </c>
      <c r="T607" s="290">
        <v>14046</v>
      </c>
      <c r="U607" s="291">
        <v>94228.61</v>
      </c>
      <c r="V607" s="291">
        <f t="shared" si="9"/>
        <v>79731.87999999999</v>
      </c>
      <c r="W607" s="292">
        <v>10147.700000000001</v>
      </c>
      <c r="X607" s="290">
        <v>51260</v>
      </c>
      <c r="Y607" s="291">
        <v>1449.67</v>
      </c>
      <c r="Z607" s="289" t="s">
        <v>944</v>
      </c>
      <c r="AA607" s="289"/>
      <c r="AB607" s="289" t="s">
        <v>2192</v>
      </c>
      <c r="AC607" s="289">
        <v>304</v>
      </c>
      <c r="AD607" s="289" t="s">
        <v>1446</v>
      </c>
      <c r="AE607" s="289" t="s">
        <v>410</v>
      </c>
      <c r="AF607" s="290" t="s">
        <v>1447</v>
      </c>
      <c r="AG607" s="289"/>
      <c r="AH607" s="290" t="s">
        <v>1448</v>
      </c>
      <c r="AI607" s="289">
        <v>0</v>
      </c>
      <c r="AJ607" s="289">
        <v>0</v>
      </c>
    </row>
    <row r="608" spans="2:36">
      <c r="B608" s="290">
        <v>2111</v>
      </c>
      <c r="C608" s="294">
        <v>178930</v>
      </c>
      <c r="D608" s="290" t="s">
        <v>944</v>
      </c>
      <c r="E608" s="289" t="s">
        <v>510</v>
      </c>
      <c r="F608" s="290"/>
      <c r="G608" s="289"/>
      <c r="H608" s="289" t="s">
        <v>2193</v>
      </c>
      <c r="I608" s="289"/>
      <c r="J608" s="289">
        <v>2017</v>
      </c>
      <c r="K608" s="289" t="s">
        <v>1483</v>
      </c>
      <c r="L608" s="289" t="s">
        <v>1522</v>
      </c>
      <c r="M608" s="289" t="s">
        <v>1495</v>
      </c>
      <c r="N608" s="293">
        <v>42825</v>
      </c>
      <c r="O608" s="293">
        <v>42825</v>
      </c>
      <c r="P608" s="289" t="s">
        <v>2194</v>
      </c>
      <c r="Q608" s="290">
        <v>1000</v>
      </c>
      <c r="R608" s="290">
        <v>14040</v>
      </c>
      <c r="S608" s="291">
        <v>327150.13</v>
      </c>
      <c r="T608" s="290">
        <v>14046</v>
      </c>
      <c r="U608" s="291">
        <v>174480.06</v>
      </c>
      <c r="V608" s="291">
        <f t="shared" si="9"/>
        <v>152670.07</v>
      </c>
      <c r="W608" s="292">
        <v>19083.759999999998</v>
      </c>
      <c r="X608" s="290">
        <v>51260</v>
      </c>
      <c r="Y608" s="291">
        <v>2726.25</v>
      </c>
      <c r="Z608" s="289" t="s">
        <v>944</v>
      </c>
      <c r="AA608" s="289"/>
      <c r="AB608" s="289" t="s">
        <v>2195</v>
      </c>
      <c r="AC608" s="289">
        <v>846</v>
      </c>
      <c r="AD608" s="289" t="s">
        <v>1446</v>
      </c>
      <c r="AE608" s="289" t="s">
        <v>410</v>
      </c>
      <c r="AF608" s="290" t="s">
        <v>1447</v>
      </c>
      <c r="AG608" s="289"/>
      <c r="AH608" s="290" t="s">
        <v>1448</v>
      </c>
      <c r="AI608" s="289">
        <v>0</v>
      </c>
      <c r="AJ608" s="289">
        <v>0</v>
      </c>
    </row>
    <row r="609" spans="2:36">
      <c r="B609" s="290">
        <v>2111</v>
      </c>
      <c r="C609" s="294">
        <v>178929</v>
      </c>
      <c r="D609" s="290" t="s">
        <v>944</v>
      </c>
      <c r="E609" s="289" t="s">
        <v>510</v>
      </c>
      <c r="F609" s="290"/>
      <c r="G609" s="289"/>
      <c r="H609" s="289" t="s">
        <v>2196</v>
      </c>
      <c r="I609" s="289"/>
      <c r="J609" s="289">
        <v>2017</v>
      </c>
      <c r="K609" s="289" t="s">
        <v>1483</v>
      </c>
      <c r="L609" s="289" t="s">
        <v>1522</v>
      </c>
      <c r="M609" s="289" t="s">
        <v>1495</v>
      </c>
      <c r="N609" s="293">
        <v>42795</v>
      </c>
      <c r="O609" s="293">
        <v>42795</v>
      </c>
      <c r="P609" s="289" t="s">
        <v>2197</v>
      </c>
      <c r="Q609" s="290">
        <v>1000</v>
      </c>
      <c r="R609" s="290">
        <v>14040</v>
      </c>
      <c r="S609" s="291">
        <v>327150.13</v>
      </c>
      <c r="T609" s="290">
        <v>14046</v>
      </c>
      <c r="U609" s="291">
        <v>177206.31</v>
      </c>
      <c r="V609" s="291">
        <f t="shared" si="9"/>
        <v>149943.82</v>
      </c>
      <c r="W609" s="292">
        <v>19083.759999999998</v>
      </c>
      <c r="X609" s="290">
        <v>51260</v>
      </c>
      <c r="Y609" s="291">
        <v>2726.25</v>
      </c>
      <c r="Z609" s="289" t="s">
        <v>944</v>
      </c>
      <c r="AA609" s="289"/>
      <c r="AB609" s="289" t="s">
        <v>2198</v>
      </c>
      <c r="AC609" s="289">
        <v>847</v>
      </c>
      <c r="AD609" s="289" t="s">
        <v>1446</v>
      </c>
      <c r="AE609" s="289" t="s">
        <v>410</v>
      </c>
      <c r="AF609" s="290" t="s">
        <v>1447</v>
      </c>
      <c r="AG609" s="289"/>
      <c r="AH609" s="290" t="s">
        <v>1448</v>
      </c>
      <c r="AI609" s="289">
        <v>0</v>
      </c>
      <c r="AJ609" s="289">
        <v>0</v>
      </c>
    </row>
    <row r="610" spans="2:36">
      <c r="B610" s="290">
        <v>2111</v>
      </c>
      <c r="C610" s="294">
        <v>178928</v>
      </c>
      <c r="D610" s="290" t="s">
        <v>944</v>
      </c>
      <c r="E610" s="289" t="s">
        <v>510</v>
      </c>
      <c r="F610" s="290"/>
      <c r="G610" s="289"/>
      <c r="H610" s="289" t="s">
        <v>2199</v>
      </c>
      <c r="I610" s="289"/>
      <c r="J610" s="289">
        <v>2017</v>
      </c>
      <c r="K610" s="289" t="s">
        <v>1483</v>
      </c>
      <c r="L610" s="289" t="s">
        <v>1522</v>
      </c>
      <c r="M610" s="289" t="s">
        <v>1495</v>
      </c>
      <c r="N610" s="293">
        <v>42795</v>
      </c>
      <c r="O610" s="293">
        <v>42795</v>
      </c>
      <c r="P610" s="289" t="s">
        <v>2200</v>
      </c>
      <c r="Q610" s="290">
        <v>1000</v>
      </c>
      <c r="R610" s="290">
        <v>14040</v>
      </c>
      <c r="S610" s="291">
        <v>327150.13</v>
      </c>
      <c r="T610" s="290">
        <v>14046</v>
      </c>
      <c r="U610" s="291">
        <v>177206.31</v>
      </c>
      <c r="V610" s="291">
        <f t="shared" si="9"/>
        <v>149943.82</v>
      </c>
      <c r="W610" s="292">
        <v>19083.759999999998</v>
      </c>
      <c r="X610" s="290">
        <v>51260</v>
      </c>
      <c r="Y610" s="291">
        <v>2726.25</v>
      </c>
      <c r="Z610" s="289" t="s">
        <v>944</v>
      </c>
      <c r="AA610" s="289"/>
      <c r="AB610" s="289" t="s">
        <v>2201</v>
      </c>
      <c r="AC610" s="289">
        <v>845</v>
      </c>
      <c r="AD610" s="289" t="s">
        <v>1446</v>
      </c>
      <c r="AE610" s="289" t="s">
        <v>410</v>
      </c>
      <c r="AF610" s="290" t="s">
        <v>1447</v>
      </c>
      <c r="AG610" s="289"/>
      <c r="AH610" s="290" t="s">
        <v>1448</v>
      </c>
      <c r="AI610" s="289">
        <v>0</v>
      </c>
      <c r="AJ610" s="289">
        <v>0</v>
      </c>
    </row>
    <row r="611" spans="2:36">
      <c r="B611" s="290">
        <v>2111</v>
      </c>
      <c r="C611" s="294">
        <v>178927</v>
      </c>
      <c r="D611" s="290" t="s">
        <v>944</v>
      </c>
      <c r="E611" s="289" t="s">
        <v>510</v>
      </c>
      <c r="F611" s="290"/>
      <c r="G611" s="289"/>
      <c r="H611" s="289" t="s">
        <v>2202</v>
      </c>
      <c r="I611" s="289"/>
      <c r="J611" s="289">
        <v>2017</v>
      </c>
      <c r="K611" s="289" t="s">
        <v>1483</v>
      </c>
      <c r="L611" s="289" t="s">
        <v>1522</v>
      </c>
      <c r="M611" s="289" t="s">
        <v>1495</v>
      </c>
      <c r="N611" s="293">
        <v>42795</v>
      </c>
      <c r="O611" s="293">
        <v>42795</v>
      </c>
      <c r="P611" s="289" t="s">
        <v>2203</v>
      </c>
      <c r="Q611" s="290">
        <v>1000</v>
      </c>
      <c r="R611" s="290">
        <v>14040</v>
      </c>
      <c r="S611" s="291">
        <v>327150.14</v>
      </c>
      <c r="T611" s="290">
        <v>14046</v>
      </c>
      <c r="U611" s="291">
        <v>177206.31</v>
      </c>
      <c r="V611" s="291">
        <f t="shared" si="9"/>
        <v>149943.83000000002</v>
      </c>
      <c r="W611" s="292">
        <v>19083.759999999998</v>
      </c>
      <c r="X611" s="290">
        <v>51260</v>
      </c>
      <c r="Y611" s="291">
        <v>2726.25</v>
      </c>
      <c r="Z611" s="289" t="s">
        <v>944</v>
      </c>
      <c r="AA611" s="289"/>
      <c r="AB611" s="289" t="s">
        <v>2204</v>
      </c>
      <c r="AC611" s="289">
        <v>848</v>
      </c>
      <c r="AD611" s="289" t="s">
        <v>1446</v>
      </c>
      <c r="AE611" s="289" t="s">
        <v>410</v>
      </c>
      <c r="AF611" s="290" t="s">
        <v>1447</v>
      </c>
      <c r="AG611" s="289"/>
      <c r="AH611" s="290" t="s">
        <v>1448</v>
      </c>
      <c r="AI611" s="289">
        <v>0</v>
      </c>
      <c r="AJ611" s="289">
        <v>0</v>
      </c>
    </row>
    <row r="612" spans="2:36">
      <c r="B612" s="290">
        <v>2111</v>
      </c>
      <c r="C612" s="294">
        <v>177519</v>
      </c>
      <c r="D612" s="290">
        <v>171235</v>
      </c>
      <c r="E612" s="289" t="s">
        <v>555</v>
      </c>
      <c r="F612" s="290"/>
      <c r="G612" s="289"/>
      <c r="H612" s="289"/>
      <c r="I612" s="289"/>
      <c r="J612" s="289">
        <v>0</v>
      </c>
      <c r="K612" s="289" t="s">
        <v>2205</v>
      </c>
      <c r="L612" s="289" t="s">
        <v>2206</v>
      </c>
      <c r="M612" s="289" t="s">
        <v>1586</v>
      </c>
      <c r="N612" s="293">
        <v>42736</v>
      </c>
      <c r="O612" s="293">
        <v>42736</v>
      </c>
      <c r="P612" s="289" t="s">
        <v>2207</v>
      </c>
      <c r="Q612" s="290">
        <v>500</v>
      </c>
      <c r="R612" s="290">
        <v>14040</v>
      </c>
      <c r="S612" s="291">
        <v>9021.1200000000008</v>
      </c>
      <c r="T612" s="290">
        <v>14046</v>
      </c>
      <c r="U612" s="291">
        <v>9021.1200000000008</v>
      </c>
      <c r="V612" s="291">
        <f t="shared" si="9"/>
        <v>0</v>
      </c>
      <c r="W612" s="292">
        <v>0</v>
      </c>
      <c r="X612" s="290">
        <v>51260</v>
      </c>
      <c r="Y612" s="291">
        <v>0</v>
      </c>
      <c r="Z612" s="289" t="s">
        <v>944</v>
      </c>
      <c r="AA612" s="289"/>
      <c r="AB612" s="289" t="s">
        <v>2208</v>
      </c>
      <c r="AC612" s="289"/>
      <c r="AD612" s="289" t="s">
        <v>1446</v>
      </c>
      <c r="AE612" s="289" t="s">
        <v>410</v>
      </c>
      <c r="AF612" s="290" t="s">
        <v>1447</v>
      </c>
      <c r="AG612" s="289"/>
      <c r="AH612" s="290" t="s">
        <v>1448</v>
      </c>
      <c r="AI612" s="289">
        <v>0</v>
      </c>
      <c r="AJ612" s="289">
        <v>0</v>
      </c>
    </row>
    <row r="613" spans="2:36">
      <c r="B613" s="290">
        <v>2111</v>
      </c>
      <c r="C613" s="294">
        <v>174545</v>
      </c>
      <c r="D613" s="290" t="s">
        <v>944</v>
      </c>
      <c r="E613" s="289" t="s">
        <v>2209</v>
      </c>
      <c r="F613" s="290"/>
      <c r="G613" s="289"/>
      <c r="H613" s="289"/>
      <c r="I613" s="289"/>
      <c r="J613" s="289">
        <v>0</v>
      </c>
      <c r="K613" s="289" t="s">
        <v>1657</v>
      </c>
      <c r="L613" s="289"/>
      <c r="M613" s="289"/>
      <c r="N613" s="293">
        <v>42747</v>
      </c>
      <c r="O613" s="293">
        <v>42747</v>
      </c>
      <c r="P613" s="289" t="s">
        <v>2210</v>
      </c>
      <c r="Q613" s="290">
        <v>300</v>
      </c>
      <c r="R613" s="290">
        <v>14110</v>
      </c>
      <c r="S613" s="291">
        <v>1197.03</v>
      </c>
      <c r="T613" s="290">
        <v>14116</v>
      </c>
      <c r="U613" s="291">
        <v>1197.03</v>
      </c>
      <c r="V613" s="291">
        <f t="shared" si="9"/>
        <v>0</v>
      </c>
      <c r="W613" s="292">
        <v>0</v>
      </c>
      <c r="X613" s="290">
        <v>70260</v>
      </c>
      <c r="Y613" s="291">
        <v>0</v>
      </c>
      <c r="Z613" s="289" t="s">
        <v>944</v>
      </c>
      <c r="AA613" s="289"/>
      <c r="AB613" s="289" t="s">
        <v>2211</v>
      </c>
      <c r="AC613" s="289"/>
      <c r="AD613" s="289" t="s">
        <v>1446</v>
      </c>
      <c r="AE613" s="289" t="s">
        <v>410</v>
      </c>
      <c r="AF613" s="290" t="s">
        <v>1447</v>
      </c>
      <c r="AG613" s="289"/>
      <c r="AH613" s="290" t="s">
        <v>1448</v>
      </c>
      <c r="AI613" s="289">
        <v>0</v>
      </c>
      <c r="AJ613" s="289">
        <v>0</v>
      </c>
    </row>
    <row r="614" spans="2:36">
      <c r="B614" s="290">
        <v>2111</v>
      </c>
      <c r="C614" s="294">
        <v>173961</v>
      </c>
      <c r="D614" s="290" t="s">
        <v>944</v>
      </c>
      <c r="E614" s="289" t="s">
        <v>2212</v>
      </c>
      <c r="F614" s="290">
        <v>0</v>
      </c>
      <c r="G614" s="289"/>
      <c r="H614" s="289" t="s">
        <v>2213</v>
      </c>
      <c r="I614" s="289"/>
      <c r="J614" s="289">
        <v>2001</v>
      </c>
      <c r="K614" s="289" t="s">
        <v>2214</v>
      </c>
      <c r="L614" s="289" t="s">
        <v>2214</v>
      </c>
      <c r="M614" s="289" t="s">
        <v>1582</v>
      </c>
      <c r="N614" s="293">
        <v>39755</v>
      </c>
      <c r="O614" s="293">
        <v>39755</v>
      </c>
      <c r="P614" s="289"/>
      <c r="Q614" s="290">
        <v>300</v>
      </c>
      <c r="R614" s="290">
        <v>14040</v>
      </c>
      <c r="S614" s="291">
        <v>10000</v>
      </c>
      <c r="T614" s="290">
        <v>14046</v>
      </c>
      <c r="U614" s="291">
        <v>10000</v>
      </c>
      <c r="V614" s="291">
        <f t="shared" si="9"/>
        <v>0</v>
      </c>
      <c r="W614" s="292">
        <v>0</v>
      </c>
      <c r="X614" s="290">
        <v>51260</v>
      </c>
      <c r="Y614" s="291">
        <v>0</v>
      </c>
      <c r="Z614" s="289" t="s">
        <v>410</v>
      </c>
      <c r="AA614" s="289" t="s">
        <v>1828</v>
      </c>
      <c r="AB614" s="289"/>
      <c r="AC614" s="289">
        <v>8714</v>
      </c>
      <c r="AD614" s="289" t="s">
        <v>1446</v>
      </c>
      <c r="AE614" s="289" t="s">
        <v>410</v>
      </c>
      <c r="AF614" s="290" t="s">
        <v>1447</v>
      </c>
      <c r="AG614" s="295">
        <v>42735</v>
      </c>
      <c r="AH614" s="290" t="s">
        <v>1448</v>
      </c>
      <c r="AI614" s="289">
        <v>0</v>
      </c>
      <c r="AJ614" s="289">
        <v>10000</v>
      </c>
    </row>
    <row r="615" spans="2:36">
      <c r="B615" s="290">
        <v>2111</v>
      </c>
      <c r="C615" s="294">
        <v>173957</v>
      </c>
      <c r="D615" s="290" t="s">
        <v>944</v>
      </c>
      <c r="E615" s="289" t="s">
        <v>578</v>
      </c>
      <c r="F615" s="290">
        <v>0</v>
      </c>
      <c r="G615" s="289"/>
      <c r="H615" s="289" t="s">
        <v>2215</v>
      </c>
      <c r="I615" s="289"/>
      <c r="J615" s="289">
        <v>1973</v>
      </c>
      <c r="K615" s="289" t="s">
        <v>1954</v>
      </c>
      <c r="L615" s="289" t="s">
        <v>1954</v>
      </c>
      <c r="M615" s="289" t="s">
        <v>1582</v>
      </c>
      <c r="N615" s="293">
        <v>39755</v>
      </c>
      <c r="O615" s="293">
        <v>39755</v>
      </c>
      <c r="P615" s="289"/>
      <c r="Q615" s="290">
        <v>300</v>
      </c>
      <c r="R615" s="290">
        <v>14040</v>
      </c>
      <c r="S615" s="291">
        <v>1000</v>
      </c>
      <c r="T615" s="290">
        <v>14046</v>
      </c>
      <c r="U615" s="291">
        <v>1000</v>
      </c>
      <c r="V615" s="291">
        <f t="shared" si="9"/>
        <v>0</v>
      </c>
      <c r="W615" s="292">
        <v>0</v>
      </c>
      <c r="X615" s="290">
        <v>51260</v>
      </c>
      <c r="Y615" s="291">
        <v>0</v>
      </c>
      <c r="Z615" s="289" t="s">
        <v>410</v>
      </c>
      <c r="AA615" s="289" t="s">
        <v>1828</v>
      </c>
      <c r="AB615" s="289"/>
      <c r="AC615" s="289" t="s">
        <v>577</v>
      </c>
      <c r="AD615" s="289" t="s">
        <v>1446</v>
      </c>
      <c r="AE615" s="289" t="s">
        <v>410</v>
      </c>
      <c r="AF615" s="290" t="s">
        <v>1447</v>
      </c>
      <c r="AG615" s="295">
        <v>42735</v>
      </c>
      <c r="AH615" s="290" t="s">
        <v>1448</v>
      </c>
      <c r="AI615" s="289">
        <v>0</v>
      </c>
      <c r="AJ615" s="289">
        <v>1000</v>
      </c>
    </row>
    <row r="616" spans="2:36">
      <c r="B616" s="290">
        <v>2111</v>
      </c>
      <c r="C616" s="294">
        <v>173956</v>
      </c>
      <c r="D616" s="290" t="s">
        <v>944</v>
      </c>
      <c r="E616" s="289" t="s">
        <v>580</v>
      </c>
      <c r="F616" s="290">
        <v>0</v>
      </c>
      <c r="G616" s="289"/>
      <c r="H616" s="289" t="s">
        <v>2216</v>
      </c>
      <c r="I616" s="289"/>
      <c r="J616" s="289">
        <v>1991</v>
      </c>
      <c r="K616" s="289" t="s">
        <v>1954</v>
      </c>
      <c r="L616" s="289" t="s">
        <v>1954</v>
      </c>
      <c r="M616" s="289" t="s">
        <v>1582</v>
      </c>
      <c r="N616" s="293">
        <v>39755</v>
      </c>
      <c r="O616" s="293">
        <v>39755</v>
      </c>
      <c r="P616" s="289"/>
      <c r="Q616" s="290">
        <v>300</v>
      </c>
      <c r="R616" s="290">
        <v>14040</v>
      </c>
      <c r="S616" s="291">
        <v>2500</v>
      </c>
      <c r="T616" s="290">
        <v>14046</v>
      </c>
      <c r="U616" s="291">
        <v>2500</v>
      </c>
      <c r="V616" s="291">
        <f t="shared" si="9"/>
        <v>0</v>
      </c>
      <c r="W616" s="292">
        <v>0</v>
      </c>
      <c r="X616" s="290">
        <v>51260</v>
      </c>
      <c r="Y616" s="291">
        <v>0</v>
      </c>
      <c r="Z616" s="289" t="s">
        <v>410</v>
      </c>
      <c r="AA616" s="289" t="s">
        <v>1828</v>
      </c>
      <c r="AB616" s="289"/>
      <c r="AC616" s="289" t="s">
        <v>579</v>
      </c>
      <c r="AD616" s="289" t="s">
        <v>1446</v>
      </c>
      <c r="AE616" s="289" t="s">
        <v>410</v>
      </c>
      <c r="AF616" s="290" t="s">
        <v>1447</v>
      </c>
      <c r="AG616" s="295">
        <v>42735</v>
      </c>
      <c r="AH616" s="290" t="s">
        <v>1448</v>
      </c>
      <c r="AI616" s="289">
        <v>0</v>
      </c>
      <c r="AJ616" s="289">
        <v>2500</v>
      </c>
    </row>
    <row r="617" spans="2:36">
      <c r="B617" s="290">
        <v>2111</v>
      </c>
      <c r="C617" s="294">
        <v>173333</v>
      </c>
      <c r="D617" s="290"/>
      <c r="E617" s="289" t="s">
        <v>2217</v>
      </c>
      <c r="F617" s="290">
        <v>0</v>
      </c>
      <c r="G617" s="289"/>
      <c r="H617" s="289"/>
      <c r="I617" s="289"/>
      <c r="J617" s="289">
        <v>0</v>
      </c>
      <c r="K617" s="289"/>
      <c r="L617" s="289"/>
      <c r="M617" s="289"/>
      <c r="N617" s="293">
        <v>36160</v>
      </c>
      <c r="O617" s="293">
        <v>36160</v>
      </c>
      <c r="P617" s="289"/>
      <c r="Q617" s="290">
        <v>0</v>
      </c>
      <c r="R617" s="290">
        <v>15260</v>
      </c>
      <c r="S617" s="291">
        <v>15470</v>
      </c>
      <c r="T617" s="290">
        <v>15266</v>
      </c>
      <c r="U617" s="291">
        <v>1837.06</v>
      </c>
      <c r="V617" s="291">
        <f t="shared" si="9"/>
        <v>13632.94</v>
      </c>
      <c r="W617" s="292">
        <v>0</v>
      </c>
      <c r="X617" s="290">
        <v>70264</v>
      </c>
      <c r="Y617" s="291">
        <v>0</v>
      </c>
      <c r="Z617" s="289" t="s">
        <v>410</v>
      </c>
      <c r="AA617" s="289" t="s">
        <v>2218</v>
      </c>
      <c r="AB617" s="289"/>
      <c r="AC617" s="289"/>
      <c r="AD617" s="289" t="s">
        <v>1446</v>
      </c>
      <c r="AE617" s="289" t="s">
        <v>410</v>
      </c>
      <c r="AF617" s="290" t="s">
        <v>1660</v>
      </c>
      <c r="AG617" s="295">
        <v>42735</v>
      </c>
      <c r="AH617" s="290" t="s">
        <v>1448</v>
      </c>
      <c r="AI617" s="289">
        <v>0</v>
      </c>
      <c r="AJ617" s="289">
        <v>1837.06</v>
      </c>
    </row>
    <row r="618" spans="2:36">
      <c r="B618" s="290">
        <v>2111</v>
      </c>
      <c r="C618" s="294">
        <v>173332</v>
      </c>
      <c r="D618" s="290"/>
      <c r="E618" s="289" t="s">
        <v>2217</v>
      </c>
      <c r="F618" s="290">
        <v>0</v>
      </c>
      <c r="G618" s="289"/>
      <c r="H618" s="289"/>
      <c r="I618" s="289"/>
      <c r="J618" s="289">
        <v>0</v>
      </c>
      <c r="K618" s="289"/>
      <c r="L618" s="289"/>
      <c r="M618" s="289"/>
      <c r="N618" s="293">
        <v>36160</v>
      </c>
      <c r="O618" s="293">
        <v>36160</v>
      </c>
      <c r="P618" s="289"/>
      <c r="Q618" s="290">
        <v>4000</v>
      </c>
      <c r="R618" s="290">
        <v>15240</v>
      </c>
      <c r="S618" s="291">
        <v>25000</v>
      </c>
      <c r="T618" s="290">
        <v>15246</v>
      </c>
      <c r="U618" s="291">
        <v>14739.58</v>
      </c>
      <c r="V618" s="291">
        <f t="shared" si="9"/>
        <v>10260.42</v>
      </c>
      <c r="W618" s="292">
        <v>364.58</v>
      </c>
      <c r="X618" s="290">
        <v>70264</v>
      </c>
      <c r="Y618" s="291">
        <v>52.08</v>
      </c>
      <c r="Z618" s="289" t="s">
        <v>410</v>
      </c>
      <c r="AA618" s="289" t="s">
        <v>2218</v>
      </c>
      <c r="AB618" s="289"/>
      <c r="AC618" s="289"/>
      <c r="AD618" s="289" t="s">
        <v>1446</v>
      </c>
      <c r="AE618" s="289" t="s">
        <v>410</v>
      </c>
      <c r="AF618" s="290" t="s">
        <v>1447</v>
      </c>
      <c r="AG618" s="295">
        <v>42735</v>
      </c>
      <c r="AH618" s="290" t="s">
        <v>1448</v>
      </c>
      <c r="AI618" s="289">
        <v>0</v>
      </c>
      <c r="AJ618" s="289">
        <v>11250</v>
      </c>
    </row>
    <row r="619" spans="2:36">
      <c r="B619" s="290">
        <v>2111</v>
      </c>
      <c r="C619" s="294">
        <v>173331</v>
      </c>
      <c r="D619" s="290"/>
      <c r="E619" s="289" t="s">
        <v>2219</v>
      </c>
      <c r="F619" s="290">
        <v>0</v>
      </c>
      <c r="G619" s="289"/>
      <c r="H619" s="289"/>
      <c r="I619" s="289"/>
      <c r="J619" s="289">
        <v>0</v>
      </c>
      <c r="K619" s="289"/>
      <c r="L619" s="289"/>
      <c r="M619" s="289"/>
      <c r="N619" s="293">
        <v>31001</v>
      </c>
      <c r="O619" s="293">
        <v>31001</v>
      </c>
      <c r="P619" s="289"/>
      <c r="Q619" s="290">
        <v>500</v>
      </c>
      <c r="R619" s="290">
        <v>14100</v>
      </c>
      <c r="S619" s="291">
        <v>197.1</v>
      </c>
      <c r="T619" s="290">
        <v>14106</v>
      </c>
      <c r="U619" s="291">
        <v>197.1</v>
      </c>
      <c r="V619" s="291">
        <f t="shared" si="9"/>
        <v>0</v>
      </c>
      <c r="W619" s="292">
        <v>0</v>
      </c>
      <c r="X619" s="290">
        <v>70257</v>
      </c>
      <c r="Y619" s="291">
        <v>0</v>
      </c>
      <c r="Z619" s="289" t="s">
        <v>410</v>
      </c>
      <c r="AA619" s="289" t="s">
        <v>2218</v>
      </c>
      <c r="AB619" s="289"/>
      <c r="AC619" s="289"/>
      <c r="AD619" s="289" t="s">
        <v>1446</v>
      </c>
      <c r="AE619" s="289" t="s">
        <v>410</v>
      </c>
      <c r="AF619" s="290" t="s">
        <v>1447</v>
      </c>
      <c r="AG619" s="295">
        <v>42735</v>
      </c>
      <c r="AH619" s="290" t="s">
        <v>1448</v>
      </c>
      <c r="AI619" s="289">
        <v>0</v>
      </c>
      <c r="AJ619" s="289">
        <v>197.1</v>
      </c>
    </row>
    <row r="620" spans="2:36">
      <c r="B620" s="290">
        <v>2111</v>
      </c>
      <c r="C620" s="294">
        <v>173330</v>
      </c>
      <c r="D620" s="290"/>
      <c r="E620" s="289" t="s">
        <v>2220</v>
      </c>
      <c r="F620" s="290">
        <v>0</v>
      </c>
      <c r="G620" s="289"/>
      <c r="H620" s="289"/>
      <c r="I620" s="289"/>
      <c r="J620" s="289">
        <v>0</v>
      </c>
      <c r="K620" s="289"/>
      <c r="L620" s="289"/>
      <c r="M620" s="289"/>
      <c r="N620" s="293">
        <v>34148</v>
      </c>
      <c r="O620" s="293">
        <v>30495</v>
      </c>
      <c r="P620" s="289"/>
      <c r="Q620" s="290">
        <v>500</v>
      </c>
      <c r="R620" s="290">
        <v>14100</v>
      </c>
      <c r="S620" s="291">
        <v>400</v>
      </c>
      <c r="T620" s="290">
        <v>14106</v>
      </c>
      <c r="U620" s="291">
        <v>400</v>
      </c>
      <c r="V620" s="291">
        <f t="shared" si="9"/>
        <v>0</v>
      </c>
      <c r="W620" s="292">
        <v>0</v>
      </c>
      <c r="X620" s="290">
        <v>70257</v>
      </c>
      <c r="Y620" s="291">
        <v>0</v>
      </c>
      <c r="Z620" s="289" t="s">
        <v>410</v>
      </c>
      <c r="AA620" s="289" t="s">
        <v>2218</v>
      </c>
      <c r="AB620" s="289"/>
      <c r="AC620" s="289"/>
      <c r="AD620" s="289" t="s">
        <v>1446</v>
      </c>
      <c r="AE620" s="289" t="s">
        <v>410</v>
      </c>
      <c r="AF620" s="290" t="s">
        <v>1447</v>
      </c>
      <c r="AG620" s="295">
        <v>42735</v>
      </c>
      <c r="AH620" s="290" t="s">
        <v>1448</v>
      </c>
      <c r="AI620" s="289">
        <v>0</v>
      </c>
      <c r="AJ620" s="289">
        <v>400</v>
      </c>
    </row>
    <row r="621" spans="2:36">
      <c r="B621" s="290">
        <v>2111</v>
      </c>
      <c r="C621" s="294">
        <v>173328</v>
      </c>
      <c r="D621" s="290" t="s">
        <v>944</v>
      </c>
      <c r="E621" s="289" t="s">
        <v>2221</v>
      </c>
      <c r="F621" s="290">
        <v>702</v>
      </c>
      <c r="G621" s="289"/>
      <c r="H621" s="289"/>
      <c r="I621" s="289"/>
      <c r="J621" s="289">
        <v>0</v>
      </c>
      <c r="K621" s="289" t="s">
        <v>2222</v>
      </c>
      <c r="L621" s="289"/>
      <c r="M621" s="289"/>
      <c r="N621" s="293">
        <v>42704</v>
      </c>
      <c r="O621" s="293">
        <v>42704</v>
      </c>
      <c r="P621" s="289" t="s">
        <v>2223</v>
      </c>
      <c r="Q621" s="290">
        <v>700</v>
      </c>
      <c r="R621" s="290">
        <v>14050</v>
      </c>
      <c r="S621" s="291">
        <v>35858.480000000003</v>
      </c>
      <c r="T621" s="290">
        <v>14056</v>
      </c>
      <c r="U621" s="291">
        <v>29028.3</v>
      </c>
      <c r="V621" s="291">
        <f t="shared" si="9"/>
        <v>6830.1800000000039</v>
      </c>
      <c r="W621" s="292">
        <v>2988.21</v>
      </c>
      <c r="X621" s="290">
        <v>54260</v>
      </c>
      <c r="Y621" s="291">
        <v>426.89</v>
      </c>
      <c r="Z621" s="289" t="s">
        <v>944</v>
      </c>
      <c r="AA621" s="289"/>
      <c r="AB621" s="289" t="s">
        <v>2224</v>
      </c>
      <c r="AC621" s="289"/>
      <c r="AD621" s="289" t="s">
        <v>1446</v>
      </c>
      <c r="AE621" s="289" t="s">
        <v>410</v>
      </c>
      <c r="AF621" s="290" t="s">
        <v>1447</v>
      </c>
      <c r="AG621" s="295">
        <v>42735</v>
      </c>
      <c r="AH621" s="290" t="s">
        <v>1448</v>
      </c>
      <c r="AI621" s="289">
        <v>0</v>
      </c>
      <c r="AJ621" s="289">
        <v>426.89</v>
      </c>
    </row>
    <row r="622" spans="2:36">
      <c r="B622" s="290">
        <v>2111</v>
      </c>
      <c r="C622" s="294">
        <v>173327</v>
      </c>
      <c r="D622" s="290" t="s">
        <v>944</v>
      </c>
      <c r="E622" s="289" t="s">
        <v>514</v>
      </c>
      <c r="F622" s="290">
        <v>702</v>
      </c>
      <c r="G622" s="289"/>
      <c r="H622" s="289"/>
      <c r="I622" s="289"/>
      <c r="J622" s="289">
        <v>0</v>
      </c>
      <c r="K622" s="289" t="s">
        <v>2225</v>
      </c>
      <c r="L622" s="289"/>
      <c r="M622" s="289"/>
      <c r="N622" s="293">
        <v>42626</v>
      </c>
      <c r="O622" s="293">
        <v>42626</v>
      </c>
      <c r="P622" s="289" t="s">
        <v>2226</v>
      </c>
      <c r="Q622" s="290">
        <v>700</v>
      </c>
      <c r="R622" s="290">
        <v>14050</v>
      </c>
      <c r="S622" s="291">
        <v>35858.47</v>
      </c>
      <c r="T622" s="290">
        <v>14056</v>
      </c>
      <c r="U622" s="291">
        <v>30308.959999999999</v>
      </c>
      <c r="V622" s="291">
        <f t="shared" si="9"/>
        <v>5549.510000000002</v>
      </c>
      <c r="W622" s="292">
        <v>2988.21</v>
      </c>
      <c r="X622" s="290">
        <v>54260</v>
      </c>
      <c r="Y622" s="291">
        <v>426.89</v>
      </c>
      <c r="Z622" s="289" t="s">
        <v>944</v>
      </c>
      <c r="AA622" s="289"/>
      <c r="AB622" s="289" t="s">
        <v>2227</v>
      </c>
      <c r="AC622" s="289"/>
      <c r="AD622" s="289" t="s">
        <v>1446</v>
      </c>
      <c r="AE622" s="289" t="s">
        <v>410</v>
      </c>
      <c r="AF622" s="290" t="s">
        <v>1447</v>
      </c>
      <c r="AG622" s="295">
        <v>42735</v>
      </c>
      <c r="AH622" s="290" t="s">
        <v>1448</v>
      </c>
      <c r="AI622" s="289">
        <v>0</v>
      </c>
      <c r="AJ622" s="289">
        <v>1707.55</v>
      </c>
    </row>
    <row r="623" spans="2:36">
      <c r="B623" s="290">
        <v>2111</v>
      </c>
      <c r="C623" s="294">
        <v>173326</v>
      </c>
      <c r="D623" s="290">
        <v>167642</v>
      </c>
      <c r="E623" s="289" t="s">
        <v>2228</v>
      </c>
      <c r="F623" s="290">
        <v>0</v>
      </c>
      <c r="G623" s="289"/>
      <c r="H623" s="289"/>
      <c r="I623" s="289"/>
      <c r="J623" s="289">
        <v>0</v>
      </c>
      <c r="K623" s="289"/>
      <c r="L623" s="289"/>
      <c r="M623" s="289" t="s">
        <v>1495</v>
      </c>
      <c r="N623" s="293">
        <v>40353</v>
      </c>
      <c r="O623" s="293">
        <v>40353</v>
      </c>
      <c r="P623" s="289" t="s">
        <v>2229</v>
      </c>
      <c r="Q623" s="290">
        <v>1000</v>
      </c>
      <c r="R623" s="290">
        <v>14040</v>
      </c>
      <c r="S623" s="291">
        <v>1916.25</v>
      </c>
      <c r="T623" s="290">
        <v>14046</v>
      </c>
      <c r="U623" s="291">
        <v>1916.25</v>
      </c>
      <c r="V623" s="291">
        <f t="shared" si="9"/>
        <v>0</v>
      </c>
      <c r="W623" s="292">
        <v>0</v>
      </c>
      <c r="X623" s="290">
        <v>51260</v>
      </c>
      <c r="Y623" s="291">
        <v>0</v>
      </c>
      <c r="Z623" s="289" t="s">
        <v>944</v>
      </c>
      <c r="AA623" s="289"/>
      <c r="AB623" s="289" t="s">
        <v>2230</v>
      </c>
      <c r="AC623" s="289"/>
      <c r="AD623" s="289" t="s">
        <v>1446</v>
      </c>
      <c r="AE623" s="289" t="s">
        <v>410</v>
      </c>
      <c r="AF623" s="290" t="s">
        <v>1447</v>
      </c>
      <c r="AG623" s="295">
        <v>42735</v>
      </c>
      <c r="AH623" s="290" t="s">
        <v>1448</v>
      </c>
      <c r="AI623" s="289">
        <v>0</v>
      </c>
      <c r="AJ623" s="289">
        <v>1245.5899999999999</v>
      </c>
    </row>
    <row r="624" spans="2:36">
      <c r="B624" s="290">
        <v>2111</v>
      </c>
      <c r="C624" s="294">
        <v>173325</v>
      </c>
      <c r="D624" s="290">
        <v>167642</v>
      </c>
      <c r="E624" s="289" t="s">
        <v>2231</v>
      </c>
      <c r="F624" s="290">
        <v>0</v>
      </c>
      <c r="G624" s="289"/>
      <c r="H624" s="289"/>
      <c r="I624" s="289"/>
      <c r="J624" s="289">
        <v>0</v>
      </c>
      <c r="K624" s="289" t="s">
        <v>1483</v>
      </c>
      <c r="L624" s="289"/>
      <c r="M624" s="289" t="s">
        <v>1495</v>
      </c>
      <c r="N624" s="293">
        <v>40353</v>
      </c>
      <c r="O624" s="293">
        <v>40353</v>
      </c>
      <c r="P624" s="289" t="s">
        <v>2229</v>
      </c>
      <c r="Q624" s="290">
        <v>1000</v>
      </c>
      <c r="R624" s="290">
        <v>14040</v>
      </c>
      <c r="S624" s="291">
        <v>137.06</v>
      </c>
      <c r="T624" s="290">
        <v>14046</v>
      </c>
      <c r="U624" s="291">
        <v>137.06</v>
      </c>
      <c r="V624" s="291">
        <f t="shared" si="9"/>
        <v>0</v>
      </c>
      <c r="W624" s="292">
        <v>0</v>
      </c>
      <c r="X624" s="290">
        <v>51260</v>
      </c>
      <c r="Y624" s="291">
        <v>0</v>
      </c>
      <c r="Z624" s="289" t="s">
        <v>944</v>
      </c>
      <c r="AA624" s="289"/>
      <c r="AB624" s="289" t="s">
        <v>2232</v>
      </c>
      <c r="AC624" s="289"/>
      <c r="AD624" s="289" t="s">
        <v>1446</v>
      </c>
      <c r="AE624" s="289" t="s">
        <v>410</v>
      </c>
      <c r="AF624" s="290" t="s">
        <v>1447</v>
      </c>
      <c r="AG624" s="295">
        <v>42735</v>
      </c>
      <c r="AH624" s="290" t="s">
        <v>1448</v>
      </c>
      <c r="AI624" s="289">
        <v>0</v>
      </c>
      <c r="AJ624" s="289">
        <v>89.03</v>
      </c>
    </row>
    <row r="625" spans="2:36">
      <c r="B625" s="290">
        <v>2111</v>
      </c>
      <c r="C625" s="294">
        <v>173324</v>
      </c>
      <c r="D625" s="290">
        <v>167642</v>
      </c>
      <c r="E625" s="289" t="s">
        <v>2233</v>
      </c>
      <c r="F625" s="290">
        <v>0</v>
      </c>
      <c r="G625" s="289"/>
      <c r="H625" s="289" t="s">
        <v>2234</v>
      </c>
      <c r="I625" s="289"/>
      <c r="J625" s="289">
        <v>2010</v>
      </c>
      <c r="K625" s="289" t="s">
        <v>1483</v>
      </c>
      <c r="L625" s="289"/>
      <c r="M625" s="289" t="s">
        <v>1467</v>
      </c>
      <c r="N625" s="293">
        <v>40353</v>
      </c>
      <c r="O625" s="293">
        <v>40353</v>
      </c>
      <c r="P625" s="289" t="s">
        <v>2229</v>
      </c>
      <c r="Q625" s="290">
        <v>1000</v>
      </c>
      <c r="R625" s="290">
        <v>14040</v>
      </c>
      <c r="S625" s="291">
        <v>133793.45000000001</v>
      </c>
      <c r="T625" s="290">
        <v>14046</v>
      </c>
      <c r="U625" s="291">
        <v>133793.45000000001</v>
      </c>
      <c r="V625" s="291">
        <f t="shared" si="9"/>
        <v>0</v>
      </c>
      <c r="W625" s="292">
        <v>0</v>
      </c>
      <c r="X625" s="290">
        <v>51260</v>
      </c>
      <c r="Y625" s="291">
        <v>0</v>
      </c>
      <c r="Z625" s="289" t="s">
        <v>944</v>
      </c>
      <c r="AA625" s="289"/>
      <c r="AB625" s="289" t="s">
        <v>2235</v>
      </c>
      <c r="AC625" s="289"/>
      <c r="AD625" s="289" t="s">
        <v>1446</v>
      </c>
      <c r="AE625" s="289" t="s">
        <v>410</v>
      </c>
      <c r="AF625" s="290" t="s">
        <v>1447</v>
      </c>
      <c r="AG625" s="295">
        <v>42735</v>
      </c>
      <c r="AH625" s="290" t="s">
        <v>1448</v>
      </c>
      <c r="AI625" s="289">
        <v>0</v>
      </c>
      <c r="AJ625" s="289">
        <v>86965.759999999995</v>
      </c>
    </row>
    <row r="626" spans="2:36">
      <c r="B626" s="290">
        <v>2111</v>
      </c>
      <c r="C626" s="294">
        <v>173323</v>
      </c>
      <c r="D626" s="290" t="s">
        <v>944</v>
      </c>
      <c r="E626" s="289" t="s">
        <v>2236</v>
      </c>
      <c r="F626" s="290">
        <v>0</v>
      </c>
      <c r="G626" s="289"/>
      <c r="H626" s="289" t="s">
        <v>2234</v>
      </c>
      <c r="I626" s="289"/>
      <c r="J626" s="289">
        <v>2010</v>
      </c>
      <c r="K626" s="289" t="s">
        <v>1655</v>
      </c>
      <c r="L626" s="289" t="s">
        <v>2190</v>
      </c>
      <c r="M626" s="289" t="s">
        <v>1495</v>
      </c>
      <c r="N626" s="293">
        <v>40353</v>
      </c>
      <c r="O626" s="293">
        <v>40353</v>
      </c>
      <c r="P626" s="289" t="s">
        <v>2229</v>
      </c>
      <c r="Q626" s="290">
        <v>1000</v>
      </c>
      <c r="R626" s="290">
        <v>14040</v>
      </c>
      <c r="S626" s="291">
        <v>138066.26</v>
      </c>
      <c r="T626" s="290">
        <v>14046</v>
      </c>
      <c r="U626" s="291">
        <v>138066.26</v>
      </c>
      <c r="V626" s="291">
        <f t="shared" si="9"/>
        <v>0</v>
      </c>
      <c r="W626" s="292">
        <v>0</v>
      </c>
      <c r="X626" s="290">
        <v>51260</v>
      </c>
      <c r="Y626" s="291">
        <v>0</v>
      </c>
      <c r="Z626" s="289" t="s">
        <v>944</v>
      </c>
      <c r="AA626" s="289"/>
      <c r="AB626" s="289" t="s">
        <v>2237</v>
      </c>
      <c r="AC626" s="289">
        <v>818</v>
      </c>
      <c r="AD626" s="289" t="s">
        <v>1446</v>
      </c>
      <c r="AE626" s="289" t="s">
        <v>410</v>
      </c>
      <c r="AF626" s="290" t="s">
        <v>1447</v>
      </c>
      <c r="AG626" s="295">
        <v>42735</v>
      </c>
      <c r="AH626" s="290" t="s">
        <v>1448</v>
      </c>
      <c r="AI626" s="289">
        <v>0</v>
      </c>
      <c r="AJ626" s="289">
        <v>89743.09</v>
      </c>
    </row>
    <row r="627" spans="2:36">
      <c r="B627" s="290">
        <v>2111</v>
      </c>
      <c r="C627" s="294">
        <v>173322</v>
      </c>
      <c r="D627" s="290" t="s">
        <v>944</v>
      </c>
      <c r="E627" s="289" t="s">
        <v>2238</v>
      </c>
      <c r="F627" s="290"/>
      <c r="G627" s="289"/>
      <c r="H627" s="289" t="s">
        <v>2239</v>
      </c>
      <c r="I627" s="289"/>
      <c r="J627" s="289">
        <v>2017</v>
      </c>
      <c r="K627" s="289"/>
      <c r="L627" s="289"/>
      <c r="M627" s="289" t="s">
        <v>1907</v>
      </c>
      <c r="N627" s="293">
        <v>42612</v>
      </c>
      <c r="O627" s="293">
        <v>42612</v>
      </c>
      <c r="P627" s="289" t="s">
        <v>2240</v>
      </c>
      <c r="Q627" s="290">
        <v>1000</v>
      </c>
      <c r="R627" s="290">
        <v>14040</v>
      </c>
      <c r="S627" s="291">
        <v>222553.29</v>
      </c>
      <c r="T627" s="290">
        <v>14046</v>
      </c>
      <c r="U627" s="291">
        <v>131677.37</v>
      </c>
      <c r="V627" s="291">
        <f t="shared" si="9"/>
        <v>90875.920000000013</v>
      </c>
      <c r="W627" s="292">
        <v>12982.28</v>
      </c>
      <c r="X627" s="290">
        <v>51260</v>
      </c>
      <c r="Y627" s="291">
        <v>1854.61</v>
      </c>
      <c r="Z627" s="289" t="s">
        <v>944</v>
      </c>
      <c r="AA627" s="289"/>
      <c r="AB627" s="289" t="s">
        <v>2241</v>
      </c>
      <c r="AC627" s="289">
        <v>426</v>
      </c>
      <c r="AD627" s="289" t="s">
        <v>1446</v>
      </c>
      <c r="AE627" s="289" t="s">
        <v>410</v>
      </c>
      <c r="AF627" s="290" t="s">
        <v>1447</v>
      </c>
      <c r="AG627" s="295">
        <v>42735</v>
      </c>
      <c r="AH627" s="290" t="s">
        <v>1448</v>
      </c>
      <c r="AI627" s="289">
        <v>0</v>
      </c>
      <c r="AJ627" s="289">
        <v>7418.44</v>
      </c>
    </row>
    <row r="628" spans="2:36">
      <c r="B628" s="290">
        <v>2111</v>
      </c>
      <c r="C628" s="294">
        <v>173321</v>
      </c>
      <c r="D628" s="290">
        <v>22369</v>
      </c>
      <c r="E628" s="289" t="s">
        <v>444</v>
      </c>
      <c r="F628" s="290"/>
      <c r="G628" s="289"/>
      <c r="H628" s="289"/>
      <c r="I628" s="289"/>
      <c r="J628" s="289">
        <v>0</v>
      </c>
      <c r="K628" s="289" t="s">
        <v>2242</v>
      </c>
      <c r="L628" s="289"/>
      <c r="M628" s="289" t="s">
        <v>1586</v>
      </c>
      <c r="N628" s="293">
        <v>42528</v>
      </c>
      <c r="O628" s="293">
        <v>42528</v>
      </c>
      <c r="P628" s="289" t="s">
        <v>2243</v>
      </c>
      <c r="Q628" s="290">
        <v>300</v>
      </c>
      <c r="R628" s="290">
        <v>14040</v>
      </c>
      <c r="S628" s="291">
        <v>20959</v>
      </c>
      <c r="T628" s="290">
        <v>14046</v>
      </c>
      <c r="U628" s="291">
        <v>20959</v>
      </c>
      <c r="V628" s="291">
        <f t="shared" si="9"/>
        <v>0</v>
      </c>
      <c r="W628" s="292">
        <v>0</v>
      </c>
      <c r="X628" s="290">
        <v>51260</v>
      </c>
      <c r="Y628" s="291">
        <v>0</v>
      </c>
      <c r="Z628" s="289" t="s">
        <v>944</v>
      </c>
      <c r="AA628" s="289"/>
      <c r="AB628" s="289">
        <v>137020</v>
      </c>
      <c r="AC628" s="289"/>
      <c r="AD628" s="289" t="s">
        <v>1446</v>
      </c>
      <c r="AE628" s="289" t="s">
        <v>410</v>
      </c>
      <c r="AF628" s="290" t="s">
        <v>1447</v>
      </c>
      <c r="AG628" s="295">
        <v>42735</v>
      </c>
      <c r="AH628" s="290" t="s">
        <v>1448</v>
      </c>
      <c r="AI628" s="289">
        <v>0</v>
      </c>
      <c r="AJ628" s="289">
        <v>4075.36</v>
      </c>
    </row>
    <row r="629" spans="2:36">
      <c r="B629" s="290">
        <v>2111</v>
      </c>
      <c r="C629" s="294">
        <v>173320</v>
      </c>
      <c r="D629" s="290" t="s">
        <v>944</v>
      </c>
      <c r="E629" s="289" t="s">
        <v>2244</v>
      </c>
      <c r="F629" s="290">
        <v>324</v>
      </c>
      <c r="G629" s="289"/>
      <c r="H629" s="289"/>
      <c r="I629" s="289"/>
      <c r="J629" s="289">
        <v>0</v>
      </c>
      <c r="K629" s="289" t="s">
        <v>2245</v>
      </c>
      <c r="L629" s="289"/>
      <c r="M629" s="289"/>
      <c r="N629" s="293">
        <v>42464</v>
      </c>
      <c r="O629" s="293">
        <v>42464</v>
      </c>
      <c r="P629" s="289" t="s">
        <v>2246</v>
      </c>
      <c r="Q629" s="290">
        <v>700</v>
      </c>
      <c r="R629" s="290">
        <v>14050</v>
      </c>
      <c r="S629" s="291">
        <v>12863.21</v>
      </c>
      <c r="T629" s="290">
        <v>14056</v>
      </c>
      <c r="U629" s="291">
        <v>11638.13</v>
      </c>
      <c r="V629" s="291">
        <f t="shared" si="9"/>
        <v>1225.08</v>
      </c>
      <c r="W629" s="292">
        <v>1071.93</v>
      </c>
      <c r="X629" s="290">
        <v>54260</v>
      </c>
      <c r="Y629" s="291">
        <v>153.13</v>
      </c>
      <c r="Z629" s="289" t="s">
        <v>944</v>
      </c>
      <c r="AA629" s="289"/>
      <c r="AB629" s="289" t="s">
        <v>2247</v>
      </c>
      <c r="AC629" s="289"/>
      <c r="AD629" s="289" t="s">
        <v>1446</v>
      </c>
      <c r="AE629" s="289" t="s">
        <v>410</v>
      </c>
      <c r="AF629" s="290" t="s">
        <v>1447</v>
      </c>
      <c r="AG629" s="295">
        <v>42735</v>
      </c>
      <c r="AH629" s="290" t="s">
        <v>1448</v>
      </c>
      <c r="AI629" s="289">
        <v>0</v>
      </c>
      <c r="AJ629" s="289">
        <v>1378.2</v>
      </c>
    </row>
    <row r="630" spans="2:36">
      <c r="B630" s="290">
        <v>2111</v>
      </c>
      <c r="C630" s="294">
        <v>173319</v>
      </c>
      <c r="D630" s="290" t="s">
        <v>944</v>
      </c>
      <c r="E630" s="289" t="s">
        <v>2221</v>
      </c>
      <c r="F630" s="290">
        <v>1053</v>
      </c>
      <c r="G630" s="289"/>
      <c r="H630" s="289"/>
      <c r="I630" s="289"/>
      <c r="J630" s="289">
        <v>0</v>
      </c>
      <c r="K630" s="289" t="s">
        <v>2245</v>
      </c>
      <c r="L630" s="289"/>
      <c r="M630" s="289"/>
      <c r="N630" s="293">
        <v>42464</v>
      </c>
      <c r="O630" s="293">
        <v>42464</v>
      </c>
      <c r="P630" s="289" t="s">
        <v>2246</v>
      </c>
      <c r="Q630" s="290">
        <v>700</v>
      </c>
      <c r="R630" s="290">
        <v>14050</v>
      </c>
      <c r="S630" s="291">
        <v>53440.33</v>
      </c>
      <c r="T630" s="290">
        <v>14056</v>
      </c>
      <c r="U630" s="291">
        <v>48350.76</v>
      </c>
      <c r="V630" s="291">
        <f t="shared" si="9"/>
        <v>5089.57</v>
      </c>
      <c r="W630" s="292">
        <v>4453.3599999999997</v>
      </c>
      <c r="X630" s="290">
        <v>54260</v>
      </c>
      <c r="Y630" s="291">
        <v>636.19000000000005</v>
      </c>
      <c r="Z630" s="289" t="s">
        <v>944</v>
      </c>
      <c r="AA630" s="289"/>
      <c r="AB630" s="289" t="s">
        <v>2248</v>
      </c>
      <c r="AC630" s="289"/>
      <c r="AD630" s="289" t="s">
        <v>1446</v>
      </c>
      <c r="AE630" s="289" t="s">
        <v>410</v>
      </c>
      <c r="AF630" s="290" t="s">
        <v>1447</v>
      </c>
      <c r="AG630" s="295">
        <v>42735</v>
      </c>
      <c r="AH630" s="290" t="s">
        <v>1448</v>
      </c>
      <c r="AI630" s="289">
        <v>0</v>
      </c>
      <c r="AJ630" s="289">
        <v>5725.75</v>
      </c>
    </row>
    <row r="631" spans="2:36">
      <c r="B631" s="290">
        <v>2111</v>
      </c>
      <c r="C631" s="294">
        <v>173318</v>
      </c>
      <c r="D631" s="290" t="s">
        <v>944</v>
      </c>
      <c r="E631" s="289" t="s">
        <v>1243</v>
      </c>
      <c r="F631" s="290"/>
      <c r="G631" s="289"/>
      <c r="H631" s="289" t="s">
        <v>2249</v>
      </c>
      <c r="I631" s="289"/>
      <c r="J631" s="289">
        <v>2016</v>
      </c>
      <c r="K631" s="289"/>
      <c r="L631" s="289"/>
      <c r="M631" s="289" t="s">
        <v>1495</v>
      </c>
      <c r="N631" s="293">
        <v>42460</v>
      </c>
      <c r="O631" s="293">
        <v>42460</v>
      </c>
      <c r="P631" s="289" t="s">
        <v>2250</v>
      </c>
      <c r="Q631" s="290">
        <v>1000</v>
      </c>
      <c r="R631" s="290">
        <v>14040</v>
      </c>
      <c r="S631" s="291">
        <v>326844.58</v>
      </c>
      <c r="T631" s="290">
        <v>14046</v>
      </c>
      <c r="U631" s="291">
        <v>207001.58</v>
      </c>
      <c r="V631" s="291">
        <f t="shared" si="9"/>
        <v>119843.00000000003</v>
      </c>
      <c r="W631" s="292">
        <v>19065.939999999999</v>
      </c>
      <c r="X631" s="290">
        <v>51260</v>
      </c>
      <c r="Y631" s="291">
        <v>2723.71</v>
      </c>
      <c r="Z631" s="289" t="s">
        <v>944</v>
      </c>
      <c r="AA631" s="289"/>
      <c r="AB631" s="289" t="s">
        <v>2251</v>
      </c>
      <c r="AC631" s="289">
        <v>836</v>
      </c>
      <c r="AD631" s="289" t="s">
        <v>1446</v>
      </c>
      <c r="AE631" s="289" t="s">
        <v>410</v>
      </c>
      <c r="AF631" s="290" t="s">
        <v>1447</v>
      </c>
      <c r="AG631" s="295">
        <v>42735</v>
      </c>
      <c r="AH631" s="290" t="s">
        <v>1448</v>
      </c>
      <c r="AI631" s="289">
        <v>0</v>
      </c>
      <c r="AJ631" s="289">
        <v>24513.34</v>
      </c>
    </row>
    <row r="632" spans="2:36">
      <c r="B632" s="290">
        <v>2111</v>
      </c>
      <c r="C632" s="294">
        <v>173317</v>
      </c>
      <c r="D632" s="290">
        <v>102127</v>
      </c>
      <c r="E632" s="289" t="s">
        <v>416</v>
      </c>
      <c r="F632" s="290"/>
      <c r="G632" s="289"/>
      <c r="H632" s="289"/>
      <c r="I632" s="289"/>
      <c r="J632" s="289">
        <v>0</v>
      </c>
      <c r="K632" s="289" t="s">
        <v>2252</v>
      </c>
      <c r="L632" s="289"/>
      <c r="M632" s="289" t="s">
        <v>1586</v>
      </c>
      <c r="N632" s="293">
        <v>42460</v>
      </c>
      <c r="O632" s="293">
        <v>42460</v>
      </c>
      <c r="P632" s="289" t="s">
        <v>2253</v>
      </c>
      <c r="Q632" s="290">
        <v>300</v>
      </c>
      <c r="R632" s="290">
        <v>14040</v>
      </c>
      <c r="S632" s="291">
        <v>24214.62</v>
      </c>
      <c r="T632" s="290">
        <v>14046</v>
      </c>
      <c r="U632" s="291">
        <v>24214.62</v>
      </c>
      <c r="V632" s="291">
        <f t="shared" si="9"/>
        <v>0</v>
      </c>
      <c r="W632" s="292">
        <v>0</v>
      </c>
      <c r="X632" s="290">
        <v>51260</v>
      </c>
      <c r="Y632" s="291">
        <v>0</v>
      </c>
      <c r="Z632" s="289" t="s">
        <v>944</v>
      </c>
      <c r="AA632" s="289"/>
      <c r="AB632" s="289" t="s">
        <v>2254</v>
      </c>
      <c r="AC632" s="289"/>
      <c r="AD632" s="289" t="s">
        <v>1446</v>
      </c>
      <c r="AE632" s="289" t="s">
        <v>410</v>
      </c>
      <c r="AF632" s="290" t="s">
        <v>1447</v>
      </c>
      <c r="AG632" s="295">
        <v>42735</v>
      </c>
      <c r="AH632" s="290" t="s">
        <v>1448</v>
      </c>
      <c r="AI632" s="289">
        <v>0</v>
      </c>
      <c r="AJ632" s="289">
        <v>6053.66</v>
      </c>
    </row>
    <row r="633" spans="2:36">
      <c r="B633" s="290">
        <v>2111</v>
      </c>
      <c r="C633" s="294">
        <v>173316</v>
      </c>
      <c r="D633" s="290" t="s">
        <v>944</v>
      </c>
      <c r="E633" s="289" t="s">
        <v>2255</v>
      </c>
      <c r="F633" s="290">
        <v>624</v>
      </c>
      <c r="G633" s="289"/>
      <c r="H633" s="289"/>
      <c r="I633" s="289"/>
      <c r="J633" s="289">
        <v>0</v>
      </c>
      <c r="K633" s="289" t="s">
        <v>2093</v>
      </c>
      <c r="L633" s="289"/>
      <c r="M633" s="289"/>
      <c r="N633" s="293">
        <v>42382</v>
      </c>
      <c r="O633" s="293">
        <v>42382</v>
      </c>
      <c r="P633" s="289" t="s">
        <v>2256</v>
      </c>
      <c r="Q633" s="290">
        <v>700</v>
      </c>
      <c r="R633" s="290">
        <v>14050</v>
      </c>
      <c r="S633" s="291">
        <v>31910.84</v>
      </c>
      <c r="T633" s="290">
        <v>14056</v>
      </c>
      <c r="U633" s="291">
        <v>30011.34</v>
      </c>
      <c r="V633" s="291">
        <f t="shared" si="9"/>
        <v>1899.5</v>
      </c>
      <c r="W633" s="292">
        <v>2659.26</v>
      </c>
      <c r="X633" s="290">
        <v>54260</v>
      </c>
      <c r="Y633" s="291">
        <v>379.9</v>
      </c>
      <c r="Z633" s="289" t="s">
        <v>944</v>
      </c>
      <c r="AA633" s="289"/>
      <c r="AB633" s="289">
        <v>65385314</v>
      </c>
      <c r="AC633" s="289"/>
      <c r="AD633" s="289" t="s">
        <v>1446</v>
      </c>
      <c r="AE633" s="289" t="s">
        <v>410</v>
      </c>
      <c r="AF633" s="290" t="s">
        <v>1447</v>
      </c>
      <c r="AG633" s="295">
        <v>42735</v>
      </c>
      <c r="AH633" s="290" t="s">
        <v>1448</v>
      </c>
      <c r="AI633" s="289">
        <v>0</v>
      </c>
      <c r="AJ633" s="289">
        <v>4558.68</v>
      </c>
    </row>
    <row r="634" spans="2:36">
      <c r="B634" s="290">
        <v>2111</v>
      </c>
      <c r="C634" s="294">
        <v>173315</v>
      </c>
      <c r="D634" s="290" t="s">
        <v>944</v>
      </c>
      <c r="E634" s="289" t="s">
        <v>471</v>
      </c>
      <c r="F634" s="290">
        <v>4</v>
      </c>
      <c r="G634" s="289"/>
      <c r="H634" s="289"/>
      <c r="I634" s="289"/>
      <c r="J634" s="289">
        <v>0</v>
      </c>
      <c r="K634" s="289" t="s">
        <v>2257</v>
      </c>
      <c r="L634" s="289"/>
      <c r="M634" s="289" t="s">
        <v>1664</v>
      </c>
      <c r="N634" s="293">
        <v>41449</v>
      </c>
      <c r="O634" s="293">
        <v>41449</v>
      </c>
      <c r="P634" s="289" t="s">
        <v>2258</v>
      </c>
      <c r="Q634" s="290">
        <v>1200</v>
      </c>
      <c r="R634" s="290">
        <v>14050</v>
      </c>
      <c r="S634" s="291">
        <v>2713.12</v>
      </c>
      <c r="T634" s="290">
        <v>14056</v>
      </c>
      <c r="U634" s="291">
        <v>2053.66</v>
      </c>
      <c r="V634" s="291">
        <f t="shared" si="9"/>
        <v>659.46</v>
      </c>
      <c r="W634" s="292">
        <v>131.88999999999999</v>
      </c>
      <c r="X634" s="290">
        <v>54260</v>
      </c>
      <c r="Y634" s="291">
        <v>18.84</v>
      </c>
      <c r="Z634" s="289" t="s">
        <v>944</v>
      </c>
      <c r="AA634" s="289"/>
      <c r="AB634" s="289">
        <v>83273</v>
      </c>
      <c r="AC634" s="289"/>
      <c r="AD634" s="289" t="s">
        <v>1446</v>
      </c>
      <c r="AE634" s="289" t="s">
        <v>410</v>
      </c>
      <c r="AF634" s="290" t="s">
        <v>1447</v>
      </c>
      <c r="AG634" s="295">
        <v>42735</v>
      </c>
      <c r="AH634" s="290" t="s">
        <v>1448</v>
      </c>
      <c r="AI634" s="289">
        <v>0</v>
      </c>
      <c r="AJ634" s="289">
        <v>791.32</v>
      </c>
    </row>
    <row r="635" spans="2:36">
      <c r="B635" s="290">
        <v>2111</v>
      </c>
      <c r="C635" s="294">
        <v>173314</v>
      </c>
      <c r="D635" s="290" t="s">
        <v>944</v>
      </c>
      <c r="E635" s="289" t="s">
        <v>853</v>
      </c>
      <c r="F635" s="290">
        <v>333</v>
      </c>
      <c r="G635" s="289"/>
      <c r="H635" s="289"/>
      <c r="I635" s="289"/>
      <c r="J635" s="289">
        <v>0</v>
      </c>
      <c r="K635" s="289" t="s">
        <v>2245</v>
      </c>
      <c r="L635" s="289"/>
      <c r="M635" s="289"/>
      <c r="N635" s="293">
        <v>42331</v>
      </c>
      <c r="O635" s="293">
        <v>42331</v>
      </c>
      <c r="P635" s="289" t="s">
        <v>2259</v>
      </c>
      <c r="Q635" s="290">
        <v>700</v>
      </c>
      <c r="R635" s="290">
        <v>14050</v>
      </c>
      <c r="S635" s="291">
        <v>19105.13</v>
      </c>
      <c r="T635" s="290">
        <v>14056</v>
      </c>
      <c r="U635" s="291">
        <v>18195.400000000001</v>
      </c>
      <c r="V635" s="291">
        <f t="shared" si="9"/>
        <v>909.72999999999956</v>
      </c>
      <c r="W635" s="292">
        <v>1592.1</v>
      </c>
      <c r="X635" s="290">
        <v>54260</v>
      </c>
      <c r="Y635" s="291">
        <v>227.44</v>
      </c>
      <c r="Z635" s="289" t="s">
        <v>944</v>
      </c>
      <c r="AA635" s="289"/>
      <c r="AB635" s="289" t="s">
        <v>2260</v>
      </c>
      <c r="AC635" s="289"/>
      <c r="AD635" s="289" t="s">
        <v>1446</v>
      </c>
      <c r="AE635" s="289" t="s">
        <v>410</v>
      </c>
      <c r="AF635" s="290" t="s">
        <v>1447</v>
      </c>
      <c r="AG635" s="295">
        <v>42735</v>
      </c>
      <c r="AH635" s="290" t="s">
        <v>1448</v>
      </c>
      <c r="AI635" s="289">
        <v>0</v>
      </c>
      <c r="AJ635" s="289">
        <v>2956.75</v>
      </c>
    </row>
    <row r="636" spans="2:36">
      <c r="B636" s="290">
        <v>2111</v>
      </c>
      <c r="C636" s="294">
        <v>173313</v>
      </c>
      <c r="D636" s="290">
        <v>173079</v>
      </c>
      <c r="E636" s="289" t="s">
        <v>2261</v>
      </c>
      <c r="F636" s="290"/>
      <c r="G636" s="289"/>
      <c r="H636" s="289"/>
      <c r="I636" s="289"/>
      <c r="J636" s="289">
        <v>0</v>
      </c>
      <c r="K636" s="289" t="s">
        <v>2262</v>
      </c>
      <c r="L636" s="289"/>
      <c r="M636" s="289" t="s">
        <v>1586</v>
      </c>
      <c r="N636" s="293">
        <v>42305</v>
      </c>
      <c r="O636" s="293">
        <v>42305</v>
      </c>
      <c r="P636" s="289" t="s">
        <v>2263</v>
      </c>
      <c r="Q636" s="290">
        <v>300</v>
      </c>
      <c r="R636" s="290">
        <v>14040</v>
      </c>
      <c r="S636" s="291">
        <v>7490.62</v>
      </c>
      <c r="T636" s="290">
        <v>14046</v>
      </c>
      <c r="U636" s="291">
        <v>7490.62</v>
      </c>
      <c r="V636" s="291">
        <f t="shared" si="9"/>
        <v>0</v>
      </c>
      <c r="W636" s="292">
        <v>0</v>
      </c>
      <c r="X636" s="290">
        <v>51260</v>
      </c>
      <c r="Y636" s="291">
        <v>0</v>
      </c>
      <c r="Z636" s="289" t="s">
        <v>944</v>
      </c>
      <c r="AA636" s="289"/>
      <c r="AB636" s="289" t="s">
        <v>2264</v>
      </c>
      <c r="AC636" s="289"/>
      <c r="AD636" s="289" t="s">
        <v>1446</v>
      </c>
      <c r="AE636" s="289" t="s">
        <v>410</v>
      </c>
      <c r="AF636" s="290" t="s">
        <v>1447</v>
      </c>
      <c r="AG636" s="295">
        <v>42735</v>
      </c>
      <c r="AH636" s="290" t="s">
        <v>1448</v>
      </c>
      <c r="AI636" s="289">
        <v>0</v>
      </c>
      <c r="AJ636" s="289">
        <v>2913.02</v>
      </c>
    </row>
    <row r="637" spans="2:36">
      <c r="B637" s="290">
        <v>2111</v>
      </c>
      <c r="C637" s="294">
        <v>173311</v>
      </c>
      <c r="D637" s="290" t="s">
        <v>944</v>
      </c>
      <c r="E637" s="289" t="s">
        <v>2265</v>
      </c>
      <c r="F637" s="290">
        <v>30</v>
      </c>
      <c r="G637" s="289"/>
      <c r="H637" s="289"/>
      <c r="I637" s="289"/>
      <c r="J637" s="289">
        <v>0</v>
      </c>
      <c r="K637" s="289" t="s">
        <v>1726</v>
      </c>
      <c r="L637" s="289"/>
      <c r="M637" s="289" t="s">
        <v>1918</v>
      </c>
      <c r="N637" s="293">
        <v>42177</v>
      </c>
      <c r="O637" s="293">
        <v>42177</v>
      </c>
      <c r="P637" s="289" t="s">
        <v>2266</v>
      </c>
      <c r="Q637" s="290">
        <v>1200</v>
      </c>
      <c r="R637" s="290">
        <v>14050</v>
      </c>
      <c r="S637" s="291">
        <v>14342.34</v>
      </c>
      <c r="T637" s="290">
        <v>14056</v>
      </c>
      <c r="U637" s="291">
        <v>8466</v>
      </c>
      <c r="V637" s="291">
        <f t="shared" si="9"/>
        <v>5876.34</v>
      </c>
      <c r="W637" s="292">
        <v>697.2</v>
      </c>
      <c r="X637" s="290">
        <v>54260</v>
      </c>
      <c r="Y637" s="291">
        <v>99.6</v>
      </c>
      <c r="Z637" s="289" t="s">
        <v>944</v>
      </c>
      <c r="AA637" s="289"/>
      <c r="AB637" s="289">
        <v>108334</v>
      </c>
      <c r="AC637" s="289"/>
      <c r="AD637" s="289" t="s">
        <v>1446</v>
      </c>
      <c r="AE637" s="289" t="s">
        <v>410</v>
      </c>
      <c r="AF637" s="290" t="s">
        <v>1447</v>
      </c>
      <c r="AG637" s="295">
        <v>42735</v>
      </c>
      <c r="AH637" s="290" t="s">
        <v>1448</v>
      </c>
      <c r="AI637" s="289">
        <v>0</v>
      </c>
      <c r="AJ637" s="289">
        <v>1792.8</v>
      </c>
    </row>
    <row r="638" spans="2:36">
      <c r="B638" s="290">
        <v>2111</v>
      </c>
      <c r="C638" s="294">
        <v>173310</v>
      </c>
      <c r="D638" s="290" t="s">
        <v>944</v>
      </c>
      <c r="E638" s="289" t="s">
        <v>2267</v>
      </c>
      <c r="F638" s="290">
        <v>486</v>
      </c>
      <c r="G638" s="289"/>
      <c r="H638" s="289"/>
      <c r="I638" s="289"/>
      <c r="J638" s="289">
        <v>0</v>
      </c>
      <c r="K638" s="289" t="s">
        <v>2245</v>
      </c>
      <c r="L638" s="289"/>
      <c r="M638" s="289"/>
      <c r="N638" s="293">
        <v>42116</v>
      </c>
      <c r="O638" s="293">
        <v>42116</v>
      </c>
      <c r="P638" s="289" t="s">
        <v>2268</v>
      </c>
      <c r="Q638" s="290">
        <v>700</v>
      </c>
      <c r="R638" s="290">
        <v>14050</v>
      </c>
      <c r="S638" s="291">
        <v>26191.29</v>
      </c>
      <c r="T638" s="290">
        <v>14056</v>
      </c>
      <c r="U638" s="291">
        <v>26191.29</v>
      </c>
      <c r="V638" s="291">
        <f t="shared" si="9"/>
        <v>0</v>
      </c>
      <c r="W638" s="292">
        <v>1247.22</v>
      </c>
      <c r="X638" s="290">
        <v>54260</v>
      </c>
      <c r="Y638" s="291">
        <v>0</v>
      </c>
      <c r="Z638" s="289" t="s">
        <v>944</v>
      </c>
      <c r="AA638" s="289"/>
      <c r="AB638" s="289" t="s">
        <v>2269</v>
      </c>
      <c r="AC638" s="289"/>
      <c r="AD638" s="289" t="s">
        <v>1446</v>
      </c>
      <c r="AE638" s="289" t="s">
        <v>410</v>
      </c>
      <c r="AF638" s="290" t="s">
        <v>1447</v>
      </c>
      <c r="AG638" s="295">
        <v>42735</v>
      </c>
      <c r="AH638" s="290" t="s">
        <v>1448</v>
      </c>
      <c r="AI638" s="289">
        <v>0</v>
      </c>
      <c r="AJ638" s="289">
        <v>6236.02</v>
      </c>
    </row>
    <row r="639" spans="2:36">
      <c r="B639" s="290">
        <v>2111</v>
      </c>
      <c r="C639" s="294">
        <v>173309</v>
      </c>
      <c r="D639" s="290" t="s">
        <v>944</v>
      </c>
      <c r="E639" s="289" t="s">
        <v>853</v>
      </c>
      <c r="F639" s="290">
        <v>348</v>
      </c>
      <c r="G639" s="289"/>
      <c r="H639" s="289"/>
      <c r="I639" s="289"/>
      <c r="J639" s="289">
        <v>0</v>
      </c>
      <c r="K639" s="289" t="s">
        <v>2245</v>
      </c>
      <c r="L639" s="289"/>
      <c r="M639" s="289"/>
      <c r="N639" s="293">
        <v>42116</v>
      </c>
      <c r="O639" s="293">
        <v>42116</v>
      </c>
      <c r="P639" s="289" t="s">
        <v>2268</v>
      </c>
      <c r="Q639" s="290">
        <v>700</v>
      </c>
      <c r="R639" s="290">
        <v>14050</v>
      </c>
      <c r="S639" s="291">
        <v>19406.59</v>
      </c>
      <c r="T639" s="290">
        <v>14056</v>
      </c>
      <c r="U639" s="291">
        <v>19406.59</v>
      </c>
      <c r="V639" s="291">
        <f t="shared" si="9"/>
        <v>0</v>
      </c>
      <c r="W639" s="292">
        <v>924.12</v>
      </c>
      <c r="X639" s="290">
        <v>54260</v>
      </c>
      <c r="Y639" s="291">
        <v>0</v>
      </c>
      <c r="Z639" s="289" t="s">
        <v>944</v>
      </c>
      <c r="AA639" s="289"/>
      <c r="AB639" s="289" t="s">
        <v>2270</v>
      </c>
      <c r="AC639" s="289"/>
      <c r="AD639" s="289" t="s">
        <v>1446</v>
      </c>
      <c r="AE639" s="289" t="s">
        <v>410</v>
      </c>
      <c r="AF639" s="290" t="s">
        <v>1447</v>
      </c>
      <c r="AG639" s="295">
        <v>42735</v>
      </c>
      <c r="AH639" s="290" t="s">
        <v>1448</v>
      </c>
      <c r="AI639" s="289">
        <v>0</v>
      </c>
      <c r="AJ639" s="289">
        <v>4620.62</v>
      </c>
    </row>
    <row r="640" spans="2:36">
      <c r="B640" s="290">
        <v>2111</v>
      </c>
      <c r="C640" s="294">
        <v>173308</v>
      </c>
      <c r="D640" s="290" t="s">
        <v>944</v>
      </c>
      <c r="E640" s="289" t="s">
        <v>1243</v>
      </c>
      <c r="F640" s="290"/>
      <c r="G640" s="289"/>
      <c r="H640" s="289" t="s">
        <v>2271</v>
      </c>
      <c r="I640" s="289"/>
      <c r="J640" s="289">
        <v>2016</v>
      </c>
      <c r="K640" s="289"/>
      <c r="L640" s="289"/>
      <c r="M640" s="289" t="s">
        <v>1495</v>
      </c>
      <c r="N640" s="293">
        <v>42155</v>
      </c>
      <c r="O640" s="293">
        <v>42155</v>
      </c>
      <c r="P640" s="289" t="s">
        <v>2272</v>
      </c>
      <c r="Q640" s="290">
        <v>1000</v>
      </c>
      <c r="R640" s="290">
        <v>14040</v>
      </c>
      <c r="S640" s="291">
        <v>326336.78000000003</v>
      </c>
      <c r="T640" s="290">
        <v>14046</v>
      </c>
      <c r="U640" s="291">
        <v>233874.7</v>
      </c>
      <c r="V640" s="291">
        <f t="shared" si="9"/>
        <v>92462.080000000016</v>
      </c>
      <c r="W640" s="292">
        <v>19036.310000000001</v>
      </c>
      <c r="X640" s="290">
        <v>51260</v>
      </c>
      <c r="Y640" s="291">
        <v>2719.47</v>
      </c>
      <c r="Z640" s="289" t="s">
        <v>944</v>
      </c>
      <c r="AA640" s="289"/>
      <c r="AB640" s="289" t="s">
        <v>2273</v>
      </c>
      <c r="AC640" s="289">
        <v>832</v>
      </c>
      <c r="AD640" s="289" t="s">
        <v>1446</v>
      </c>
      <c r="AE640" s="289" t="s">
        <v>410</v>
      </c>
      <c r="AF640" s="290" t="s">
        <v>1447</v>
      </c>
      <c r="AG640" s="295">
        <v>42735</v>
      </c>
      <c r="AH640" s="290" t="s">
        <v>1448</v>
      </c>
      <c r="AI640" s="289">
        <v>0</v>
      </c>
      <c r="AJ640" s="289">
        <v>51669.99</v>
      </c>
    </row>
    <row r="641" spans="2:36">
      <c r="B641" s="290">
        <v>2111</v>
      </c>
      <c r="C641" s="294">
        <v>173307</v>
      </c>
      <c r="D641" s="290" t="s">
        <v>944</v>
      </c>
      <c r="E641" s="289" t="s">
        <v>1243</v>
      </c>
      <c r="F641" s="290">
        <v>0</v>
      </c>
      <c r="G641" s="289"/>
      <c r="H641" s="289" t="s">
        <v>2274</v>
      </c>
      <c r="I641" s="289"/>
      <c r="J641" s="289">
        <v>2015</v>
      </c>
      <c r="K641" s="289"/>
      <c r="L641" s="289" t="s">
        <v>1483</v>
      </c>
      <c r="M641" s="289" t="s">
        <v>1495</v>
      </c>
      <c r="N641" s="293">
        <v>41942</v>
      </c>
      <c r="O641" s="293">
        <v>41942</v>
      </c>
      <c r="P641" s="289" t="s">
        <v>2275</v>
      </c>
      <c r="Q641" s="290">
        <v>1000</v>
      </c>
      <c r="R641" s="290">
        <v>14040</v>
      </c>
      <c r="S641" s="291">
        <v>324730.3</v>
      </c>
      <c r="T641" s="290">
        <v>14046</v>
      </c>
      <c r="U641" s="291">
        <v>251665.98</v>
      </c>
      <c r="V641" s="291">
        <f t="shared" si="9"/>
        <v>73064.319999999978</v>
      </c>
      <c r="W641" s="292">
        <v>18942.599999999999</v>
      </c>
      <c r="X641" s="290">
        <v>51260</v>
      </c>
      <c r="Y641" s="291">
        <v>2706.08</v>
      </c>
      <c r="Z641" s="289" t="s">
        <v>944</v>
      </c>
      <c r="AA641" s="289"/>
      <c r="AB641" s="289"/>
      <c r="AC641" s="289">
        <v>829</v>
      </c>
      <c r="AD641" s="289" t="s">
        <v>1446</v>
      </c>
      <c r="AE641" s="289" t="s">
        <v>410</v>
      </c>
      <c r="AF641" s="290" t="s">
        <v>1447</v>
      </c>
      <c r="AG641" s="295">
        <v>42735</v>
      </c>
      <c r="AH641" s="290" t="s">
        <v>1448</v>
      </c>
      <c r="AI641" s="289">
        <v>0</v>
      </c>
      <c r="AJ641" s="289">
        <v>70358.23</v>
      </c>
    </row>
    <row r="642" spans="2:36">
      <c r="B642" s="290">
        <v>2111</v>
      </c>
      <c r="C642" s="294">
        <v>173306</v>
      </c>
      <c r="D642" s="290">
        <v>173166</v>
      </c>
      <c r="E642" s="289" t="s">
        <v>2276</v>
      </c>
      <c r="F642" s="290"/>
      <c r="G642" s="289"/>
      <c r="H642" s="289"/>
      <c r="I642" s="289"/>
      <c r="J642" s="289">
        <v>0</v>
      </c>
      <c r="K642" s="289" t="s">
        <v>2277</v>
      </c>
      <c r="L642" s="289"/>
      <c r="M642" s="289" t="s">
        <v>1586</v>
      </c>
      <c r="N642" s="293">
        <v>41852</v>
      </c>
      <c r="O642" s="293">
        <v>41852</v>
      </c>
      <c r="P642" s="289" t="s">
        <v>2278</v>
      </c>
      <c r="Q642" s="290">
        <v>300</v>
      </c>
      <c r="R642" s="290">
        <v>14040</v>
      </c>
      <c r="S642" s="291">
        <v>5046.9399999999996</v>
      </c>
      <c r="T642" s="290">
        <v>14046</v>
      </c>
      <c r="U642" s="291">
        <v>5046.9399999999996</v>
      </c>
      <c r="V642" s="291">
        <f t="shared" si="9"/>
        <v>0</v>
      </c>
      <c r="W642" s="292">
        <v>0</v>
      </c>
      <c r="X642" s="290">
        <v>51260</v>
      </c>
      <c r="Y642" s="291">
        <v>0</v>
      </c>
      <c r="Z642" s="289" t="s">
        <v>944</v>
      </c>
      <c r="AA642" s="289"/>
      <c r="AB642" s="289">
        <v>22171</v>
      </c>
      <c r="AC642" s="289"/>
      <c r="AD642" s="289" t="s">
        <v>1446</v>
      </c>
      <c r="AE642" s="289" t="s">
        <v>410</v>
      </c>
      <c r="AF642" s="290" t="s">
        <v>1447</v>
      </c>
      <c r="AG642" s="295">
        <v>42735</v>
      </c>
      <c r="AH642" s="290" t="s">
        <v>1448</v>
      </c>
      <c r="AI642" s="289">
        <v>0</v>
      </c>
      <c r="AJ642" s="289">
        <v>4065.58</v>
      </c>
    </row>
    <row r="643" spans="2:36">
      <c r="B643" s="290">
        <v>2111</v>
      </c>
      <c r="C643" s="294">
        <v>173305</v>
      </c>
      <c r="D643" s="290">
        <v>43740</v>
      </c>
      <c r="E643" s="289" t="s">
        <v>2279</v>
      </c>
      <c r="F643" s="290"/>
      <c r="G643" s="289"/>
      <c r="H643" s="289"/>
      <c r="I643" s="289"/>
      <c r="J643" s="289">
        <v>0</v>
      </c>
      <c r="K643" s="289" t="s">
        <v>2280</v>
      </c>
      <c r="L643" s="289"/>
      <c r="M643" s="289" t="s">
        <v>1586</v>
      </c>
      <c r="N643" s="293">
        <v>41851</v>
      </c>
      <c r="O643" s="293">
        <v>41851</v>
      </c>
      <c r="P643" s="289" t="s">
        <v>2281</v>
      </c>
      <c r="Q643" s="290">
        <v>300</v>
      </c>
      <c r="R643" s="290">
        <v>14040</v>
      </c>
      <c r="S643" s="291">
        <v>18555.36</v>
      </c>
      <c r="T643" s="290">
        <v>14046</v>
      </c>
      <c r="U643" s="291">
        <v>18555.36</v>
      </c>
      <c r="V643" s="291">
        <f t="shared" si="9"/>
        <v>0</v>
      </c>
      <c r="W643" s="292">
        <v>0</v>
      </c>
      <c r="X643" s="290">
        <v>51260</v>
      </c>
      <c r="Y643" s="291">
        <v>0</v>
      </c>
      <c r="Z643" s="289" t="s">
        <v>944</v>
      </c>
      <c r="AA643" s="289"/>
      <c r="AB643" s="289" t="s">
        <v>2282</v>
      </c>
      <c r="AC643" s="289"/>
      <c r="AD643" s="289" t="s">
        <v>1446</v>
      </c>
      <c r="AE643" s="289" t="s">
        <v>410</v>
      </c>
      <c r="AF643" s="290" t="s">
        <v>1447</v>
      </c>
      <c r="AG643" s="295">
        <v>42735</v>
      </c>
      <c r="AH643" s="290" t="s">
        <v>1448</v>
      </c>
      <c r="AI643" s="289">
        <v>0</v>
      </c>
      <c r="AJ643" s="289">
        <v>14947.37</v>
      </c>
    </row>
    <row r="644" spans="2:36">
      <c r="B644" s="290">
        <v>2111</v>
      </c>
      <c r="C644" s="294">
        <v>173304</v>
      </c>
      <c r="D644" s="290" t="s">
        <v>944</v>
      </c>
      <c r="E644" s="289" t="s">
        <v>2283</v>
      </c>
      <c r="F644" s="290">
        <v>4</v>
      </c>
      <c r="G644" s="289"/>
      <c r="H644" s="289"/>
      <c r="I644" s="289"/>
      <c r="J644" s="289">
        <v>0</v>
      </c>
      <c r="K644" s="289"/>
      <c r="L644" s="289"/>
      <c r="M644" s="289" t="s">
        <v>1670</v>
      </c>
      <c r="N644" s="293">
        <v>34576</v>
      </c>
      <c r="O644" s="293">
        <v>34576</v>
      </c>
      <c r="P644" s="289"/>
      <c r="Q644" s="290">
        <v>1200</v>
      </c>
      <c r="R644" s="290">
        <v>14050</v>
      </c>
      <c r="S644" s="291">
        <v>828.69</v>
      </c>
      <c r="T644" s="290">
        <v>14056</v>
      </c>
      <c r="U644" s="291">
        <v>828.69</v>
      </c>
      <c r="V644" s="291">
        <f t="shared" si="9"/>
        <v>0</v>
      </c>
      <c r="W644" s="292">
        <v>0</v>
      </c>
      <c r="X644" s="290">
        <v>54260</v>
      </c>
      <c r="Y644" s="291">
        <v>0</v>
      </c>
      <c r="Z644" s="289" t="s">
        <v>410</v>
      </c>
      <c r="AA644" s="289" t="s">
        <v>2284</v>
      </c>
      <c r="AB644" s="289"/>
      <c r="AC644" s="289"/>
      <c r="AD644" s="289" t="s">
        <v>1446</v>
      </c>
      <c r="AE644" s="289" t="s">
        <v>410</v>
      </c>
      <c r="AF644" s="290" t="s">
        <v>1447</v>
      </c>
      <c r="AG644" s="295">
        <v>42735</v>
      </c>
      <c r="AH644" s="290" t="s">
        <v>1448</v>
      </c>
      <c r="AI644" s="289">
        <v>0</v>
      </c>
      <c r="AJ644" s="289">
        <v>828.69</v>
      </c>
    </row>
    <row r="645" spans="2:36">
      <c r="B645" s="290">
        <v>2111</v>
      </c>
      <c r="C645" s="294">
        <v>173303</v>
      </c>
      <c r="D645" s="290" t="s">
        <v>944</v>
      </c>
      <c r="E645" s="289" t="s">
        <v>2285</v>
      </c>
      <c r="F645" s="290">
        <v>486</v>
      </c>
      <c r="G645" s="289"/>
      <c r="H645" s="289"/>
      <c r="I645" s="289"/>
      <c r="J645" s="289">
        <v>0</v>
      </c>
      <c r="K645" s="289" t="s">
        <v>2245</v>
      </c>
      <c r="L645" s="289"/>
      <c r="M645" s="289"/>
      <c r="N645" s="293">
        <v>41769</v>
      </c>
      <c r="O645" s="293">
        <v>41769</v>
      </c>
      <c r="P645" s="289" t="s">
        <v>2286</v>
      </c>
      <c r="Q645" s="290">
        <v>700</v>
      </c>
      <c r="R645" s="290">
        <v>14050</v>
      </c>
      <c r="S645" s="291">
        <v>28330.85</v>
      </c>
      <c r="T645" s="290">
        <v>14056</v>
      </c>
      <c r="U645" s="291">
        <v>28330.85</v>
      </c>
      <c r="V645" s="291">
        <f t="shared" si="9"/>
        <v>0</v>
      </c>
      <c r="W645" s="292">
        <v>0</v>
      </c>
      <c r="X645" s="290">
        <v>54260</v>
      </c>
      <c r="Y645" s="291">
        <v>0</v>
      </c>
      <c r="Z645" s="289" t="s">
        <v>944</v>
      </c>
      <c r="AA645" s="289"/>
      <c r="AB645" s="289" t="s">
        <v>2287</v>
      </c>
      <c r="AC645" s="289"/>
      <c r="AD645" s="289" t="s">
        <v>1446</v>
      </c>
      <c r="AE645" s="289" t="s">
        <v>410</v>
      </c>
      <c r="AF645" s="290" t="s">
        <v>1447</v>
      </c>
      <c r="AG645" s="295">
        <v>42735</v>
      </c>
      <c r="AH645" s="290" t="s">
        <v>1448</v>
      </c>
      <c r="AI645" s="289">
        <v>0</v>
      </c>
      <c r="AJ645" s="289">
        <v>10792.72</v>
      </c>
    </row>
    <row r="646" spans="2:36">
      <c r="B646" s="290">
        <v>2111</v>
      </c>
      <c r="C646" s="294">
        <v>173302</v>
      </c>
      <c r="D646" s="290" t="s">
        <v>944</v>
      </c>
      <c r="E646" s="289" t="s">
        <v>2288</v>
      </c>
      <c r="F646" s="290">
        <v>243</v>
      </c>
      <c r="G646" s="289"/>
      <c r="H646" s="289"/>
      <c r="I646" s="289"/>
      <c r="J646" s="289">
        <v>0</v>
      </c>
      <c r="K646" s="289" t="s">
        <v>2245</v>
      </c>
      <c r="L646" s="289"/>
      <c r="M646" s="289"/>
      <c r="N646" s="293">
        <v>41745</v>
      </c>
      <c r="O646" s="293">
        <v>41745</v>
      </c>
      <c r="P646" s="289" t="s">
        <v>2289</v>
      </c>
      <c r="Q646" s="290">
        <v>700</v>
      </c>
      <c r="R646" s="290">
        <v>14050</v>
      </c>
      <c r="S646" s="291">
        <v>13865.54</v>
      </c>
      <c r="T646" s="290">
        <v>14056</v>
      </c>
      <c r="U646" s="291">
        <v>13865.54</v>
      </c>
      <c r="V646" s="291">
        <f t="shared" si="9"/>
        <v>0</v>
      </c>
      <c r="W646" s="292">
        <v>0</v>
      </c>
      <c r="X646" s="290">
        <v>54260</v>
      </c>
      <c r="Y646" s="291">
        <v>0</v>
      </c>
      <c r="Z646" s="289" t="s">
        <v>944</v>
      </c>
      <c r="AA646" s="289"/>
      <c r="AB646" s="289" t="s">
        <v>2290</v>
      </c>
      <c r="AC646" s="289"/>
      <c r="AD646" s="289" t="s">
        <v>1446</v>
      </c>
      <c r="AE646" s="289" t="s">
        <v>410</v>
      </c>
      <c r="AF646" s="290" t="s">
        <v>1447</v>
      </c>
      <c r="AG646" s="295">
        <v>42735</v>
      </c>
      <c r="AH646" s="290" t="s">
        <v>1448</v>
      </c>
      <c r="AI646" s="289">
        <v>0</v>
      </c>
      <c r="AJ646" s="289">
        <v>5282.11</v>
      </c>
    </row>
    <row r="647" spans="2:36">
      <c r="B647" s="290">
        <v>2111</v>
      </c>
      <c r="C647" s="294">
        <v>173301</v>
      </c>
      <c r="D647" s="290" t="s">
        <v>944</v>
      </c>
      <c r="E647" s="289" t="s">
        <v>2291</v>
      </c>
      <c r="F647" s="290">
        <v>243</v>
      </c>
      <c r="G647" s="289"/>
      <c r="H647" s="289"/>
      <c r="I647" s="289"/>
      <c r="J647" s="289">
        <v>0</v>
      </c>
      <c r="K647" s="289" t="s">
        <v>2245</v>
      </c>
      <c r="L647" s="289"/>
      <c r="M647" s="289"/>
      <c r="N647" s="293">
        <v>41745</v>
      </c>
      <c r="O647" s="293">
        <v>41745</v>
      </c>
      <c r="P647" s="289" t="s">
        <v>2289</v>
      </c>
      <c r="Q647" s="290">
        <v>700</v>
      </c>
      <c r="R647" s="290">
        <v>14050</v>
      </c>
      <c r="S647" s="291">
        <v>14367.99</v>
      </c>
      <c r="T647" s="290">
        <v>14056</v>
      </c>
      <c r="U647" s="291">
        <v>14367.99</v>
      </c>
      <c r="V647" s="291">
        <f t="shared" si="9"/>
        <v>0</v>
      </c>
      <c r="W647" s="292">
        <v>0</v>
      </c>
      <c r="X647" s="290">
        <v>54260</v>
      </c>
      <c r="Y647" s="291">
        <v>0</v>
      </c>
      <c r="Z647" s="289" t="s">
        <v>944</v>
      </c>
      <c r="AA647" s="289"/>
      <c r="AB647" s="289" t="s">
        <v>2292</v>
      </c>
      <c r="AC647" s="289"/>
      <c r="AD647" s="289" t="s">
        <v>1446</v>
      </c>
      <c r="AE647" s="289" t="s">
        <v>410</v>
      </c>
      <c r="AF647" s="290" t="s">
        <v>1447</v>
      </c>
      <c r="AG647" s="295">
        <v>42735</v>
      </c>
      <c r="AH647" s="290" t="s">
        <v>1448</v>
      </c>
      <c r="AI647" s="289">
        <v>0</v>
      </c>
      <c r="AJ647" s="289">
        <v>5473.52</v>
      </c>
    </row>
    <row r="648" spans="2:36">
      <c r="B648" s="290">
        <v>2111</v>
      </c>
      <c r="C648" s="294">
        <v>173300</v>
      </c>
      <c r="D648" s="290" t="s">
        <v>944</v>
      </c>
      <c r="E648" s="289" t="s">
        <v>1243</v>
      </c>
      <c r="F648" s="290"/>
      <c r="G648" s="289"/>
      <c r="H648" s="289" t="s">
        <v>2293</v>
      </c>
      <c r="I648" s="289"/>
      <c r="J648" s="289">
        <v>2014</v>
      </c>
      <c r="K648" s="289" t="s">
        <v>2294</v>
      </c>
      <c r="L648" s="289" t="s">
        <v>1483</v>
      </c>
      <c r="M648" s="289" t="s">
        <v>1495</v>
      </c>
      <c r="N648" s="293">
        <v>41640</v>
      </c>
      <c r="O648" s="293">
        <v>41640</v>
      </c>
      <c r="P648" s="289" t="s">
        <v>2295</v>
      </c>
      <c r="Q648" s="290">
        <v>911</v>
      </c>
      <c r="R648" s="290">
        <v>14040</v>
      </c>
      <c r="S648" s="291">
        <v>319176.65000000002</v>
      </c>
      <c r="T648" s="290">
        <v>14046</v>
      </c>
      <c r="U648" s="291">
        <v>276262.14</v>
      </c>
      <c r="V648" s="291">
        <f t="shared" si="9"/>
        <v>42914.510000000009</v>
      </c>
      <c r="W648" s="292">
        <v>18775.099999999999</v>
      </c>
      <c r="X648" s="290">
        <v>51260</v>
      </c>
      <c r="Y648" s="291">
        <v>2682.16</v>
      </c>
      <c r="Z648" s="289" t="s">
        <v>944</v>
      </c>
      <c r="AA648" s="289"/>
      <c r="AB648" s="289"/>
      <c r="AC648" s="289">
        <v>823</v>
      </c>
      <c r="AD648" s="289" t="s">
        <v>1446</v>
      </c>
      <c r="AE648" s="289" t="s">
        <v>410</v>
      </c>
      <c r="AF648" s="290" t="s">
        <v>1447</v>
      </c>
      <c r="AG648" s="295">
        <v>42735</v>
      </c>
      <c r="AH648" s="290" t="s">
        <v>1448</v>
      </c>
      <c r="AI648" s="289">
        <v>0</v>
      </c>
      <c r="AJ648" s="289">
        <v>96557.64</v>
      </c>
    </row>
    <row r="649" spans="2:36">
      <c r="B649" s="290">
        <v>2111</v>
      </c>
      <c r="C649" s="294">
        <v>173297</v>
      </c>
      <c r="D649" s="290" t="s">
        <v>944</v>
      </c>
      <c r="E649" s="289" t="s">
        <v>512</v>
      </c>
      <c r="F649" s="290">
        <v>486</v>
      </c>
      <c r="G649" s="289"/>
      <c r="H649" s="289"/>
      <c r="I649" s="289"/>
      <c r="J649" s="289">
        <v>0</v>
      </c>
      <c r="K649" s="289" t="s">
        <v>2245</v>
      </c>
      <c r="L649" s="289"/>
      <c r="M649" s="289"/>
      <c r="N649" s="293">
        <v>41498</v>
      </c>
      <c r="O649" s="293">
        <v>41498</v>
      </c>
      <c r="P649" s="289" t="s">
        <v>2296</v>
      </c>
      <c r="Q649" s="290">
        <v>700</v>
      </c>
      <c r="R649" s="290">
        <v>14050</v>
      </c>
      <c r="S649" s="291">
        <v>26316.799999999999</v>
      </c>
      <c r="T649" s="290">
        <v>14056</v>
      </c>
      <c r="U649" s="291">
        <v>26316.799999999999</v>
      </c>
      <c r="V649" s="291">
        <f t="shared" si="9"/>
        <v>0</v>
      </c>
      <c r="W649" s="292">
        <v>0</v>
      </c>
      <c r="X649" s="290">
        <v>54260</v>
      </c>
      <c r="Y649" s="291">
        <v>0</v>
      </c>
      <c r="Z649" s="289" t="s">
        <v>944</v>
      </c>
      <c r="AA649" s="289"/>
      <c r="AB649" s="289" t="s">
        <v>2297</v>
      </c>
      <c r="AC649" s="289"/>
      <c r="AD649" s="289" t="s">
        <v>1446</v>
      </c>
      <c r="AE649" s="289" t="s">
        <v>410</v>
      </c>
      <c r="AF649" s="290" t="s">
        <v>1447</v>
      </c>
      <c r="AG649" s="295">
        <v>42735</v>
      </c>
      <c r="AH649" s="290" t="s">
        <v>1448</v>
      </c>
      <c r="AI649" s="289">
        <v>0</v>
      </c>
      <c r="AJ649" s="289">
        <v>12845.1</v>
      </c>
    </row>
    <row r="650" spans="2:36">
      <c r="B650" s="290">
        <v>2111</v>
      </c>
      <c r="C650" s="294">
        <v>173296</v>
      </c>
      <c r="D650" s="290" t="s">
        <v>944</v>
      </c>
      <c r="E650" s="289" t="s">
        <v>2298</v>
      </c>
      <c r="F650" s="290">
        <v>0</v>
      </c>
      <c r="G650" s="289"/>
      <c r="H650" s="289" t="s">
        <v>2299</v>
      </c>
      <c r="I650" s="289"/>
      <c r="J650" s="289">
        <v>2013</v>
      </c>
      <c r="K650" s="289" t="s">
        <v>2300</v>
      </c>
      <c r="L650" s="289" t="s">
        <v>2301</v>
      </c>
      <c r="M650" s="289" t="s">
        <v>1746</v>
      </c>
      <c r="N650" s="293">
        <v>41274</v>
      </c>
      <c r="O650" s="293">
        <v>41274</v>
      </c>
      <c r="P650" s="289" t="s">
        <v>2302</v>
      </c>
      <c r="Q650" s="290">
        <v>1000</v>
      </c>
      <c r="R650" s="290">
        <v>14040</v>
      </c>
      <c r="S650" s="291">
        <v>249953.17</v>
      </c>
      <c r="T650" s="290">
        <v>14046</v>
      </c>
      <c r="U650" s="291">
        <v>239538.49</v>
      </c>
      <c r="V650" s="291">
        <f t="shared" si="9"/>
        <v>10414.680000000022</v>
      </c>
      <c r="W650" s="292">
        <v>14580.61</v>
      </c>
      <c r="X650" s="290">
        <v>51260</v>
      </c>
      <c r="Y650" s="291">
        <v>2082.94</v>
      </c>
      <c r="Z650" s="289" t="s">
        <v>944</v>
      </c>
      <c r="AA650" s="289"/>
      <c r="AB650" s="289">
        <v>4101959</v>
      </c>
      <c r="AC650" s="289">
        <v>628</v>
      </c>
      <c r="AD650" s="289" t="s">
        <v>1446</v>
      </c>
      <c r="AE650" s="289" t="s">
        <v>410</v>
      </c>
      <c r="AF650" s="290" t="s">
        <v>1447</v>
      </c>
      <c r="AG650" s="295">
        <v>42735</v>
      </c>
      <c r="AH650" s="290" t="s">
        <v>1448</v>
      </c>
      <c r="AI650" s="289">
        <v>0</v>
      </c>
      <c r="AJ650" s="289">
        <v>99981.28</v>
      </c>
    </row>
    <row r="651" spans="2:36">
      <c r="B651" s="290">
        <v>2111</v>
      </c>
      <c r="C651" s="294">
        <v>173294</v>
      </c>
      <c r="D651" s="290" t="s">
        <v>944</v>
      </c>
      <c r="E651" s="289" t="s">
        <v>2303</v>
      </c>
      <c r="F651" s="290">
        <v>0</v>
      </c>
      <c r="G651" s="289"/>
      <c r="H651" s="289" t="s">
        <v>2304</v>
      </c>
      <c r="I651" s="289"/>
      <c r="J651" s="289">
        <v>2009</v>
      </c>
      <c r="K651" s="289" t="s">
        <v>2305</v>
      </c>
      <c r="L651" s="289" t="s">
        <v>2306</v>
      </c>
      <c r="M651" s="289" t="s">
        <v>2306</v>
      </c>
      <c r="N651" s="293">
        <v>40238</v>
      </c>
      <c r="O651" s="293">
        <v>40238</v>
      </c>
      <c r="P651" s="289" t="s">
        <v>2307</v>
      </c>
      <c r="Q651" s="290">
        <v>900</v>
      </c>
      <c r="R651" s="290">
        <v>14040</v>
      </c>
      <c r="S651" s="291">
        <v>33819</v>
      </c>
      <c r="T651" s="290">
        <v>14046</v>
      </c>
      <c r="U651" s="291">
        <v>33819</v>
      </c>
      <c r="V651" s="291">
        <f t="shared" si="9"/>
        <v>0</v>
      </c>
      <c r="W651" s="292">
        <v>0</v>
      </c>
      <c r="X651" s="290">
        <v>51260</v>
      </c>
      <c r="Y651" s="291">
        <v>0</v>
      </c>
      <c r="Z651" s="289" t="s">
        <v>944</v>
      </c>
      <c r="AA651" s="289"/>
      <c r="AB651" s="289" t="s">
        <v>2308</v>
      </c>
      <c r="AC651" s="289">
        <v>48</v>
      </c>
      <c r="AD651" s="289" t="s">
        <v>1446</v>
      </c>
      <c r="AE651" s="289" t="s">
        <v>410</v>
      </c>
      <c r="AF651" s="290" t="s">
        <v>1447</v>
      </c>
      <c r="AG651" s="295">
        <v>42735</v>
      </c>
      <c r="AH651" s="290" t="s">
        <v>1448</v>
      </c>
      <c r="AI651" s="289">
        <v>0</v>
      </c>
      <c r="AJ651" s="289">
        <v>25677.41</v>
      </c>
    </row>
    <row r="652" spans="2:36">
      <c r="B652" s="290">
        <v>2111</v>
      </c>
      <c r="C652" s="294">
        <v>173293</v>
      </c>
      <c r="D652" s="290">
        <v>102100</v>
      </c>
      <c r="E652" s="289" t="s">
        <v>2309</v>
      </c>
      <c r="F652" s="290">
        <v>0</v>
      </c>
      <c r="G652" s="289"/>
      <c r="H652" s="289"/>
      <c r="I652" s="289"/>
      <c r="J652" s="289">
        <v>0</v>
      </c>
      <c r="K652" s="289"/>
      <c r="L652" s="289"/>
      <c r="M652" s="289"/>
      <c r="N652" s="293">
        <v>39814</v>
      </c>
      <c r="O652" s="293">
        <v>39814</v>
      </c>
      <c r="P652" s="289" t="s">
        <v>2310</v>
      </c>
      <c r="Q652" s="290">
        <v>300</v>
      </c>
      <c r="R652" s="290">
        <v>14040</v>
      </c>
      <c r="S652" s="291">
        <v>6818.83</v>
      </c>
      <c r="T652" s="290">
        <v>14046</v>
      </c>
      <c r="U652" s="291">
        <v>6818.83</v>
      </c>
      <c r="V652" s="291">
        <f t="shared" si="9"/>
        <v>0</v>
      </c>
      <c r="W652" s="292">
        <v>0</v>
      </c>
      <c r="X652" s="290">
        <v>51260</v>
      </c>
      <c r="Y652" s="291">
        <v>0</v>
      </c>
      <c r="Z652" s="289" t="s">
        <v>944</v>
      </c>
      <c r="AA652" s="289"/>
      <c r="AB652" s="289"/>
      <c r="AC652" s="289">
        <v>409</v>
      </c>
      <c r="AD652" s="289" t="s">
        <v>1446</v>
      </c>
      <c r="AE652" s="289" t="s">
        <v>410</v>
      </c>
      <c r="AF652" s="290" t="s">
        <v>1447</v>
      </c>
      <c r="AG652" s="295">
        <v>42735</v>
      </c>
      <c r="AH652" s="290" t="s">
        <v>1448</v>
      </c>
      <c r="AI652" s="289">
        <v>0</v>
      </c>
      <c r="AJ652" s="289">
        <v>6818.83</v>
      </c>
    </row>
    <row r="653" spans="2:36">
      <c r="B653" s="290">
        <v>2111</v>
      </c>
      <c r="C653" s="294">
        <v>173292</v>
      </c>
      <c r="D653" s="290">
        <v>102100</v>
      </c>
      <c r="E653" s="289" t="s">
        <v>2311</v>
      </c>
      <c r="F653" s="290">
        <v>0</v>
      </c>
      <c r="G653" s="289"/>
      <c r="H653" s="289" t="s">
        <v>2312</v>
      </c>
      <c r="I653" s="289"/>
      <c r="J653" s="289">
        <v>2005</v>
      </c>
      <c r="K653" s="289"/>
      <c r="L653" s="289"/>
      <c r="M653" s="289" t="s">
        <v>1467</v>
      </c>
      <c r="N653" s="293">
        <v>38188</v>
      </c>
      <c r="O653" s="293">
        <v>38188</v>
      </c>
      <c r="P653" s="289">
        <v>42111007</v>
      </c>
      <c r="Q653" s="290">
        <v>1000</v>
      </c>
      <c r="R653" s="290">
        <v>14040</v>
      </c>
      <c r="S653" s="291">
        <v>32990.49</v>
      </c>
      <c r="T653" s="290">
        <v>14046</v>
      </c>
      <c r="U653" s="291">
        <v>32990.49</v>
      </c>
      <c r="V653" s="291">
        <f t="shared" si="9"/>
        <v>0</v>
      </c>
      <c r="W653" s="292">
        <v>0</v>
      </c>
      <c r="X653" s="290">
        <v>51260</v>
      </c>
      <c r="Y653" s="291">
        <v>0</v>
      </c>
      <c r="Z653" s="289" t="s">
        <v>944</v>
      </c>
      <c r="AA653" s="289">
        <v>0</v>
      </c>
      <c r="AB653" s="289">
        <v>2400703</v>
      </c>
      <c r="AC653" s="289"/>
      <c r="AD653" s="289" t="s">
        <v>1446</v>
      </c>
      <c r="AE653" s="289" t="s">
        <v>410</v>
      </c>
      <c r="AF653" s="290" t="s">
        <v>1447</v>
      </c>
      <c r="AG653" s="295">
        <v>42735</v>
      </c>
      <c r="AH653" s="290" t="s">
        <v>1448</v>
      </c>
      <c r="AI653" s="289">
        <v>0</v>
      </c>
      <c r="AJ653" s="289">
        <v>32990.49</v>
      </c>
    </row>
    <row r="654" spans="2:36">
      <c r="B654" s="290">
        <v>2111</v>
      </c>
      <c r="C654" s="294">
        <v>173291</v>
      </c>
      <c r="D654" s="290" t="s">
        <v>944</v>
      </c>
      <c r="E654" s="289" t="s">
        <v>2313</v>
      </c>
      <c r="F654" s="290">
        <v>0</v>
      </c>
      <c r="G654" s="289"/>
      <c r="H654" s="289" t="s">
        <v>2314</v>
      </c>
      <c r="I654" s="289"/>
      <c r="J654" s="289">
        <v>2005</v>
      </c>
      <c r="K654" s="289" t="s">
        <v>2315</v>
      </c>
      <c r="L654" s="289" t="s">
        <v>2316</v>
      </c>
      <c r="M654" s="289" t="s">
        <v>1907</v>
      </c>
      <c r="N654" s="293">
        <v>38139</v>
      </c>
      <c r="O654" s="293">
        <v>38139</v>
      </c>
      <c r="P654" s="289">
        <v>42111007</v>
      </c>
      <c r="Q654" s="290">
        <v>1000</v>
      </c>
      <c r="R654" s="290">
        <v>14040</v>
      </c>
      <c r="S654" s="291">
        <v>86270.65</v>
      </c>
      <c r="T654" s="290">
        <v>14046</v>
      </c>
      <c r="U654" s="291">
        <v>86270.65</v>
      </c>
      <c r="V654" s="291">
        <f t="shared" ref="V654:V717" si="10">S654-U654</f>
        <v>0</v>
      </c>
      <c r="W654" s="292">
        <v>0</v>
      </c>
      <c r="X654" s="290">
        <v>51260</v>
      </c>
      <c r="Y654" s="291">
        <v>0</v>
      </c>
      <c r="Z654" s="289" t="s">
        <v>944</v>
      </c>
      <c r="AA654" s="289">
        <v>0</v>
      </c>
      <c r="AB654" s="289">
        <v>849860</v>
      </c>
      <c r="AC654" s="289">
        <v>409</v>
      </c>
      <c r="AD654" s="289" t="s">
        <v>1446</v>
      </c>
      <c r="AE654" s="289" t="s">
        <v>410</v>
      </c>
      <c r="AF654" s="290" t="s">
        <v>1447</v>
      </c>
      <c r="AG654" s="295">
        <v>42735</v>
      </c>
      <c r="AH654" s="290" t="s">
        <v>1448</v>
      </c>
      <c r="AI654" s="289">
        <v>0</v>
      </c>
      <c r="AJ654" s="289">
        <v>86270.65</v>
      </c>
    </row>
    <row r="655" spans="2:36">
      <c r="B655" s="290">
        <v>2111</v>
      </c>
      <c r="C655" s="294">
        <v>173290</v>
      </c>
      <c r="D655" s="290" t="s">
        <v>944</v>
      </c>
      <c r="E655" s="289" t="s">
        <v>2317</v>
      </c>
      <c r="F655" s="290">
        <v>0</v>
      </c>
      <c r="G655" s="289"/>
      <c r="H655" s="289" t="s">
        <v>2318</v>
      </c>
      <c r="I655" s="289"/>
      <c r="J655" s="289">
        <v>2013</v>
      </c>
      <c r="K655" s="289" t="s">
        <v>2300</v>
      </c>
      <c r="L655" s="289" t="s">
        <v>2301</v>
      </c>
      <c r="M655" s="289" t="s">
        <v>1746</v>
      </c>
      <c r="N655" s="293">
        <v>41228</v>
      </c>
      <c r="O655" s="293">
        <v>41228</v>
      </c>
      <c r="P655" s="289" t="s">
        <v>2319</v>
      </c>
      <c r="Q655" s="290">
        <v>1000</v>
      </c>
      <c r="R655" s="290">
        <v>14040</v>
      </c>
      <c r="S655" s="291">
        <v>249751.74</v>
      </c>
      <c r="T655" s="290">
        <v>14046</v>
      </c>
      <c r="U655" s="291">
        <v>243507.91</v>
      </c>
      <c r="V655" s="291">
        <f t="shared" si="10"/>
        <v>6243.8299999999872</v>
      </c>
      <c r="W655" s="292">
        <v>14568.93</v>
      </c>
      <c r="X655" s="290">
        <v>51260</v>
      </c>
      <c r="Y655" s="291">
        <v>2081.2800000000002</v>
      </c>
      <c r="Z655" s="289" t="s">
        <v>944</v>
      </c>
      <c r="AA655" s="289"/>
      <c r="AB655" s="289">
        <v>4101964</v>
      </c>
      <c r="AC655" s="289">
        <v>629</v>
      </c>
      <c r="AD655" s="289" t="s">
        <v>1446</v>
      </c>
      <c r="AE655" s="289" t="s">
        <v>410</v>
      </c>
      <c r="AF655" s="290" t="s">
        <v>1447</v>
      </c>
      <c r="AG655" s="295">
        <v>42735</v>
      </c>
      <c r="AH655" s="290" t="s">
        <v>1448</v>
      </c>
      <c r="AI655" s="289">
        <v>0</v>
      </c>
      <c r="AJ655" s="289">
        <v>104063.18</v>
      </c>
    </row>
    <row r="656" spans="2:36">
      <c r="B656" s="290">
        <v>2111</v>
      </c>
      <c r="C656" s="294">
        <v>173289</v>
      </c>
      <c r="D656" s="290" t="s">
        <v>944</v>
      </c>
      <c r="E656" s="289" t="s">
        <v>2320</v>
      </c>
      <c r="F656" s="290">
        <v>486</v>
      </c>
      <c r="G656" s="289"/>
      <c r="H656" s="289"/>
      <c r="I656" s="289"/>
      <c r="J656" s="289">
        <v>0</v>
      </c>
      <c r="K656" s="289" t="s">
        <v>2245</v>
      </c>
      <c r="L656" s="289"/>
      <c r="M656" s="289"/>
      <c r="N656" s="293">
        <v>41177</v>
      </c>
      <c r="O656" s="293">
        <v>41177</v>
      </c>
      <c r="P656" s="289" t="s">
        <v>2321</v>
      </c>
      <c r="Q656" s="290">
        <v>700</v>
      </c>
      <c r="R656" s="290">
        <v>14050</v>
      </c>
      <c r="S656" s="291">
        <v>25116.76</v>
      </c>
      <c r="T656" s="290">
        <v>14056</v>
      </c>
      <c r="U656" s="291">
        <v>25116.76</v>
      </c>
      <c r="V656" s="291">
        <f t="shared" si="10"/>
        <v>0</v>
      </c>
      <c r="W656" s="292">
        <v>0</v>
      </c>
      <c r="X656" s="290">
        <v>54260</v>
      </c>
      <c r="Y656" s="291">
        <v>0</v>
      </c>
      <c r="Z656" s="289" t="s">
        <v>944</v>
      </c>
      <c r="AA656" s="289"/>
      <c r="AB656" s="289" t="s">
        <v>2322</v>
      </c>
      <c r="AC656" s="289"/>
      <c r="AD656" s="289" t="s">
        <v>1446</v>
      </c>
      <c r="AE656" s="289" t="s">
        <v>410</v>
      </c>
      <c r="AF656" s="290" t="s">
        <v>1447</v>
      </c>
      <c r="AG656" s="295">
        <v>42735</v>
      </c>
      <c r="AH656" s="290" t="s">
        <v>1448</v>
      </c>
      <c r="AI656" s="289">
        <v>0</v>
      </c>
      <c r="AJ656" s="289">
        <v>15249.47</v>
      </c>
    </row>
    <row r="657" spans="2:36">
      <c r="B657" s="290">
        <v>2111</v>
      </c>
      <c r="C657" s="294">
        <v>173288</v>
      </c>
      <c r="D657" s="290" t="s">
        <v>944</v>
      </c>
      <c r="E657" s="289" t="s">
        <v>2323</v>
      </c>
      <c r="F657" s="290">
        <v>0</v>
      </c>
      <c r="G657" s="289"/>
      <c r="H657" s="289" t="s">
        <v>2324</v>
      </c>
      <c r="I657" s="289"/>
      <c r="J657" s="289">
        <v>2010</v>
      </c>
      <c r="K657" s="289" t="s">
        <v>2325</v>
      </c>
      <c r="L657" s="289" t="s">
        <v>2326</v>
      </c>
      <c r="M657" s="289" t="s">
        <v>2021</v>
      </c>
      <c r="N657" s="293">
        <v>41030</v>
      </c>
      <c r="O657" s="293">
        <v>41030</v>
      </c>
      <c r="P657" s="289" t="s">
        <v>2327</v>
      </c>
      <c r="Q657" s="290">
        <v>300</v>
      </c>
      <c r="R657" s="290">
        <v>14040</v>
      </c>
      <c r="S657" s="291">
        <v>26700</v>
      </c>
      <c r="T657" s="290">
        <v>14046</v>
      </c>
      <c r="U657" s="291">
        <v>26700</v>
      </c>
      <c r="V657" s="291">
        <f t="shared" si="10"/>
        <v>0</v>
      </c>
      <c r="W657" s="292">
        <v>0</v>
      </c>
      <c r="X657" s="290">
        <v>51260</v>
      </c>
      <c r="Y657" s="291">
        <v>0</v>
      </c>
      <c r="Z657" s="289" t="s">
        <v>944</v>
      </c>
      <c r="AA657" s="289"/>
      <c r="AB657" s="289">
        <v>4102012</v>
      </c>
      <c r="AC657" s="289">
        <v>9</v>
      </c>
      <c r="AD657" s="289" t="s">
        <v>1446</v>
      </c>
      <c r="AE657" s="289" t="s">
        <v>410</v>
      </c>
      <c r="AF657" s="290" t="s">
        <v>1447</v>
      </c>
      <c r="AG657" s="295">
        <v>42735</v>
      </c>
      <c r="AH657" s="290" t="s">
        <v>1448</v>
      </c>
      <c r="AI657" s="289">
        <v>0</v>
      </c>
      <c r="AJ657" s="289">
        <v>26700</v>
      </c>
    </row>
    <row r="658" spans="2:36">
      <c r="B658" s="290">
        <v>2111</v>
      </c>
      <c r="C658" s="294">
        <v>173287</v>
      </c>
      <c r="D658" s="290">
        <v>59664</v>
      </c>
      <c r="E658" s="289" t="s">
        <v>2328</v>
      </c>
      <c r="F658" s="290">
        <v>0</v>
      </c>
      <c r="G658" s="289"/>
      <c r="H658" s="289" t="s">
        <v>2329</v>
      </c>
      <c r="I658" s="289"/>
      <c r="J658" s="289">
        <v>2008</v>
      </c>
      <c r="K658" s="289"/>
      <c r="L658" s="289"/>
      <c r="M658" s="289" t="s">
        <v>1523</v>
      </c>
      <c r="N658" s="293">
        <v>39661</v>
      </c>
      <c r="O658" s="293">
        <v>39661</v>
      </c>
      <c r="P658" s="289" t="s">
        <v>2330</v>
      </c>
      <c r="Q658" s="290">
        <v>900</v>
      </c>
      <c r="R658" s="290">
        <v>14040</v>
      </c>
      <c r="S658" s="291">
        <v>113448.07</v>
      </c>
      <c r="T658" s="290">
        <v>14046</v>
      </c>
      <c r="U658" s="291">
        <v>113448.07</v>
      </c>
      <c r="V658" s="291">
        <f t="shared" si="10"/>
        <v>0</v>
      </c>
      <c r="W658" s="292">
        <v>0</v>
      </c>
      <c r="X658" s="290">
        <v>51260</v>
      </c>
      <c r="Y658" s="291">
        <v>0</v>
      </c>
      <c r="Z658" s="289" t="s">
        <v>944</v>
      </c>
      <c r="AA658" s="289"/>
      <c r="AB658" s="289" t="s">
        <v>2331</v>
      </c>
      <c r="AC658" s="289"/>
      <c r="AD658" s="289" t="s">
        <v>1446</v>
      </c>
      <c r="AE658" s="289" t="s">
        <v>410</v>
      </c>
      <c r="AF658" s="290" t="s">
        <v>1447</v>
      </c>
      <c r="AG658" s="295">
        <v>42735</v>
      </c>
      <c r="AH658" s="290" t="s">
        <v>1448</v>
      </c>
      <c r="AI658" s="289">
        <v>0</v>
      </c>
      <c r="AJ658" s="289">
        <v>106094.88</v>
      </c>
    </row>
    <row r="659" spans="2:36">
      <c r="B659" s="290">
        <v>2111</v>
      </c>
      <c r="C659" s="294">
        <v>173286</v>
      </c>
      <c r="D659" s="290" t="s">
        <v>944</v>
      </c>
      <c r="E659" s="289" t="s">
        <v>2332</v>
      </c>
      <c r="F659" s="290">
        <v>0</v>
      </c>
      <c r="G659" s="289"/>
      <c r="H659" s="289"/>
      <c r="I659" s="289"/>
      <c r="J659" s="289">
        <v>0</v>
      </c>
      <c r="K659" s="289" t="s">
        <v>2333</v>
      </c>
      <c r="L659" s="289"/>
      <c r="M659" s="289"/>
      <c r="N659" s="293">
        <v>40892</v>
      </c>
      <c r="O659" s="293">
        <v>40892</v>
      </c>
      <c r="P659" s="289" t="s">
        <v>2334</v>
      </c>
      <c r="Q659" s="290">
        <v>500</v>
      </c>
      <c r="R659" s="290">
        <v>14070</v>
      </c>
      <c r="S659" s="291">
        <v>131.16</v>
      </c>
      <c r="T659" s="290">
        <v>14076</v>
      </c>
      <c r="U659" s="291">
        <v>131.16</v>
      </c>
      <c r="V659" s="291">
        <f t="shared" si="10"/>
        <v>0</v>
      </c>
      <c r="W659" s="292">
        <v>0</v>
      </c>
      <c r="X659" s="290">
        <v>51260</v>
      </c>
      <c r="Y659" s="291">
        <v>0</v>
      </c>
      <c r="Z659" s="289" t="s">
        <v>944</v>
      </c>
      <c r="AA659" s="289"/>
      <c r="AB659" s="289">
        <v>5003166</v>
      </c>
      <c r="AC659" s="289"/>
      <c r="AD659" s="289" t="s">
        <v>1446</v>
      </c>
      <c r="AE659" s="289" t="s">
        <v>410</v>
      </c>
      <c r="AF659" s="290" t="s">
        <v>1447</v>
      </c>
      <c r="AG659" s="295">
        <v>42735</v>
      </c>
      <c r="AH659" s="290" t="s">
        <v>1448</v>
      </c>
      <c r="AI659" s="289">
        <v>0</v>
      </c>
      <c r="AJ659" s="289">
        <v>131.16</v>
      </c>
    </row>
    <row r="660" spans="2:36">
      <c r="B660" s="290">
        <v>2111</v>
      </c>
      <c r="C660" s="294">
        <v>173285</v>
      </c>
      <c r="D660" s="290" t="s">
        <v>944</v>
      </c>
      <c r="E660" s="289" t="s">
        <v>2335</v>
      </c>
      <c r="F660" s="290">
        <v>0</v>
      </c>
      <c r="G660" s="289"/>
      <c r="H660" s="289"/>
      <c r="I660" s="289"/>
      <c r="J660" s="289">
        <v>0</v>
      </c>
      <c r="K660" s="289" t="s">
        <v>2333</v>
      </c>
      <c r="L660" s="289"/>
      <c r="M660" s="289"/>
      <c r="N660" s="293">
        <v>40892</v>
      </c>
      <c r="O660" s="293">
        <v>40892</v>
      </c>
      <c r="P660" s="289" t="s">
        <v>2334</v>
      </c>
      <c r="Q660" s="290">
        <v>500</v>
      </c>
      <c r="R660" s="290">
        <v>14070</v>
      </c>
      <c r="S660" s="291">
        <v>2437.25</v>
      </c>
      <c r="T660" s="290">
        <v>14076</v>
      </c>
      <c r="U660" s="291">
        <v>2437.25</v>
      </c>
      <c r="V660" s="291">
        <f t="shared" si="10"/>
        <v>0</v>
      </c>
      <c r="W660" s="292">
        <v>0</v>
      </c>
      <c r="X660" s="290">
        <v>51260</v>
      </c>
      <c r="Y660" s="291">
        <v>0</v>
      </c>
      <c r="Z660" s="289" t="s">
        <v>944</v>
      </c>
      <c r="AA660" s="289"/>
      <c r="AB660" s="289">
        <v>5003157</v>
      </c>
      <c r="AC660" s="289"/>
      <c r="AD660" s="289" t="s">
        <v>1446</v>
      </c>
      <c r="AE660" s="289" t="s">
        <v>410</v>
      </c>
      <c r="AF660" s="290" t="s">
        <v>1447</v>
      </c>
      <c r="AG660" s="295">
        <v>42735</v>
      </c>
      <c r="AH660" s="290" t="s">
        <v>1448</v>
      </c>
      <c r="AI660" s="289">
        <v>0</v>
      </c>
      <c r="AJ660" s="289">
        <v>2437.25</v>
      </c>
    </row>
    <row r="661" spans="2:36">
      <c r="B661" s="290">
        <v>2111</v>
      </c>
      <c r="C661" s="294">
        <v>173284</v>
      </c>
      <c r="D661" s="290" t="s">
        <v>944</v>
      </c>
      <c r="E661" s="289" t="s">
        <v>2336</v>
      </c>
      <c r="F661" s="290">
        <v>0</v>
      </c>
      <c r="G661" s="289"/>
      <c r="H661" s="289" t="s">
        <v>2337</v>
      </c>
      <c r="I661" s="289"/>
      <c r="J661" s="289">
        <v>2012</v>
      </c>
      <c r="K661" s="289" t="s">
        <v>2338</v>
      </c>
      <c r="L661" s="289"/>
      <c r="M661" s="289" t="s">
        <v>2049</v>
      </c>
      <c r="N661" s="293">
        <v>40908</v>
      </c>
      <c r="O661" s="293">
        <v>40908</v>
      </c>
      <c r="P661" s="289" t="s">
        <v>2339</v>
      </c>
      <c r="Q661" s="290">
        <v>700</v>
      </c>
      <c r="R661" s="290">
        <v>14040</v>
      </c>
      <c r="S661" s="291">
        <v>105733.19</v>
      </c>
      <c r="T661" s="290">
        <v>14046</v>
      </c>
      <c r="U661" s="291">
        <v>105733.19</v>
      </c>
      <c r="V661" s="291">
        <f t="shared" si="10"/>
        <v>0</v>
      </c>
      <c r="W661" s="292">
        <v>0</v>
      </c>
      <c r="X661" s="290">
        <v>51260</v>
      </c>
      <c r="Y661" s="291">
        <v>0</v>
      </c>
      <c r="Z661" s="289" t="s">
        <v>944</v>
      </c>
      <c r="AA661" s="289"/>
      <c r="AB661" s="289" t="s">
        <v>2340</v>
      </c>
      <c r="AC661" s="289">
        <v>139</v>
      </c>
      <c r="AD661" s="289" t="s">
        <v>1446</v>
      </c>
      <c r="AE661" s="289" t="s">
        <v>410</v>
      </c>
      <c r="AF661" s="290" t="s">
        <v>1447</v>
      </c>
      <c r="AG661" s="295">
        <v>42735</v>
      </c>
      <c r="AH661" s="290" t="s">
        <v>1448</v>
      </c>
      <c r="AI661" s="289">
        <v>0</v>
      </c>
      <c r="AJ661" s="289">
        <v>75523.7</v>
      </c>
    </row>
    <row r="662" spans="2:36">
      <c r="B662" s="290">
        <v>2111</v>
      </c>
      <c r="C662" s="294">
        <v>173283</v>
      </c>
      <c r="D662" s="290" t="s">
        <v>944</v>
      </c>
      <c r="E662" s="289" t="s">
        <v>2341</v>
      </c>
      <c r="F662" s="290">
        <v>624</v>
      </c>
      <c r="G662" s="289"/>
      <c r="H662" s="289"/>
      <c r="I662" s="289"/>
      <c r="J662" s="289">
        <v>0</v>
      </c>
      <c r="K662" s="289" t="s">
        <v>2342</v>
      </c>
      <c r="L662" s="289"/>
      <c r="M662" s="289"/>
      <c r="N662" s="293">
        <v>40663</v>
      </c>
      <c r="O662" s="293">
        <v>40663</v>
      </c>
      <c r="P662" s="289" t="s">
        <v>2343</v>
      </c>
      <c r="Q662" s="290">
        <v>700</v>
      </c>
      <c r="R662" s="290">
        <v>14050</v>
      </c>
      <c r="S662" s="291">
        <v>32802.68</v>
      </c>
      <c r="T662" s="290">
        <v>14056</v>
      </c>
      <c r="U662" s="291">
        <v>32802.68</v>
      </c>
      <c r="V662" s="291">
        <f t="shared" si="10"/>
        <v>0</v>
      </c>
      <c r="W662" s="292">
        <v>0</v>
      </c>
      <c r="X662" s="290">
        <v>54260</v>
      </c>
      <c r="Y662" s="291">
        <v>0</v>
      </c>
      <c r="Z662" s="289" t="s">
        <v>944</v>
      </c>
      <c r="AA662" s="289"/>
      <c r="AB662" s="289">
        <v>276819</v>
      </c>
      <c r="AC662" s="289"/>
      <c r="AD662" s="289" t="s">
        <v>1446</v>
      </c>
      <c r="AE662" s="289" t="s">
        <v>410</v>
      </c>
      <c r="AF662" s="290" t="s">
        <v>1447</v>
      </c>
      <c r="AG662" s="295">
        <v>42735</v>
      </c>
      <c r="AH662" s="290" t="s">
        <v>1448</v>
      </c>
      <c r="AI662" s="289">
        <v>0</v>
      </c>
      <c r="AJ662" s="289">
        <v>26554.57</v>
      </c>
    </row>
    <row r="663" spans="2:36">
      <c r="B663" s="290">
        <v>2111</v>
      </c>
      <c r="C663" s="294">
        <v>173282</v>
      </c>
      <c r="D663" s="290" t="s">
        <v>944</v>
      </c>
      <c r="E663" s="289" t="s">
        <v>2344</v>
      </c>
      <c r="F663" s="290">
        <v>624</v>
      </c>
      <c r="G663" s="289"/>
      <c r="H663" s="289"/>
      <c r="I663" s="289"/>
      <c r="J663" s="289">
        <v>0</v>
      </c>
      <c r="K663" s="289" t="s">
        <v>2345</v>
      </c>
      <c r="L663" s="289"/>
      <c r="M663" s="289"/>
      <c r="N663" s="293">
        <v>40644</v>
      </c>
      <c r="O663" s="293">
        <v>40644</v>
      </c>
      <c r="P663" s="289" t="s">
        <v>2343</v>
      </c>
      <c r="Q663" s="290">
        <v>700</v>
      </c>
      <c r="R663" s="290">
        <v>14050</v>
      </c>
      <c r="S663" s="291">
        <v>32802.68</v>
      </c>
      <c r="T663" s="290">
        <v>14056</v>
      </c>
      <c r="U663" s="291">
        <v>32802.68</v>
      </c>
      <c r="V663" s="291">
        <f t="shared" si="10"/>
        <v>0</v>
      </c>
      <c r="W663" s="292">
        <v>0</v>
      </c>
      <c r="X663" s="290">
        <v>54260</v>
      </c>
      <c r="Y663" s="291">
        <v>0</v>
      </c>
      <c r="Z663" s="289" t="s">
        <v>944</v>
      </c>
      <c r="AA663" s="289"/>
      <c r="AB663" s="289">
        <v>276532</v>
      </c>
      <c r="AC663" s="289"/>
      <c r="AD663" s="289" t="s">
        <v>1446</v>
      </c>
      <c r="AE663" s="289" t="s">
        <v>410</v>
      </c>
      <c r="AF663" s="290" t="s">
        <v>1447</v>
      </c>
      <c r="AG663" s="295">
        <v>42735</v>
      </c>
      <c r="AH663" s="290" t="s">
        <v>1448</v>
      </c>
      <c r="AI663" s="289">
        <v>0</v>
      </c>
      <c r="AJ663" s="289">
        <v>26945.07</v>
      </c>
    </row>
    <row r="664" spans="2:36">
      <c r="B664" s="290">
        <v>2111</v>
      </c>
      <c r="C664" s="294">
        <v>173281</v>
      </c>
      <c r="D664" s="290" t="s">
        <v>944</v>
      </c>
      <c r="E664" s="289" t="s">
        <v>2346</v>
      </c>
      <c r="F664" s="290">
        <v>0</v>
      </c>
      <c r="G664" s="289"/>
      <c r="H664" s="289"/>
      <c r="I664" s="289"/>
      <c r="J664" s="289">
        <v>0</v>
      </c>
      <c r="K664" s="289" t="s">
        <v>2347</v>
      </c>
      <c r="L664" s="289"/>
      <c r="M664" s="289"/>
      <c r="N664" s="293">
        <v>40527</v>
      </c>
      <c r="O664" s="293">
        <v>40527</v>
      </c>
      <c r="P664" s="289" t="s">
        <v>2348</v>
      </c>
      <c r="Q664" s="290">
        <v>300</v>
      </c>
      <c r="R664" s="290">
        <v>14110</v>
      </c>
      <c r="S664" s="291">
        <v>875</v>
      </c>
      <c r="T664" s="290">
        <v>14116</v>
      </c>
      <c r="U664" s="291">
        <v>875</v>
      </c>
      <c r="V664" s="291">
        <f t="shared" si="10"/>
        <v>0</v>
      </c>
      <c r="W664" s="292">
        <v>0</v>
      </c>
      <c r="X664" s="290">
        <v>70260</v>
      </c>
      <c r="Y664" s="291">
        <v>0</v>
      </c>
      <c r="Z664" s="289" t="s">
        <v>944</v>
      </c>
      <c r="AA664" s="289"/>
      <c r="AB664" s="289">
        <v>11674</v>
      </c>
      <c r="AC664" s="289"/>
      <c r="AD664" s="289" t="s">
        <v>1446</v>
      </c>
      <c r="AE664" s="289" t="s">
        <v>410</v>
      </c>
      <c r="AF664" s="290" t="s">
        <v>1447</v>
      </c>
      <c r="AG664" s="295">
        <v>42735</v>
      </c>
      <c r="AH664" s="290" t="s">
        <v>1448</v>
      </c>
      <c r="AI664" s="289">
        <v>0</v>
      </c>
      <c r="AJ664" s="289">
        <v>875</v>
      </c>
    </row>
    <row r="665" spans="2:36">
      <c r="B665" s="290">
        <v>2111</v>
      </c>
      <c r="C665" s="294">
        <v>173280</v>
      </c>
      <c r="D665" s="290" t="s">
        <v>944</v>
      </c>
      <c r="E665" s="289" t="s">
        <v>514</v>
      </c>
      <c r="F665" s="290">
        <v>486</v>
      </c>
      <c r="G665" s="289"/>
      <c r="H665" s="289"/>
      <c r="I665" s="289"/>
      <c r="J665" s="289">
        <v>0</v>
      </c>
      <c r="K665" s="289" t="s">
        <v>2245</v>
      </c>
      <c r="L665" s="289"/>
      <c r="M665" s="289"/>
      <c r="N665" s="293">
        <v>40509</v>
      </c>
      <c r="O665" s="293">
        <v>40509</v>
      </c>
      <c r="P665" s="289" t="s">
        <v>2349</v>
      </c>
      <c r="Q665" s="290">
        <v>700</v>
      </c>
      <c r="R665" s="290">
        <v>14050</v>
      </c>
      <c r="S665" s="291">
        <v>23340.85</v>
      </c>
      <c r="T665" s="290">
        <v>14056</v>
      </c>
      <c r="U665" s="291">
        <v>23340.85</v>
      </c>
      <c r="V665" s="291">
        <f t="shared" si="10"/>
        <v>0</v>
      </c>
      <c r="W665" s="292">
        <v>0</v>
      </c>
      <c r="X665" s="290">
        <v>54260</v>
      </c>
      <c r="Y665" s="291">
        <v>0</v>
      </c>
      <c r="Z665" s="289" t="s">
        <v>944</v>
      </c>
      <c r="AA665" s="289"/>
      <c r="AB665" s="289" t="s">
        <v>2350</v>
      </c>
      <c r="AC665" s="289"/>
      <c r="AD665" s="289" t="s">
        <v>1446</v>
      </c>
      <c r="AE665" s="289" t="s">
        <v>410</v>
      </c>
      <c r="AF665" s="290" t="s">
        <v>1447</v>
      </c>
      <c r="AG665" s="295">
        <v>42735</v>
      </c>
      <c r="AH665" s="290" t="s">
        <v>1448</v>
      </c>
      <c r="AI665" s="289">
        <v>0</v>
      </c>
      <c r="AJ665" s="289">
        <v>20284.330000000002</v>
      </c>
    </row>
    <row r="666" spans="2:36">
      <c r="B666" s="290">
        <v>2111</v>
      </c>
      <c r="C666" s="294">
        <v>173279</v>
      </c>
      <c r="D666" s="290" t="s">
        <v>944</v>
      </c>
      <c r="E666" s="289" t="s">
        <v>514</v>
      </c>
      <c r="F666" s="290">
        <v>486</v>
      </c>
      <c r="G666" s="289"/>
      <c r="H666" s="289"/>
      <c r="I666" s="289"/>
      <c r="J666" s="289">
        <v>0</v>
      </c>
      <c r="K666" s="289" t="s">
        <v>2245</v>
      </c>
      <c r="L666" s="289"/>
      <c r="M666" s="289"/>
      <c r="N666" s="293">
        <v>40509</v>
      </c>
      <c r="O666" s="293">
        <v>40509</v>
      </c>
      <c r="P666" s="289" t="s">
        <v>2349</v>
      </c>
      <c r="Q666" s="290">
        <v>700</v>
      </c>
      <c r="R666" s="290">
        <v>14050</v>
      </c>
      <c r="S666" s="291">
        <v>23340.85</v>
      </c>
      <c r="T666" s="290">
        <v>14056</v>
      </c>
      <c r="U666" s="291">
        <v>23340.85</v>
      </c>
      <c r="V666" s="291">
        <f t="shared" si="10"/>
        <v>0</v>
      </c>
      <c r="W666" s="292">
        <v>0</v>
      </c>
      <c r="X666" s="290">
        <v>54260</v>
      </c>
      <c r="Y666" s="291">
        <v>0</v>
      </c>
      <c r="Z666" s="289" t="s">
        <v>944</v>
      </c>
      <c r="AA666" s="289"/>
      <c r="AB666" s="289" t="s">
        <v>2351</v>
      </c>
      <c r="AC666" s="289"/>
      <c r="AD666" s="289" t="s">
        <v>1446</v>
      </c>
      <c r="AE666" s="289" t="s">
        <v>410</v>
      </c>
      <c r="AF666" s="290" t="s">
        <v>1447</v>
      </c>
      <c r="AG666" s="295">
        <v>42735</v>
      </c>
      <c r="AH666" s="290" t="s">
        <v>1448</v>
      </c>
      <c r="AI666" s="289">
        <v>0</v>
      </c>
      <c r="AJ666" s="289">
        <v>20284.330000000002</v>
      </c>
    </row>
    <row r="667" spans="2:36">
      <c r="B667" s="290">
        <v>2111</v>
      </c>
      <c r="C667" s="294">
        <v>173278</v>
      </c>
      <c r="D667" s="290" t="s">
        <v>944</v>
      </c>
      <c r="E667" s="289" t="s">
        <v>2352</v>
      </c>
      <c r="F667" s="290">
        <v>9</v>
      </c>
      <c r="G667" s="289"/>
      <c r="H667" s="289"/>
      <c r="I667" s="289"/>
      <c r="J667" s="289">
        <v>0</v>
      </c>
      <c r="K667" s="289" t="s">
        <v>2257</v>
      </c>
      <c r="L667" s="289"/>
      <c r="M667" s="289" t="s">
        <v>1665</v>
      </c>
      <c r="N667" s="293">
        <v>40350</v>
      </c>
      <c r="O667" s="293">
        <v>40350</v>
      </c>
      <c r="P667" s="289" t="s">
        <v>2353</v>
      </c>
      <c r="Q667" s="290">
        <v>1200</v>
      </c>
      <c r="R667" s="290">
        <v>14050</v>
      </c>
      <c r="S667" s="291">
        <v>4033.17</v>
      </c>
      <c r="T667" s="290">
        <v>14056</v>
      </c>
      <c r="U667" s="291">
        <v>4033.17</v>
      </c>
      <c r="V667" s="291">
        <f t="shared" si="10"/>
        <v>0</v>
      </c>
      <c r="W667" s="292">
        <v>168.02</v>
      </c>
      <c r="X667" s="290">
        <v>54260</v>
      </c>
      <c r="Y667" s="291">
        <v>0</v>
      </c>
      <c r="Z667" s="289" t="s">
        <v>944</v>
      </c>
      <c r="AA667" s="289"/>
      <c r="AB667" s="289">
        <v>479340001</v>
      </c>
      <c r="AC667" s="289"/>
      <c r="AD667" s="289" t="s">
        <v>1446</v>
      </c>
      <c r="AE667" s="289" t="s">
        <v>410</v>
      </c>
      <c r="AF667" s="290" t="s">
        <v>1447</v>
      </c>
      <c r="AG667" s="295">
        <v>42735</v>
      </c>
      <c r="AH667" s="290" t="s">
        <v>1448</v>
      </c>
      <c r="AI667" s="289">
        <v>0</v>
      </c>
      <c r="AJ667" s="289">
        <v>2184.65</v>
      </c>
    </row>
    <row r="668" spans="2:36">
      <c r="B668" s="290">
        <v>2111</v>
      </c>
      <c r="C668" s="294">
        <v>173277</v>
      </c>
      <c r="D668" s="290" t="s">
        <v>944</v>
      </c>
      <c r="E668" s="289" t="s">
        <v>675</v>
      </c>
      <c r="F668" s="290">
        <v>10</v>
      </c>
      <c r="G668" s="289"/>
      <c r="H668" s="289"/>
      <c r="I668" s="289"/>
      <c r="J668" s="289">
        <v>0</v>
      </c>
      <c r="K668" s="289" t="s">
        <v>2257</v>
      </c>
      <c r="L668" s="289"/>
      <c r="M668" s="289" t="s">
        <v>1918</v>
      </c>
      <c r="N668" s="293">
        <v>40345</v>
      </c>
      <c r="O668" s="293">
        <v>40345</v>
      </c>
      <c r="P668" s="289" t="s">
        <v>2354</v>
      </c>
      <c r="Q668" s="290">
        <v>1200</v>
      </c>
      <c r="R668" s="290">
        <v>14050</v>
      </c>
      <c r="S668" s="291">
        <v>4109.68</v>
      </c>
      <c r="T668" s="290">
        <v>14056</v>
      </c>
      <c r="U668" s="291">
        <v>4109.68</v>
      </c>
      <c r="V668" s="291">
        <f t="shared" si="10"/>
        <v>0</v>
      </c>
      <c r="W668" s="292">
        <v>171.27</v>
      </c>
      <c r="X668" s="290">
        <v>54260</v>
      </c>
      <c r="Y668" s="291">
        <v>0</v>
      </c>
      <c r="Z668" s="289" t="s">
        <v>944</v>
      </c>
      <c r="AA668" s="289"/>
      <c r="AB668" s="289">
        <v>540990001</v>
      </c>
      <c r="AC668" s="289"/>
      <c r="AD668" s="289" t="s">
        <v>1446</v>
      </c>
      <c r="AE668" s="289" t="s">
        <v>410</v>
      </c>
      <c r="AF668" s="290" t="s">
        <v>1447</v>
      </c>
      <c r="AG668" s="295">
        <v>42735</v>
      </c>
      <c r="AH668" s="290" t="s">
        <v>1448</v>
      </c>
      <c r="AI668" s="289">
        <v>0</v>
      </c>
      <c r="AJ668" s="289">
        <v>2226.06</v>
      </c>
    </row>
    <row r="669" spans="2:36">
      <c r="B669" s="290">
        <v>2111</v>
      </c>
      <c r="C669" s="294">
        <v>173276</v>
      </c>
      <c r="D669" s="290" t="s">
        <v>944</v>
      </c>
      <c r="E669" s="289" t="s">
        <v>2355</v>
      </c>
      <c r="F669" s="290">
        <v>486</v>
      </c>
      <c r="G669" s="289"/>
      <c r="H669" s="289"/>
      <c r="I669" s="289"/>
      <c r="J669" s="289">
        <v>0</v>
      </c>
      <c r="K669" s="289" t="s">
        <v>2245</v>
      </c>
      <c r="L669" s="289"/>
      <c r="M669" s="289"/>
      <c r="N669" s="293">
        <v>40370</v>
      </c>
      <c r="O669" s="293">
        <v>40370</v>
      </c>
      <c r="P669" s="289" t="s">
        <v>2349</v>
      </c>
      <c r="Q669" s="290">
        <v>700</v>
      </c>
      <c r="R669" s="290">
        <v>14050</v>
      </c>
      <c r="S669" s="291">
        <v>24211.15</v>
      </c>
      <c r="T669" s="290">
        <v>14056</v>
      </c>
      <c r="U669" s="291">
        <v>24211.15</v>
      </c>
      <c r="V669" s="291">
        <f t="shared" si="10"/>
        <v>0</v>
      </c>
      <c r="W669" s="292">
        <v>0</v>
      </c>
      <c r="X669" s="290">
        <v>54260</v>
      </c>
      <c r="Y669" s="291">
        <v>0</v>
      </c>
      <c r="Z669" s="289" t="s">
        <v>944</v>
      </c>
      <c r="AA669" s="289"/>
      <c r="AB669" s="289" t="s">
        <v>2356</v>
      </c>
      <c r="AC669" s="289"/>
      <c r="AD669" s="289" t="s">
        <v>1446</v>
      </c>
      <c r="AE669" s="289" t="s">
        <v>410</v>
      </c>
      <c r="AF669" s="290" t="s">
        <v>1447</v>
      </c>
      <c r="AG669" s="295">
        <v>42735</v>
      </c>
      <c r="AH669" s="290" t="s">
        <v>1448</v>
      </c>
      <c r="AI669" s="289">
        <v>0</v>
      </c>
      <c r="AJ669" s="289">
        <v>22481.81</v>
      </c>
    </row>
    <row r="670" spans="2:36">
      <c r="B670" s="290">
        <v>2111</v>
      </c>
      <c r="C670" s="294">
        <v>173275</v>
      </c>
      <c r="D670" s="290" t="s">
        <v>944</v>
      </c>
      <c r="E670" s="289" t="s">
        <v>2357</v>
      </c>
      <c r="F670" s="290">
        <v>6</v>
      </c>
      <c r="G670" s="289"/>
      <c r="H670" s="289"/>
      <c r="I670" s="289"/>
      <c r="J670" s="289">
        <v>0</v>
      </c>
      <c r="K670" s="289" t="s">
        <v>2257</v>
      </c>
      <c r="L670" s="289"/>
      <c r="M670" s="289" t="s">
        <v>1662</v>
      </c>
      <c r="N670" s="293">
        <v>40357</v>
      </c>
      <c r="O670" s="293">
        <v>40357</v>
      </c>
      <c r="P670" s="289" t="s">
        <v>2358</v>
      </c>
      <c r="Q670" s="290">
        <v>1200</v>
      </c>
      <c r="R670" s="290">
        <v>14050</v>
      </c>
      <c r="S670" s="291">
        <v>5115.24</v>
      </c>
      <c r="T670" s="290">
        <v>14056</v>
      </c>
      <c r="U670" s="291">
        <v>5115.24</v>
      </c>
      <c r="V670" s="291">
        <f t="shared" si="10"/>
        <v>0</v>
      </c>
      <c r="W670" s="292">
        <v>213.25</v>
      </c>
      <c r="X670" s="290">
        <v>54260</v>
      </c>
      <c r="Y670" s="291">
        <v>0</v>
      </c>
      <c r="Z670" s="289" t="s">
        <v>944</v>
      </c>
      <c r="AA670" s="289"/>
      <c r="AB670" s="289">
        <v>48174</v>
      </c>
      <c r="AC670" s="289"/>
      <c r="AD670" s="289" t="s">
        <v>1446</v>
      </c>
      <c r="AE670" s="289" t="s">
        <v>410</v>
      </c>
      <c r="AF670" s="290" t="s">
        <v>1447</v>
      </c>
      <c r="AG670" s="295">
        <v>42735</v>
      </c>
      <c r="AH670" s="290" t="s">
        <v>1448</v>
      </c>
      <c r="AI670" s="289">
        <v>0</v>
      </c>
      <c r="AJ670" s="289">
        <v>2770.69</v>
      </c>
    </row>
    <row r="671" spans="2:36">
      <c r="B671" s="290">
        <v>2111</v>
      </c>
      <c r="C671" s="294">
        <v>173274</v>
      </c>
      <c r="D671" s="290" t="s">
        <v>944</v>
      </c>
      <c r="E671" s="289" t="s">
        <v>2357</v>
      </c>
      <c r="F671" s="290">
        <v>10</v>
      </c>
      <c r="G671" s="289"/>
      <c r="H671" s="289"/>
      <c r="I671" s="289"/>
      <c r="J671" s="289">
        <v>0</v>
      </c>
      <c r="K671" s="289" t="s">
        <v>2257</v>
      </c>
      <c r="L671" s="289"/>
      <c r="M671" s="289" t="s">
        <v>1662</v>
      </c>
      <c r="N671" s="293">
        <v>40357</v>
      </c>
      <c r="O671" s="293">
        <v>40357</v>
      </c>
      <c r="P671" s="289" t="s">
        <v>2358</v>
      </c>
      <c r="Q671" s="290">
        <v>1200</v>
      </c>
      <c r="R671" s="290">
        <v>14050</v>
      </c>
      <c r="S671" s="291">
        <v>8525.4</v>
      </c>
      <c r="T671" s="290">
        <v>14056</v>
      </c>
      <c r="U671" s="291">
        <v>8525.4</v>
      </c>
      <c r="V671" s="291">
        <f t="shared" si="10"/>
        <v>0</v>
      </c>
      <c r="W671" s="292">
        <v>355.22</v>
      </c>
      <c r="X671" s="290">
        <v>54260</v>
      </c>
      <c r="Y671" s="291">
        <v>0</v>
      </c>
      <c r="Z671" s="289" t="s">
        <v>944</v>
      </c>
      <c r="AA671" s="289"/>
      <c r="AB671" s="289">
        <v>48162</v>
      </c>
      <c r="AC671" s="289"/>
      <c r="AD671" s="289" t="s">
        <v>1446</v>
      </c>
      <c r="AE671" s="289" t="s">
        <v>410</v>
      </c>
      <c r="AF671" s="290" t="s">
        <v>1447</v>
      </c>
      <c r="AG671" s="295">
        <v>42735</v>
      </c>
      <c r="AH671" s="290" t="s">
        <v>1448</v>
      </c>
      <c r="AI671" s="289">
        <v>0</v>
      </c>
      <c r="AJ671" s="289">
        <v>4617.93</v>
      </c>
    </row>
    <row r="672" spans="2:36">
      <c r="B672" s="290">
        <v>2111</v>
      </c>
      <c r="C672" s="294">
        <v>173273</v>
      </c>
      <c r="D672" s="290">
        <v>11501</v>
      </c>
      <c r="E672" s="289" t="s">
        <v>2359</v>
      </c>
      <c r="F672" s="290">
        <v>0</v>
      </c>
      <c r="G672" s="289"/>
      <c r="H672" s="289"/>
      <c r="I672" s="289"/>
      <c r="J672" s="289">
        <v>0</v>
      </c>
      <c r="K672" s="289"/>
      <c r="L672" s="289"/>
      <c r="M672" s="289" t="s">
        <v>1467</v>
      </c>
      <c r="N672" s="293">
        <v>40267</v>
      </c>
      <c r="O672" s="293">
        <v>40267</v>
      </c>
      <c r="P672" s="289" t="s">
        <v>2360</v>
      </c>
      <c r="Q672" s="290">
        <v>300</v>
      </c>
      <c r="R672" s="290">
        <v>14040</v>
      </c>
      <c r="S672" s="291">
        <v>3781.69</v>
      </c>
      <c r="T672" s="290">
        <v>14046</v>
      </c>
      <c r="U672" s="291">
        <v>3781.69</v>
      </c>
      <c r="V672" s="291">
        <f t="shared" si="10"/>
        <v>0</v>
      </c>
      <c r="W672" s="292">
        <v>0</v>
      </c>
      <c r="X672" s="290">
        <v>51260</v>
      </c>
      <c r="Y672" s="291">
        <v>0</v>
      </c>
      <c r="Z672" s="289" t="s">
        <v>944</v>
      </c>
      <c r="AA672" s="289"/>
      <c r="AB672" s="289">
        <v>81133</v>
      </c>
      <c r="AC672" s="289"/>
      <c r="AD672" s="289" t="s">
        <v>1446</v>
      </c>
      <c r="AE672" s="289" t="s">
        <v>410</v>
      </c>
      <c r="AF672" s="290" t="s">
        <v>1447</v>
      </c>
      <c r="AG672" s="295">
        <v>42735</v>
      </c>
      <c r="AH672" s="290" t="s">
        <v>1448</v>
      </c>
      <c r="AI672" s="289">
        <v>0</v>
      </c>
      <c r="AJ672" s="289">
        <v>3781.69</v>
      </c>
    </row>
    <row r="673" spans="2:36">
      <c r="B673" s="290">
        <v>2111</v>
      </c>
      <c r="C673" s="294">
        <v>173272</v>
      </c>
      <c r="D673" s="290">
        <v>11501</v>
      </c>
      <c r="E673" s="289" t="s">
        <v>2361</v>
      </c>
      <c r="F673" s="290">
        <v>0</v>
      </c>
      <c r="G673" s="289"/>
      <c r="H673" s="289"/>
      <c r="I673" s="289"/>
      <c r="J673" s="289">
        <v>0</v>
      </c>
      <c r="K673" s="289"/>
      <c r="L673" s="289"/>
      <c r="M673" s="289" t="s">
        <v>1467</v>
      </c>
      <c r="N673" s="293">
        <v>40267</v>
      </c>
      <c r="O673" s="293">
        <v>40267</v>
      </c>
      <c r="P673" s="289" t="s">
        <v>2360</v>
      </c>
      <c r="Q673" s="290">
        <v>300</v>
      </c>
      <c r="R673" s="290">
        <v>14040</v>
      </c>
      <c r="S673" s="291">
        <v>4257.24</v>
      </c>
      <c r="T673" s="290">
        <v>14046</v>
      </c>
      <c r="U673" s="291">
        <v>4257.24</v>
      </c>
      <c r="V673" s="291">
        <f t="shared" si="10"/>
        <v>0</v>
      </c>
      <c r="W673" s="292">
        <v>0</v>
      </c>
      <c r="X673" s="290">
        <v>51260</v>
      </c>
      <c r="Y673" s="291">
        <v>0</v>
      </c>
      <c r="Z673" s="289" t="s">
        <v>944</v>
      </c>
      <c r="AA673" s="289"/>
      <c r="AB673" s="289" t="s">
        <v>2362</v>
      </c>
      <c r="AC673" s="289"/>
      <c r="AD673" s="289" t="s">
        <v>1446</v>
      </c>
      <c r="AE673" s="289" t="s">
        <v>410</v>
      </c>
      <c r="AF673" s="290" t="s">
        <v>1447</v>
      </c>
      <c r="AG673" s="295">
        <v>42735</v>
      </c>
      <c r="AH673" s="290" t="s">
        <v>1448</v>
      </c>
      <c r="AI673" s="289">
        <v>0</v>
      </c>
      <c r="AJ673" s="289">
        <v>4257.24</v>
      </c>
    </row>
    <row r="674" spans="2:36">
      <c r="B674" s="290">
        <v>2111</v>
      </c>
      <c r="C674" s="294">
        <v>173271</v>
      </c>
      <c r="D674" s="290" t="s">
        <v>944</v>
      </c>
      <c r="E674" s="289" t="s">
        <v>2363</v>
      </c>
      <c r="F674" s="290">
        <v>624</v>
      </c>
      <c r="G674" s="289"/>
      <c r="H674" s="289"/>
      <c r="I674" s="289"/>
      <c r="J674" s="289">
        <v>0</v>
      </c>
      <c r="K674" s="289" t="s">
        <v>2342</v>
      </c>
      <c r="L674" s="289"/>
      <c r="M674" s="289"/>
      <c r="N674" s="293">
        <v>40071</v>
      </c>
      <c r="O674" s="293">
        <v>40071</v>
      </c>
      <c r="P674" s="289" t="s">
        <v>2364</v>
      </c>
      <c r="Q674" s="290">
        <v>700</v>
      </c>
      <c r="R674" s="290">
        <v>14050</v>
      </c>
      <c r="S674" s="291">
        <v>29186.16</v>
      </c>
      <c r="T674" s="290">
        <v>14056</v>
      </c>
      <c r="U674" s="291">
        <v>29186.16</v>
      </c>
      <c r="V674" s="291">
        <f t="shared" si="10"/>
        <v>0</v>
      </c>
      <c r="W674" s="292">
        <v>0</v>
      </c>
      <c r="X674" s="290">
        <v>54260</v>
      </c>
      <c r="Y674" s="291">
        <v>0</v>
      </c>
      <c r="Z674" s="289" t="s">
        <v>944</v>
      </c>
      <c r="AA674" s="289"/>
      <c r="AB674" s="289" t="s">
        <v>2365</v>
      </c>
      <c r="AC674" s="289"/>
      <c r="AD674" s="289" t="s">
        <v>1446</v>
      </c>
      <c r="AE674" s="289" t="s">
        <v>410</v>
      </c>
      <c r="AF674" s="290" t="s">
        <v>1447</v>
      </c>
      <c r="AG674" s="295">
        <v>42735</v>
      </c>
      <c r="AH674" s="290" t="s">
        <v>1448</v>
      </c>
      <c r="AI674" s="289">
        <v>0</v>
      </c>
      <c r="AJ674" s="289">
        <v>29186.16</v>
      </c>
    </row>
    <row r="675" spans="2:36">
      <c r="B675" s="290">
        <v>2111</v>
      </c>
      <c r="C675" s="294">
        <v>173270</v>
      </c>
      <c r="D675" s="290" t="s">
        <v>944</v>
      </c>
      <c r="E675" s="289" t="s">
        <v>2366</v>
      </c>
      <c r="F675" s="290">
        <v>486</v>
      </c>
      <c r="G675" s="289"/>
      <c r="H675" s="289"/>
      <c r="I675" s="289"/>
      <c r="J675" s="289">
        <v>0</v>
      </c>
      <c r="K675" s="289" t="s">
        <v>2245</v>
      </c>
      <c r="L675" s="289"/>
      <c r="M675" s="289"/>
      <c r="N675" s="293">
        <v>39986</v>
      </c>
      <c r="O675" s="293">
        <v>39986</v>
      </c>
      <c r="P675" s="289" t="s">
        <v>2367</v>
      </c>
      <c r="Q675" s="290">
        <v>700</v>
      </c>
      <c r="R675" s="290">
        <v>14050</v>
      </c>
      <c r="S675" s="291">
        <v>23659.56</v>
      </c>
      <c r="T675" s="290">
        <v>14056</v>
      </c>
      <c r="U675" s="291">
        <v>23659.56</v>
      </c>
      <c r="V675" s="291">
        <f t="shared" si="10"/>
        <v>0</v>
      </c>
      <c r="W675" s="292">
        <v>0</v>
      </c>
      <c r="X675" s="290">
        <v>54260</v>
      </c>
      <c r="Y675" s="291">
        <v>0</v>
      </c>
      <c r="Z675" s="289" t="s">
        <v>944</v>
      </c>
      <c r="AA675" s="289"/>
      <c r="AB675" s="289" t="s">
        <v>2368</v>
      </c>
      <c r="AC675" s="289"/>
      <c r="AD675" s="289" t="s">
        <v>1446</v>
      </c>
      <c r="AE675" s="289" t="s">
        <v>410</v>
      </c>
      <c r="AF675" s="290" t="s">
        <v>1447</v>
      </c>
      <c r="AG675" s="295">
        <v>42735</v>
      </c>
      <c r="AH675" s="290" t="s">
        <v>1448</v>
      </c>
      <c r="AI675" s="289">
        <v>0</v>
      </c>
      <c r="AJ675" s="289">
        <v>23659.56</v>
      </c>
    </row>
    <row r="676" spans="2:36">
      <c r="B676" s="290">
        <v>2111</v>
      </c>
      <c r="C676" s="294">
        <v>173269</v>
      </c>
      <c r="D676" s="290">
        <v>65528</v>
      </c>
      <c r="E676" s="289" t="s">
        <v>2369</v>
      </c>
      <c r="F676" s="290">
        <v>0</v>
      </c>
      <c r="G676" s="289"/>
      <c r="H676" s="289" t="s">
        <v>2370</v>
      </c>
      <c r="I676" s="289"/>
      <c r="J676" s="289">
        <v>2009</v>
      </c>
      <c r="K676" s="289"/>
      <c r="L676" s="289"/>
      <c r="M676" s="289" t="s">
        <v>1746</v>
      </c>
      <c r="N676" s="293">
        <v>39946</v>
      </c>
      <c r="O676" s="293">
        <v>39946</v>
      </c>
      <c r="P676" s="289" t="s">
        <v>2371</v>
      </c>
      <c r="Q676" s="290">
        <v>1000</v>
      </c>
      <c r="R676" s="290">
        <v>14040</v>
      </c>
      <c r="S676" s="291">
        <v>8004.29</v>
      </c>
      <c r="T676" s="290">
        <v>14046</v>
      </c>
      <c r="U676" s="291">
        <v>8004.29</v>
      </c>
      <c r="V676" s="291">
        <f t="shared" si="10"/>
        <v>0</v>
      </c>
      <c r="W676" s="292">
        <v>0</v>
      </c>
      <c r="X676" s="290">
        <v>51260</v>
      </c>
      <c r="Y676" s="291">
        <v>0</v>
      </c>
      <c r="Z676" s="289" t="s">
        <v>944</v>
      </c>
      <c r="AA676" s="289"/>
      <c r="AB676" s="289" t="s">
        <v>2372</v>
      </c>
      <c r="AC676" s="289"/>
      <c r="AD676" s="289" t="s">
        <v>1446</v>
      </c>
      <c r="AE676" s="289" t="s">
        <v>410</v>
      </c>
      <c r="AF676" s="290" t="s">
        <v>1447</v>
      </c>
      <c r="AG676" s="295">
        <v>42735</v>
      </c>
      <c r="AH676" s="290" t="s">
        <v>1448</v>
      </c>
      <c r="AI676" s="289">
        <v>0</v>
      </c>
      <c r="AJ676" s="289">
        <v>6136.63</v>
      </c>
    </row>
    <row r="677" spans="2:36">
      <c r="B677" s="290">
        <v>2111</v>
      </c>
      <c r="C677" s="294">
        <v>173268</v>
      </c>
      <c r="D677" s="290">
        <v>64782</v>
      </c>
      <c r="E677" s="289" t="s">
        <v>2373</v>
      </c>
      <c r="F677" s="290">
        <v>0</v>
      </c>
      <c r="G677" s="289"/>
      <c r="H677" s="289">
        <v>203879</v>
      </c>
      <c r="I677" s="289"/>
      <c r="J677" s="289">
        <v>2007</v>
      </c>
      <c r="K677" s="289"/>
      <c r="L677" s="289"/>
      <c r="M677" s="289" t="s">
        <v>1495</v>
      </c>
      <c r="N677" s="293">
        <v>39934</v>
      </c>
      <c r="O677" s="293">
        <v>39934</v>
      </c>
      <c r="P677" s="289" t="s">
        <v>2374</v>
      </c>
      <c r="Q677" s="290">
        <v>800</v>
      </c>
      <c r="R677" s="290">
        <v>14040</v>
      </c>
      <c r="S677" s="291">
        <v>4174.1400000000003</v>
      </c>
      <c r="T677" s="290">
        <v>14046</v>
      </c>
      <c r="U677" s="291">
        <v>4174.1400000000003</v>
      </c>
      <c r="V677" s="291">
        <f t="shared" si="10"/>
        <v>0</v>
      </c>
      <c r="W677" s="292">
        <v>0</v>
      </c>
      <c r="X677" s="290">
        <v>51260</v>
      </c>
      <c r="Y677" s="291">
        <v>0</v>
      </c>
      <c r="Z677" s="289" t="s">
        <v>944</v>
      </c>
      <c r="AA677" s="289"/>
      <c r="AB677" s="289">
        <v>41960</v>
      </c>
      <c r="AC677" s="289"/>
      <c r="AD677" s="289" t="s">
        <v>1446</v>
      </c>
      <c r="AE677" s="289" t="s">
        <v>410</v>
      </c>
      <c r="AF677" s="290" t="s">
        <v>1447</v>
      </c>
      <c r="AG677" s="295">
        <v>42735</v>
      </c>
      <c r="AH677" s="290" t="s">
        <v>1448</v>
      </c>
      <c r="AI677" s="289">
        <v>0</v>
      </c>
      <c r="AJ677" s="289">
        <v>4000.24</v>
      </c>
    </row>
    <row r="678" spans="2:36">
      <c r="B678" s="290">
        <v>2111</v>
      </c>
      <c r="C678" s="294">
        <v>173267</v>
      </c>
      <c r="D678" s="290">
        <v>65528</v>
      </c>
      <c r="E678" s="289" t="s">
        <v>2375</v>
      </c>
      <c r="F678" s="290">
        <v>0</v>
      </c>
      <c r="G678" s="289"/>
      <c r="H678" s="289" t="s">
        <v>2370</v>
      </c>
      <c r="I678" s="289"/>
      <c r="J678" s="289">
        <v>2009</v>
      </c>
      <c r="K678" s="289"/>
      <c r="L678" s="289"/>
      <c r="M678" s="289" t="s">
        <v>1746</v>
      </c>
      <c r="N678" s="293">
        <v>39946</v>
      </c>
      <c r="O678" s="293">
        <v>39946</v>
      </c>
      <c r="P678" s="289" t="s">
        <v>2371</v>
      </c>
      <c r="Q678" s="290">
        <v>1000</v>
      </c>
      <c r="R678" s="290">
        <v>14040</v>
      </c>
      <c r="S678" s="291">
        <v>3443.78</v>
      </c>
      <c r="T678" s="290">
        <v>14046</v>
      </c>
      <c r="U678" s="291">
        <v>3443.78</v>
      </c>
      <c r="V678" s="291">
        <f t="shared" si="10"/>
        <v>0</v>
      </c>
      <c r="W678" s="292">
        <v>0</v>
      </c>
      <c r="X678" s="290">
        <v>51260</v>
      </c>
      <c r="Y678" s="291">
        <v>0</v>
      </c>
      <c r="Z678" s="289" t="s">
        <v>944</v>
      </c>
      <c r="AA678" s="289"/>
      <c r="AB678" s="289" t="s">
        <v>2376</v>
      </c>
      <c r="AC678" s="289"/>
      <c r="AD678" s="289" t="s">
        <v>1446</v>
      </c>
      <c r="AE678" s="289" t="s">
        <v>410</v>
      </c>
      <c r="AF678" s="290" t="s">
        <v>1447</v>
      </c>
      <c r="AG678" s="295">
        <v>42735</v>
      </c>
      <c r="AH678" s="290" t="s">
        <v>1448</v>
      </c>
      <c r="AI678" s="289">
        <v>0</v>
      </c>
      <c r="AJ678" s="289">
        <v>2640.25</v>
      </c>
    </row>
    <row r="679" spans="2:36">
      <c r="B679" s="290">
        <v>2111</v>
      </c>
      <c r="C679" s="294">
        <v>173266</v>
      </c>
      <c r="D679" s="290">
        <v>65003</v>
      </c>
      <c r="E679" s="289" t="s">
        <v>2377</v>
      </c>
      <c r="F679" s="290">
        <v>0</v>
      </c>
      <c r="G679" s="289"/>
      <c r="H679" s="289" t="s">
        <v>2370</v>
      </c>
      <c r="I679" s="289"/>
      <c r="J679" s="289">
        <v>2009</v>
      </c>
      <c r="K679" s="289" t="s">
        <v>2378</v>
      </c>
      <c r="L679" s="289" t="s">
        <v>1522</v>
      </c>
      <c r="M679" s="289" t="s">
        <v>1467</v>
      </c>
      <c r="N679" s="293">
        <v>39946</v>
      </c>
      <c r="O679" s="293">
        <v>39946</v>
      </c>
      <c r="P679" s="289" t="s">
        <v>2371</v>
      </c>
      <c r="Q679" s="290">
        <v>1000</v>
      </c>
      <c r="R679" s="290">
        <v>14040</v>
      </c>
      <c r="S679" s="291">
        <v>84814.3</v>
      </c>
      <c r="T679" s="290">
        <v>14046</v>
      </c>
      <c r="U679" s="291">
        <v>84814.3</v>
      </c>
      <c r="V679" s="291">
        <f t="shared" si="10"/>
        <v>0</v>
      </c>
      <c r="W679" s="292">
        <v>0</v>
      </c>
      <c r="X679" s="290">
        <v>51260</v>
      </c>
      <c r="Y679" s="291">
        <v>0</v>
      </c>
      <c r="Z679" s="289" t="s">
        <v>944</v>
      </c>
      <c r="AA679" s="289"/>
      <c r="AB679" s="289">
        <v>985871</v>
      </c>
      <c r="AC679" s="289"/>
      <c r="AD679" s="289" t="s">
        <v>1446</v>
      </c>
      <c r="AE679" s="289" t="s">
        <v>410</v>
      </c>
      <c r="AF679" s="290" t="s">
        <v>1447</v>
      </c>
      <c r="AG679" s="295">
        <v>42735</v>
      </c>
      <c r="AH679" s="290" t="s">
        <v>1448</v>
      </c>
      <c r="AI679" s="289">
        <v>0</v>
      </c>
      <c r="AJ679" s="289">
        <v>65024.3</v>
      </c>
    </row>
    <row r="680" spans="2:36">
      <c r="B680" s="290">
        <v>2111</v>
      </c>
      <c r="C680" s="294">
        <v>173265</v>
      </c>
      <c r="D680" s="290">
        <v>64782</v>
      </c>
      <c r="E680" s="289" t="s">
        <v>2379</v>
      </c>
      <c r="F680" s="290">
        <v>0</v>
      </c>
      <c r="G680" s="289"/>
      <c r="H680" s="289" t="s">
        <v>2380</v>
      </c>
      <c r="I680" s="289"/>
      <c r="J680" s="289">
        <v>2007</v>
      </c>
      <c r="K680" s="289"/>
      <c r="L680" s="289"/>
      <c r="M680" s="289" t="s">
        <v>1495</v>
      </c>
      <c r="N680" s="293">
        <v>39934</v>
      </c>
      <c r="O680" s="293">
        <v>39934</v>
      </c>
      <c r="P680" s="289" t="s">
        <v>2374</v>
      </c>
      <c r="Q680" s="290">
        <v>800</v>
      </c>
      <c r="R680" s="290">
        <v>14040</v>
      </c>
      <c r="S680" s="291">
        <v>18230.400000000001</v>
      </c>
      <c r="T680" s="290">
        <v>14046</v>
      </c>
      <c r="U680" s="291">
        <v>18230.400000000001</v>
      </c>
      <c r="V680" s="291">
        <f t="shared" si="10"/>
        <v>0</v>
      </c>
      <c r="W680" s="292">
        <v>0</v>
      </c>
      <c r="X680" s="290">
        <v>51260</v>
      </c>
      <c r="Y680" s="291">
        <v>0</v>
      </c>
      <c r="Z680" s="289" t="s">
        <v>944</v>
      </c>
      <c r="AA680" s="289"/>
      <c r="AB680" s="289" t="s">
        <v>2381</v>
      </c>
      <c r="AC680" s="289"/>
      <c r="AD680" s="289" t="s">
        <v>1446</v>
      </c>
      <c r="AE680" s="289" t="s">
        <v>410</v>
      </c>
      <c r="AF680" s="290" t="s">
        <v>1447</v>
      </c>
      <c r="AG680" s="295">
        <v>42735</v>
      </c>
      <c r="AH680" s="290" t="s">
        <v>1448</v>
      </c>
      <c r="AI680" s="289">
        <v>0</v>
      </c>
      <c r="AJ680" s="289">
        <v>17470.8</v>
      </c>
    </row>
    <row r="681" spans="2:36">
      <c r="B681" s="290">
        <v>2111</v>
      </c>
      <c r="C681" s="294">
        <v>173263</v>
      </c>
      <c r="D681" s="290" t="s">
        <v>944</v>
      </c>
      <c r="E681" s="289" t="s">
        <v>2382</v>
      </c>
      <c r="F681" s="290">
        <v>0</v>
      </c>
      <c r="G681" s="289"/>
      <c r="H681" s="289" t="s">
        <v>2383</v>
      </c>
      <c r="I681" s="289"/>
      <c r="J681" s="289">
        <v>2007</v>
      </c>
      <c r="K681" s="289" t="s">
        <v>2384</v>
      </c>
      <c r="L681" s="289" t="s">
        <v>1522</v>
      </c>
      <c r="M681" s="289" t="s">
        <v>1495</v>
      </c>
      <c r="N681" s="293">
        <v>39934</v>
      </c>
      <c r="O681" s="293">
        <v>39934</v>
      </c>
      <c r="P681" s="289" t="s">
        <v>2374</v>
      </c>
      <c r="Q681" s="290">
        <v>800</v>
      </c>
      <c r="R681" s="290">
        <v>14040</v>
      </c>
      <c r="S681" s="291">
        <v>189900</v>
      </c>
      <c r="T681" s="290">
        <v>14046</v>
      </c>
      <c r="U681" s="291">
        <v>189900</v>
      </c>
      <c r="V681" s="291">
        <f t="shared" si="10"/>
        <v>0</v>
      </c>
      <c r="W681" s="292">
        <v>0</v>
      </c>
      <c r="X681" s="290">
        <v>51260</v>
      </c>
      <c r="Y681" s="291">
        <v>0</v>
      </c>
      <c r="Z681" s="289" t="s">
        <v>944</v>
      </c>
      <c r="AA681" s="289"/>
      <c r="AB681" s="289" t="s">
        <v>2385</v>
      </c>
      <c r="AC681" s="289">
        <v>816</v>
      </c>
      <c r="AD681" s="289" t="s">
        <v>1446</v>
      </c>
      <c r="AE681" s="289" t="s">
        <v>410</v>
      </c>
      <c r="AF681" s="290" t="s">
        <v>1447</v>
      </c>
      <c r="AG681" s="295">
        <v>42735</v>
      </c>
      <c r="AH681" s="290" t="s">
        <v>1448</v>
      </c>
      <c r="AI681" s="289">
        <v>0</v>
      </c>
      <c r="AJ681" s="289">
        <v>181987.5</v>
      </c>
    </row>
    <row r="682" spans="2:36">
      <c r="B682" s="290">
        <v>2111</v>
      </c>
      <c r="C682" s="294">
        <v>173262</v>
      </c>
      <c r="D682" s="290">
        <v>25363</v>
      </c>
      <c r="E682" s="289" t="s">
        <v>2386</v>
      </c>
      <c r="F682" s="290">
        <v>0</v>
      </c>
      <c r="G682" s="289"/>
      <c r="H682" s="289"/>
      <c r="I682" s="289"/>
      <c r="J682" s="289">
        <v>0</v>
      </c>
      <c r="K682" s="289"/>
      <c r="L682" s="289"/>
      <c r="M682" s="289" t="s">
        <v>1467</v>
      </c>
      <c r="N682" s="293">
        <v>39814</v>
      </c>
      <c r="O682" s="293">
        <v>39814</v>
      </c>
      <c r="P682" s="289" t="s">
        <v>2387</v>
      </c>
      <c r="Q682" s="290">
        <v>300</v>
      </c>
      <c r="R682" s="290">
        <v>14040</v>
      </c>
      <c r="S682" s="291">
        <v>6818.83</v>
      </c>
      <c r="T682" s="290">
        <v>14046</v>
      </c>
      <c r="U682" s="291">
        <v>6818.83</v>
      </c>
      <c r="V682" s="291">
        <f t="shared" si="10"/>
        <v>0</v>
      </c>
      <c r="W682" s="292">
        <v>0</v>
      </c>
      <c r="X682" s="290">
        <v>51260</v>
      </c>
      <c r="Y682" s="291">
        <v>0</v>
      </c>
      <c r="Z682" s="289" t="s">
        <v>944</v>
      </c>
      <c r="AA682" s="289"/>
      <c r="AB682" s="289">
        <v>13974</v>
      </c>
      <c r="AC682" s="289"/>
      <c r="AD682" s="289" t="s">
        <v>1446</v>
      </c>
      <c r="AE682" s="289" t="s">
        <v>410</v>
      </c>
      <c r="AF682" s="290" t="s">
        <v>1447</v>
      </c>
      <c r="AG682" s="295">
        <v>42735</v>
      </c>
      <c r="AH682" s="290" t="s">
        <v>1448</v>
      </c>
      <c r="AI682" s="289">
        <v>0</v>
      </c>
      <c r="AJ682" s="289">
        <v>6818.83</v>
      </c>
    </row>
    <row r="683" spans="2:36">
      <c r="B683" s="290">
        <v>2111</v>
      </c>
      <c r="C683" s="294">
        <v>173261</v>
      </c>
      <c r="D683" s="290" t="s">
        <v>944</v>
      </c>
      <c r="E683" s="289" t="s">
        <v>695</v>
      </c>
      <c r="F683" s="290">
        <v>5</v>
      </c>
      <c r="G683" s="289"/>
      <c r="H683" s="289"/>
      <c r="I683" s="289"/>
      <c r="J683" s="289">
        <v>0</v>
      </c>
      <c r="K683" s="289" t="s">
        <v>2257</v>
      </c>
      <c r="L683" s="289"/>
      <c r="M683" s="289" t="s">
        <v>1659</v>
      </c>
      <c r="N683" s="293">
        <v>39752</v>
      </c>
      <c r="O683" s="293">
        <v>39752</v>
      </c>
      <c r="P683" s="289" t="s">
        <v>2388</v>
      </c>
      <c r="Q683" s="290">
        <v>1200</v>
      </c>
      <c r="R683" s="290">
        <v>14050</v>
      </c>
      <c r="S683" s="291">
        <v>2872.32</v>
      </c>
      <c r="T683" s="290">
        <v>14056</v>
      </c>
      <c r="U683" s="291">
        <v>2872.32</v>
      </c>
      <c r="V683" s="291">
        <f t="shared" si="10"/>
        <v>0</v>
      </c>
      <c r="W683" s="292">
        <v>0</v>
      </c>
      <c r="X683" s="290">
        <v>54260</v>
      </c>
      <c r="Y683" s="291">
        <v>0</v>
      </c>
      <c r="Z683" s="289" t="s">
        <v>944</v>
      </c>
      <c r="AA683" s="289"/>
      <c r="AB683" s="289">
        <v>38045</v>
      </c>
      <c r="AC683" s="289"/>
      <c r="AD683" s="289" t="s">
        <v>1446</v>
      </c>
      <c r="AE683" s="289" t="s">
        <v>410</v>
      </c>
      <c r="AF683" s="290" t="s">
        <v>1447</v>
      </c>
      <c r="AG683" s="295">
        <v>42735</v>
      </c>
      <c r="AH683" s="290" t="s">
        <v>1448</v>
      </c>
      <c r="AI683" s="289">
        <v>0</v>
      </c>
      <c r="AJ683" s="289">
        <v>1954.77</v>
      </c>
    </row>
    <row r="684" spans="2:36">
      <c r="B684" s="290">
        <v>2111</v>
      </c>
      <c r="C684" s="294">
        <v>173259</v>
      </c>
      <c r="D684" s="290">
        <v>59664</v>
      </c>
      <c r="E684" s="289" t="s">
        <v>2389</v>
      </c>
      <c r="F684" s="290">
        <v>0</v>
      </c>
      <c r="G684" s="289"/>
      <c r="H684" s="289">
        <v>206219</v>
      </c>
      <c r="I684" s="289"/>
      <c r="J684" s="289">
        <v>2008</v>
      </c>
      <c r="K684" s="289"/>
      <c r="L684" s="289"/>
      <c r="M684" s="289" t="s">
        <v>1523</v>
      </c>
      <c r="N684" s="293">
        <v>39661</v>
      </c>
      <c r="O684" s="293">
        <v>39661</v>
      </c>
      <c r="P684" s="289" t="s">
        <v>2330</v>
      </c>
      <c r="Q684" s="290">
        <v>900</v>
      </c>
      <c r="R684" s="290">
        <v>14040</v>
      </c>
      <c r="S684" s="291">
        <v>3070.3</v>
      </c>
      <c r="T684" s="290">
        <v>14046</v>
      </c>
      <c r="U684" s="291">
        <v>3070.3</v>
      </c>
      <c r="V684" s="291">
        <f t="shared" si="10"/>
        <v>0</v>
      </c>
      <c r="W684" s="292">
        <v>0</v>
      </c>
      <c r="X684" s="290">
        <v>51260</v>
      </c>
      <c r="Y684" s="291">
        <v>0</v>
      </c>
      <c r="Z684" s="289" t="s">
        <v>944</v>
      </c>
      <c r="AA684" s="289"/>
      <c r="AB684" s="289" t="s">
        <v>2390</v>
      </c>
      <c r="AC684" s="289"/>
      <c r="AD684" s="289" t="s">
        <v>1446</v>
      </c>
      <c r="AE684" s="289" t="s">
        <v>410</v>
      </c>
      <c r="AF684" s="290" t="s">
        <v>1447</v>
      </c>
      <c r="AG684" s="295">
        <v>42735</v>
      </c>
      <c r="AH684" s="290" t="s">
        <v>1448</v>
      </c>
      <c r="AI684" s="289">
        <v>0</v>
      </c>
      <c r="AJ684" s="289">
        <v>2871.34</v>
      </c>
    </row>
    <row r="685" spans="2:36">
      <c r="B685" s="290">
        <v>2111</v>
      </c>
      <c r="C685" s="294">
        <v>173258</v>
      </c>
      <c r="D685" s="290">
        <v>59664</v>
      </c>
      <c r="E685" s="289" t="s">
        <v>2391</v>
      </c>
      <c r="F685" s="290">
        <v>0</v>
      </c>
      <c r="G685" s="289"/>
      <c r="H685" s="289"/>
      <c r="I685" s="289"/>
      <c r="J685" s="289">
        <v>2008</v>
      </c>
      <c r="K685" s="289"/>
      <c r="L685" s="289"/>
      <c r="M685" s="289" t="s">
        <v>1467</v>
      </c>
      <c r="N685" s="293">
        <v>39661</v>
      </c>
      <c r="O685" s="293">
        <v>39661</v>
      </c>
      <c r="P685" s="289" t="s">
        <v>2330</v>
      </c>
      <c r="Q685" s="290">
        <v>900</v>
      </c>
      <c r="R685" s="290">
        <v>14040</v>
      </c>
      <c r="S685" s="291">
        <v>191.1</v>
      </c>
      <c r="T685" s="290">
        <v>14046</v>
      </c>
      <c r="U685" s="291">
        <v>191.1</v>
      </c>
      <c r="V685" s="291">
        <f t="shared" si="10"/>
        <v>0</v>
      </c>
      <c r="W685" s="292">
        <v>0</v>
      </c>
      <c r="X685" s="290">
        <v>51260</v>
      </c>
      <c r="Y685" s="291">
        <v>0</v>
      </c>
      <c r="Z685" s="289" t="s">
        <v>944</v>
      </c>
      <c r="AA685" s="289"/>
      <c r="AB685" s="289"/>
      <c r="AC685" s="289"/>
      <c r="AD685" s="289" t="s">
        <v>1446</v>
      </c>
      <c r="AE685" s="289" t="s">
        <v>410</v>
      </c>
      <c r="AF685" s="290" t="s">
        <v>1447</v>
      </c>
      <c r="AG685" s="295">
        <v>42735</v>
      </c>
      <c r="AH685" s="290" t="s">
        <v>1448</v>
      </c>
      <c r="AI685" s="289">
        <v>0</v>
      </c>
      <c r="AJ685" s="289">
        <v>178.69</v>
      </c>
    </row>
    <row r="686" spans="2:36">
      <c r="B686" s="290">
        <v>2111</v>
      </c>
      <c r="C686" s="294">
        <v>173257</v>
      </c>
      <c r="D686" s="290" t="s">
        <v>944</v>
      </c>
      <c r="E686" s="289" t="s">
        <v>2392</v>
      </c>
      <c r="F686" s="290">
        <v>0</v>
      </c>
      <c r="G686" s="289"/>
      <c r="H686" s="289" t="s">
        <v>2329</v>
      </c>
      <c r="I686" s="289"/>
      <c r="J686" s="289">
        <v>2008</v>
      </c>
      <c r="K686" s="289" t="s">
        <v>2393</v>
      </c>
      <c r="L686" s="289" t="s">
        <v>1764</v>
      </c>
      <c r="M686" s="289" t="s">
        <v>1523</v>
      </c>
      <c r="N686" s="293">
        <v>39661</v>
      </c>
      <c r="O686" s="293">
        <v>39661</v>
      </c>
      <c r="P686" s="289" t="s">
        <v>2330</v>
      </c>
      <c r="Q686" s="290">
        <v>900</v>
      </c>
      <c r="R686" s="290">
        <v>14040</v>
      </c>
      <c r="S686" s="291">
        <v>132585.75</v>
      </c>
      <c r="T686" s="290">
        <v>14046</v>
      </c>
      <c r="U686" s="291">
        <v>132585.75</v>
      </c>
      <c r="V686" s="291">
        <f t="shared" si="10"/>
        <v>0</v>
      </c>
      <c r="W686" s="292">
        <v>0</v>
      </c>
      <c r="X686" s="290">
        <v>51260</v>
      </c>
      <c r="Y686" s="291">
        <v>0</v>
      </c>
      <c r="Z686" s="289" t="s">
        <v>944</v>
      </c>
      <c r="AA686" s="289"/>
      <c r="AB686" s="289"/>
      <c r="AC686" s="289">
        <v>906</v>
      </c>
      <c r="AD686" s="289" t="s">
        <v>1446</v>
      </c>
      <c r="AE686" s="289" t="s">
        <v>410</v>
      </c>
      <c r="AF686" s="290" t="s">
        <v>1447</v>
      </c>
      <c r="AG686" s="295">
        <v>42735</v>
      </c>
      <c r="AH686" s="290" t="s">
        <v>1448</v>
      </c>
      <c r="AI686" s="289">
        <v>0</v>
      </c>
      <c r="AJ686" s="289">
        <v>123992.23</v>
      </c>
    </row>
    <row r="687" spans="2:36">
      <c r="B687" s="290">
        <v>2111</v>
      </c>
      <c r="C687" s="294">
        <v>173256</v>
      </c>
      <c r="D687" s="290" t="s">
        <v>944</v>
      </c>
      <c r="E687" s="289" t="s">
        <v>691</v>
      </c>
      <c r="F687" s="290">
        <v>2</v>
      </c>
      <c r="G687" s="289"/>
      <c r="H687" s="289"/>
      <c r="I687" s="289"/>
      <c r="J687" s="289">
        <v>0</v>
      </c>
      <c r="K687" s="289" t="s">
        <v>2257</v>
      </c>
      <c r="L687" s="289"/>
      <c r="M687" s="289" t="s">
        <v>1662</v>
      </c>
      <c r="N687" s="293">
        <v>39707</v>
      </c>
      <c r="O687" s="293">
        <v>39707</v>
      </c>
      <c r="P687" s="289" t="s">
        <v>2394</v>
      </c>
      <c r="Q687" s="290">
        <v>1200</v>
      </c>
      <c r="R687" s="290">
        <v>14050</v>
      </c>
      <c r="S687" s="291">
        <v>1991.04</v>
      </c>
      <c r="T687" s="290">
        <v>14056</v>
      </c>
      <c r="U687" s="291">
        <v>1991.04</v>
      </c>
      <c r="V687" s="291">
        <f t="shared" si="10"/>
        <v>0</v>
      </c>
      <c r="W687" s="292">
        <v>0</v>
      </c>
      <c r="X687" s="290">
        <v>54260</v>
      </c>
      <c r="Y687" s="291">
        <v>0</v>
      </c>
      <c r="Z687" s="289" t="s">
        <v>944</v>
      </c>
      <c r="AA687" s="289"/>
      <c r="AB687" s="289">
        <v>36876</v>
      </c>
      <c r="AC687" s="289"/>
      <c r="AD687" s="289" t="s">
        <v>1446</v>
      </c>
      <c r="AE687" s="289" t="s">
        <v>410</v>
      </c>
      <c r="AF687" s="290" t="s">
        <v>1447</v>
      </c>
      <c r="AG687" s="295">
        <v>42735</v>
      </c>
      <c r="AH687" s="290" t="s">
        <v>1448</v>
      </c>
      <c r="AI687" s="289">
        <v>0</v>
      </c>
      <c r="AJ687" s="289">
        <v>1368.84</v>
      </c>
    </row>
    <row r="688" spans="2:36">
      <c r="B688" s="290">
        <v>2111</v>
      </c>
      <c r="C688" s="294">
        <v>173255</v>
      </c>
      <c r="D688" s="290" t="s">
        <v>944</v>
      </c>
      <c r="E688" s="289" t="s">
        <v>690</v>
      </c>
      <c r="F688" s="290">
        <v>2</v>
      </c>
      <c r="G688" s="289"/>
      <c r="H688" s="289"/>
      <c r="I688" s="289"/>
      <c r="J688" s="289">
        <v>0</v>
      </c>
      <c r="K688" s="289" t="s">
        <v>2257</v>
      </c>
      <c r="L688" s="289"/>
      <c r="M688" s="289" t="s">
        <v>1664</v>
      </c>
      <c r="N688" s="293">
        <v>39716</v>
      </c>
      <c r="O688" s="293">
        <v>39716</v>
      </c>
      <c r="P688" s="289" t="s">
        <v>2395</v>
      </c>
      <c r="Q688" s="290">
        <v>1200</v>
      </c>
      <c r="R688" s="290">
        <v>14050</v>
      </c>
      <c r="S688" s="291">
        <v>1490.56</v>
      </c>
      <c r="T688" s="290">
        <v>14056</v>
      </c>
      <c r="U688" s="291">
        <v>1490.56</v>
      </c>
      <c r="V688" s="291">
        <f t="shared" si="10"/>
        <v>0</v>
      </c>
      <c r="W688" s="292">
        <v>0</v>
      </c>
      <c r="X688" s="290">
        <v>54260</v>
      </c>
      <c r="Y688" s="291">
        <v>0</v>
      </c>
      <c r="Z688" s="289" t="s">
        <v>944</v>
      </c>
      <c r="AA688" s="289"/>
      <c r="AB688" s="289">
        <v>37124</v>
      </c>
      <c r="AC688" s="289"/>
      <c r="AD688" s="289" t="s">
        <v>1446</v>
      </c>
      <c r="AE688" s="289" t="s">
        <v>410</v>
      </c>
      <c r="AF688" s="290" t="s">
        <v>1447</v>
      </c>
      <c r="AG688" s="295">
        <v>42735</v>
      </c>
      <c r="AH688" s="290" t="s">
        <v>1448</v>
      </c>
      <c r="AI688" s="289">
        <v>0</v>
      </c>
      <c r="AJ688" s="289">
        <v>1024.68</v>
      </c>
    </row>
    <row r="689" spans="2:36">
      <c r="B689" s="290">
        <v>2111</v>
      </c>
      <c r="C689" s="294">
        <v>173254</v>
      </c>
      <c r="D689" s="290" t="s">
        <v>944</v>
      </c>
      <c r="E689" s="289" t="s">
        <v>850</v>
      </c>
      <c r="F689" s="290">
        <v>486</v>
      </c>
      <c r="G689" s="289"/>
      <c r="H689" s="289"/>
      <c r="I689" s="289"/>
      <c r="J689" s="289">
        <v>0</v>
      </c>
      <c r="K689" s="289" t="s">
        <v>2245</v>
      </c>
      <c r="L689" s="289"/>
      <c r="M689" s="289"/>
      <c r="N689" s="293">
        <v>39664</v>
      </c>
      <c r="O689" s="293">
        <v>39664</v>
      </c>
      <c r="P689" s="289" t="s">
        <v>2396</v>
      </c>
      <c r="Q689" s="290">
        <v>700</v>
      </c>
      <c r="R689" s="290">
        <v>14050</v>
      </c>
      <c r="S689" s="291">
        <v>28400.13</v>
      </c>
      <c r="T689" s="290">
        <v>14056</v>
      </c>
      <c r="U689" s="291">
        <v>28400.13</v>
      </c>
      <c r="V689" s="291">
        <f t="shared" si="10"/>
        <v>0</v>
      </c>
      <c r="W689" s="292">
        <v>0</v>
      </c>
      <c r="X689" s="290">
        <v>54260</v>
      </c>
      <c r="Y689" s="291">
        <v>0</v>
      </c>
      <c r="Z689" s="289" t="s">
        <v>944</v>
      </c>
      <c r="AA689" s="289"/>
      <c r="AB689" s="289" t="s">
        <v>2397</v>
      </c>
      <c r="AC689" s="289"/>
      <c r="AD689" s="289" t="s">
        <v>1446</v>
      </c>
      <c r="AE689" s="289" t="s">
        <v>410</v>
      </c>
      <c r="AF689" s="290" t="s">
        <v>1447</v>
      </c>
      <c r="AG689" s="295">
        <v>42735</v>
      </c>
      <c r="AH689" s="290" t="s">
        <v>1448</v>
      </c>
      <c r="AI689" s="289">
        <v>0</v>
      </c>
      <c r="AJ689" s="289">
        <v>28400.13</v>
      </c>
    </row>
    <row r="690" spans="2:36">
      <c r="B690" s="290">
        <v>2111</v>
      </c>
      <c r="C690" s="294">
        <v>173253</v>
      </c>
      <c r="D690" s="290" t="s">
        <v>944</v>
      </c>
      <c r="E690" s="289" t="s">
        <v>2398</v>
      </c>
      <c r="F690" s="290">
        <v>486</v>
      </c>
      <c r="G690" s="289"/>
      <c r="H690" s="289"/>
      <c r="I690" s="289"/>
      <c r="J690" s="289">
        <v>0</v>
      </c>
      <c r="K690" s="289" t="s">
        <v>2245</v>
      </c>
      <c r="L690" s="289"/>
      <c r="M690" s="289"/>
      <c r="N690" s="293">
        <v>39664</v>
      </c>
      <c r="O690" s="293">
        <v>39664</v>
      </c>
      <c r="P690" s="289" t="s">
        <v>2396</v>
      </c>
      <c r="Q690" s="290">
        <v>700</v>
      </c>
      <c r="R690" s="290">
        <v>14050</v>
      </c>
      <c r="S690" s="291">
        <v>28400.13</v>
      </c>
      <c r="T690" s="290">
        <v>14056</v>
      </c>
      <c r="U690" s="291">
        <v>28400.13</v>
      </c>
      <c r="V690" s="291">
        <f t="shared" si="10"/>
        <v>0</v>
      </c>
      <c r="W690" s="292">
        <v>0</v>
      </c>
      <c r="X690" s="290">
        <v>54260</v>
      </c>
      <c r="Y690" s="291">
        <v>0</v>
      </c>
      <c r="Z690" s="289" t="s">
        <v>944</v>
      </c>
      <c r="AA690" s="289"/>
      <c r="AB690" s="289" t="s">
        <v>2399</v>
      </c>
      <c r="AC690" s="289"/>
      <c r="AD690" s="289" t="s">
        <v>1446</v>
      </c>
      <c r="AE690" s="289" t="s">
        <v>410</v>
      </c>
      <c r="AF690" s="290" t="s">
        <v>1447</v>
      </c>
      <c r="AG690" s="295">
        <v>42735</v>
      </c>
      <c r="AH690" s="290" t="s">
        <v>1448</v>
      </c>
      <c r="AI690" s="289">
        <v>0</v>
      </c>
      <c r="AJ690" s="289">
        <v>28400.13</v>
      </c>
    </row>
    <row r="691" spans="2:36">
      <c r="B691" s="290">
        <v>2111</v>
      </c>
      <c r="C691" s="294">
        <v>173252</v>
      </c>
      <c r="D691" s="290">
        <v>57325</v>
      </c>
      <c r="E691" s="289" t="s">
        <v>2400</v>
      </c>
      <c r="F691" s="290">
        <v>0</v>
      </c>
      <c r="G691" s="289"/>
      <c r="H691" s="289"/>
      <c r="I691" s="289"/>
      <c r="J691" s="289">
        <v>0</v>
      </c>
      <c r="K691" s="289" t="s">
        <v>2333</v>
      </c>
      <c r="L691" s="289"/>
      <c r="M691" s="289"/>
      <c r="N691" s="293">
        <v>39599</v>
      </c>
      <c r="O691" s="293">
        <v>39599</v>
      </c>
      <c r="P691" s="289" t="s">
        <v>2401</v>
      </c>
      <c r="Q691" s="290">
        <v>500</v>
      </c>
      <c r="R691" s="290">
        <v>14070</v>
      </c>
      <c r="S691" s="291">
        <v>9272.31</v>
      </c>
      <c r="T691" s="290">
        <v>14076</v>
      </c>
      <c r="U691" s="291">
        <v>9272.31</v>
      </c>
      <c r="V691" s="291">
        <f t="shared" si="10"/>
        <v>0</v>
      </c>
      <c r="W691" s="292">
        <v>0</v>
      </c>
      <c r="X691" s="290">
        <v>51260</v>
      </c>
      <c r="Y691" s="291">
        <v>0</v>
      </c>
      <c r="Z691" s="289" t="s">
        <v>944</v>
      </c>
      <c r="AA691" s="289"/>
      <c r="AB691" s="289" t="s">
        <v>2402</v>
      </c>
      <c r="AC691" s="289"/>
      <c r="AD691" s="289" t="s">
        <v>1446</v>
      </c>
      <c r="AE691" s="289" t="s">
        <v>410</v>
      </c>
      <c r="AF691" s="290" t="s">
        <v>1447</v>
      </c>
      <c r="AG691" s="295">
        <v>42735</v>
      </c>
      <c r="AH691" s="290" t="s">
        <v>1448</v>
      </c>
      <c r="AI691" s="289">
        <v>0</v>
      </c>
      <c r="AJ691" s="289">
        <v>9272.31</v>
      </c>
    </row>
    <row r="692" spans="2:36">
      <c r="B692" s="290">
        <v>2111</v>
      </c>
      <c r="C692" s="294">
        <v>173251</v>
      </c>
      <c r="D692" s="290" t="s">
        <v>944</v>
      </c>
      <c r="E692" s="289" t="s">
        <v>730</v>
      </c>
      <c r="F692" s="290">
        <v>30</v>
      </c>
      <c r="G692" s="289"/>
      <c r="H692" s="289"/>
      <c r="I692" s="289"/>
      <c r="J692" s="289">
        <v>0</v>
      </c>
      <c r="K692" s="289" t="s">
        <v>2403</v>
      </c>
      <c r="L692" s="289"/>
      <c r="M692" s="289" t="s">
        <v>1659</v>
      </c>
      <c r="N692" s="293">
        <v>39454</v>
      </c>
      <c r="O692" s="293">
        <v>39454</v>
      </c>
      <c r="P692" s="289" t="s">
        <v>2404</v>
      </c>
      <c r="Q692" s="290">
        <v>1200</v>
      </c>
      <c r="R692" s="290">
        <v>14050</v>
      </c>
      <c r="S692" s="291">
        <v>14100.48</v>
      </c>
      <c r="T692" s="290">
        <v>14056</v>
      </c>
      <c r="U692" s="291">
        <v>14100.48</v>
      </c>
      <c r="V692" s="291">
        <f t="shared" si="10"/>
        <v>0</v>
      </c>
      <c r="W692" s="292">
        <v>0</v>
      </c>
      <c r="X692" s="290">
        <v>54260</v>
      </c>
      <c r="Y692" s="291">
        <v>0</v>
      </c>
      <c r="Z692" s="289" t="s">
        <v>944</v>
      </c>
      <c r="AA692" s="289"/>
      <c r="AB692" s="289">
        <v>3662</v>
      </c>
      <c r="AC692" s="289"/>
      <c r="AD692" s="289" t="s">
        <v>1446</v>
      </c>
      <c r="AE692" s="289" t="s">
        <v>410</v>
      </c>
      <c r="AF692" s="290" t="s">
        <v>1447</v>
      </c>
      <c r="AG692" s="295">
        <v>42735</v>
      </c>
      <c r="AH692" s="290" t="s">
        <v>1448</v>
      </c>
      <c r="AI692" s="289">
        <v>0</v>
      </c>
      <c r="AJ692" s="289">
        <v>10575.36</v>
      </c>
    </row>
    <row r="693" spans="2:36">
      <c r="B693" s="290">
        <v>2111</v>
      </c>
      <c r="C693" s="294">
        <v>173250</v>
      </c>
      <c r="D693" s="290" t="s">
        <v>944</v>
      </c>
      <c r="E693" s="289" t="s">
        <v>689</v>
      </c>
      <c r="F693" s="290">
        <v>2</v>
      </c>
      <c r="G693" s="289"/>
      <c r="H693" s="289"/>
      <c r="I693" s="289"/>
      <c r="J693" s="289">
        <v>0</v>
      </c>
      <c r="K693" s="289" t="s">
        <v>2257</v>
      </c>
      <c r="L693" s="289"/>
      <c r="M693" s="289" t="s">
        <v>1667</v>
      </c>
      <c r="N693" s="293">
        <v>39471</v>
      </c>
      <c r="O693" s="293">
        <v>39471</v>
      </c>
      <c r="P693" s="289" t="s">
        <v>2405</v>
      </c>
      <c r="Q693" s="290">
        <v>1200</v>
      </c>
      <c r="R693" s="290">
        <v>14050</v>
      </c>
      <c r="S693" s="291">
        <v>10759.02</v>
      </c>
      <c r="T693" s="290">
        <v>14056</v>
      </c>
      <c r="U693" s="291">
        <v>10759.02</v>
      </c>
      <c r="V693" s="291">
        <f t="shared" si="10"/>
        <v>0</v>
      </c>
      <c r="W693" s="292">
        <v>0</v>
      </c>
      <c r="X693" s="290">
        <v>54260</v>
      </c>
      <c r="Y693" s="291">
        <v>0</v>
      </c>
      <c r="Z693" s="289" t="s">
        <v>944</v>
      </c>
      <c r="AA693" s="289"/>
      <c r="AB693" s="289">
        <v>30416</v>
      </c>
      <c r="AC693" s="289"/>
      <c r="AD693" s="289" t="s">
        <v>1446</v>
      </c>
      <c r="AE693" s="289" t="s">
        <v>410</v>
      </c>
      <c r="AF693" s="290" t="s">
        <v>1447</v>
      </c>
      <c r="AG693" s="295">
        <v>42735</v>
      </c>
      <c r="AH693" s="290" t="s">
        <v>1448</v>
      </c>
      <c r="AI693" s="289">
        <v>0</v>
      </c>
      <c r="AJ693" s="289">
        <v>7994.59</v>
      </c>
    </row>
    <row r="694" spans="2:36">
      <c r="B694" s="290">
        <v>2111</v>
      </c>
      <c r="C694" s="294">
        <v>173249</v>
      </c>
      <c r="D694" s="290" t="s">
        <v>944</v>
      </c>
      <c r="E694" s="289" t="s">
        <v>689</v>
      </c>
      <c r="F694" s="290">
        <v>3</v>
      </c>
      <c r="G694" s="289"/>
      <c r="H694" s="289"/>
      <c r="I694" s="289"/>
      <c r="J694" s="289">
        <v>0</v>
      </c>
      <c r="K694" s="289" t="s">
        <v>2257</v>
      </c>
      <c r="L694" s="289"/>
      <c r="M694" s="289" t="s">
        <v>1667</v>
      </c>
      <c r="N694" s="293">
        <v>39471</v>
      </c>
      <c r="O694" s="293">
        <v>39471</v>
      </c>
      <c r="P694" s="289" t="s">
        <v>2405</v>
      </c>
      <c r="Q694" s="290">
        <v>1200</v>
      </c>
      <c r="R694" s="290">
        <v>14050</v>
      </c>
      <c r="S694" s="291">
        <v>16138.98</v>
      </c>
      <c r="T694" s="290">
        <v>14056</v>
      </c>
      <c r="U694" s="291">
        <v>16138.98</v>
      </c>
      <c r="V694" s="291">
        <f t="shared" si="10"/>
        <v>0</v>
      </c>
      <c r="W694" s="292">
        <v>0</v>
      </c>
      <c r="X694" s="290">
        <v>54260</v>
      </c>
      <c r="Y694" s="291">
        <v>0</v>
      </c>
      <c r="Z694" s="289" t="s">
        <v>944</v>
      </c>
      <c r="AA694" s="289"/>
      <c r="AB694" s="289">
        <v>30409</v>
      </c>
      <c r="AC694" s="289"/>
      <c r="AD694" s="289" t="s">
        <v>1446</v>
      </c>
      <c r="AE694" s="289" t="s">
        <v>410</v>
      </c>
      <c r="AF694" s="290" t="s">
        <v>1447</v>
      </c>
      <c r="AG694" s="295">
        <v>42735</v>
      </c>
      <c r="AH694" s="290" t="s">
        <v>1448</v>
      </c>
      <c r="AI694" s="289">
        <v>0</v>
      </c>
      <c r="AJ694" s="289">
        <v>11992.2</v>
      </c>
    </row>
    <row r="695" spans="2:36">
      <c r="B695" s="290">
        <v>2111</v>
      </c>
      <c r="C695" s="294">
        <v>173248</v>
      </c>
      <c r="D695" s="290">
        <v>53799</v>
      </c>
      <c r="E695" s="289" t="s">
        <v>2406</v>
      </c>
      <c r="F695" s="290">
        <v>0</v>
      </c>
      <c r="G695" s="289"/>
      <c r="H695" s="289" t="s">
        <v>2407</v>
      </c>
      <c r="I695" s="289"/>
      <c r="J695" s="289">
        <v>2007</v>
      </c>
      <c r="K695" s="289"/>
      <c r="L695" s="289"/>
      <c r="M695" s="289" t="s">
        <v>1467</v>
      </c>
      <c r="N695" s="293">
        <v>39422</v>
      </c>
      <c r="O695" s="293">
        <v>39422</v>
      </c>
      <c r="P695" s="289" t="s">
        <v>2408</v>
      </c>
      <c r="Q695" s="290">
        <v>1000</v>
      </c>
      <c r="R695" s="290">
        <v>14040</v>
      </c>
      <c r="S695" s="291">
        <v>58428.6</v>
      </c>
      <c r="T695" s="290">
        <v>14046</v>
      </c>
      <c r="U695" s="291">
        <v>58428.6</v>
      </c>
      <c r="V695" s="291">
        <f t="shared" si="10"/>
        <v>0</v>
      </c>
      <c r="W695" s="292">
        <v>0</v>
      </c>
      <c r="X695" s="290">
        <v>51260</v>
      </c>
      <c r="Y695" s="291">
        <v>0</v>
      </c>
      <c r="Z695" s="289" t="s">
        <v>944</v>
      </c>
      <c r="AA695" s="289"/>
      <c r="AB695" s="289">
        <v>595320</v>
      </c>
      <c r="AC695" s="289"/>
      <c r="AD695" s="289" t="s">
        <v>1446</v>
      </c>
      <c r="AE695" s="289" t="s">
        <v>410</v>
      </c>
      <c r="AF695" s="290" t="s">
        <v>1447</v>
      </c>
      <c r="AG695" s="295">
        <v>42735</v>
      </c>
      <c r="AH695" s="290" t="s">
        <v>1448</v>
      </c>
      <c r="AI695" s="289">
        <v>0</v>
      </c>
      <c r="AJ695" s="289">
        <v>53072.65</v>
      </c>
    </row>
    <row r="696" spans="2:36">
      <c r="B696" s="290">
        <v>2111</v>
      </c>
      <c r="C696" s="294">
        <v>173247</v>
      </c>
      <c r="D696" s="290" t="s">
        <v>944</v>
      </c>
      <c r="E696" s="289" t="s">
        <v>2409</v>
      </c>
      <c r="F696" s="290">
        <v>0</v>
      </c>
      <c r="G696" s="289"/>
      <c r="H696" s="289" t="s">
        <v>2407</v>
      </c>
      <c r="I696" s="289"/>
      <c r="J696" s="289">
        <v>2008</v>
      </c>
      <c r="K696" s="289" t="s">
        <v>2410</v>
      </c>
      <c r="L696" s="289" t="s">
        <v>1522</v>
      </c>
      <c r="M696" s="289" t="s">
        <v>1746</v>
      </c>
      <c r="N696" s="293">
        <v>39416</v>
      </c>
      <c r="O696" s="293">
        <v>39416</v>
      </c>
      <c r="P696" s="289" t="s">
        <v>2408</v>
      </c>
      <c r="Q696" s="290">
        <v>1000</v>
      </c>
      <c r="R696" s="290">
        <v>14040</v>
      </c>
      <c r="S696" s="291">
        <v>138814.73000000001</v>
      </c>
      <c r="T696" s="290">
        <v>14046</v>
      </c>
      <c r="U696" s="291">
        <v>138814.73000000001</v>
      </c>
      <c r="V696" s="291">
        <f t="shared" si="10"/>
        <v>0</v>
      </c>
      <c r="W696" s="292">
        <v>0</v>
      </c>
      <c r="X696" s="290">
        <v>51260</v>
      </c>
      <c r="Y696" s="291">
        <v>0</v>
      </c>
      <c r="Z696" s="289" t="s">
        <v>944</v>
      </c>
      <c r="AA696" s="289">
        <v>0</v>
      </c>
      <c r="AB696" s="289">
        <v>206132</v>
      </c>
      <c r="AC696" s="289">
        <v>616</v>
      </c>
      <c r="AD696" s="289" t="s">
        <v>1446</v>
      </c>
      <c r="AE696" s="289" t="s">
        <v>410</v>
      </c>
      <c r="AF696" s="290" t="s">
        <v>1447</v>
      </c>
      <c r="AG696" s="295">
        <v>42735</v>
      </c>
      <c r="AH696" s="290" t="s">
        <v>1448</v>
      </c>
      <c r="AI696" s="289">
        <v>0</v>
      </c>
      <c r="AJ696" s="289">
        <v>126090.02</v>
      </c>
    </row>
    <row r="697" spans="2:36">
      <c r="B697" s="290">
        <v>2111</v>
      </c>
      <c r="C697" s="294">
        <v>173246</v>
      </c>
      <c r="D697" s="290" t="s">
        <v>944</v>
      </c>
      <c r="E697" s="289" t="s">
        <v>755</v>
      </c>
      <c r="F697" s="290">
        <v>5</v>
      </c>
      <c r="G697" s="289"/>
      <c r="H697" s="289">
        <v>0</v>
      </c>
      <c r="I697" s="289"/>
      <c r="J697" s="289">
        <v>0</v>
      </c>
      <c r="K697" s="289" t="s">
        <v>2403</v>
      </c>
      <c r="L697" s="289"/>
      <c r="M697" s="289" t="s">
        <v>2411</v>
      </c>
      <c r="N697" s="293">
        <v>39317</v>
      </c>
      <c r="O697" s="293">
        <v>39317</v>
      </c>
      <c r="P697" s="289" t="s">
        <v>2412</v>
      </c>
      <c r="Q697" s="290">
        <v>1200</v>
      </c>
      <c r="R697" s="290">
        <v>14050</v>
      </c>
      <c r="S697" s="291">
        <v>25704</v>
      </c>
      <c r="T697" s="290">
        <v>14056</v>
      </c>
      <c r="U697" s="291">
        <v>25704</v>
      </c>
      <c r="V697" s="291">
        <f t="shared" si="10"/>
        <v>0</v>
      </c>
      <c r="W697" s="292">
        <v>0</v>
      </c>
      <c r="X697" s="290">
        <v>54260</v>
      </c>
      <c r="Y697" s="291">
        <v>0</v>
      </c>
      <c r="Z697" s="289" t="s">
        <v>944</v>
      </c>
      <c r="AA697" s="289"/>
      <c r="AB697" s="289">
        <v>3502</v>
      </c>
      <c r="AC697" s="289"/>
      <c r="AD697" s="289" t="s">
        <v>1446</v>
      </c>
      <c r="AE697" s="289" t="s">
        <v>410</v>
      </c>
      <c r="AF697" s="290" t="s">
        <v>1447</v>
      </c>
      <c r="AG697" s="295">
        <v>42735</v>
      </c>
      <c r="AH697" s="290" t="s">
        <v>1448</v>
      </c>
      <c r="AI697" s="289">
        <v>0</v>
      </c>
      <c r="AJ697" s="289">
        <v>19992</v>
      </c>
    </row>
    <row r="698" spans="2:36">
      <c r="B698" s="290">
        <v>2111</v>
      </c>
      <c r="C698" s="294">
        <v>173245</v>
      </c>
      <c r="D698" s="290" t="s">
        <v>944</v>
      </c>
      <c r="E698" s="289" t="s">
        <v>593</v>
      </c>
      <c r="F698" s="290">
        <v>486</v>
      </c>
      <c r="G698" s="289"/>
      <c r="H698" s="289">
        <v>0</v>
      </c>
      <c r="I698" s="289"/>
      <c r="J698" s="289">
        <v>0</v>
      </c>
      <c r="K698" s="289" t="s">
        <v>2245</v>
      </c>
      <c r="L698" s="289"/>
      <c r="M698" s="289"/>
      <c r="N698" s="293">
        <v>39265</v>
      </c>
      <c r="O698" s="293">
        <v>39265</v>
      </c>
      <c r="P698" s="289" t="s">
        <v>2413</v>
      </c>
      <c r="Q698" s="290">
        <v>700</v>
      </c>
      <c r="R698" s="290">
        <v>14050</v>
      </c>
      <c r="S698" s="291">
        <v>24439.65</v>
      </c>
      <c r="T698" s="290">
        <v>14056</v>
      </c>
      <c r="U698" s="291">
        <v>24439.65</v>
      </c>
      <c r="V698" s="291">
        <f t="shared" si="10"/>
        <v>0</v>
      </c>
      <c r="W698" s="292">
        <v>0</v>
      </c>
      <c r="X698" s="290">
        <v>54260</v>
      </c>
      <c r="Y698" s="291">
        <v>0</v>
      </c>
      <c r="Z698" s="289" t="s">
        <v>944</v>
      </c>
      <c r="AA698" s="289"/>
      <c r="AB698" s="289" t="s">
        <v>2414</v>
      </c>
      <c r="AC698" s="289"/>
      <c r="AD698" s="289" t="s">
        <v>1446</v>
      </c>
      <c r="AE698" s="289" t="s">
        <v>410</v>
      </c>
      <c r="AF698" s="290" t="s">
        <v>1447</v>
      </c>
      <c r="AG698" s="295">
        <v>42735</v>
      </c>
      <c r="AH698" s="290" t="s">
        <v>1448</v>
      </c>
      <c r="AI698" s="289">
        <v>0</v>
      </c>
      <c r="AJ698" s="289">
        <v>24439.65</v>
      </c>
    </row>
    <row r="699" spans="2:36">
      <c r="B699" s="290">
        <v>2111</v>
      </c>
      <c r="C699" s="294">
        <v>173244</v>
      </c>
      <c r="D699" s="290" t="s">
        <v>944</v>
      </c>
      <c r="E699" s="289" t="s">
        <v>696</v>
      </c>
      <c r="F699" s="290">
        <v>6</v>
      </c>
      <c r="G699" s="289"/>
      <c r="H699" s="289">
        <v>0</v>
      </c>
      <c r="I699" s="289"/>
      <c r="J699" s="289">
        <v>0</v>
      </c>
      <c r="K699" s="289" t="s">
        <v>2257</v>
      </c>
      <c r="L699" s="289"/>
      <c r="M699" s="289" t="s">
        <v>1662</v>
      </c>
      <c r="N699" s="293">
        <v>39252</v>
      </c>
      <c r="O699" s="293">
        <v>39252</v>
      </c>
      <c r="P699" s="289" t="s">
        <v>2415</v>
      </c>
      <c r="Q699" s="290">
        <v>1200</v>
      </c>
      <c r="R699" s="290">
        <v>14050</v>
      </c>
      <c r="S699" s="291">
        <v>4867.83</v>
      </c>
      <c r="T699" s="290">
        <v>14056</v>
      </c>
      <c r="U699" s="291">
        <v>4867.83</v>
      </c>
      <c r="V699" s="291">
        <f t="shared" si="10"/>
        <v>0</v>
      </c>
      <c r="W699" s="292">
        <v>0</v>
      </c>
      <c r="X699" s="290">
        <v>54260</v>
      </c>
      <c r="Y699" s="291">
        <v>0</v>
      </c>
      <c r="Z699" s="289" t="s">
        <v>944</v>
      </c>
      <c r="AA699" s="289"/>
      <c r="AB699" s="289">
        <v>24130</v>
      </c>
      <c r="AC699" s="289"/>
      <c r="AD699" s="289" t="s">
        <v>1446</v>
      </c>
      <c r="AE699" s="289" t="s">
        <v>410</v>
      </c>
      <c r="AF699" s="290" t="s">
        <v>1447</v>
      </c>
      <c r="AG699" s="295">
        <v>42735</v>
      </c>
      <c r="AH699" s="290" t="s">
        <v>1448</v>
      </c>
      <c r="AI699" s="289">
        <v>0</v>
      </c>
      <c r="AJ699" s="289">
        <v>3853.59</v>
      </c>
    </row>
    <row r="700" spans="2:36">
      <c r="B700" s="290">
        <v>2111</v>
      </c>
      <c r="C700" s="294">
        <v>173243</v>
      </c>
      <c r="D700" s="290" t="s">
        <v>944</v>
      </c>
      <c r="E700" s="289" t="s">
        <v>696</v>
      </c>
      <c r="F700" s="290">
        <v>9</v>
      </c>
      <c r="G700" s="289"/>
      <c r="H700" s="289">
        <v>0</v>
      </c>
      <c r="I700" s="289"/>
      <c r="J700" s="289">
        <v>0</v>
      </c>
      <c r="K700" s="289" t="s">
        <v>2257</v>
      </c>
      <c r="L700" s="289"/>
      <c r="M700" s="289" t="s">
        <v>1662</v>
      </c>
      <c r="N700" s="293">
        <v>39252</v>
      </c>
      <c r="O700" s="293">
        <v>39252</v>
      </c>
      <c r="P700" s="289" t="s">
        <v>2415</v>
      </c>
      <c r="Q700" s="290">
        <v>1200</v>
      </c>
      <c r="R700" s="290">
        <v>14050</v>
      </c>
      <c r="S700" s="291">
        <v>7301.75</v>
      </c>
      <c r="T700" s="290">
        <v>14056</v>
      </c>
      <c r="U700" s="291">
        <v>7301.75</v>
      </c>
      <c r="V700" s="291">
        <f t="shared" si="10"/>
        <v>0</v>
      </c>
      <c r="W700" s="292">
        <v>0</v>
      </c>
      <c r="X700" s="290">
        <v>54260</v>
      </c>
      <c r="Y700" s="291">
        <v>0</v>
      </c>
      <c r="Z700" s="289" t="s">
        <v>944</v>
      </c>
      <c r="AA700" s="289"/>
      <c r="AB700" s="289">
        <v>24150</v>
      </c>
      <c r="AC700" s="289"/>
      <c r="AD700" s="289" t="s">
        <v>1446</v>
      </c>
      <c r="AE700" s="289" t="s">
        <v>410</v>
      </c>
      <c r="AF700" s="290" t="s">
        <v>1447</v>
      </c>
      <c r="AG700" s="295">
        <v>42735</v>
      </c>
      <c r="AH700" s="290" t="s">
        <v>1448</v>
      </c>
      <c r="AI700" s="289">
        <v>0</v>
      </c>
      <c r="AJ700" s="289">
        <v>5780.56</v>
      </c>
    </row>
    <row r="701" spans="2:36">
      <c r="B701" s="290">
        <v>2111</v>
      </c>
      <c r="C701" s="294">
        <v>173242</v>
      </c>
      <c r="D701" s="290" t="s">
        <v>944</v>
      </c>
      <c r="E701" s="289" t="s">
        <v>593</v>
      </c>
      <c r="F701" s="290">
        <v>486</v>
      </c>
      <c r="G701" s="289"/>
      <c r="H701" s="289">
        <v>0</v>
      </c>
      <c r="I701" s="289"/>
      <c r="J701" s="289">
        <v>0</v>
      </c>
      <c r="K701" s="289" t="s">
        <v>2245</v>
      </c>
      <c r="L701" s="289"/>
      <c r="M701" s="289"/>
      <c r="N701" s="293">
        <v>39236</v>
      </c>
      <c r="O701" s="293">
        <v>39236</v>
      </c>
      <c r="P701" s="289" t="s">
        <v>2413</v>
      </c>
      <c r="Q701" s="290">
        <v>700</v>
      </c>
      <c r="R701" s="290">
        <v>14050</v>
      </c>
      <c r="S701" s="291">
        <v>26258.62</v>
      </c>
      <c r="T701" s="290">
        <v>14056</v>
      </c>
      <c r="U701" s="291">
        <v>26258.62</v>
      </c>
      <c r="V701" s="291">
        <f t="shared" si="10"/>
        <v>0</v>
      </c>
      <c r="W701" s="292">
        <v>0</v>
      </c>
      <c r="X701" s="290">
        <v>54260</v>
      </c>
      <c r="Y701" s="291">
        <v>0</v>
      </c>
      <c r="Z701" s="289" t="s">
        <v>944</v>
      </c>
      <c r="AA701" s="289"/>
      <c r="AB701" s="289" t="s">
        <v>2416</v>
      </c>
      <c r="AC701" s="289"/>
      <c r="AD701" s="289" t="s">
        <v>1446</v>
      </c>
      <c r="AE701" s="289" t="s">
        <v>410</v>
      </c>
      <c r="AF701" s="290" t="s">
        <v>1447</v>
      </c>
      <c r="AG701" s="295">
        <v>42735</v>
      </c>
      <c r="AH701" s="290" t="s">
        <v>1448</v>
      </c>
      <c r="AI701" s="289">
        <v>0</v>
      </c>
      <c r="AJ701" s="289">
        <v>26258.62</v>
      </c>
    </row>
    <row r="702" spans="2:36">
      <c r="B702" s="290">
        <v>2111</v>
      </c>
      <c r="C702" s="294">
        <v>173241</v>
      </c>
      <c r="D702" s="290" t="s">
        <v>944</v>
      </c>
      <c r="E702" s="289" t="s">
        <v>593</v>
      </c>
      <c r="F702" s="290">
        <v>486</v>
      </c>
      <c r="G702" s="289"/>
      <c r="H702" s="289">
        <v>0</v>
      </c>
      <c r="I702" s="289"/>
      <c r="J702" s="289">
        <v>0</v>
      </c>
      <c r="K702" s="289" t="s">
        <v>2245</v>
      </c>
      <c r="L702" s="289"/>
      <c r="M702" s="289"/>
      <c r="N702" s="293">
        <v>39236</v>
      </c>
      <c r="O702" s="293">
        <v>39236</v>
      </c>
      <c r="P702" s="289" t="s">
        <v>2413</v>
      </c>
      <c r="Q702" s="290">
        <v>700</v>
      </c>
      <c r="R702" s="290">
        <v>14050</v>
      </c>
      <c r="S702" s="291">
        <v>26258.62</v>
      </c>
      <c r="T702" s="290">
        <v>14056</v>
      </c>
      <c r="U702" s="291">
        <v>26258.62</v>
      </c>
      <c r="V702" s="291">
        <f t="shared" si="10"/>
        <v>0</v>
      </c>
      <c r="W702" s="292">
        <v>0</v>
      </c>
      <c r="X702" s="290">
        <v>54260</v>
      </c>
      <c r="Y702" s="291">
        <v>0</v>
      </c>
      <c r="Z702" s="289" t="s">
        <v>944</v>
      </c>
      <c r="AA702" s="289"/>
      <c r="AB702" s="289" t="s">
        <v>2417</v>
      </c>
      <c r="AC702" s="289"/>
      <c r="AD702" s="289" t="s">
        <v>1446</v>
      </c>
      <c r="AE702" s="289" t="s">
        <v>410</v>
      </c>
      <c r="AF702" s="290" t="s">
        <v>1447</v>
      </c>
      <c r="AG702" s="295">
        <v>42735</v>
      </c>
      <c r="AH702" s="290" t="s">
        <v>1448</v>
      </c>
      <c r="AI702" s="289">
        <v>0</v>
      </c>
      <c r="AJ702" s="289">
        <v>26258.62</v>
      </c>
    </row>
    <row r="703" spans="2:36">
      <c r="B703" s="290">
        <v>2111</v>
      </c>
      <c r="C703" s="294">
        <v>173240</v>
      </c>
      <c r="D703" s="290" t="s">
        <v>944</v>
      </c>
      <c r="E703" s="289" t="s">
        <v>593</v>
      </c>
      <c r="F703" s="290">
        <v>486</v>
      </c>
      <c r="G703" s="289"/>
      <c r="H703" s="289">
        <v>0</v>
      </c>
      <c r="I703" s="289"/>
      <c r="J703" s="289">
        <v>0</v>
      </c>
      <c r="K703" s="289" t="s">
        <v>2245</v>
      </c>
      <c r="L703" s="289"/>
      <c r="M703" s="289"/>
      <c r="N703" s="293">
        <v>39217</v>
      </c>
      <c r="O703" s="293">
        <v>39217</v>
      </c>
      <c r="P703" s="289" t="s">
        <v>2418</v>
      </c>
      <c r="Q703" s="290">
        <v>700</v>
      </c>
      <c r="R703" s="290">
        <v>14050</v>
      </c>
      <c r="S703" s="291">
        <v>26554.73</v>
      </c>
      <c r="T703" s="290">
        <v>14056</v>
      </c>
      <c r="U703" s="291">
        <v>26554.73</v>
      </c>
      <c r="V703" s="291">
        <f t="shared" si="10"/>
        <v>0</v>
      </c>
      <c r="W703" s="292">
        <v>0</v>
      </c>
      <c r="X703" s="290">
        <v>54260</v>
      </c>
      <c r="Y703" s="291">
        <v>0</v>
      </c>
      <c r="Z703" s="289" t="s">
        <v>944</v>
      </c>
      <c r="AA703" s="289"/>
      <c r="AB703" s="289" t="s">
        <v>2419</v>
      </c>
      <c r="AC703" s="289"/>
      <c r="AD703" s="289" t="s">
        <v>1446</v>
      </c>
      <c r="AE703" s="289" t="s">
        <v>410</v>
      </c>
      <c r="AF703" s="290" t="s">
        <v>1447</v>
      </c>
      <c r="AG703" s="295">
        <v>42735</v>
      </c>
      <c r="AH703" s="290" t="s">
        <v>1448</v>
      </c>
      <c r="AI703" s="289">
        <v>0</v>
      </c>
      <c r="AJ703" s="289">
        <v>26554.73</v>
      </c>
    </row>
    <row r="704" spans="2:36">
      <c r="B704" s="290">
        <v>2111</v>
      </c>
      <c r="C704" s="294">
        <v>173239</v>
      </c>
      <c r="D704" s="290" t="s">
        <v>944</v>
      </c>
      <c r="E704" s="289" t="s">
        <v>2420</v>
      </c>
      <c r="F704" s="290">
        <v>4</v>
      </c>
      <c r="G704" s="289"/>
      <c r="H704" s="289">
        <v>0</v>
      </c>
      <c r="I704" s="289"/>
      <c r="J704" s="289">
        <v>0</v>
      </c>
      <c r="K704" s="289" t="s">
        <v>2257</v>
      </c>
      <c r="L704" s="289"/>
      <c r="M704" s="289" t="s">
        <v>1664</v>
      </c>
      <c r="N704" s="293">
        <v>39219</v>
      </c>
      <c r="O704" s="293">
        <v>39219</v>
      </c>
      <c r="P704" s="289" t="s">
        <v>2421</v>
      </c>
      <c r="Q704" s="290">
        <v>1200</v>
      </c>
      <c r="R704" s="290">
        <v>14050</v>
      </c>
      <c r="S704" s="291">
        <v>2885.85</v>
      </c>
      <c r="T704" s="290">
        <v>14056</v>
      </c>
      <c r="U704" s="291">
        <v>2885.85</v>
      </c>
      <c r="V704" s="291">
        <f t="shared" si="10"/>
        <v>0</v>
      </c>
      <c r="W704" s="292">
        <v>0</v>
      </c>
      <c r="X704" s="290">
        <v>54260</v>
      </c>
      <c r="Y704" s="291">
        <v>0</v>
      </c>
      <c r="Z704" s="289" t="s">
        <v>944</v>
      </c>
      <c r="AA704" s="289"/>
      <c r="AB704" s="289">
        <v>23297</v>
      </c>
      <c r="AC704" s="289"/>
      <c r="AD704" s="289" t="s">
        <v>1446</v>
      </c>
      <c r="AE704" s="289" t="s">
        <v>410</v>
      </c>
      <c r="AF704" s="290" t="s">
        <v>1447</v>
      </c>
      <c r="AG704" s="295">
        <v>42735</v>
      </c>
      <c r="AH704" s="290" t="s">
        <v>1448</v>
      </c>
      <c r="AI704" s="289">
        <v>0</v>
      </c>
      <c r="AJ704" s="289">
        <v>2304.6999999999998</v>
      </c>
    </row>
    <row r="705" spans="2:36">
      <c r="B705" s="290">
        <v>2111</v>
      </c>
      <c r="C705" s="294">
        <v>173238</v>
      </c>
      <c r="D705" s="290" t="s">
        <v>944</v>
      </c>
      <c r="E705" s="289" t="s">
        <v>681</v>
      </c>
      <c r="F705" s="290">
        <v>10</v>
      </c>
      <c r="G705" s="289"/>
      <c r="H705" s="289">
        <v>0</v>
      </c>
      <c r="I705" s="289"/>
      <c r="J705" s="289">
        <v>0</v>
      </c>
      <c r="K705" s="289" t="s">
        <v>2403</v>
      </c>
      <c r="L705" s="289"/>
      <c r="M705" s="289" t="s">
        <v>1918</v>
      </c>
      <c r="N705" s="293">
        <v>39063</v>
      </c>
      <c r="O705" s="293">
        <v>39063</v>
      </c>
      <c r="P705" s="289" t="s">
        <v>2422</v>
      </c>
      <c r="Q705" s="290">
        <v>1200</v>
      </c>
      <c r="R705" s="290">
        <v>14050</v>
      </c>
      <c r="S705" s="291">
        <v>4308.4799999999996</v>
      </c>
      <c r="T705" s="290">
        <v>14056</v>
      </c>
      <c r="U705" s="291">
        <v>4308.4799999999996</v>
      </c>
      <c r="V705" s="291">
        <f t="shared" si="10"/>
        <v>0</v>
      </c>
      <c r="W705" s="292">
        <v>0</v>
      </c>
      <c r="X705" s="290">
        <v>54260</v>
      </c>
      <c r="Y705" s="291">
        <v>0</v>
      </c>
      <c r="Z705" s="289" t="s">
        <v>944</v>
      </c>
      <c r="AA705" s="289"/>
      <c r="AB705" s="289">
        <v>3198</v>
      </c>
      <c r="AC705" s="289"/>
      <c r="AD705" s="289" t="s">
        <v>1446</v>
      </c>
      <c r="AE705" s="289" t="s">
        <v>410</v>
      </c>
      <c r="AF705" s="290" t="s">
        <v>1447</v>
      </c>
      <c r="AG705" s="295">
        <v>42735</v>
      </c>
      <c r="AH705" s="290" t="s">
        <v>1448</v>
      </c>
      <c r="AI705" s="289">
        <v>0</v>
      </c>
      <c r="AJ705" s="289">
        <v>3620.32</v>
      </c>
    </row>
    <row r="706" spans="2:36">
      <c r="B706" s="290">
        <v>2111</v>
      </c>
      <c r="C706" s="294">
        <v>173237</v>
      </c>
      <c r="D706" s="290" t="s">
        <v>944</v>
      </c>
      <c r="E706" s="289" t="s">
        <v>682</v>
      </c>
      <c r="F706" s="290">
        <v>22</v>
      </c>
      <c r="G706" s="289"/>
      <c r="H706" s="289">
        <v>0</v>
      </c>
      <c r="I706" s="289"/>
      <c r="J706" s="289">
        <v>0</v>
      </c>
      <c r="K706" s="289" t="s">
        <v>2403</v>
      </c>
      <c r="L706" s="289"/>
      <c r="M706" s="289" t="s">
        <v>1659</v>
      </c>
      <c r="N706" s="293">
        <v>39063</v>
      </c>
      <c r="O706" s="293">
        <v>39063</v>
      </c>
      <c r="P706" s="289" t="s">
        <v>2423</v>
      </c>
      <c r="Q706" s="290">
        <v>1200</v>
      </c>
      <c r="R706" s="290">
        <v>14050</v>
      </c>
      <c r="S706" s="291">
        <v>10340.35</v>
      </c>
      <c r="T706" s="290">
        <v>14056</v>
      </c>
      <c r="U706" s="291">
        <v>10340.35</v>
      </c>
      <c r="V706" s="291">
        <f t="shared" si="10"/>
        <v>0</v>
      </c>
      <c r="W706" s="292">
        <v>0</v>
      </c>
      <c r="X706" s="290">
        <v>54260</v>
      </c>
      <c r="Y706" s="291">
        <v>0</v>
      </c>
      <c r="Z706" s="289" t="s">
        <v>944</v>
      </c>
      <c r="AA706" s="289"/>
      <c r="AB706" s="289">
        <v>3199</v>
      </c>
      <c r="AC706" s="289"/>
      <c r="AD706" s="289" t="s">
        <v>1446</v>
      </c>
      <c r="AE706" s="289" t="s">
        <v>410</v>
      </c>
      <c r="AF706" s="290" t="s">
        <v>1447</v>
      </c>
      <c r="AG706" s="295">
        <v>42735</v>
      </c>
      <c r="AH706" s="290" t="s">
        <v>1448</v>
      </c>
      <c r="AI706" s="289">
        <v>0</v>
      </c>
      <c r="AJ706" s="289">
        <v>8688.81</v>
      </c>
    </row>
    <row r="707" spans="2:36">
      <c r="B707" s="290">
        <v>2111</v>
      </c>
      <c r="C707" s="294">
        <v>173236</v>
      </c>
      <c r="D707" s="290">
        <v>43740</v>
      </c>
      <c r="E707" s="289" t="s">
        <v>2424</v>
      </c>
      <c r="F707" s="290">
        <v>0</v>
      </c>
      <c r="G707" s="289"/>
      <c r="H707" s="289" t="s">
        <v>2425</v>
      </c>
      <c r="I707" s="289"/>
      <c r="J707" s="289">
        <v>2006</v>
      </c>
      <c r="K707" s="289"/>
      <c r="L707" s="289"/>
      <c r="M707" s="289" t="s">
        <v>1467</v>
      </c>
      <c r="N707" s="293">
        <v>38985</v>
      </c>
      <c r="O707" s="293">
        <v>38985</v>
      </c>
      <c r="P707" s="289" t="s">
        <v>2426</v>
      </c>
      <c r="Q707" s="290">
        <v>1000</v>
      </c>
      <c r="R707" s="290">
        <v>14040</v>
      </c>
      <c r="S707" s="291">
        <v>65281.09</v>
      </c>
      <c r="T707" s="290">
        <v>14046</v>
      </c>
      <c r="U707" s="291">
        <v>65281.09</v>
      </c>
      <c r="V707" s="291">
        <f t="shared" si="10"/>
        <v>0</v>
      </c>
      <c r="W707" s="292">
        <v>0</v>
      </c>
      <c r="X707" s="290">
        <v>51260</v>
      </c>
      <c r="Y707" s="291">
        <v>0</v>
      </c>
      <c r="Z707" s="289" t="s">
        <v>944</v>
      </c>
      <c r="AA707" s="289"/>
      <c r="AB707" s="289">
        <v>23601</v>
      </c>
      <c r="AC707" s="289"/>
      <c r="AD707" s="289" t="s">
        <v>1446</v>
      </c>
      <c r="AE707" s="289" t="s">
        <v>410</v>
      </c>
      <c r="AF707" s="290" t="s">
        <v>1447</v>
      </c>
      <c r="AG707" s="295">
        <v>42735</v>
      </c>
      <c r="AH707" s="290" t="s">
        <v>1448</v>
      </c>
      <c r="AI707" s="289">
        <v>0</v>
      </c>
      <c r="AJ707" s="289">
        <v>65281.09</v>
      </c>
    </row>
    <row r="708" spans="2:36">
      <c r="B708" s="290">
        <v>2111</v>
      </c>
      <c r="C708" s="294">
        <v>173235</v>
      </c>
      <c r="D708" s="290" t="s">
        <v>944</v>
      </c>
      <c r="E708" s="289" t="s">
        <v>2427</v>
      </c>
      <c r="F708" s="290">
        <v>437</v>
      </c>
      <c r="G708" s="289"/>
      <c r="H708" s="289">
        <v>0</v>
      </c>
      <c r="I708" s="289"/>
      <c r="J708" s="289">
        <v>0</v>
      </c>
      <c r="K708" s="289" t="s">
        <v>2342</v>
      </c>
      <c r="L708" s="289"/>
      <c r="M708" s="289" t="s">
        <v>2428</v>
      </c>
      <c r="N708" s="293">
        <v>38917</v>
      </c>
      <c r="O708" s="293">
        <v>38917</v>
      </c>
      <c r="P708" s="289" t="s">
        <v>2429</v>
      </c>
      <c r="Q708" s="290">
        <v>700</v>
      </c>
      <c r="R708" s="290">
        <v>14050</v>
      </c>
      <c r="S708" s="291">
        <v>1426.36</v>
      </c>
      <c r="T708" s="290">
        <v>14056</v>
      </c>
      <c r="U708" s="291">
        <v>1426.36</v>
      </c>
      <c r="V708" s="291">
        <f t="shared" si="10"/>
        <v>0</v>
      </c>
      <c r="W708" s="292">
        <v>0</v>
      </c>
      <c r="X708" s="290">
        <v>54260</v>
      </c>
      <c r="Y708" s="291">
        <v>0</v>
      </c>
      <c r="Z708" s="289" t="s">
        <v>944</v>
      </c>
      <c r="AA708" s="289"/>
      <c r="AB708" s="289" t="s">
        <v>2430</v>
      </c>
      <c r="AC708" s="289"/>
      <c r="AD708" s="289" t="s">
        <v>1446</v>
      </c>
      <c r="AE708" s="289" t="s">
        <v>410</v>
      </c>
      <c r="AF708" s="290" t="s">
        <v>1447</v>
      </c>
      <c r="AG708" s="295">
        <v>42735</v>
      </c>
      <c r="AH708" s="290" t="s">
        <v>1448</v>
      </c>
      <c r="AI708" s="289">
        <v>0</v>
      </c>
      <c r="AJ708" s="289">
        <v>1426.36</v>
      </c>
    </row>
    <row r="709" spans="2:36">
      <c r="B709" s="290">
        <v>2111</v>
      </c>
      <c r="C709" s="294">
        <v>173234</v>
      </c>
      <c r="D709" s="290" t="s">
        <v>944</v>
      </c>
      <c r="E709" s="289" t="s">
        <v>2431</v>
      </c>
      <c r="F709" s="290">
        <v>182</v>
      </c>
      <c r="G709" s="289"/>
      <c r="H709" s="289">
        <v>0</v>
      </c>
      <c r="I709" s="289"/>
      <c r="J709" s="289">
        <v>0</v>
      </c>
      <c r="K709" s="289" t="s">
        <v>2342</v>
      </c>
      <c r="L709" s="289"/>
      <c r="M709" s="289"/>
      <c r="N709" s="293">
        <v>38917</v>
      </c>
      <c r="O709" s="293">
        <v>38917</v>
      </c>
      <c r="P709" s="289" t="s">
        <v>2429</v>
      </c>
      <c r="Q709" s="290">
        <v>700</v>
      </c>
      <c r="R709" s="290">
        <v>14050</v>
      </c>
      <c r="S709" s="291">
        <v>10909.38</v>
      </c>
      <c r="T709" s="290">
        <v>14056</v>
      </c>
      <c r="U709" s="291">
        <v>10909.38</v>
      </c>
      <c r="V709" s="291">
        <f t="shared" si="10"/>
        <v>0</v>
      </c>
      <c r="W709" s="292">
        <v>0</v>
      </c>
      <c r="X709" s="290">
        <v>54260</v>
      </c>
      <c r="Y709" s="291">
        <v>0</v>
      </c>
      <c r="Z709" s="289" t="s">
        <v>944</v>
      </c>
      <c r="AA709" s="289"/>
      <c r="AB709" s="289" t="s">
        <v>2430</v>
      </c>
      <c r="AC709" s="289"/>
      <c r="AD709" s="289" t="s">
        <v>1446</v>
      </c>
      <c r="AE709" s="289" t="s">
        <v>410</v>
      </c>
      <c r="AF709" s="290" t="s">
        <v>1447</v>
      </c>
      <c r="AG709" s="295">
        <v>42735</v>
      </c>
      <c r="AH709" s="290" t="s">
        <v>1448</v>
      </c>
      <c r="AI709" s="289">
        <v>0</v>
      </c>
      <c r="AJ709" s="289">
        <v>10909.38</v>
      </c>
    </row>
    <row r="710" spans="2:36">
      <c r="B710" s="290">
        <v>2111</v>
      </c>
      <c r="C710" s="294">
        <v>173233</v>
      </c>
      <c r="D710" s="290" t="s">
        <v>944</v>
      </c>
      <c r="E710" s="289" t="s">
        <v>2432</v>
      </c>
      <c r="F710" s="290">
        <v>239</v>
      </c>
      <c r="G710" s="289"/>
      <c r="H710" s="289">
        <v>0</v>
      </c>
      <c r="I710" s="289"/>
      <c r="J710" s="289">
        <v>0</v>
      </c>
      <c r="K710" s="289" t="s">
        <v>2342</v>
      </c>
      <c r="L710" s="289"/>
      <c r="M710" s="289"/>
      <c r="N710" s="293">
        <v>38917</v>
      </c>
      <c r="O710" s="293">
        <v>38917</v>
      </c>
      <c r="P710" s="289" t="s">
        <v>2429</v>
      </c>
      <c r="Q710" s="290">
        <v>700</v>
      </c>
      <c r="R710" s="290">
        <v>14050</v>
      </c>
      <c r="S710" s="291">
        <v>12795.72</v>
      </c>
      <c r="T710" s="290">
        <v>14056</v>
      </c>
      <c r="U710" s="291">
        <v>12795.72</v>
      </c>
      <c r="V710" s="291">
        <f t="shared" si="10"/>
        <v>0</v>
      </c>
      <c r="W710" s="292">
        <v>0</v>
      </c>
      <c r="X710" s="290">
        <v>54260</v>
      </c>
      <c r="Y710" s="291">
        <v>0</v>
      </c>
      <c r="Z710" s="289" t="s">
        <v>944</v>
      </c>
      <c r="AA710" s="289"/>
      <c r="AB710" s="289" t="s">
        <v>2430</v>
      </c>
      <c r="AC710" s="289"/>
      <c r="AD710" s="289" t="s">
        <v>1446</v>
      </c>
      <c r="AE710" s="289" t="s">
        <v>410</v>
      </c>
      <c r="AF710" s="290" t="s">
        <v>1447</v>
      </c>
      <c r="AG710" s="295">
        <v>42735</v>
      </c>
      <c r="AH710" s="290" t="s">
        <v>1448</v>
      </c>
      <c r="AI710" s="289">
        <v>0</v>
      </c>
      <c r="AJ710" s="289">
        <v>12795.72</v>
      </c>
    </row>
    <row r="711" spans="2:36">
      <c r="B711" s="290">
        <v>2111</v>
      </c>
      <c r="C711" s="294">
        <v>173232</v>
      </c>
      <c r="D711" s="290" t="s">
        <v>944</v>
      </c>
      <c r="E711" s="289" t="s">
        <v>2431</v>
      </c>
      <c r="F711" s="290">
        <v>588</v>
      </c>
      <c r="G711" s="289"/>
      <c r="H711" s="289">
        <v>0</v>
      </c>
      <c r="I711" s="289"/>
      <c r="J711" s="289">
        <v>0</v>
      </c>
      <c r="K711" s="289" t="s">
        <v>2342</v>
      </c>
      <c r="L711" s="289"/>
      <c r="M711" s="289"/>
      <c r="N711" s="293">
        <v>38910</v>
      </c>
      <c r="O711" s="293">
        <v>38910</v>
      </c>
      <c r="P711" s="289" t="s">
        <v>2429</v>
      </c>
      <c r="Q711" s="290">
        <v>700</v>
      </c>
      <c r="R711" s="290">
        <v>14050</v>
      </c>
      <c r="S711" s="291">
        <v>35558.019999999997</v>
      </c>
      <c r="T711" s="290">
        <v>14056</v>
      </c>
      <c r="U711" s="291">
        <v>35558.019999999997</v>
      </c>
      <c r="V711" s="291">
        <f t="shared" si="10"/>
        <v>0</v>
      </c>
      <c r="W711" s="292">
        <v>0</v>
      </c>
      <c r="X711" s="290">
        <v>54260</v>
      </c>
      <c r="Y711" s="291">
        <v>0</v>
      </c>
      <c r="Z711" s="289" t="s">
        <v>944</v>
      </c>
      <c r="AA711" s="289"/>
      <c r="AB711" s="289" t="s">
        <v>2433</v>
      </c>
      <c r="AC711" s="289"/>
      <c r="AD711" s="289" t="s">
        <v>1446</v>
      </c>
      <c r="AE711" s="289" t="s">
        <v>410</v>
      </c>
      <c r="AF711" s="290" t="s">
        <v>1447</v>
      </c>
      <c r="AG711" s="295">
        <v>42735</v>
      </c>
      <c r="AH711" s="290" t="s">
        <v>1448</v>
      </c>
      <c r="AI711" s="289">
        <v>0</v>
      </c>
      <c r="AJ711" s="289">
        <v>35558.019999999997</v>
      </c>
    </row>
    <row r="712" spans="2:36">
      <c r="B712" s="290">
        <v>2111</v>
      </c>
      <c r="C712" s="294">
        <v>173231</v>
      </c>
      <c r="D712" s="290" t="s">
        <v>944</v>
      </c>
      <c r="E712" s="289" t="s">
        <v>2434</v>
      </c>
      <c r="F712" s="290">
        <v>0</v>
      </c>
      <c r="G712" s="289"/>
      <c r="H712" s="289" t="s">
        <v>2425</v>
      </c>
      <c r="I712" s="289"/>
      <c r="J712" s="289">
        <v>2006</v>
      </c>
      <c r="K712" s="289" t="s">
        <v>2435</v>
      </c>
      <c r="L712" s="289" t="s">
        <v>1522</v>
      </c>
      <c r="M712" s="289" t="s">
        <v>1746</v>
      </c>
      <c r="N712" s="293">
        <v>38854</v>
      </c>
      <c r="O712" s="293">
        <v>38854</v>
      </c>
      <c r="P712" s="289" t="s">
        <v>2426</v>
      </c>
      <c r="Q712" s="290">
        <v>1000</v>
      </c>
      <c r="R712" s="290">
        <v>14040</v>
      </c>
      <c r="S712" s="291">
        <v>120222.34</v>
      </c>
      <c r="T712" s="290">
        <v>14046</v>
      </c>
      <c r="U712" s="291">
        <v>120222.34</v>
      </c>
      <c r="V712" s="291">
        <f t="shared" si="10"/>
        <v>0</v>
      </c>
      <c r="W712" s="292">
        <v>0</v>
      </c>
      <c r="X712" s="290">
        <v>51260</v>
      </c>
      <c r="Y712" s="291">
        <v>0</v>
      </c>
      <c r="Z712" s="289" t="s">
        <v>944</v>
      </c>
      <c r="AA712" s="289"/>
      <c r="AB712" s="289">
        <v>203513</v>
      </c>
      <c r="AC712" s="289">
        <v>612</v>
      </c>
      <c r="AD712" s="289" t="s">
        <v>1446</v>
      </c>
      <c r="AE712" s="289" t="s">
        <v>410</v>
      </c>
      <c r="AF712" s="290" t="s">
        <v>1447</v>
      </c>
      <c r="AG712" s="295">
        <v>42735</v>
      </c>
      <c r="AH712" s="290" t="s">
        <v>1448</v>
      </c>
      <c r="AI712" s="289">
        <v>0</v>
      </c>
      <c r="AJ712" s="289">
        <v>120222.34</v>
      </c>
    </row>
    <row r="713" spans="2:36">
      <c r="B713" s="290">
        <v>2111</v>
      </c>
      <c r="C713" s="294">
        <v>173230</v>
      </c>
      <c r="D713" s="290" t="s">
        <v>944</v>
      </c>
      <c r="E713" s="289" t="s">
        <v>2436</v>
      </c>
      <c r="F713" s="290">
        <v>432</v>
      </c>
      <c r="G713" s="289"/>
      <c r="H713" s="289">
        <v>0</v>
      </c>
      <c r="I713" s="289"/>
      <c r="J713" s="289">
        <v>0</v>
      </c>
      <c r="K713" s="289" t="s">
        <v>2245</v>
      </c>
      <c r="L713" s="289"/>
      <c r="M713" s="289"/>
      <c r="N713" s="293">
        <v>38842</v>
      </c>
      <c r="O713" s="293">
        <v>38842</v>
      </c>
      <c r="P713" s="289" t="s">
        <v>2437</v>
      </c>
      <c r="Q713" s="290">
        <v>700</v>
      </c>
      <c r="R713" s="290">
        <v>14050</v>
      </c>
      <c r="S713" s="291">
        <v>23284.6</v>
      </c>
      <c r="T713" s="290">
        <v>14056</v>
      </c>
      <c r="U713" s="291">
        <v>23284.6</v>
      </c>
      <c r="V713" s="291">
        <f t="shared" si="10"/>
        <v>0</v>
      </c>
      <c r="W713" s="292">
        <v>0</v>
      </c>
      <c r="X713" s="290">
        <v>54260</v>
      </c>
      <c r="Y713" s="291">
        <v>0</v>
      </c>
      <c r="Z713" s="289" t="s">
        <v>944</v>
      </c>
      <c r="AA713" s="289"/>
      <c r="AB713" s="289" t="s">
        <v>2438</v>
      </c>
      <c r="AC713" s="289"/>
      <c r="AD713" s="289" t="s">
        <v>1446</v>
      </c>
      <c r="AE713" s="289" t="s">
        <v>410</v>
      </c>
      <c r="AF713" s="290" t="s">
        <v>1447</v>
      </c>
      <c r="AG713" s="295">
        <v>42735</v>
      </c>
      <c r="AH713" s="290" t="s">
        <v>1448</v>
      </c>
      <c r="AI713" s="289">
        <v>0</v>
      </c>
      <c r="AJ713" s="289">
        <v>23284.6</v>
      </c>
    </row>
    <row r="714" spans="2:36">
      <c r="B714" s="290">
        <v>2111</v>
      </c>
      <c r="C714" s="294">
        <v>173229</v>
      </c>
      <c r="D714" s="290" t="s">
        <v>944</v>
      </c>
      <c r="E714" s="289" t="s">
        <v>2439</v>
      </c>
      <c r="F714" s="290">
        <v>432</v>
      </c>
      <c r="G714" s="289"/>
      <c r="H714" s="289">
        <v>0</v>
      </c>
      <c r="I714" s="289"/>
      <c r="J714" s="289">
        <v>0</v>
      </c>
      <c r="K714" s="289" t="s">
        <v>2245</v>
      </c>
      <c r="L714" s="289"/>
      <c r="M714" s="289"/>
      <c r="N714" s="293">
        <v>38839</v>
      </c>
      <c r="O714" s="293">
        <v>38839</v>
      </c>
      <c r="P714" s="289" t="s">
        <v>2437</v>
      </c>
      <c r="Q714" s="290">
        <v>700</v>
      </c>
      <c r="R714" s="290">
        <v>14050</v>
      </c>
      <c r="S714" s="291">
        <v>23461.41</v>
      </c>
      <c r="T714" s="290">
        <v>14056</v>
      </c>
      <c r="U714" s="291">
        <v>23461.41</v>
      </c>
      <c r="V714" s="291">
        <f t="shared" si="10"/>
        <v>0</v>
      </c>
      <c r="W714" s="292">
        <v>0</v>
      </c>
      <c r="X714" s="290">
        <v>54260</v>
      </c>
      <c r="Y714" s="291">
        <v>0</v>
      </c>
      <c r="Z714" s="289" t="s">
        <v>944</v>
      </c>
      <c r="AA714" s="289"/>
      <c r="AB714" s="289" t="s">
        <v>2440</v>
      </c>
      <c r="AC714" s="289"/>
      <c r="AD714" s="289" t="s">
        <v>1446</v>
      </c>
      <c r="AE714" s="289" t="s">
        <v>410</v>
      </c>
      <c r="AF714" s="290" t="s">
        <v>1447</v>
      </c>
      <c r="AG714" s="295">
        <v>42735</v>
      </c>
      <c r="AH714" s="290" t="s">
        <v>1448</v>
      </c>
      <c r="AI714" s="289">
        <v>0</v>
      </c>
      <c r="AJ714" s="289">
        <v>23461.41</v>
      </c>
    </row>
    <row r="715" spans="2:36">
      <c r="B715" s="290">
        <v>2111</v>
      </c>
      <c r="C715" s="294">
        <v>173228</v>
      </c>
      <c r="D715" s="290" t="s">
        <v>944</v>
      </c>
      <c r="E715" s="289" t="s">
        <v>2441</v>
      </c>
      <c r="F715" s="290">
        <v>10</v>
      </c>
      <c r="G715" s="289"/>
      <c r="H715" s="289">
        <v>0</v>
      </c>
      <c r="I715" s="289"/>
      <c r="J715" s="289">
        <v>0</v>
      </c>
      <c r="K715" s="289" t="s">
        <v>2403</v>
      </c>
      <c r="L715" s="289"/>
      <c r="M715" s="289" t="s">
        <v>1662</v>
      </c>
      <c r="N715" s="293">
        <v>38783</v>
      </c>
      <c r="O715" s="293">
        <v>38783</v>
      </c>
      <c r="P715" s="289" t="s">
        <v>2442</v>
      </c>
      <c r="Q715" s="290">
        <v>1200</v>
      </c>
      <c r="R715" s="290">
        <v>14050</v>
      </c>
      <c r="S715" s="291">
        <v>8040.32</v>
      </c>
      <c r="T715" s="290">
        <v>14056</v>
      </c>
      <c r="U715" s="291">
        <v>8040.32</v>
      </c>
      <c r="V715" s="291">
        <f t="shared" si="10"/>
        <v>0</v>
      </c>
      <c r="W715" s="292">
        <v>0</v>
      </c>
      <c r="X715" s="290">
        <v>54260</v>
      </c>
      <c r="Y715" s="291">
        <v>0</v>
      </c>
      <c r="Z715" s="289" t="s">
        <v>944</v>
      </c>
      <c r="AA715" s="289">
        <v>0</v>
      </c>
      <c r="AB715" s="289">
        <v>2816</v>
      </c>
      <c r="AC715" s="289"/>
      <c r="AD715" s="289" t="s">
        <v>1446</v>
      </c>
      <c r="AE715" s="289" t="s">
        <v>410</v>
      </c>
      <c r="AF715" s="290" t="s">
        <v>1447</v>
      </c>
      <c r="AG715" s="295">
        <v>42735</v>
      </c>
      <c r="AH715" s="290" t="s">
        <v>1448</v>
      </c>
      <c r="AI715" s="289">
        <v>0</v>
      </c>
      <c r="AJ715" s="289">
        <v>7258.66</v>
      </c>
    </row>
    <row r="716" spans="2:36">
      <c r="B716" s="290">
        <v>2111</v>
      </c>
      <c r="C716" s="294">
        <v>173226</v>
      </c>
      <c r="D716" s="290" t="s">
        <v>944</v>
      </c>
      <c r="E716" s="289" t="s">
        <v>2443</v>
      </c>
      <c r="F716" s="290">
        <v>5</v>
      </c>
      <c r="G716" s="289"/>
      <c r="H716" s="289">
        <v>0</v>
      </c>
      <c r="I716" s="289"/>
      <c r="J716" s="289">
        <v>0</v>
      </c>
      <c r="K716" s="289" t="s">
        <v>2403</v>
      </c>
      <c r="L716" s="289"/>
      <c r="M716" s="289" t="s">
        <v>1664</v>
      </c>
      <c r="N716" s="293">
        <v>38783</v>
      </c>
      <c r="O716" s="293">
        <v>38783</v>
      </c>
      <c r="P716" s="289" t="s">
        <v>2444</v>
      </c>
      <c r="Q716" s="290">
        <v>1200</v>
      </c>
      <c r="R716" s="290">
        <v>14050</v>
      </c>
      <c r="S716" s="291">
        <v>2970.24</v>
      </c>
      <c r="T716" s="290">
        <v>14056</v>
      </c>
      <c r="U716" s="291">
        <v>2970.24</v>
      </c>
      <c r="V716" s="291">
        <f t="shared" si="10"/>
        <v>0</v>
      </c>
      <c r="W716" s="292">
        <v>0</v>
      </c>
      <c r="X716" s="290">
        <v>54260</v>
      </c>
      <c r="Y716" s="291">
        <v>0</v>
      </c>
      <c r="Z716" s="289" t="s">
        <v>944</v>
      </c>
      <c r="AA716" s="289">
        <v>0</v>
      </c>
      <c r="AB716" s="289">
        <v>2818</v>
      </c>
      <c r="AC716" s="289"/>
      <c r="AD716" s="289" t="s">
        <v>1446</v>
      </c>
      <c r="AE716" s="289" t="s">
        <v>410</v>
      </c>
      <c r="AF716" s="290" t="s">
        <v>1447</v>
      </c>
      <c r="AG716" s="295">
        <v>42735</v>
      </c>
      <c r="AH716" s="290" t="s">
        <v>1448</v>
      </c>
      <c r="AI716" s="289">
        <v>0</v>
      </c>
      <c r="AJ716" s="289">
        <v>2681.47</v>
      </c>
    </row>
    <row r="717" spans="2:36">
      <c r="B717" s="290">
        <v>2111</v>
      </c>
      <c r="C717" s="294">
        <v>173225</v>
      </c>
      <c r="D717" s="290">
        <v>39506</v>
      </c>
      <c r="E717" s="289" t="s">
        <v>2445</v>
      </c>
      <c r="F717" s="290">
        <v>0</v>
      </c>
      <c r="G717" s="289"/>
      <c r="H717" s="289" t="s">
        <v>2446</v>
      </c>
      <c r="I717" s="289"/>
      <c r="J717" s="289">
        <v>2005</v>
      </c>
      <c r="K717" s="289"/>
      <c r="L717" s="289"/>
      <c r="M717" s="289" t="s">
        <v>1467</v>
      </c>
      <c r="N717" s="293">
        <v>38204</v>
      </c>
      <c r="O717" s="293">
        <v>38204</v>
      </c>
      <c r="P717" s="289" t="s">
        <v>2447</v>
      </c>
      <c r="Q717" s="290">
        <v>1000</v>
      </c>
      <c r="R717" s="290">
        <v>14040</v>
      </c>
      <c r="S717" s="291">
        <v>8227.1299999999992</v>
      </c>
      <c r="T717" s="290">
        <v>14046</v>
      </c>
      <c r="U717" s="291">
        <v>8227.1299999999992</v>
      </c>
      <c r="V717" s="291">
        <f t="shared" si="10"/>
        <v>0</v>
      </c>
      <c r="W717" s="292">
        <v>0</v>
      </c>
      <c r="X717" s="290">
        <v>51260</v>
      </c>
      <c r="Y717" s="291">
        <v>0</v>
      </c>
      <c r="Z717" s="289" t="s">
        <v>944</v>
      </c>
      <c r="AA717" s="289">
        <v>0</v>
      </c>
      <c r="AB717" s="295">
        <v>38204</v>
      </c>
      <c r="AC717" s="289">
        <v>800</v>
      </c>
      <c r="AD717" s="289" t="s">
        <v>1446</v>
      </c>
      <c r="AE717" s="289" t="s">
        <v>410</v>
      </c>
      <c r="AF717" s="290" t="s">
        <v>1447</v>
      </c>
      <c r="AG717" s="295">
        <v>42735</v>
      </c>
      <c r="AH717" s="290" t="s">
        <v>1448</v>
      </c>
      <c r="AI717" s="289">
        <v>0</v>
      </c>
      <c r="AJ717" s="289">
        <v>8227.1299999999992</v>
      </c>
    </row>
    <row r="718" spans="2:36">
      <c r="B718" s="290">
        <v>2111</v>
      </c>
      <c r="C718" s="294">
        <v>173224</v>
      </c>
      <c r="D718" s="290">
        <v>39506</v>
      </c>
      <c r="E718" s="289" t="s">
        <v>2448</v>
      </c>
      <c r="F718" s="290">
        <v>0</v>
      </c>
      <c r="G718" s="289"/>
      <c r="H718" s="289" t="s">
        <v>2449</v>
      </c>
      <c r="I718" s="289"/>
      <c r="J718" s="289">
        <v>2005</v>
      </c>
      <c r="K718" s="289"/>
      <c r="L718" s="289"/>
      <c r="M718" s="289" t="s">
        <v>1467</v>
      </c>
      <c r="N718" s="293">
        <v>38155</v>
      </c>
      <c r="O718" s="293">
        <v>38155</v>
      </c>
      <c r="P718" s="289" t="s">
        <v>2447</v>
      </c>
      <c r="Q718" s="290">
        <v>1000</v>
      </c>
      <c r="R718" s="290">
        <v>14040</v>
      </c>
      <c r="S718" s="291">
        <v>77974.23</v>
      </c>
      <c r="T718" s="290">
        <v>14046</v>
      </c>
      <c r="U718" s="291">
        <v>77974.23</v>
      </c>
      <c r="V718" s="291">
        <f t="shared" ref="V718:V781" si="11">S718-U718</f>
        <v>0</v>
      </c>
      <c r="W718" s="292">
        <v>0</v>
      </c>
      <c r="X718" s="290">
        <v>51260</v>
      </c>
      <c r="Y718" s="291">
        <v>0</v>
      </c>
      <c r="Z718" s="289" t="s">
        <v>944</v>
      </c>
      <c r="AA718" s="289">
        <v>0</v>
      </c>
      <c r="AB718" s="289">
        <v>417421</v>
      </c>
      <c r="AC718" s="289"/>
      <c r="AD718" s="289" t="s">
        <v>1446</v>
      </c>
      <c r="AE718" s="289" t="s">
        <v>410</v>
      </c>
      <c r="AF718" s="290" t="s">
        <v>1447</v>
      </c>
      <c r="AG718" s="295">
        <v>42735</v>
      </c>
      <c r="AH718" s="290" t="s">
        <v>1448</v>
      </c>
      <c r="AI718" s="289">
        <v>0</v>
      </c>
      <c r="AJ718" s="289">
        <v>77974.23</v>
      </c>
    </row>
    <row r="719" spans="2:36">
      <c r="B719" s="290">
        <v>2111</v>
      </c>
      <c r="C719" s="294">
        <v>173223</v>
      </c>
      <c r="D719" s="290">
        <v>39506</v>
      </c>
      <c r="E719" s="289" t="s">
        <v>2450</v>
      </c>
      <c r="F719" s="290">
        <v>0</v>
      </c>
      <c r="G719" s="289"/>
      <c r="H719" s="289" t="s">
        <v>2446</v>
      </c>
      <c r="I719" s="289"/>
      <c r="J719" s="289">
        <v>2005</v>
      </c>
      <c r="K719" s="289"/>
      <c r="L719" s="289"/>
      <c r="M719" s="289" t="s">
        <v>1495</v>
      </c>
      <c r="N719" s="293">
        <v>38120</v>
      </c>
      <c r="O719" s="293">
        <v>38120</v>
      </c>
      <c r="P719" s="289" t="s">
        <v>2447</v>
      </c>
      <c r="Q719" s="290">
        <v>1000</v>
      </c>
      <c r="R719" s="290">
        <v>14040</v>
      </c>
      <c r="S719" s="291">
        <v>230.76</v>
      </c>
      <c r="T719" s="290">
        <v>14046</v>
      </c>
      <c r="U719" s="291">
        <v>230.76</v>
      </c>
      <c r="V719" s="291">
        <f t="shared" si="11"/>
        <v>0</v>
      </c>
      <c r="W719" s="292">
        <v>0</v>
      </c>
      <c r="X719" s="290">
        <v>51260</v>
      </c>
      <c r="Y719" s="291">
        <v>0</v>
      </c>
      <c r="Z719" s="289" t="s">
        <v>944</v>
      </c>
      <c r="AA719" s="289">
        <v>0</v>
      </c>
      <c r="AB719" s="289">
        <v>1788770</v>
      </c>
      <c r="AC719" s="289"/>
      <c r="AD719" s="289" t="s">
        <v>1446</v>
      </c>
      <c r="AE719" s="289" t="s">
        <v>410</v>
      </c>
      <c r="AF719" s="290" t="s">
        <v>1447</v>
      </c>
      <c r="AG719" s="295">
        <v>42735</v>
      </c>
      <c r="AH719" s="290" t="s">
        <v>1448</v>
      </c>
      <c r="AI719" s="289">
        <v>0</v>
      </c>
      <c r="AJ719" s="289">
        <v>230.76</v>
      </c>
    </row>
    <row r="720" spans="2:36">
      <c r="B720" s="290">
        <v>2111</v>
      </c>
      <c r="C720" s="294">
        <v>173222</v>
      </c>
      <c r="D720" s="290">
        <v>39506</v>
      </c>
      <c r="E720" s="289" t="s">
        <v>2451</v>
      </c>
      <c r="F720" s="290">
        <v>0</v>
      </c>
      <c r="G720" s="289"/>
      <c r="H720" s="289" t="s">
        <v>2446</v>
      </c>
      <c r="I720" s="289"/>
      <c r="J720" s="289">
        <v>2005</v>
      </c>
      <c r="K720" s="289"/>
      <c r="L720" s="289"/>
      <c r="M720" s="289" t="s">
        <v>1467</v>
      </c>
      <c r="N720" s="293">
        <v>38114</v>
      </c>
      <c r="O720" s="293">
        <v>38114</v>
      </c>
      <c r="P720" s="289" t="s">
        <v>2447</v>
      </c>
      <c r="Q720" s="290">
        <v>1000</v>
      </c>
      <c r="R720" s="290">
        <v>14040</v>
      </c>
      <c r="S720" s="291">
        <v>612.41999999999996</v>
      </c>
      <c r="T720" s="290">
        <v>14046</v>
      </c>
      <c r="U720" s="291">
        <v>612.41999999999996</v>
      </c>
      <c r="V720" s="291">
        <f t="shared" si="11"/>
        <v>0</v>
      </c>
      <c r="W720" s="292">
        <v>0</v>
      </c>
      <c r="X720" s="290">
        <v>51260</v>
      </c>
      <c r="Y720" s="291">
        <v>0</v>
      </c>
      <c r="Z720" s="289" t="s">
        <v>944</v>
      </c>
      <c r="AA720" s="289">
        <v>0</v>
      </c>
      <c r="AB720" s="289">
        <v>1784382</v>
      </c>
      <c r="AC720" s="289"/>
      <c r="AD720" s="289" t="s">
        <v>1446</v>
      </c>
      <c r="AE720" s="289" t="s">
        <v>410</v>
      </c>
      <c r="AF720" s="290" t="s">
        <v>1447</v>
      </c>
      <c r="AG720" s="295">
        <v>42735</v>
      </c>
      <c r="AH720" s="290" t="s">
        <v>1448</v>
      </c>
      <c r="AI720" s="289">
        <v>0</v>
      </c>
      <c r="AJ720" s="289">
        <v>612.41999999999996</v>
      </c>
    </row>
    <row r="721" spans="2:36">
      <c r="B721" s="290">
        <v>2111</v>
      </c>
      <c r="C721" s="294">
        <v>173221</v>
      </c>
      <c r="D721" s="290" t="s">
        <v>944</v>
      </c>
      <c r="E721" s="289" t="s">
        <v>2452</v>
      </c>
      <c r="F721" s="290">
        <v>0</v>
      </c>
      <c r="G721" s="289"/>
      <c r="H721" s="289" t="s">
        <v>2446</v>
      </c>
      <c r="I721" s="289"/>
      <c r="J721" s="289">
        <v>2004</v>
      </c>
      <c r="K721" s="289" t="s">
        <v>2300</v>
      </c>
      <c r="L721" s="289" t="s">
        <v>1522</v>
      </c>
      <c r="M721" s="289" t="s">
        <v>1495</v>
      </c>
      <c r="N721" s="293">
        <v>38108</v>
      </c>
      <c r="O721" s="293">
        <v>38108</v>
      </c>
      <c r="P721" s="289" t="s">
        <v>2447</v>
      </c>
      <c r="Q721" s="290">
        <v>1000</v>
      </c>
      <c r="R721" s="290">
        <v>14040</v>
      </c>
      <c r="S721" s="291">
        <v>99932</v>
      </c>
      <c r="T721" s="290">
        <v>14046</v>
      </c>
      <c r="U721" s="291">
        <v>99932</v>
      </c>
      <c r="V721" s="291">
        <f t="shared" si="11"/>
        <v>0</v>
      </c>
      <c r="W721" s="292">
        <v>0</v>
      </c>
      <c r="X721" s="290">
        <v>51260</v>
      </c>
      <c r="Y721" s="291">
        <v>0</v>
      </c>
      <c r="Z721" s="289" t="s">
        <v>944</v>
      </c>
      <c r="AA721" s="289">
        <v>0</v>
      </c>
      <c r="AB721" s="289">
        <v>715513</v>
      </c>
      <c r="AC721" s="289">
        <v>800</v>
      </c>
      <c r="AD721" s="289" t="s">
        <v>1446</v>
      </c>
      <c r="AE721" s="289" t="s">
        <v>410</v>
      </c>
      <c r="AF721" s="290" t="s">
        <v>1447</v>
      </c>
      <c r="AG721" s="295">
        <v>42735</v>
      </c>
      <c r="AH721" s="290" t="s">
        <v>1448</v>
      </c>
      <c r="AI721" s="289">
        <v>0</v>
      </c>
      <c r="AJ721" s="289">
        <v>99932</v>
      </c>
    </row>
    <row r="722" spans="2:36">
      <c r="B722" s="290">
        <v>2111</v>
      </c>
      <c r="C722" s="294">
        <v>173219</v>
      </c>
      <c r="D722" s="290" t="s">
        <v>944</v>
      </c>
      <c r="E722" s="289" t="s">
        <v>2453</v>
      </c>
      <c r="F722" s="290">
        <v>2440</v>
      </c>
      <c r="G722" s="289"/>
      <c r="H722" s="289"/>
      <c r="I722" s="289"/>
      <c r="J722" s="289">
        <v>0</v>
      </c>
      <c r="K722" s="289" t="s">
        <v>2454</v>
      </c>
      <c r="L722" s="289"/>
      <c r="M722" s="289"/>
      <c r="N722" s="293">
        <v>38448</v>
      </c>
      <c r="O722" s="293">
        <v>38448</v>
      </c>
      <c r="P722" s="289">
        <v>52131002</v>
      </c>
      <c r="Q722" s="290">
        <v>700</v>
      </c>
      <c r="R722" s="290">
        <v>14050</v>
      </c>
      <c r="S722" s="291">
        <v>4628.68</v>
      </c>
      <c r="T722" s="290">
        <v>14056</v>
      </c>
      <c r="U722" s="291">
        <v>4628.68</v>
      </c>
      <c r="V722" s="291">
        <f t="shared" si="11"/>
        <v>0</v>
      </c>
      <c r="W722" s="292">
        <v>0</v>
      </c>
      <c r="X722" s="290">
        <v>54260</v>
      </c>
      <c r="Y722" s="291">
        <v>0</v>
      </c>
      <c r="Z722" s="289" t="s">
        <v>944</v>
      </c>
      <c r="AA722" s="289">
        <v>0</v>
      </c>
      <c r="AB722" s="289" t="s">
        <v>2455</v>
      </c>
      <c r="AC722" s="289"/>
      <c r="AD722" s="289" t="s">
        <v>1446</v>
      </c>
      <c r="AE722" s="289" t="s">
        <v>410</v>
      </c>
      <c r="AF722" s="290" t="s">
        <v>1447</v>
      </c>
      <c r="AG722" s="295">
        <v>42735</v>
      </c>
      <c r="AH722" s="290" t="s">
        <v>1448</v>
      </c>
      <c r="AI722" s="289">
        <v>0</v>
      </c>
      <c r="AJ722" s="289">
        <v>4628.68</v>
      </c>
    </row>
    <row r="723" spans="2:36">
      <c r="B723" s="290">
        <v>2111</v>
      </c>
      <c r="C723" s="294">
        <v>173218</v>
      </c>
      <c r="D723" s="290" t="s">
        <v>944</v>
      </c>
      <c r="E723" s="289" t="s">
        <v>2453</v>
      </c>
      <c r="F723" s="290">
        <v>3488</v>
      </c>
      <c r="G723" s="289"/>
      <c r="H723" s="289"/>
      <c r="I723" s="289"/>
      <c r="J723" s="289">
        <v>0</v>
      </c>
      <c r="K723" s="289" t="s">
        <v>2454</v>
      </c>
      <c r="L723" s="289"/>
      <c r="M723" s="289"/>
      <c r="N723" s="293">
        <v>38441</v>
      </c>
      <c r="O723" s="293">
        <v>38441</v>
      </c>
      <c r="P723" s="289">
        <v>52131002</v>
      </c>
      <c r="Q723" s="290">
        <v>700</v>
      </c>
      <c r="R723" s="290">
        <v>14050</v>
      </c>
      <c r="S723" s="291">
        <v>6616.74</v>
      </c>
      <c r="T723" s="290">
        <v>14056</v>
      </c>
      <c r="U723" s="291">
        <v>6616.74</v>
      </c>
      <c r="V723" s="291">
        <f t="shared" si="11"/>
        <v>0</v>
      </c>
      <c r="W723" s="292">
        <v>0</v>
      </c>
      <c r="X723" s="290">
        <v>54260</v>
      </c>
      <c r="Y723" s="291">
        <v>0</v>
      </c>
      <c r="Z723" s="289" t="s">
        <v>944</v>
      </c>
      <c r="AA723" s="289">
        <v>0</v>
      </c>
      <c r="AB723" s="289" t="s">
        <v>2456</v>
      </c>
      <c r="AC723" s="289"/>
      <c r="AD723" s="289" t="s">
        <v>1446</v>
      </c>
      <c r="AE723" s="289" t="s">
        <v>410</v>
      </c>
      <c r="AF723" s="290" t="s">
        <v>1447</v>
      </c>
      <c r="AG723" s="295">
        <v>42735</v>
      </c>
      <c r="AH723" s="290" t="s">
        <v>1448</v>
      </c>
      <c r="AI723" s="289">
        <v>0</v>
      </c>
      <c r="AJ723" s="289">
        <v>6616.74</v>
      </c>
    </row>
    <row r="724" spans="2:36">
      <c r="B724" s="290">
        <v>2111</v>
      </c>
      <c r="C724" s="294">
        <v>173217</v>
      </c>
      <c r="D724" s="290" t="s">
        <v>944</v>
      </c>
      <c r="E724" s="289" t="s">
        <v>2453</v>
      </c>
      <c r="F724" s="290">
        <v>1584</v>
      </c>
      <c r="G724" s="289"/>
      <c r="H724" s="289"/>
      <c r="I724" s="289"/>
      <c r="J724" s="289">
        <v>0</v>
      </c>
      <c r="K724" s="289" t="s">
        <v>2454</v>
      </c>
      <c r="L724" s="289"/>
      <c r="M724" s="289"/>
      <c r="N724" s="293">
        <v>38467</v>
      </c>
      <c r="O724" s="293">
        <v>38467</v>
      </c>
      <c r="P724" s="289">
        <v>52131002</v>
      </c>
      <c r="Q724" s="290">
        <v>700</v>
      </c>
      <c r="R724" s="290">
        <v>14050</v>
      </c>
      <c r="S724" s="291">
        <v>3004.85</v>
      </c>
      <c r="T724" s="290">
        <v>14056</v>
      </c>
      <c r="U724" s="291">
        <v>3004.85</v>
      </c>
      <c r="V724" s="291">
        <f t="shared" si="11"/>
        <v>0</v>
      </c>
      <c r="W724" s="292">
        <v>0</v>
      </c>
      <c r="X724" s="290">
        <v>54260</v>
      </c>
      <c r="Y724" s="291">
        <v>0</v>
      </c>
      <c r="Z724" s="289" t="s">
        <v>944</v>
      </c>
      <c r="AA724" s="289">
        <v>0</v>
      </c>
      <c r="AB724" s="289" t="s">
        <v>2457</v>
      </c>
      <c r="AC724" s="289"/>
      <c r="AD724" s="289" t="s">
        <v>1446</v>
      </c>
      <c r="AE724" s="289" t="s">
        <v>410</v>
      </c>
      <c r="AF724" s="290" t="s">
        <v>1447</v>
      </c>
      <c r="AG724" s="295">
        <v>42735</v>
      </c>
      <c r="AH724" s="290" t="s">
        <v>1448</v>
      </c>
      <c r="AI724" s="289">
        <v>0</v>
      </c>
      <c r="AJ724" s="289">
        <v>3004.85</v>
      </c>
    </row>
    <row r="725" spans="2:36">
      <c r="B725" s="290">
        <v>2111</v>
      </c>
      <c r="C725" s="294">
        <v>173216</v>
      </c>
      <c r="D725" s="290" t="s">
        <v>944</v>
      </c>
      <c r="E725" s="289" t="s">
        <v>2453</v>
      </c>
      <c r="F725" s="290">
        <v>2884</v>
      </c>
      <c r="G725" s="289"/>
      <c r="H725" s="289"/>
      <c r="I725" s="289"/>
      <c r="J725" s="289">
        <v>0</v>
      </c>
      <c r="K725" s="289" t="s">
        <v>2454</v>
      </c>
      <c r="L725" s="289"/>
      <c r="M725" s="289"/>
      <c r="N725" s="293">
        <v>38435</v>
      </c>
      <c r="O725" s="293">
        <v>38435</v>
      </c>
      <c r="P725" s="289">
        <v>52131002</v>
      </c>
      <c r="Q725" s="290">
        <v>700</v>
      </c>
      <c r="R725" s="290">
        <v>14050</v>
      </c>
      <c r="S725" s="291">
        <v>5470.95</v>
      </c>
      <c r="T725" s="290">
        <v>14056</v>
      </c>
      <c r="U725" s="291">
        <v>5470.95</v>
      </c>
      <c r="V725" s="291">
        <f t="shared" si="11"/>
        <v>0</v>
      </c>
      <c r="W725" s="292">
        <v>0</v>
      </c>
      <c r="X725" s="290">
        <v>54260</v>
      </c>
      <c r="Y725" s="291">
        <v>0</v>
      </c>
      <c r="Z725" s="289" t="s">
        <v>944</v>
      </c>
      <c r="AA725" s="289">
        <v>0</v>
      </c>
      <c r="AB725" s="289" t="s">
        <v>2458</v>
      </c>
      <c r="AC725" s="289"/>
      <c r="AD725" s="289" t="s">
        <v>1446</v>
      </c>
      <c r="AE725" s="289" t="s">
        <v>410</v>
      </c>
      <c r="AF725" s="290" t="s">
        <v>1447</v>
      </c>
      <c r="AG725" s="295">
        <v>42735</v>
      </c>
      <c r="AH725" s="290" t="s">
        <v>1448</v>
      </c>
      <c r="AI725" s="289">
        <v>0</v>
      </c>
      <c r="AJ725" s="289">
        <v>5470.95</v>
      </c>
    </row>
    <row r="726" spans="2:36">
      <c r="B726" s="290">
        <v>2111</v>
      </c>
      <c r="C726" s="294">
        <v>173215</v>
      </c>
      <c r="D726" s="290" t="s">
        <v>944</v>
      </c>
      <c r="E726" s="289" t="s">
        <v>2453</v>
      </c>
      <c r="F726" s="290">
        <v>2604</v>
      </c>
      <c r="G726" s="289"/>
      <c r="H726" s="289"/>
      <c r="I726" s="289"/>
      <c r="J726" s="289">
        <v>0</v>
      </c>
      <c r="K726" s="289" t="s">
        <v>2454</v>
      </c>
      <c r="L726" s="289"/>
      <c r="M726" s="289"/>
      <c r="N726" s="293">
        <v>38467</v>
      </c>
      <c r="O726" s="293">
        <v>38467</v>
      </c>
      <c r="P726" s="289">
        <v>52131002</v>
      </c>
      <c r="Q726" s="290">
        <v>700</v>
      </c>
      <c r="R726" s="290">
        <v>14050</v>
      </c>
      <c r="S726" s="291">
        <v>4939.79</v>
      </c>
      <c r="T726" s="290">
        <v>14056</v>
      </c>
      <c r="U726" s="291">
        <v>4939.79</v>
      </c>
      <c r="V726" s="291">
        <f t="shared" si="11"/>
        <v>0</v>
      </c>
      <c r="W726" s="292">
        <v>0</v>
      </c>
      <c r="X726" s="290">
        <v>54260</v>
      </c>
      <c r="Y726" s="291">
        <v>0</v>
      </c>
      <c r="Z726" s="289" t="s">
        <v>944</v>
      </c>
      <c r="AA726" s="289">
        <v>0</v>
      </c>
      <c r="AB726" s="289" t="s">
        <v>2459</v>
      </c>
      <c r="AC726" s="289"/>
      <c r="AD726" s="289" t="s">
        <v>1446</v>
      </c>
      <c r="AE726" s="289" t="s">
        <v>410</v>
      </c>
      <c r="AF726" s="290" t="s">
        <v>1447</v>
      </c>
      <c r="AG726" s="295">
        <v>42735</v>
      </c>
      <c r="AH726" s="290" t="s">
        <v>1448</v>
      </c>
      <c r="AI726" s="289">
        <v>0</v>
      </c>
      <c r="AJ726" s="289">
        <v>4939.79</v>
      </c>
    </row>
    <row r="727" spans="2:36">
      <c r="B727" s="290">
        <v>2111</v>
      </c>
      <c r="C727" s="294">
        <v>173214</v>
      </c>
      <c r="D727" s="290" t="s">
        <v>944</v>
      </c>
      <c r="E727" s="289" t="s">
        <v>2453</v>
      </c>
      <c r="F727" s="290">
        <v>894</v>
      </c>
      <c r="G727" s="289"/>
      <c r="H727" s="289"/>
      <c r="I727" s="289"/>
      <c r="J727" s="289">
        <v>0</v>
      </c>
      <c r="K727" s="289" t="s">
        <v>2454</v>
      </c>
      <c r="L727" s="289"/>
      <c r="M727" s="289"/>
      <c r="N727" s="293">
        <v>38481</v>
      </c>
      <c r="O727" s="293">
        <v>38481</v>
      </c>
      <c r="P727" s="289">
        <v>52131002</v>
      </c>
      <c r="Q727" s="290">
        <v>700</v>
      </c>
      <c r="R727" s="290">
        <v>14050</v>
      </c>
      <c r="S727" s="291">
        <v>1702.18</v>
      </c>
      <c r="T727" s="290">
        <v>14056</v>
      </c>
      <c r="U727" s="291">
        <v>1702.18</v>
      </c>
      <c r="V727" s="291">
        <f t="shared" si="11"/>
        <v>0</v>
      </c>
      <c r="W727" s="292">
        <v>0</v>
      </c>
      <c r="X727" s="290">
        <v>54260</v>
      </c>
      <c r="Y727" s="291">
        <v>0</v>
      </c>
      <c r="Z727" s="289" t="s">
        <v>944</v>
      </c>
      <c r="AA727" s="289">
        <v>0</v>
      </c>
      <c r="AB727" s="289" t="s">
        <v>2460</v>
      </c>
      <c r="AC727" s="289"/>
      <c r="AD727" s="289" t="s">
        <v>1446</v>
      </c>
      <c r="AE727" s="289" t="s">
        <v>410</v>
      </c>
      <c r="AF727" s="290" t="s">
        <v>1447</v>
      </c>
      <c r="AG727" s="295">
        <v>42735</v>
      </c>
      <c r="AH727" s="290" t="s">
        <v>1448</v>
      </c>
      <c r="AI727" s="289">
        <v>0</v>
      </c>
      <c r="AJ727" s="289">
        <v>1702.18</v>
      </c>
    </row>
    <row r="728" spans="2:36">
      <c r="B728" s="290">
        <v>2111</v>
      </c>
      <c r="C728" s="294">
        <v>173213</v>
      </c>
      <c r="D728" s="290" t="s">
        <v>944</v>
      </c>
      <c r="E728" s="289" t="s">
        <v>2453</v>
      </c>
      <c r="F728" s="290">
        <v>606</v>
      </c>
      <c r="G728" s="289"/>
      <c r="H728" s="289"/>
      <c r="I728" s="289"/>
      <c r="J728" s="289">
        <v>0</v>
      </c>
      <c r="K728" s="289" t="s">
        <v>2454</v>
      </c>
      <c r="L728" s="289"/>
      <c r="M728" s="289"/>
      <c r="N728" s="293">
        <v>38481</v>
      </c>
      <c r="O728" s="293">
        <v>38481</v>
      </c>
      <c r="P728" s="289">
        <v>52131002</v>
      </c>
      <c r="Q728" s="290">
        <v>700</v>
      </c>
      <c r="R728" s="290">
        <v>14050</v>
      </c>
      <c r="S728" s="291">
        <v>1153.82</v>
      </c>
      <c r="T728" s="290">
        <v>14056</v>
      </c>
      <c r="U728" s="291">
        <v>1153.82</v>
      </c>
      <c r="V728" s="291">
        <f t="shared" si="11"/>
        <v>0</v>
      </c>
      <c r="W728" s="292">
        <v>0</v>
      </c>
      <c r="X728" s="290">
        <v>54260</v>
      </c>
      <c r="Y728" s="291">
        <v>0</v>
      </c>
      <c r="Z728" s="289" t="s">
        <v>944</v>
      </c>
      <c r="AA728" s="289">
        <v>0</v>
      </c>
      <c r="AB728" s="289" t="s">
        <v>2461</v>
      </c>
      <c r="AC728" s="289"/>
      <c r="AD728" s="289" t="s">
        <v>1446</v>
      </c>
      <c r="AE728" s="289" t="s">
        <v>410</v>
      </c>
      <c r="AF728" s="290" t="s">
        <v>1447</v>
      </c>
      <c r="AG728" s="295">
        <v>42735</v>
      </c>
      <c r="AH728" s="290" t="s">
        <v>1448</v>
      </c>
      <c r="AI728" s="289">
        <v>0</v>
      </c>
      <c r="AJ728" s="289">
        <v>1153.82</v>
      </c>
    </row>
    <row r="729" spans="2:36">
      <c r="B729" s="290">
        <v>2111</v>
      </c>
      <c r="C729" s="294">
        <v>173212</v>
      </c>
      <c r="D729" s="290" t="s">
        <v>944</v>
      </c>
      <c r="E729" s="289" t="s">
        <v>678</v>
      </c>
      <c r="F729" s="290">
        <v>5</v>
      </c>
      <c r="G729" s="289"/>
      <c r="H729" s="289"/>
      <c r="I729" s="289"/>
      <c r="J729" s="289">
        <v>0</v>
      </c>
      <c r="K729" s="289" t="s">
        <v>2462</v>
      </c>
      <c r="L729" s="289"/>
      <c r="M729" s="289" t="s">
        <v>1664</v>
      </c>
      <c r="N729" s="293">
        <v>38625</v>
      </c>
      <c r="O729" s="293">
        <v>38625</v>
      </c>
      <c r="P729" s="289">
        <v>52131011</v>
      </c>
      <c r="Q729" s="290">
        <v>1200</v>
      </c>
      <c r="R729" s="290">
        <v>14050</v>
      </c>
      <c r="S729" s="291">
        <v>2904.96</v>
      </c>
      <c r="T729" s="290">
        <v>14056</v>
      </c>
      <c r="U729" s="291">
        <v>2904.96</v>
      </c>
      <c r="V729" s="291">
        <f t="shared" si="11"/>
        <v>0</v>
      </c>
      <c r="W729" s="292">
        <v>0</v>
      </c>
      <c r="X729" s="290">
        <v>54260</v>
      </c>
      <c r="Y729" s="291">
        <v>0</v>
      </c>
      <c r="Z729" s="289" t="s">
        <v>944</v>
      </c>
      <c r="AA729" s="289">
        <v>0</v>
      </c>
      <c r="AB729" s="289">
        <v>3342</v>
      </c>
      <c r="AC729" s="289"/>
      <c r="AD729" s="289" t="s">
        <v>1446</v>
      </c>
      <c r="AE729" s="289" t="s">
        <v>410</v>
      </c>
      <c r="AF729" s="290" t="s">
        <v>1447</v>
      </c>
      <c r="AG729" s="295">
        <v>42735</v>
      </c>
      <c r="AH729" s="290" t="s">
        <v>1448</v>
      </c>
      <c r="AI729" s="289">
        <v>0</v>
      </c>
      <c r="AJ729" s="289">
        <v>2723.4</v>
      </c>
    </row>
    <row r="730" spans="2:36">
      <c r="B730" s="290">
        <v>2111</v>
      </c>
      <c r="C730" s="294">
        <v>173211</v>
      </c>
      <c r="D730" s="290" t="s">
        <v>944</v>
      </c>
      <c r="E730" s="289" t="s">
        <v>2463</v>
      </c>
      <c r="F730" s="290">
        <v>10</v>
      </c>
      <c r="G730" s="289"/>
      <c r="H730" s="289"/>
      <c r="I730" s="289"/>
      <c r="J730" s="289">
        <v>0</v>
      </c>
      <c r="K730" s="289" t="s">
        <v>2462</v>
      </c>
      <c r="L730" s="289"/>
      <c r="M730" s="289" t="s">
        <v>1659</v>
      </c>
      <c r="N730" s="293">
        <v>38650</v>
      </c>
      <c r="O730" s="293">
        <v>38650</v>
      </c>
      <c r="P730" s="289">
        <v>52131010</v>
      </c>
      <c r="Q730" s="290">
        <v>1200</v>
      </c>
      <c r="R730" s="290">
        <v>14050</v>
      </c>
      <c r="S730" s="291">
        <v>5222.3999999999996</v>
      </c>
      <c r="T730" s="290">
        <v>14056</v>
      </c>
      <c r="U730" s="291">
        <v>5222.3999999999996</v>
      </c>
      <c r="V730" s="291">
        <f t="shared" si="11"/>
        <v>0</v>
      </c>
      <c r="W730" s="292">
        <v>0</v>
      </c>
      <c r="X730" s="290">
        <v>54260</v>
      </c>
      <c r="Y730" s="291">
        <v>0</v>
      </c>
      <c r="Z730" s="289" t="s">
        <v>944</v>
      </c>
      <c r="AA730" s="289">
        <v>0</v>
      </c>
      <c r="AB730" s="289">
        <v>4064</v>
      </c>
      <c r="AC730" s="289"/>
      <c r="AD730" s="289" t="s">
        <v>1446</v>
      </c>
      <c r="AE730" s="289" t="s">
        <v>410</v>
      </c>
      <c r="AF730" s="290" t="s">
        <v>1447</v>
      </c>
      <c r="AG730" s="295">
        <v>42735</v>
      </c>
      <c r="AH730" s="290" t="s">
        <v>1448</v>
      </c>
      <c r="AI730" s="289">
        <v>0</v>
      </c>
      <c r="AJ730" s="289">
        <v>4859.7299999999996</v>
      </c>
    </row>
    <row r="731" spans="2:36">
      <c r="B731" s="290">
        <v>2111</v>
      </c>
      <c r="C731" s="294">
        <v>173210</v>
      </c>
      <c r="D731" s="290">
        <v>12580</v>
      </c>
      <c r="E731" s="289" t="s">
        <v>2464</v>
      </c>
      <c r="F731" s="290">
        <v>0</v>
      </c>
      <c r="G731" s="289"/>
      <c r="H731" s="289"/>
      <c r="I731" s="289"/>
      <c r="J731" s="289">
        <v>0</v>
      </c>
      <c r="K731" s="289" t="s">
        <v>2465</v>
      </c>
      <c r="L731" s="289"/>
      <c r="M731" s="289"/>
      <c r="N731" s="293">
        <v>38518</v>
      </c>
      <c r="O731" s="293">
        <v>38518</v>
      </c>
      <c r="P731" s="289" t="s">
        <v>2466</v>
      </c>
      <c r="Q731" s="290">
        <v>300</v>
      </c>
      <c r="R731" s="290">
        <v>14110</v>
      </c>
      <c r="S731" s="291">
        <v>104.13</v>
      </c>
      <c r="T731" s="290">
        <v>14116</v>
      </c>
      <c r="U731" s="291">
        <v>104.13</v>
      </c>
      <c r="V731" s="291">
        <f t="shared" si="11"/>
        <v>0</v>
      </c>
      <c r="W731" s="292">
        <v>0</v>
      </c>
      <c r="X731" s="290">
        <v>70260</v>
      </c>
      <c r="Y731" s="291">
        <v>0</v>
      </c>
      <c r="Z731" s="289" t="s">
        <v>944</v>
      </c>
      <c r="AA731" s="289">
        <v>0</v>
      </c>
      <c r="AB731" s="289" t="s">
        <v>2467</v>
      </c>
      <c r="AC731" s="289"/>
      <c r="AD731" s="289" t="s">
        <v>1446</v>
      </c>
      <c r="AE731" s="289" t="s">
        <v>410</v>
      </c>
      <c r="AF731" s="290" t="s">
        <v>1447</v>
      </c>
      <c r="AG731" s="295">
        <v>42735</v>
      </c>
      <c r="AH731" s="290" t="s">
        <v>1448</v>
      </c>
      <c r="AI731" s="289">
        <v>0</v>
      </c>
      <c r="AJ731" s="289">
        <v>104.13</v>
      </c>
    </row>
    <row r="732" spans="2:36">
      <c r="B732" s="290">
        <v>2111</v>
      </c>
      <c r="C732" s="294">
        <v>173209</v>
      </c>
      <c r="D732" s="290">
        <v>173153</v>
      </c>
      <c r="E732" s="289" t="s">
        <v>2468</v>
      </c>
      <c r="F732" s="290">
        <v>7</v>
      </c>
      <c r="G732" s="289"/>
      <c r="H732" s="289"/>
      <c r="I732" s="289"/>
      <c r="J732" s="289">
        <v>0</v>
      </c>
      <c r="K732" s="289" t="s">
        <v>2465</v>
      </c>
      <c r="L732" s="289"/>
      <c r="M732" s="289"/>
      <c r="N732" s="293">
        <v>38518</v>
      </c>
      <c r="O732" s="293">
        <v>38518</v>
      </c>
      <c r="P732" s="289" t="s">
        <v>2466</v>
      </c>
      <c r="Q732" s="290">
        <v>300</v>
      </c>
      <c r="R732" s="290">
        <v>14050</v>
      </c>
      <c r="S732" s="291">
        <v>206.55</v>
      </c>
      <c r="T732" s="290">
        <v>14056</v>
      </c>
      <c r="U732" s="291">
        <v>206.55</v>
      </c>
      <c r="V732" s="291">
        <f t="shared" si="11"/>
        <v>0</v>
      </c>
      <c r="W732" s="292">
        <v>0</v>
      </c>
      <c r="X732" s="290">
        <v>54260</v>
      </c>
      <c r="Y732" s="291">
        <v>0</v>
      </c>
      <c r="Z732" s="289" t="s">
        <v>944</v>
      </c>
      <c r="AA732" s="289">
        <v>0</v>
      </c>
      <c r="AB732" s="289" t="s">
        <v>2467</v>
      </c>
      <c r="AC732" s="289"/>
      <c r="AD732" s="289" t="s">
        <v>1446</v>
      </c>
      <c r="AE732" s="289" t="s">
        <v>410</v>
      </c>
      <c r="AF732" s="290" t="s">
        <v>1447</v>
      </c>
      <c r="AG732" s="295">
        <v>42735</v>
      </c>
      <c r="AH732" s="290" t="s">
        <v>1448</v>
      </c>
      <c r="AI732" s="289">
        <v>0</v>
      </c>
      <c r="AJ732" s="289">
        <v>206.55</v>
      </c>
    </row>
    <row r="733" spans="2:36">
      <c r="B733" s="290">
        <v>2111</v>
      </c>
      <c r="C733" s="294">
        <v>173208</v>
      </c>
      <c r="D733" s="290">
        <v>173152</v>
      </c>
      <c r="E733" s="289" t="s">
        <v>2469</v>
      </c>
      <c r="F733" s="290">
        <v>7</v>
      </c>
      <c r="G733" s="289"/>
      <c r="H733" s="289"/>
      <c r="I733" s="289"/>
      <c r="J733" s="289">
        <v>0</v>
      </c>
      <c r="K733" s="289" t="s">
        <v>2465</v>
      </c>
      <c r="L733" s="289"/>
      <c r="M733" s="289"/>
      <c r="N733" s="293">
        <v>38518</v>
      </c>
      <c r="O733" s="293">
        <v>38518</v>
      </c>
      <c r="P733" s="289" t="s">
        <v>2466</v>
      </c>
      <c r="Q733" s="290">
        <v>300</v>
      </c>
      <c r="R733" s="290">
        <v>14050</v>
      </c>
      <c r="S733" s="291">
        <v>191.07</v>
      </c>
      <c r="T733" s="290">
        <v>14056</v>
      </c>
      <c r="U733" s="291">
        <v>191.07</v>
      </c>
      <c r="V733" s="291">
        <f t="shared" si="11"/>
        <v>0</v>
      </c>
      <c r="W733" s="292">
        <v>0</v>
      </c>
      <c r="X733" s="290">
        <v>54260</v>
      </c>
      <c r="Y733" s="291">
        <v>0</v>
      </c>
      <c r="Z733" s="289" t="s">
        <v>944</v>
      </c>
      <c r="AA733" s="289">
        <v>0</v>
      </c>
      <c r="AB733" s="289" t="s">
        <v>2467</v>
      </c>
      <c r="AC733" s="289"/>
      <c r="AD733" s="289" t="s">
        <v>1446</v>
      </c>
      <c r="AE733" s="289" t="s">
        <v>410</v>
      </c>
      <c r="AF733" s="290" t="s">
        <v>1447</v>
      </c>
      <c r="AG733" s="295">
        <v>42735</v>
      </c>
      <c r="AH733" s="290" t="s">
        <v>1448</v>
      </c>
      <c r="AI733" s="289">
        <v>0</v>
      </c>
      <c r="AJ733" s="289">
        <v>191.07</v>
      </c>
    </row>
    <row r="734" spans="2:36">
      <c r="B734" s="290">
        <v>2111</v>
      </c>
      <c r="C734" s="294">
        <v>173207</v>
      </c>
      <c r="D734" s="290"/>
      <c r="E734" s="289" t="s">
        <v>2470</v>
      </c>
      <c r="F734" s="290">
        <v>0</v>
      </c>
      <c r="G734" s="289"/>
      <c r="H734" s="289"/>
      <c r="I734" s="289"/>
      <c r="J734" s="289">
        <v>0</v>
      </c>
      <c r="K734" s="289" t="s">
        <v>2471</v>
      </c>
      <c r="L734" s="289"/>
      <c r="M734" s="289"/>
      <c r="N734" s="293">
        <v>38531</v>
      </c>
      <c r="O734" s="293">
        <v>38531</v>
      </c>
      <c r="P734" s="289">
        <v>52131003</v>
      </c>
      <c r="Q734" s="290">
        <v>1000</v>
      </c>
      <c r="R734" s="290">
        <v>14070</v>
      </c>
      <c r="S734" s="291">
        <v>9411.5499999999993</v>
      </c>
      <c r="T734" s="290">
        <v>14076</v>
      </c>
      <c r="U734" s="291">
        <v>9411.5499999999993</v>
      </c>
      <c r="V734" s="291">
        <f t="shared" si="11"/>
        <v>0</v>
      </c>
      <c r="W734" s="292">
        <v>0</v>
      </c>
      <c r="X734" s="290">
        <v>51260</v>
      </c>
      <c r="Y734" s="291">
        <v>0</v>
      </c>
      <c r="Z734" s="289" t="s">
        <v>944</v>
      </c>
      <c r="AA734" s="289">
        <v>0</v>
      </c>
      <c r="AB734" s="289">
        <v>21994</v>
      </c>
      <c r="AC734" s="289"/>
      <c r="AD734" s="289" t="s">
        <v>1446</v>
      </c>
      <c r="AE734" s="289" t="s">
        <v>410</v>
      </c>
      <c r="AF734" s="290" t="s">
        <v>1447</v>
      </c>
      <c r="AG734" s="295">
        <v>42735</v>
      </c>
      <c r="AH734" s="290" t="s">
        <v>1448</v>
      </c>
      <c r="AI734" s="289">
        <v>0</v>
      </c>
      <c r="AJ734" s="289">
        <v>9411.5499999999993</v>
      </c>
    </row>
    <row r="735" spans="2:36">
      <c r="B735" s="290">
        <v>2111</v>
      </c>
      <c r="C735" s="294">
        <v>173206</v>
      </c>
      <c r="D735" s="290" t="s">
        <v>944</v>
      </c>
      <c r="E735" s="289" t="s">
        <v>2472</v>
      </c>
      <c r="F735" s="290">
        <v>20</v>
      </c>
      <c r="G735" s="289"/>
      <c r="H735" s="289"/>
      <c r="I735" s="289"/>
      <c r="J735" s="289">
        <v>0</v>
      </c>
      <c r="K735" s="289" t="s">
        <v>2462</v>
      </c>
      <c r="L735" s="289"/>
      <c r="M735" s="289" t="s">
        <v>1918</v>
      </c>
      <c r="N735" s="293">
        <v>38526</v>
      </c>
      <c r="O735" s="293">
        <v>38526</v>
      </c>
      <c r="P735" s="289">
        <v>52131005</v>
      </c>
      <c r="Q735" s="290">
        <v>1200</v>
      </c>
      <c r="R735" s="290">
        <v>14050</v>
      </c>
      <c r="S735" s="291">
        <v>8268.7999999999993</v>
      </c>
      <c r="T735" s="290">
        <v>14056</v>
      </c>
      <c r="U735" s="291">
        <v>8268.7999999999993</v>
      </c>
      <c r="V735" s="291">
        <f t="shared" si="11"/>
        <v>0</v>
      </c>
      <c r="W735" s="292">
        <v>0</v>
      </c>
      <c r="X735" s="290">
        <v>54260</v>
      </c>
      <c r="Y735" s="291">
        <v>0</v>
      </c>
      <c r="Z735" s="289" t="s">
        <v>944</v>
      </c>
      <c r="AA735" s="289">
        <v>0</v>
      </c>
      <c r="AB735" s="289">
        <v>158913</v>
      </c>
      <c r="AC735" s="289"/>
      <c r="AD735" s="289" t="s">
        <v>1446</v>
      </c>
      <c r="AE735" s="289" t="s">
        <v>410</v>
      </c>
      <c r="AF735" s="290" t="s">
        <v>1447</v>
      </c>
      <c r="AG735" s="295">
        <v>42735</v>
      </c>
      <c r="AH735" s="290" t="s">
        <v>1448</v>
      </c>
      <c r="AI735" s="289">
        <v>0</v>
      </c>
      <c r="AJ735" s="289">
        <v>7924.33</v>
      </c>
    </row>
    <row r="736" spans="2:36">
      <c r="B736" s="290">
        <v>2111</v>
      </c>
      <c r="C736" s="294">
        <v>173205</v>
      </c>
      <c r="D736" s="290" t="s">
        <v>944</v>
      </c>
      <c r="E736" s="289" t="s">
        <v>2473</v>
      </c>
      <c r="F736" s="290">
        <v>5</v>
      </c>
      <c r="G736" s="289"/>
      <c r="H736" s="289"/>
      <c r="I736" s="289"/>
      <c r="J736" s="289">
        <v>0</v>
      </c>
      <c r="K736" s="289" t="s">
        <v>2474</v>
      </c>
      <c r="L736" s="289"/>
      <c r="M736" s="289"/>
      <c r="N736" s="293">
        <v>38525</v>
      </c>
      <c r="O736" s="293">
        <v>38525</v>
      </c>
      <c r="P736" s="289">
        <v>52131006</v>
      </c>
      <c r="Q736" s="290">
        <v>1200</v>
      </c>
      <c r="R736" s="290">
        <v>14050</v>
      </c>
      <c r="S736" s="291">
        <v>26933.439999999999</v>
      </c>
      <c r="T736" s="290">
        <v>14056</v>
      </c>
      <c r="U736" s="291">
        <v>26933.439999999999</v>
      </c>
      <c r="V736" s="291">
        <f t="shared" si="11"/>
        <v>0</v>
      </c>
      <c r="W736" s="292">
        <v>0</v>
      </c>
      <c r="X736" s="290">
        <v>54260</v>
      </c>
      <c r="Y736" s="291">
        <v>0</v>
      </c>
      <c r="Z736" s="289" t="s">
        <v>944</v>
      </c>
      <c r="AA736" s="289">
        <v>0</v>
      </c>
      <c r="AB736" s="289">
        <v>2509</v>
      </c>
      <c r="AC736" s="289"/>
      <c r="AD736" s="289" t="s">
        <v>1446</v>
      </c>
      <c r="AE736" s="289" t="s">
        <v>410</v>
      </c>
      <c r="AF736" s="290" t="s">
        <v>1447</v>
      </c>
      <c r="AG736" s="295">
        <v>42735</v>
      </c>
      <c r="AH736" s="290" t="s">
        <v>1448</v>
      </c>
      <c r="AI736" s="289">
        <v>0</v>
      </c>
      <c r="AJ736" s="289">
        <v>25811.18</v>
      </c>
    </row>
    <row r="737" spans="2:36">
      <c r="B737" s="290">
        <v>2111</v>
      </c>
      <c r="C737" s="294">
        <v>173204</v>
      </c>
      <c r="D737" s="290">
        <v>31409</v>
      </c>
      <c r="E737" s="289" t="s">
        <v>2475</v>
      </c>
      <c r="F737" s="290">
        <v>0</v>
      </c>
      <c r="G737" s="289"/>
      <c r="H737" s="289" t="s">
        <v>2476</v>
      </c>
      <c r="I737" s="289"/>
      <c r="J737" s="289">
        <v>2005</v>
      </c>
      <c r="K737" s="289"/>
      <c r="L737" s="289"/>
      <c r="M737" s="289" t="s">
        <v>1467</v>
      </c>
      <c r="N737" s="293">
        <v>38483</v>
      </c>
      <c r="O737" s="293">
        <v>38483</v>
      </c>
      <c r="P737" s="289">
        <v>52131001</v>
      </c>
      <c r="Q737" s="290">
        <v>1000</v>
      </c>
      <c r="R737" s="290">
        <v>14040</v>
      </c>
      <c r="S737" s="291">
        <v>65.11</v>
      </c>
      <c r="T737" s="290">
        <v>14046</v>
      </c>
      <c r="U737" s="291">
        <v>65.11</v>
      </c>
      <c r="V737" s="291">
        <f t="shared" si="11"/>
        <v>0</v>
      </c>
      <c r="W737" s="292">
        <v>0</v>
      </c>
      <c r="X737" s="290">
        <v>51260</v>
      </c>
      <c r="Y737" s="291">
        <v>0</v>
      </c>
      <c r="Z737" s="289" t="s">
        <v>944</v>
      </c>
      <c r="AA737" s="289">
        <v>0</v>
      </c>
      <c r="AB737" s="289" t="s">
        <v>2477</v>
      </c>
      <c r="AC737" s="289"/>
      <c r="AD737" s="289" t="s">
        <v>1446</v>
      </c>
      <c r="AE737" s="289" t="s">
        <v>410</v>
      </c>
      <c r="AF737" s="290" t="s">
        <v>1447</v>
      </c>
      <c r="AG737" s="295">
        <v>38503</v>
      </c>
      <c r="AH737" s="290" t="s">
        <v>1448</v>
      </c>
      <c r="AI737" s="289">
        <v>0</v>
      </c>
      <c r="AJ737" s="289">
        <v>65</v>
      </c>
    </row>
    <row r="738" spans="2:36">
      <c r="B738" s="290">
        <v>2111</v>
      </c>
      <c r="C738" s="294">
        <v>173203</v>
      </c>
      <c r="D738" s="290">
        <v>31408</v>
      </c>
      <c r="E738" s="289" t="s">
        <v>2478</v>
      </c>
      <c r="F738" s="290">
        <v>0</v>
      </c>
      <c r="G738" s="289"/>
      <c r="H738" s="289" t="s">
        <v>2479</v>
      </c>
      <c r="I738" s="289"/>
      <c r="J738" s="289">
        <v>2005</v>
      </c>
      <c r="K738" s="289"/>
      <c r="L738" s="289"/>
      <c r="M738" s="289" t="s">
        <v>1467</v>
      </c>
      <c r="N738" s="293">
        <v>38483</v>
      </c>
      <c r="O738" s="293">
        <v>38483</v>
      </c>
      <c r="P738" s="289">
        <v>52131001</v>
      </c>
      <c r="Q738" s="290">
        <v>1000</v>
      </c>
      <c r="R738" s="290">
        <v>14040</v>
      </c>
      <c r="S738" s="291">
        <v>3602.39</v>
      </c>
      <c r="T738" s="290">
        <v>14046</v>
      </c>
      <c r="U738" s="291">
        <v>3602.39</v>
      </c>
      <c r="V738" s="291">
        <f t="shared" si="11"/>
        <v>0</v>
      </c>
      <c r="W738" s="292">
        <v>0</v>
      </c>
      <c r="X738" s="290">
        <v>51260</v>
      </c>
      <c r="Y738" s="291">
        <v>0</v>
      </c>
      <c r="Z738" s="289" t="s">
        <v>944</v>
      </c>
      <c r="AA738" s="289">
        <v>0</v>
      </c>
      <c r="AB738" s="289" t="s">
        <v>2480</v>
      </c>
      <c r="AC738" s="289"/>
      <c r="AD738" s="289" t="s">
        <v>1446</v>
      </c>
      <c r="AE738" s="289" t="s">
        <v>410</v>
      </c>
      <c r="AF738" s="290" t="s">
        <v>1447</v>
      </c>
      <c r="AG738" s="295">
        <v>42735</v>
      </c>
      <c r="AH738" s="290" t="s">
        <v>1448</v>
      </c>
      <c r="AI738" s="289">
        <v>0</v>
      </c>
      <c r="AJ738" s="289">
        <v>3602.39</v>
      </c>
    </row>
    <row r="739" spans="2:36">
      <c r="B739" s="290">
        <v>2111</v>
      </c>
      <c r="C739" s="294">
        <v>173202</v>
      </c>
      <c r="D739" s="290">
        <v>31409</v>
      </c>
      <c r="E739" s="289" t="s">
        <v>2481</v>
      </c>
      <c r="F739" s="290">
        <v>0</v>
      </c>
      <c r="G739" s="289"/>
      <c r="H739" s="289" t="s">
        <v>2476</v>
      </c>
      <c r="I739" s="289"/>
      <c r="J739" s="289">
        <v>2005</v>
      </c>
      <c r="K739" s="289"/>
      <c r="L739" s="289"/>
      <c r="M739" s="289" t="s">
        <v>1467</v>
      </c>
      <c r="N739" s="293">
        <v>38470</v>
      </c>
      <c r="O739" s="293">
        <v>38470</v>
      </c>
      <c r="P739" s="289">
        <v>52131001</v>
      </c>
      <c r="Q739" s="290">
        <v>1000</v>
      </c>
      <c r="R739" s="290">
        <v>14040</v>
      </c>
      <c r="S739" s="291">
        <v>3537.29</v>
      </c>
      <c r="T739" s="290">
        <v>14046</v>
      </c>
      <c r="U739" s="291">
        <v>3537.29</v>
      </c>
      <c r="V739" s="291">
        <f t="shared" si="11"/>
        <v>0</v>
      </c>
      <c r="W739" s="292">
        <v>0</v>
      </c>
      <c r="X739" s="290">
        <v>51260</v>
      </c>
      <c r="Y739" s="291">
        <v>0</v>
      </c>
      <c r="Z739" s="289" t="s">
        <v>944</v>
      </c>
      <c r="AA739" s="289">
        <v>0</v>
      </c>
      <c r="AB739" s="289" t="s">
        <v>2482</v>
      </c>
      <c r="AC739" s="289"/>
      <c r="AD739" s="289" t="s">
        <v>1446</v>
      </c>
      <c r="AE739" s="289" t="s">
        <v>410</v>
      </c>
      <c r="AF739" s="290" t="s">
        <v>1447</v>
      </c>
      <c r="AG739" s="295">
        <v>42735</v>
      </c>
      <c r="AH739" s="290" t="s">
        <v>1448</v>
      </c>
      <c r="AI739" s="289">
        <v>0</v>
      </c>
      <c r="AJ739" s="289">
        <v>3537.29</v>
      </c>
    </row>
    <row r="740" spans="2:36">
      <c r="B740" s="290">
        <v>2111</v>
      </c>
      <c r="C740" s="294">
        <v>173200</v>
      </c>
      <c r="D740" s="290" t="s">
        <v>944</v>
      </c>
      <c r="E740" s="289" t="s">
        <v>2483</v>
      </c>
      <c r="F740" s="290">
        <v>1</v>
      </c>
      <c r="G740" s="289"/>
      <c r="H740" s="289"/>
      <c r="I740" s="289"/>
      <c r="J740" s="289">
        <v>0</v>
      </c>
      <c r="K740" s="289" t="s">
        <v>2462</v>
      </c>
      <c r="L740" s="289"/>
      <c r="M740" s="289" t="s">
        <v>1918</v>
      </c>
      <c r="N740" s="293">
        <v>38519</v>
      </c>
      <c r="O740" s="293">
        <v>38519</v>
      </c>
      <c r="P740" s="289">
        <v>52131007</v>
      </c>
      <c r="Q740" s="290">
        <v>1200</v>
      </c>
      <c r="R740" s="290">
        <v>14050</v>
      </c>
      <c r="S740" s="291">
        <v>429.76</v>
      </c>
      <c r="T740" s="290">
        <v>14056</v>
      </c>
      <c r="U740" s="291">
        <v>429.76</v>
      </c>
      <c r="V740" s="291">
        <f t="shared" si="11"/>
        <v>0</v>
      </c>
      <c r="W740" s="292">
        <v>0</v>
      </c>
      <c r="X740" s="290">
        <v>54260</v>
      </c>
      <c r="Y740" s="291">
        <v>0</v>
      </c>
      <c r="Z740" s="289" t="s">
        <v>944</v>
      </c>
      <c r="AA740" s="289">
        <v>0</v>
      </c>
      <c r="AB740" s="289">
        <v>158604</v>
      </c>
      <c r="AC740" s="289"/>
      <c r="AD740" s="289" t="s">
        <v>1446</v>
      </c>
      <c r="AE740" s="289" t="s">
        <v>410</v>
      </c>
      <c r="AF740" s="290" t="s">
        <v>1447</v>
      </c>
      <c r="AG740" s="295">
        <v>44408</v>
      </c>
      <c r="AH740" s="290" t="s">
        <v>1448</v>
      </c>
      <c r="AI740" s="289">
        <v>1</v>
      </c>
      <c r="AJ740" s="289">
        <v>429.76</v>
      </c>
    </row>
    <row r="741" spans="2:36">
      <c r="B741" s="290">
        <v>2111</v>
      </c>
      <c r="C741" s="294">
        <v>173199</v>
      </c>
      <c r="D741" s="290" t="s">
        <v>944</v>
      </c>
      <c r="E741" s="289" t="s">
        <v>2484</v>
      </c>
      <c r="F741" s="290">
        <v>720</v>
      </c>
      <c r="G741" s="289"/>
      <c r="H741" s="289" t="s">
        <v>2485</v>
      </c>
      <c r="I741" s="289"/>
      <c r="J741" s="289">
        <v>0</v>
      </c>
      <c r="K741" s="289" t="s">
        <v>2454</v>
      </c>
      <c r="L741" s="289"/>
      <c r="M741" s="289"/>
      <c r="N741" s="293">
        <v>38413</v>
      </c>
      <c r="O741" s="293">
        <v>38413</v>
      </c>
      <c r="P741" s="289">
        <v>52131002</v>
      </c>
      <c r="Q741" s="290">
        <v>700</v>
      </c>
      <c r="R741" s="290">
        <v>14050</v>
      </c>
      <c r="S741" s="291">
        <v>28487.52</v>
      </c>
      <c r="T741" s="290">
        <v>14056</v>
      </c>
      <c r="U741" s="291">
        <v>28487.52</v>
      </c>
      <c r="V741" s="291">
        <f t="shared" si="11"/>
        <v>0</v>
      </c>
      <c r="W741" s="292">
        <v>0</v>
      </c>
      <c r="X741" s="290">
        <v>54260</v>
      </c>
      <c r="Y741" s="291">
        <v>0</v>
      </c>
      <c r="Z741" s="289" t="s">
        <v>944</v>
      </c>
      <c r="AA741" s="289">
        <v>0</v>
      </c>
      <c r="AB741" s="289" t="s">
        <v>2486</v>
      </c>
      <c r="AC741" s="289"/>
      <c r="AD741" s="289" t="s">
        <v>1446</v>
      </c>
      <c r="AE741" s="289" t="s">
        <v>410</v>
      </c>
      <c r="AF741" s="290" t="s">
        <v>1447</v>
      </c>
      <c r="AG741" s="295">
        <v>42735</v>
      </c>
      <c r="AH741" s="290" t="s">
        <v>1448</v>
      </c>
      <c r="AI741" s="289">
        <v>0</v>
      </c>
      <c r="AJ741" s="289">
        <v>28487.52</v>
      </c>
    </row>
    <row r="742" spans="2:36">
      <c r="B742" s="290">
        <v>2111</v>
      </c>
      <c r="C742" s="294">
        <v>173198</v>
      </c>
      <c r="D742" s="290" t="s">
        <v>944</v>
      </c>
      <c r="E742" s="289" t="s">
        <v>2484</v>
      </c>
      <c r="F742" s="290">
        <v>720</v>
      </c>
      <c r="G742" s="289"/>
      <c r="H742" s="289" t="s">
        <v>2487</v>
      </c>
      <c r="I742" s="289"/>
      <c r="J742" s="289">
        <v>0</v>
      </c>
      <c r="K742" s="289" t="s">
        <v>2454</v>
      </c>
      <c r="L742" s="289"/>
      <c r="M742" s="289"/>
      <c r="N742" s="293">
        <v>38418</v>
      </c>
      <c r="O742" s="293">
        <v>38418</v>
      </c>
      <c r="P742" s="289">
        <v>52131002</v>
      </c>
      <c r="Q742" s="290">
        <v>700</v>
      </c>
      <c r="R742" s="290">
        <v>14050</v>
      </c>
      <c r="S742" s="291">
        <v>28487.52</v>
      </c>
      <c r="T742" s="290">
        <v>14056</v>
      </c>
      <c r="U742" s="291">
        <v>28487.52</v>
      </c>
      <c r="V742" s="291">
        <f t="shared" si="11"/>
        <v>0</v>
      </c>
      <c r="W742" s="292">
        <v>0</v>
      </c>
      <c r="X742" s="290">
        <v>54260</v>
      </c>
      <c r="Y742" s="291">
        <v>0</v>
      </c>
      <c r="Z742" s="289" t="s">
        <v>944</v>
      </c>
      <c r="AA742" s="289">
        <v>0</v>
      </c>
      <c r="AB742" s="289" t="s">
        <v>2488</v>
      </c>
      <c r="AC742" s="289"/>
      <c r="AD742" s="289" t="s">
        <v>1446</v>
      </c>
      <c r="AE742" s="289" t="s">
        <v>410</v>
      </c>
      <c r="AF742" s="290" t="s">
        <v>1447</v>
      </c>
      <c r="AG742" s="295">
        <v>42735</v>
      </c>
      <c r="AH742" s="290" t="s">
        <v>1448</v>
      </c>
      <c r="AI742" s="289">
        <v>0</v>
      </c>
      <c r="AJ742" s="289">
        <v>28487.52</v>
      </c>
    </row>
    <row r="743" spans="2:36">
      <c r="B743" s="290">
        <v>2111</v>
      </c>
      <c r="C743" s="294">
        <v>173197</v>
      </c>
      <c r="D743" s="290" t="s">
        <v>944</v>
      </c>
      <c r="E743" s="289" t="s">
        <v>2484</v>
      </c>
      <c r="F743" s="290">
        <v>720</v>
      </c>
      <c r="G743" s="289"/>
      <c r="H743" s="289" t="s">
        <v>2489</v>
      </c>
      <c r="I743" s="289"/>
      <c r="J743" s="289">
        <v>0</v>
      </c>
      <c r="K743" s="289" t="s">
        <v>2454</v>
      </c>
      <c r="L743" s="289"/>
      <c r="M743" s="289"/>
      <c r="N743" s="293">
        <v>38418</v>
      </c>
      <c r="O743" s="293">
        <v>38418</v>
      </c>
      <c r="P743" s="289">
        <v>52131002</v>
      </c>
      <c r="Q743" s="290">
        <v>700</v>
      </c>
      <c r="R743" s="290">
        <v>14050</v>
      </c>
      <c r="S743" s="291">
        <v>28487.52</v>
      </c>
      <c r="T743" s="290">
        <v>14056</v>
      </c>
      <c r="U743" s="291">
        <v>28487.52</v>
      </c>
      <c r="V743" s="291">
        <f t="shared" si="11"/>
        <v>0</v>
      </c>
      <c r="W743" s="292">
        <v>0</v>
      </c>
      <c r="X743" s="290">
        <v>54260</v>
      </c>
      <c r="Y743" s="291">
        <v>0</v>
      </c>
      <c r="Z743" s="289" t="s">
        <v>944</v>
      </c>
      <c r="AA743" s="289">
        <v>0</v>
      </c>
      <c r="AB743" s="289" t="s">
        <v>2490</v>
      </c>
      <c r="AC743" s="289"/>
      <c r="AD743" s="289" t="s">
        <v>1446</v>
      </c>
      <c r="AE743" s="289" t="s">
        <v>410</v>
      </c>
      <c r="AF743" s="290" t="s">
        <v>1447</v>
      </c>
      <c r="AG743" s="295">
        <v>42735</v>
      </c>
      <c r="AH743" s="290" t="s">
        <v>1448</v>
      </c>
      <c r="AI743" s="289">
        <v>0</v>
      </c>
      <c r="AJ743" s="289">
        <v>28487.52</v>
      </c>
    </row>
    <row r="744" spans="2:36">
      <c r="B744" s="290">
        <v>2111</v>
      </c>
      <c r="C744" s="294">
        <v>173196</v>
      </c>
      <c r="D744" s="290" t="s">
        <v>944</v>
      </c>
      <c r="E744" s="289" t="s">
        <v>2484</v>
      </c>
      <c r="F744" s="290">
        <v>720</v>
      </c>
      <c r="G744" s="289"/>
      <c r="H744" s="289" t="s">
        <v>2491</v>
      </c>
      <c r="I744" s="289"/>
      <c r="J744" s="289">
        <v>0</v>
      </c>
      <c r="K744" s="289" t="s">
        <v>2454</v>
      </c>
      <c r="L744" s="289"/>
      <c r="M744" s="289"/>
      <c r="N744" s="293">
        <v>38422</v>
      </c>
      <c r="O744" s="293">
        <v>38422</v>
      </c>
      <c r="P744" s="289">
        <v>52131002</v>
      </c>
      <c r="Q744" s="290">
        <v>700</v>
      </c>
      <c r="R744" s="290">
        <v>14050</v>
      </c>
      <c r="S744" s="291">
        <v>28487.52</v>
      </c>
      <c r="T744" s="290">
        <v>14056</v>
      </c>
      <c r="U744" s="291">
        <v>28487.52</v>
      </c>
      <c r="V744" s="291">
        <f t="shared" si="11"/>
        <v>0</v>
      </c>
      <c r="W744" s="292">
        <v>0</v>
      </c>
      <c r="X744" s="290">
        <v>54260</v>
      </c>
      <c r="Y744" s="291">
        <v>0</v>
      </c>
      <c r="Z744" s="289" t="s">
        <v>944</v>
      </c>
      <c r="AA744" s="289">
        <v>0</v>
      </c>
      <c r="AB744" s="289" t="s">
        <v>2492</v>
      </c>
      <c r="AC744" s="289"/>
      <c r="AD744" s="289" t="s">
        <v>1446</v>
      </c>
      <c r="AE744" s="289" t="s">
        <v>410</v>
      </c>
      <c r="AF744" s="290" t="s">
        <v>1447</v>
      </c>
      <c r="AG744" s="295">
        <v>42735</v>
      </c>
      <c r="AH744" s="290" t="s">
        <v>1448</v>
      </c>
      <c r="AI744" s="289">
        <v>0</v>
      </c>
      <c r="AJ744" s="289">
        <v>28487.52</v>
      </c>
    </row>
    <row r="745" spans="2:36">
      <c r="B745" s="290">
        <v>2111</v>
      </c>
      <c r="C745" s="294">
        <v>173195</v>
      </c>
      <c r="D745" s="290" t="s">
        <v>944</v>
      </c>
      <c r="E745" s="289" t="s">
        <v>2484</v>
      </c>
      <c r="F745" s="290">
        <v>60</v>
      </c>
      <c r="G745" s="289"/>
      <c r="H745" s="289" t="s">
        <v>2493</v>
      </c>
      <c r="I745" s="289"/>
      <c r="J745" s="289">
        <v>0</v>
      </c>
      <c r="K745" s="289" t="s">
        <v>2454</v>
      </c>
      <c r="L745" s="289"/>
      <c r="M745" s="289"/>
      <c r="N745" s="293">
        <v>38476</v>
      </c>
      <c r="O745" s="293">
        <v>38476</v>
      </c>
      <c r="P745" s="289">
        <v>52131002</v>
      </c>
      <c r="Q745" s="290">
        <v>700</v>
      </c>
      <c r="R745" s="290">
        <v>14050</v>
      </c>
      <c r="S745" s="291">
        <v>2382.7199999999998</v>
      </c>
      <c r="T745" s="290">
        <v>14056</v>
      </c>
      <c r="U745" s="291">
        <v>2382.7199999999998</v>
      </c>
      <c r="V745" s="291">
        <f t="shared" si="11"/>
        <v>0</v>
      </c>
      <c r="W745" s="292">
        <v>0</v>
      </c>
      <c r="X745" s="290">
        <v>54260</v>
      </c>
      <c r="Y745" s="291">
        <v>0</v>
      </c>
      <c r="Z745" s="289" t="s">
        <v>944</v>
      </c>
      <c r="AA745" s="289">
        <v>0</v>
      </c>
      <c r="AB745" s="289" t="s">
        <v>2494</v>
      </c>
      <c r="AC745" s="289"/>
      <c r="AD745" s="289" t="s">
        <v>1446</v>
      </c>
      <c r="AE745" s="289" t="s">
        <v>410</v>
      </c>
      <c r="AF745" s="290" t="s">
        <v>1447</v>
      </c>
      <c r="AG745" s="295">
        <v>42735</v>
      </c>
      <c r="AH745" s="290" t="s">
        <v>1448</v>
      </c>
      <c r="AI745" s="289">
        <v>0</v>
      </c>
      <c r="AJ745" s="289">
        <v>2382.7199999999998</v>
      </c>
    </row>
    <row r="746" spans="2:36">
      <c r="B746" s="290">
        <v>2111</v>
      </c>
      <c r="C746" s="294">
        <v>173194</v>
      </c>
      <c r="D746" s="290" t="s">
        <v>944</v>
      </c>
      <c r="E746" s="289" t="s">
        <v>2484</v>
      </c>
      <c r="F746" s="290">
        <v>720</v>
      </c>
      <c r="G746" s="289"/>
      <c r="H746" s="289" t="s">
        <v>2495</v>
      </c>
      <c r="I746" s="289"/>
      <c r="J746" s="289">
        <v>0</v>
      </c>
      <c r="K746" s="289" t="s">
        <v>2454</v>
      </c>
      <c r="L746" s="289"/>
      <c r="M746" s="289"/>
      <c r="N746" s="293">
        <v>38470</v>
      </c>
      <c r="O746" s="293">
        <v>38470</v>
      </c>
      <c r="P746" s="289">
        <v>52131002</v>
      </c>
      <c r="Q746" s="290">
        <v>700</v>
      </c>
      <c r="R746" s="290">
        <v>14050</v>
      </c>
      <c r="S746" s="291">
        <v>28592.639999999999</v>
      </c>
      <c r="T746" s="290">
        <v>14056</v>
      </c>
      <c r="U746" s="291">
        <v>28592.639999999999</v>
      </c>
      <c r="V746" s="291">
        <f t="shared" si="11"/>
        <v>0</v>
      </c>
      <c r="W746" s="292">
        <v>0</v>
      </c>
      <c r="X746" s="290">
        <v>54260</v>
      </c>
      <c r="Y746" s="291">
        <v>0</v>
      </c>
      <c r="Z746" s="289" t="s">
        <v>944</v>
      </c>
      <c r="AA746" s="289">
        <v>0</v>
      </c>
      <c r="AB746" s="289" t="s">
        <v>2496</v>
      </c>
      <c r="AC746" s="289"/>
      <c r="AD746" s="289" t="s">
        <v>1446</v>
      </c>
      <c r="AE746" s="289" t="s">
        <v>410</v>
      </c>
      <c r="AF746" s="290" t="s">
        <v>1447</v>
      </c>
      <c r="AG746" s="295">
        <v>42735</v>
      </c>
      <c r="AH746" s="290" t="s">
        <v>1448</v>
      </c>
      <c r="AI746" s="289">
        <v>0</v>
      </c>
      <c r="AJ746" s="289">
        <v>28592.639999999999</v>
      </c>
    </row>
    <row r="747" spans="2:36">
      <c r="B747" s="290">
        <v>2111</v>
      </c>
      <c r="C747" s="294">
        <v>173193</v>
      </c>
      <c r="D747" s="290" t="s">
        <v>944</v>
      </c>
      <c r="E747" s="289" t="s">
        <v>2484</v>
      </c>
      <c r="F747" s="290">
        <v>720</v>
      </c>
      <c r="G747" s="289"/>
      <c r="H747" s="289" t="s">
        <v>2497</v>
      </c>
      <c r="I747" s="289"/>
      <c r="J747" s="289">
        <v>0</v>
      </c>
      <c r="K747" s="289" t="s">
        <v>2454</v>
      </c>
      <c r="L747" s="289"/>
      <c r="M747" s="289"/>
      <c r="N747" s="293">
        <v>38470</v>
      </c>
      <c r="O747" s="293">
        <v>38470</v>
      </c>
      <c r="P747" s="289">
        <v>52131002</v>
      </c>
      <c r="Q747" s="290">
        <v>700</v>
      </c>
      <c r="R747" s="290">
        <v>14050</v>
      </c>
      <c r="S747" s="291">
        <v>28592.639999999999</v>
      </c>
      <c r="T747" s="290">
        <v>14056</v>
      </c>
      <c r="U747" s="291">
        <v>28592.639999999999</v>
      </c>
      <c r="V747" s="291">
        <f t="shared" si="11"/>
        <v>0</v>
      </c>
      <c r="W747" s="292">
        <v>0</v>
      </c>
      <c r="X747" s="290">
        <v>54260</v>
      </c>
      <c r="Y747" s="291">
        <v>0</v>
      </c>
      <c r="Z747" s="289" t="s">
        <v>944</v>
      </c>
      <c r="AA747" s="289">
        <v>0</v>
      </c>
      <c r="AB747" s="289" t="s">
        <v>2498</v>
      </c>
      <c r="AC747" s="289"/>
      <c r="AD747" s="289" t="s">
        <v>1446</v>
      </c>
      <c r="AE747" s="289" t="s">
        <v>410</v>
      </c>
      <c r="AF747" s="290" t="s">
        <v>1447</v>
      </c>
      <c r="AG747" s="295">
        <v>42735</v>
      </c>
      <c r="AH747" s="290" t="s">
        <v>1448</v>
      </c>
      <c r="AI747" s="289">
        <v>0</v>
      </c>
      <c r="AJ747" s="289">
        <v>28592.639999999999</v>
      </c>
    </row>
    <row r="748" spans="2:36">
      <c r="B748" s="290">
        <v>2111</v>
      </c>
      <c r="C748" s="294">
        <v>173192</v>
      </c>
      <c r="D748" s="290" t="s">
        <v>944</v>
      </c>
      <c r="E748" s="289" t="s">
        <v>2484</v>
      </c>
      <c r="F748" s="290">
        <v>40</v>
      </c>
      <c r="G748" s="289"/>
      <c r="H748" s="289" t="s">
        <v>2499</v>
      </c>
      <c r="I748" s="289"/>
      <c r="J748" s="289">
        <v>0</v>
      </c>
      <c r="K748" s="289" t="s">
        <v>2454</v>
      </c>
      <c r="L748" s="289"/>
      <c r="M748" s="289"/>
      <c r="N748" s="293">
        <v>38443</v>
      </c>
      <c r="O748" s="293">
        <v>38443</v>
      </c>
      <c r="P748" s="289">
        <v>52131002</v>
      </c>
      <c r="Q748" s="290">
        <v>700</v>
      </c>
      <c r="R748" s="290">
        <v>14050</v>
      </c>
      <c r="S748" s="291">
        <v>1582.64</v>
      </c>
      <c r="T748" s="290">
        <v>14056</v>
      </c>
      <c r="U748" s="291">
        <v>1582.64</v>
      </c>
      <c r="V748" s="291">
        <f t="shared" si="11"/>
        <v>0</v>
      </c>
      <c r="W748" s="292">
        <v>0</v>
      </c>
      <c r="X748" s="290">
        <v>54260</v>
      </c>
      <c r="Y748" s="291">
        <v>0</v>
      </c>
      <c r="Z748" s="289" t="s">
        <v>944</v>
      </c>
      <c r="AA748" s="289">
        <v>0</v>
      </c>
      <c r="AB748" s="289" t="s">
        <v>2500</v>
      </c>
      <c r="AC748" s="289"/>
      <c r="AD748" s="289" t="s">
        <v>1446</v>
      </c>
      <c r="AE748" s="289" t="s">
        <v>410</v>
      </c>
      <c r="AF748" s="290" t="s">
        <v>1447</v>
      </c>
      <c r="AG748" s="295">
        <v>42735</v>
      </c>
      <c r="AH748" s="290" t="s">
        <v>1448</v>
      </c>
      <c r="AI748" s="289">
        <v>0</v>
      </c>
      <c r="AJ748" s="289">
        <v>1582.64</v>
      </c>
    </row>
    <row r="749" spans="2:36">
      <c r="B749" s="290">
        <v>2111</v>
      </c>
      <c r="C749" s="294">
        <v>173191</v>
      </c>
      <c r="D749" s="290" t="s">
        <v>944</v>
      </c>
      <c r="E749" s="289" t="s">
        <v>2484</v>
      </c>
      <c r="F749" s="290">
        <v>720</v>
      </c>
      <c r="G749" s="289"/>
      <c r="H749" s="289" t="s">
        <v>2501</v>
      </c>
      <c r="I749" s="289"/>
      <c r="J749" s="289">
        <v>0</v>
      </c>
      <c r="K749" s="289" t="s">
        <v>2454</v>
      </c>
      <c r="L749" s="289"/>
      <c r="M749" s="289"/>
      <c r="N749" s="293">
        <v>38420</v>
      </c>
      <c r="O749" s="293">
        <v>38420</v>
      </c>
      <c r="P749" s="289">
        <v>52131002</v>
      </c>
      <c r="Q749" s="290">
        <v>700</v>
      </c>
      <c r="R749" s="290">
        <v>14050</v>
      </c>
      <c r="S749" s="291">
        <v>28487.52</v>
      </c>
      <c r="T749" s="290">
        <v>14056</v>
      </c>
      <c r="U749" s="291">
        <v>28487.52</v>
      </c>
      <c r="V749" s="291">
        <f t="shared" si="11"/>
        <v>0</v>
      </c>
      <c r="W749" s="292">
        <v>0</v>
      </c>
      <c r="X749" s="290">
        <v>54260</v>
      </c>
      <c r="Y749" s="291">
        <v>0</v>
      </c>
      <c r="Z749" s="289" t="s">
        <v>944</v>
      </c>
      <c r="AA749" s="289">
        <v>0</v>
      </c>
      <c r="AB749" s="289" t="s">
        <v>2502</v>
      </c>
      <c r="AC749" s="289"/>
      <c r="AD749" s="289" t="s">
        <v>1446</v>
      </c>
      <c r="AE749" s="289" t="s">
        <v>410</v>
      </c>
      <c r="AF749" s="290" t="s">
        <v>1447</v>
      </c>
      <c r="AG749" s="295">
        <v>42735</v>
      </c>
      <c r="AH749" s="290" t="s">
        <v>1448</v>
      </c>
      <c r="AI749" s="289">
        <v>0</v>
      </c>
      <c r="AJ749" s="289">
        <v>28487.52</v>
      </c>
    </row>
    <row r="750" spans="2:36">
      <c r="B750" s="290">
        <v>2111</v>
      </c>
      <c r="C750" s="294">
        <v>173190</v>
      </c>
      <c r="D750" s="290" t="s">
        <v>944</v>
      </c>
      <c r="E750" s="289" t="s">
        <v>2484</v>
      </c>
      <c r="F750" s="290">
        <v>720</v>
      </c>
      <c r="G750" s="289"/>
      <c r="H750" s="289" t="s">
        <v>2503</v>
      </c>
      <c r="I750" s="289"/>
      <c r="J750" s="289">
        <v>0</v>
      </c>
      <c r="K750" s="289" t="s">
        <v>2454</v>
      </c>
      <c r="L750" s="289"/>
      <c r="M750" s="289"/>
      <c r="N750" s="293">
        <v>38421</v>
      </c>
      <c r="O750" s="293">
        <v>38421</v>
      </c>
      <c r="P750" s="289">
        <v>52131002</v>
      </c>
      <c r="Q750" s="290">
        <v>700</v>
      </c>
      <c r="R750" s="290">
        <v>14050</v>
      </c>
      <c r="S750" s="291">
        <v>28487.52</v>
      </c>
      <c r="T750" s="290">
        <v>14056</v>
      </c>
      <c r="U750" s="291">
        <v>28487.52</v>
      </c>
      <c r="V750" s="291">
        <f t="shared" si="11"/>
        <v>0</v>
      </c>
      <c r="W750" s="292">
        <v>0</v>
      </c>
      <c r="X750" s="290">
        <v>54260</v>
      </c>
      <c r="Y750" s="291">
        <v>0</v>
      </c>
      <c r="Z750" s="289" t="s">
        <v>944</v>
      </c>
      <c r="AA750" s="289">
        <v>0</v>
      </c>
      <c r="AB750" s="289" t="s">
        <v>2504</v>
      </c>
      <c r="AC750" s="289"/>
      <c r="AD750" s="289" t="s">
        <v>1446</v>
      </c>
      <c r="AE750" s="289" t="s">
        <v>410</v>
      </c>
      <c r="AF750" s="290" t="s">
        <v>1447</v>
      </c>
      <c r="AG750" s="295">
        <v>42735</v>
      </c>
      <c r="AH750" s="290" t="s">
        <v>1448</v>
      </c>
      <c r="AI750" s="289">
        <v>0</v>
      </c>
      <c r="AJ750" s="289">
        <v>28487.52</v>
      </c>
    </row>
    <row r="751" spans="2:36">
      <c r="B751" s="290">
        <v>2111</v>
      </c>
      <c r="C751" s="294">
        <v>173189</v>
      </c>
      <c r="D751" s="290" t="s">
        <v>944</v>
      </c>
      <c r="E751" s="289" t="s">
        <v>2484</v>
      </c>
      <c r="F751" s="290">
        <v>720</v>
      </c>
      <c r="G751" s="289"/>
      <c r="H751" s="289" t="s">
        <v>2505</v>
      </c>
      <c r="I751" s="289"/>
      <c r="J751" s="289">
        <v>0</v>
      </c>
      <c r="K751" s="289" t="s">
        <v>2454</v>
      </c>
      <c r="L751" s="289"/>
      <c r="M751" s="289"/>
      <c r="N751" s="293">
        <v>38407</v>
      </c>
      <c r="O751" s="293">
        <v>38407</v>
      </c>
      <c r="P751" s="289">
        <v>52131002</v>
      </c>
      <c r="Q751" s="290">
        <v>700</v>
      </c>
      <c r="R751" s="290">
        <v>14050</v>
      </c>
      <c r="S751" s="291">
        <v>28592.639999999999</v>
      </c>
      <c r="T751" s="290">
        <v>14056</v>
      </c>
      <c r="U751" s="291">
        <v>28592.639999999999</v>
      </c>
      <c r="V751" s="291">
        <f t="shared" si="11"/>
        <v>0</v>
      </c>
      <c r="W751" s="292">
        <v>0</v>
      </c>
      <c r="X751" s="290">
        <v>54260</v>
      </c>
      <c r="Y751" s="291">
        <v>0</v>
      </c>
      <c r="Z751" s="289" t="s">
        <v>944</v>
      </c>
      <c r="AA751" s="289">
        <v>0</v>
      </c>
      <c r="AB751" s="289" t="s">
        <v>2506</v>
      </c>
      <c r="AC751" s="289"/>
      <c r="AD751" s="289" t="s">
        <v>1446</v>
      </c>
      <c r="AE751" s="289" t="s">
        <v>410</v>
      </c>
      <c r="AF751" s="290" t="s">
        <v>1447</v>
      </c>
      <c r="AG751" s="295">
        <v>42735</v>
      </c>
      <c r="AH751" s="290" t="s">
        <v>1448</v>
      </c>
      <c r="AI751" s="289">
        <v>0</v>
      </c>
      <c r="AJ751" s="289">
        <v>28592.639999999999</v>
      </c>
    </row>
    <row r="752" spans="2:36">
      <c r="B752" s="290">
        <v>2111</v>
      </c>
      <c r="C752" s="294">
        <v>173188</v>
      </c>
      <c r="D752" s="290" t="s">
        <v>944</v>
      </c>
      <c r="E752" s="289" t="s">
        <v>2484</v>
      </c>
      <c r="F752" s="290">
        <v>720</v>
      </c>
      <c r="G752" s="289"/>
      <c r="H752" s="289" t="s">
        <v>2507</v>
      </c>
      <c r="I752" s="289"/>
      <c r="J752" s="289">
        <v>0</v>
      </c>
      <c r="K752" s="289" t="s">
        <v>2454</v>
      </c>
      <c r="L752" s="289"/>
      <c r="M752" s="289"/>
      <c r="N752" s="293">
        <v>38407</v>
      </c>
      <c r="O752" s="293">
        <v>38407</v>
      </c>
      <c r="P752" s="289">
        <v>52131002</v>
      </c>
      <c r="Q752" s="290">
        <v>700</v>
      </c>
      <c r="R752" s="290">
        <v>14050</v>
      </c>
      <c r="S752" s="291">
        <v>28592.639999999999</v>
      </c>
      <c r="T752" s="290">
        <v>14056</v>
      </c>
      <c r="U752" s="291">
        <v>28592.639999999999</v>
      </c>
      <c r="V752" s="291">
        <f t="shared" si="11"/>
        <v>0</v>
      </c>
      <c r="W752" s="292">
        <v>0</v>
      </c>
      <c r="X752" s="290">
        <v>54260</v>
      </c>
      <c r="Y752" s="291">
        <v>0</v>
      </c>
      <c r="Z752" s="289" t="s">
        <v>944</v>
      </c>
      <c r="AA752" s="289">
        <v>0</v>
      </c>
      <c r="AB752" s="289" t="s">
        <v>2508</v>
      </c>
      <c r="AC752" s="289"/>
      <c r="AD752" s="289" t="s">
        <v>1446</v>
      </c>
      <c r="AE752" s="289" t="s">
        <v>410</v>
      </c>
      <c r="AF752" s="290" t="s">
        <v>1447</v>
      </c>
      <c r="AG752" s="295">
        <v>42735</v>
      </c>
      <c r="AH752" s="290" t="s">
        <v>1448</v>
      </c>
      <c r="AI752" s="289">
        <v>0</v>
      </c>
      <c r="AJ752" s="289">
        <v>28592.639999999999</v>
      </c>
    </row>
    <row r="753" spans="2:36">
      <c r="B753" s="290">
        <v>2111</v>
      </c>
      <c r="C753" s="294">
        <v>173187</v>
      </c>
      <c r="D753" s="290" t="s">
        <v>944</v>
      </c>
      <c r="E753" s="289" t="s">
        <v>2484</v>
      </c>
      <c r="F753" s="290">
        <v>720</v>
      </c>
      <c r="G753" s="289"/>
      <c r="H753" s="289" t="s">
        <v>2509</v>
      </c>
      <c r="I753" s="289"/>
      <c r="J753" s="289">
        <v>0</v>
      </c>
      <c r="K753" s="289" t="s">
        <v>2454</v>
      </c>
      <c r="L753" s="289"/>
      <c r="M753" s="289"/>
      <c r="N753" s="293">
        <v>38408</v>
      </c>
      <c r="O753" s="293">
        <v>38408</v>
      </c>
      <c r="P753" s="289">
        <v>52131002</v>
      </c>
      <c r="Q753" s="290">
        <v>700</v>
      </c>
      <c r="R753" s="290">
        <v>14050</v>
      </c>
      <c r="S753" s="291">
        <v>28592.639999999999</v>
      </c>
      <c r="T753" s="290">
        <v>14056</v>
      </c>
      <c r="U753" s="291">
        <v>28592.639999999999</v>
      </c>
      <c r="V753" s="291">
        <f t="shared" si="11"/>
        <v>0</v>
      </c>
      <c r="W753" s="292">
        <v>0</v>
      </c>
      <c r="X753" s="290">
        <v>54260</v>
      </c>
      <c r="Y753" s="291">
        <v>0</v>
      </c>
      <c r="Z753" s="289" t="s">
        <v>944</v>
      </c>
      <c r="AA753" s="289">
        <v>0</v>
      </c>
      <c r="AB753" s="289" t="s">
        <v>2510</v>
      </c>
      <c r="AC753" s="289"/>
      <c r="AD753" s="289" t="s">
        <v>1446</v>
      </c>
      <c r="AE753" s="289" t="s">
        <v>410</v>
      </c>
      <c r="AF753" s="290" t="s">
        <v>1447</v>
      </c>
      <c r="AG753" s="295">
        <v>42735</v>
      </c>
      <c r="AH753" s="290" t="s">
        <v>1448</v>
      </c>
      <c r="AI753" s="289">
        <v>0</v>
      </c>
      <c r="AJ753" s="289">
        <v>28592.639999999999</v>
      </c>
    </row>
    <row r="754" spans="2:36">
      <c r="B754" s="290">
        <v>2111</v>
      </c>
      <c r="C754" s="294">
        <v>173186</v>
      </c>
      <c r="D754" s="290" t="s">
        <v>944</v>
      </c>
      <c r="E754" s="289" t="s">
        <v>2484</v>
      </c>
      <c r="F754" s="290">
        <v>720</v>
      </c>
      <c r="G754" s="289"/>
      <c r="H754" s="289" t="s">
        <v>2511</v>
      </c>
      <c r="I754" s="289"/>
      <c r="J754" s="289">
        <v>0</v>
      </c>
      <c r="K754" s="289" t="s">
        <v>2454</v>
      </c>
      <c r="L754" s="289"/>
      <c r="M754" s="289"/>
      <c r="N754" s="293">
        <v>38406</v>
      </c>
      <c r="O754" s="293">
        <v>38406</v>
      </c>
      <c r="P754" s="289">
        <v>52131002</v>
      </c>
      <c r="Q754" s="290">
        <v>700</v>
      </c>
      <c r="R754" s="290">
        <v>14050</v>
      </c>
      <c r="S754" s="291">
        <v>28592.639999999999</v>
      </c>
      <c r="T754" s="290">
        <v>14056</v>
      </c>
      <c r="U754" s="291">
        <v>28592.639999999999</v>
      </c>
      <c r="V754" s="291">
        <f t="shared" si="11"/>
        <v>0</v>
      </c>
      <c r="W754" s="292">
        <v>0</v>
      </c>
      <c r="X754" s="290">
        <v>54260</v>
      </c>
      <c r="Y754" s="291">
        <v>0</v>
      </c>
      <c r="Z754" s="289" t="s">
        <v>944</v>
      </c>
      <c r="AA754" s="289">
        <v>0</v>
      </c>
      <c r="AB754" s="289" t="s">
        <v>2512</v>
      </c>
      <c r="AC754" s="289"/>
      <c r="AD754" s="289" t="s">
        <v>1446</v>
      </c>
      <c r="AE754" s="289" t="s">
        <v>410</v>
      </c>
      <c r="AF754" s="290" t="s">
        <v>1447</v>
      </c>
      <c r="AG754" s="295">
        <v>42735</v>
      </c>
      <c r="AH754" s="290" t="s">
        <v>1448</v>
      </c>
      <c r="AI754" s="289">
        <v>0</v>
      </c>
      <c r="AJ754" s="289">
        <v>28592.639999999999</v>
      </c>
    </row>
    <row r="755" spans="2:36">
      <c r="B755" s="290">
        <v>2111</v>
      </c>
      <c r="C755" s="294">
        <v>173185</v>
      </c>
      <c r="D755" s="290" t="s">
        <v>944</v>
      </c>
      <c r="E755" s="289" t="s">
        <v>2484</v>
      </c>
      <c r="F755" s="290">
        <v>720</v>
      </c>
      <c r="G755" s="289"/>
      <c r="H755" s="289" t="s">
        <v>2513</v>
      </c>
      <c r="I755" s="289"/>
      <c r="J755" s="289">
        <v>0</v>
      </c>
      <c r="K755" s="289" t="s">
        <v>2454</v>
      </c>
      <c r="L755" s="289"/>
      <c r="M755" s="289"/>
      <c r="N755" s="293">
        <v>38414</v>
      </c>
      <c r="O755" s="293">
        <v>38414</v>
      </c>
      <c r="P755" s="289">
        <v>52131002</v>
      </c>
      <c r="Q755" s="290">
        <v>700</v>
      </c>
      <c r="R755" s="290">
        <v>14050</v>
      </c>
      <c r="S755" s="291">
        <v>28592.639999999999</v>
      </c>
      <c r="T755" s="290">
        <v>14056</v>
      </c>
      <c r="U755" s="291">
        <v>28592.639999999999</v>
      </c>
      <c r="V755" s="291">
        <f t="shared" si="11"/>
        <v>0</v>
      </c>
      <c r="W755" s="292">
        <v>0</v>
      </c>
      <c r="X755" s="290">
        <v>54260</v>
      </c>
      <c r="Y755" s="291">
        <v>0</v>
      </c>
      <c r="Z755" s="289" t="s">
        <v>944</v>
      </c>
      <c r="AA755" s="289">
        <v>0</v>
      </c>
      <c r="AB755" s="289" t="s">
        <v>2514</v>
      </c>
      <c r="AC755" s="289"/>
      <c r="AD755" s="289" t="s">
        <v>1446</v>
      </c>
      <c r="AE755" s="289" t="s">
        <v>410</v>
      </c>
      <c r="AF755" s="290" t="s">
        <v>1447</v>
      </c>
      <c r="AG755" s="295">
        <v>42735</v>
      </c>
      <c r="AH755" s="290" t="s">
        <v>1448</v>
      </c>
      <c r="AI755" s="289">
        <v>0</v>
      </c>
      <c r="AJ755" s="289">
        <v>28592.639999999999</v>
      </c>
    </row>
    <row r="756" spans="2:36">
      <c r="B756" s="290">
        <v>2111</v>
      </c>
      <c r="C756" s="294">
        <v>173184</v>
      </c>
      <c r="D756" s="290" t="s">
        <v>944</v>
      </c>
      <c r="E756" s="289" t="s">
        <v>2484</v>
      </c>
      <c r="F756" s="290">
        <v>720</v>
      </c>
      <c r="G756" s="289"/>
      <c r="H756" s="289" t="s">
        <v>2515</v>
      </c>
      <c r="I756" s="289"/>
      <c r="J756" s="289">
        <v>0</v>
      </c>
      <c r="K756" s="289" t="s">
        <v>2454</v>
      </c>
      <c r="L756" s="289"/>
      <c r="M756" s="289"/>
      <c r="N756" s="293">
        <v>38414</v>
      </c>
      <c r="O756" s="293">
        <v>38414</v>
      </c>
      <c r="P756" s="289">
        <v>52131002</v>
      </c>
      <c r="Q756" s="290">
        <v>700</v>
      </c>
      <c r="R756" s="290">
        <v>14050</v>
      </c>
      <c r="S756" s="291">
        <v>28592.639999999999</v>
      </c>
      <c r="T756" s="290">
        <v>14056</v>
      </c>
      <c r="U756" s="291">
        <v>28592.639999999999</v>
      </c>
      <c r="V756" s="291">
        <f t="shared" si="11"/>
        <v>0</v>
      </c>
      <c r="W756" s="292">
        <v>0</v>
      </c>
      <c r="X756" s="290">
        <v>54260</v>
      </c>
      <c r="Y756" s="291">
        <v>0</v>
      </c>
      <c r="Z756" s="289" t="s">
        <v>944</v>
      </c>
      <c r="AA756" s="289">
        <v>0</v>
      </c>
      <c r="AB756" s="289" t="s">
        <v>2516</v>
      </c>
      <c r="AC756" s="289"/>
      <c r="AD756" s="289" t="s">
        <v>1446</v>
      </c>
      <c r="AE756" s="289" t="s">
        <v>410</v>
      </c>
      <c r="AF756" s="290" t="s">
        <v>1447</v>
      </c>
      <c r="AG756" s="295">
        <v>42735</v>
      </c>
      <c r="AH756" s="290" t="s">
        <v>1448</v>
      </c>
      <c r="AI756" s="289">
        <v>0</v>
      </c>
      <c r="AJ756" s="289">
        <v>28592.639999999999</v>
      </c>
    </row>
    <row r="757" spans="2:36">
      <c r="B757" s="290">
        <v>2111</v>
      </c>
      <c r="C757" s="294">
        <v>173183</v>
      </c>
      <c r="D757" s="290" t="s">
        <v>944</v>
      </c>
      <c r="E757" s="289" t="s">
        <v>2484</v>
      </c>
      <c r="F757" s="290">
        <v>720</v>
      </c>
      <c r="G757" s="289"/>
      <c r="H757" s="289" t="s">
        <v>2517</v>
      </c>
      <c r="I757" s="289"/>
      <c r="J757" s="289">
        <v>0</v>
      </c>
      <c r="K757" s="289" t="s">
        <v>2454</v>
      </c>
      <c r="L757" s="289"/>
      <c r="M757" s="289"/>
      <c r="N757" s="293">
        <v>38413</v>
      </c>
      <c r="O757" s="293">
        <v>38413</v>
      </c>
      <c r="P757" s="289">
        <v>52131002</v>
      </c>
      <c r="Q757" s="290">
        <v>700</v>
      </c>
      <c r="R757" s="290">
        <v>14050</v>
      </c>
      <c r="S757" s="291">
        <v>28592.639999999999</v>
      </c>
      <c r="T757" s="290">
        <v>14056</v>
      </c>
      <c r="U757" s="291">
        <v>28592.639999999999</v>
      </c>
      <c r="V757" s="291">
        <f t="shared" si="11"/>
        <v>0</v>
      </c>
      <c r="W757" s="292">
        <v>0</v>
      </c>
      <c r="X757" s="290">
        <v>54260</v>
      </c>
      <c r="Y757" s="291">
        <v>0</v>
      </c>
      <c r="Z757" s="289" t="s">
        <v>944</v>
      </c>
      <c r="AA757" s="289">
        <v>0</v>
      </c>
      <c r="AB757" s="289" t="s">
        <v>2518</v>
      </c>
      <c r="AC757" s="289"/>
      <c r="AD757" s="289" t="s">
        <v>1446</v>
      </c>
      <c r="AE757" s="289" t="s">
        <v>410</v>
      </c>
      <c r="AF757" s="290" t="s">
        <v>1447</v>
      </c>
      <c r="AG757" s="295">
        <v>42735</v>
      </c>
      <c r="AH757" s="290" t="s">
        <v>1448</v>
      </c>
      <c r="AI757" s="289">
        <v>0</v>
      </c>
      <c r="AJ757" s="289">
        <v>28592.639999999999</v>
      </c>
    </row>
    <row r="758" spans="2:36">
      <c r="B758" s="290">
        <v>2111</v>
      </c>
      <c r="C758" s="294">
        <v>173182</v>
      </c>
      <c r="D758" s="290" t="s">
        <v>944</v>
      </c>
      <c r="E758" s="289" t="s">
        <v>2484</v>
      </c>
      <c r="F758" s="290">
        <v>720</v>
      </c>
      <c r="G758" s="289"/>
      <c r="H758" s="289" t="s">
        <v>2519</v>
      </c>
      <c r="I758" s="289"/>
      <c r="J758" s="289">
        <v>0</v>
      </c>
      <c r="K758" s="289" t="s">
        <v>2454</v>
      </c>
      <c r="L758" s="289"/>
      <c r="M758" s="289"/>
      <c r="N758" s="293">
        <v>38419</v>
      </c>
      <c r="O758" s="293">
        <v>38419</v>
      </c>
      <c r="P758" s="289">
        <v>52131002</v>
      </c>
      <c r="Q758" s="290">
        <v>700</v>
      </c>
      <c r="R758" s="290">
        <v>14050</v>
      </c>
      <c r="S758" s="291">
        <v>28592.639999999999</v>
      </c>
      <c r="T758" s="290">
        <v>14056</v>
      </c>
      <c r="U758" s="291">
        <v>28592.639999999999</v>
      </c>
      <c r="V758" s="291">
        <f t="shared" si="11"/>
        <v>0</v>
      </c>
      <c r="W758" s="292">
        <v>0</v>
      </c>
      <c r="X758" s="290">
        <v>54260</v>
      </c>
      <c r="Y758" s="291">
        <v>0</v>
      </c>
      <c r="Z758" s="289" t="s">
        <v>944</v>
      </c>
      <c r="AA758" s="289">
        <v>0</v>
      </c>
      <c r="AB758" s="289" t="s">
        <v>2520</v>
      </c>
      <c r="AC758" s="289"/>
      <c r="AD758" s="289" t="s">
        <v>1446</v>
      </c>
      <c r="AE758" s="289" t="s">
        <v>410</v>
      </c>
      <c r="AF758" s="290" t="s">
        <v>1447</v>
      </c>
      <c r="AG758" s="295">
        <v>42735</v>
      </c>
      <c r="AH758" s="290" t="s">
        <v>1448</v>
      </c>
      <c r="AI758" s="289">
        <v>0</v>
      </c>
      <c r="AJ758" s="289">
        <v>28592.639999999999</v>
      </c>
    </row>
    <row r="759" spans="2:36">
      <c r="B759" s="290">
        <v>2111</v>
      </c>
      <c r="C759" s="294">
        <v>173181</v>
      </c>
      <c r="D759" s="290" t="s">
        <v>944</v>
      </c>
      <c r="E759" s="289" t="s">
        <v>2484</v>
      </c>
      <c r="F759" s="290">
        <v>720</v>
      </c>
      <c r="G759" s="289"/>
      <c r="H759" s="289" t="s">
        <v>2521</v>
      </c>
      <c r="I759" s="289"/>
      <c r="J759" s="289">
        <v>0</v>
      </c>
      <c r="K759" s="289" t="s">
        <v>2454</v>
      </c>
      <c r="L759" s="289"/>
      <c r="M759" s="289"/>
      <c r="N759" s="293">
        <v>38419</v>
      </c>
      <c r="O759" s="293">
        <v>38419</v>
      </c>
      <c r="P759" s="289">
        <v>52131002</v>
      </c>
      <c r="Q759" s="290">
        <v>700</v>
      </c>
      <c r="R759" s="290">
        <v>14050</v>
      </c>
      <c r="S759" s="291">
        <v>28592.639999999999</v>
      </c>
      <c r="T759" s="290">
        <v>14056</v>
      </c>
      <c r="U759" s="291">
        <v>28592.639999999999</v>
      </c>
      <c r="V759" s="291">
        <f t="shared" si="11"/>
        <v>0</v>
      </c>
      <c r="W759" s="292">
        <v>0</v>
      </c>
      <c r="X759" s="290">
        <v>54260</v>
      </c>
      <c r="Y759" s="291">
        <v>0</v>
      </c>
      <c r="Z759" s="289" t="s">
        <v>944</v>
      </c>
      <c r="AA759" s="289">
        <v>0</v>
      </c>
      <c r="AB759" s="289" t="s">
        <v>2522</v>
      </c>
      <c r="AC759" s="289"/>
      <c r="AD759" s="289" t="s">
        <v>1446</v>
      </c>
      <c r="AE759" s="289" t="s">
        <v>410</v>
      </c>
      <c r="AF759" s="290" t="s">
        <v>1447</v>
      </c>
      <c r="AG759" s="295">
        <v>42735</v>
      </c>
      <c r="AH759" s="290" t="s">
        <v>1448</v>
      </c>
      <c r="AI759" s="289">
        <v>0</v>
      </c>
      <c r="AJ759" s="289">
        <v>28592.639999999999</v>
      </c>
    </row>
    <row r="760" spans="2:36">
      <c r="B760" s="290">
        <v>2111</v>
      </c>
      <c r="C760" s="294">
        <v>173180</v>
      </c>
      <c r="D760" s="290" t="s">
        <v>944</v>
      </c>
      <c r="E760" s="289" t="s">
        <v>2484</v>
      </c>
      <c r="F760" s="290">
        <v>720</v>
      </c>
      <c r="G760" s="289"/>
      <c r="H760" s="289" t="s">
        <v>2523</v>
      </c>
      <c r="I760" s="289"/>
      <c r="J760" s="289">
        <v>0</v>
      </c>
      <c r="K760" s="289" t="s">
        <v>2454</v>
      </c>
      <c r="L760" s="289"/>
      <c r="M760" s="289"/>
      <c r="N760" s="293">
        <v>38421</v>
      </c>
      <c r="O760" s="293">
        <v>38421</v>
      </c>
      <c r="P760" s="289">
        <v>52131002</v>
      </c>
      <c r="Q760" s="290">
        <v>700</v>
      </c>
      <c r="R760" s="290">
        <v>14050</v>
      </c>
      <c r="S760" s="291">
        <v>28592.639999999999</v>
      </c>
      <c r="T760" s="290">
        <v>14056</v>
      </c>
      <c r="U760" s="291">
        <v>28592.639999999999</v>
      </c>
      <c r="V760" s="291">
        <f t="shared" si="11"/>
        <v>0</v>
      </c>
      <c r="W760" s="292">
        <v>0</v>
      </c>
      <c r="X760" s="290">
        <v>54260</v>
      </c>
      <c r="Y760" s="291">
        <v>0</v>
      </c>
      <c r="Z760" s="289" t="s">
        <v>944</v>
      </c>
      <c r="AA760" s="289">
        <v>0</v>
      </c>
      <c r="AB760" s="289" t="s">
        <v>2524</v>
      </c>
      <c r="AC760" s="289"/>
      <c r="AD760" s="289" t="s">
        <v>1446</v>
      </c>
      <c r="AE760" s="289" t="s">
        <v>410</v>
      </c>
      <c r="AF760" s="290" t="s">
        <v>1447</v>
      </c>
      <c r="AG760" s="295">
        <v>42735</v>
      </c>
      <c r="AH760" s="290" t="s">
        <v>1448</v>
      </c>
      <c r="AI760" s="289">
        <v>0</v>
      </c>
      <c r="AJ760" s="289">
        <v>28592.639999999999</v>
      </c>
    </row>
    <row r="761" spans="2:36">
      <c r="B761" s="290">
        <v>2111</v>
      </c>
      <c r="C761" s="294">
        <v>173179</v>
      </c>
      <c r="D761" s="290" t="s">
        <v>944</v>
      </c>
      <c r="E761" s="289" t="s">
        <v>2484</v>
      </c>
      <c r="F761" s="290">
        <v>720</v>
      </c>
      <c r="G761" s="289"/>
      <c r="H761" s="289" t="s">
        <v>2525</v>
      </c>
      <c r="I761" s="289"/>
      <c r="J761" s="289">
        <v>0</v>
      </c>
      <c r="K761" s="289" t="s">
        <v>2454</v>
      </c>
      <c r="L761" s="289"/>
      <c r="M761" s="289"/>
      <c r="N761" s="293">
        <v>38415</v>
      </c>
      <c r="O761" s="293">
        <v>38415</v>
      </c>
      <c r="P761" s="289">
        <v>52131002</v>
      </c>
      <c r="Q761" s="290">
        <v>700</v>
      </c>
      <c r="R761" s="290">
        <v>14050</v>
      </c>
      <c r="S761" s="291">
        <v>28592.639999999999</v>
      </c>
      <c r="T761" s="290">
        <v>14056</v>
      </c>
      <c r="U761" s="291">
        <v>28592.639999999999</v>
      </c>
      <c r="V761" s="291">
        <f t="shared" si="11"/>
        <v>0</v>
      </c>
      <c r="W761" s="292">
        <v>0</v>
      </c>
      <c r="X761" s="290">
        <v>54260</v>
      </c>
      <c r="Y761" s="291">
        <v>0</v>
      </c>
      <c r="Z761" s="289" t="s">
        <v>944</v>
      </c>
      <c r="AA761" s="289">
        <v>0</v>
      </c>
      <c r="AB761" s="289" t="s">
        <v>2526</v>
      </c>
      <c r="AC761" s="289"/>
      <c r="AD761" s="289" t="s">
        <v>1446</v>
      </c>
      <c r="AE761" s="289" t="s">
        <v>410</v>
      </c>
      <c r="AF761" s="290" t="s">
        <v>1447</v>
      </c>
      <c r="AG761" s="295">
        <v>42735</v>
      </c>
      <c r="AH761" s="290" t="s">
        <v>1448</v>
      </c>
      <c r="AI761" s="289">
        <v>0</v>
      </c>
      <c r="AJ761" s="289">
        <v>28592.639999999999</v>
      </c>
    </row>
    <row r="762" spans="2:36">
      <c r="B762" s="290">
        <v>2111</v>
      </c>
      <c r="C762" s="294">
        <v>173178</v>
      </c>
      <c r="D762" s="290" t="s">
        <v>944</v>
      </c>
      <c r="E762" s="289" t="s">
        <v>2484</v>
      </c>
      <c r="F762" s="290">
        <v>720</v>
      </c>
      <c r="G762" s="289"/>
      <c r="H762" s="289" t="s">
        <v>2527</v>
      </c>
      <c r="I762" s="289"/>
      <c r="J762" s="289">
        <v>0</v>
      </c>
      <c r="K762" s="289" t="s">
        <v>2454</v>
      </c>
      <c r="L762" s="289"/>
      <c r="M762" s="289"/>
      <c r="N762" s="293">
        <v>38420</v>
      </c>
      <c r="O762" s="293">
        <v>38420</v>
      </c>
      <c r="P762" s="289">
        <v>52131002</v>
      </c>
      <c r="Q762" s="290">
        <v>700</v>
      </c>
      <c r="R762" s="290">
        <v>14050</v>
      </c>
      <c r="S762" s="291">
        <v>28592.639999999999</v>
      </c>
      <c r="T762" s="290">
        <v>14056</v>
      </c>
      <c r="U762" s="291">
        <v>28592.639999999999</v>
      </c>
      <c r="V762" s="291">
        <f t="shared" si="11"/>
        <v>0</v>
      </c>
      <c r="W762" s="292">
        <v>0</v>
      </c>
      <c r="X762" s="290">
        <v>54260</v>
      </c>
      <c r="Y762" s="291">
        <v>0</v>
      </c>
      <c r="Z762" s="289" t="s">
        <v>944</v>
      </c>
      <c r="AA762" s="289">
        <v>0</v>
      </c>
      <c r="AB762" s="289" t="s">
        <v>2528</v>
      </c>
      <c r="AC762" s="289"/>
      <c r="AD762" s="289" t="s">
        <v>1446</v>
      </c>
      <c r="AE762" s="289" t="s">
        <v>410</v>
      </c>
      <c r="AF762" s="290" t="s">
        <v>1447</v>
      </c>
      <c r="AG762" s="295">
        <v>42735</v>
      </c>
      <c r="AH762" s="290" t="s">
        <v>1448</v>
      </c>
      <c r="AI762" s="289">
        <v>0</v>
      </c>
      <c r="AJ762" s="289">
        <v>28592.639999999999</v>
      </c>
    </row>
    <row r="763" spans="2:36">
      <c r="B763" s="290">
        <v>2111</v>
      </c>
      <c r="C763" s="294">
        <v>173177</v>
      </c>
      <c r="D763" s="290" t="s">
        <v>944</v>
      </c>
      <c r="E763" s="289" t="s">
        <v>2529</v>
      </c>
      <c r="F763" s="290">
        <v>432</v>
      </c>
      <c r="G763" s="289"/>
      <c r="H763" s="289" t="s">
        <v>2530</v>
      </c>
      <c r="I763" s="289"/>
      <c r="J763" s="289">
        <v>0</v>
      </c>
      <c r="K763" s="289" t="s">
        <v>2222</v>
      </c>
      <c r="L763" s="289"/>
      <c r="M763" s="289"/>
      <c r="N763" s="293">
        <v>38442</v>
      </c>
      <c r="O763" s="293">
        <v>38442</v>
      </c>
      <c r="P763" s="289">
        <v>52131004</v>
      </c>
      <c r="Q763" s="290">
        <v>700</v>
      </c>
      <c r="R763" s="290">
        <v>14050</v>
      </c>
      <c r="S763" s="291">
        <v>19270.66</v>
      </c>
      <c r="T763" s="290">
        <v>14056</v>
      </c>
      <c r="U763" s="291">
        <v>19270.66</v>
      </c>
      <c r="V763" s="291">
        <f t="shared" si="11"/>
        <v>0</v>
      </c>
      <c r="W763" s="292">
        <v>0</v>
      </c>
      <c r="X763" s="290">
        <v>54260</v>
      </c>
      <c r="Y763" s="291">
        <v>0</v>
      </c>
      <c r="Z763" s="289" t="s">
        <v>944</v>
      </c>
      <c r="AA763" s="289">
        <v>0</v>
      </c>
      <c r="AB763" s="289" t="s">
        <v>2531</v>
      </c>
      <c r="AC763" s="289"/>
      <c r="AD763" s="289" t="s">
        <v>1446</v>
      </c>
      <c r="AE763" s="289" t="s">
        <v>410</v>
      </c>
      <c r="AF763" s="290" t="s">
        <v>1447</v>
      </c>
      <c r="AG763" s="295">
        <v>42735</v>
      </c>
      <c r="AH763" s="290" t="s">
        <v>1448</v>
      </c>
      <c r="AI763" s="289">
        <v>0</v>
      </c>
      <c r="AJ763" s="289">
        <v>19270.66</v>
      </c>
    </row>
    <row r="764" spans="2:36">
      <c r="B764" s="290">
        <v>2111</v>
      </c>
      <c r="C764" s="294">
        <v>173176</v>
      </c>
      <c r="D764" s="290" t="s">
        <v>944</v>
      </c>
      <c r="E764" s="289" t="s">
        <v>2529</v>
      </c>
      <c r="F764" s="290">
        <v>432</v>
      </c>
      <c r="G764" s="289"/>
      <c r="H764" s="289" t="s">
        <v>2532</v>
      </c>
      <c r="I764" s="289"/>
      <c r="J764" s="289">
        <v>0</v>
      </c>
      <c r="K764" s="289" t="s">
        <v>2222</v>
      </c>
      <c r="L764" s="289"/>
      <c r="M764" s="289"/>
      <c r="N764" s="293">
        <v>38441</v>
      </c>
      <c r="O764" s="293">
        <v>38441</v>
      </c>
      <c r="P764" s="289">
        <v>52131004</v>
      </c>
      <c r="Q764" s="290">
        <v>700</v>
      </c>
      <c r="R764" s="290">
        <v>14050</v>
      </c>
      <c r="S764" s="291">
        <v>19270.66</v>
      </c>
      <c r="T764" s="290">
        <v>14056</v>
      </c>
      <c r="U764" s="291">
        <v>19270.66</v>
      </c>
      <c r="V764" s="291">
        <f t="shared" si="11"/>
        <v>0</v>
      </c>
      <c r="W764" s="292">
        <v>0</v>
      </c>
      <c r="X764" s="290">
        <v>54260</v>
      </c>
      <c r="Y764" s="291">
        <v>0</v>
      </c>
      <c r="Z764" s="289" t="s">
        <v>944</v>
      </c>
      <c r="AA764" s="289">
        <v>0</v>
      </c>
      <c r="AB764" s="289" t="s">
        <v>2533</v>
      </c>
      <c r="AC764" s="289"/>
      <c r="AD764" s="289" t="s">
        <v>1446</v>
      </c>
      <c r="AE764" s="289" t="s">
        <v>410</v>
      </c>
      <c r="AF764" s="290" t="s">
        <v>1447</v>
      </c>
      <c r="AG764" s="295">
        <v>42735</v>
      </c>
      <c r="AH764" s="290" t="s">
        <v>1448</v>
      </c>
      <c r="AI764" s="289">
        <v>0</v>
      </c>
      <c r="AJ764" s="289">
        <v>19270.66</v>
      </c>
    </row>
    <row r="765" spans="2:36">
      <c r="B765" s="290">
        <v>2111</v>
      </c>
      <c r="C765" s="294">
        <v>173175</v>
      </c>
      <c r="D765" s="290">
        <v>31408</v>
      </c>
      <c r="E765" s="289" t="s">
        <v>2534</v>
      </c>
      <c r="F765" s="290">
        <v>0</v>
      </c>
      <c r="G765" s="289"/>
      <c r="H765" s="289" t="s">
        <v>2479</v>
      </c>
      <c r="I765" s="289"/>
      <c r="J765" s="289">
        <v>2005</v>
      </c>
      <c r="K765" s="289"/>
      <c r="L765" s="289"/>
      <c r="M765" s="289" t="s">
        <v>1467</v>
      </c>
      <c r="N765" s="293">
        <v>38385</v>
      </c>
      <c r="O765" s="293">
        <v>38385</v>
      </c>
      <c r="P765" s="289">
        <v>52131001</v>
      </c>
      <c r="Q765" s="290">
        <v>1000</v>
      </c>
      <c r="R765" s="290">
        <v>14040</v>
      </c>
      <c r="S765" s="291">
        <v>97960.58</v>
      </c>
      <c r="T765" s="290">
        <v>14046</v>
      </c>
      <c r="U765" s="291">
        <v>97960.58</v>
      </c>
      <c r="V765" s="291">
        <f t="shared" si="11"/>
        <v>0</v>
      </c>
      <c r="W765" s="292">
        <v>0</v>
      </c>
      <c r="X765" s="290">
        <v>51260</v>
      </c>
      <c r="Y765" s="291">
        <v>0</v>
      </c>
      <c r="Z765" s="289" t="s">
        <v>944</v>
      </c>
      <c r="AA765" s="289">
        <v>0</v>
      </c>
      <c r="AB765" s="289">
        <v>458211</v>
      </c>
      <c r="AC765" s="289">
        <v>801</v>
      </c>
      <c r="AD765" s="289" t="s">
        <v>1446</v>
      </c>
      <c r="AE765" s="289" t="s">
        <v>410</v>
      </c>
      <c r="AF765" s="290" t="s">
        <v>1447</v>
      </c>
      <c r="AG765" s="295">
        <v>42735</v>
      </c>
      <c r="AH765" s="290" t="s">
        <v>1448</v>
      </c>
      <c r="AI765" s="289">
        <v>0</v>
      </c>
      <c r="AJ765" s="289">
        <v>97960.58</v>
      </c>
    </row>
    <row r="766" spans="2:36">
      <c r="B766" s="290">
        <v>2111</v>
      </c>
      <c r="C766" s="294">
        <v>173174</v>
      </c>
      <c r="D766" s="290">
        <v>31409</v>
      </c>
      <c r="E766" s="289" t="s">
        <v>2534</v>
      </c>
      <c r="F766" s="290">
        <v>0</v>
      </c>
      <c r="G766" s="289"/>
      <c r="H766" s="289" t="s">
        <v>2476</v>
      </c>
      <c r="I766" s="289"/>
      <c r="J766" s="289">
        <v>2005</v>
      </c>
      <c r="K766" s="289"/>
      <c r="L766" s="289"/>
      <c r="M766" s="289" t="s">
        <v>1467</v>
      </c>
      <c r="N766" s="293">
        <v>38385</v>
      </c>
      <c r="O766" s="293">
        <v>38385</v>
      </c>
      <c r="P766" s="289">
        <v>52131001</v>
      </c>
      <c r="Q766" s="290">
        <v>1000</v>
      </c>
      <c r="R766" s="290">
        <v>14040</v>
      </c>
      <c r="S766" s="291">
        <v>97960.57</v>
      </c>
      <c r="T766" s="290">
        <v>14046</v>
      </c>
      <c r="U766" s="291">
        <v>97960.57</v>
      </c>
      <c r="V766" s="291">
        <f t="shared" si="11"/>
        <v>0</v>
      </c>
      <c r="W766" s="292">
        <v>0</v>
      </c>
      <c r="X766" s="290">
        <v>51260</v>
      </c>
      <c r="Y766" s="291">
        <v>0</v>
      </c>
      <c r="Z766" s="289" t="s">
        <v>944</v>
      </c>
      <c r="AA766" s="289">
        <v>0</v>
      </c>
      <c r="AB766" s="289">
        <v>458211</v>
      </c>
      <c r="AC766" s="289"/>
      <c r="AD766" s="289" t="s">
        <v>1446</v>
      </c>
      <c r="AE766" s="289" t="s">
        <v>410</v>
      </c>
      <c r="AF766" s="290" t="s">
        <v>1447</v>
      </c>
      <c r="AG766" s="295">
        <v>42735</v>
      </c>
      <c r="AH766" s="290" t="s">
        <v>1448</v>
      </c>
      <c r="AI766" s="289">
        <v>0</v>
      </c>
      <c r="AJ766" s="289">
        <v>97960.57</v>
      </c>
    </row>
    <row r="767" spans="2:36">
      <c r="B767" s="290">
        <v>2111</v>
      </c>
      <c r="C767" s="294">
        <v>173171</v>
      </c>
      <c r="D767" s="290" t="s">
        <v>944</v>
      </c>
      <c r="E767" s="289" t="s">
        <v>2535</v>
      </c>
      <c r="F767" s="290">
        <v>1164</v>
      </c>
      <c r="G767" s="289"/>
      <c r="H767" s="289" t="s">
        <v>2536</v>
      </c>
      <c r="I767" s="289"/>
      <c r="J767" s="289">
        <v>2004</v>
      </c>
      <c r="K767" s="289" t="s">
        <v>2537</v>
      </c>
      <c r="L767" s="289" t="s">
        <v>2214</v>
      </c>
      <c r="M767" s="289"/>
      <c r="N767" s="293">
        <v>38047</v>
      </c>
      <c r="O767" s="293">
        <v>38047</v>
      </c>
      <c r="P767" s="289">
        <v>42131002</v>
      </c>
      <c r="Q767" s="290">
        <v>700</v>
      </c>
      <c r="R767" s="290">
        <v>14050</v>
      </c>
      <c r="S767" s="291">
        <v>50024.06</v>
      </c>
      <c r="T767" s="290">
        <v>14056</v>
      </c>
      <c r="U767" s="291">
        <v>50024.06</v>
      </c>
      <c r="V767" s="291">
        <f t="shared" si="11"/>
        <v>0</v>
      </c>
      <c r="W767" s="292">
        <v>0</v>
      </c>
      <c r="X767" s="290">
        <v>54260</v>
      </c>
      <c r="Y767" s="291">
        <v>0</v>
      </c>
      <c r="Z767" s="289" t="s">
        <v>410</v>
      </c>
      <c r="AA767" s="289">
        <v>0</v>
      </c>
      <c r="AB767" s="289" t="s">
        <v>2538</v>
      </c>
      <c r="AC767" s="289"/>
      <c r="AD767" s="289" t="s">
        <v>1446</v>
      </c>
      <c r="AE767" s="289" t="s">
        <v>410</v>
      </c>
      <c r="AF767" s="290" t="s">
        <v>1447</v>
      </c>
      <c r="AG767" s="295">
        <v>42735</v>
      </c>
      <c r="AH767" s="290" t="s">
        <v>1448</v>
      </c>
      <c r="AI767" s="289">
        <v>0</v>
      </c>
      <c r="AJ767" s="289">
        <v>50024.06</v>
      </c>
    </row>
    <row r="768" spans="2:36">
      <c r="B768" s="290">
        <v>2111</v>
      </c>
      <c r="C768" s="294">
        <v>173170</v>
      </c>
      <c r="D768" s="290" t="s">
        <v>944</v>
      </c>
      <c r="E768" s="289" t="s">
        <v>708</v>
      </c>
      <c r="F768" s="290">
        <v>6</v>
      </c>
      <c r="G768" s="289"/>
      <c r="H768" s="289"/>
      <c r="I768" s="289"/>
      <c r="J768" s="289">
        <v>0</v>
      </c>
      <c r="K768" s="289" t="s">
        <v>2539</v>
      </c>
      <c r="L768" s="289"/>
      <c r="M768" s="289" t="s">
        <v>1918</v>
      </c>
      <c r="N768" s="293">
        <v>37986</v>
      </c>
      <c r="O768" s="293">
        <v>37986</v>
      </c>
      <c r="P768" s="289" t="s">
        <v>2540</v>
      </c>
      <c r="Q768" s="290">
        <v>1200</v>
      </c>
      <c r="R768" s="290">
        <v>14050</v>
      </c>
      <c r="S768" s="291">
        <v>1955.14</v>
      </c>
      <c r="T768" s="290">
        <v>14056</v>
      </c>
      <c r="U768" s="291">
        <v>1955.14</v>
      </c>
      <c r="V768" s="291">
        <f t="shared" si="11"/>
        <v>0</v>
      </c>
      <c r="W768" s="292">
        <v>0</v>
      </c>
      <c r="X768" s="290">
        <v>54260</v>
      </c>
      <c r="Y768" s="291">
        <v>0</v>
      </c>
      <c r="Z768" s="289" t="s">
        <v>944</v>
      </c>
      <c r="AA768" s="289"/>
      <c r="AB768" s="289">
        <v>1899</v>
      </c>
      <c r="AC768" s="289"/>
      <c r="AD768" s="289" t="s">
        <v>1446</v>
      </c>
      <c r="AE768" s="289" t="s">
        <v>410</v>
      </c>
      <c r="AF768" s="290" t="s">
        <v>1447</v>
      </c>
      <c r="AG768" s="295">
        <v>42735</v>
      </c>
      <c r="AH768" s="290" t="s">
        <v>1448</v>
      </c>
      <c r="AI768" s="289">
        <v>2</v>
      </c>
      <c r="AJ768" s="289">
        <v>1955.14</v>
      </c>
    </row>
    <row r="769" spans="2:36">
      <c r="B769" s="290">
        <v>2111</v>
      </c>
      <c r="C769" s="294">
        <v>173167</v>
      </c>
      <c r="D769" s="290" t="s">
        <v>944</v>
      </c>
      <c r="E769" s="289" t="s">
        <v>676</v>
      </c>
      <c r="F769" s="290">
        <v>5</v>
      </c>
      <c r="G769" s="289"/>
      <c r="H769" s="289"/>
      <c r="I769" s="289"/>
      <c r="J769" s="289">
        <v>0</v>
      </c>
      <c r="K769" s="289" t="s">
        <v>2539</v>
      </c>
      <c r="L769" s="289"/>
      <c r="M769" s="289" t="s">
        <v>1664</v>
      </c>
      <c r="N769" s="293">
        <v>37833</v>
      </c>
      <c r="O769" s="293">
        <v>37833</v>
      </c>
      <c r="P769" s="289" t="s">
        <v>2541</v>
      </c>
      <c r="Q769" s="290">
        <v>1200</v>
      </c>
      <c r="R769" s="290">
        <v>14050</v>
      </c>
      <c r="S769" s="291">
        <v>2357.6</v>
      </c>
      <c r="T769" s="290">
        <v>14056</v>
      </c>
      <c r="U769" s="291">
        <v>2357.6</v>
      </c>
      <c r="V769" s="291">
        <f t="shared" si="11"/>
        <v>0</v>
      </c>
      <c r="W769" s="292">
        <v>0</v>
      </c>
      <c r="X769" s="290">
        <v>54260</v>
      </c>
      <c r="Y769" s="291">
        <v>0</v>
      </c>
      <c r="Z769" s="289" t="s">
        <v>944</v>
      </c>
      <c r="AA769" s="289"/>
      <c r="AB769" s="289">
        <v>1739</v>
      </c>
      <c r="AC769" s="289"/>
      <c r="AD769" s="289" t="s">
        <v>1446</v>
      </c>
      <c r="AE769" s="289" t="s">
        <v>410</v>
      </c>
      <c r="AF769" s="290" t="s">
        <v>1447</v>
      </c>
      <c r="AG769" s="295">
        <v>42735</v>
      </c>
      <c r="AH769" s="290" t="s">
        <v>1448</v>
      </c>
      <c r="AI769" s="289">
        <v>0</v>
      </c>
      <c r="AJ769" s="289">
        <v>2357.6</v>
      </c>
    </row>
    <row r="770" spans="2:36">
      <c r="B770" s="290">
        <v>2111</v>
      </c>
      <c r="C770" s="294">
        <v>173166</v>
      </c>
      <c r="D770" s="290" t="s">
        <v>2542</v>
      </c>
      <c r="E770" s="289" t="s">
        <v>1277</v>
      </c>
      <c r="F770" s="290">
        <v>0</v>
      </c>
      <c r="G770" s="289"/>
      <c r="H770" s="289" t="s">
        <v>2543</v>
      </c>
      <c r="I770" s="289"/>
      <c r="J770" s="289">
        <v>2003</v>
      </c>
      <c r="K770" s="289" t="s">
        <v>2378</v>
      </c>
      <c r="L770" s="289" t="s">
        <v>1522</v>
      </c>
      <c r="M770" s="289" t="s">
        <v>1746</v>
      </c>
      <c r="N770" s="293">
        <v>37712</v>
      </c>
      <c r="O770" s="293">
        <v>37652</v>
      </c>
      <c r="P770" s="289" t="s">
        <v>2544</v>
      </c>
      <c r="Q770" s="290">
        <v>1000</v>
      </c>
      <c r="R770" s="290">
        <v>14040</v>
      </c>
      <c r="S770" s="291">
        <v>123452.02</v>
      </c>
      <c r="T770" s="290">
        <v>14046</v>
      </c>
      <c r="U770" s="291">
        <v>123452.02</v>
      </c>
      <c r="V770" s="291">
        <f t="shared" si="11"/>
        <v>0</v>
      </c>
      <c r="W770" s="292">
        <v>0</v>
      </c>
      <c r="X770" s="290">
        <v>51260</v>
      </c>
      <c r="Y770" s="291">
        <v>0</v>
      </c>
      <c r="Z770" s="289" t="s">
        <v>944</v>
      </c>
      <c r="AA770" s="289"/>
      <c r="AB770" s="289">
        <v>342481</v>
      </c>
      <c r="AC770" s="289">
        <v>609</v>
      </c>
      <c r="AD770" s="289" t="s">
        <v>1446</v>
      </c>
      <c r="AE770" s="289" t="s">
        <v>410</v>
      </c>
      <c r="AF770" s="290" t="s">
        <v>1447</v>
      </c>
      <c r="AG770" s="295">
        <v>42735</v>
      </c>
      <c r="AH770" s="290" t="s">
        <v>1448</v>
      </c>
      <c r="AI770" s="289">
        <v>0</v>
      </c>
      <c r="AJ770" s="289">
        <v>123452.02</v>
      </c>
    </row>
    <row r="771" spans="2:36">
      <c r="B771" s="290">
        <v>2111</v>
      </c>
      <c r="C771" s="294">
        <v>173165</v>
      </c>
      <c r="D771" s="290" t="s">
        <v>944</v>
      </c>
      <c r="E771" s="289" t="s">
        <v>2535</v>
      </c>
      <c r="F771" s="290">
        <v>384</v>
      </c>
      <c r="G771" s="289"/>
      <c r="H771" s="289" t="s">
        <v>2545</v>
      </c>
      <c r="I771" s="289"/>
      <c r="J771" s="289">
        <v>0</v>
      </c>
      <c r="K771" s="289" t="s">
        <v>2546</v>
      </c>
      <c r="L771" s="289"/>
      <c r="M771" s="289"/>
      <c r="N771" s="293">
        <v>37711</v>
      </c>
      <c r="O771" s="293">
        <v>37711</v>
      </c>
      <c r="P771" s="289" t="s">
        <v>2547</v>
      </c>
      <c r="Q771" s="290">
        <v>700</v>
      </c>
      <c r="R771" s="290">
        <v>14050</v>
      </c>
      <c r="S771" s="291">
        <v>16711.68</v>
      </c>
      <c r="T771" s="290">
        <v>14056</v>
      </c>
      <c r="U771" s="291">
        <v>16711.68</v>
      </c>
      <c r="V771" s="291">
        <f t="shared" si="11"/>
        <v>0</v>
      </c>
      <c r="W771" s="292">
        <v>0</v>
      </c>
      <c r="X771" s="290">
        <v>54260</v>
      </c>
      <c r="Y771" s="291">
        <v>0</v>
      </c>
      <c r="Z771" s="289" t="s">
        <v>944</v>
      </c>
      <c r="AA771" s="289"/>
      <c r="AB771" s="289" t="s">
        <v>2548</v>
      </c>
      <c r="AC771" s="289"/>
      <c r="AD771" s="289" t="s">
        <v>1446</v>
      </c>
      <c r="AE771" s="289" t="s">
        <v>410</v>
      </c>
      <c r="AF771" s="290" t="s">
        <v>1447</v>
      </c>
      <c r="AG771" s="295">
        <v>42735</v>
      </c>
      <c r="AH771" s="290" t="s">
        <v>1448</v>
      </c>
      <c r="AI771" s="289">
        <v>0</v>
      </c>
      <c r="AJ771" s="289">
        <v>16711.68</v>
      </c>
    </row>
    <row r="772" spans="2:36">
      <c r="B772" s="290">
        <v>2111</v>
      </c>
      <c r="C772" s="294">
        <v>173164</v>
      </c>
      <c r="D772" s="290"/>
      <c r="E772" s="289" t="s">
        <v>2549</v>
      </c>
      <c r="F772" s="290">
        <v>0</v>
      </c>
      <c r="G772" s="289"/>
      <c r="H772" s="289"/>
      <c r="I772" s="289"/>
      <c r="J772" s="289">
        <v>0</v>
      </c>
      <c r="K772" s="289" t="s">
        <v>2550</v>
      </c>
      <c r="L772" s="289"/>
      <c r="M772" s="289"/>
      <c r="N772" s="293">
        <v>37453</v>
      </c>
      <c r="O772" s="293">
        <v>37453</v>
      </c>
      <c r="P772" s="289" t="s">
        <v>2551</v>
      </c>
      <c r="Q772" s="290">
        <v>300</v>
      </c>
      <c r="R772" s="290">
        <v>14110</v>
      </c>
      <c r="S772" s="291">
        <v>505.73</v>
      </c>
      <c r="T772" s="290">
        <v>14116</v>
      </c>
      <c r="U772" s="291">
        <v>505.73</v>
      </c>
      <c r="V772" s="291">
        <f t="shared" si="11"/>
        <v>0</v>
      </c>
      <c r="W772" s="292">
        <v>0</v>
      </c>
      <c r="X772" s="290">
        <v>70260</v>
      </c>
      <c r="Y772" s="291">
        <v>0</v>
      </c>
      <c r="Z772" s="289" t="s">
        <v>944</v>
      </c>
      <c r="AA772" s="289"/>
      <c r="AB772" s="289">
        <v>299515</v>
      </c>
      <c r="AC772" s="289"/>
      <c r="AD772" s="289" t="s">
        <v>1446</v>
      </c>
      <c r="AE772" s="289" t="s">
        <v>410</v>
      </c>
      <c r="AF772" s="290" t="s">
        <v>1447</v>
      </c>
      <c r="AG772" s="295">
        <v>42735</v>
      </c>
      <c r="AH772" s="290" t="s">
        <v>1448</v>
      </c>
      <c r="AI772" s="289">
        <v>0</v>
      </c>
      <c r="AJ772" s="289">
        <v>505.73</v>
      </c>
    </row>
    <row r="773" spans="2:36">
      <c r="B773" s="290">
        <v>2111</v>
      </c>
      <c r="C773" s="294">
        <v>173162</v>
      </c>
      <c r="D773" s="290"/>
      <c r="E773" s="289" t="s">
        <v>2552</v>
      </c>
      <c r="F773" s="290">
        <v>0</v>
      </c>
      <c r="G773" s="289"/>
      <c r="H773" s="289" t="s">
        <v>2553</v>
      </c>
      <c r="I773" s="289"/>
      <c r="J773" s="289">
        <v>0</v>
      </c>
      <c r="K773" s="289" t="s">
        <v>2550</v>
      </c>
      <c r="L773" s="289"/>
      <c r="M773" s="289"/>
      <c r="N773" s="293">
        <v>37487</v>
      </c>
      <c r="O773" s="293">
        <v>37487</v>
      </c>
      <c r="P773" s="289" t="s">
        <v>2554</v>
      </c>
      <c r="Q773" s="290">
        <v>300</v>
      </c>
      <c r="R773" s="290">
        <v>14110</v>
      </c>
      <c r="S773" s="291">
        <v>471.14</v>
      </c>
      <c r="T773" s="290">
        <v>14116</v>
      </c>
      <c r="U773" s="291">
        <v>471.14</v>
      </c>
      <c r="V773" s="291">
        <f t="shared" si="11"/>
        <v>0</v>
      </c>
      <c r="W773" s="292">
        <v>0</v>
      </c>
      <c r="X773" s="290">
        <v>70260</v>
      </c>
      <c r="Y773" s="291">
        <v>0</v>
      </c>
      <c r="Z773" s="289" t="s">
        <v>944</v>
      </c>
      <c r="AA773" s="289"/>
      <c r="AB773" s="289">
        <v>299831</v>
      </c>
      <c r="AC773" s="289"/>
      <c r="AD773" s="289" t="s">
        <v>1446</v>
      </c>
      <c r="AE773" s="289" t="s">
        <v>410</v>
      </c>
      <c r="AF773" s="290" t="s">
        <v>1447</v>
      </c>
      <c r="AG773" s="295">
        <v>42735</v>
      </c>
      <c r="AH773" s="290" t="s">
        <v>1448</v>
      </c>
      <c r="AI773" s="289">
        <v>0</v>
      </c>
      <c r="AJ773" s="289">
        <v>471.14</v>
      </c>
    </row>
    <row r="774" spans="2:36">
      <c r="B774" s="290">
        <v>2111</v>
      </c>
      <c r="C774" s="294">
        <v>173161</v>
      </c>
      <c r="D774" s="290" t="s">
        <v>944</v>
      </c>
      <c r="E774" s="289" t="s">
        <v>2555</v>
      </c>
      <c r="F774" s="290">
        <v>5</v>
      </c>
      <c r="G774" s="289"/>
      <c r="H774" s="289"/>
      <c r="I774" s="289"/>
      <c r="J774" s="289">
        <v>0</v>
      </c>
      <c r="K774" s="289" t="s">
        <v>2125</v>
      </c>
      <c r="L774" s="289"/>
      <c r="M774" s="289" t="s">
        <v>1659</v>
      </c>
      <c r="N774" s="293">
        <v>37434</v>
      </c>
      <c r="O774" s="293">
        <v>37434</v>
      </c>
      <c r="P774" s="289" t="s">
        <v>2556</v>
      </c>
      <c r="Q774" s="290">
        <v>1200</v>
      </c>
      <c r="R774" s="290">
        <v>14050</v>
      </c>
      <c r="S774" s="291">
        <v>1808.8</v>
      </c>
      <c r="T774" s="290">
        <v>14056</v>
      </c>
      <c r="U774" s="291">
        <v>1808.8</v>
      </c>
      <c r="V774" s="291">
        <f t="shared" si="11"/>
        <v>0</v>
      </c>
      <c r="W774" s="292">
        <v>0</v>
      </c>
      <c r="X774" s="290">
        <v>54260</v>
      </c>
      <c r="Y774" s="291">
        <v>0</v>
      </c>
      <c r="Z774" s="289" t="s">
        <v>944</v>
      </c>
      <c r="AA774" s="289"/>
      <c r="AB774" s="289">
        <v>131306</v>
      </c>
      <c r="AC774" s="289"/>
      <c r="AD774" s="289" t="s">
        <v>1446</v>
      </c>
      <c r="AE774" s="289" t="s">
        <v>410</v>
      </c>
      <c r="AF774" s="290" t="s">
        <v>1447</v>
      </c>
      <c r="AG774" s="295">
        <v>42735</v>
      </c>
      <c r="AH774" s="290" t="s">
        <v>1448</v>
      </c>
      <c r="AI774" s="289">
        <v>0</v>
      </c>
      <c r="AJ774" s="289">
        <v>1808.8</v>
      </c>
    </row>
    <row r="775" spans="2:36">
      <c r="B775" s="290">
        <v>2111</v>
      </c>
      <c r="C775" s="294">
        <v>173160</v>
      </c>
      <c r="D775" s="290" t="s">
        <v>944</v>
      </c>
      <c r="E775" s="289" t="s">
        <v>2557</v>
      </c>
      <c r="F775" s="290">
        <v>4</v>
      </c>
      <c r="G775" s="289"/>
      <c r="H775" s="289"/>
      <c r="I775" s="289"/>
      <c r="J775" s="289">
        <v>0</v>
      </c>
      <c r="K775" s="289" t="s">
        <v>2125</v>
      </c>
      <c r="L775" s="289"/>
      <c r="M775" s="289" t="s">
        <v>1918</v>
      </c>
      <c r="N775" s="293">
        <v>37434</v>
      </c>
      <c r="O775" s="293">
        <v>37434</v>
      </c>
      <c r="P775" s="289" t="s">
        <v>2558</v>
      </c>
      <c r="Q775" s="290">
        <v>1200</v>
      </c>
      <c r="R775" s="290">
        <v>14050</v>
      </c>
      <c r="S775" s="291">
        <v>1229.44</v>
      </c>
      <c r="T775" s="290">
        <v>14056</v>
      </c>
      <c r="U775" s="291">
        <v>1229.44</v>
      </c>
      <c r="V775" s="291">
        <f t="shared" si="11"/>
        <v>0</v>
      </c>
      <c r="W775" s="292">
        <v>0</v>
      </c>
      <c r="X775" s="290">
        <v>54260</v>
      </c>
      <c r="Y775" s="291">
        <v>0</v>
      </c>
      <c r="Z775" s="289" t="s">
        <v>944</v>
      </c>
      <c r="AA775" s="289"/>
      <c r="AB775" s="289">
        <v>131305</v>
      </c>
      <c r="AC775" s="289"/>
      <c r="AD775" s="289" t="s">
        <v>1446</v>
      </c>
      <c r="AE775" s="289" t="s">
        <v>410</v>
      </c>
      <c r="AF775" s="290" t="s">
        <v>1447</v>
      </c>
      <c r="AG775" s="295">
        <v>42735</v>
      </c>
      <c r="AH775" s="290" t="s">
        <v>1448</v>
      </c>
      <c r="AI775" s="289">
        <v>0</v>
      </c>
      <c r="AJ775" s="289">
        <v>1229.44</v>
      </c>
    </row>
    <row r="776" spans="2:36">
      <c r="B776" s="290">
        <v>2111</v>
      </c>
      <c r="C776" s="294">
        <v>173159</v>
      </c>
      <c r="D776" s="290" t="s">
        <v>944</v>
      </c>
      <c r="E776" s="289" t="s">
        <v>2557</v>
      </c>
      <c r="F776" s="290">
        <v>6</v>
      </c>
      <c r="G776" s="289"/>
      <c r="H776" s="289"/>
      <c r="I776" s="289"/>
      <c r="J776" s="289">
        <v>0</v>
      </c>
      <c r="K776" s="289" t="s">
        <v>2125</v>
      </c>
      <c r="L776" s="289"/>
      <c r="M776" s="289" t="s">
        <v>1918</v>
      </c>
      <c r="N776" s="293">
        <v>37436</v>
      </c>
      <c r="O776" s="293">
        <v>37436</v>
      </c>
      <c r="P776" s="289" t="s">
        <v>2556</v>
      </c>
      <c r="Q776" s="290">
        <v>1200</v>
      </c>
      <c r="R776" s="290">
        <v>14050</v>
      </c>
      <c r="S776" s="291">
        <v>1844.16</v>
      </c>
      <c r="T776" s="290">
        <v>14056</v>
      </c>
      <c r="U776" s="291">
        <v>1844.16</v>
      </c>
      <c r="V776" s="291">
        <f t="shared" si="11"/>
        <v>0</v>
      </c>
      <c r="W776" s="292">
        <v>0</v>
      </c>
      <c r="X776" s="290">
        <v>54260</v>
      </c>
      <c r="Y776" s="291">
        <v>0</v>
      </c>
      <c r="Z776" s="289" t="s">
        <v>944</v>
      </c>
      <c r="AA776" s="289"/>
      <c r="AB776" s="289">
        <v>131531</v>
      </c>
      <c r="AC776" s="289"/>
      <c r="AD776" s="289" t="s">
        <v>1446</v>
      </c>
      <c r="AE776" s="289" t="s">
        <v>410</v>
      </c>
      <c r="AF776" s="290" t="s">
        <v>1447</v>
      </c>
      <c r="AG776" s="295">
        <v>42735</v>
      </c>
      <c r="AH776" s="290" t="s">
        <v>1448</v>
      </c>
      <c r="AI776" s="289">
        <v>0</v>
      </c>
      <c r="AJ776" s="289">
        <v>1844.16</v>
      </c>
    </row>
    <row r="777" spans="2:36">
      <c r="B777" s="290">
        <v>2111</v>
      </c>
      <c r="C777" s="294">
        <v>173158</v>
      </c>
      <c r="D777" s="290" t="s">
        <v>944</v>
      </c>
      <c r="E777" s="289" t="s">
        <v>854</v>
      </c>
      <c r="F777" s="290">
        <v>432</v>
      </c>
      <c r="G777" s="289"/>
      <c r="H777" s="289" t="s">
        <v>2559</v>
      </c>
      <c r="I777" s="289"/>
      <c r="J777" s="289">
        <v>0</v>
      </c>
      <c r="K777" s="289" t="s">
        <v>2560</v>
      </c>
      <c r="L777" s="289"/>
      <c r="M777" s="289"/>
      <c r="N777" s="293">
        <v>37435</v>
      </c>
      <c r="O777" s="293">
        <v>37435</v>
      </c>
      <c r="P777" s="289" t="s">
        <v>2561</v>
      </c>
      <c r="Q777" s="290">
        <v>700</v>
      </c>
      <c r="R777" s="290">
        <v>14050</v>
      </c>
      <c r="S777" s="291">
        <v>20263.46</v>
      </c>
      <c r="T777" s="290">
        <v>14056</v>
      </c>
      <c r="U777" s="291">
        <v>20263.46</v>
      </c>
      <c r="V777" s="291">
        <f t="shared" si="11"/>
        <v>0</v>
      </c>
      <c r="W777" s="292">
        <v>0</v>
      </c>
      <c r="X777" s="290">
        <v>54260</v>
      </c>
      <c r="Y777" s="291">
        <v>0</v>
      </c>
      <c r="Z777" s="289" t="s">
        <v>944</v>
      </c>
      <c r="AA777" s="289"/>
      <c r="AB777" s="289" t="s">
        <v>2562</v>
      </c>
      <c r="AC777" s="289"/>
      <c r="AD777" s="289" t="s">
        <v>1446</v>
      </c>
      <c r="AE777" s="289" t="s">
        <v>410</v>
      </c>
      <c r="AF777" s="290" t="s">
        <v>1447</v>
      </c>
      <c r="AG777" s="295">
        <v>42735</v>
      </c>
      <c r="AH777" s="290" t="s">
        <v>1448</v>
      </c>
      <c r="AI777" s="289">
        <v>0</v>
      </c>
      <c r="AJ777" s="289">
        <v>20263.46</v>
      </c>
    </row>
    <row r="778" spans="2:36">
      <c r="B778" s="290">
        <v>2111</v>
      </c>
      <c r="C778" s="294">
        <v>173157</v>
      </c>
      <c r="D778" s="290" t="s">
        <v>944</v>
      </c>
      <c r="E778" s="289" t="s">
        <v>2563</v>
      </c>
      <c r="F778" s="290">
        <v>2</v>
      </c>
      <c r="G778" s="289"/>
      <c r="H778" s="289"/>
      <c r="I778" s="289"/>
      <c r="J778" s="289">
        <v>0</v>
      </c>
      <c r="K778" s="289" t="s">
        <v>2125</v>
      </c>
      <c r="L778" s="289"/>
      <c r="M778" s="289" t="s">
        <v>1667</v>
      </c>
      <c r="N778" s="293">
        <v>37434</v>
      </c>
      <c r="O778" s="293">
        <v>37434</v>
      </c>
      <c r="P778" s="289" t="s">
        <v>2556</v>
      </c>
      <c r="Q778" s="290">
        <v>1200</v>
      </c>
      <c r="R778" s="290">
        <v>14050</v>
      </c>
      <c r="S778" s="291">
        <v>6745.6</v>
      </c>
      <c r="T778" s="290">
        <v>14056</v>
      </c>
      <c r="U778" s="291">
        <v>6745.6</v>
      </c>
      <c r="V778" s="291">
        <f t="shared" si="11"/>
        <v>0</v>
      </c>
      <c r="W778" s="292">
        <v>0</v>
      </c>
      <c r="X778" s="290">
        <v>54260</v>
      </c>
      <c r="Y778" s="291">
        <v>0</v>
      </c>
      <c r="Z778" s="289" t="s">
        <v>944</v>
      </c>
      <c r="AA778" s="289"/>
      <c r="AB778" s="289">
        <v>131307</v>
      </c>
      <c r="AC778" s="289"/>
      <c r="AD778" s="289" t="s">
        <v>1446</v>
      </c>
      <c r="AE778" s="289" t="s">
        <v>410</v>
      </c>
      <c r="AF778" s="290" t="s">
        <v>1447</v>
      </c>
      <c r="AG778" s="295">
        <v>42735</v>
      </c>
      <c r="AH778" s="290" t="s">
        <v>1448</v>
      </c>
      <c r="AI778" s="289">
        <v>0</v>
      </c>
      <c r="AJ778" s="289">
        <v>6745.6</v>
      </c>
    </row>
    <row r="779" spans="2:36">
      <c r="B779" s="290">
        <v>2111</v>
      </c>
      <c r="C779" s="294">
        <v>173156</v>
      </c>
      <c r="D779" s="290"/>
      <c r="E779" s="289" t="s">
        <v>2564</v>
      </c>
      <c r="F779" s="290">
        <v>0</v>
      </c>
      <c r="G779" s="289"/>
      <c r="H779" s="289" t="s">
        <v>2565</v>
      </c>
      <c r="I779" s="289"/>
      <c r="J779" s="289">
        <v>0</v>
      </c>
      <c r="K779" s="289" t="s">
        <v>2550</v>
      </c>
      <c r="L779" s="289"/>
      <c r="M779" s="289"/>
      <c r="N779" s="293">
        <v>37449</v>
      </c>
      <c r="O779" s="293">
        <v>37449</v>
      </c>
      <c r="P779" s="289" t="s">
        <v>2551</v>
      </c>
      <c r="Q779" s="290">
        <v>300</v>
      </c>
      <c r="R779" s="290">
        <v>14110</v>
      </c>
      <c r="S779" s="291">
        <v>852.78</v>
      </c>
      <c r="T779" s="290">
        <v>14116</v>
      </c>
      <c r="U779" s="291">
        <v>852.78</v>
      </c>
      <c r="V779" s="291">
        <f t="shared" si="11"/>
        <v>0</v>
      </c>
      <c r="W779" s="292">
        <v>0</v>
      </c>
      <c r="X779" s="290">
        <v>70260</v>
      </c>
      <c r="Y779" s="291">
        <v>0</v>
      </c>
      <c r="Z779" s="289" t="s">
        <v>944</v>
      </c>
      <c r="AA779" s="289"/>
      <c r="AB779" s="289">
        <v>299499</v>
      </c>
      <c r="AC779" s="289"/>
      <c r="AD779" s="289" t="s">
        <v>1446</v>
      </c>
      <c r="AE779" s="289" t="s">
        <v>410</v>
      </c>
      <c r="AF779" s="290" t="s">
        <v>1447</v>
      </c>
      <c r="AG779" s="295">
        <v>42735</v>
      </c>
      <c r="AH779" s="290" t="s">
        <v>1448</v>
      </c>
      <c r="AI779" s="289">
        <v>0</v>
      </c>
      <c r="AJ779" s="289">
        <v>852.78</v>
      </c>
    </row>
    <row r="780" spans="2:36">
      <c r="B780" s="290">
        <v>2111</v>
      </c>
      <c r="C780" s="294">
        <v>173155</v>
      </c>
      <c r="D780" s="290" t="s">
        <v>944</v>
      </c>
      <c r="E780" s="289" t="s">
        <v>2566</v>
      </c>
      <c r="F780" s="290">
        <v>0</v>
      </c>
      <c r="G780" s="289"/>
      <c r="H780" s="289" t="s">
        <v>2567</v>
      </c>
      <c r="I780" s="289"/>
      <c r="J780" s="289">
        <v>2001</v>
      </c>
      <c r="K780" s="289" t="s">
        <v>2568</v>
      </c>
      <c r="L780" s="289" t="s">
        <v>2214</v>
      </c>
      <c r="M780" s="289" t="s">
        <v>1467</v>
      </c>
      <c r="N780" s="293">
        <v>37226</v>
      </c>
      <c r="O780" s="293">
        <v>37226</v>
      </c>
      <c r="P780" s="289" t="s">
        <v>2569</v>
      </c>
      <c r="Q780" s="290">
        <v>300</v>
      </c>
      <c r="R780" s="290">
        <v>14040</v>
      </c>
      <c r="S780" s="291">
        <v>18734.91</v>
      </c>
      <c r="T780" s="290">
        <v>14046</v>
      </c>
      <c r="U780" s="291">
        <v>18734.91</v>
      </c>
      <c r="V780" s="291">
        <f t="shared" si="11"/>
        <v>0</v>
      </c>
      <c r="W780" s="292">
        <v>0</v>
      </c>
      <c r="X780" s="290">
        <v>51260</v>
      </c>
      <c r="Y780" s="291">
        <v>0</v>
      </c>
      <c r="Z780" s="289" t="s">
        <v>12</v>
      </c>
      <c r="AA780" s="289"/>
      <c r="AB780" s="289"/>
      <c r="AC780" s="289"/>
      <c r="AD780" s="289" t="s">
        <v>1446</v>
      </c>
      <c r="AE780" s="289" t="s">
        <v>410</v>
      </c>
      <c r="AF780" s="290" t="s">
        <v>1447</v>
      </c>
      <c r="AG780" s="295">
        <v>42735</v>
      </c>
      <c r="AH780" s="290" t="s">
        <v>1448</v>
      </c>
      <c r="AI780" s="289">
        <v>0</v>
      </c>
      <c r="AJ780" s="289">
        <v>18734.91</v>
      </c>
    </row>
    <row r="781" spans="2:36">
      <c r="B781" s="290">
        <v>2111</v>
      </c>
      <c r="C781" s="294">
        <v>173154</v>
      </c>
      <c r="D781" s="290" t="s">
        <v>944</v>
      </c>
      <c r="E781" s="289" t="s">
        <v>2570</v>
      </c>
      <c r="F781" s="290">
        <v>4</v>
      </c>
      <c r="G781" s="289"/>
      <c r="H781" s="289"/>
      <c r="I781" s="289"/>
      <c r="J781" s="289">
        <v>0</v>
      </c>
      <c r="K781" s="289" t="s">
        <v>2125</v>
      </c>
      <c r="L781" s="289"/>
      <c r="M781" s="289" t="s">
        <v>1664</v>
      </c>
      <c r="N781" s="293">
        <v>37133</v>
      </c>
      <c r="O781" s="293">
        <v>37133</v>
      </c>
      <c r="P781" s="289" t="s">
        <v>2571</v>
      </c>
      <c r="Q781" s="290">
        <v>1200</v>
      </c>
      <c r="R781" s="290">
        <v>14050</v>
      </c>
      <c r="S781" s="291">
        <v>1996.4</v>
      </c>
      <c r="T781" s="290">
        <v>14056</v>
      </c>
      <c r="U781" s="291">
        <v>1996.4</v>
      </c>
      <c r="V781" s="291">
        <f t="shared" si="11"/>
        <v>0</v>
      </c>
      <c r="W781" s="292">
        <v>0</v>
      </c>
      <c r="X781" s="290">
        <v>54260</v>
      </c>
      <c r="Y781" s="291">
        <v>0</v>
      </c>
      <c r="Z781" s="289" t="s">
        <v>944</v>
      </c>
      <c r="AA781" s="289"/>
      <c r="AB781" s="289">
        <v>124741</v>
      </c>
      <c r="AC781" s="289"/>
      <c r="AD781" s="289" t="s">
        <v>1446</v>
      </c>
      <c r="AE781" s="289" t="s">
        <v>410</v>
      </c>
      <c r="AF781" s="290" t="s">
        <v>1447</v>
      </c>
      <c r="AG781" s="295">
        <v>42735</v>
      </c>
      <c r="AH781" s="290" t="s">
        <v>1448</v>
      </c>
      <c r="AI781" s="289">
        <v>0</v>
      </c>
      <c r="AJ781" s="289">
        <v>1996.4</v>
      </c>
    </row>
    <row r="782" spans="2:36">
      <c r="B782" s="290">
        <v>2111</v>
      </c>
      <c r="C782" s="294">
        <v>173153</v>
      </c>
      <c r="D782" s="290" t="s">
        <v>944</v>
      </c>
      <c r="E782" s="289" t="s">
        <v>2572</v>
      </c>
      <c r="F782" s="290">
        <v>7</v>
      </c>
      <c r="G782" s="289"/>
      <c r="H782" s="289"/>
      <c r="I782" s="289"/>
      <c r="J782" s="289">
        <v>0</v>
      </c>
      <c r="K782" s="289" t="s">
        <v>2125</v>
      </c>
      <c r="L782" s="289"/>
      <c r="M782" s="289" t="s">
        <v>1665</v>
      </c>
      <c r="N782" s="293">
        <v>37155</v>
      </c>
      <c r="O782" s="293">
        <v>37155</v>
      </c>
      <c r="P782" s="289" t="s">
        <v>2573</v>
      </c>
      <c r="Q782" s="290">
        <v>1200</v>
      </c>
      <c r="R782" s="290">
        <v>14050</v>
      </c>
      <c r="S782" s="291">
        <v>2430.4</v>
      </c>
      <c r="T782" s="290">
        <v>14056</v>
      </c>
      <c r="U782" s="291">
        <v>2430.4</v>
      </c>
      <c r="V782" s="291">
        <f t="shared" ref="V782:V845" si="12">S782-U782</f>
        <v>0</v>
      </c>
      <c r="W782" s="292">
        <v>0</v>
      </c>
      <c r="X782" s="290">
        <v>54260</v>
      </c>
      <c r="Y782" s="291">
        <v>0</v>
      </c>
      <c r="Z782" s="289" t="s">
        <v>944</v>
      </c>
      <c r="AA782" s="289"/>
      <c r="AB782" s="289">
        <v>125061</v>
      </c>
      <c r="AC782" s="289"/>
      <c r="AD782" s="289" t="s">
        <v>1446</v>
      </c>
      <c r="AE782" s="289" t="s">
        <v>410</v>
      </c>
      <c r="AF782" s="290" t="s">
        <v>1447</v>
      </c>
      <c r="AG782" s="295">
        <v>42735</v>
      </c>
      <c r="AH782" s="290" t="s">
        <v>1448</v>
      </c>
      <c r="AI782" s="289">
        <v>0</v>
      </c>
      <c r="AJ782" s="289">
        <v>2430.4</v>
      </c>
    </row>
    <row r="783" spans="2:36">
      <c r="B783" s="290">
        <v>2111</v>
      </c>
      <c r="C783" s="294">
        <v>173152</v>
      </c>
      <c r="D783" s="290" t="s">
        <v>944</v>
      </c>
      <c r="E783" s="289" t="s">
        <v>2574</v>
      </c>
      <c r="F783" s="290">
        <v>7</v>
      </c>
      <c r="G783" s="289"/>
      <c r="H783" s="289"/>
      <c r="I783" s="289"/>
      <c r="J783" s="289">
        <v>0</v>
      </c>
      <c r="K783" s="289" t="s">
        <v>2125</v>
      </c>
      <c r="L783" s="289"/>
      <c r="M783" s="289" t="s">
        <v>1918</v>
      </c>
      <c r="N783" s="293">
        <v>37133</v>
      </c>
      <c r="O783" s="293">
        <v>37133</v>
      </c>
      <c r="P783" s="289" t="s">
        <v>2575</v>
      </c>
      <c r="Q783" s="290">
        <v>1200</v>
      </c>
      <c r="R783" s="290">
        <v>14050</v>
      </c>
      <c r="S783" s="291">
        <v>2248.12</v>
      </c>
      <c r="T783" s="290">
        <v>14056</v>
      </c>
      <c r="U783" s="291">
        <v>2248.12</v>
      </c>
      <c r="V783" s="291">
        <f t="shared" si="12"/>
        <v>0</v>
      </c>
      <c r="W783" s="292">
        <v>0</v>
      </c>
      <c r="X783" s="290">
        <v>54260</v>
      </c>
      <c r="Y783" s="291">
        <v>0</v>
      </c>
      <c r="Z783" s="289" t="s">
        <v>944</v>
      </c>
      <c r="AA783" s="289"/>
      <c r="AB783" s="289">
        <v>124790</v>
      </c>
      <c r="AC783" s="289"/>
      <c r="AD783" s="289" t="s">
        <v>1446</v>
      </c>
      <c r="AE783" s="289" t="s">
        <v>410</v>
      </c>
      <c r="AF783" s="290" t="s">
        <v>1447</v>
      </c>
      <c r="AG783" s="295">
        <v>42735</v>
      </c>
      <c r="AH783" s="290" t="s">
        <v>1448</v>
      </c>
      <c r="AI783" s="289">
        <v>0</v>
      </c>
      <c r="AJ783" s="289">
        <v>2248.12</v>
      </c>
    </row>
    <row r="784" spans="2:36">
      <c r="B784" s="290">
        <v>2111</v>
      </c>
      <c r="C784" s="294">
        <v>173151</v>
      </c>
      <c r="D784" s="290" t="s">
        <v>944</v>
      </c>
      <c r="E784" s="289" t="s">
        <v>2576</v>
      </c>
      <c r="F784" s="290">
        <v>0</v>
      </c>
      <c r="G784" s="289"/>
      <c r="H784" s="289" t="s">
        <v>2577</v>
      </c>
      <c r="I784" s="289"/>
      <c r="J784" s="289">
        <v>2001</v>
      </c>
      <c r="K784" s="289" t="s">
        <v>2578</v>
      </c>
      <c r="L784" s="289" t="s">
        <v>2214</v>
      </c>
      <c r="M784" s="289" t="s">
        <v>1467</v>
      </c>
      <c r="N784" s="293">
        <v>37072</v>
      </c>
      <c r="O784" s="293">
        <v>37072</v>
      </c>
      <c r="P784" s="289" t="s">
        <v>2579</v>
      </c>
      <c r="Q784" s="290">
        <v>300</v>
      </c>
      <c r="R784" s="290">
        <v>14040</v>
      </c>
      <c r="S784" s="291">
        <v>12090</v>
      </c>
      <c r="T784" s="290">
        <v>14046</v>
      </c>
      <c r="U784" s="291">
        <v>12090</v>
      </c>
      <c r="V784" s="291">
        <f t="shared" si="12"/>
        <v>0</v>
      </c>
      <c r="W784" s="292">
        <v>0</v>
      </c>
      <c r="X784" s="290">
        <v>51260</v>
      </c>
      <c r="Y784" s="291">
        <v>0</v>
      </c>
      <c r="Z784" s="289" t="s">
        <v>12</v>
      </c>
      <c r="AA784" s="289"/>
      <c r="AB784" s="289"/>
      <c r="AC784" s="289"/>
      <c r="AD784" s="289" t="s">
        <v>1446</v>
      </c>
      <c r="AE784" s="289" t="s">
        <v>410</v>
      </c>
      <c r="AF784" s="290" t="s">
        <v>1447</v>
      </c>
      <c r="AG784" s="295">
        <v>42735</v>
      </c>
      <c r="AH784" s="290" t="s">
        <v>1448</v>
      </c>
      <c r="AI784" s="289">
        <v>0</v>
      </c>
      <c r="AJ784" s="289">
        <v>12090</v>
      </c>
    </row>
    <row r="785" spans="2:36">
      <c r="B785" s="290">
        <v>2111</v>
      </c>
      <c r="C785" s="294">
        <v>173150</v>
      </c>
      <c r="D785" s="290" t="s">
        <v>944</v>
      </c>
      <c r="E785" s="289" t="s">
        <v>2580</v>
      </c>
      <c r="F785" s="290">
        <v>432</v>
      </c>
      <c r="G785" s="289"/>
      <c r="H785" s="289" t="s">
        <v>2581</v>
      </c>
      <c r="I785" s="289"/>
      <c r="J785" s="289">
        <v>0</v>
      </c>
      <c r="K785" s="289" t="s">
        <v>2582</v>
      </c>
      <c r="L785" s="289"/>
      <c r="M785" s="289"/>
      <c r="N785" s="293">
        <v>37007</v>
      </c>
      <c r="O785" s="293">
        <v>37007</v>
      </c>
      <c r="P785" s="289" t="s">
        <v>2583</v>
      </c>
      <c r="Q785" s="290">
        <v>700</v>
      </c>
      <c r="R785" s="290">
        <v>14050</v>
      </c>
      <c r="S785" s="291">
        <v>18514.439999999999</v>
      </c>
      <c r="T785" s="290">
        <v>14056</v>
      </c>
      <c r="U785" s="291">
        <v>18514.439999999999</v>
      </c>
      <c r="V785" s="291">
        <f t="shared" si="12"/>
        <v>0</v>
      </c>
      <c r="W785" s="292">
        <v>0</v>
      </c>
      <c r="X785" s="290">
        <v>54260</v>
      </c>
      <c r="Y785" s="291">
        <v>0</v>
      </c>
      <c r="Z785" s="289" t="s">
        <v>944</v>
      </c>
      <c r="AA785" s="289"/>
      <c r="AB785" s="289" t="s">
        <v>2584</v>
      </c>
      <c r="AC785" s="289"/>
      <c r="AD785" s="289" t="s">
        <v>1446</v>
      </c>
      <c r="AE785" s="289" t="s">
        <v>410</v>
      </c>
      <c r="AF785" s="290" t="s">
        <v>1447</v>
      </c>
      <c r="AG785" s="295">
        <v>42735</v>
      </c>
      <c r="AH785" s="290" t="s">
        <v>1448</v>
      </c>
      <c r="AI785" s="289">
        <v>0</v>
      </c>
      <c r="AJ785" s="289">
        <v>18514.439999999999</v>
      </c>
    </row>
    <row r="786" spans="2:36">
      <c r="B786" s="290">
        <v>2111</v>
      </c>
      <c r="C786" s="294">
        <v>173149</v>
      </c>
      <c r="D786" s="290" t="s">
        <v>944</v>
      </c>
      <c r="E786" s="289" t="s">
        <v>2585</v>
      </c>
      <c r="F786" s="290">
        <v>5</v>
      </c>
      <c r="G786" s="289"/>
      <c r="H786" s="289"/>
      <c r="I786" s="289"/>
      <c r="J786" s="289">
        <v>0</v>
      </c>
      <c r="K786" s="289" t="s">
        <v>2586</v>
      </c>
      <c r="L786" s="289"/>
      <c r="M786" s="289" t="s">
        <v>1667</v>
      </c>
      <c r="N786" s="293">
        <v>36986</v>
      </c>
      <c r="O786" s="293">
        <v>36986</v>
      </c>
      <c r="P786" s="289" t="s">
        <v>2587</v>
      </c>
      <c r="Q786" s="290">
        <v>1200</v>
      </c>
      <c r="R786" s="290">
        <v>14050</v>
      </c>
      <c r="S786" s="291">
        <v>19367.25</v>
      </c>
      <c r="T786" s="290">
        <v>14056</v>
      </c>
      <c r="U786" s="291">
        <v>19367.25</v>
      </c>
      <c r="V786" s="291">
        <f t="shared" si="12"/>
        <v>0</v>
      </c>
      <c r="W786" s="292">
        <v>0</v>
      </c>
      <c r="X786" s="290">
        <v>54260</v>
      </c>
      <c r="Y786" s="291">
        <v>0</v>
      </c>
      <c r="Z786" s="289" t="s">
        <v>944</v>
      </c>
      <c r="AA786" s="289"/>
      <c r="AB786" s="289">
        <v>120198</v>
      </c>
      <c r="AC786" s="289"/>
      <c r="AD786" s="289" t="s">
        <v>1446</v>
      </c>
      <c r="AE786" s="289" t="s">
        <v>410</v>
      </c>
      <c r="AF786" s="290" t="s">
        <v>1447</v>
      </c>
      <c r="AG786" s="295">
        <v>42735</v>
      </c>
      <c r="AH786" s="290" t="s">
        <v>1448</v>
      </c>
      <c r="AI786" s="289">
        <v>0</v>
      </c>
      <c r="AJ786" s="289">
        <v>19367.25</v>
      </c>
    </row>
    <row r="787" spans="2:36">
      <c r="B787" s="290">
        <v>2111</v>
      </c>
      <c r="C787" s="294">
        <v>173148</v>
      </c>
      <c r="D787" s="290" t="s">
        <v>944</v>
      </c>
      <c r="E787" s="289" t="s">
        <v>2580</v>
      </c>
      <c r="F787" s="290">
        <v>384</v>
      </c>
      <c r="G787" s="289"/>
      <c r="H787" s="289" t="s">
        <v>2588</v>
      </c>
      <c r="I787" s="289"/>
      <c r="J787" s="289">
        <v>0</v>
      </c>
      <c r="K787" s="289" t="s">
        <v>2589</v>
      </c>
      <c r="L787" s="289"/>
      <c r="M787" s="289"/>
      <c r="N787" s="293">
        <v>36962</v>
      </c>
      <c r="O787" s="293">
        <v>36962</v>
      </c>
      <c r="P787" s="289" t="s">
        <v>2590</v>
      </c>
      <c r="Q787" s="290">
        <v>700</v>
      </c>
      <c r="R787" s="290">
        <v>14050</v>
      </c>
      <c r="S787" s="291">
        <v>16248.96</v>
      </c>
      <c r="T787" s="290">
        <v>14056</v>
      </c>
      <c r="U787" s="291">
        <v>16248.96</v>
      </c>
      <c r="V787" s="291">
        <f t="shared" si="12"/>
        <v>0</v>
      </c>
      <c r="W787" s="292">
        <v>0</v>
      </c>
      <c r="X787" s="290">
        <v>54260</v>
      </c>
      <c r="Y787" s="291">
        <v>0</v>
      </c>
      <c r="Z787" s="289" t="s">
        <v>944</v>
      </c>
      <c r="AA787" s="289"/>
      <c r="AB787" s="289"/>
      <c r="AC787" s="289"/>
      <c r="AD787" s="289" t="s">
        <v>1446</v>
      </c>
      <c r="AE787" s="289" t="s">
        <v>410</v>
      </c>
      <c r="AF787" s="290" t="s">
        <v>1447</v>
      </c>
      <c r="AG787" s="295">
        <v>42735</v>
      </c>
      <c r="AH787" s="290" t="s">
        <v>1448</v>
      </c>
      <c r="AI787" s="289">
        <v>0</v>
      </c>
      <c r="AJ787" s="289">
        <v>16248.96</v>
      </c>
    </row>
    <row r="788" spans="2:36">
      <c r="B788" s="290">
        <v>2111</v>
      </c>
      <c r="C788" s="294">
        <v>173147</v>
      </c>
      <c r="D788" s="290" t="s">
        <v>944</v>
      </c>
      <c r="E788" s="289" t="s">
        <v>693</v>
      </c>
      <c r="F788" s="290">
        <v>15</v>
      </c>
      <c r="G788" s="289"/>
      <c r="H788" s="289" t="s">
        <v>2591</v>
      </c>
      <c r="I788" s="289"/>
      <c r="J788" s="289">
        <v>0</v>
      </c>
      <c r="K788" s="289" t="s">
        <v>2592</v>
      </c>
      <c r="L788" s="289"/>
      <c r="M788" s="289" t="s">
        <v>1918</v>
      </c>
      <c r="N788" s="293">
        <v>36784</v>
      </c>
      <c r="O788" s="293">
        <v>36784</v>
      </c>
      <c r="P788" s="289" t="s">
        <v>2593</v>
      </c>
      <c r="Q788" s="290">
        <v>1200</v>
      </c>
      <c r="R788" s="290">
        <v>14050</v>
      </c>
      <c r="S788" s="291">
        <v>4391.8</v>
      </c>
      <c r="T788" s="290">
        <v>14056</v>
      </c>
      <c r="U788" s="291">
        <v>4391.8</v>
      </c>
      <c r="V788" s="291">
        <f t="shared" si="12"/>
        <v>0</v>
      </c>
      <c r="W788" s="292">
        <v>0</v>
      </c>
      <c r="X788" s="290">
        <v>54260</v>
      </c>
      <c r="Y788" s="291">
        <v>0</v>
      </c>
      <c r="Z788" s="289" t="s">
        <v>944</v>
      </c>
      <c r="AA788" s="289"/>
      <c r="AB788" s="289"/>
      <c r="AC788" s="289"/>
      <c r="AD788" s="289" t="s">
        <v>1446</v>
      </c>
      <c r="AE788" s="289" t="s">
        <v>410</v>
      </c>
      <c r="AF788" s="290" t="s">
        <v>1447</v>
      </c>
      <c r="AG788" s="295">
        <v>42735</v>
      </c>
      <c r="AH788" s="290" t="s">
        <v>1448</v>
      </c>
      <c r="AI788" s="289">
        <v>0</v>
      </c>
      <c r="AJ788" s="289">
        <v>4391.8</v>
      </c>
    </row>
    <row r="789" spans="2:36">
      <c r="B789" s="290">
        <v>2111</v>
      </c>
      <c r="C789" s="294">
        <v>173145</v>
      </c>
      <c r="D789" s="290"/>
      <c r="E789" s="289" t="s">
        <v>2594</v>
      </c>
      <c r="F789" s="290">
        <v>0</v>
      </c>
      <c r="G789" s="289"/>
      <c r="H789" s="289"/>
      <c r="I789" s="289"/>
      <c r="J789" s="289">
        <v>0</v>
      </c>
      <c r="K789" s="289"/>
      <c r="L789" s="289"/>
      <c r="M789" s="289"/>
      <c r="N789" s="293">
        <v>33765</v>
      </c>
      <c r="O789" s="293">
        <v>33765</v>
      </c>
      <c r="P789" s="289"/>
      <c r="Q789" s="290">
        <v>500</v>
      </c>
      <c r="R789" s="290">
        <v>14100</v>
      </c>
      <c r="S789" s="291">
        <v>2285.36</v>
      </c>
      <c r="T789" s="290">
        <v>14106</v>
      </c>
      <c r="U789" s="291">
        <v>2285.36</v>
      </c>
      <c r="V789" s="291">
        <f t="shared" si="12"/>
        <v>0</v>
      </c>
      <c r="W789" s="292">
        <v>0</v>
      </c>
      <c r="X789" s="290">
        <v>70257</v>
      </c>
      <c r="Y789" s="291">
        <v>0</v>
      </c>
      <c r="Z789" s="289" t="s">
        <v>410</v>
      </c>
      <c r="AA789" s="289" t="s">
        <v>2218</v>
      </c>
      <c r="AB789" s="289"/>
      <c r="AC789" s="289"/>
      <c r="AD789" s="289" t="s">
        <v>1446</v>
      </c>
      <c r="AE789" s="289" t="s">
        <v>410</v>
      </c>
      <c r="AF789" s="290" t="s">
        <v>1447</v>
      </c>
      <c r="AG789" s="295">
        <v>42735</v>
      </c>
      <c r="AH789" s="290" t="s">
        <v>1448</v>
      </c>
      <c r="AI789" s="289">
        <v>0</v>
      </c>
      <c r="AJ789" s="289">
        <v>2285.36</v>
      </c>
    </row>
    <row r="790" spans="2:36">
      <c r="B790" s="290">
        <v>2111</v>
      </c>
      <c r="C790" s="294">
        <v>173144</v>
      </c>
      <c r="D790" s="290"/>
      <c r="E790" s="289" t="s">
        <v>2595</v>
      </c>
      <c r="F790" s="290">
        <v>0</v>
      </c>
      <c r="G790" s="289"/>
      <c r="H790" s="289"/>
      <c r="I790" s="289"/>
      <c r="J790" s="289">
        <v>0</v>
      </c>
      <c r="K790" s="289"/>
      <c r="L790" s="289"/>
      <c r="M790" s="289"/>
      <c r="N790" s="293">
        <v>33219</v>
      </c>
      <c r="O790" s="293">
        <v>33219</v>
      </c>
      <c r="P790" s="289"/>
      <c r="Q790" s="290">
        <v>300</v>
      </c>
      <c r="R790" s="290">
        <v>14100</v>
      </c>
      <c r="S790" s="291">
        <v>539</v>
      </c>
      <c r="T790" s="290">
        <v>14106</v>
      </c>
      <c r="U790" s="291">
        <v>539</v>
      </c>
      <c r="V790" s="291">
        <f t="shared" si="12"/>
        <v>0</v>
      </c>
      <c r="W790" s="292">
        <v>0</v>
      </c>
      <c r="X790" s="290">
        <v>70257</v>
      </c>
      <c r="Y790" s="291">
        <v>0</v>
      </c>
      <c r="Z790" s="289" t="s">
        <v>410</v>
      </c>
      <c r="AA790" s="289" t="s">
        <v>2218</v>
      </c>
      <c r="AB790" s="289"/>
      <c r="AC790" s="289"/>
      <c r="AD790" s="289" t="s">
        <v>1446</v>
      </c>
      <c r="AE790" s="289" t="s">
        <v>410</v>
      </c>
      <c r="AF790" s="290" t="s">
        <v>1447</v>
      </c>
      <c r="AG790" s="295">
        <v>42735</v>
      </c>
      <c r="AH790" s="290" t="s">
        <v>1448</v>
      </c>
      <c r="AI790" s="289">
        <v>0</v>
      </c>
      <c r="AJ790" s="289">
        <v>539</v>
      </c>
    </row>
    <row r="791" spans="2:36">
      <c r="B791" s="290">
        <v>2111</v>
      </c>
      <c r="C791" s="294">
        <v>173143</v>
      </c>
      <c r="D791" s="290"/>
      <c r="E791" s="289" t="s">
        <v>2596</v>
      </c>
      <c r="F791" s="290">
        <v>0</v>
      </c>
      <c r="G791" s="289"/>
      <c r="H791" s="289"/>
      <c r="I791" s="289"/>
      <c r="J791" s="289">
        <v>0</v>
      </c>
      <c r="K791" s="289"/>
      <c r="L791" s="289"/>
      <c r="M791" s="289"/>
      <c r="N791" s="293">
        <v>32132</v>
      </c>
      <c r="O791" s="293">
        <v>32132</v>
      </c>
      <c r="P791" s="289"/>
      <c r="Q791" s="290">
        <v>500</v>
      </c>
      <c r="R791" s="290">
        <v>14100</v>
      </c>
      <c r="S791" s="291">
        <v>1940.4</v>
      </c>
      <c r="T791" s="290">
        <v>14106</v>
      </c>
      <c r="U791" s="291">
        <v>1940.4</v>
      </c>
      <c r="V791" s="291">
        <f t="shared" si="12"/>
        <v>0</v>
      </c>
      <c r="W791" s="292">
        <v>0</v>
      </c>
      <c r="X791" s="290">
        <v>70257</v>
      </c>
      <c r="Y791" s="291">
        <v>0</v>
      </c>
      <c r="Z791" s="289" t="s">
        <v>410</v>
      </c>
      <c r="AA791" s="289" t="s">
        <v>2218</v>
      </c>
      <c r="AB791" s="289"/>
      <c r="AC791" s="289"/>
      <c r="AD791" s="289" t="s">
        <v>1446</v>
      </c>
      <c r="AE791" s="289" t="s">
        <v>410</v>
      </c>
      <c r="AF791" s="290" t="s">
        <v>1447</v>
      </c>
      <c r="AG791" s="295">
        <v>42735</v>
      </c>
      <c r="AH791" s="290" t="s">
        <v>1448</v>
      </c>
      <c r="AI791" s="289">
        <v>0</v>
      </c>
      <c r="AJ791" s="289">
        <v>1940.4</v>
      </c>
    </row>
    <row r="792" spans="2:36">
      <c r="B792" s="290">
        <v>2111</v>
      </c>
      <c r="C792" s="294">
        <v>173142</v>
      </c>
      <c r="D792" s="290"/>
      <c r="E792" s="289" t="s">
        <v>2597</v>
      </c>
      <c r="F792" s="290">
        <v>0</v>
      </c>
      <c r="G792" s="289"/>
      <c r="H792" s="289"/>
      <c r="I792" s="289"/>
      <c r="J792" s="289">
        <v>0</v>
      </c>
      <c r="K792" s="289"/>
      <c r="L792" s="289"/>
      <c r="M792" s="289"/>
      <c r="N792" s="293">
        <v>31813</v>
      </c>
      <c r="O792" s="293">
        <v>31813</v>
      </c>
      <c r="P792" s="289"/>
      <c r="Q792" s="290">
        <v>500</v>
      </c>
      <c r="R792" s="290">
        <v>14100</v>
      </c>
      <c r="S792" s="291">
        <v>214.79</v>
      </c>
      <c r="T792" s="290">
        <v>14106</v>
      </c>
      <c r="U792" s="291">
        <v>214.79</v>
      </c>
      <c r="V792" s="291">
        <f t="shared" si="12"/>
        <v>0</v>
      </c>
      <c r="W792" s="292">
        <v>0</v>
      </c>
      <c r="X792" s="290">
        <v>70257</v>
      </c>
      <c r="Y792" s="291">
        <v>0</v>
      </c>
      <c r="Z792" s="289" t="s">
        <v>410</v>
      </c>
      <c r="AA792" s="289" t="s">
        <v>2218</v>
      </c>
      <c r="AB792" s="289"/>
      <c r="AC792" s="289"/>
      <c r="AD792" s="289" t="s">
        <v>1446</v>
      </c>
      <c r="AE792" s="289" t="s">
        <v>410</v>
      </c>
      <c r="AF792" s="290" t="s">
        <v>1447</v>
      </c>
      <c r="AG792" s="295">
        <v>42735</v>
      </c>
      <c r="AH792" s="290" t="s">
        <v>1448</v>
      </c>
      <c r="AI792" s="289">
        <v>0</v>
      </c>
      <c r="AJ792" s="289">
        <v>214.79</v>
      </c>
    </row>
    <row r="793" spans="2:36">
      <c r="B793" s="290">
        <v>2111</v>
      </c>
      <c r="C793" s="294">
        <v>173141</v>
      </c>
      <c r="D793" s="290"/>
      <c r="E793" s="289" t="s">
        <v>2598</v>
      </c>
      <c r="F793" s="290">
        <v>0</v>
      </c>
      <c r="G793" s="289"/>
      <c r="H793" s="289"/>
      <c r="I793" s="289"/>
      <c r="J793" s="289">
        <v>0</v>
      </c>
      <c r="K793" s="289"/>
      <c r="L793" s="289"/>
      <c r="M793" s="289"/>
      <c r="N793" s="293">
        <v>31820</v>
      </c>
      <c r="O793" s="293">
        <v>31820</v>
      </c>
      <c r="P793" s="289"/>
      <c r="Q793" s="290">
        <v>500</v>
      </c>
      <c r="R793" s="290">
        <v>14100</v>
      </c>
      <c r="S793" s="291">
        <v>333.92</v>
      </c>
      <c r="T793" s="290">
        <v>14106</v>
      </c>
      <c r="U793" s="291">
        <v>333.92</v>
      </c>
      <c r="V793" s="291">
        <f t="shared" si="12"/>
        <v>0</v>
      </c>
      <c r="W793" s="292">
        <v>0</v>
      </c>
      <c r="X793" s="290">
        <v>70257</v>
      </c>
      <c r="Y793" s="291">
        <v>0</v>
      </c>
      <c r="Z793" s="289" t="s">
        <v>410</v>
      </c>
      <c r="AA793" s="289" t="s">
        <v>2218</v>
      </c>
      <c r="AB793" s="289"/>
      <c r="AC793" s="289"/>
      <c r="AD793" s="289" t="s">
        <v>1446</v>
      </c>
      <c r="AE793" s="289" t="s">
        <v>410</v>
      </c>
      <c r="AF793" s="290" t="s">
        <v>1447</v>
      </c>
      <c r="AG793" s="295">
        <v>42735</v>
      </c>
      <c r="AH793" s="290" t="s">
        <v>1448</v>
      </c>
      <c r="AI793" s="289">
        <v>0</v>
      </c>
      <c r="AJ793" s="289">
        <v>333.92</v>
      </c>
    </row>
    <row r="794" spans="2:36">
      <c r="B794" s="290">
        <v>2111</v>
      </c>
      <c r="C794" s="294">
        <v>173140</v>
      </c>
      <c r="D794" s="290"/>
      <c r="E794" s="289" t="s">
        <v>2599</v>
      </c>
      <c r="F794" s="290">
        <v>0</v>
      </c>
      <c r="G794" s="289"/>
      <c r="H794" s="289"/>
      <c r="I794" s="289"/>
      <c r="J794" s="289">
        <v>0</v>
      </c>
      <c r="K794" s="289"/>
      <c r="L794" s="289"/>
      <c r="M794" s="289"/>
      <c r="N794" s="293">
        <v>31085</v>
      </c>
      <c r="O794" s="293">
        <v>31085</v>
      </c>
      <c r="P794" s="289"/>
      <c r="Q794" s="290">
        <v>500</v>
      </c>
      <c r="R794" s="290">
        <v>14100</v>
      </c>
      <c r="S794" s="291">
        <v>4014</v>
      </c>
      <c r="T794" s="290">
        <v>14106</v>
      </c>
      <c r="U794" s="291">
        <v>4014</v>
      </c>
      <c r="V794" s="291">
        <f t="shared" si="12"/>
        <v>0</v>
      </c>
      <c r="W794" s="292">
        <v>0</v>
      </c>
      <c r="X794" s="290">
        <v>70257</v>
      </c>
      <c r="Y794" s="291">
        <v>0</v>
      </c>
      <c r="Z794" s="289" t="s">
        <v>410</v>
      </c>
      <c r="AA794" s="289" t="s">
        <v>2218</v>
      </c>
      <c r="AB794" s="289"/>
      <c r="AC794" s="289"/>
      <c r="AD794" s="289" t="s">
        <v>1446</v>
      </c>
      <c r="AE794" s="289" t="s">
        <v>410</v>
      </c>
      <c r="AF794" s="290" t="s">
        <v>1447</v>
      </c>
      <c r="AG794" s="295">
        <v>42735</v>
      </c>
      <c r="AH794" s="290" t="s">
        <v>1448</v>
      </c>
      <c r="AI794" s="289">
        <v>0</v>
      </c>
      <c r="AJ794" s="289">
        <v>4014</v>
      </c>
    </row>
    <row r="795" spans="2:36">
      <c r="B795" s="290">
        <v>2111</v>
      </c>
      <c r="C795" s="294">
        <v>173139</v>
      </c>
      <c r="D795" s="290"/>
      <c r="E795" s="289" t="s">
        <v>2600</v>
      </c>
      <c r="F795" s="290">
        <v>0</v>
      </c>
      <c r="G795" s="289"/>
      <c r="H795" s="289"/>
      <c r="I795" s="289"/>
      <c r="J795" s="289">
        <v>0</v>
      </c>
      <c r="K795" s="289"/>
      <c r="L795" s="289"/>
      <c r="M795" s="289"/>
      <c r="N795" s="293">
        <v>31061</v>
      </c>
      <c r="O795" s="293">
        <v>31061</v>
      </c>
      <c r="P795" s="289"/>
      <c r="Q795" s="290">
        <v>500</v>
      </c>
      <c r="R795" s="290">
        <v>14100</v>
      </c>
      <c r="S795" s="291">
        <v>2975</v>
      </c>
      <c r="T795" s="290">
        <v>14106</v>
      </c>
      <c r="U795" s="291">
        <v>2975</v>
      </c>
      <c r="V795" s="291">
        <f t="shared" si="12"/>
        <v>0</v>
      </c>
      <c r="W795" s="292">
        <v>0</v>
      </c>
      <c r="X795" s="290">
        <v>70257</v>
      </c>
      <c r="Y795" s="291">
        <v>0</v>
      </c>
      <c r="Z795" s="289" t="s">
        <v>410</v>
      </c>
      <c r="AA795" s="289" t="s">
        <v>2218</v>
      </c>
      <c r="AB795" s="289"/>
      <c r="AC795" s="289"/>
      <c r="AD795" s="289" t="s">
        <v>1446</v>
      </c>
      <c r="AE795" s="289" t="s">
        <v>410</v>
      </c>
      <c r="AF795" s="290" t="s">
        <v>1447</v>
      </c>
      <c r="AG795" s="295">
        <v>42735</v>
      </c>
      <c r="AH795" s="290" t="s">
        <v>1448</v>
      </c>
      <c r="AI795" s="289">
        <v>0</v>
      </c>
      <c r="AJ795" s="289">
        <v>2975</v>
      </c>
    </row>
    <row r="796" spans="2:36">
      <c r="B796" s="290">
        <v>2111</v>
      </c>
      <c r="C796" s="294">
        <v>173138</v>
      </c>
      <c r="D796" s="290"/>
      <c r="E796" s="289" t="s">
        <v>2601</v>
      </c>
      <c r="F796" s="290">
        <v>0</v>
      </c>
      <c r="G796" s="289"/>
      <c r="H796" s="289"/>
      <c r="I796" s="289"/>
      <c r="J796" s="289">
        <v>0</v>
      </c>
      <c r="K796" s="289"/>
      <c r="L796" s="289"/>
      <c r="M796" s="289"/>
      <c r="N796" s="293">
        <v>29587</v>
      </c>
      <c r="O796" s="293">
        <v>29587</v>
      </c>
      <c r="P796" s="289"/>
      <c r="Q796" s="290">
        <v>700</v>
      </c>
      <c r="R796" s="290">
        <v>14100</v>
      </c>
      <c r="S796" s="291">
        <v>1841.65</v>
      </c>
      <c r="T796" s="290">
        <v>14106</v>
      </c>
      <c r="U796" s="291">
        <v>1841.65</v>
      </c>
      <c r="V796" s="291">
        <f t="shared" si="12"/>
        <v>0</v>
      </c>
      <c r="W796" s="292">
        <v>0</v>
      </c>
      <c r="X796" s="290">
        <v>70257</v>
      </c>
      <c r="Y796" s="291">
        <v>0</v>
      </c>
      <c r="Z796" s="289" t="s">
        <v>410</v>
      </c>
      <c r="AA796" s="289" t="s">
        <v>2218</v>
      </c>
      <c r="AB796" s="289"/>
      <c r="AC796" s="289"/>
      <c r="AD796" s="289" t="s">
        <v>1446</v>
      </c>
      <c r="AE796" s="289" t="s">
        <v>410</v>
      </c>
      <c r="AF796" s="290" t="s">
        <v>1447</v>
      </c>
      <c r="AG796" s="295">
        <v>42735</v>
      </c>
      <c r="AH796" s="290" t="s">
        <v>1448</v>
      </c>
      <c r="AI796" s="289">
        <v>0</v>
      </c>
      <c r="AJ796" s="289">
        <v>1841.65</v>
      </c>
    </row>
    <row r="797" spans="2:36">
      <c r="B797" s="290">
        <v>2111</v>
      </c>
      <c r="C797" s="294">
        <v>173137</v>
      </c>
      <c r="D797" s="290"/>
      <c r="E797" s="289" t="s">
        <v>2602</v>
      </c>
      <c r="F797" s="290">
        <v>0</v>
      </c>
      <c r="G797" s="289"/>
      <c r="H797" s="289"/>
      <c r="I797" s="289"/>
      <c r="J797" s="289">
        <v>0</v>
      </c>
      <c r="K797" s="289"/>
      <c r="L797" s="289"/>
      <c r="M797" s="289"/>
      <c r="N797" s="293">
        <v>29312</v>
      </c>
      <c r="O797" s="293">
        <v>29312</v>
      </c>
      <c r="P797" s="289"/>
      <c r="Q797" s="290">
        <v>2000</v>
      </c>
      <c r="R797" s="290">
        <v>14080</v>
      </c>
      <c r="S797" s="291">
        <v>4440</v>
      </c>
      <c r="T797" s="290">
        <v>14086</v>
      </c>
      <c r="U797" s="291">
        <v>4440</v>
      </c>
      <c r="V797" s="291">
        <f t="shared" si="12"/>
        <v>0</v>
      </c>
      <c r="W797" s="292">
        <v>0</v>
      </c>
      <c r="X797" s="290">
        <v>57260</v>
      </c>
      <c r="Y797" s="291">
        <v>0</v>
      </c>
      <c r="Z797" s="289" t="s">
        <v>410</v>
      </c>
      <c r="AA797" s="289" t="s">
        <v>2218</v>
      </c>
      <c r="AB797" s="289"/>
      <c r="AC797" s="289"/>
      <c r="AD797" s="289" t="s">
        <v>1446</v>
      </c>
      <c r="AE797" s="289" t="s">
        <v>410</v>
      </c>
      <c r="AF797" s="290" t="s">
        <v>1447</v>
      </c>
      <c r="AG797" s="295">
        <v>42735</v>
      </c>
      <c r="AH797" s="290" t="s">
        <v>1448</v>
      </c>
      <c r="AI797" s="289">
        <v>0</v>
      </c>
      <c r="AJ797" s="289">
        <v>4440</v>
      </c>
    </row>
    <row r="798" spans="2:36">
      <c r="B798" s="290">
        <v>2111</v>
      </c>
      <c r="C798" s="294">
        <v>173136</v>
      </c>
      <c r="D798" s="290"/>
      <c r="E798" s="289" t="s">
        <v>2603</v>
      </c>
      <c r="F798" s="290">
        <v>0</v>
      </c>
      <c r="G798" s="289"/>
      <c r="H798" s="289"/>
      <c r="I798" s="289"/>
      <c r="J798" s="289">
        <v>0</v>
      </c>
      <c r="K798" s="289"/>
      <c r="L798" s="289"/>
      <c r="M798" s="289"/>
      <c r="N798" s="293">
        <v>29281</v>
      </c>
      <c r="O798" s="293">
        <v>29281</v>
      </c>
      <c r="P798" s="289"/>
      <c r="Q798" s="290">
        <v>2000</v>
      </c>
      <c r="R798" s="290">
        <v>14080</v>
      </c>
      <c r="S798" s="291">
        <v>5124.8</v>
      </c>
      <c r="T798" s="290">
        <v>14086</v>
      </c>
      <c r="U798" s="291">
        <v>5124.8</v>
      </c>
      <c r="V798" s="291">
        <f t="shared" si="12"/>
        <v>0</v>
      </c>
      <c r="W798" s="292">
        <v>0</v>
      </c>
      <c r="X798" s="290">
        <v>57260</v>
      </c>
      <c r="Y798" s="291">
        <v>0</v>
      </c>
      <c r="Z798" s="289" t="s">
        <v>410</v>
      </c>
      <c r="AA798" s="289" t="s">
        <v>2218</v>
      </c>
      <c r="AB798" s="289"/>
      <c r="AC798" s="289"/>
      <c r="AD798" s="289" t="s">
        <v>1446</v>
      </c>
      <c r="AE798" s="289" t="s">
        <v>410</v>
      </c>
      <c r="AF798" s="290" t="s">
        <v>1447</v>
      </c>
      <c r="AG798" s="295">
        <v>42735</v>
      </c>
      <c r="AH798" s="290" t="s">
        <v>1448</v>
      </c>
      <c r="AI798" s="289">
        <v>0</v>
      </c>
      <c r="AJ798" s="289">
        <v>5124.8</v>
      </c>
    </row>
    <row r="799" spans="2:36">
      <c r="B799" s="290">
        <v>2111</v>
      </c>
      <c r="C799" s="294">
        <v>173135</v>
      </c>
      <c r="D799" s="290"/>
      <c r="E799" s="289" t="s">
        <v>2603</v>
      </c>
      <c r="F799" s="290">
        <v>0</v>
      </c>
      <c r="G799" s="289"/>
      <c r="H799" s="289"/>
      <c r="I799" s="289"/>
      <c r="J799" s="289">
        <v>0</v>
      </c>
      <c r="K799" s="289"/>
      <c r="L799" s="289"/>
      <c r="M799" s="289"/>
      <c r="N799" s="293">
        <v>29007</v>
      </c>
      <c r="O799" s="293">
        <v>29007</v>
      </c>
      <c r="P799" s="289"/>
      <c r="Q799" s="290">
        <v>2000</v>
      </c>
      <c r="R799" s="290">
        <v>14080</v>
      </c>
      <c r="S799" s="291">
        <v>2510.37</v>
      </c>
      <c r="T799" s="290">
        <v>14086</v>
      </c>
      <c r="U799" s="291">
        <v>2510.37</v>
      </c>
      <c r="V799" s="291">
        <f t="shared" si="12"/>
        <v>0</v>
      </c>
      <c r="W799" s="292">
        <v>0</v>
      </c>
      <c r="X799" s="290">
        <v>57260</v>
      </c>
      <c r="Y799" s="291">
        <v>0</v>
      </c>
      <c r="Z799" s="289" t="s">
        <v>410</v>
      </c>
      <c r="AA799" s="289" t="s">
        <v>2218</v>
      </c>
      <c r="AB799" s="289"/>
      <c r="AC799" s="289"/>
      <c r="AD799" s="289" t="s">
        <v>1446</v>
      </c>
      <c r="AE799" s="289" t="s">
        <v>410</v>
      </c>
      <c r="AF799" s="290" t="s">
        <v>1447</v>
      </c>
      <c r="AG799" s="295">
        <v>42735</v>
      </c>
      <c r="AH799" s="290" t="s">
        <v>1448</v>
      </c>
      <c r="AI799" s="289">
        <v>0</v>
      </c>
      <c r="AJ799" s="289">
        <v>2510.37</v>
      </c>
    </row>
    <row r="800" spans="2:36">
      <c r="B800" s="290">
        <v>2111</v>
      </c>
      <c r="C800" s="294">
        <v>173134</v>
      </c>
      <c r="D800" s="290" t="s">
        <v>944</v>
      </c>
      <c r="E800" s="289" t="s">
        <v>260</v>
      </c>
      <c r="F800" s="290">
        <v>0</v>
      </c>
      <c r="G800" s="289"/>
      <c r="H800" s="289"/>
      <c r="I800" s="289"/>
      <c r="J800" s="289">
        <v>0</v>
      </c>
      <c r="K800" s="289"/>
      <c r="L800" s="289"/>
      <c r="M800" s="289"/>
      <c r="N800" s="293">
        <v>28550</v>
      </c>
      <c r="O800" s="293">
        <v>28550</v>
      </c>
      <c r="P800" s="289"/>
      <c r="Q800" s="290">
        <v>2000</v>
      </c>
      <c r="R800" s="290">
        <v>14080</v>
      </c>
      <c r="S800" s="291">
        <v>820</v>
      </c>
      <c r="T800" s="290">
        <v>14086</v>
      </c>
      <c r="U800" s="291">
        <v>820</v>
      </c>
      <c r="V800" s="291">
        <f t="shared" si="12"/>
        <v>0</v>
      </c>
      <c r="W800" s="292">
        <v>0</v>
      </c>
      <c r="X800" s="290">
        <v>57260</v>
      </c>
      <c r="Y800" s="291">
        <v>0</v>
      </c>
      <c r="Z800" s="289" t="s">
        <v>410</v>
      </c>
      <c r="AA800" s="289" t="s">
        <v>2218</v>
      </c>
      <c r="AB800" s="289"/>
      <c r="AC800" s="289"/>
      <c r="AD800" s="289" t="s">
        <v>1446</v>
      </c>
      <c r="AE800" s="289" t="s">
        <v>410</v>
      </c>
      <c r="AF800" s="290" t="s">
        <v>1447</v>
      </c>
      <c r="AG800" s="295">
        <v>42735</v>
      </c>
      <c r="AH800" s="290" t="s">
        <v>1448</v>
      </c>
      <c r="AI800" s="289">
        <v>0</v>
      </c>
      <c r="AJ800" s="289">
        <v>820</v>
      </c>
    </row>
    <row r="801" spans="2:36">
      <c r="B801" s="290">
        <v>2111</v>
      </c>
      <c r="C801" s="294">
        <v>173133</v>
      </c>
      <c r="D801" s="290"/>
      <c r="E801" s="289" t="s">
        <v>2604</v>
      </c>
      <c r="F801" s="290">
        <v>0</v>
      </c>
      <c r="G801" s="289"/>
      <c r="H801" s="289"/>
      <c r="I801" s="289"/>
      <c r="J801" s="289">
        <v>0</v>
      </c>
      <c r="K801" s="289"/>
      <c r="L801" s="289"/>
      <c r="M801" s="289"/>
      <c r="N801" s="293">
        <v>28399</v>
      </c>
      <c r="O801" s="293">
        <v>28399</v>
      </c>
      <c r="P801" s="289"/>
      <c r="Q801" s="290">
        <v>2000</v>
      </c>
      <c r="R801" s="290">
        <v>14080</v>
      </c>
      <c r="S801" s="291">
        <v>1010.54</v>
      </c>
      <c r="T801" s="290">
        <v>14086</v>
      </c>
      <c r="U801" s="291">
        <v>1010.54</v>
      </c>
      <c r="V801" s="291">
        <f t="shared" si="12"/>
        <v>0</v>
      </c>
      <c r="W801" s="292">
        <v>0</v>
      </c>
      <c r="X801" s="290">
        <v>57260</v>
      </c>
      <c r="Y801" s="291">
        <v>0</v>
      </c>
      <c r="Z801" s="289" t="s">
        <v>410</v>
      </c>
      <c r="AA801" s="289" t="s">
        <v>2218</v>
      </c>
      <c r="AB801" s="289"/>
      <c r="AC801" s="289"/>
      <c r="AD801" s="289" t="s">
        <v>1446</v>
      </c>
      <c r="AE801" s="289" t="s">
        <v>410</v>
      </c>
      <c r="AF801" s="290" t="s">
        <v>1447</v>
      </c>
      <c r="AG801" s="295">
        <v>42735</v>
      </c>
      <c r="AH801" s="290" t="s">
        <v>1448</v>
      </c>
      <c r="AI801" s="289">
        <v>0</v>
      </c>
      <c r="AJ801" s="289">
        <v>1010.54</v>
      </c>
    </row>
    <row r="802" spans="2:36">
      <c r="B802" s="290">
        <v>2111</v>
      </c>
      <c r="C802" s="294">
        <v>173132</v>
      </c>
      <c r="D802" s="290" t="s">
        <v>944</v>
      </c>
      <c r="E802" s="289" t="s">
        <v>2605</v>
      </c>
      <c r="F802" s="290">
        <v>0</v>
      </c>
      <c r="G802" s="289"/>
      <c r="H802" s="289"/>
      <c r="I802" s="289"/>
      <c r="J802" s="289">
        <v>1980</v>
      </c>
      <c r="K802" s="289" t="s">
        <v>2578</v>
      </c>
      <c r="L802" s="289" t="s">
        <v>2214</v>
      </c>
      <c r="M802" s="289"/>
      <c r="N802" s="293">
        <v>29465</v>
      </c>
      <c r="O802" s="293">
        <v>29465</v>
      </c>
      <c r="P802" s="289"/>
      <c r="Q802" s="290">
        <v>500</v>
      </c>
      <c r="R802" s="290">
        <v>14070</v>
      </c>
      <c r="S802" s="291">
        <v>5984.86</v>
      </c>
      <c r="T802" s="290">
        <v>14076</v>
      </c>
      <c r="U802" s="291">
        <v>5984.86</v>
      </c>
      <c r="V802" s="291">
        <f t="shared" si="12"/>
        <v>0</v>
      </c>
      <c r="W802" s="292">
        <v>0</v>
      </c>
      <c r="X802" s="290">
        <v>51260</v>
      </c>
      <c r="Y802" s="291">
        <v>0</v>
      </c>
      <c r="Z802" s="289" t="s">
        <v>410</v>
      </c>
      <c r="AA802" s="289" t="s">
        <v>2218</v>
      </c>
      <c r="AB802" s="289"/>
      <c r="AC802" s="289"/>
      <c r="AD802" s="289" t="s">
        <v>1446</v>
      </c>
      <c r="AE802" s="289" t="s">
        <v>410</v>
      </c>
      <c r="AF802" s="290" t="s">
        <v>1447</v>
      </c>
      <c r="AG802" s="295">
        <v>42735</v>
      </c>
      <c r="AH802" s="290" t="s">
        <v>1448</v>
      </c>
      <c r="AI802" s="289">
        <v>0</v>
      </c>
      <c r="AJ802" s="289">
        <v>5984.86</v>
      </c>
    </row>
    <row r="803" spans="2:36">
      <c r="B803" s="290">
        <v>2111</v>
      </c>
      <c r="C803" s="294">
        <v>173131</v>
      </c>
      <c r="D803" s="290" t="s">
        <v>944</v>
      </c>
      <c r="E803" s="289" t="s">
        <v>2605</v>
      </c>
      <c r="F803" s="290">
        <v>0</v>
      </c>
      <c r="G803" s="289"/>
      <c r="H803" s="289"/>
      <c r="I803" s="289"/>
      <c r="J803" s="289">
        <v>1978</v>
      </c>
      <c r="K803" s="289" t="s">
        <v>2578</v>
      </c>
      <c r="L803" s="289" t="s">
        <v>2214</v>
      </c>
      <c r="M803" s="289"/>
      <c r="N803" s="293">
        <v>28611</v>
      </c>
      <c r="O803" s="293">
        <v>28611</v>
      </c>
      <c r="P803" s="289"/>
      <c r="Q803" s="290">
        <v>500</v>
      </c>
      <c r="R803" s="290">
        <v>14070</v>
      </c>
      <c r="S803" s="291">
        <v>2650.58</v>
      </c>
      <c r="T803" s="290">
        <v>14076</v>
      </c>
      <c r="U803" s="291">
        <v>2650.58</v>
      </c>
      <c r="V803" s="291">
        <f t="shared" si="12"/>
        <v>0</v>
      </c>
      <c r="W803" s="292">
        <v>0</v>
      </c>
      <c r="X803" s="290">
        <v>51260</v>
      </c>
      <c r="Y803" s="291">
        <v>0</v>
      </c>
      <c r="Z803" s="289" t="s">
        <v>410</v>
      </c>
      <c r="AA803" s="289" t="s">
        <v>2218</v>
      </c>
      <c r="AB803" s="289"/>
      <c r="AC803" s="289"/>
      <c r="AD803" s="289" t="s">
        <v>1446</v>
      </c>
      <c r="AE803" s="289" t="s">
        <v>410</v>
      </c>
      <c r="AF803" s="290" t="s">
        <v>1447</v>
      </c>
      <c r="AG803" s="295">
        <v>42735</v>
      </c>
      <c r="AH803" s="290" t="s">
        <v>1448</v>
      </c>
      <c r="AI803" s="289">
        <v>0</v>
      </c>
      <c r="AJ803" s="289">
        <v>2650.58</v>
      </c>
    </row>
    <row r="804" spans="2:36">
      <c r="B804" s="290">
        <v>2111</v>
      </c>
      <c r="C804" s="294">
        <v>173130</v>
      </c>
      <c r="D804" s="290" t="s">
        <v>944</v>
      </c>
      <c r="E804" s="289" t="s">
        <v>2605</v>
      </c>
      <c r="F804" s="290">
        <v>0</v>
      </c>
      <c r="G804" s="289"/>
      <c r="H804" s="289"/>
      <c r="I804" s="289"/>
      <c r="J804" s="289">
        <v>1977</v>
      </c>
      <c r="K804" s="289" t="s">
        <v>2578</v>
      </c>
      <c r="L804" s="289" t="s">
        <v>2214</v>
      </c>
      <c r="M804" s="289"/>
      <c r="N804" s="293">
        <v>28184</v>
      </c>
      <c r="O804" s="293">
        <v>28184</v>
      </c>
      <c r="P804" s="289"/>
      <c r="Q804" s="290">
        <v>500</v>
      </c>
      <c r="R804" s="290">
        <v>14070</v>
      </c>
      <c r="S804" s="291">
        <v>6030.5</v>
      </c>
      <c r="T804" s="290">
        <v>14076</v>
      </c>
      <c r="U804" s="291">
        <v>6030.5</v>
      </c>
      <c r="V804" s="291">
        <f t="shared" si="12"/>
        <v>0</v>
      </c>
      <c r="W804" s="292">
        <v>0</v>
      </c>
      <c r="X804" s="290">
        <v>51260</v>
      </c>
      <c r="Y804" s="291">
        <v>0</v>
      </c>
      <c r="Z804" s="289" t="s">
        <v>410</v>
      </c>
      <c r="AA804" s="289" t="s">
        <v>2218</v>
      </c>
      <c r="AB804" s="289"/>
      <c r="AC804" s="289"/>
      <c r="AD804" s="289" t="s">
        <v>1446</v>
      </c>
      <c r="AE804" s="289" t="s">
        <v>410</v>
      </c>
      <c r="AF804" s="290" t="s">
        <v>1447</v>
      </c>
      <c r="AG804" s="295">
        <v>42735</v>
      </c>
      <c r="AH804" s="290" t="s">
        <v>1448</v>
      </c>
      <c r="AI804" s="289">
        <v>0</v>
      </c>
      <c r="AJ804" s="289">
        <v>6030.5</v>
      </c>
    </row>
    <row r="805" spans="2:36">
      <c r="B805" s="290">
        <v>2111</v>
      </c>
      <c r="C805" s="294">
        <v>173129</v>
      </c>
      <c r="D805" s="290" t="s">
        <v>944</v>
      </c>
      <c r="E805" s="289" t="s">
        <v>2606</v>
      </c>
      <c r="F805" s="290">
        <v>0</v>
      </c>
      <c r="G805" s="289"/>
      <c r="H805" s="289"/>
      <c r="I805" s="289"/>
      <c r="J805" s="289">
        <v>1990</v>
      </c>
      <c r="K805" s="289" t="s">
        <v>2578</v>
      </c>
      <c r="L805" s="289" t="s">
        <v>2214</v>
      </c>
      <c r="M805" s="289"/>
      <c r="N805" s="293">
        <v>33013</v>
      </c>
      <c r="O805" s="293">
        <v>33013</v>
      </c>
      <c r="P805" s="289"/>
      <c r="Q805" s="290">
        <v>500</v>
      </c>
      <c r="R805" s="290">
        <v>14070</v>
      </c>
      <c r="S805" s="291">
        <v>1750</v>
      </c>
      <c r="T805" s="290">
        <v>14076</v>
      </c>
      <c r="U805" s="291">
        <v>1750</v>
      </c>
      <c r="V805" s="291">
        <f t="shared" si="12"/>
        <v>0</v>
      </c>
      <c r="W805" s="292">
        <v>0</v>
      </c>
      <c r="X805" s="290">
        <v>51260</v>
      </c>
      <c r="Y805" s="291">
        <v>0</v>
      </c>
      <c r="Z805" s="289" t="s">
        <v>410</v>
      </c>
      <c r="AA805" s="289" t="s">
        <v>2218</v>
      </c>
      <c r="AB805" s="289"/>
      <c r="AC805" s="289"/>
      <c r="AD805" s="289" t="s">
        <v>1446</v>
      </c>
      <c r="AE805" s="289" t="s">
        <v>410</v>
      </c>
      <c r="AF805" s="290" t="s">
        <v>1447</v>
      </c>
      <c r="AG805" s="295">
        <v>42735</v>
      </c>
      <c r="AH805" s="290" t="s">
        <v>1448</v>
      </c>
      <c r="AI805" s="289">
        <v>0</v>
      </c>
      <c r="AJ805" s="289">
        <v>1750</v>
      </c>
    </row>
    <row r="806" spans="2:36">
      <c r="B806" s="290">
        <v>2111</v>
      </c>
      <c r="C806" s="294">
        <v>173128</v>
      </c>
      <c r="D806" s="290" t="s">
        <v>944</v>
      </c>
      <c r="E806" s="289" t="s">
        <v>2607</v>
      </c>
      <c r="F806" s="290">
        <v>0</v>
      </c>
      <c r="G806" s="289"/>
      <c r="H806" s="289"/>
      <c r="I806" s="289"/>
      <c r="J806" s="289">
        <v>1983</v>
      </c>
      <c r="K806" s="289" t="s">
        <v>2578</v>
      </c>
      <c r="L806" s="289" t="s">
        <v>2214</v>
      </c>
      <c r="M806" s="289"/>
      <c r="N806" s="293">
        <v>30414</v>
      </c>
      <c r="O806" s="293">
        <v>34067</v>
      </c>
      <c r="P806" s="289"/>
      <c r="Q806" s="290">
        <v>500</v>
      </c>
      <c r="R806" s="290">
        <v>14070</v>
      </c>
      <c r="S806" s="291">
        <v>1617</v>
      </c>
      <c r="T806" s="290">
        <v>14076</v>
      </c>
      <c r="U806" s="291">
        <v>1617</v>
      </c>
      <c r="V806" s="291">
        <f t="shared" si="12"/>
        <v>0</v>
      </c>
      <c r="W806" s="292">
        <v>0</v>
      </c>
      <c r="X806" s="290">
        <v>51260</v>
      </c>
      <c r="Y806" s="291">
        <v>0</v>
      </c>
      <c r="Z806" s="289" t="s">
        <v>410</v>
      </c>
      <c r="AA806" s="289" t="s">
        <v>2218</v>
      </c>
      <c r="AB806" s="289"/>
      <c r="AC806" s="289"/>
      <c r="AD806" s="289" t="s">
        <v>1446</v>
      </c>
      <c r="AE806" s="289" t="s">
        <v>410</v>
      </c>
      <c r="AF806" s="290" t="s">
        <v>1447</v>
      </c>
      <c r="AG806" s="295">
        <v>42735</v>
      </c>
      <c r="AH806" s="290" t="s">
        <v>1448</v>
      </c>
      <c r="AI806" s="289">
        <v>0</v>
      </c>
      <c r="AJ806" s="289">
        <v>1617</v>
      </c>
    </row>
    <row r="807" spans="2:36">
      <c r="B807" s="290">
        <v>2111</v>
      </c>
      <c r="C807" s="294">
        <v>173127</v>
      </c>
      <c r="D807" s="290" t="s">
        <v>944</v>
      </c>
      <c r="E807" s="289" t="s">
        <v>2608</v>
      </c>
      <c r="F807" s="290">
        <v>60</v>
      </c>
      <c r="G807" s="289"/>
      <c r="H807" s="289"/>
      <c r="I807" s="289"/>
      <c r="J807" s="289">
        <v>0</v>
      </c>
      <c r="K807" s="289" t="s">
        <v>2609</v>
      </c>
      <c r="L807" s="289"/>
      <c r="M807" s="289" t="s">
        <v>2428</v>
      </c>
      <c r="N807" s="293">
        <v>36371</v>
      </c>
      <c r="O807" s="293">
        <v>36371</v>
      </c>
      <c r="P807" s="289" t="s">
        <v>2610</v>
      </c>
      <c r="Q807" s="290">
        <v>1200</v>
      </c>
      <c r="R807" s="290">
        <v>14050</v>
      </c>
      <c r="S807" s="291">
        <v>2887.07</v>
      </c>
      <c r="T807" s="290">
        <v>14056</v>
      </c>
      <c r="U807" s="291">
        <v>2887.07</v>
      </c>
      <c r="V807" s="291">
        <f t="shared" si="12"/>
        <v>0</v>
      </c>
      <c r="W807" s="292">
        <v>0</v>
      </c>
      <c r="X807" s="290">
        <v>54260</v>
      </c>
      <c r="Y807" s="291">
        <v>0</v>
      </c>
      <c r="Z807" s="289" t="s">
        <v>944</v>
      </c>
      <c r="AA807" s="289"/>
      <c r="AB807" s="289"/>
      <c r="AC807" s="289"/>
      <c r="AD807" s="289" t="s">
        <v>1446</v>
      </c>
      <c r="AE807" s="289" t="s">
        <v>410</v>
      </c>
      <c r="AF807" s="290" t="s">
        <v>1447</v>
      </c>
      <c r="AG807" s="295">
        <v>42735</v>
      </c>
      <c r="AH807" s="290" t="s">
        <v>1448</v>
      </c>
      <c r="AI807" s="289">
        <v>0</v>
      </c>
      <c r="AJ807" s="289">
        <v>2887.07</v>
      </c>
    </row>
    <row r="808" spans="2:36">
      <c r="B808" s="290">
        <v>2111</v>
      </c>
      <c r="C808" s="294">
        <v>173126</v>
      </c>
      <c r="D808" s="290" t="s">
        <v>944</v>
      </c>
      <c r="E808" s="289" t="s">
        <v>2611</v>
      </c>
      <c r="F808" s="290">
        <v>7</v>
      </c>
      <c r="G808" s="289"/>
      <c r="H808" s="289"/>
      <c r="I808" s="289"/>
      <c r="J808" s="289">
        <v>0</v>
      </c>
      <c r="K808" s="289" t="s">
        <v>2609</v>
      </c>
      <c r="L808" s="289"/>
      <c r="M808" s="289" t="s">
        <v>1659</v>
      </c>
      <c r="N808" s="293">
        <v>36371</v>
      </c>
      <c r="O808" s="293">
        <v>36371</v>
      </c>
      <c r="P808" s="289" t="s">
        <v>2610</v>
      </c>
      <c r="Q808" s="290">
        <v>1200</v>
      </c>
      <c r="R808" s="290">
        <v>14050</v>
      </c>
      <c r="S808" s="291">
        <v>2009.28</v>
      </c>
      <c r="T808" s="290">
        <v>14056</v>
      </c>
      <c r="U808" s="291">
        <v>2009.28</v>
      </c>
      <c r="V808" s="291">
        <f t="shared" si="12"/>
        <v>0</v>
      </c>
      <c r="W808" s="292">
        <v>0</v>
      </c>
      <c r="X808" s="290">
        <v>54260</v>
      </c>
      <c r="Y808" s="291">
        <v>0</v>
      </c>
      <c r="Z808" s="289" t="s">
        <v>944</v>
      </c>
      <c r="AA808" s="289"/>
      <c r="AB808" s="289"/>
      <c r="AC808" s="289"/>
      <c r="AD808" s="289" t="s">
        <v>1446</v>
      </c>
      <c r="AE808" s="289" t="s">
        <v>410</v>
      </c>
      <c r="AF808" s="290" t="s">
        <v>1447</v>
      </c>
      <c r="AG808" s="295">
        <v>42735</v>
      </c>
      <c r="AH808" s="290" t="s">
        <v>1448</v>
      </c>
      <c r="AI808" s="289">
        <v>4</v>
      </c>
      <c r="AJ808" s="289">
        <v>2009.28</v>
      </c>
    </row>
    <row r="809" spans="2:36">
      <c r="B809" s="290">
        <v>2111</v>
      </c>
      <c r="C809" s="294">
        <v>173124</v>
      </c>
      <c r="D809" s="290" t="s">
        <v>944</v>
      </c>
      <c r="E809" s="289" t="s">
        <v>2612</v>
      </c>
      <c r="F809" s="290">
        <v>4</v>
      </c>
      <c r="G809" s="289"/>
      <c r="H809" s="289"/>
      <c r="I809" s="289"/>
      <c r="J809" s="289">
        <v>0</v>
      </c>
      <c r="K809" s="289"/>
      <c r="L809" s="289"/>
      <c r="M809" s="289" t="s">
        <v>1664</v>
      </c>
      <c r="N809" s="293">
        <v>36055</v>
      </c>
      <c r="O809" s="293">
        <v>36055</v>
      </c>
      <c r="P809" s="289"/>
      <c r="Q809" s="290">
        <v>1200</v>
      </c>
      <c r="R809" s="290">
        <v>14050</v>
      </c>
      <c r="S809" s="291">
        <v>2638.89</v>
      </c>
      <c r="T809" s="290">
        <v>14056</v>
      </c>
      <c r="U809" s="291">
        <v>2638.89</v>
      </c>
      <c r="V809" s="291">
        <f t="shared" si="12"/>
        <v>0</v>
      </c>
      <c r="W809" s="292">
        <v>0</v>
      </c>
      <c r="X809" s="290">
        <v>54260</v>
      </c>
      <c r="Y809" s="291">
        <v>0</v>
      </c>
      <c r="Z809" s="289" t="s">
        <v>410</v>
      </c>
      <c r="AA809" s="289" t="s">
        <v>2218</v>
      </c>
      <c r="AB809" s="289"/>
      <c r="AC809" s="289"/>
      <c r="AD809" s="289" t="s">
        <v>1446</v>
      </c>
      <c r="AE809" s="289" t="s">
        <v>410</v>
      </c>
      <c r="AF809" s="290" t="s">
        <v>1447</v>
      </c>
      <c r="AG809" s="295">
        <v>42735</v>
      </c>
      <c r="AH809" s="290" t="s">
        <v>1448</v>
      </c>
      <c r="AI809" s="289">
        <v>2</v>
      </c>
      <c r="AJ809" s="289">
        <v>2638.89</v>
      </c>
    </row>
    <row r="810" spans="2:36">
      <c r="B810" s="290">
        <v>2111</v>
      </c>
      <c r="C810" s="294">
        <v>173123</v>
      </c>
      <c r="D810" s="290" t="s">
        <v>944</v>
      </c>
      <c r="E810" s="289" t="s">
        <v>2613</v>
      </c>
      <c r="F810" s="290">
        <v>384</v>
      </c>
      <c r="G810" s="289"/>
      <c r="H810" s="289"/>
      <c r="I810" s="289"/>
      <c r="J810" s="289">
        <v>0</v>
      </c>
      <c r="K810" s="289"/>
      <c r="L810" s="289"/>
      <c r="M810" s="289"/>
      <c r="N810" s="293">
        <v>35885</v>
      </c>
      <c r="O810" s="293">
        <v>35885</v>
      </c>
      <c r="P810" s="289"/>
      <c r="Q810" s="290">
        <v>500</v>
      </c>
      <c r="R810" s="290">
        <v>14050</v>
      </c>
      <c r="S810" s="291">
        <v>18627.46</v>
      </c>
      <c r="T810" s="290">
        <v>14056</v>
      </c>
      <c r="U810" s="291">
        <v>18627.46</v>
      </c>
      <c r="V810" s="291">
        <f t="shared" si="12"/>
        <v>0</v>
      </c>
      <c r="W810" s="292">
        <v>0</v>
      </c>
      <c r="X810" s="290">
        <v>54260</v>
      </c>
      <c r="Y810" s="291">
        <v>0</v>
      </c>
      <c r="Z810" s="289" t="s">
        <v>410</v>
      </c>
      <c r="AA810" s="289" t="s">
        <v>2218</v>
      </c>
      <c r="AB810" s="289"/>
      <c r="AC810" s="289"/>
      <c r="AD810" s="289" t="s">
        <v>1446</v>
      </c>
      <c r="AE810" s="289" t="s">
        <v>410</v>
      </c>
      <c r="AF810" s="290" t="s">
        <v>1447</v>
      </c>
      <c r="AG810" s="295">
        <v>42735</v>
      </c>
      <c r="AH810" s="290" t="s">
        <v>1448</v>
      </c>
      <c r="AI810" s="289">
        <v>0</v>
      </c>
      <c r="AJ810" s="289">
        <v>18627.46</v>
      </c>
    </row>
    <row r="811" spans="2:36">
      <c r="B811" s="290">
        <v>2111</v>
      </c>
      <c r="C811" s="294">
        <v>173122</v>
      </c>
      <c r="D811" s="290" t="s">
        <v>944</v>
      </c>
      <c r="E811" s="289" t="s">
        <v>2614</v>
      </c>
      <c r="F811" s="290">
        <v>25</v>
      </c>
      <c r="G811" s="289"/>
      <c r="H811" s="289"/>
      <c r="I811" s="289"/>
      <c r="J811" s="289">
        <v>0</v>
      </c>
      <c r="K811" s="289"/>
      <c r="L811" s="289"/>
      <c r="M811" s="289" t="s">
        <v>1918</v>
      </c>
      <c r="N811" s="293">
        <v>35513</v>
      </c>
      <c r="O811" s="293">
        <v>35513</v>
      </c>
      <c r="P811" s="289"/>
      <c r="Q811" s="290">
        <v>1200</v>
      </c>
      <c r="R811" s="290">
        <v>14050</v>
      </c>
      <c r="S811" s="291">
        <v>6806.16</v>
      </c>
      <c r="T811" s="290">
        <v>14056</v>
      </c>
      <c r="U811" s="291">
        <v>6806.16</v>
      </c>
      <c r="V811" s="291">
        <f t="shared" si="12"/>
        <v>0</v>
      </c>
      <c r="W811" s="292">
        <v>0</v>
      </c>
      <c r="X811" s="290">
        <v>54260</v>
      </c>
      <c r="Y811" s="291">
        <v>0</v>
      </c>
      <c r="Z811" s="289" t="s">
        <v>410</v>
      </c>
      <c r="AA811" s="289" t="s">
        <v>2218</v>
      </c>
      <c r="AB811" s="289"/>
      <c r="AC811" s="289"/>
      <c r="AD811" s="289" t="s">
        <v>1446</v>
      </c>
      <c r="AE811" s="289" t="s">
        <v>410</v>
      </c>
      <c r="AF811" s="290" t="s">
        <v>1447</v>
      </c>
      <c r="AG811" s="295">
        <v>42735</v>
      </c>
      <c r="AH811" s="290" t="s">
        <v>1448</v>
      </c>
      <c r="AI811" s="289">
        <v>0</v>
      </c>
      <c r="AJ811" s="289">
        <v>6806.16</v>
      </c>
    </row>
    <row r="812" spans="2:36">
      <c r="B812" s="290">
        <v>2111</v>
      </c>
      <c r="C812" s="294">
        <v>173121</v>
      </c>
      <c r="D812" s="290" t="s">
        <v>944</v>
      </c>
      <c r="E812" s="289" t="s">
        <v>2613</v>
      </c>
      <c r="F812" s="290">
        <v>720</v>
      </c>
      <c r="G812" s="289"/>
      <c r="H812" s="289"/>
      <c r="I812" s="289"/>
      <c r="J812" s="289">
        <v>0</v>
      </c>
      <c r="K812" s="289"/>
      <c r="L812" s="289"/>
      <c r="M812" s="289"/>
      <c r="N812" s="293">
        <v>35481</v>
      </c>
      <c r="O812" s="293">
        <v>35481</v>
      </c>
      <c r="P812" s="289"/>
      <c r="Q812" s="290">
        <v>500</v>
      </c>
      <c r="R812" s="290">
        <v>14050</v>
      </c>
      <c r="S812" s="291">
        <v>36547.199999999997</v>
      </c>
      <c r="T812" s="290">
        <v>14056</v>
      </c>
      <c r="U812" s="291">
        <v>36547.199999999997</v>
      </c>
      <c r="V812" s="291">
        <f t="shared" si="12"/>
        <v>0</v>
      </c>
      <c r="W812" s="292">
        <v>0</v>
      </c>
      <c r="X812" s="290">
        <v>54260</v>
      </c>
      <c r="Y812" s="291">
        <v>0</v>
      </c>
      <c r="Z812" s="289" t="s">
        <v>410</v>
      </c>
      <c r="AA812" s="289" t="s">
        <v>2218</v>
      </c>
      <c r="AB812" s="289"/>
      <c r="AC812" s="289"/>
      <c r="AD812" s="289" t="s">
        <v>1446</v>
      </c>
      <c r="AE812" s="289" t="s">
        <v>410</v>
      </c>
      <c r="AF812" s="290" t="s">
        <v>1447</v>
      </c>
      <c r="AG812" s="295">
        <v>42735</v>
      </c>
      <c r="AH812" s="290" t="s">
        <v>1448</v>
      </c>
      <c r="AI812" s="289">
        <v>0</v>
      </c>
      <c r="AJ812" s="289">
        <v>36547.199999999997</v>
      </c>
    </row>
    <row r="813" spans="2:36">
      <c r="B813" s="290">
        <v>2111</v>
      </c>
      <c r="C813" s="294">
        <v>173120</v>
      </c>
      <c r="D813" s="290" t="s">
        <v>944</v>
      </c>
      <c r="E813" s="289" t="s">
        <v>2613</v>
      </c>
      <c r="F813" s="290">
        <v>360</v>
      </c>
      <c r="G813" s="289"/>
      <c r="H813" s="289"/>
      <c r="I813" s="289"/>
      <c r="J813" s="289">
        <v>0</v>
      </c>
      <c r="K813" s="289"/>
      <c r="L813" s="289"/>
      <c r="M813" s="289"/>
      <c r="N813" s="293">
        <v>35454</v>
      </c>
      <c r="O813" s="293">
        <v>35454</v>
      </c>
      <c r="P813" s="289"/>
      <c r="Q813" s="290">
        <v>500</v>
      </c>
      <c r="R813" s="290">
        <v>14050</v>
      </c>
      <c r="S813" s="291">
        <v>20165.04</v>
      </c>
      <c r="T813" s="290">
        <v>14056</v>
      </c>
      <c r="U813" s="291">
        <v>20165.04</v>
      </c>
      <c r="V813" s="291">
        <f t="shared" si="12"/>
        <v>0</v>
      </c>
      <c r="W813" s="292">
        <v>0</v>
      </c>
      <c r="X813" s="290">
        <v>54260</v>
      </c>
      <c r="Y813" s="291">
        <v>0</v>
      </c>
      <c r="Z813" s="289" t="s">
        <v>410</v>
      </c>
      <c r="AA813" s="289" t="s">
        <v>2218</v>
      </c>
      <c r="AB813" s="289"/>
      <c r="AC813" s="289"/>
      <c r="AD813" s="289" t="s">
        <v>1446</v>
      </c>
      <c r="AE813" s="289" t="s">
        <v>410</v>
      </c>
      <c r="AF813" s="290" t="s">
        <v>1447</v>
      </c>
      <c r="AG813" s="295">
        <v>42735</v>
      </c>
      <c r="AH813" s="290" t="s">
        <v>1448</v>
      </c>
      <c r="AI813" s="289">
        <v>0</v>
      </c>
      <c r="AJ813" s="289">
        <v>20165.04</v>
      </c>
    </row>
    <row r="814" spans="2:36">
      <c r="B814" s="290">
        <v>2111</v>
      </c>
      <c r="C814" s="294">
        <v>173119</v>
      </c>
      <c r="D814" s="290" t="s">
        <v>944</v>
      </c>
      <c r="E814" s="289" t="s">
        <v>2615</v>
      </c>
      <c r="F814" s="290">
        <v>1</v>
      </c>
      <c r="G814" s="289"/>
      <c r="H814" s="289"/>
      <c r="I814" s="289"/>
      <c r="J814" s="289">
        <v>0</v>
      </c>
      <c r="K814" s="289"/>
      <c r="L814" s="289"/>
      <c r="M814" s="289" t="s">
        <v>1667</v>
      </c>
      <c r="N814" s="293">
        <v>35215</v>
      </c>
      <c r="O814" s="293">
        <v>35215</v>
      </c>
      <c r="P814" s="289"/>
      <c r="Q814" s="290">
        <v>1200</v>
      </c>
      <c r="R814" s="290">
        <v>14050</v>
      </c>
      <c r="S814" s="291">
        <v>3257.05</v>
      </c>
      <c r="T814" s="290">
        <v>14056</v>
      </c>
      <c r="U814" s="291">
        <v>3257.05</v>
      </c>
      <c r="V814" s="291">
        <f t="shared" si="12"/>
        <v>0</v>
      </c>
      <c r="W814" s="292">
        <v>0</v>
      </c>
      <c r="X814" s="290">
        <v>54260</v>
      </c>
      <c r="Y814" s="291">
        <v>0</v>
      </c>
      <c r="Z814" s="289" t="s">
        <v>410</v>
      </c>
      <c r="AA814" s="289" t="s">
        <v>2218</v>
      </c>
      <c r="AB814" s="289"/>
      <c r="AC814" s="289"/>
      <c r="AD814" s="289" t="s">
        <v>1446</v>
      </c>
      <c r="AE814" s="289" t="s">
        <v>410</v>
      </c>
      <c r="AF814" s="290" t="s">
        <v>1447</v>
      </c>
      <c r="AG814" s="295">
        <v>42735</v>
      </c>
      <c r="AH814" s="290" t="s">
        <v>1448</v>
      </c>
      <c r="AI814" s="289">
        <v>0</v>
      </c>
      <c r="AJ814" s="289">
        <v>3257.05</v>
      </c>
    </row>
    <row r="815" spans="2:36">
      <c r="B815" s="290">
        <v>2111</v>
      </c>
      <c r="C815" s="294">
        <v>173118</v>
      </c>
      <c r="D815" s="290" t="s">
        <v>944</v>
      </c>
      <c r="E815" s="289" t="s">
        <v>2616</v>
      </c>
      <c r="F815" s="290">
        <v>20</v>
      </c>
      <c r="G815" s="289"/>
      <c r="H815" s="289"/>
      <c r="I815" s="289"/>
      <c r="J815" s="289">
        <v>0</v>
      </c>
      <c r="K815" s="289"/>
      <c r="L815" s="289"/>
      <c r="M815" s="289" t="s">
        <v>1918</v>
      </c>
      <c r="N815" s="293">
        <v>35152</v>
      </c>
      <c r="O815" s="293">
        <v>35152</v>
      </c>
      <c r="P815" s="289"/>
      <c r="Q815" s="290">
        <v>1200</v>
      </c>
      <c r="R815" s="290">
        <v>14050</v>
      </c>
      <c r="S815" s="291">
        <v>5439.89</v>
      </c>
      <c r="T815" s="290">
        <v>14056</v>
      </c>
      <c r="U815" s="291">
        <v>5439.89</v>
      </c>
      <c r="V815" s="291">
        <f t="shared" si="12"/>
        <v>0</v>
      </c>
      <c r="W815" s="292">
        <v>0</v>
      </c>
      <c r="X815" s="290">
        <v>54260</v>
      </c>
      <c r="Y815" s="291">
        <v>0</v>
      </c>
      <c r="Z815" s="289" t="s">
        <v>410</v>
      </c>
      <c r="AA815" s="289" t="s">
        <v>2218</v>
      </c>
      <c r="AB815" s="289"/>
      <c r="AC815" s="289"/>
      <c r="AD815" s="289" t="s">
        <v>1446</v>
      </c>
      <c r="AE815" s="289" t="s">
        <v>410</v>
      </c>
      <c r="AF815" s="290" t="s">
        <v>1447</v>
      </c>
      <c r="AG815" s="295">
        <v>42735</v>
      </c>
      <c r="AH815" s="290" t="s">
        <v>1448</v>
      </c>
      <c r="AI815" s="289">
        <v>0</v>
      </c>
      <c r="AJ815" s="289">
        <v>5439.89</v>
      </c>
    </row>
    <row r="816" spans="2:36">
      <c r="B816" s="290">
        <v>2111</v>
      </c>
      <c r="C816" s="294">
        <v>173117</v>
      </c>
      <c r="D816" s="290" t="s">
        <v>944</v>
      </c>
      <c r="E816" s="289" t="s">
        <v>2613</v>
      </c>
      <c r="F816" s="290">
        <v>340</v>
      </c>
      <c r="G816" s="289"/>
      <c r="H816" s="289"/>
      <c r="I816" s="289"/>
      <c r="J816" s="289">
        <v>0</v>
      </c>
      <c r="K816" s="289"/>
      <c r="L816" s="289"/>
      <c r="M816" s="289"/>
      <c r="N816" s="293">
        <v>35152</v>
      </c>
      <c r="O816" s="293">
        <v>35152</v>
      </c>
      <c r="P816" s="289"/>
      <c r="Q816" s="290">
        <v>500</v>
      </c>
      <c r="R816" s="290">
        <v>14050</v>
      </c>
      <c r="S816" s="291">
        <v>20004.66</v>
      </c>
      <c r="T816" s="290">
        <v>14056</v>
      </c>
      <c r="U816" s="291">
        <v>20004.66</v>
      </c>
      <c r="V816" s="291">
        <f t="shared" si="12"/>
        <v>0</v>
      </c>
      <c r="W816" s="292">
        <v>0</v>
      </c>
      <c r="X816" s="290">
        <v>54260</v>
      </c>
      <c r="Y816" s="291">
        <v>0</v>
      </c>
      <c r="Z816" s="289" t="s">
        <v>410</v>
      </c>
      <c r="AA816" s="289" t="s">
        <v>2218</v>
      </c>
      <c r="AB816" s="289"/>
      <c r="AC816" s="289"/>
      <c r="AD816" s="289" t="s">
        <v>1446</v>
      </c>
      <c r="AE816" s="289" t="s">
        <v>410</v>
      </c>
      <c r="AF816" s="290" t="s">
        <v>1447</v>
      </c>
      <c r="AG816" s="295">
        <v>42735</v>
      </c>
      <c r="AH816" s="290" t="s">
        <v>1448</v>
      </c>
      <c r="AI816" s="289">
        <v>0</v>
      </c>
      <c r="AJ816" s="289">
        <v>20004.66</v>
      </c>
    </row>
    <row r="817" spans="2:36">
      <c r="B817" s="290">
        <v>2111</v>
      </c>
      <c r="C817" s="294">
        <v>173116</v>
      </c>
      <c r="D817" s="290" t="s">
        <v>944</v>
      </c>
      <c r="E817" s="289" t="s">
        <v>2617</v>
      </c>
      <c r="F817" s="290">
        <v>2</v>
      </c>
      <c r="G817" s="289"/>
      <c r="H817" s="289"/>
      <c r="I817" s="289"/>
      <c r="J817" s="289">
        <v>0</v>
      </c>
      <c r="K817" s="289"/>
      <c r="L817" s="289"/>
      <c r="M817" s="289" t="s">
        <v>1670</v>
      </c>
      <c r="N817" s="293">
        <v>35109</v>
      </c>
      <c r="O817" s="293">
        <v>35109</v>
      </c>
      <c r="P817" s="289"/>
      <c r="Q817" s="290">
        <v>1200</v>
      </c>
      <c r="R817" s="290">
        <v>14050</v>
      </c>
      <c r="S817" s="291">
        <v>6957.42</v>
      </c>
      <c r="T817" s="290">
        <v>14056</v>
      </c>
      <c r="U817" s="291">
        <v>6957.42</v>
      </c>
      <c r="V817" s="291">
        <f t="shared" si="12"/>
        <v>0</v>
      </c>
      <c r="W817" s="292">
        <v>0</v>
      </c>
      <c r="X817" s="290">
        <v>54260</v>
      </c>
      <c r="Y817" s="291">
        <v>0</v>
      </c>
      <c r="Z817" s="289" t="s">
        <v>410</v>
      </c>
      <c r="AA817" s="289" t="s">
        <v>2218</v>
      </c>
      <c r="AB817" s="289"/>
      <c r="AC817" s="289"/>
      <c r="AD817" s="289" t="s">
        <v>1446</v>
      </c>
      <c r="AE817" s="289" t="s">
        <v>410</v>
      </c>
      <c r="AF817" s="290" t="s">
        <v>1447</v>
      </c>
      <c r="AG817" s="295">
        <v>42735</v>
      </c>
      <c r="AH817" s="290" t="s">
        <v>1448</v>
      </c>
      <c r="AI817" s="289">
        <v>0</v>
      </c>
      <c r="AJ817" s="289">
        <v>6957.42</v>
      </c>
    </row>
    <row r="818" spans="2:36">
      <c r="B818" s="290">
        <v>2111</v>
      </c>
      <c r="C818" s="294">
        <v>173115</v>
      </c>
      <c r="D818" s="290" t="s">
        <v>944</v>
      </c>
      <c r="E818" s="289" t="s">
        <v>2618</v>
      </c>
      <c r="F818" s="290">
        <v>2</v>
      </c>
      <c r="G818" s="289"/>
      <c r="H818" s="289"/>
      <c r="I818" s="289"/>
      <c r="J818" s="289">
        <v>0</v>
      </c>
      <c r="K818" s="289"/>
      <c r="L818" s="289"/>
      <c r="M818" s="289" t="s">
        <v>1667</v>
      </c>
      <c r="N818" s="293">
        <v>35110</v>
      </c>
      <c r="O818" s="293">
        <v>35110</v>
      </c>
      <c r="P818" s="289"/>
      <c r="Q818" s="290">
        <v>1200</v>
      </c>
      <c r="R818" s="290">
        <v>14050</v>
      </c>
      <c r="S818" s="291">
        <v>7892.61</v>
      </c>
      <c r="T818" s="290">
        <v>14056</v>
      </c>
      <c r="U818" s="291">
        <v>7892.61</v>
      </c>
      <c r="V818" s="291">
        <f t="shared" si="12"/>
        <v>0</v>
      </c>
      <c r="W818" s="292">
        <v>0</v>
      </c>
      <c r="X818" s="290">
        <v>54260</v>
      </c>
      <c r="Y818" s="291">
        <v>0</v>
      </c>
      <c r="Z818" s="289" t="s">
        <v>410</v>
      </c>
      <c r="AA818" s="289" t="s">
        <v>2218</v>
      </c>
      <c r="AB818" s="289"/>
      <c r="AC818" s="289"/>
      <c r="AD818" s="289" t="s">
        <v>1446</v>
      </c>
      <c r="AE818" s="289" t="s">
        <v>410</v>
      </c>
      <c r="AF818" s="290" t="s">
        <v>1447</v>
      </c>
      <c r="AG818" s="295">
        <v>42735</v>
      </c>
      <c r="AH818" s="290" t="s">
        <v>1448</v>
      </c>
      <c r="AI818" s="289">
        <v>0</v>
      </c>
      <c r="AJ818" s="289">
        <v>7892.61</v>
      </c>
    </row>
    <row r="819" spans="2:36">
      <c r="B819" s="290">
        <v>2111</v>
      </c>
      <c r="C819" s="294">
        <v>173114</v>
      </c>
      <c r="D819" s="290" t="s">
        <v>944</v>
      </c>
      <c r="E819" s="289" t="s">
        <v>2619</v>
      </c>
      <c r="F819" s="290">
        <v>50</v>
      </c>
      <c r="G819" s="289"/>
      <c r="H819" s="289"/>
      <c r="I819" s="289"/>
      <c r="J819" s="289">
        <v>0</v>
      </c>
      <c r="K819" s="289"/>
      <c r="L819" s="289"/>
      <c r="M819" s="289" t="s">
        <v>1659</v>
      </c>
      <c r="N819" s="293">
        <v>34912</v>
      </c>
      <c r="O819" s="293">
        <v>34912</v>
      </c>
      <c r="P819" s="289"/>
      <c r="Q819" s="290">
        <v>1200</v>
      </c>
      <c r="R819" s="290">
        <v>14050</v>
      </c>
      <c r="S819" s="291">
        <v>16670.560000000001</v>
      </c>
      <c r="T819" s="290">
        <v>14056</v>
      </c>
      <c r="U819" s="291">
        <v>16670.560000000001</v>
      </c>
      <c r="V819" s="291">
        <f t="shared" si="12"/>
        <v>0</v>
      </c>
      <c r="W819" s="292">
        <v>0</v>
      </c>
      <c r="X819" s="290">
        <v>54260</v>
      </c>
      <c r="Y819" s="291">
        <v>0</v>
      </c>
      <c r="Z819" s="289" t="s">
        <v>410</v>
      </c>
      <c r="AA819" s="289" t="s">
        <v>2218</v>
      </c>
      <c r="AB819" s="289"/>
      <c r="AC819" s="289"/>
      <c r="AD819" s="289" t="s">
        <v>1446</v>
      </c>
      <c r="AE819" s="289" t="s">
        <v>410</v>
      </c>
      <c r="AF819" s="290" t="s">
        <v>1447</v>
      </c>
      <c r="AG819" s="295">
        <v>42735</v>
      </c>
      <c r="AH819" s="290" t="s">
        <v>1448</v>
      </c>
      <c r="AI819" s="289">
        <v>0</v>
      </c>
      <c r="AJ819" s="289">
        <v>16670.560000000001</v>
      </c>
    </row>
    <row r="820" spans="2:36">
      <c r="B820" s="290">
        <v>2111</v>
      </c>
      <c r="C820" s="294">
        <v>173113</v>
      </c>
      <c r="D820" s="290" t="s">
        <v>944</v>
      </c>
      <c r="E820" s="289" t="s">
        <v>2620</v>
      </c>
      <c r="F820" s="290">
        <v>1982</v>
      </c>
      <c r="G820" s="289"/>
      <c r="H820" s="289"/>
      <c r="I820" s="289"/>
      <c r="J820" s="289">
        <v>0</v>
      </c>
      <c r="K820" s="289"/>
      <c r="L820" s="289"/>
      <c r="M820" s="289"/>
      <c r="N820" s="293">
        <v>34875</v>
      </c>
      <c r="O820" s="293">
        <v>34875</v>
      </c>
      <c r="P820" s="289"/>
      <c r="Q820" s="290">
        <v>500</v>
      </c>
      <c r="R820" s="290">
        <v>14050</v>
      </c>
      <c r="S820" s="291">
        <v>12179.42</v>
      </c>
      <c r="T820" s="290">
        <v>14056</v>
      </c>
      <c r="U820" s="291">
        <v>12179.42</v>
      </c>
      <c r="V820" s="291">
        <f t="shared" si="12"/>
        <v>0</v>
      </c>
      <c r="W820" s="292">
        <v>0</v>
      </c>
      <c r="X820" s="290">
        <v>54260</v>
      </c>
      <c r="Y820" s="291">
        <v>0</v>
      </c>
      <c r="Z820" s="289" t="s">
        <v>410</v>
      </c>
      <c r="AA820" s="289" t="s">
        <v>2218</v>
      </c>
      <c r="AB820" s="289"/>
      <c r="AC820" s="289"/>
      <c r="AD820" s="289" t="s">
        <v>1446</v>
      </c>
      <c r="AE820" s="289" t="s">
        <v>410</v>
      </c>
      <c r="AF820" s="290" t="s">
        <v>1447</v>
      </c>
      <c r="AG820" s="295">
        <v>42735</v>
      </c>
      <c r="AH820" s="290" t="s">
        <v>1448</v>
      </c>
      <c r="AI820" s="289">
        <v>0</v>
      </c>
      <c r="AJ820" s="289">
        <v>12179.42</v>
      </c>
    </row>
    <row r="821" spans="2:36">
      <c r="B821" s="290">
        <v>2111</v>
      </c>
      <c r="C821" s="294">
        <v>173112</v>
      </c>
      <c r="D821" s="290" t="s">
        <v>944</v>
      </c>
      <c r="E821" s="289" t="s">
        <v>2621</v>
      </c>
      <c r="F821" s="290">
        <v>120</v>
      </c>
      <c r="G821" s="289"/>
      <c r="H821" s="289"/>
      <c r="I821" s="289"/>
      <c r="J821" s="289">
        <v>0</v>
      </c>
      <c r="K821" s="289"/>
      <c r="L821" s="289"/>
      <c r="M821" s="289"/>
      <c r="N821" s="293">
        <v>34866</v>
      </c>
      <c r="O821" s="293">
        <v>34866</v>
      </c>
      <c r="P821" s="289"/>
      <c r="Q821" s="290">
        <v>500</v>
      </c>
      <c r="R821" s="290">
        <v>14050</v>
      </c>
      <c r="S821" s="291">
        <v>6862.44</v>
      </c>
      <c r="T821" s="290">
        <v>14056</v>
      </c>
      <c r="U821" s="291">
        <v>6862.44</v>
      </c>
      <c r="V821" s="291">
        <f t="shared" si="12"/>
        <v>0</v>
      </c>
      <c r="W821" s="292">
        <v>0</v>
      </c>
      <c r="X821" s="290">
        <v>54260</v>
      </c>
      <c r="Y821" s="291">
        <v>0</v>
      </c>
      <c r="Z821" s="289" t="s">
        <v>410</v>
      </c>
      <c r="AA821" s="289" t="s">
        <v>2218</v>
      </c>
      <c r="AB821" s="289"/>
      <c r="AC821" s="289"/>
      <c r="AD821" s="289" t="s">
        <v>1446</v>
      </c>
      <c r="AE821" s="289" t="s">
        <v>410</v>
      </c>
      <c r="AF821" s="290" t="s">
        <v>1447</v>
      </c>
      <c r="AG821" s="295">
        <v>42735</v>
      </c>
      <c r="AH821" s="290" t="s">
        <v>1448</v>
      </c>
      <c r="AI821" s="289">
        <v>0</v>
      </c>
      <c r="AJ821" s="289">
        <v>6862.44</v>
      </c>
    </row>
    <row r="822" spans="2:36">
      <c r="B822" s="290">
        <v>2111</v>
      </c>
      <c r="C822" s="294">
        <v>173111</v>
      </c>
      <c r="D822" s="290" t="s">
        <v>944</v>
      </c>
      <c r="E822" s="289" t="s">
        <v>2622</v>
      </c>
      <c r="F822" s="290">
        <v>340</v>
      </c>
      <c r="G822" s="289"/>
      <c r="H822" s="289"/>
      <c r="I822" s="289"/>
      <c r="J822" s="289">
        <v>0</v>
      </c>
      <c r="K822" s="289"/>
      <c r="L822" s="289"/>
      <c r="M822" s="289"/>
      <c r="N822" s="293">
        <v>34785</v>
      </c>
      <c r="O822" s="293">
        <v>34785</v>
      </c>
      <c r="P822" s="289"/>
      <c r="Q822" s="290">
        <v>500</v>
      </c>
      <c r="R822" s="290">
        <v>14050</v>
      </c>
      <c r="S822" s="291">
        <v>19443.580000000002</v>
      </c>
      <c r="T822" s="290">
        <v>14056</v>
      </c>
      <c r="U822" s="291">
        <v>19443.580000000002</v>
      </c>
      <c r="V822" s="291">
        <f t="shared" si="12"/>
        <v>0</v>
      </c>
      <c r="W822" s="292">
        <v>0</v>
      </c>
      <c r="X822" s="290">
        <v>54260</v>
      </c>
      <c r="Y822" s="291">
        <v>0</v>
      </c>
      <c r="Z822" s="289" t="s">
        <v>410</v>
      </c>
      <c r="AA822" s="289" t="s">
        <v>2218</v>
      </c>
      <c r="AB822" s="289"/>
      <c r="AC822" s="289"/>
      <c r="AD822" s="289" t="s">
        <v>1446</v>
      </c>
      <c r="AE822" s="289" t="s">
        <v>410</v>
      </c>
      <c r="AF822" s="290" t="s">
        <v>1447</v>
      </c>
      <c r="AG822" s="295">
        <v>42735</v>
      </c>
      <c r="AH822" s="290" t="s">
        <v>1448</v>
      </c>
      <c r="AI822" s="289">
        <v>0</v>
      </c>
      <c r="AJ822" s="289">
        <v>19443.580000000002</v>
      </c>
    </row>
    <row r="823" spans="2:36">
      <c r="B823" s="290">
        <v>2111</v>
      </c>
      <c r="C823" s="294">
        <v>173110</v>
      </c>
      <c r="D823" s="290" t="s">
        <v>944</v>
      </c>
      <c r="E823" s="289" t="s">
        <v>2623</v>
      </c>
      <c r="F823" s="290">
        <v>13</v>
      </c>
      <c r="G823" s="289"/>
      <c r="H823" s="289"/>
      <c r="I823" s="289"/>
      <c r="J823" s="289">
        <v>0</v>
      </c>
      <c r="K823" s="289"/>
      <c r="L823" s="289"/>
      <c r="M823" s="289" t="s">
        <v>1662</v>
      </c>
      <c r="N823" s="293">
        <v>34560</v>
      </c>
      <c r="O823" s="293">
        <v>34560</v>
      </c>
      <c r="P823" s="289"/>
      <c r="Q823" s="290">
        <v>1200</v>
      </c>
      <c r="R823" s="290">
        <v>14050</v>
      </c>
      <c r="S823" s="291">
        <v>4208.1000000000004</v>
      </c>
      <c r="T823" s="290">
        <v>14056</v>
      </c>
      <c r="U823" s="291">
        <v>4208.1000000000004</v>
      </c>
      <c r="V823" s="291">
        <f t="shared" si="12"/>
        <v>0</v>
      </c>
      <c r="W823" s="292">
        <v>0</v>
      </c>
      <c r="X823" s="290">
        <v>54260</v>
      </c>
      <c r="Y823" s="291">
        <v>0</v>
      </c>
      <c r="Z823" s="289" t="s">
        <v>410</v>
      </c>
      <c r="AA823" s="289" t="s">
        <v>2218</v>
      </c>
      <c r="AB823" s="289"/>
      <c r="AC823" s="289"/>
      <c r="AD823" s="289" t="s">
        <v>1446</v>
      </c>
      <c r="AE823" s="289" t="s">
        <v>410</v>
      </c>
      <c r="AF823" s="290" t="s">
        <v>1447</v>
      </c>
      <c r="AG823" s="295">
        <v>42735</v>
      </c>
      <c r="AH823" s="290" t="s">
        <v>1448</v>
      </c>
      <c r="AI823" s="289">
        <v>2</v>
      </c>
      <c r="AJ823" s="289">
        <v>4208.1000000000004</v>
      </c>
    </row>
    <row r="824" spans="2:36">
      <c r="B824" s="290">
        <v>2111</v>
      </c>
      <c r="C824" s="294">
        <v>173107</v>
      </c>
      <c r="D824" s="290" t="s">
        <v>944</v>
      </c>
      <c r="E824" s="289" t="s">
        <v>2624</v>
      </c>
      <c r="F824" s="290">
        <v>2</v>
      </c>
      <c r="G824" s="289"/>
      <c r="H824" s="289"/>
      <c r="I824" s="289"/>
      <c r="J824" s="289">
        <v>0</v>
      </c>
      <c r="K824" s="289"/>
      <c r="L824" s="289"/>
      <c r="M824" s="289" t="s">
        <v>1670</v>
      </c>
      <c r="N824" s="293">
        <v>34521</v>
      </c>
      <c r="O824" s="293">
        <v>34521</v>
      </c>
      <c r="P824" s="289"/>
      <c r="Q824" s="290">
        <v>1200</v>
      </c>
      <c r="R824" s="290">
        <v>14050</v>
      </c>
      <c r="S824" s="291">
        <v>6264.67</v>
      </c>
      <c r="T824" s="290">
        <v>14056</v>
      </c>
      <c r="U824" s="291">
        <v>6264.67</v>
      </c>
      <c r="V824" s="291">
        <f t="shared" si="12"/>
        <v>0</v>
      </c>
      <c r="W824" s="292">
        <v>0</v>
      </c>
      <c r="X824" s="290">
        <v>54260</v>
      </c>
      <c r="Y824" s="291">
        <v>0</v>
      </c>
      <c r="Z824" s="289" t="s">
        <v>410</v>
      </c>
      <c r="AA824" s="289" t="s">
        <v>2218</v>
      </c>
      <c r="AB824" s="289"/>
      <c r="AC824" s="289"/>
      <c r="AD824" s="289" t="s">
        <v>1446</v>
      </c>
      <c r="AE824" s="289" t="s">
        <v>410</v>
      </c>
      <c r="AF824" s="290" t="s">
        <v>1447</v>
      </c>
      <c r="AG824" s="295">
        <v>42735</v>
      </c>
      <c r="AH824" s="290" t="s">
        <v>1448</v>
      </c>
      <c r="AI824" s="289">
        <v>0</v>
      </c>
      <c r="AJ824" s="289">
        <v>6264.67</v>
      </c>
    </row>
    <row r="825" spans="2:36">
      <c r="B825" s="290">
        <v>2111</v>
      </c>
      <c r="C825" s="294">
        <v>173105</v>
      </c>
      <c r="D825" s="290" t="s">
        <v>944</v>
      </c>
      <c r="E825" s="289" t="s">
        <v>2616</v>
      </c>
      <c r="F825" s="290">
        <v>19</v>
      </c>
      <c r="G825" s="289"/>
      <c r="H825" s="289"/>
      <c r="I825" s="289"/>
      <c r="J825" s="289">
        <v>0</v>
      </c>
      <c r="K825" s="289"/>
      <c r="L825" s="289"/>
      <c r="M825" s="289" t="s">
        <v>1918</v>
      </c>
      <c r="N825" s="293">
        <v>34480</v>
      </c>
      <c r="O825" s="293">
        <v>34480</v>
      </c>
      <c r="P825" s="289"/>
      <c r="Q825" s="290">
        <v>1200</v>
      </c>
      <c r="R825" s="290">
        <v>14050</v>
      </c>
      <c r="S825" s="291">
        <v>4734.1000000000004</v>
      </c>
      <c r="T825" s="290">
        <v>14056</v>
      </c>
      <c r="U825" s="291">
        <v>4734.1000000000004</v>
      </c>
      <c r="V825" s="291">
        <f t="shared" si="12"/>
        <v>0</v>
      </c>
      <c r="W825" s="292">
        <v>0</v>
      </c>
      <c r="X825" s="290">
        <v>54260</v>
      </c>
      <c r="Y825" s="291">
        <v>0</v>
      </c>
      <c r="Z825" s="289" t="s">
        <v>410</v>
      </c>
      <c r="AA825" s="289" t="s">
        <v>2218</v>
      </c>
      <c r="AB825" s="289"/>
      <c r="AC825" s="289"/>
      <c r="AD825" s="289" t="s">
        <v>1446</v>
      </c>
      <c r="AE825" s="289" t="s">
        <v>410</v>
      </c>
      <c r="AF825" s="290" t="s">
        <v>1447</v>
      </c>
      <c r="AG825" s="295">
        <v>42735</v>
      </c>
      <c r="AH825" s="290" t="s">
        <v>1448</v>
      </c>
      <c r="AI825" s="289">
        <v>4</v>
      </c>
      <c r="AJ825" s="289">
        <v>4734.1000000000004</v>
      </c>
    </row>
    <row r="826" spans="2:36">
      <c r="B826" s="290">
        <v>2111</v>
      </c>
      <c r="C826" s="294">
        <v>173104</v>
      </c>
      <c r="D826" s="290" t="s">
        <v>944</v>
      </c>
      <c r="E826" s="289" t="s">
        <v>2625</v>
      </c>
      <c r="F826" s="290">
        <v>20</v>
      </c>
      <c r="G826" s="289"/>
      <c r="H826" s="289"/>
      <c r="I826" s="289"/>
      <c r="J826" s="289">
        <v>0</v>
      </c>
      <c r="K826" s="289"/>
      <c r="L826" s="289"/>
      <c r="M826" s="289" t="s">
        <v>1918</v>
      </c>
      <c r="N826" s="293">
        <v>34470</v>
      </c>
      <c r="O826" s="293">
        <v>34470</v>
      </c>
      <c r="P826" s="289"/>
      <c r="Q826" s="290">
        <v>1200</v>
      </c>
      <c r="R826" s="290">
        <v>14050</v>
      </c>
      <c r="S826" s="291">
        <v>4983.25</v>
      </c>
      <c r="T826" s="290">
        <v>14056</v>
      </c>
      <c r="U826" s="291">
        <v>4983.25</v>
      </c>
      <c r="V826" s="291">
        <f t="shared" si="12"/>
        <v>0</v>
      </c>
      <c r="W826" s="292">
        <v>0</v>
      </c>
      <c r="X826" s="290">
        <v>54260</v>
      </c>
      <c r="Y826" s="291">
        <v>0</v>
      </c>
      <c r="Z826" s="289" t="s">
        <v>410</v>
      </c>
      <c r="AA826" s="289" t="s">
        <v>2218</v>
      </c>
      <c r="AB826" s="289"/>
      <c r="AC826" s="289"/>
      <c r="AD826" s="289" t="s">
        <v>1446</v>
      </c>
      <c r="AE826" s="289" t="s">
        <v>410</v>
      </c>
      <c r="AF826" s="290" t="s">
        <v>1447</v>
      </c>
      <c r="AG826" s="295">
        <v>42735</v>
      </c>
      <c r="AH826" s="290" t="s">
        <v>1448</v>
      </c>
      <c r="AI826" s="289">
        <v>0</v>
      </c>
      <c r="AJ826" s="289">
        <v>4983.25</v>
      </c>
    </row>
    <row r="827" spans="2:36">
      <c r="B827" s="290">
        <v>2111</v>
      </c>
      <c r="C827" s="294">
        <v>173103</v>
      </c>
      <c r="D827" s="290" t="s">
        <v>944</v>
      </c>
      <c r="E827" s="289" t="s">
        <v>2624</v>
      </c>
      <c r="F827" s="290">
        <v>2</v>
      </c>
      <c r="G827" s="289"/>
      <c r="H827" s="289"/>
      <c r="I827" s="289"/>
      <c r="J827" s="289">
        <v>0</v>
      </c>
      <c r="K827" s="289"/>
      <c r="L827" s="289"/>
      <c r="M827" s="289" t="s">
        <v>1670</v>
      </c>
      <c r="N827" s="293">
        <v>34445</v>
      </c>
      <c r="O827" s="293">
        <v>34445</v>
      </c>
      <c r="P827" s="289"/>
      <c r="Q827" s="290">
        <v>1200</v>
      </c>
      <c r="R827" s="290">
        <v>14050</v>
      </c>
      <c r="S827" s="291">
        <v>6503.76</v>
      </c>
      <c r="T827" s="290">
        <v>14056</v>
      </c>
      <c r="U827" s="291">
        <v>6503.76</v>
      </c>
      <c r="V827" s="291">
        <f t="shared" si="12"/>
        <v>0</v>
      </c>
      <c r="W827" s="292">
        <v>0</v>
      </c>
      <c r="X827" s="290">
        <v>54260</v>
      </c>
      <c r="Y827" s="291">
        <v>0</v>
      </c>
      <c r="Z827" s="289" t="s">
        <v>410</v>
      </c>
      <c r="AA827" s="289" t="s">
        <v>2218</v>
      </c>
      <c r="AB827" s="289"/>
      <c r="AC827" s="289"/>
      <c r="AD827" s="289" t="s">
        <v>1446</v>
      </c>
      <c r="AE827" s="289" t="s">
        <v>410</v>
      </c>
      <c r="AF827" s="290" t="s">
        <v>1447</v>
      </c>
      <c r="AG827" s="295">
        <v>42735</v>
      </c>
      <c r="AH827" s="290" t="s">
        <v>1448</v>
      </c>
      <c r="AI827" s="289">
        <v>0</v>
      </c>
      <c r="AJ827" s="289">
        <v>6503.76</v>
      </c>
    </row>
    <row r="828" spans="2:36">
      <c r="B828" s="290">
        <v>2111</v>
      </c>
      <c r="C828" s="294">
        <v>173102</v>
      </c>
      <c r="D828" s="290" t="s">
        <v>944</v>
      </c>
      <c r="E828" s="289" t="s">
        <v>2619</v>
      </c>
      <c r="F828" s="290">
        <v>25</v>
      </c>
      <c r="G828" s="289"/>
      <c r="H828" s="289"/>
      <c r="I828" s="289"/>
      <c r="J828" s="289">
        <v>0</v>
      </c>
      <c r="K828" s="289"/>
      <c r="L828" s="289"/>
      <c r="M828" s="289" t="s">
        <v>1659</v>
      </c>
      <c r="N828" s="293">
        <v>34410</v>
      </c>
      <c r="O828" s="293">
        <v>34410</v>
      </c>
      <c r="P828" s="289"/>
      <c r="Q828" s="290">
        <v>1200</v>
      </c>
      <c r="R828" s="290">
        <v>14050</v>
      </c>
      <c r="S828" s="291">
        <v>8335.2800000000007</v>
      </c>
      <c r="T828" s="290">
        <v>14056</v>
      </c>
      <c r="U828" s="291">
        <v>8335.2800000000007</v>
      </c>
      <c r="V828" s="291">
        <f t="shared" si="12"/>
        <v>0</v>
      </c>
      <c r="W828" s="292">
        <v>0</v>
      </c>
      <c r="X828" s="290">
        <v>54260</v>
      </c>
      <c r="Y828" s="291">
        <v>0</v>
      </c>
      <c r="Z828" s="289" t="s">
        <v>410</v>
      </c>
      <c r="AA828" s="289" t="s">
        <v>2218</v>
      </c>
      <c r="AB828" s="289"/>
      <c r="AC828" s="289"/>
      <c r="AD828" s="289" t="s">
        <v>1446</v>
      </c>
      <c r="AE828" s="289" t="s">
        <v>410</v>
      </c>
      <c r="AF828" s="290" t="s">
        <v>1447</v>
      </c>
      <c r="AG828" s="295">
        <v>42735</v>
      </c>
      <c r="AH828" s="290" t="s">
        <v>1448</v>
      </c>
      <c r="AI828" s="289">
        <v>0</v>
      </c>
      <c r="AJ828" s="289">
        <v>8335.2800000000007</v>
      </c>
    </row>
    <row r="829" spans="2:36">
      <c r="B829" s="290">
        <v>2111</v>
      </c>
      <c r="C829" s="294">
        <v>173098</v>
      </c>
      <c r="D829" s="290" t="s">
        <v>944</v>
      </c>
      <c r="E829" s="289" t="s">
        <v>2619</v>
      </c>
      <c r="F829" s="290">
        <v>25</v>
      </c>
      <c r="G829" s="289"/>
      <c r="H829" s="289"/>
      <c r="I829" s="289"/>
      <c r="J829" s="289">
        <v>0</v>
      </c>
      <c r="K829" s="289"/>
      <c r="L829" s="289"/>
      <c r="M829" s="289" t="s">
        <v>1659</v>
      </c>
      <c r="N829" s="293">
        <v>34156</v>
      </c>
      <c r="O829" s="293">
        <v>34156</v>
      </c>
      <c r="P829" s="289"/>
      <c r="Q829" s="290">
        <v>1200</v>
      </c>
      <c r="R829" s="290">
        <v>14050</v>
      </c>
      <c r="S829" s="291">
        <v>7680.75</v>
      </c>
      <c r="T829" s="290">
        <v>14056</v>
      </c>
      <c r="U829" s="291">
        <v>7680.75</v>
      </c>
      <c r="V829" s="291">
        <f t="shared" si="12"/>
        <v>0</v>
      </c>
      <c r="W829" s="292">
        <v>0</v>
      </c>
      <c r="X829" s="290">
        <v>54260</v>
      </c>
      <c r="Y829" s="291">
        <v>0</v>
      </c>
      <c r="Z829" s="289" t="s">
        <v>410</v>
      </c>
      <c r="AA829" s="289" t="s">
        <v>2218</v>
      </c>
      <c r="AB829" s="289"/>
      <c r="AC829" s="289"/>
      <c r="AD829" s="289" t="s">
        <v>1446</v>
      </c>
      <c r="AE829" s="289" t="s">
        <v>410</v>
      </c>
      <c r="AF829" s="290" t="s">
        <v>1447</v>
      </c>
      <c r="AG829" s="295">
        <v>42735</v>
      </c>
      <c r="AH829" s="290" t="s">
        <v>1448</v>
      </c>
      <c r="AI829" s="289">
        <v>0</v>
      </c>
      <c r="AJ829" s="289">
        <v>7680.75</v>
      </c>
    </row>
    <row r="830" spans="2:36">
      <c r="B830" s="290">
        <v>2111</v>
      </c>
      <c r="C830" s="294">
        <v>173097</v>
      </c>
      <c r="D830" s="290" t="s">
        <v>944</v>
      </c>
      <c r="E830" s="289" t="s">
        <v>2626</v>
      </c>
      <c r="F830" s="290">
        <v>100</v>
      </c>
      <c r="G830" s="289"/>
      <c r="H830" s="289"/>
      <c r="I830" s="289"/>
      <c r="J830" s="289">
        <v>0</v>
      </c>
      <c r="K830" s="289"/>
      <c r="L830" s="289"/>
      <c r="M830" s="289"/>
      <c r="N830" s="293">
        <v>34148</v>
      </c>
      <c r="O830" s="293">
        <v>34148</v>
      </c>
      <c r="P830" s="289"/>
      <c r="Q830" s="290">
        <v>500</v>
      </c>
      <c r="R830" s="290">
        <v>14050</v>
      </c>
      <c r="S830" s="291">
        <v>5551.7</v>
      </c>
      <c r="T830" s="290">
        <v>14056</v>
      </c>
      <c r="U830" s="291">
        <v>5551.7</v>
      </c>
      <c r="V830" s="291">
        <f t="shared" si="12"/>
        <v>0</v>
      </c>
      <c r="W830" s="292">
        <v>0</v>
      </c>
      <c r="X830" s="290">
        <v>54260</v>
      </c>
      <c r="Y830" s="291">
        <v>0</v>
      </c>
      <c r="Z830" s="289" t="s">
        <v>410</v>
      </c>
      <c r="AA830" s="289" t="s">
        <v>2218</v>
      </c>
      <c r="AB830" s="289"/>
      <c r="AC830" s="289"/>
      <c r="AD830" s="289" t="s">
        <v>1446</v>
      </c>
      <c r="AE830" s="289" t="s">
        <v>410</v>
      </c>
      <c r="AF830" s="290" t="s">
        <v>1447</v>
      </c>
      <c r="AG830" s="295">
        <v>42735</v>
      </c>
      <c r="AH830" s="290" t="s">
        <v>1448</v>
      </c>
      <c r="AI830" s="289">
        <v>0</v>
      </c>
      <c r="AJ830" s="289">
        <v>5551.7</v>
      </c>
    </row>
    <row r="831" spans="2:36">
      <c r="B831" s="290">
        <v>2111</v>
      </c>
      <c r="C831" s="294">
        <v>173096</v>
      </c>
      <c r="D831" s="290" t="s">
        <v>944</v>
      </c>
      <c r="E831" s="289" t="s">
        <v>2627</v>
      </c>
      <c r="F831" s="290">
        <v>250</v>
      </c>
      <c r="G831" s="289"/>
      <c r="H831" s="289"/>
      <c r="I831" s="289"/>
      <c r="J831" s="289">
        <v>0</v>
      </c>
      <c r="K831" s="289"/>
      <c r="L831" s="289"/>
      <c r="M831" s="289"/>
      <c r="N831" s="293">
        <v>34148</v>
      </c>
      <c r="O831" s="293">
        <v>34148</v>
      </c>
      <c r="P831" s="289"/>
      <c r="Q831" s="290">
        <v>500</v>
      </c>
      <c r="R831" s="290">
        <v>14050</v>
      </c>
      <c r="S831" s="291">
        <v>13879.25</v>
      </c>
      <c r="T831" s="290">
        <v>14056</v>
      </c>
      <c r="U831" s="291">
        <v>13879.25</v>
      </c>
      <c r="V831" s="291">
        <f t="shared" si="12"/>
        <v>0</v>
      </c>
      <c r="W831" s="292">
        <v>0</v>
      </c>
      <c r="X831" s="290">
        <v>54260</v>
      </c>
      <c r="Y831" s="291">
        <v>0</v>
      </c>
      <c r="Z831" s="289" t="s">
        <v>410</v>
      </c>
      <c r="AA831" s="289" t="s">
        <v>2218</v>
      </c>
      <c r="AB831" s="289"/>
      <c r="AC831" s="289"/>
      <c r="AD831" s="289" t="s">
        <v>1446</v>
      </c>
      <c r="AE831" s="289" t="s">
        <v>410</v>
      </c>
      <c r="AF831" s="290" t="s">
        <v>1447</v>
      </c>
      <c r="AG831" s="295">
        <v>42735</v>
      </c>
      <c r="AH831" s="290" t="s">
        <v>1448</v>
      </c>
      <c r="AI831" s="289">
        <v>0</v>
      </c>
      <c r="AJ831" s="289">
        <v>13879.25</v>
      </c>
    </row>
    <row r="832" spans="2:36">
      <c r="B832" s="290">
        <v>2111</v>
      </c>
      <c r="C832" s="294">
        <v>173095</v>
      </c>
      <c r="D832" s="290" t="s">
        <v>944</v>
      </c>
      <c r="E832" s="289" t="s">
        <v>2627</v>
      </c>
      <c r="F832" s="290">
        <v>90</v>
      </c>
      <c r="G832" s="289"/>
      <c r="H832" s="289"/>
      <c r="I832" s="289"/>
      <c r="J832" s="289">
        <v>0</v>
      </c>
      <c r="K832" s="289"/>
      <c r="L832" s="289"/>
      <c r="M832" s="289"/>
      <c r="N832" s="293">
        <v>34130</v>
      </c>
      <c r="O832" s="293">
        <v>34130</v>
      </c>
      <c r="P832" s="289"/>
      <c r="Q832" s="290">
        <v>500</v>
      </c>
      <c r="R832" s="290">
        <v>14050</v>
      </c>
      <c r="S832" s="291">
        <v>4996.53</v>
      </c>
      <c r="T832" s="290">
        <v>14056</v>
      </c>
      <c r="U832" s="291">
        <v>4996.53</v>
      </c>
      <c r="V832" s="291">
        <f t="shared" si="12"/>
        <v>0</v>
      </c>
      <c r="W832" s="292">
        <v>0</v>
      </c>
      <c r="X832" s="290">
        <v>54260</v>
      </c>
      <c r="Y832" s="291">
        <v>0</v>
      </c>
      <c r="Z832" s="289" t="s">
        <v>410</v>
      </c>
      <c r="AA832" s="289" t="s">
        <v>2218</v>
      </c>
      <c r="AB832" s="289"/>
      <c r="AC832" s="289"/>
      <c r="AD832" s="289" t="s">
        <v>1446</v>
      </c>
      <c r="AE832" s="289" t="s">
        <v>410</v>
      </c>
      <c r="AF832" s="290" t="s">
        <v>1447</v>
      </c>
      <c r="AG832" s="295">
        <v>42735</v>
      </c>
      <c r="AH832" s="290" t="s">
        <v>1448</v>
      </c>
      <c r="AI832" s="289">
        <v>0</v>
      </c>
      <c r="AJ832" s="289">
        <v>4996.53</v>
      </c>
    </row>
    <row r="833" spans="2:36">
      <c r="B833" s="290">
        <v>2111</v>
      </c>
      <c r="C833" s="294">
        <v>173087</v>
      </c>
      <c r="D833" s="290" t="s">
        <v>944</v>
      </c>
      <c r="E833" s="289" t="s">
        <v>2628</v>
      </c>
      <c r="F833" s="290">
        <v>10</v>
      </c>
      <c r="G833" s="289"/>
      <c r="H833" s="289"/>
      <c r="I833" s="289"/>
      <c r="J833" s="289">
        <v>0</v>
      </c>
      <c r="K833" s="289"/>
      <c r="L833" s="289"/>
      <c r="M833" s="289" t="s">
        <v>1664</v>
      </c>
      <c r="N833" s="293">
        <v>32794</v>
      </c>
      <c r="O833" s="293">
        <v>32794</v>
      </c>
      <c r="P833" s="289"/>
      <c r="Q833" s="290">
        <v>1200</v>
      </c>
      <c r="R833" s="290">
        <v>14050</v>
      </c>
      <c r="S833" s="291">
        <v>4143.05</v>
      </c>
      <c r="T833" s="290">
        <v>14056</v>
      </c>
      <c r="U833" s="291">
        <v>4143.05</v>
      </c>
      <c r="V833" s="291">
        <f t="shared" si="12"/>
        <v>0</v>
      </c>
      <c r="W833" s="292">
        <v>0</v>
      </c>
      <c r="X833" s="290">
        <v>54260</v>
      </c>
      <c r="Y833" s="291">
        <v>0</v>
      </c>
      <c r="Z833" s="289" t="s">
        <v>410</v>
      </c>
      <c r="AA833" s="289" t="s">
        <v>2218</v>
      </c>
      <c r="AB833" s="289"/>
      <c r="AC833" s="289"/>
      <c r="AD833" s="289" t="s">
        <v>1446</v>
      </c>
      <c r="AE833" s="289" t="s">
        <v>410</v>
      </c>
      <c r="AF833" s="290" t="s">
        <v>1447</v>
      </c>
      <c r="AG833" s="295">
        <v>42735</v>
      </c>
      <c r="AH833" s="290" t="s">
        <v>1448</v>
      </c>
      <c r="AI833" s="289">
        <v>0</v>
      </c>
      <c r="AJ833" s="289">
        <v>4143.05</v>
      </c>
    </row>
    <row r="834" spans="2:36">
      <c r="B834" s="290">
        <v>2111</v>
      </c>
      <c r="C834" s="294">
        <v>173085</v>
      </c>
      <c r="D834" s="290" t="s">
        <v>944</v>
      </c>
      <c r="E834" s="289" t="s">
        <v>2629</v>
      </c>
      <c r="F834" s="290">
        <v>2</v>
      </c>
      <c r="G834" s="289"/>
      <c r="H834" s="289"/>
      <c r="I834" s="289"/>
      <c r="J834" s="289">
        <v>0</v>
      </c>
      <c r="K834" s="289"/>
      <c r="L834" s="289"/>
      <c r="M834" s="289" t="s">
        <v>1664</v>
      </c>
      <c r="N834" s="293">
        <v>32477</v>
      </c>
      <c r="O834" s="293">
        <v>32477</v>
      </c>
      <c r="P834" s="289"/>
      <c r="Q834" s="290">
        <v>1200</v>
      </c>
      <c r="R834" s="290">
        <v>14050</v>
      </c>
      <c r="S834" s="291">
        <v>808.4</v>
      </c>
      <c r="T834" s="290">
        <v>14056</v>
      </c>
      <c r="U834" s="291">
        <v>808.4</v>
      </c>
      <c r="V834" s="291">
        <f t="shared" si="12"/>
        <v>0</v>
      </c>
      <c r="W834" s="292">
        <v>0</v>
      </c>
      <c r="X834" s="290">
        <v>54260</v>
      </c>
      <c r="Y834" s="291">
        <v>0</v>
      </c>
      <c r="Z834" s="289" t="s">
        <v>410</v>
      </c>
      <c r="AA834" s="289" t="s">
        <v>2218</v>
      </c>
      <c r="AB834" s="289"/>
      <c r="AC834" s="289"/>
      <c r="AD834" s="289" t="s">
        <v>1446</v>
      </c>
      <c r="AE834" s="289" t="s">
        <v>410</v>
      </c>
      <c r="AF834" s="290" t="s">
        <v>1447</v>
      </c>
      <c r="AG834" s="295">
        <v>42735</v>
      </c>
      <c r="AH834" s="290" t="s">
        <v>1448</v>
      </c>
      <c r="AI834" s="289">
        <v>2</v>
      </c>
      <c r="AJ834" s="289">
        <v>808.4</v>
      </c>
    </row>
    <row r="835" spans="2:36">
      <c r="B835" s="290">
        <v>2111</v>
      </c>
      <c r="C835" s="294">
        <v>173084</v>
      </c>
      <c r="D835" s="290" t="s">
        <v>944</v>
      </c>
      <c r="E835" s="289" t="s">
        <v>2619</v>
      </c>
      <c r="F835" s="290">
        <v>7</v>
      </c>
      <c r="G835" s="289"/>
      <c r="H835" s="289"/>
      <c r="I835" s="289"/>
      <c r="J835" s="289">
        <v>0</v>
      </c>
      <c r="K835" s="289"/>
      <c r="L835" s="289"/>
      <c r="M835" s="289" t="s">
        <v>1659</v>
      </c>
      <c r="N835" s="293">
        <v>32415</v>
      </c>
      <c r="O835" s="293">
        <v>32415</v>
      </c>
      <c r="P835" s="289"/>
      <c r="Q835" s="290">
        <v>1200</v>
      </c>
      <c r="R835" s="290">
        <v>14050</v>
      </c>
      <c r="S835" s="291">
        <v>563.86</v>
      </c>
      <c r="T835" s="290">
        <v>14056</v>
      </c>
      <c r="U835" s="291">
        <v>563.86</v>
      </c>
      <c r="V835" s="291">
        <f t="shared" si="12"/>
        <v>0</v>
      </c>
      <c r="W835" s="292">
        <v>0</v>
      </c>
      <c r="X835" s="290">
        <v>54260</v>
      </c>
      <c r="Y835" s="291">
        <v>0</v>
      </c>
      <c r="Z835" s="289" t="s">
        <v>410</v>
      </c>
      <c r="AA835" s="289" t="s">
        <v>2218</v>
      </c>
      <c r="AB835" s="289"/>
      <c r="AC835" s="289"/>
      <c r="AD835" s="289" t="s">
        <v>1446</v>
      </c>
      <c r="AE835" s="289" t="s">
        <v>410</v>
      </c>
      <c r="AF835" s="290" t="s">
        <v>1447</v>
      </c>
      <c r="AG835" s="295">
        <v>42735</v>
      </c>
      <c r="AH835" s="290" t="s">
        <v>1448</v>
      </c>
      <c r="AI835" s="289">
        <v>6</v>
      </c>
      <c r="AJ835" s="289">
        <v>563.86</v>
      </c>
    </row>
    <row r="836" spans="2:36">
      <c r="B836" s="290">
        <v>2111</v>
      </c>
      <c r="C836" s="294">
        <v>173080</v>
      </c>
      <c r="D836" s="290" t="s">
        <v>944</v>
      </c>
      <c r="E836" s="289" t="s">
        <v>2630</v>
      </c>
      <c r="F836" s="290">
        <v>0</v>
      </c>
      <c r="G836" s="289"/>
      <c r="H836" s="289" t="s">
        <v>2631</v>
      </c>
      <c r="I836" s="289"/>
      <c r="J836" s="289">
        <v>1997</v>
      </c>
      <c r="K836" s="289" t="s">
        <v>2578</v>
      </c>
      <c r="L836" s="289" t="s">
        <v>2214</v>
      </c>
      <c r="M836" s="289" t="s">
        <v>1467</v>
      </c>
      <c r="N836" s="293">
        <v>35688</v>
      </c>
      <c r="O836" s="293">
        <v>35688</v>
      </c>
      <c r="P836" s="289"/>
      <c r="Q836" s="290">
        <v>1000</v>
      </c>
      <c r="R836" s="290">
        <v>14040</v>
      </c>
      <c r="S836" s="291">
        <v>8095.22</v>
      </c>
      <c r="T836" s="290">
        <v>14046</v>
      </c>
      <c r="U836" s="291">
        <v>8095.22</v>
      </c>
      <c r="V836" s="291">
        <f t="shared" si="12"/>
        <v>0</v>
      </c>
      <c r="W836" s="292">
        <v>0</v>
      </c>
      <c r="X836" s="290">
        <v>51260</v>
      </c>
      <c r="Y836" s="291">
        <v>0</v>
      </c>
      <c r="Z836" s="289" t="s">
        <v>410</v>
      </c>
      <c r="AA836" s="289" t="s">
        <v>2218</v>
      </c>
      <c r="AB836" s="289"/>
      <c r="AC836" s="289"/>
      <c r="AD836" s="289" t="s">
        <v>1446</v>
      </c>
      <c r="AE836" s="289" t="s">
        <v>410</v>
      </c>
      <c r="AF836" s="290" t="s">
        <v>1447</v>
      </c>
      <c r="AG836" s="295">
        <v>42735</v>
      </c>
      <c r="AH836" s="290" t="s">
        <v>1448</v>
      </c>
      <c r="AI836" s="289">
        <v>0</v>
      </c>
      <c r="AJ836" s="289">
        <v>8095.22</v>
      </c>
    </row>
    <row r="837" spans="2:36">
      <c r="B837" s="290">
        <v>2111</v>
      </c>
      <c r="C837" s="294">
        <v>173079</v>
      </c>
      <c r="D837" s="290" t="s">
        <v>944</v>
      </c>
      <c r="E837" s="289" t="s">
        <v>2632</v>
      </c>
      <c r="F837" s="290">
        <v>0</v>
      </c>
      <c r="G837" s="289"/>
      <c r="H837" s="289" t="s">
        <v>2633</v>
      </c>
      <c r="I837" s="289"/>
      <c r="J837" s="289">
        <v>1998</v>
      </c>
      <c r="K837" s="289" t="s">
        <v>1483</v>
      </c>
      <c r="L837" s="289" t="s">
        <v>2634</v>
      </c>
      <c r="M837" s="289" t="s">
        <v>1746</v>
      </c>
      <c r="N837" s="293">
        <v>35655</v>
      </c>
      <c r="O837" s="293">
        <v>35655</v>
      </c>
      <c r="P837" s="289"/>
      <c r="Q837" s="290">
        <v>1000</v>
      </c>
      <c r="R837" s="290">
        <v>14040</v>
      </c>
      <c r="S837" s="291">
        <v>119807.54</v>
      </c>
      <c r="T837" s="290">
        <v>14046</v>
      </c>
      <c r="U837" s="291">
        <v>119807.54</v>
      </c>
      <c r="V837" s="291">
        <f t="shared" si="12"/>
        <v>0</v>
      </c>
      <c r="W837" s="292">
        <v>0</v>
      </c>
      <c r="X837" s="290">
        <v>51260</v>
      </c>
      <c r="Y837" s="291">
        <v>0</v>
      </c>
      <c r="Z837" s="289" t="s">
        <v>410</v>
      </c>
      <c r="AA837" s="289" t="s">
        <v>2218</v>
      </c>
      <c r="AB837" s="289"/>
      <c r="AC837" s="289">
        <v>153</v>
      </c>
      <c r="AD837" s="289" t="s">
        <v>1446</v>
      </c>
      <c r="AE837" s="289" t="s">
        <v>410</v>
      </c>
      <c r="AF837" s="290" t="s">
        <v>1447</v>
      </c>
      <c r="AG837" s="295">
        <v>42735</v>
      </c>
      <c r="AH837" s="290" t="s">
        <v>1448</v>
      </c>
      <c r="AI837" s="289">
        <v>0</v>
      </c>
      <c r="AJ837" s="289">
        <v>119807.54</v>
      </c>
    </row>
    <row r="838" spans="2:36">
      <c r="B838" s="290">
        <v>2111</v>
      </c>
      <c r="C838" s="294">
        <v>173078</v>
      </c>
      <c r="D838" s="290" t="s">
        <v>944</v>
      </c>
      <c r="E838" s="289" t="s">
        <v>2635</v>
      </c>
      <c r="F838" s="290">
        <v>0</v>
      </c>
      <c r="G838" s="289"/>
      <c r="H838" s="289" t="s">
        <v>2636</v>
      </c>
      <c r="I838" s="289"/>
      <c r="J838" s="289">
        <v>1998</v>
      </c>
      <c r="K838" s="289" t="s">
        <v>1483</v>
      </c>
      <c r="L838" s="289" t="s">
        <v>2634</v>
      </c>
      <c r="M838" s="289" t="s">
        <v>1746</v>
      </c>
      <c r="N838" s="293">
        <v>35655</v>
      </c>
      <c r="O838" s="293">
        <v>35655</v>
      </c>
      <c r="P838" s="289"/>
      <c r="Q838" s="290">
        <v>1000</v>
      </c>
      <c r="R838" s="290">
        <v>14040</v>
      </c>
      <c r="S838" s="291">
        <v>119807.54</v>
      </c>
      <c r="T838" s="290">
        <v>14046</v>
      </c>
      <c r="U838" s="291">
        <v>119807.54</v>
      </c>
      <c r="V838" s="291">
        <f t="shared" si="12"/>
        <v>0</v>
      </c>
      <c r="W838" s="292">
        <v>0</v>
      </c>
      <c r="X838" s="290">
        <v>51260</v>
      </c>
      <c r="Y838" s="291">
        <v>0</v>
      </c>
      <c r="Z838" s="289" t="s">
        <v>410</v>
      </c>
      <c r="AA838" s="289" t="s">
        <v>2218</v>
      </c>
      <c r="AB838" s="289"/>
      <c r="AC838" s="289">
        <v>152</v>
      </c>
      <c r="AD838" s="289" t="s">
        <v>1446</v>
      </c>
      <c r="AE838" s="289" t="s">
        <v>410</v>
      </c>
      <c r="AF838" s="290" t="s">
        <v>1447</v>
      </c>
      <c r="AG838" s="295">
        <v>42735</v>
      </c>
      <c r="AH838" s="290" t="s">
        <v>1448</v>
      </c>
      <c r="AI838" s="289">
        <v>0</v>
      </c>
      <c r="AJ838" s="289">
        <v>119807.54</v>
      </c>
    </row>
    <row r="839" spans="2:36">
      <c r="B839" s="290">
        <v>2111</v>
      </c>
      <c r="C839" s="294">
        <v>173077</v>
      </c>
      <c r="D839" s="290" t="s">
        <v>944</v>
      </c>
      <c r="E839" s="289" t="s">
        <v>2637</v>
      </c>
      <c r="F839" s="290">
        <v>6</v>
      </c>
      <c r="G839" s="289"/>
      <c r="H839" s="289"/>
      <c r="I839" s="289"/>
      <c r="J839" s="289">
        <v>1997</v>
      </c>
      <c r="K839" s="289" t="s">
        <v>2578</v>
      </c>
      <c r="L839" s="289" t="s">
        <v>2638</v>
      </c>
      <c r="M839" s="289" t="s">
        <v>1667</v>
      </c>
      <c r="N839" s="293">
        <v>35657</v>
      </c>
      <c r="O839" s="293">
        <v>35657</v>
      </c>
      <c r="P839" s="289"/>
      <c r="Q839" s="290">
        <v>1200</v>
      </c>
      <c r="R839" s="290">
        <v>14050</v>
      </c>
      <c r="S839" s="291">
        <v>24565.62</v>
      </c>
      <c r="T839" s="290">
        <v>14056</v>
      </c>
      <c r="U839" s="291">
        <v>24565.62</v>
      </c>
      <c r="V839" s="291">
        <f t="shared" si="12"/>
        <v>0</v>
      </c>
      <c r="W839" s="292">
        <v>0</v>
      </c>
      <c r="X839" s="290">
        <v>54260</v>
      </c>
      <c r="Y839" s="291">
        <v>0</v>
      </c>
      <c r="Z839" s="289" t="s">
        <v>410</v>
      </c>
      <c r="AA839" s="289" t="s">
        <v>2218</v>
      </c>
      <c r="AB839" s="289"/>
      <c r="AC839" s="289"/>
      <c r="AD839" s="289" t="s">
        <v>1446</v>
      </c>
      <c r="AE839" s="289" t="s">
        <v>410</v>
      </c>
      <c r="AF839" s="290" t="s">
        <v>1447</v>
      </c>
      <c r="AG839" s="295">
        <v>42735</v>
      </c>
      <c r="AH839" s="290" t="s">
        <v>1448</v>
      </c>
      <c r="AI839" s="289">
        <v>0</v>
      </c>
      <c r="AJ839" s="289">
        <v>24565.62</v>
      </c>
    </row>
    <row r="840" spans="2:36">
      <c r="B840" s="290">
        <v>2111</v>
      </c>
      <c r="C840" s="294">
        <v>173076</v>
      </c>
      <c r="D840" s="290" t="s">
        <v>944</v>
      </c>
      <c r="E840" s="289" t="s">
        <v>2622</v>
      </c>
      <c r="F840" s="290">
        <v>340</v>
      </c>
      <c r="G840" s="289"/>
      <c r="H840" s="289"/>
      <c r="I840" s="289"/>
      <c r="J840" s="289">
        <v>1996</v>
      </c>
      <c r="K840" s="289" t="s">
        <v>2578</v>
      </c>
      <c r="L840" s="289"/>
      <c r="M840" s="289"/>
      <c r="N840" s="293">
        <v>35254</v>
      </c>
      <c r="O840" s="293">
        <v>35254</v>
      </c>
      <c r="P840" s="289"/>
      <c r="Q840" s="290">
        <v>500</v>
      </c>
      <c r="R840" s="290">
        <v>14050</v>
      </c>
      <c r="S840" s="291">
        <v>20023.2</v>
      </c>
      <c r="T840" s="290">
        <v>14056</v>
      </c>
      <c r="U840" s="291">
        <v>20023.2</v>
      </c>
      <c r="V840" s="291">
        <f t="shared" si="12"/>
        <v>0</v>
      </c>
      <c r="W840" s="292">
        <v>0</v>
      </c>
      <c r="X840" s="290">
        <v>54260</v>
      </c>
      <c r="Y840" s="291">
        <v>0</v>
      </c>
      <c r="Z840" s="289" t="s">
        <v>410</v>
      </c>
      <c r="AA840" s="289" t="s">
        <v>2218</v>
      </c>
      <c r="AB840" s="289"/>
      <c r="AC840" s="289"/>
      <c r="AD840" s="289" t="s">
        <v>1446</v>
      </c>
      <c r="AE840" s="289" t="s">
        <v>410</v>
      </c>
      <c r="AF840" s="290" t="s">
        <v>1447</v>
      </c>
      <c r="AG840" s="295">
        <v>42735</v>
      </c>
      <c r="AH840" s="290" t="s">
        <v>1448</v>
      </c>
      <c r="AI840" s="289">
        <v>0</v>
      </c>
      <c r="AJ840" s="289">
        <v>20023.2</v>
      </c>
    </row>
    <row r="841" spans="2:36">
      <c r="B841" s="290">
        <v>2111</v>
      </c>
      <c r="C841" s="294">
        <v>173075</v>
      </c>
      <c r="D841" s="290"/>
      <c r="E841" s="289" t="s">
        <v>587</v>
      </c>
      <c r="F841" s="290">
        <v>0</v>
      </c>
      <c r="G841" s="289"/>
      <c r="H841" s="289"/>
      <c r="I841" s="289"/>
      <c r="J841" s="289">
        <v>0</v>
      </c>
      <c r="K841" s="289"/>
      <c r="L841" s="289"/>
      <c r="M841" s="289"/>
      <c r="N841" s="293">
        <v>36160</v>
      </c>
      <c r="O841" s="293">
        <v>36160</v>
      </c>
      <c r="P841" s="289"/>
      <c r="Q841" s="290">
        <v>0</v>
      </c>
      <c r="R841" s="290">
        <v>14000</v>
      </c>
      <c r="S841" s="291">
        <v>12084.87</v>
      </c>
      <c r="T841" s="290">
        <v>14016</v>
      </c>
      <c r="U841" s="291">
        <v>0</v>
      </c>
      <c r="V841" s="291">
        <f t="shared" si="12"/>
        <v>12084.87</v>
      </c>
      <c r="W841" s="292">
        <v>0</v>
      </c>
      <c r="X841" s="290">
        <v>57260</v>
      </c>
      <c r="Y841" s="291">
        <v>0</v>
      </c>
      <c r="Z841" s="289" t="s">
        <v>410</v>
      </c>
      <c r="AA841" s="289" t="s">
        <v>2218</v>
      </c>
      <c r="AB841" s="289"/>
      <c r="AC841" s="289"/>
      <c r="AD841" s="289" t="s">
        <v>1446</v>
      </c>
      <c r="AE841" s="289" t="s">
        <v>410</v>
      </c>
      <c r="AF841" s="290" t="s">
        <v>1660</v>
      </c>
      <c r="AG841" s="295">
        <v>42735</v>
      </c>
      <c r="AH841" s="290" t="s">
        <v>1448</v>
      </c>
      <c r="AI841" s="289">
        <v>0</v>
      </c>
      <c r="AJ841" s="289">
        <v>0</v>
      </c>
    </row>
    <row r="842" spans="2:36">
      <c r="B842" s="290">
        <v>2111</v>
      </c>
      <c r="C842" s="294">
        <v>172841</v>
      </c>
      <c r="D842" s="290">
        <v>102158</v>
      </c>
      <c r="E842" s="289" t="s">
        <v>567</v>
      </c>
      <c r="F842" s="290"/>
      <c r="G842" s="289"/>
      <c r="H842" s="289"/>
      <c r="I842" s="289"/>
      <c r="J842" s="289">
        <v>0</v>
      </c>
      <c r="K842" s="289" t="s">
        <v>2205</v>
      </c>
      <c r="L842" s="289"/>
      <c r="M842" s="289" t="s">
        <v>1586</v>
      </c>
      <c r="N842" s="293">
        <v>42736</v>
      </c>
      <c r="O842" s="293">
        <v>42736</v>
      </c>
      <c r="P842" s="289" t="s">
        <v>2639</v>
      </c>
      <c r="Q842" s="290">
        <v>500</v>
      </c>
      <c r="R842" s="290">
        <v>14040</v>
      </c>
      <c r="S842" s="291">
        <v>67968.03</v>
      </c>
      <c r="T842" s="290">
        <v>14046</v>
      </c>
      <c r="U842" s="291">
        <v>67968.03</v>
      </c>
      <c r="V842" s="291">
        <f t="shared" si="12"/>
        <v>0</v>
      </c>
      <c r="W842" s="292">
        <v>0</v>
      </c>
      <c r="X842" s="290">
        <v>51260</v>
      </c>
      <c r="Y842" s="291">
        <v>0</v>
      </c>
      <c r="Z842" s="289" t="s">
        <v>944</v>
      </c>
      <c r="AA842" s="289"/>
      <c r="AB842" s="289" t="s">
        <v>2640</v>
      </c>
      <c r="AC842" s="289"/>
      <c r="AD842" s="289" t="s">
        <v>1446</v>
      </c>
      <c r="AE842" s="289" t="s">
        <v>410</v>
      </c>
      <c r="AF842" s="290" t="s">
        <v>1447</v>
      </c>
      <c r="AG842" s="289"/>
      <c r="AH842" s="290" t="s">
        <v>1448</v>
      </c>
      <c r="AI842" s="289">
        <v>0</v>
      </c>
      <c r="AJ842" s="289">
        <v>0</v>
      </c>
    </row>
    <row r="843" spans="2:36">
      <c r="B843" s="290">
        <v>2111</v>
      </c>
      <c r="C843" s="294">
        <v>171824</v>
      </c>
      <c r="D843" s="290" t="s">
        <v>944</v>
      </c>
      <c r="E843" s="289" t="s">
        <v>2641</v>
      </c>
      <c r="F843" s="290"/>
      <c r="G843" s="289"/>
      <c r="H843" s="289"/>
      <c r="I843" s="289"/>
      <c r="J843" s="289">
        <v>0</v>
      </c>
      <c r="K843" s="289" t="s">
        <v>1657</v>
      </c>
      <c r="L843" s="289"/>
      <c r="M843" s="289"/>
      <c r="N843" s="293">
        <v>42724</v>
      </c>
      <c r="O843" s="293">
        <v>42724</v>
      </c>
      <c r="P843" s="289" t="s">
        <v>2164</v>
      </c>
      <c r="Q843" s="290">
        <v>200</v>
      </c>
      <c r="R843" s="290">
        <v>14110</v>
      </c>
      <c r="S843" s="291">
        <v>1311.89</v>
      </c>
      <c r="T843" s="290">
        <v>14116</v>
      </c>
      <c r="U843" s="291">
        <v>1311.89</v>
      </c>
      <c r="V843" s="291">
        <f t="shared" si="12"/>
        <v>0</v>
      </c>
      <c r="W843" s="292">
        <v>0</v>
      </c>
      <c r="X843" s="290">
        <v>70260</v>
      </c>
      <c r="Y843" s="291">
        <v>0</v>
      </c>
      <c r="Z843" s="289" t="s">
        <v>944</v>
      </c>
      <c r="AA843" s="289"/>
      <c r="AB843" s="289" t="s">
        <v>2642</v>
      </c>
      <c r="AC843" s="289"/>
      <c r="AD843" s="289" t="s">
        <v>1446</v>
      </c>
      <c r="AE843" s="289" t="s">
        <v>410</v>
      </c>
      <c r="AF843" s="290" t="s">
        <v>1447</v>
      </c>
      <c r="AG843" s="289"/>
      <c r="AH843" s="290" t="s">
        <v>1448</v>
      </c>
      <c r="AI843" s="289">
        <v>0</v>
      </c>
      <c r="AJ843" s="289">
        <v>0</v>
      </c>
    </row>
    <row r="844" spans="2:36">
      <c r="B844" s="290">
        <v>2111</v>
      </c>
      <c r="C844" s="294">
        <v>171235</v>
      </c>
      <c r="D844" s="290" t="s">
        <v>944</v>
      </c>
      <c r="E844" s="289" t="s">
        <v>1257</v>
      </c>
      <c r="F844" s="290"/>
      <c r="G844" s="289"/>
      <c r="H844" s="289" t="s">
        <v>2643</v>
      </c>
      <c r="I844" s="289"/>
      <c r="J844" s="289">
        <v>2014</v>
      </c>
      <c r="K844" s="289" t="s">
        <v>1483</v>
      </c>
      <c r="L844" s="289" t="s">
        <v>2206</v>
      </c>
      <c r="M844" s="289" t="s">
        <v>1577</v>
      </c>
      <c r="N844" s="293">
        <v>42730</v>
      </c>
      <c r="O844" s="293">
        <v>42730</v>
      </c>
      <c r="P844" s="289" t="s">
        <v>2207</v>
      </c>
      <c r="Q844" s="290">
        <v>400</v>
      </c>
      <c r="R844" s="290">
        <v>14040</v>
      </c>
      <c r="S844" s="291">
        <v>104215</v>
      </c>
      <c r="T844" s="290">
        <v>14046</v>
      </c>
      <c r="U844" s="291">
        <v>104215</v>
      </c>
      <c r="V844" s="291">
        <f t="shared" si="12"/>
        <v>0</v>
      </c>
      <c r="W844" s="292">
        <v>0</v>
      </c>
      <c r="X844" s="290">
        <v>51260</v>
      </c>
      <c r="Y844" s="291">
        <v>0</v>
      </c>
      <c r="Z844" s="289" t="s">
        <v>944</v>
      </c>
      <c r="AA844" s="289"/>
      <c r="AB844" s="289" t="s">
        <v>2644</v>
      </c>
      <c r="AC844" s="289">
        <v>188</v>
      </c>
      <c r="AD844" s="289" t="s">
        <v>1446</v>
      </c>
      <c r="AE844" s="289" t="s">
        <v>410</v>
      </c>
      <c r="AF844" s="290" t="s">
        <v>1447</v>
      </c>
      <c r="AG844" s="289"/>
      <c r="AH844" s="290" t="s">
        <v>1448</v>
      </c>
      <c r="AI844" s="289">
        <v>0</v>
      </c>
      <c r="AJ844" s="289">
        <v>0</v>
      </c>
    </row>
    <row r="845" spans="2:36">
      <c r="B845" s="290">
        <v>2111</v>
      </c>
      <c r="C845" s="294">
        <v>170509</v>
      </c>
      <c r="D845" s="290" t="s">
        <v>944</v>
      </c>
      <c r="E845" s="289" t="s">
        <v>158</v>
      </c>
      <c r="F845" s="290"/>
      <c r="G845" s="289"/>
      <c r="H845" s="289"/>
      <c r="I845" s="289"/>
      <c r="J845" s="289">
        <v>0</v>
      </c>
      <c r="K845" s="289" t="s">
        <v>2645</v>
      </c>
      <c r="L845" s="289"/>
      <c r="M845" s="289" t="s">
        <v>1586</v>
      </c>
      <c r="N845" s="293">
        <v>42675</v>
      </c>
      <c r="O845" s="293">
        <v>42675</v>
      </c>
      <c r="P845" s="289" t="s">
        <v>2646</v>
      </c>
      <c r="Q845" s="290">
        <v>300</v>
      </c>
      <c r="R845" s="290">
        <v>14040</v>
      </c>
      <c r="S845" s="291">
        <v>14023.35</v>
      </c>
      <c r="T845" s="290">
        <v>14046</v>
      </c>
      <c r="U845" s="291">
        <v>14023.35</v>
      </c>
      <c r="V845" s="291">
        <f t="shared" si="12"/>
        <v>0</v>
      </c>
      <c r="W845" s="292">
        <v>0</v>
      </c>
      <c r="X845" s="290">
        <v>51260</v>
      </c>
      <c r="Y845" s="291">
        <v>0</v>
      </c>
      <c r="Z845" s="289" t="s">
        <v>944</v>
      </c>
      <c r="AA845" s="289"/>
      <c r="AB845" s="289" t="s">
        <v>2647</v>
      </c>
      <c r="AC845" s="289"/>
      <c r="AD845" s="289" t="s">
        <v>1446</v>
      </c>
      <c r="AE845" s="289" t="s">
        <v>410</v>
      </c>
      <c r="AF845" s="290" t="s">
        <v>1447</v>
      </c>
      <c r="AG845" s="289"/>
      <c r="AH845" s="290" t="s">
        <v>1448</v>
      </c>
      <c r="AI845" s="289">
        <v>0</v>
      </c>
      <c r="AJ845" s="289">
        <v>0</v>
      </c>
    </row>
    <row r="846" spans="2:36">
      <c r="B846" s="290">
        <v>2111</v>
      </c>
      <c r="C846" s="294">
        <v>170480</v>
      </c>
      <c r="D846" s="290" t="s">
        <v>944</v>
      </c>
      <c r="E846" s="289" t="s">
        <v>2648</v>
      </c>
      <c r="F846" s="290"/>
      <c r="G846" s="289"/>
      <c r="H846" s="289"/>
      <c r="I846" s="289"/>
      <c r="J846" s="289">
        <v>0</v>
      </c>
      <c r="K846" s="289" t="s">
        <v>2649</v>
      </c>
      <c r="L846" s="289"/>
      <c r="M846" s="289" t="s">
        <v>1467</v>
      </c>
      <c r="N846" s="293">
        <v>42675</v>
      </c>
      <c r="O846" s="293">
        <v>42675</v>
      </c>
      <c r="P846" s="289" t="s">
        <v>2646</v>
      </c>
      <c r="Q846" s="290">
        <v>300</v>
      </c>
      <c r="R846" s="290">
        <v>14040</v>
      </c>
      <c r="S846" s="291">
        <v>1575</v>
      </c>
      <c r="T846" s="290">
        <v>14046</v>
      </c>
      <c r="U846" s="291">
        <v>1575</v>
      </c>
      <c r="V846" s="291">
        <f t="shared" ref="V846:V909" si="13">S846-U846</f>
        <v>0</v>
      </c>
      <c r="W846" s="292">
        <v>0</v>
      </c>
      <c r="X846" s="290">
        <v>51260</v>
      </c>
      <c r="Y846" s="291">
        <v>0</v>
      </c>
      <c r="Z846" s="289" t="s">
        <v>944</v>
      </c>
      <c r="AA846" s="289"/>
      <c r="AB846" s="289">
        <v>1234</v>
      </c>
      <c r="AC846" s="289"/>
      <c r="AD846" s="289" t="s">
        <v>1446</v>
      </c>
      <c r="AE846" s="289" t="s">
        <v>410</v>
      </c>
      <c r="AF846" s="290" t="s">
        <v>1447</v>
      </c>
      <c r="AG846" s="289"/>
      <c r="AH846" s="290" t="s">
        <v>1448</v>
      </c>
      <c r="AI846" s="289">
        <v>0</v>
      </c>
      <c r="AJ846" s="289">
        <v>0</v>
      </c>
    </row>
    <row r="847" spans="2:36">
      <c r="B847" s="290">
        <v>2111</v>
      </c>
      <c r="C847" s="294">
        <v>170429</v>
      </c>
      <c r="D847" s="290" t="s">
        <v>944</v>
      </c>
      <c r="E847" s="289" t="s">
        <v>2650</v>
      </c>
      <c r="F847" s="290"/>
      <c r="G847" s="289"/>
      <c r="H847" s="289"/>
      <c r="I847" s="289"/>
      <c r="J847" s="289">
        <v>0</v>
      </c>
      <c r="K847" s="289" t="s">
        <v>2651</v>
      </c>
      <c r="L847" s="289"/>
      <c r="M847" s="289"/>
      <c r="N847" s="293">
        <v>42675</v>
      </c>
      <c r="O847" s="293">
        <v>42675</v>
      </c>
      <c r="P847" s="289" t="s">
        <v>2652</v>
      </c>
      <c r="Q847" s="290">
        <v>1000</v>
      </c>
      <c r="R847" s="290">
        <v>14080</v>
      </c>
      <c r="S847" s="291">
        <v>17748.240000000002</v>
      </c>
      <c r="T847" s="290">
        <v>14086</v>
      </c>
      <c r="U847" s="291">
        <v>10205.209999999999</v>
      </c>
      <c r="V847" s="291">
        <f t="shared" si="13"/>
        <v>7543.0300000000025</v>
      </c>
      <c r="W847" s="292">
        <v>1035.31</v>
      </c>
      <c r="X847" s="290">
        <v>57260</v>
      </c>
      <c r="Y847" s="291">
        <v>147.9</v>
      </c>
      <c r="Z847" s="289" t="s">
        <v>944</v>
      </c>
      <c r="AA847" s="289"/>
      <c r="AB847" s="289">
        <v>37668</v>
      </c>
      <c r="AC847" s="289"/>
      <c r="AD847" s="289" t="s">
        <v>1446</v>
      </c>
      <c r="AE847" s="289" t="s">
        <v>410</v>
      </c>
      <c r="AF847" s="290" t="s">
        <v>1447</v>
      </c>
      <c r="AG847" s="289"/>
      <c r="AH847" s="290" t="s">
        <v>1448</v>
      </c>
      <c r="AI847" s="289">
        <v>0</v>
      </c>
      <c r="AJ847" s="289">
        <v>0</v>
      </c>
    </row>
    <row r="848" spans="2:36">
      <c r="B848" s="290">
        <v>2111</v>
      </c>
      <c r="C848" s="294">
        <v>170261</v>
      </c>
      <c r="D848" s="290">
        <v>169996</v>
      </c>
      <c r="E848" s="289" t="s">
        <v>1120</v>
      </c>
      <c r="F848" s="290"/>
      <c r="G848" s="289"/>
      <c r="H848" s="289"/>
      <c r="I848" s="289"/>
      <c r="J848" s="289">
        <v>0</v>
      </c>
      <c r="K848" s="289" t="s">
        <v>2001</v>
      </c>
      <c r="L848" s="289" t="s">
        <v>2206</v>
      </c>
      <c r="M848" s="289" t="s">
        <v>1586</v>
      </c>
      <c r="N848" s="293">
        <v>42699</v>
      </c>
      <c r="O848" s="293">
        <v>42699</v>
      </c>
      <c r="P848" s="289" t="s">
        <v>2653</v>
      </c>
      <c r="Q848" s="290">
        <v>500</v>
      </c>
      <c r="R848" s="290">
        <v>14040</v>
      </c>
      <c r="S848" s="291">
        <v>632.72</v>
      </c>
      <c r="T848" s="290">
        <v>14046</v>
      </c>
      <c r="U848" s="291">
        <v>632.72</v>
      </c>
      <c r="V848" s="291">
        <f t="shared" si="13"/>
        <v>0</v>
      </c>
      <c r="W848" s="292">
        <v>0</v>
      </c>
      <c r="X848" s="290">
        <v>51260</v>
      </c>
      <c r="Y848" s="291">
        <v>0</v>
      </c>
      <c r="Z848" s="289" t="s">
        <v>944</v>
      </c>
      <c r="AA848" s="289"/>
      <c r="AB848" s="289">
        <v>5050257</v>
      </c>
      <c r="AC848" s="289"/>
      <c r="AD848" s="289" t="s">
        <v>1446</v>
      </c>
      <c r="AE848" s="289" t="s">
        <v>410</v>
      </c>
      <c r="AF848" s="290" t="s">
        <v>1447</v>
      </c>
      <c r="AG848" s="289"/>
      <c r="AH848" s="290" t="s">
        <v>1448</v>
      </c>
      <c r="AI848" s="289">
        <v>0</v>
      </c>
      <c r="AJ848" s="289">
        <v>0</v>
      </c>
    </row>
    <row r="849" spans="2:36">
      <c r="B849" s="290">
        <v>2111</v>
      </c>
      <c r="C849" s="294">
        <v>169996</v>
      </c>
      <c r="D849" s="290" t="s">
        <v>944</v>
      </c>
      <c r="E849" s="289" t="s">
        <v>584</v>
      </c>
      <c r="F849" s="290"/>
      <c r="G849" s="289"/>
      <c r="H849" s="289" t="s">
        <v>2654</v>
      </c>
      <c r="I849" s="289"/>
      <c r="J849" s="289">
        <v>2012</v>
      </c>
      <c r="K849" s="289" t="s">
        <v>2166</v>
      </c>
      <c r="L849" s="289" t="s">
        <v>2206</v>
      </c>
      <c r="M849" s="289" t="s">
        <v>2039</v>
      </c>
      <c r="N849" s="293">
        <v>42699</v>
      </c>
      <c r="O849" s="293">
        <v>42699</v>
      </c>
      <c r="P849" s="289" t="s">
        <v>2653</v>
      </c>
      <c r="Q849" s="290">
        <v>500</v>
      </c>
      <c r="R849" s="290">
        <v>14040</v>
      </c>
      <c r="S849" s="291">
        <v>34500</v>
      </c>
      <c r="T849" s="290">
        <v>14046</v>
      </c>
      <c r="U849" s="291">
        <v>34500</v>
      </c>
      <c r="V849" s="291">
        <f t="shared" si="13"/>
        <v>0</v>
      </c>
      <c r="W849" s="292">
        <v>0</v>
      </c>
      <c r="X849" s="290">
        <v>51260</v>
      </c>
      <c r="Y849" s="291">
        <v>0</v>
      </c>
      <c r="Z849" s="289" t="s">
        <v>944</v>
      </c>
      <c r="AA849" s="289"/>
      <c r="AB849" s="289">
        <v>7961161005070</v>
      </c>
      <c r="AC849" s="289" t="s">
        <v>412</v>
      </c>
      <c r="AD849" s="289" t="s">
        <v>1446</v>
      </c>
      <c r="AE849" s="289" t="s">
        <v>410</v>
      </c>
      <c r="AF849" s="290" t="s">
        <v>1447</v>
      </c>
      <c r="AG849" s="289"/>
      <c r="AH849" s="290" t="s">
        <v>1448</v>
      </c>
      <c r="AI849" s="289">
        <v>0</v>
      </c>
      <c r="AJ849" s="289">
        <v>0</v>
      </c>
    </row>
    <row r="850" spans="2:36">
      <c r="B850" s="290">
        <v>2111</v>
      </c>
      <c r="C850" s="294">
        <v>168978</v>
      </c>
      <c r="D850" s="290">
        <v>102127</v>
      </c>
      <c r="E850" s="289" t="s">
        <v>406</v>
      </c>
      <c r="F850" s="290"/>
      <c r="G850" s="289"/>
      <c r="H850" s="289"/>
      <c r="I850" s="289"/>
      <c r="J850" s="289">
        <v>0</v>
      </c>
      <c r="K850" s="289" t="s">
        <v>2262</v>
      </c>
      <c r="L850" s="289"/>
      <c r="M850" s="289" t="s">
        <v>1586</v>
      </c>
      <c r="N850" s="293">
        <v>42536</v>
      </c>
      <c r="O850" s="293">
        <v>42536</v>
      </c>
      <c r="P850" s="289" t="s">
        <v>2655</v>
      </c>
      <c r="Q850" s="290">
        <v>300</v>
      </c>
      <c r="R850" s="290">
        <v>14040</v>
      </c>
      <c r="S850" s="291">
        <v>8833.89</v>
      </c>
      <c r="T850" s="290">
        <v>14046</v>
      </c>
      <c r="U850" s="291">
        <v>8833.89</v>
      </c>
      <c r="V850" s="291">
        <f t="shared" si="13"/>
        <v>0</v>
      </c>
      <c r="W850" s="292">
        <v>0</v>
      </c>
      <c r="X850" s="290">
        <v>51260</v>
      </c>
      <c r="Y850" s="291">
        <v>0</v>
      </c>
      <c r="Z850" s="289" t="s">
        <v>944</v>
      </c>
      <c r="AA850" s="289"/>
      <c r="AB850" s="289" t="s">
        <v>2656</v>
      </c>
      <c r="AC850" s="289"/>
      <c r="AD850" s="289" t="s">
        <v>1446</v>
      </c>
      <c r="AE850" s="289" t="s">
        <v>410</v>
      </c>
      <c r="AF850" s="290" t="s">
        <v>1447</v>
      </c>
      <c r="AG850" s="289"/>
      <c r="AH850" s="290" t="s">
        <v>1448</v>
      </c>
      <c r="AI850" s="289">
        <v>0</v>
      </c>
      <c r="AJ850" s="289">
        <v>0</v>
      </c>
    </row>
    <row r="851" spans="2:36">
      <c r="B851" s="290">
        <v>2111</v>
      </c>
      <c r="C851" s="294">
        <v>168021</v>
      </c>
      <c r="D851" s="290" t="s">
        <v>944</v>
      </c>
      <c r="E851" s="289" t="s">
        <v>2657</v>
      </c>
      <c r="F851" s="290"/>
      <c r="G851" s="289"/>
      <c r="H851" s="289"/>
      <c r="I851" s="289"/>
      <c r="J851" s="289">
        <v>0</v>
      </c>
      <c r="K851" s="289" t="s">
        <v>1657</v>
      </c>
      <c r="L851" s="289"/>
      <c r="M851" s="289"/>
      <c r="N851" s="293">
        <v>42635</v>
      </c>
      <c r="O851" s="293">
        <v>42635</v>
      </c>
      <c r="P851" s="289" t="s">
        <v>2658</v>
      </c>
      <c r="Q851" s="290">
        <v>300</v>
      </c>
      <c r="R851" s="290">
        <v>14110</v>
      </c>
      <c r="S851" s="291">
        <v>993.08</v>
      </c>
      <c r="T851" s="290">
        <v>14116</v>
      </c>
      <c r="U851" s="291">
        <v>993.08</v>
      </c>
      <c r="V851" s="291">
        <f t="shared" si="13"/>
        <v>0</v>
      </c>
      <c r="W851" s="292">
        <v>0</v>
      </c>
      <c r="X851" s="290">
        <v>70260</v>
      </c>
      <c r="Y851" s="291">
        <v>0</v>
      </c>
      <c r="Z851" s="289" t="s">
        <v>944</v>
      </c>
      <c r="AA851" s="289"/>
      <c r="AB851" s="289" t="s">
        <v>2659</v>
      </c>
      <c r="AC851" s="289"/>
      <c r="AD851" s="289" t="s">
        <v>1446</v>
      </c>
      <c r="AE851" s="289" t="s">
        <v>410</v>
      </c>
      <c r="AF851" s="290" t="s">
        <v>1447</v>
      </c>
      <c r="AG851" s="289"/>
      <c r="AH851" s="290" t="s">
        <v>1448</v>
      </c>
      <c r="AI851" s="289">
        <v>0</v>
      </c>
      <c r="AJ851" s="289">
        <v>0</v>
      </c>
    </row>
    <row r="852" spans="2:36">
      <c r="B852" s="290">
        <v>2111</v>
      </c>
      <c r="C852" s="294">
        <v>166868</v>
      </c>
      <c r="D852" s="290" t="s">
        <v>944</v>
      </c>
      <c r="E852" s="289" t="s">
        <v>512</v>
      </c>
      <c r="F852" s="290">
        <v>624</v>
      </c>
      <c r="G852" s="289"/>
      <c r="H852" s="289"/>
      <c r="I852" s="289"/>
      <c r="J852" s="289">
        <v>0</v>
      </c>
      <c r="K852" s="289" t="s">
        <v>2093</v>
      </c>
      <c r="L852" s="289"/>
      <c r="M852" s="289"/>
      <c r="N852" s="293">
        <v>42548</v>
      </c>
      <c r="O852" s="293">
        <v>42548</v>
      </c>
      <c r="P852" s="289" t="s">
        <v>2660</v>
      </c>
      <c r="Q852" s="290">
        <v>700</v>
      </c>
      <c r="R852" s="290">
        <v>14050</v>
      </c>
      <c r="S852" s="291">
        <v>31693.8</v>
      </c>
      <c r="T852" s="290">
        <v>14056</v>
      </c>
      <c r="U852" s="291">
        <v>27543.439999999999</v>
      </c>
      <c r="V852" s="291">
        <f t="shared" si="13"/>
        <v>4150.3600000000006</v>
      </c>
      <c r="W852" s="292">
        <v>2641.15</v>
      </c>
      <c r="X852" s="290">
        <v>54260</v>
      </c>
      <c r="Y852" s="291">
        <v>377.3</v>
      </c>
      <c r="Z852" s="289" t="s">
        <v>944</v>
      </c>
      <c r="AA852" s="289"/>
      <c r="AB852" s="289">
        <v>65414484</v>
      </c>
      <c r="AC852" s="289"/>
      <c r="AD852" s="289" t="s">
        <v>1446</v>
      </c>
      <c r="AE852" s="289" t="s">
        <v>410</v>
      </c>
      <c r="AF852" s="290" t="s">
        <v>1447</v>
      </c>
      <c r="AG852" s="289"/>
      <c r="AH852" s="290" t="s">
        <v>1448</v>
      </c>
      <c r="AI852" s="289">
        <v>0</v>
      </c>
      <c r="AJ852" s="289">
        <v>0</v>
      </c>
    </row>
    <row r="853" spans="2:36">
      <c r="B853" s="290">
        <v>2111</v>
      </c>
      <c r="C853" s="294">
        <v>166867</v>
      </c>
      <c r="D853" s="290" t="s">
        <v>944</v>
      </c>
      <c r="E853" s="289" t="s">
        <v>512</v>
      </c>
      <c r="F853" s="290">
        <v>624</v>
      </c>
      <c r="G853" s="289"/>
      <c r="H853" s="289"/>
      <c r="I853" s="289"/>
      <c r="J853" s="289">
        <v>0</v>
      </c>
      <c r="K853" s="289" t="s">
        <v>2093</v>
      </c>
      <c r="L853" s="289"/>
      <c r="M853" s="289"/>
      <c r="N853" s="293">
        <v>42541</v>
      </c>
      <c r="O853" s="293">
        <v>42541</v>
      </c>
      <c r="P853" s="289" t="s">
        <v>2660</v>
      </c>
      <c r="Q853" s="290">
        <v>700</v>
      </c>
      <c r="R853" s="290">
        <v>14050</v>
      </c>
      <c r="S853" s="291">
        <v>31693.79</v>
      </c>
      <c r="T853" s="290">
        <v>14056</v>
      </c>
      <c r="U853" s="291">
        <v>27543.439999999999</v>
      </c>
      <c r="V853" s="291">
        <f t="shared" si="13"/>
        <v>4150.3500000000022</v>
      </c>
      <c r="W853" s="292">
        <v>2641.15</v>
      </c>
      <c r="X853" s="290">
        <v>54260</v>
      </c>
      <c r="Y853" s="291">
        <v>377.3</v>
      </c>
      <c r="Z853" s="289" t="s">
        <v>944</v>
      </c>
      <c r="AA853" s="289"/>
      <c r="AB853" s="289">
        <v>65413671</v>
      </c>
      <c r="AC853" s="289"/>
      <c r="AD853" s="289" t="s">
        <v>1446</v>
      </c>
      <c r="AE853" s="289" t="s">
        <v>410</v>
      </c>
      <c r="AF853" s="290" t="s">
        <v>1447</v>
      </c>
      <c r="AG853" s="289"/>
      <c r="AH853" s="290" t="s">
        <v>1448</v>
      </c>
      <c r="AI853" s="289">
        <v>0</v>
      </c>
      <c r="AJ853" s="289">
        <v>0</v>
      </c>
    </row>
    <row r="854" spans="2:36">
      <c r="B854" s="290">
        <v>2111</v>
      </c>
      <c r="C854" s="294">
        <v>166835</v>
      </c>
      <c r="D854" s="290" t="s">
        <v>944</v>
      </c>
      <c r="E854" s="289" t="s">
        <v>404</v>
      </c>
      <c r="F854" s="290"/>
      <c r="G854" s="289"/>
      <c r="H854" s="289">
        <v>61174</v>
      </c>
      <c r="I854" s="289"/>
      <c r="J854" s="289">
        <v>1986</v>
      </c>
      <c r="K854" s="289" t="s">
        <v>2661</v>
      </c>
      <c r="L854" s="289"/>
      <c r="M854" s="289" t="s">
        <v>2662</v>
      </c>
      <c r="N854" s="293">
        <v>42522</v>
      </c>
      <c r="O854" s="293">
        <v>42522</v>
      </c>
      <c r="P854" s="289" t="s">
        <v>2663</v>
      </c>
      <c r="Q854" s="290">
        <v>300</v>
      </c>
      <c r="R854" s="290">
        <v>14040</v>
      </c>
      <c r="S854" s="291">
        <v>5475</v>
      </c>
      <c r="T854" s="290">
        <v>14046</v>
      </c>
      <c r="U854" s="291">
        <v>5475</v>
      </c>
      <c r="V854" s="291">
        <f t="shared" si="13"/>
        <v>0</v>
      </c>
      <c r="W854" s="292">
        <v>0</v>
      </c>
      <c r="X854" s="290">
        <v>51260</v>
      </c>
      <c r="Y854" s="291">
        <v>0</v>
      </c>
      <c r="Z854" s="289" t="s">
        <v>944</v>
      </c>
      <c r="AA854" s="289"/>
      <c r="AB854" s="289" t="s">
        <v>2664</v>
      </c>
      <c r="AC854" s="289" t="s">
        <v>413</v>
      </c>
      <c r="AD854" s="289" t="s">
        <v>1446</v>
      </c>
      <c r="AE854" s="289" t="s">
        <v>410</v>
      </c>
      <c r="AF854" s="290" t="s">
        <v>1447</v>
      </c>
      <c r="AG854" s="289"/>
      <c r="AH854" s="290" t="s">
        <v>1448</v>
      </c>
      <c r="AI854" s="289">
        <v>0</v>
      </c>
      <c r="AJ854" s="289">
        <v>0</v>
      </c>
    </row>
    <row r="855" spans="2:36">
      <c r="B855" s="290">
        <v>2111</v>
      </c>
      <c r="C855" s="294">
        <v>166458</v>
      </c>
      <c r="D855" s="290" t="s">
        <v>944</v>
      </c>
      <c r="E855" s="289" t="s">
        <v>402</v>
      </c>
      <c r="F855" s="290"/>
      <c r="G855" s="289"/>
      <c r="H855" s="289">
        <v>303563</v>
      </c>
      <c r="I855" s="289"/>
      <c r="J855" s="289">
        <v>2002</v>
      </c>
      <c r="K855" s="289" t="s">
        <v>2154</v>
      </c>
      <c r="L855" s="289" t="s">
        <v>2665</v>
      </c>
      <c r="M855" s="289" t="s">
        <v>2662</v>
      </c>
      <c r="N855" s="293">
        <v>42597</v>
      </c>
      <c r="O855" s="293">
        <v>42597</v>
      </c>
      <c r="P855" s="289" t="s">
        <v>2666</v>
      </c>
      <c r="Q855" s="290">
        <v>300</v>
      </c>
      <c r="R855" s="290">
        <v>14040</v>
      </c>
      <c r="S855" s="291">
        <v>26927</v>
      </c>
      <c r="T855" s="290">
        <v>14046</v>
      </c>
      <c r="U855" s="291">
        <v>26927</v>
      </c>
      <c r="V855" s="291">
        <f t="shared" si="13"/>
        <v>0</v>
      </c>
      <c r="W855" s="292">
        <v>0</v>
      </c>
      <c r="X855" s="290">
        <v>51260</v>
      </c>
      <c r="Y855" s="291">
        <v>0</v>
      </c>
      <c r="Z855" s="289" t="s">
        <v>944</v>
      </c>
      <c r="AA855" s="289"/>
      <c r="AB855" s="289">
        <v>13139</v>
      </c>
      <c r="AC855" s="289" t="s">
        <v>415</v>
      </c>
      <c r="AD855" s="289" t="s">
        <v>1446</v>
      </c>
      <c r="AE855" s="289" t="s">
        <v>410</v>
      </c>
      <c r="AF855" s="290" t="s">
        <v>1447</v>
      </c>
      <c r="AG855" s="289"/>
      <c r="AH855" s="290" t="s">
        <v>1448</v>
      </c>
      <c r="AI855" s="289">
        <v>0</v>
      </c>
      <c r="AJ855" s="289">
        <v>0</v>
      </c>
    </row>
    <row r="856" spans="2:36">
      <c r="B856" s="290">
        <v>2111</v>
      </c>
      <c r="C856" s="294">
        <v>166457</v>
      </c>
      <c r="D856" s="290" t="s">
        <v>944</v>
      </c>
      <c r="E856" s="289" t="s">
        <v>401</v>
      </c>
      <c r="F856" s="290"/>
      <c r="G856" s="289"/>
      <c r="H856" s="289">
        <v>305549</v>
      </c>
      <c r="I856" s="289"/>
      <c r="J856" s="289">
        <v>2003</v>
      </c>
      <c r="K856" s="289" t="s">
        <v>2154</v>
      </c>
      <c r="L856" s="289" t="s">
        <v>2665</v>
      </c>
      <c r="M856" s="289" t="s">
        <v>2662</v>
      </c>
      <c r="N856" s="293">
        <v>42597</v>
      </c>
      <c r="O856" s="293">
        <v>42597</v>
      </c>
      <c r="P856" s="289" t="s">
        <v>2667</v>
      </c>
      <c r="Q856" s="290">
        <v>300</v>
      </c>
      <c r="R856" s="290">
        <v>14040</v>
      </c>
      <c r="S856" s="291">
        <v>26927</v>
      </c>
      <c r="T856" s="290">
        <v>14046</v>
      </c>
      <c r="U856" s="291">
        <v>26927</v>
      </c>
      <c r="V856" s="291">
        <f t="shared" si="13"/>
        <v>0</v>
      </c>
      <c r="W856" s="292">
        <v>0</v>
      </c>
      <c r="X856" s="290">
        <v>51260</v>
      </c>
      <c r="Y856" s="291">
        <v>0</v>
      </c>
      <c r="Z856" s="289" t="s">
        <v>944</v>
      </c>
      <c r="AA856" s="289"/>
      <c r="AB856" s="289">
        <v>13139</v>
      </c>
      <c r="AC856" s="289" t="s">
        <v>414</v>
      </c>
      <c r="AD856" s="289" t="s">
        <v>1446</v>
      </c>
      <c r="AE856" s="289" t="s">
        <v>410</v>
      </c>
      <c r="AF856" s="290" t="s">
        <v>1447</v>
      </c>
      <c r="AG856" s="289"/>
      <c r="AH856" s="290" t="s">
        <v>1448</v>
      </c>
      <c r="AI856" s="289">
        <v>0</v>
      </c>
      <c r="AJ856" s="289">
        <v>0</v>
      </c>
    </row>
    <row r="857" spans="2:36">
      <c r="B857" s="290">
        <v>2111</v>
      </c>
      <c r="C857" s="294">
        <v>165855</v>
      </c>
      <c r="D857" s="290" t="s">
        <v>944</v>
      </c>
      <c r="E857" s="289" t="s">
        <v>400</v>
      </c>
      <c r="F857" s="290"/>
      <c r="G857" s="289"/>
      <c r="H857" s="289"/>
      <c r="I857" s="289"/>
      <c r="J857" s="289">
        <v>0</v>
      </c>
      <c r="K857" s="289" t="s">
        <v>1657</v>
      </c>
      <c r="L857" s="289"/>
      <c r="M857" s="289"/>
      <c r="N857" s="293">
        <v>42559</v>
      </c>
      <c r="O857" s="293">
        <v>42559</v>
      </c>
      <c r="P857" s="289" t="s">
        <v>2668</v>
      </c>
      <c r="Q857" s="290">
        <v>300</v>
      </c>
      <c r="R857" s="290">
        <v>14110</v>
      </c>
      <c r="S857" s="291">
        <v>1237.49</v>
      </c>
      <c r="T857" s="290">
        <v>14116</v>
      </c>
      <c r="U857" s="291">
        <v>1237.49</v>
      </c>
      <c r="V857" s="291">
        <f t="shared" si="13"/>
        <v>0</v>
      </c>
      <c r="W857" s="292">
        <v>0</v>
      </c>
      <c r="X857" s="290">
        <v>70260</v>
      </c>
      <c r="Y857" s="291">
        <v>0</v>
      </c>
      <c r="Z857" s="289" t="s">
        <v>944</v>
      </c>
      <c r="AA857" s="289"/>
      <c r="AB857" s="289" t="s">
        <v>2669</v>
      </c>
      <c r="AC857" s="289"/>
      <c r="AD857" s="289" t="s">
        <v>1446</v>
      </c>
      <c r="AE857" s="289" t="s">
        <v>410</v>
      </c>
      <c r="AF857" s="290" t="s">
        <v>1447</v>
      </c>
      <c r="AG857" s="289"/>
      <c r="AH857" s="290" t="s">
        <v>1448</v>
      </c>
      <c r="AI857" s="289">
        <v>0</v>
      </c>
      <c r="AJ857" s="289">
        <v>0</v>
      </c>
    </row>
    <row r="858" spans="2:36">
      <c r="B858" s="290">
        <v>2111</v>
      </c>
      <c r="C858" s="294">
        <v>165849</v>
      </c>
      <c r="D858" s="290" t="s">
        <v>944</v>
      </c>
      <c r="E858" s="289" t="s">
        <v>399</v>
      </c>
      <c r="F858" s="290"/>
      <c r="G858" s="289"/>
      <c r="H858" s="289"/>
      <c r="I858" s="289"/>
      <c r="J858" s="289">
        <v>0</v>
      </c>
      <c r="K858" s="289" t="s">
        <v>2670</v>
      </c>
      <c r="L858" s="289"/>
      <c r="M858" s="289"/>
      <c r="N858" s="293">
        <v>42543</v>
      </c>
      <c r="O858" s="293">
        <v>42543</v>
      </c>
      <c r="P858" s="289" t="s">
        <v>2671</v>
      </c>
      <c r="Q858" s="290">
        <v>500</v>
      </c>
      <c r="R858" s="290">
        <v>14070</v>
      </c>
      <c r="S858" s="291">
        <v>7659.9</v>
      </c>
      <c r="T858" s="290">
        <v>14076</v>
      </c>
      <c r="U858" s="291">
        <v>7659.9</v>
      </c>
      <c r="V858" s="291">
        <f t="shared" si="13"/>
        <v>0</v>
      </c>
      <c r="W858" s="292">
        <v>0</v>
      </c>
      <c r="X858" s="290">
        <v>51260</v>
      </c>
      <c r="Y858" s="291">
        <v>0</v>
      </c>
      <c r="Z858" s="289" t="s">
        <v>944</v>
      </c>
      <c r="AA858" s="289"/>
      <c r="AB858" s="289">
        <v>913920326</v>
      </c>
      <c r="AC858" s="289"/>
      <c r="AD858" s="289" t="s">
        <v>1446</v>
      </c>
      <c r="AE858" s="289" t="s">
        <v>410</v>
      </c>
      <c r="AF858" s="290" t="s">
        <v>1447</v>
      </c>
      <c r="AG858" s="289"/>
      <c r="AH858" s="290" t="s">
        <v>1448</v>
      </c>
      <c r="AI858" s="289">
        <v>0</v>
      </c>
      <c r="AJ858" s="289">
        <v>0</v>
      </c>
    </row>
    <row r="859" spans="2:36">
      <c r="B859" s="290">
        <v>2111</v>
      </c>
      <c r="C859" s="294">
        <v>165758</v>
      </c>
      <c r="D859" s="290">
        <v>25020</v>
      </c>
      <c r="E859" s="289" t="s">
        <v>398</v>
      </c>
      <c r="F859" s="290"/>
      <c r="G859" s="289"/>
      <c r="H859" s="289"/>
      <c r="I859" s="289"/>
      <c r="J859" s="289">
        <v>0</v>
      </c>
      <c r="K859" s="289" t="s">
        <v>2170</v>
      </c>
      <c r="L859" s="289"/>
      <c r="M859" s="289" t="s">
        <v>1586</v>
      </c>
      <c r="N859" s="293">
        <v>42544</v>
      </c>
      <c r="O859" s="293">
        <v>42544</v>
      </c>
      <c r="P859" s="289" t="s">
        <v>2672</v>
      </c>
      <c r="Q859" s="290">
        <v>300</v>
      </c>
      <c r="R859" s="290">
        <v>14040</v>
      </c>
      <c r="S859" s="291">
        <v>19969.009999999998</v>
      </c>
      <c r="T859" s="290">
        <v>14046</v>
      </c>
      <c r="U859" s="291">
        <v>19969.009999999998</v>
      </c>
      <c r="V859" s="291">
        <f t="shared" si="13"/>
        <v>0</v>
      </c>
      <c r="W859" s="292">
        <v>0</v>
      </c>
      <c r="X859" s="290">
        <v>51260</v>
      </c>
      <c r="Y859" s="291">
        <v>0</v>
      </c>
      <c r="Z859" s="289" t="s">
        <v>944</v>
      </c>
      <c r="AA859" s="289"/>
      <c r="AB859" s="289" t="s">
        <v>2673</v>
      </c>
      <c r="AC859" s="289"/>
      <c r="AD859" s="289" t="s">
        <v>1446</v>
      </c>
      <c r="AE859" s="289" t="s">
        <v>410</v>
      </c>
      <c r="AF859" s="290" t="s">
        <v>1447</v>
      </c>
      <c r="AG859" s="289"/>
      <c r="AH859" s="290" t="s">
        <v>1448</v>
      </c>
      <c r="AI859" s="289">
        <v>0</v>
      </c>
      <c r="AJ859" s="289">
        <v>0</v>
      </c>
    </row>
    <row r="860" spans="2:36">
      <c r="B860" s="290">
        <v>2111</v>
      </c>
      <c r="C860" s="294">
        <v>165562</v>
      </c>
      <c r="D860" s="290" t="s">
        <v>944</v>
      </c>
      <c r="E860" s="289" t="s">
        <v>332</v>
      </c>
      <c r="F860" s="290"/>
      <c r="G860" s="289"/>
      <c r="H860" s="289"/>
      <c r="I860" s="289"/>
      <c r="J860" s="289">
        <v>0</v>
      </c>
      <c r="K860" s="289" t="s">
        <v>1657</v>
      </c>
      <c r="L860" s="289"/>
      <c r="M860" s="289"/>
      <c r="N860" s="293">
        <v>41757</v>
      </c>
      <c r="O860" s="293">
        <v>41757</v>
      </c>
      <c r="P860" s="289" t="s">
        <v>2674</v>
      </c>
      <c r="Q860" s="290">
        <v>300</v>
      </c>
      <c r="R860" s="290">
        <v>14110</v>
      </c>
      <c r="S860" s="291">
        <v>1019.16</v>
      </c>
      <c r="T860" s="290">
        <v>14116</v>
      </c>
      <c r="U860" s="291">
        <v>1019.16</v>
      </c>
      <c r="V860" s="291">
        <f t="shared" si="13"/>
        <v>0</v>
      </c>
      <c r="W860" s="292">
        <v>0</v>
      </c>
      <c r="X860" s="290">
        <v>70260</v>
      </c>
      <c r="Y860" s="291">
        <v>0</v>
      </c>
      <c r="Z860" s="289" t="s">
        <v>944</v>
      </c>
      <c r="AA860" s="289"/>
      <c r="AB860" s="289" t="s">
        <v>2675</v>
      </c>
      <c r="AC860" s="289"/>
      <c r="AD860" s="289" t="s">
        <v>1446</v>
      </c>
      <c r="AE860" s="289" t="s">
        <v>410</v>
      </c>
      <c r="AF860" s="290" t="s">
        <v>1447</v>
      </c>
      <c r="AG860" s="295">
        <v>42551</v>
      </c>
      <c r="AH860" s="290" t="s">
        <v>1448</v>
      </c>
      <c r="AI860" s="289">
        <v>0</v>
      </c>
      <c r="AJ860" s="289">
        <v>736.06</v>
      </c>
    </row>
    <row r="861" spans="2:36">
      <c r="B861" s="290">
        <v>2111</v>
      </c>
      <c r="C861" s="294">
        <v>133017</v>
      </c>
      <c r="D861" s="290" t="s">
        <v>944</v>
      </c>
      <c r="E861" s="289" t="s">
        <v>397</v>
      </c>
      <c r="F861" s="290"/>
      <c r="G861" s="289"/>
      <c r="H861" s="289"/>
      <c r="I861" s="289"/>
      <c r="J861" s="289">
        <v>0</v>
      </c>
      <c r="K861" s="289" t="s">
        <v>1657</v>
      </c>
      <c r="L861" s="289"/>
      <c r="M861" s="289"/>
      <c r="N861" s="293">
        <v>42513</v>
      </c>
      <c r="O861" s="293">
        <v>42513</v>
      </c>
      <c r="P861" s="289" t="s">
        <v>2676</v>
      </c>
      <c r="Q861" s="290">
        <v>300</v>
      </c>
      <c r="R861" s="290">
        <v>14110</v>
      </c>
      <c r="S861" s="291">
        <v>1121.76</v>
      </c>
      <c r="T861" s="290">
        <v>14116</v>
      </c>
      <c r="U861" s="291">
        <v>1121.76</v>
      </c>
      <c r="V861" s="291">
        <f t="shared" si="13"/>
        <v>0</v>
      </c>
      <c r="W861" s="292">
        <v>0</v>
      </c>
      <c r="X861" s="290">
        <v>70260</v>
      </c>
      <c r="Y861" s="291">
        <v>0</v>
      </c>
      <c r="Z861" s="289" t="s">
        <v>944</v>
      </c>
      <c r="AA861" s="289"/>
      <c r="AB861" s="289" t="s">
        <v>2677</v>
      </c>
      <c r="AC861" s="289"/>
      <c r="AD861" s="289" t="s">
        <v>1446</v>
      </c>
      <c r="AE861" s="289" t="s">
        <v>410</v>
      </c>
      <c r="AF861" s="290" t="s">
        <v>1447</v>
      </c>
      <c r="AG861" s="289"/>
      <c r="AH861" s="290" t="s">
        <v>1448</v>
      </c>
      <c r="AI861" s="289">
        <v>0</v>
      </c>
      <c r="AJ861" s="289">
        <v>0</v>
      </c>
    </row>
    <row r="862" spans="2:36">
      <c r="B862" s="290">
        <v>2111</v>
      </c>
      <c r="C862" s="294">
        <v>133016</v>
      </c>
      <c r="D862" s="290" t="s">
        <v>944</v>
      </c>
      <c r="E862" s="289" t="s">
        <v>2678</v>
      </c>
      <c r="F862" s="290"/>
      <c r="G862" s="289"/>
      <c r="H862" s="289"/>
      <c r="I862" s="289"/>
      <c r="J862" s="289">
        <v>0</v>
      </c>
      <c r="K862" s="289" t="s">
        <v>1657</v>
      </c>
      <c r="L862" s="289"/>
      <c r="M862" s="289"/>
      <c r="N862" s="293">
        <v>42495</v>
      </c>
      <c r="O862" s="293">
        <v>42495</v>
      </c>
      <c r="P862" s="289" t="s">
        <v>2658</v>
      </c>
      <c r="Q862" s="290">
        <v>300</v>
      </c>
      <c r="R862" s="290">
        <v>14110</v>
      </c>
      <c r="S862" s="291">
        <v>2417.6999999999998</v>
      </c>
      <c r="T862" s="290">
        <v>14116</v>
      </c>
      <c r="U862" s="291">
        <v>2417.6999999999998</v>
      </c>
      <c r="V862" s="291">
        <f t="shared" si="13"/>
        <v>0</v>
      </c>
      <c r="W862" s="292">
        <v>0</v>
      </c>
      <c r="X862" s="290">
        <v>70260</v>
      </c>
      <c r="Y862" s="291">
        <v>0</v>
      </c>
      <c r="Z862" s="289" t="s">
        <v>944</v>
      </c>
      <c r="AA862" s="289"/>
      <c r="AB862" s="289" t="s">
        <v>2679</v>
      </c>
      <c r="AC862" s="289"/>
      <c r="AD862" s="289" t="s">
        <v>1446</v>
      </c>
      <c r="AE862" s="289" t="s">
        <v>410</v>
      </c>
      <c r="AF862" s="290" t="s">
        <v>1447</v>
      </c>
      <c r="AG862" s="289"/>
      <c r="AH862" s="290" t="s">
        <v>1448</v>
      </c>
      <c r="AI862" s="289">
        <v>0</v>
      </c>
      <c r="AJ862" s="289">
        <v>0</v>
      </c>
    </row>
    <row r="863" spans="2:36">
      <c r="B863" s="290">
        <v>2111</v>
      </c>
      <c r="C863" s="294">
        <v>132977</v>
      </c>
      <c r="D863" s="290">
        <v>102169</v>
      </c>
      <c r="E863" s="289" t="s">
        <v>394</v>
      </c>
      <c r="F863" s="290"/>
      <c r="G863" s="289"/>
      <c r="H863" s="289"/>
      <c r="I863" s="289"/>
      <c r="J863" s="289">
        <v>0</v>
      </c>
      <c r="K863" s="289" t="s">
        <v>2680</v>
      </c>
      <c r="L863" s="289"/>
      <c r="M863" s="289" t="s">
        <v>1586</v>
      </c>
      <c r="N863" s="293">
        <v>42490</v>
      </c>
      <c r="O863" s="293">
        <v>42490</v>
      </c>
      <c r="P863" s="289" t="s">
        <v>2681</v>
      </c>
      <c r="Q863" s="290">
        <v>300</v>
      </c>
      <c r="R863" s="290">
        <v>14040</v>
      </c>
      <c r="S863" s="291">
        <v>34606.75</v>
      </c>
      <c r="T863" s="290">
        <v>14046</v>
      </c>
      <c r="U863" s="291">
        <v>34606.75</v>
      </c>
      <c r="V863" s="291">
        <f t="shared" si="13"/>
        <v>0</v>
      </c>
      <c r="W863" s="292">
        <v>0</v>
      </c>
      <c r="X863" s="290">
        <v>51260</v>
      </c>
      <c r="Y863" s="291">
        <v>0</v>
      </c>
      <c r="Z863" s="289" t="s">
        <v>944</v>
      </c>
      <c r="AA863" s="289"/>
      <c r="AB863" s="289" t="s">
        <v>2682</v>
      </c>
      <c r="AC863" s="289"/>
      <c r="AD863" s="289" t="s">
        <v>1446</v>
      </c>
      <c r="AE863" s="289" t="s">
        <v>410</v>
      </c>
      <c r="AF863" s="290" t="s">
        <v>1447</v>
      </c>
      <c r="AG863" s="289"/>
      <c r="AH863" s="290" t="s">
        <v>1448</v>
      </c>
      <c r="AI863" s="289">
        <v>0</v>
      </c>
      <c r="AJ863" s="289">
        <v>0</v>
      </c>
    </row>
    <row r="864" spans="2:36">
      <c r="B864" s="290">
        <v>2111</v>
      </c>
      <c r="C864" s="294">
        <v>132354</v>
      </c>
      <c r="D864" s="290">
        <v>131295</v>
      </c>
      <c r="E864" s="289" t="s">
        <v>2683</v>
      </c>
      <c r="F864" s="290"/>
      <c r="G864" s="289"/>
      <c r="H864" s="289"/>
      <c r="I864" s="289"/>
      <c r="J864" s="289">
        <v>0</v>
      </c>
      <c r="K864" s="289" t="s">
        <v>2684</v>
      </c>
      <c r="L864" s="289"/>
      <c r="M864" s="289"/>
      <c r="N864" s="293">
        <v>42460</v>
      </c>
      <c r="O864" s="293">
        <v>42460</v>
      </c>
      <c r="P864" s="289" t="s">
        <v>2685</v>
      </c>
      <c r="Q864" s="290">
        <v>100</v>
      </c>
      <c r="R864" s="290">
        <v>14110</v>
      </c>
      <c r="S864" s="291">
        <v>23056.62</v>
      </c>
      <c r="T864" s="290">
        <v>14116</v>
      </c>
      <c r="U864" s="291">
        <v>23056.62</v>
      </c>
      <c r="V864" s="291">
        <f t="shared" si="13"/>
        <v>0</v>
      </c>
      <c r="W864" s="292">
        <v>0</v>
      </c>
      <c r="X864" s="290">
        <v>70260</v>
      </c>
      <c r="Y864" s="291">
        <v>0</v>
      </c>
      <c r="Z864" s="289" t="s">
        <v>944</v>
      </c>
      <c r="AA864" s="289"/>
      <c r="AB864" s="289" t="s">
        <v>2686</v>
      </c>
      <c r="AC864" s="289"/>
      <c r="AD864" s="289" t="s">
        <v>1446</v>
      </c>
      <c r="AE864" s="289" t="s">
        <v>410</v>
      </c>
      <c r="AF864" s="290" t="s">
        <v>1447</v>
      </c>
      <c r="AG864" s="289"/>
      <c r="AH864" s="290" t="s">
        <v>1448</v>
      </c>
      <c r="AI864" s="289">
        <v>0</v>
      </c>
      <c r="AJ864" s="289">
        <v>0</v>
      </c>
    </row>
    <row r="865" spans="2:36">
      <c r="B865" s="290">
        <v>2111</v>
      </c>
      <c r="C865" s="294">
        <v>132249</v>
      </c>
      <c r="D865" s="290" t="s">
        <v>944</v>
      </c>
      <c r="E865" s="289" t="s">
        <v>2687</v>
      </c>
      <c r="F865" s="290">
        <v>48</v>
      </c>
      <c r="G865" s="289"/>
      <c r="H865" s="289"/>
      <c r="I865" s="289"/>
      <c r="J865" s="289">
        <v>0</v>
      </c>
      <c r="K865" s="289" t="s">
        <v>2688</v>
      </c>
      <c r="L865" s="289"/>
      <c r="M865" s="289"/>
      <c r="N865" s="293">
        <v>42490</v>
      </c>
      <c r="O865" s="293">
        <v>42490</v>
      </c>
      <c r="P865" s="289" t="s">
        <v>2689</v>
      </c>
      <c r="Q865" s="290">
        <v>500</v>
      </c>
      <c r="R865" s="290">
        <v>14050</v>
      </c>
      <c r="S865" s="291">
        <v>7289.19</v>
      </c>
      <c r="T865" s="290">
        <v>14056</v>
      </c>
      <c r="U865" s="291">
        <v>7289.19</v>
      </c>
      <c r="V865" s="291">
        <f t="shared" si="13"/>
        <v>0</v>
      </c>
      <c r="W865" s="292">
        <v>0</v>
      </c>
      <c r="X865" s="290">
        <v>54260</v>
      </c>
      <c r="Y865" s="291">
        <v>0</v>
      </c>
      <c r="Z865" s="289" t="s">
        <v>944</v>
      </c>
      <c r="AA865" s="289"/>
      <c r="AB865" s="289">
        <v>505014</v>
      </c>
      <c r="AC865" s="289"/>
      <c r="AD865" s="289" t="s">
        <v>1446</v>
      </c>
      <c r="AE865" s="289" t="s">
        <v>410</v>
      </c>
      <c r="AF865" s="290" t="s">
        <v>1447</v>
      </c>
      <c r="AG865" s="289"/>
      <c r="AH865" s="290" t="s">
        <v>1448</v>
      </c>
      <c r="AI865" s="289">
        <v>0</v>
      </c>
      <c r="AJ865" s="289">
        <v>0</v>
      </c>
    </row>
    <row r="866" spans="2:36">
      <c r="B866" s="290">
        <v>2111</v>
      </c>
      <c r="C866" s="294">
        <v>132248</v>
      </c>
      <c r="D866" s="290" t="s">
        <v>944</v>
      </c>
      <c r="E866" s="289" t="s">
        <v>2690</v>
      </c>
      <c r="F866" s="290">
        <v>400</v>
      </c>
      <c r="G866" s="289"/>
      <c r="H866" s="289"/>
      <c r="I866" s="289"/>
      <c r="J866" s="289">
        <v>0</v>
      </c>
      <c r="K866" s="289" t="s">
        <v>2688</v>
      </c>
      <c r="L866" s="289"/>
      <c r="M866" s="289"/>
      <c r="N866" s="293">
        <v>42490</v>
      </c>
      <c r="O866" s="293">
        <v>42490</v>
      </c>
      <c r="P866" s="289" t="s">
        <v>2689</v>
      </c>
      <c r="Q866" s="290">
        <v>500</v>
      </c>
      <c r="R866" s="290">
        <v>14050</v>
      </c>
      <c r="S866" s="291">
        <v>37677.360000000001</v>
      </c>
      <c r="T866" s="290">
        <v>14056</v>
      </c>
      <c r="U866" s="291">
        <v>37677.360000000001</v>
      </c>
      <c r="V866" s="291">
        <f t="shared" si="13"/>
        <v>0</v>
      </c>
      <c r="W866" s="292">
        <v>0</v>
      </c>
      <c r="X866" s="290">
        <v>54260</v>
      </c>
      <c r="Y866" s="291">
        <v>0</v>
      </c>
      <c r="Z866" s="289" t="s">
        <v>944</v>
      </c>
      <c r="AA866" s="289"/>
      <c r="AB866" s="289">
        <v>505014</v>
      </c>
      <c r="AC866" s="289"/>
      <c r="AD866" s="289" t="s">
        <v>1446</v>
      </c>
      <c r="AE866" s="289" t="s">
        <v>410</v>
      </c>
      <c r="AF866" s="290" t="s">
        <v>1447</v>
      </c>
      <c r="AG866" s="289"/>
      <c r="AH866" s="290" t="s">
        <v>1448</v>
      </c>
      <c r="AI866" s="289">
        <v>0</v>
      </c>
      <c r="AJ866" s="289">
        <v>0</v>
      </c>
    </row>
    <row r="867" spans="2:36">
      <c r="B867" s="290">
        <v>2111</v>
      </c>
      <c r="C867" s="294">
        <v>132075</v>
      </c>
      <c r="D867" s="290" t="s">
        <v>944</v>
      </c>
      <c r="E867" s="289" t="s">
        <v>2691</v>
      </c>
      <c r="F867" s="290"/>
      <c r="G867" s="289"/>
      <c r="H867" s="289" t="s">
        <v>2692</v>
      </c>
      <c r="I867" s="289"/>
      <c r="J867" s="289">
        <v>2016</v>
      </c>
      <c r="K867" s="289" t="s">
        <v>1483</v>
      </c>
      <c r="L867" s="289" t="s">
        <v>1522</v>
      </c>
      <c r="M867" s="289" t="s">
        <v>1746</v>
      </c>
      <c r="N867" s="293">
        <v>42460</v>
      </c>
      <c r="O867" s="293">
        <v>42460</v>
      </c>
      <c r="P867" s="289" t="s">
        <v>2693</v>
      </c>
      <c r="Q867" s="290">
        <v>1000</v>
      </c>
      <c r="R867" s="290">
        <v>14040</v>
      </c>
      <c r="S867" s="291">
        <v>287706.76</v>
      </c>
      <c r="T867" s="290">
        <v>14046</v>
      </c>
      <c r="U867" s="291">
        <v>182214.31</v>
      </c>
      <c r="V867" s="291">
        <f t="shared" si="13"/>
        <v>105492.45000000001</v>
      </c>
      <c r="W867" s="292">
        <v>16782.900000000001</v>
      </c>
      <c r="X867" s="290">
        <v>51260</v>
      </c>
      <c r="Y867" s="291">
        <v>2397.56</v>
      </c>
      <c r="Z867" s="289" t="s">
        <v>944</v>
      </c>
      <c r="AA867" s="289"/>
      <c r="AB867" s="289" t="s">
        <v>2694</v>
      </c>
      <c r="AC867" s="289">
        <v>630</v>
      </c>
      <c r="AD867" s="289" t="s">
        <v>1446</v>
      </c>
      <c r="AE867" s="289" t="s">
        <v>410</v>
      </c>
      <c r="AF867" s="290" t="s">
        <v>1447</v>
      </c>
      <c r="AG867" s="289"/>
      <c r="AH867" s="290" t="s">
        <v>1448</v>
      </c>
      <c r="AI867" s="289">
        <v>0</v>
      </c>
      <c r="AJ867" s="289">
        <v>0</v>
      </c>
    </row>
    <row r="868" spans="2:36">
      <c r="B868" s="290">
        <v>2111</v>
      </c>
      <c r="C868" s="294">
        <v>132074</v>
      </c>
      <c r="D868" s="290" t="s">
        <v>944</v>
      </c>
      <c r="E868" s="289" t="s">
        <v>1243</v>
      </c>
      <c r="F868" s="290"/>
      <c r="G868" s="289"/>
      <c r="H868" s="289" t="s">
        <v>2695</v>
      </c>
      <c r="I868" s="289"/>
      <c r="J868" s="289">
        <v>2016</v>
      </c>
      <c r="K868" s="289" t="s">
        <v>1483</v>
      </c>
      <c r="L868" s="289" t="s">
        <v>2190</v>
      </c>
      <c r="M868" s="289" t="s">
        <v>1495</v>
      </c>
      <c r="N868" s="293">
        <v>42490</v>
      </c>
      <c r="O868" s="293">
        <v>42490</v>
      </c>
      <c r="P868" s="289" t="s">
        <v>2696</v>
      </c>
      <c r="Q868" s="290">
        <v>1000</v>
      </c>
      <c r="R868" s="290">
        <v>14040</v>
      </c>
      <c r="S868" s="291">
        <v>327729.76</v>
      </c>
      <c r="T868" s="290">
        <v>14046</v>
      </c>
      <c r="U868" s="291">
        <v>204831.12</v>
      </c>
      <c r="V868" s="291">
        <f t="shared" si="13"/>
        <v>122898.64000000001</v>
      </c>
      <c r="W868" s="292">
        <v>19117.57</v>
      </c>
      <c r="X868" s="290">
        <v>51260</v>
      </c>
      <c r="Y868" s="291">
        <v>2731.08</v>
      </c>
      <c r="Z868" s="289" t="s">
        <v>944</v>
      </c>
      <c r="AA868" s="289"/>
      <c r="AB868" s="289" t="s">
        <v>2697</v>
      </c>
      <c r="AC868" s="289">
        <v>837</v>
      </c>
      <c r="AD868" s="289" t="s">
        <v>1446</v>
      </c>
      <c r="AE868" s="289" t="s">
        <v>410</v>
      </c>
      <c r="AF868" s="290" t="s">
        <v>1447</v>
      </c>
      <c r="AG868" s="289"/>
      <c r="AH868" s="290" t="s">
        <v>1448</v>
      </c>
      <c r="AI868" s="289">
        <v>0</v>
      </c>
      <c r="AJ868" s="289">
        <v>0</v>
      </c>
    </row>
    <row r="869" spans="2:36">
      <c r="B869" s="290">
        <v>2111</v>
      </c>
      <c r="C869" s="294">
        <v>131500</v>
      </c>
      <c r="D869" s="290">
        <v>19647</v>
      </c>
      <c r="E869" s="289" t="s">
        <v>389</v>
      </c>
      <c r="F869" s="290"/>
      <c r="G869" s="289"/>
      <c r="H869" s="289"/>
      <c r="I869" s="289"/>
      <c r="J869" s="289">
        <v>0</v>
      </c>
      <c r="K869" s="289" t="s">
        <v>2698</v>
      </c>
      <c r="L869" s="289"/>
      <c r="M869" s="289" t="s">
        <v>1586</v>
      </c>
      <c r="N869" s="293">
        <v>42460</v>
      </c>
      <c r="O869" s="293">
        <v>42460</v>
      </c>
      <c r="P869" s="289" t="s">
        <v>2699</v>
      </c>
      <c r="Q869" s="290">
        <v>300</v>
      </c>
      <c r="R869" s="290">
        <v>14040</v>
      </c>
      <c r="S869" s="291">
        <v>20361.07</v>
      </c>
      <c r="T869" s="290">
        <v>14046</v>
      </c>
      <c r="U869" s="291">
        <v>20361.07</v>
      </c>
      <c r="V869" s="291">
        <f t="shared" si="13"/>
        <v>0</v>
      </c>
      <c r="W869" s="292">
        <v>0</v>
      </c>
      <c r="X869" s="290">
        <v>51260</v>
      </c>
      <c r="Y869" s="291">
        <v>0</v>
      </c>
      <c r="Z869" s="289" t="s">
        <v>944</v>
      </c>
      <c r="AA869" s="289"/>
      <c r="AB869" s="289">
        <v>135840</v>
      </c>
      <c r="AC869" s="289"/>
      <c r="AD869" s="289" t="s">
        <v>1446</v>
      </c>
      <c r="AE869" s="289" t="s">
        <v>410</v>
      </c>
      <c r="AF869" s="290" t="s">
        <v>1447</v>
      </c>
      <c r="AG869" s="289"/>
      <c r="AH869" s="290" t="s">
        <v>1448</v>
      </c>
      <c r="AI869" s="289">
        <v>0</v>
      </c>
      <c r="AJ869" s="289">
        <v>0</v>
      </c>
    </row>
    <row r="870" spans="2:36">
      <c r="B870" s="290">
        <v>2111</v>
      </c>
      <c r="C870" s="294">
        <v>131295</v>
      </c>
      <c r="D870" s="290" t="s">
        <v>944</v>
      </c>
      <c r="E870" s="289" t="s">
        <v>2700</v>
      </c>
      <c r="F870" s="290"/>
      <c r="G870" s="289"/>
      <c r="H870" s="289"/>
      <c r="I870" s="289"/>
      <c r="J870" s="289">
        <v>0</v>
      </c>
      <c r="K870" s="289" t="s">
        <v>2701</v>
      </c>
      <c r="L870" s="289"/>
      <c r="M870" s="289"/>
      <c r="N870" s="293">
        <v>42460</v>
      </c>
      <c r="O870" s="293">
        <v>42460</v>
      </c>
      <c r="P870" s="289" t="s">
        <v>2685</v>
      </c>
      <c r="Q870" s="290">
        <v>100</v>
      </c>
      <c r="R870" s="290">
        <v>14110</v>
      </c>
      <c r="S870" s="291">
        <v>25892.28</v>
      </c>
      <c r="T870" s="290">
        <v>14116</v>
      </c>
      <c r="U870" s="291">
        <v>25892.28</v>
      </c>
      <c r="V870" s="291">
        <f t="shared" si="13"/>
        <v>0</v>
      </c>
      <c r="W870" s="292">
        <v>0</v>
      </c>
      <c r="X870" s="290">
        <v>70260</v>
      </c>
      <c r="Y870" s="291">
        <v>0</v>
      </c>
      <c r="Z870" s="289" t="s">
        <v>944</v>
      </c>
      <c r="AA870" s="289"/>
      <c r="AB870" s="289" t="s">
        <v>2702</v>
      </c>
      <c r="AC870" s="289"/>
      <c r="AD870" s="289" t="s">
        <v>1446</v>
      </c>
      <c r="AE870" s="289" t="s">
        <v>410</v>
      </c>
      <c r="AF870" s="290" t="s">
        <v>1447</v>
      </c>
      <c r="AG870" s="289"/>
      <c r="AH870" s="290" t="s">
        <v>1448</v>
      </c>
      <c r="AI870" s="289">
        <v>0</v>
      </c>
      <c r="AJ870" s="289">
        <v>0</v>
      </c>
    </row>
    <row r="871" spans="2:36">
      <c r="B871" s="290">
        <v>2111</v>
      </c>
      <c r="C871" s="294">
        <v>131256</v>
      </c>
      <c r="D871" s="290" t="s">
        <v>944</v>
      </c>
      <c r="E871" s="289" t="s">
        <v>2703</v>
      </c>
      <c r="F871" s="290">
        <v>624</v>
      </c>
      <c r="G871" s="289"/>
      <c r="H871" s="289"/>
      <c r="I871" s="289"/>
      <c r="J871" s="289">
        <v>0</v>
      </c>
      <c r="K871" s="289" t="s">
        <v>2111</v>
      </c>
      <c r="L871" s="289"/>
      <c r="M871" s="289"/>
      <c r="N871" s="293">
        <v>42416</v>
      </c>
      <c r="O871" s="293">
        <v>42416</v>
      </c>
      <c r="P871" s="289" t="s">
        <v>2704</v>
      </c>
      <c r="Q871" s="290">
        <v>700</v>
      </c>
      <c r="R871" s="290">
        <v>14050</v>
      </c>
      <c r="S871" s="291">
        <v>32025.85</v>
      </c>
      <c r="T871" s="290">
        <v>14056</v>
      </c>
      <c r="U871" s="291">
        <v>29357.02</v>
      </c>
      <c r="V871" s="291">
        <f t="shared" si="13"/>
        <v>2668.8299999999981</v>
      </c>
      <c r="W871" s="292">
        <v>2668.82</v>
      </c>
      <c r="X871" s="290">
        <v>54260</v>
      </c>
      <c r="Y871" s="291">
        <v>381.26</v>
      </c>
      <c r="Z871" s="289" t="s">
        <v>944</v>
      </c>
      <c r="AA871" s="289"/>
      <c r="AB871" s="289">
        <v>65397089</v>
      </c>
      <c r="AC871" s="289"/>
      <c r="AD871" s="289" t="s">
        <v>1446</v>
      </c>
      <c r="AE871" s="289" t="s">
        <v>410</v>
      </c>
      <c r="AF871" s="290" t="s">
        <v>1447</v>
      </c>
      <c r="AG871" s="289"/>
      <c r="AH871" s="290" t="s">
        <v>1448</v>
      </c>
      <c r="AI871" s="289">
        <v>0</v>
      </c>
      <c r="AJ871" s="289">
        <v>0</v>
      </c>
    </row>
    <row r="872" spans="2:36">
      <c r="B872" s="290">
        <v>2111</v>
      </c>
      <c r="C872" s="294">
        <v>130302</v>
      </c>
      <c r="D872" s="290" t="s">
        <v>944</v>
      </c>
      <c r="E872" s="289" t="s">
        <v>2255</v>
      </c>
      <c r="F872" s="290">
        <v>624</v>
      </c>
      <c r="G872" s="289"/>
      <c r="H872" s="289"/>
      <c r="I872" s="289"/>
      <c r="J872" s="289">
        <v>0</v>
      </c>
      <c r="K872" s="289" t="s">
        <v>2093</v>
      </c>
      <c r="L872" s="289"/>
      <c r="M872" s="289"/>
      <c r="N872" s="293">
        <v>42416</v>
      </c>
      <c r="O872" s="293">
        <v>42416</v>
      </c>
      <c r="P872" s="289" t="s">
        <v>2704</v>
      </c>
      <c r="Q872" s="290">
        <v>700</v>
      </c>
      <c r="R872" s="290">
        <v>14050</v>
      </c>
      <c r="S872" s="291">
        <v>32708.5</v>
      </c>
      <c r="T872" s="290">
        <v>14056</v>
      </c>
      <c r="U872" s="291">
        <v>29982.78</v>
      </c>
      <c r="V872" s="291">
        <f t="shared" si="13"/>
        <v>2725.7200000000012</v>
      </c>
      <c r="W872" s="292">
        <v>2725.71</v>
      </c>
      <c r="X872" s="290">
        <v>54260</v>
      </c>
      <c r="Y872" s="291">
        <v>389.39</v>
      </c>
      <c r="Z872" s="289" t="s">
        <v>944</v>
      </c>
      <c r="AA872" s="289"/>
      <c r="AB872" s="289">
        <v>65396927</v>
      </c>
      <c r="AC872" s="289"/>
      <c r="AD872" s="289" t="s">
        <v>1446</v>
      </c>
      <c r="AE872" s="289" t="s">
        <v>410</v>
      </c>
      <c r="AF872" s="290" t="s">
        <v>1447</v>
      </c>
      <c r="AG872" s="289"/>
      <c r="AH872" s="290" t="s">
        <v>1448</v>
      </c>
      <c r="AI872" s="289">
        <v>0</v>
      </c>
      <c r="AJ872" s="289">
        <v>0</v>
      </c>
    </row>
    <row r="873" spans="2:36">
      <c r="B873" s="290">
        <v>2111</v>
      </c>
      <c r="C873" s="294">
        <v>129801</v>
      </c>
      <c r="D873" s="290" t="s">
        <v>944</v>
      </c>
      <c r="E873" s="289" t="s">
        <v>2705</v>
      </c>
      <c r="F873" s="290"/>
      <c r="G873" s="289"/>
      <c r="H873" s="289"/>
      <c r="I873" s="289"/>
      <c r="J873" s="289">
        <v>0</v>
      </c>
      <c r="K873" s="289" t="s">
        <v>2706</v>
      </c>
      <c r="L873" s="289"/>
      <c r="M873" s="289"/>
      <c r="N873" s="293">
        <v>42370</v>
      </c>
      <c r="O873" s="293">
        <v>42370</v>
      </c>
      <c r="P873" s="289" t="s">
        <v>2707</v>
      </c>
      <c r="Q873" s="290">
        <v>300</v>
      </c>
      <c r="R873" s="290">
        <v>14110</v>
      </c>
      <c r="S873" s="291">
        <v>780.68</v>
      </c>
      <c r="T873" s="290">
        <v>14116</v>
      </c>
      <c r="U873" s="291">
        <v>780.68</v>
      </c>
      <c r="V873" s="291">
        <f t="shared" si="13"/>
        <v>0</v>
      </c>
      <c r="W873" s="292">
        <v>0</v>
      </c>
      <c r="X873" s="290">
        <v>70260</v>
      </c>
      <c r="Y873" s="291">
        <v>0</v>
      </c>
      <c r="Z873" s="289" t="s">
        <v>944</v>
      </c>
      <c r="AA873" s="289"/>
      <c r="AB873" s="289" t="s">
        <v>2708</v>
      </c>
      <c r="AC873" s="289"/>
      <c r="AD873" s="289" t="s">
        <v>1446</v>
      </c>
      <c r="AE873" s="289" t="s">
        <v>410</v>
      </c>
      <c r="AF873" s="290" t="s">
        <v>1447</v>
      </c>
      <c r="AG873" s="289"/>
      <c r="AH873" s="290" t="s">
        <v>1448</v>
      </c>
      <c r="AI873" s="289">
        <v>0</v>
      </c>
      <c r="AJ873" s="289">
        <v>0</v>
      </c>
    </row>
    <row r="874" spans="2:36">
      <c r="B874" s="290">
        <v>2111</v>
      </c>
      <c r="C874" s="294">
        <v>129739</v>
      </c>
      <c r="D874" s="290" t="s">
        <v>944</v>
      </c>
      <c r="E874" s="289" t="s">
        <v>388</v>
      </c>
      <c r="F874" s="290"/>
      <c r="G874" s="289"/>
      <c r="H874" s="289"/>
      <c r="I874" s="289"/>
      <c r="J874" s="289">
        <v>0</v>
      </c>
      <c r="K874" s="289" t="s">
        <v>2709</v>
      </c>
      <c r="L874" s="289"/>
      <c r="M874" s="289"/>
      <c r="N874" s="293">
        <v>42400</v>
      </c>
      <c r="O874" s="293">
        <v>42400</v>
      </c>
      <c r="P874" s="289" t="s">
        <v>2710</v>
      </c>
      <c r="Q874" s="290">
        <v>500</v>
      </c>
      <c r="R874" s="290">
        <v>14070</v>
      </c>
      <c r="S874" s="291">
        <v>51034.44</v>
      </c>
      <c r="T874" s="290">
        <v>14076</v>
      </c>
      <c r="U874" s="291">
        <v>51034.44</v>
      </c>
      <c r="V874" s="291">
        <f t="shared" si="13"/>
        <v>0</v>
      </c>
      <c r="W874" s="292">
        <v>0</v>
      </c>
      <c r="X874" s="290">
        <v>51260</v>
      </c>
      <c r="Y874" s="291">
        <v>0</v>
      </c>
      <c r="Z874" s="289" t="s">
        <v>944</v>
      </c>
      <c r="AA874" s="289"/>
      <c r="AB874" s="289">
        <v>913580606</v>
      </c>
      <c r="AC874" s="289"/>
      <c r="AD874" s="289" t="s">
        <v>1446</v>
      </c>
      <c r="AE874" s="289" t="s">
        <v>410</v>
      </c>
      <c r="AF874" s="290" t="s">
        <v>1447</v>
      </c>
      <c r="AG874" s="289"/>
      <c r="AH874" s="290" t="s">
        <v>1448</v>
      </c>
      <c r="AI874" s="289">
        <v>0</v>
      </c>
      <c r="AJ874" s="289">
        <v>0</v>
      </c>
    </row>
    <row r="875" spans="2:36">
      <c r="B875" s="290">
        <v>2111</v>
      </c>
      <c r="C875" s="294">
        <v>129340</v>
      </c>
      <c r="D875" s="290" t="s">
        <v>944</v>
      </c>
      <c r="E875" s="289" t="s">
        <v>2711</v>
      </c>
      <c r="F875" s="290"/>
      <c r="G875" s="289"/>
      <c r="H875" s="289" t="s">
        <v>2712</v>
      </c>
      <c r="I875" s="289"/>
      <c r="J875" s="289">
        <v>1998</v>
      </c>
      <c r="K875" s="289"/>
      <c r="L875" s="289"/>
      <c r="M875" s="289" t="s">
        <v>1575</v>
      </c>
      <c r="N875" s="293">
        <v>42395</v>
      </c>
      <c r="O875" s="293">
        <v>42395</v>
      </c>
      <c r="P875" s="289" t="s">
        <v>2713</v>
      </c>
      <c r="Q875" s="290">
        <v>0</v>
      </c>
      <c r="R875" s="290">
        <v>14040</v>
      </c>
      <c r="S875" s="291">
        <v>0</v>
      </c>
      <c r="T875" s="290">
        <v>14046</v>
      </c>
      <c r="U875" s="291">
        <v>0</v>
      </c>
      <c r="V875" s="291">
        <f t="shared" si="13"/>
        <v>0</v>
      </c>
      <c r="W875" s="292">
        <v>0</v>
      </c>
      <c r="X875" s="290">
        <v>51260</v>
      </c>
      <c r="Y875" s="291">
        <v>0</v>
      </c>
      <c r="Z875" s="289" t="s">
        <v>410</v>
      </c>
      <c r="AA875" s="289"/>
      <c r="AB875" s="289"/>
      <c r="AC875" s="289" t="s">
        <v>2714</v>
      </c>
      <c r="AD875" s="289" t="s">
        <v>1446</v>
      </c>
      <c r="AE875" s="289" t="s">
        <v>410</v>
      </c>
      <c r="AF875" s="290" t="s">
        <v>1660</v>
      </c>
      <c r="AG875" s="289"/>
      <c r="AH875" s="290" t="s">
        <v>1448</v>
      </c>
      <c r="AI875" s="289">
        <v>0</v>
      </c>
      <c r="AJ875" s="289">
        <v>0</v>
      </c>
    </row>
    <row r="876" spans="2:36">
      <c r="B876" s="290">
        <v>2111</v>
      </c>
      <c r="C876" s="294">
        <v>129339</v>
      </c>
      <c r="D876" s="290" t="s">
        <v>944</v>
      </c>
      <c r="E876" s="289" t="s">
        <v>2711</v>
      </c>
      <c r="F876" s="290"/>
      <c r="G876" s="289"/>
      <c r="H876" s="289" t="s">
        <v>2715</v>
      </c>
      <c r="I876" s="289"/>
      <c r="J876" s="289">
        <v>1998</v>
      </c>
      <c r="K876" s="289"/>
      <c r="L876" s="289"/>
      <c r="M876" s="289" t="s">
        <v>1575</v>
      </c>
      <c r="N876" s="293">
        <v>42395</v>
      </c>
      <c r="O876" s="293">
        <v>42395</v>
      </c>
      <c r="P876" s="289" t="s">
        <v>2713</v>
      </c>
      <c r="Q876" s="290">
        <v>0</v>
      </c>
      <c r="R876" s="290">
        <v>14040</v>
      </c>
      <c r="S876" s="291">
        <v>0</v>
      </c>
      <c r="T876" s="290">
        <v>14046</v>
      </c>
      <c r="U876" s="291">
        <v>0</v>
      </c>
      <c r="V876" s="291">
        <f t="shared" si="13"/>
        <v>0</v>
      </c>
      <c r="W876" s="292">
        <v>0</v>
      </c>
      <c r="X876" s="290">
        <v>51260</v>
      </c>
      <c r="Y876" s="291">
        <v>0</v>
      </c>
      <c r="Z876" s="289" t="s">
        <v>410</v>
      </c>
      <c r="AA876" s="289"/>
      <c r="AB876" s="289"/>
      <c r="AC876" s="289" t="s">
        <v>2716</v>
      </c>
      <c r="AD876" s="289" t="s">
        <v>1446</v>
      </c>
      <c r="AE876" s="289" t="s">
        <v>410</v>
      </c>
      <c r="AF876" s="290" t="s">
        <v>1660</v>
      </c>
      <c r="AG876" s="289"/>
      <c r="AH876" s="290" t="s">
        <v>1448</v>
      </c>
      <c r="AI876" s="289">
        <v>0</v>
      </c>
      <c r="AJ876" s="289">
        <v>0</v>
      </c>
    </row>
    <row r="877" spans="2:36">
      <c r="B877" s="290">
        <v>2111</v>
      </c>
      <c r="C877" s="294">
        <v>129338</v>
      </c>
      <c r="D877" s="290" t="s">
        <v>944</v>
      </c>
      <c r="E877" s="289" t="s">
        <v>2711</v>
      </c>
      <c r="F877" s="290"/>
      <c r="G877" s="289"/>
      <c r="H877" s="289" t="s">
        <v>2717</v>
      </c>
      <c r="I877" s="289"/>
      <c r="J877" s="289">
        <v>1998</v>
      </c>
      <c r="K877" s="289"/>
      <c r="L877" s="289"/>
      <c r="M877" s="289" t="s">
        <v>1575</v>
      </c>
      <c r="N877" s="293">
        <v>42395</v>
      </c>
      <c r="O877" s="293">
        <v>42395</v>
      </c>
      <c r="P877" s="289" t="s">
        <v>2713</v>
      </c>
      <c r="Q877" s="290">
        <v>0</v>
      </c>
      <c r="R877" s="290">
        <v>14040</v>
      </c>
      <c r="S877" s="291">
        <v>0</v>
      </c>
      <c r="T877" s="290">
        <v>14046</v>
      </c>
      <c r="U877" s="291">
        <v>0</v>
      </c>
      <c r="V877" s="291">
        <f t="shared" si="13"/>
        <v>0</v>
      </c>
      <c r="W877" s="292">
        <v>0</v>
      </c>
      <c r="X877" s="290">
        <v>51260</v>
      </c>
      <c r="Y877" s="291">
        <v>0</v>
      </c>
      <c r="Z877" s="289" t="s">
        <v>410</v>
      </c>
      <c r="AA877" s="289"/>
      <c r="AB877" s="289"/>
      <c r="AC877" s="289" t="s">
        <v>2718</v>
      </c>
      <c r="AD877" s="289" t="s">
        <v>1446</v>
      </c>
      <c r="AE877" s="289" t="s">
        <v>410</v>
      </c>
      <c r="AF877" s="290" t="s">
        <v>1660</v>
      </c>
      <c r="AG877" s="289"/>
      <c r="AH877" s="290" t="s">
        <v>1448</v>
      </c>
      <c r="AI877" s="289">
        <v>0</v>
      </c>
      <c r="AJ877" s="289">
        <v>0</v>
      </c>
    </row>
    <row r="878" spans="2:36">
      <c r="B878" s="290">
        <v>2111</v>
      </c>
      <c r="C878" s="294">
        <v>129337</v>
      </c>
      <c r="D878" s="290" t="s">
        <v>944</v>
      </c>
      <c r="E878" s="289" t="s">
        <v>2711</v>
      </c>
      <c r="F878" s="290"/>
      <c r="G878" s="289"/>
      <c r="H878" s="289" t="s">
        <v>2719</v>
      </c>
      <c r="I878" s="289"/>
      <c r="J878" s="289">
        <v>1998</v>
      </c>
      <c r="K878" s="289"/>
      <c r="L878" s="289"/>
      <c r="M878" s="289" t="s">
        <v>1575</v>
      </c>
      <c r="N878" s="293">
        <v>42395</v>
      </c>
      <c r="O878" s="293">
        <v>42395</v>
      </c>
      <c r="P878" s="289" t="s">
        <v>2713</v>
      </c>
      <c r="Q878" s="290">
        <v>0</v>
      </c>
      <c r="R878" s="290">
        <v>14040</v>
      </c>
      <c r="S878" s="291">
        <v>0</v>
      </c>
      <c r="T878" s="290">
        <v>14046</v>
      </c>
      <c r="U878" s="291">
        <v>0</v>
      </c>
      <c r="V878" s="291">
        <f t="shared" si="13"/>
        <v>0</v>
      </c>
      <c r="W878" s="292">
        <v>0</v>
      </c>
      <c r="X878" s="290">
        <v>51260</v>
      </c>
      <c r="Y878" s="291">
        <v>0</v>
      </c>
      <c r="Z878" s="289" t="s">
        <v>410</v>
      </c>
      <c r="AA878" s="289"/>
      <c r="AB878" s="289"/>
      <c r="AC878" s="289" t="s">
        <v>2720</v>
      </c>
      <c r="AD878" s="289" t="s">
        <v>1446</v>
      </c>
      <c r="AE878" s="289" t="s">
        <v>410</v>
      </c>
      <c r="AF878" s="290" t="s">
        <v>1660</v>
      </c>
      <c r="AG878" s="289"/>
      <c r="AH878" s="290" t="s">
        <v>1448</v>
      </c>
      <c r="AI878" s="289">
        <v>0</v>
      </c>
      <c r="AJ878" s="289">
        <v>0</v>
      </c>
    </row>
    <row r="879" spans="2:36">
      <c r="B879" s="290">
        <v>2111</v>
      </c>
      <c r="C879" s="294">
        <v>129336</v>
      </c>
      <c r="D879" s="290" t="s">
        <v>944</v>
      </c>
      <c r="E879" s="289" t="s">
        <v>2711</v>
      </c>
      <c r="F879" s="290"/>
      <c r="G879" s="289"/>
      <c r="H879" s="289" t="s">
        <v>2721</v>
      </c>
      <c r="I879" s="289"/>
      <c r="J879" s="289">
        <v>1998</v>
      </c>
      <c r="K879" s="289"/>
      <c r="L879" s="289"/>
      <c r="M879" s="289" t="s">
        <v>1575</v>
      </c>
      <c r="N879" s="293">
        <v>42395</v>
      </c>
      <c r="O879" s="293">
        <v>42395</v>
      </c>
      <c r="P879" s="289" t="s">
        <v>2713</v>
      </c>
      <c r="Q879" s="290">
        <v>0</v>
      </c>
      <c r="R879" s="290">
        <v>14040</v>
      </c>
      <c r="S879" s="291">
        <v>0</v>
      </c>
      <c r="T879" s="290">
        <v>14046</v>
      </c>
      <c r="U879" s="291">
        <v>0</v>
      </c>
      <c r="V879" s="291">
        <f t="shared" si="13"/>
        <v>0</v>
      </c>
      <c r="W879" s="292">
        <v>0</v>
      </c>
      <c r="X879" s="290">
        <v>51260</v>
      </c>
      <c r="Y879" s="291">
        <v>0</v>
      </c>
      <c r="Z879" s="289" t="s">
        <v>410</v>
      </c>
      <c r="AA879" s="289"/>
      <c r="AB879" s="289"/>
      <c r="AC879" s="289" t="s">
        <v>2722</v>
      </c>
      <c r="AD879" s="289" t="s">
        <v>1446</v>
      </c>
      <c r="AE879" s="289" t="s">
        <v>410</v>
      </c>
      <c r="AF879" s="290" t="s">
        <v>1660</v>
      </c>
      <c r="AG879" s="289"/>
      <c r="AH879" s="290" t="s">
        <v>1448</v>
      </c>
      <c r="AI879" s="289">
        <v>0</v>
      </c>
      <c r="AJ879" s="289">
        <v>0</v>
      </c>
    </row>
    <row r="880" spans="2:36">
      <c r="B880" s="290">
        <v>2111</v>
      </c>
      <c r="C880" s="294">
        <v>129335</v>
      </c>
      <c r="D880" s="290" t="s">
        <v>944</v>
      </c>
      <c r="E880" s="289" t="s">
        <v>2711</v>
      </c>
      <c r="F880" s="290"/>
      <c r="G880" s="289"/>
      <c r="H880" s="289" t="s">
        <v>2723</v>
      </c>
      <c r="I880" s="289"/>
      <c r="J880" s="289">
        <v>1998</v>
      </c>
      <c r="K880" s="289"/>
      <c r="L880" s="289"/>
      <c r="M880" s="289" t="s">
        <v>1575</v>
      </c>
      <c r="N880" s="293">
        <v>42395</v>
      </c>
      <c r="O880" s="293">
        <v>42395</v>
      </c>
      <c r="P880" s="289" t="s">
        <v>2713</v>
      </c>
      <c r="Q880" s="290">
        <v>0</v>
      </c>
      <c r="R880" s="290">
        <v>14040</v>
      </c>
      <c r="S880" s="291">
        <v>0</v>
      </c>
      <c r="T880" s="290">
        <v>14046</v>
      </c>
      <c r="U880" s="291">
        <v>0</v>
      </c>
      <c r="V880" s="291">
        <f t="shared" si="13"/>
        <v>0</v>
      </c>
      <c r="W880" s="292">
        <v>0</v>
      </c>
      <c r="X880" s="290">
        <v>51260</v>
      </c>
      <c r="Y880" s="291">
        <v>0</v>
      </c>
      <c r="Z880" s="289" t="s">
        <v>410</v>
      </c>
      <c r="AA880" s="289"/>
      <c r="AB880" s="289"/>
      <c r="AC880" s="289" t="s">
        <v>2724</v>
      </c>
      <c r="AD880" s="289" t="s">
        <v>1446</v>
      </c>
      <c r="AE880" s="289" t="s">
        <v>410</v>
      </c>
      <c r="AF880" s="290" t="s">
        <v>1660</v>
      </c>
      <c r="AG880" s="289"/>
      <c r="AH880" s="290" t="s">
        <v>1448</v>
      </c>
      <c r="AI880" s="289">
        <v>0</v>
      </c>
      <c r="AJ880" s="289">
        <v>0</v>
      </c>
    </row>
    <row r="881" spans="2:36">
      <c r="B881" s="290">
        <v>2111</v>
      </c>
      <c r="C881" s="294">
        <v>128907</v>
      </c>
      <c r="D881" s="290" t="s">
        <v>944</v>
      </c>
      <c r="E881" s="289" t="s">
        <v>332</v>
      </c>
      <c r="F881" s="290"/>
      <c r="G881" s="289"/>
      <c r="H881" s="289"/>
      <c r="I881" s="289"/>
      <c r="J881" s="289">
        <v>0</v>
      </c>
      <c r="K881" s="289" t="s">
        <v>1657</v>
      </c>
      <c r="L881" s="289"/>
      <c r="M881" s="289"/>
      <c r="N881" s="293">
        <v>42352</v>
      </c>
      <c r="O881" s="293">
        <v>42352</v>
      </c>
      <c r="P881" s="289" t="s">
        <v>2725</v>
      </c>
      <c r="Q881" s="290">
        <v>300</v>
      </c>
      <c r="R881" s="290">
        <v>14110</v>
      </c>
      <c r="S881" s="291">
        <v>1141.1300000000001</v>
      </c>
      <c r="T881" s="290">
        <v>14116</v>
      </c>
      <c r="U881" s="291">
        <v>1141.1300000000001</v>
      </c>
      <c r="V881" s="291">
        <f t="shared" si="13"/>
        <v>0</v>
      </c>
      <c r="W881" s="292">
        <v>0</v>
      </c>
      <c r="X881" s="290">
        <v>70260</v>
      </c>
      <c r="Y881" s="291">
        <v>0</v>
      </c>
      <c r="Z881" s="289" t="s">
        <v>944</v>
      </c>
      <c r="AA881" s="289"/>
      <c r="AB881" s="289" t="s">
        <v>2726</v>
      </c>
      <c r="AC881" s="289"/>
      <c r="AD881" s="289" t="s">
        <v>1446</v>
      </c>
      <c r="AE881" s="289" t="s">
        <v>410</v>
      </c>
      <c r="AF881" s="290" t="s">
        <v>1447</v>
      </c>
      <c r="AG881" s="289"/>
      <c r="AH881" s="290" t="s">
        <v>1448</v>
      </c>
      <c r="AI881" s="289">
        <v>0</v>
      </c>
      <c r="AJ881" s="289">
        <v>0</v>
      </c>
    </row>
    <row r="882" spans="2:36">
      <c r="B882" s="290">
        <v>2111</v>
      </c>
      <c r="C882" s="294">
        <v>128810</v>
      </c>
      <c r="D882" s="290" t="s">
        <v>944</v>
      </c>
      <c r="E882" s="289" t="s">
        <v>2727</v>
      </c>
      <c r="F882" s="290">
        <v>10</v>
      </c>
      <c r="G882" s="289"/>
      <c r="H882" s="289"/>
      <c r="I882" s="289"/>
      <c r="J882" s="289">
        <v>0</v>
      </c>
      <c r="K882" s="289" t="s">
        <v>2257</v>
      </c>
      <c r="L882" s="289"/>
      <c r="M882" s="289" t="s">
        <v>1664</v>
      </c>
      <c r="N882" s="293">
        <v>41781</v>
      </c>
      <c r="O882" s="293">
        <v>41781</v>
      </c>
      <c r="P882" s="289" t="s">
        <v>2728</v>
      </c>
      <c r="Q882" s="290">
        <v>1200</v>
      </c>
      <c r="R882" s="290">
        <v>14050</v>
      </c>
      <c r="S882" s="291">
        <v>7548.6</v>
      </c>
      <c r="T882" s="290">
        <v>14056</v>
      </c>
      <c r="U882" s="291">
        <v>5137.1099999999997</v>
      </c>
      <c r="V882" s="291">
        <f t="shared" si="13"/>
        <v>2411.4900000000007</v>
      </c>
      <c r="W882" s="292">
        <v>366.94</v>
      </c>
      <c r="X882" s="290">
        <v>54260</v>
      </c>
      <c r="Y882" s="291">
        <v>52.41</v>
      </c>
      <c r="Z882" s="289" t="s">
        <v>944</v>
      </c>
      <c r="AA882" s="289"/>
      <c r="AB882" s="289">
        <v>94745</v>
      </c>
      <c r="AC882" s="289"/>
      <c r="AD882" s="289" t="s">
        <v>1446</v>
      </c>
      <c r="AE882" s="289" t="s">
        <v>410</v>
      </c>
      <c r="AF882" s="290" t="s">
        <v>1447</v>
      </c>
      <c r="AG882" s="295">
        <v>42338</v>
      </c>
      <c r="AH882" s="290" t="s">
        <v>1448</v>
      </c>
      <c r="AI882" s="289">
        <v>0</v>
      </c>
      <c r="AJ882" s="289">
        <v>943.57</v>
      </c>
    </row>
    <row r="883" spans="2:36">
      <c r="B883" s="290">
        <v>2111</v>
      </c>
      <c r="C883" s="294">
        <v>128632</v>
      </c>
      <c r="D883" s="290" t="s">
        <v>944</v>
      </c>
      <c r="E883" s="289" t="s">
        <v>333</v>
      </c>
      <c r="F883" s="290"/>
      <c r="G883" s="289"/>
      <c r="H883" s="289"/>
      <c r="I883" s="289"/>
      <c r="J883" s="289">
        <v>0</v>
      </c>
      <c r="K883" s="289" t="s">
        <v>2729</v>
      </c>
      <c r="L883" s="289"/>
      <c r="M883" s="289"/>
      <c r="N883" s="293">
        <v>42352</v>
      </c>
      <c r="O883" s="293">
        <v>42352</v>
      </c>
      <c r="P883" s="289" t="s">
        <v>2730</v>
      </c>
      <c r="Q883" s="290">
        <v>500</v>
      </c>
      <c r="R883" s="290">
        <v>14070</v>
      </c>
      <c r="S883" s="291">
        <v>9807.82</v>
      </c>
      <c r="T883" s="290">
        <v>14076</v>
      </c>
      <c r="U883" s="291">
        <v>9807.82</v>
      </c>
      <c r="V883" s="291">
        <f t="shared" si="13"/>
        <v>0</v>
      </c>
      <c r="W883" s="292">
        <v>0</v>
      </c>
      <c r="X883" s="290">
        <v>51260</v>
      </c>
      <c r="Y883" s="291">
        <v>0</v>
      </c>
      <c r="Z883" s="289" t="s">
        <v>944</v>
      </c>
      <c r="AA883" s="289"/>
      <c r="AB883" s="289">
        <v>266836</v>
      </c>
      <c r="AC883" s="289"/>
      <c r="AD883" s="289" t="s">
        <v>1446</v>
      </c>
      <c r="AE883" s="289" t="s">
        <v>410</v>
      </c>
      <c r="AF883" s="290" t="s">
        <v>1447</v>
      </c>
      <c r="AG883" s="289"/>
      <c r="AH883" s="290" t="s">
        <v>1448</v>
      </c>
      <c r="AI883" s="289">
        <v>0</v>
      </c>
      <c r="AJ883" s="289">
        <v>0</v>
      </c>
    </row>
    <row r="884" spans="2:36">
      <c r="B884" s="290">
        <v>2111</v>
      </c>
      <c r="C884" s="294">
        <v>127696</v>
      </c>
      <c r="D884" s="290" t="s">
        <v>944</v>
      </c>
      <c r="E884" s="289" t="s">
        <v>2731</v>
      </c>
      <c r="F884" s="290"/>
      <c r="G884" s="289"/>
      <c r="H884" s="289"/>
      <c r="I884" s="289"/>
      <c r="J884" s="289">
        <v>0</v>
      </c>
      <c r="K884" s="289" t="s">
        <v>1657</v>
      </c>
      <c r="L884" s="289"/>
      <c r="M884" s="289"/>
      <c r="N884" s="293">
        <v>42324</v>
      </c>
      <c r="O884" s="293">
        <v>42324</v>
      </c>
      <c r="P884" s="289" t="s">
        <v>2732</v>
      </c>
      <c r="Q884" s="290">
        <v>300</v>
      </c>
      <c r="R884" s="290">
        <v>14110</v>
      </c>
      <c r="S884" s="291">
        <v>864.3</v>
      </c>
      <c r="T884" s="290">
        <v>14116</v>
      </c>
      <c r="U884" s="291">
        <v>864.3</v>
      </c>
      <c r="V884" s="291">
        <f t="shared" si="13"/>
        <v>0</v>
      </c>
      <c r="W884" s="292">
        <v>0</v>
      </c>
      <c r="X884" s="290">
        <v>70260</v>
      </c>
      <c r="Y884" s="291">
        <v>0</v>
      </c>
      <c r="Z884" s="289" t="s">
        <v>944</v>
      </c>
      <c r="AA884" s="289"/>
      <c r="AB884" s="289" t="s">
        <v>2733</v>
      </c>
      <c r="AC884" s="289"/>
      <c r="AD884" s="289" t="s">
        <v>1446</v>
      </c>
      <c r="AE884" s="289" t="s">
        <v>410</v>
      </c>
      <c r="AF884" s="290" t="s">
        <v>1447</v>
      </c>
      <c r="AG884" s="289"/>
      <c r="AH884" s="290" t="s">
        <v>1448</v>
      </c>
      <c r="AI884" s="289">
        <v>0</v>
      </c>
      <c r="AJ884" s="289">
        <v>0</v>
      </c>
    </row>
    <row r="885" spans="2:36">
      <c r="B885" s="290">
        <v>2111</v>
      </c>
      <c r="C885" s="294">
        <v>126247</v>
      </c>
      <c r="D885" s="290" t="s">
        <v>944</v>
      </c>
      <c r="E885" s="289" t="s">
        <v>2734</v>
      </c>
      <c r="F885" s="290">
        <v>528</v>
      </c>
      <c r="G885" s="289"/>
      <c r="H885" s="289"/>
      <c r="I885" s="289"/>
      <c r="J885" s="289">
        <v>0</v>
      </c>
      <c r="K885" s="289" t="s">
        <v>2735</v>
      </c>
      <c r="L885" s="289"/>
      <c r="M885" s="289"/>
      <c r="N885" s="293">
        <v>42154</v>
      </c>
      <c r="O885" s="293">
        <v>42154</v>
      </c>
      <c r="P885" s="289" t="s">
        <v>2736</v>
      </c>
      <c r="Q885" s="290">
        <v>700</v>
      </c>
      <c r="R885" s="290">
        <v>14050</v>
      </c>
      <c r="S885" s="291">
        <v>27937.89</v>
      </c>
      <c r="T885" s="290">
        <v>14056</v>
      </c>
      <c r="U885" s="291">
        <v>27937.89</v>
      </c>
      <c r="V885" s="291">
        <f t="shared" si="13"/>
        <v>0</v>
      </c>
      <c r="W885" s="292">
        <v>1662.95</v>
      </c>
      <c r="X885" s="290">
        <v>54260</v>
      </c>
      <c r="Y885" s="291">
        <v>0</v>
      </c>
      <c r="Z885" s="289" t="s">
        <v>944</v>
      </c>
      <c r="AA885" s="289"/>
      <c r="AB885" s="289">
        <v>65370397</v>
      </c>
      <c r="AC885" s="289"/>
      <c r="AD885" s="289" t="s">
        <v>1446</v>
      </c>
      <c r="AE885" s="289" t="s">
        <v>410</v>
      </c>
      <c r="AF885" s="290" t="s">
        <v>1447</v>
      </c>
      <c r="AG885" s="295">
        <v>42277</v>
      </c>
      <c r="AH885" s="290" t="s">
        <v>1448</v>
      </c>
      <c r="AI885" s="289">
        <v>0</v>
      </c>
      <c r="AJ885" s="289">
        <v>1330.38</v>
      </c>
    </row>
    <row r="886" spans="2:36">
      <c r="B886" s="290">
        <v>2111</v>
      </c>
      <c r="C886" s="294">
        <v>125315</v>
      </c>
      <c r="D886" s="290" t="s">
        <v>944</v>
      </c>
      <c r="E886" s="289" t="s">
        <v>2737</v>
      </c>
      <c r="F886" s="290">
        <v>10</v>
      </c>
      <c r="G886" s="289"/>
      <c r="H886" s="289"/>
      <c r="I886" s="289"/>
      <c r="J886" s="289">
        <v>0</v>
      </c>
      <c r="K886" s="289" t="s">
        <v>2738</v>
      </c>
      <c r="L886" s="289"/>
      <c r="M886" s="289" t="s">
        <v>1664</v>
      </c>
      <c r="N886" s="293">
        <v>42214</v>
      </c>
      <c r="O886" s="293">
        <v>42214</v>
      </c>
      <c r="P886" s="289" t="s">
        <v>2739</v>
      </c>
      <c r="Q886" s="290">
        <v>1200</v>
      </c>
      <c r="R886" s="290">
        <v>14050</v>
      </c>
      <c r="S886" s="291">
        <v>5837.1</v>
      </c>
      <c r="T886" s="290">
        <v>14056</v>
      </c>
      <c r="U886" s="291">
        <v>3405.01</v>
      </c>
      <c r="V886" s="291">
        <f t="shared" si="13"/>
        <v>2432.09</v>
      </c>
      <c r="W886" s="292">
        <v>283.75</v>
      </c>
      <c r="X886" s="290">
        <v>54260</v>
      </c>
      <c r="Y886" s="291">
        <v>40.53</v>
      </c>
      <c r="Z886" s="289" t="s">
        <v>944</v>
      </c>
      <c r="AA886" s="289"/>
      <c r="AB886" s="289">
        <v>37210728</v>
      </c>
      <c r="AC886" s="289"/>
      <c r="AD886" s="289" t="s">
        <v>1446</v>
      </c>
      <c r="AE886" s="289" t="s">
        <v>410</v>
      </c>
      <c r="AF886" s="290" t="s">
        <v>1447</v>
      </c>
      <c r="AG886" s="289"/>
      <c r="AH886" s="290" t="s">
        <v>1448</v>
      </c>
      <c r="AI886" s="289">
        <v>0</v>
      </c>
      <c r="AJ886" s="289">
        <v>0</v>
      </c>
    </row>
    <row r="887" spans="2:36">
      <c r="B887" s="290">
        <v>2111</v>
      </c>
      <c r="C887" s="294">
        <v>125313</v>
      </c>
      <c r="D887" s="290" t="s">
        <v>944</v>
      </c>
      <c r="E887" s="289" t="s">
        <v>1530</v>
      </c>
      <c r="F887" s="290">
        <v>10</v>
      </c>
      <c r="G887" s="289"/>
      <c r="H887" s="289"/>
      <c r="I887" s="289"/>
      <c r="J887" s="289">
        <v>0</v>
      </c>
      <c r="K887" s="289" t="s">
        <v>2738</v>
      </c>
      <c r="L887" s="289"/>
      <c r="M887" s="289" t="s">
        <v>1659</v>
      </c>
      <c r="N887" s="293">
        <v>42214</v>
      </c>
      <c r="O887" s="293">
        <v>42214</v>
      </c>
      <c r="P887" s="289" t="s">
        <v>2739</v>
      </c>
      <c r="Q887" s="290">
        <v>1200</v>
      </c>
      <c r="R887" s="290">
        <v>14050</v>
      </c>
      <c r="S887" s="291">
        <v>6677.17</v>
      </c>
      <c r="T887" s="290">
        <v>14056</v>
      </c>
      <c r="U887" s="291">
        <v>3895.01</v>
      </c>
      <c r="V887" s="291">
        <f t="shared" si="13"/>
        <v>2782.16</v>
      </c>
      <c r="W887" s="292">
        <v>324.58</v>
      </c>
      <c r="X887" s="290">
        <v>54260</v>
      </c>
      <c r="Y887" s="291">
        <v>46.36</v>
      </c>
      <c r="Z887" s="289" t="s">
        <v>944</v>
      </c>
      <c r="AA887" s="289"/>
      <c r="AB887" s="289">
        <v>37210754</v>
      </c>
      <c r="AC887" s="289"/>
      <c r="AD887" s="289" t="s">
        <v>1446</v>
      </c>
      <c r="AE887" s="289" t="s">
        <v>410</v>
      </c>
      <c r="AF887" s="290" t="s">
        <v>1447</v>
      </c>
      <c r="AG887" s="289"/>
      <c r="AH887" s="290" t="s">
        <v>1448</v>
      </c>
      <c r="AI887" s="289">
        <v>0</v>
      </c>
      <c r="AJ887" s="289">
        <v>0</v>
      </c>
    </row>
    <row r="888" spans="2:36">
      <c r="B888" s="290">
        <v>2111</v>
      </c>
      <c r="C888" s="294">
        <v>125264</v>
      </c>
      <c r="D888" s="290" t="s">
        <v>944</v>
      </c>
      <c r="E888" s="289" t="s">
        <v>708</v>
      </c>
      <c r="F888" s="290">
        <v>15</v>
      </c>
      <c r="G888" s="289"/>
      <c r="H888" s="289"/>
      <c r="I888" s="289"/>
      <c r="J888" s="289">
        <v>0</v>
      </c>
      <c r="K888" s="289" t="s">
        <v>2738</v>
      </c>
      <c r="L888" s="289"/>
      <c r="M888" s="289" t="s">
        <v>1918</v>
      </c>
      <c r="N888" s="293">
        <v>42214</v>
      </c>
      <c r="O888" s="293">
        <v>42214</v>
      </c>
      <c r="P888" s="289" t="s">
        <v>2739</v>
      </c>
      <c r="Q888" s="290">
        <v>1200</v>
      </c>
      <c r="R888" s="290">
        <v>14050</v>
      </c>
      <c r="S888" s="291">
        <v>8766.75</v>
      </c>
      <c r="T888" s="290">
        <v>14056</v>
      </c>
      <c r="U888" s="291">
        <v>5113.92</v>
      </c>
      <c r="V888" s="291">
        <f t="shared" si="13"/>
        <v>3652.83</v>
      </c>
      <c r="W888" s="292">
        <v>426.16</v>
      </c>
      <c r="X888" s="290">
        <v>54260</v>
      </c>
      <c r="Y888" s="291">
        <v>60.88</v>
      </c>
      <c r="Z888" s="289" t="s">
        <v>944</v>
      </c>
      <c r="AA888" s="289"/>
      <c r="AB888" s="289">
        <v>37210832</v>
      </c>
      <c r="AC888" s="289"/>
      <c r="AD888" s="289" t="s">
        <v>1446</v>
      </c>
      <c r="AE888" s="289" t="s">
        <v>410</v>
      </c>
      <c r="AF888" s="290" t="s">
        <v>1447</v>
      </c>
      <c r="AG888" s="289"/>
      <c r="AH888" s="290" t="s">
        <v>1448</v>
      </c>
      <c r="AI888" s="289">
        <v>0</v>
      </c>
      <c r="AJ888" s="289">
        <v>0</v>
      </c>
    </row>
    <row r="889" spans="2:36">
      <c r="B889" s="290">
        <v>2111</v>
      </c>
      <c r="C889" s="294">
        <v>124685</v>
      </c>
      <c r="D889" s="290" t="s">
        <v>944</v>
      </c>
      <c r="E889" s="289" t="s">
        <v>2740</v>
      </c>
      <c r="F889" s="290">
        <v>14</v>
      </c>
      <c r="G889" s="289"/>
      <c r="H889" s="289"/>
      <c r="I889" s="289"/>
      <c r="J889" s="289">
        <v>0</v>
      </c>
      <c r="K889" s="289" t="s">
        <v>2738</v>
      </c>
      <c r="L889" s="289"/>
      <c r="M889" s="289" t="s">
        <v>1662</v>
      </c>
      <c r="N889" s="293">
        <v>42201</v>
      </c>
      <c r="O889" s="293">
        <v>42201</v>
      </c>
      <c r="P889" s="289" t="s">
        <v>2739</v>
      </c>
      <c r="Q889" s="290">
        <v>1200</v>
      </c>
      <c r="R889" s="290">
        <v>14050</v>
      </c>
      <c r="S889" s="291">
        <v>10678.75</v>
      </c>
      <c r="T889" s="290">
        <v>14056</v>
      </c>
      <c r="U889" s="291">
        <v>6229.3</v>
      </c>
      <c r="V889" s="291">
        <f t="shared" si="13"/>
        <v>4449.45</v>
      </c>
      <c r="W889" s="292">
        <v>519.11</v>
      </c>
      <c r="X889" s="290">
        <v>54260</v>
      </c>
      <c r="Y889" s="291">
        <v>74.16</v>
      </c>
      <c r="Z889" s="289" t="s">
        <v>944</v>
      </c>
      <c r="AA889" s="289"/>
      <c r="AB889" s="289">
        <v>37210695</v>
      </c>
      <c r="AC889" s="289"/>
      <c r="AD889" s="289" t="s">
        <v>1446</v>
      </c>
      <c r="AE889" s="289" t="s">
        <v>410</v>
      </c>
      <c r="AF889" s="290" t="s">
        <v>1447</v>
      </c>
      <c r="AG889" s="289"/>
      <c r="AH889" s="290" t="s">
        <v>1448</v>
      </c>
      <c r="AI889" s="289">
        <v>0</v>
      </c>
      <c r="AJ889" s="289">
        <v>0</v>
      </c>
    </row>
    <row r="890" spans="2:36">
      <c r="B890" s="290">
        <v>2111</v>
      </c>
      <c r="C890" s="294">
        <v>124133</v>
      </c>
      <c r="D890" s="290" t="s">
        <v>944</v>
      </c>
      <c r="E890" s="289" t="s">
        <v>265</v>
      </c>
      <c r="F890" s="290">
        <v>213</v>
      </c>
      <c r="G890" s="289"/>
      <c r="H890" s="289"/>
      <c r="I890" s="289"/>
      <c r="J890" s="289">
        <v>0</v>
      </c>
      <c r="K890" s="289"/>
      <c r="L890" s="289"/>
      <c r="M890" s="289" t="s">
        <v>1918</v>
      </c>
      <c r="N890" s="293">
        <v>42216</v>
      </c>
      <c r="O890" s="293">
        <v>42216</v>
      </c>
      <c r="P890" s="289" t="s">
        <v>2741</v>
      </c>
      <c r="Q890" s="290">
        <v>0</v>
      </c>
      <c r="R890" s="290">
        <v>14050</v>
      </c>
      <c r="S890" s="291">
        <v>0</v>
      </c>
      <c r="T890" s="290">
        <v>14056</v>
      </c>
      <c r="U890" s="291">
        <v>0</v>
      </c>
      <c r="V890" s="291">
        <f t="shared" si="13"/>
        <v>0</v>
      </c>
      <c r="W890" s="292">
        <v>0</v>
      </c>
      <c r="X890" s="290">
        <v>54260</v>
      </c>
      <c r="Y890" s="291">
        <v>0</v>
      </c>
      <c r="Z890" s="289" t="s">
        <v>410</v>
      </c>
      <c r="AA890" s="289"/>
      <c r="AB890" s="289"/>
      <c r="AC890" s="289"/>
      <c r="AD890" s="289" t="s">
        <v>1446</v>
      </c>
      <c r="AE890" s="289" t="s">
        <v>410</v>
      </c>
      <c r="AF890" s="290" t="s">
        <v>1660</v>
      </c>
      <c r="AG890" s="289"/>
      <c r="AH890" s="290" t="s">
        <v>1448</v>
      </c>
      <c r="AI890" s="289">
        <v>0</v>
      </c>
      <c r="AJ890" s="289">
        <v>0</v>
      </c>
    </row>
    <row r="891" spans="2:36">
      <c r="B891" s="290">
        <v>2111</v>
      </c>
      <c r="C891" s="294">
        <v>124132</v>
      </c>
      <c r="D891" s="290" t="s">
        <v>944</v>
      </c>
      <c r="E891" s="289" t="s">
        <v>264</v>
      </c>
      <c r="F891" s="290">
        <v>26</v>
      </c>
      <c r="G891" s="289"/>
      <c r="H891" s="289"/>
      <c r="I891" s="289"/>
      <c r="J891" s="289">
        <v>0</v>
      </c>
      <c r="K891" s="289"/>
      <c r="L891" s="289"/>
      <c r="M891" s="289" t="s">
        <v>1659</v>
      </c>
      <c r="N891" s="293">
        <v>42216</v>
      </c>
      <c r="O891" s="293">
        <v>42216</v>
      </c>
      <c r="P891" s="289" t="s">
        <v>2741</v>
      </c>
      <c r="Q891" s="290">
        <v>0</v>
      </c>
      <c r="R891" s="290">
        <v>14050</v>
      </c>
      <c r="S891" s="291">
        <v>0</v>
      </c>
      <c r="T891" s="290">
        <v>14056</v>
      </c>
      <c r="U891" s="291">
        <v>0</v>
      </c>
      <c r="V891" s="291">
        <f t="shared" si="13"/>
        <v>0</v>
      </c>
      <c r="W891" s="292">
        <v>0</v>
      </c>
      <c r="X891" s="290">
        <v>54260</v>
      </c>
      <c r="Y891" s="291">
        <v>0</v>
      </c>
      <c r="Z891" s="289" t="s">
        <v>410</v>
      </c>
      <c r="AA891" s="289"/>
      <c r="AB891" s="289"/>
      <c r="AC891" s="289"/>
      <c r="AD891" s="289" t="s">
        <v>1446</v>
      </c>
      <c r="AE891" s="289" t="s">
        <v>410</v>
      </c>
      <c r="AF891" s="290" t="s">
        <v>1660</v>
      </c>
      <c r="AG891" s="289"/>
      <c r="AH891" s="290" t="s">
        <v>1448</v>
      </c>
      <c r="AI891" s="289">
        <v>0</v>
      </c>
      <c r="AJ891" s="289">
        <v>0</v>
      </c>
    </row>
    <row r="892" spans="2:36">
      <c r="B892" s="290">
        <v>2111</v>
      </c>
      <c r="C892" s="294">
        <v>124066</v>
      </c>
      <c r="D892" s="290" t="s">
        <v>944</v>
      </c>
      <c r="E892" s="289" t="s">
        <v>2742</v>
      </c>
      <c r="F892" s="290">
        <v>624</v>
      </c>
      <c r="G892" s="289"/>
      <c r="H892" s="289"/>
      <c r="I892" s="289"/>
      <c r="J892" s="289">
        <v>0</v>
      </c>
      <c r="K892" s="289" t="s">
        <v>2735</v>
      </c>
      <c r="L892" s="289"/>
      <c r="M892" s="289"/>
      <c r="N892" s="293">
        <v>42181</v>
      </c>
      <c r="O892" s="293">
        <v>42181</v>
      </c>
      <c r="P892" s="289" t="s">
        <v>2743</v>
      </c>
      <c r="Q892" s="290">
        <v>700</v>
      </c>
      <c r="R892" s="290">
        <v>14050</v>
      </c>
      <c r="S892" s="291">
        <v>33030.050000000003</v>
      </c>
      <c r="T892" s="290">
        <v>14056</v>
      </c>
      <c r="U892" s="291">
        <v>33030.050000000003</v>
      </c>
      <c r="V892" s="291">
        <f t="shared" si="13"/>
        <v>0</v>
      </c>
      <c r="W892" s="292">
        <v>2359.2800000000002</v>
      </c>
      <c r="X892" s="290">
        <v>54260</v>
      </c>
      <c r="Y892" s="291">
        <v>0</v>
      </c>
      <c r="Z892" s="289" t="s">
        <v>944</v>
      </c>
      <c r="AA892" s="289"/>
      <c r="AB892" s="289">
        <v>65372997</v>
      </c>
      <c r="AC892" s="289"/>
      <c r="AD892" s="289" t="s">
        <v>1446</v>
      </c>
      <c r="AE892" s="289" t="s">
        <v>410</v>
      </c>
      <c r="AF892" s="290" t="s">
        <v>1447</v>
      </c>
      <c r="AG892" s="289"/>
      <c r="AH892" s="290" t="s">
        <v>1448</v>
      </c>
      <c r="AI892" s="289">
        <v>0</v>
      </c>
      <c r="AJ892" s="289">
        <v>0</v>
      </c>
    </row>
    <row r="893" spans="2:36">
      <c r="B893" s="290">
        <v>2111</v>
      </c>
      <c r="C893" s="294">
        <v>122888</v>
      </c>
      <c r="D893" s="290" t="s">
        <v>944</v>
      </c>
      <c r="E893" s="289" t="s">
        <v>777</v>
      </c>
      <c r="F893" s="290">
        <v>5</v>
      </c>
      <c r="G893" s="289"/>
      <c r="H893" s="289"/>
      <c r="I893" s="289"/>
      <c r="J893" s="289">
        <v>0</v>
      </c>
      <c r="K893" s="289" t="s">
        <v>2744</v>
      </c>
      <c r="L893" s="289"/>
      <c r="M893" s="289" t="s">
        <v>1667</v>
      </c>
      <c r="N893" s="293">
        <v>42095</v>
      </c>
      <c r="O893" s="293">
        <v>42095</v>
      </c>
      <c r="P893" s="289" t="s">
        <v>2745</v>
      </c>
      <c r="Q893" s="290">
        <v>1200</v>
      </c>
      <c r="R893" s="290">
        <v>14050</v>
      </c>
      <c r="S893" s="291">
        <v>30270</v>
      </c>
      <c r="T893" s="290">
        <v>14056</v>
      </c>
      <c r="U893" s="291">
        <v>18498.34</v>
      </c>
      <c r="V893" s="291">
        <f t="shared" si="13"/>
        <v>11771.66</v>
      </c>
      <c r="W893" s="292">
        <v>1471.46</v>
      </c>
      <c r="X893" s="290">
        <v>54260</v>
      </c>
      <c r="Y893" s="291">
        <v>210.21</v>
      </c>
      <c r="Z893" s="289" t="s">
        <v>944</v>
      </c>
      <c r="AA893" s="289"/>
      <c r="AB893" s="289">
        <v>37209794</v>
      </c>
      <c r="AC893" s="289"/>
      <c r="AD893" s="289" t="s">
        <v>1446</v>
      </c>
      <c r="AE893" s="289" t="s">
        <v>410</v>
      </c>
      <c r="AF893" s="290" t="s">
        <v>1447</v>
      </c>
      <c r="AG893" s="289"/>
      <c r="AH893" s="290" t="s">
        <v>1448</v>
      </c>
      <c r="AI893" s="289">
        <v>0</v>
      </c>
      <c r="AJ893" s="289">
        <v>0</v>
      </c>
    </row>
    <row r="894" spans="2:36">
      <c r="B894" s="290">
        <v>2111</v>
      </c>
      <c r="C894" s="294">
        <v>122827</v>
      </c>
      <c r="D894" s="290" t="s">
        <v>944</v>
      </c>
      <c r="E894" s="289" t="s">
        <v>2746</v>
      </c>
      <c r="F894" s="290"/>
      <c r="G894" s="289"/>
      <c r="H894" s="289"/>
      <c r="I894" s="289"/>
      <c r="J894" s="289">
        <v>0</v>
      </c>
      <c r="K894" s="289"/>
      <c r="L894" s="289"/>
      <c r="M894" s="289"/>
      <c r="N894" s="293">
        <v>42139</v>
      </c>
      <c r="O894" s="293">
        <v>42139</v>
      </c>
      <c r="P894" s="289" t="s">
        <v>2747</v>
      </c>
      <c r="Q894" s="290">
        <v>300</v>
      </c>
      <c r="R894" s="290">
        <v>14110</v>
      </c>
      <c r="S894" s="291">
        <v>3126.31</v>
      </c>
      <c r="T894" s="290">
        <v>14116</v>
      </c>
      <c r="U894" s="291">
        <v>3126.31</v>
      </c>
      <c r="V894" s="291">
        <f t="shared" si="13"/>
        <v>0</v>
      </c>
      <c r="W894" s="292">
        <v>0</v>
      </c>
      <c r="X894" s="290">
        <v>70260</v>
      </c>
      <c r="Y894" s="291">
        <v>0</v>
      </c>
      <c r="Z894" s="289" t="s">
        <v>944</v>
      </c>
      <c r="AA894" s="289"/>
      <c r="AB894" s="289" t="s">
        <v>2748</v>
      </c>
      <c r="AC894" s="289"/>
      <c r="AD894" s="289" t="s">
        <v>1446</v>
      </c>
      <c r="AE894" s="289" t="s">
        <v>410</v>
      </c>
      <c r="AF894" s="290" t="s">
        <v>1447</v>
      </c>
      <c r="AG894" s="289"/>
      <c r="AH894" s="290" t="s">
        <v>1448</v>
      </c>
      <c r="AI894" s="289">
        <v>0</v>
      </c>
      <c r="AJ894" s="289">
        <v>0</v>
      </c>
    </row>
    <row r="895" spans="2:36">
      <c r="B895" s="290">
        <v>2111</v>
      </c>
      <c r="C895" s="294">
        <v>122580</v>
      </c>
      <c r="D895" s="290" t="s">
        <v>944</v>
      </c>
      <c r="E895" s="289" t="s">
        <v>1243</v>
      </c>
      <c r="F895" s="290"/>
      <c r="G895" s="289"/>
      <c r="H895" s="289" t="s">
        <v>2749</v>
      </c>
      <c r="I895" s="289"/>
      <c r="J895" s="289">
        <v>2016</v>
      </c>
      <c r="K895" s="289" t="s">
        <v>1483</v>
      </c>
      <c r="L895" s="289" t="s">
        <v>2190</v>
      </c>
      <c r="M895" s="289" t="s">
        <v>1495</v>
      </c>
      <c r="N895" s="293">
        <v>42155</v>
      </c>
      <c r="O895" s="293">
        <v>42155</v>
      </c>
      <c r="P895" s="289" t="s">
        <v>2750</v>
      </c>
      <c r="Q895" s="290">
        <v>1000</v>
      </c>
      <c r="R895" s="290">
        <v>14040</v>
      </c>
      <c r="S895" s="291">
        <v>326336.78000000003</v>
      </c>
      <c r="T895" s="290">
        <v>14046</v>
      </c>
      <c r="U895" s="291">
        <v>233874.7</v>
      </c>
      <c r="V895" s="291">
        <f t="shared" si="13"/>
        <v>92462.080000000016</v>
      </c>
      <c r="W895" s="292">
        <v>19036.310000000001</v>
      </c>
      <c r="X895" s="290">
        <v>51260</v>
      </c>
      <c r="Y895" s="291">
        <v>2719.47</v>
      </c>
      <c r="Z895" s="289" t="s">
        <v>944</v>
      </c>
      <c r="AA895" s="289"/>
      <c r="AB895" s="289" t="s">
        <v>2751</v>
      </c>
      <c r="AC895" s="289">
        <v>831</v>
      </c>
      <c r="AD895" s="289" t="s">
        <v>1446</v>
      </c>
      <c r="AE895" s="289" t="s">
        <v>410</v>
      </c>
      <c r="AF895" s="290" t="s">
        <v>1447</v>
      </c>
      <c r="AG895" s="289"/>
      <c r="AH895" s="290" t="s">
        <v>1448</v>
      </c>
      <c r="AI895" s="289">
        <v>0</v>
      </c>
      <c r="AJ895" s="289">
        <v>0</v>
      </c>
    </row>
    <row r="896" spans="2:36">
      <c r="B896" s="290">
        <v>2111</v>
      </c>
      <c r="C896" s="294">
        <v>122194</v>
      </c>
      <c r="D896" s="290" t="s">
        <v>944</v>
      </c>
      <c r="E896" s="289" t="s">
        <v>2752</v>
      </c>
      <c r="F896" s="290">
        <v>624</v>
      </c>
      <c r="G896" s="289"/>
      <c r="H896" s="289"/>
      <c r="I896" s="289"/>
      <c r="J896" s="289">
        <v>0</v>
      </c>
      <c r="K896" s="289" t="s">
        <v>2738</v>
      </c>
      <c r="L896" s="289"/>
      <c r="M896" s="289"/>
      <c r="N896" s="293">
        <v>42063</v>
      </c>
      <c r="O896" s="293">
        <v>42063</v>
      </c>
      <c r="P896" s="289" t="s">
        <v>2753</v>
      </c>
      <c r="Q896" s="290">
        <v>700</v>
      </c>
      <c r="R896" s="290">
        <v>14050</v>
      </c>
      <c r="S896" s="291">
        <v>36128.58</v>
      </c>
      <c r="T896" s="290">
        <v>14056</v>
      </c>
      <c r="U896" s="291">
        <v>36128.58</v>
      </c>
      <c r="V896" s="291">
        <f t="shared" si="13"/>
        <v>0</v>
      </c>
      <c r="W896" s="292">
        <v>860.18</v>
      </c>
      <c r="X896" s="290">
        <v>54260</v>
      </c>
      <c r="Y896" s="291">
        <v>0</v>
      </c>
      <c r="Z896" s="289" t="s">
        <v>944</v>
      </c>
      <c r="AA896" s="289"/>
      <c r="AB896" s="289">
        <v>65361446</v>
      </c>
      <c r="AC896" s="289"/>
      <c r="AD896" s="289" t="s">
        <v>1446</v>
      </c>
      <c r="AE896" s="289" t="s">
        <v>410</v>
      </c>
      <c r="AF896" s="290" t="s">
        <v>1447</v>
      </c>
      <c r="AG896" s="289"/>
      <c r="AH896" s="290" t="s">
        <v>1448</v>
      </c>
      <c r="AI896" s="289">
        <v>0</v>
      </c>
      <c r="AJ896" s="289">
        <v>0</v>
      </c>
    </row>
    <row r="897" spans="2:36">
      <c r="B897" s="290">
        <v>2111</v>
      </c>
      <c r="C897" s="294">
        <v>121001</v>
      </c>
      <c r="D897" s="290" t="s">
        <v>944</v>
      </c>
      <c r="E897" s="289" t="s">
        <v>2754</v>
      </c>
      <c r="F897" s="290">
        <v>624</v>
      </c>
      <c r="G897" s="289"/>
      <c r="H897" s="289"/>
      <c r="I897" s="289"/>
      <c r="J897" s="289">
        <v>0</v>
      </c>
      <c r="K897" s="289" t="s">
        <v>2342</v>
      </c>
      <c r="L897" s="289"/>
      <c r="M897" s="289"/>
      <c r="N897" s="293">
        <v>42063</v>
      </c>
      <c r="O897" s="293">
        <v>42063</v>
      </c>
      <c r="P897" s="289" t="s">
        <v>2743</v>
      </c>
      <c r="Q897" s="290">
        <v>700</v>
      </c>
      <c r="R897" s="290">
        <v>14050</v>
      </c>
      <c r="S897" s="291">
        <v>34343.910000000003</v>
      </c>
      <c r="T897" s="290">
        <v>14056</v>
      </c>
      <c r="U897" s="291">
        <v>34343.910000000003</v>
      </c>
      <c r="V897" s="291">
        <f t="shared" si="13"/>
        <v>0</v>
      </c>
      <c r="W897" s="292">
        <v>817.73</v>
      </c>
      <c r="X897" s="290">
        <v>54260</v>
      </c>
      <c r="Y897" s="291">
        <v>0</v>
      </c>
      <c r="Z897" s="289" t="s">
        <v>944</v>
      </c>
      <c r="AA897" s="289"/>
      <c r="AB897" s="289">
        <v>65360890</v>
      </c>
      <c r="AC897" s="289"/>
      <c r="AD897" s="289" t="s">
        <v>1446</v>
      </c>
      <c r="AE897" s="289" t="s">
        <v>410</v>
      </c>
      <c r="AF897" s="290" t="s">
        <v>1447</v>
      </c>
      <c r="AG897" s="289"/>
      <c r="AH897" s="290" t="s">
        <v>1448</v>
      </c>
      <c r="AI897" s="289">
        <v>0</v>
      </c>
      <c r="AJ897" s="289">
        <v>0</v>
      </c>
    </row>
    <row r="898" spans="2:36">
      <c r="B898" s="290">
        <v>2111</v>
      </c>
      <c r="C898" s="294">
        <v>120339</v>
      </c>
      <c r="D898" s="290" t="s">
        <v>944</v>
      </c>
      <c r="E898" s="289" t="s">
        <v>323</v>
      </c>
      <c r="F898" s="290"/>
      <c r="G898" s="289"/>
      <c r="H898" s="289"/>
      <c r="I898" s="289"/>
      <c r="J898" s="289">
        <v>0</v>
      </c>
      <c r="K898" s="289" t="s">
        <v>1657</v>
      </c>
      <c r="L898" s="289"/>
      <c r="M898" s="289"/>
      <c r="N898" s="293">
        <v>42036</v>
      </c>
      <c r="O898" s="293">
        <v>42036</v>
      </c>
      <c r="P898" s="289" t="s">
        <v>2755</v>
      </c>
      <c r="Q898" s="290">
        <v>300</v>
      </c>
      <c r="R898" s="290">
        <v>14110</v>
      </c>
      <c r="S898" s="291">
        <v>747.14</v>
      </c>
      <c r="T898" s="290">
        <v>14116</v>
      </c>
      <c r="U898" s="291">
        <v>747.14</v>
      </c>
      <c r="V898" s="291">
        <f t="shared" si="13"/>
        <v>0</v>
      </c>
      <c r="W898" s="292">
        <v>0</v>
      </c>
      <c r="X898" s="290">
        <v>70260</v>
      </c>
      <c r="Y898" s="291">
        <v>0</v>
      </c>
      <c r="Z898" s="289" t="s">
        <v>944</v>
      </c>
      <c r="AA898" s="289"/>
      <c r="AB898" s="289" t="s">
        <v>2756</v>
      </c>
      <c r="AC898" s="289"/>
      <c r="AD898" s="289" t="s">
        <v>1446</v>
      </c>
      <c r="AE898" s="289" t="s">
        <v>410</v>
      </c>
      <c r="AF898" s="290" t="s">
        <v>1447</v>
      </c>
      <c r="AG898" s="289"/>
      <c r="AH898" s="290" t="s">
        <v>1448</v>
      </c>
      <c r="AI898" s="289">
        <v>0</v>
      </c>
      <c r="AJ898" s="289">
        <v>0</v>
      </c>
    </row>
    <row r="899" spans="2:36">
      <c r="B899" s="290">
        <v>2111</v>
      </c>
      <c r="C899" s="294">
        <v>120338</v>
      </c>
      <c r="D899" s="290" t="s">
        <v>944</v>
      </c>
      <c r="E899" s="289" t="s">
        <v>2757</v>
      </c>
      <c r="F899" s="290"/>
      <c r="G899" s="289"/>
      <c r="H899" s="289"/>
      <c r="I899" s="289"/>
      <c r="J899" s="289">
        <v>0</v>
      </c>
      <c r="K899" s="289" t="s">
        <v>1657</v>
      </c>
      <c r="L899" s="289"/>
      <c r="M899" s="289"/>
      <c r="N899" s="293">
        <v>42063</v>
      </c>
      <c r="O899" s="293">
        <v>42063</v>
      </c>
      <c r="P899" s="289" t="s">
        <v>2758</v>
      </c>
      <c r="Q899" s="290">
        <v>300</v>
      </c>
      <c r="R899" s="290">
        <v>14110</v>
      </c>
      <c r="S899" s="291">
        <v>8597.08</v>
      </c>
      <c r="T899" s="290">
        <v>14116</v>
      </c>
      <c r="U899" s="291">
        <v>8597.08</v>
      </c>
      <c r="V899" s="291">
        <f t="shared" si="13"/>
        <v>0</v>
      </c>
      <c r="W899" s="292">
        <v>0</v>
      </c>
      <c r="X899" s="290">
        <v>70260</v>
      </c>
      <c r="Y899" s="291">
        <v>0</v>
      </c>
      <c r="Z899" s="289" t="s">
        <v>944</v>
      </c>
      <c r="AA899" s="289"/>
      <c r="AB899" s="289" t="s">
        <v>2759</v>
      </c>
      <c r="AC899" s="289"/>
      <c r="AD899" s="289" t="s">
        <v>1446</v>
      </c>
      <c r="AE899" s="289" t="s">
        <v>410</v>
      </c>
      <c r="AF899" s="290" t="s">
        <v>1447</v>
      </c>
      <c r="AG899" s="289"/>
      <c r="AH899" s="290" t="s">
        <v>1448</v>
      </c>
      <c r="AI899" s="289">
        <v>0</v>
      </c>
      <c r="AJ899" s="289">
        <v>0</v>
      </c>
    </row>
    <row r="900" spans="2:36">
      <c r="B900" s="290">
        <v>2111</v>
      </c>
      <c r="C900" s="294">
        <v>120295</v>
      </c>
      <c r="D900" s="290" t="s">
        <v>944</v>
      </c>
      <c r="E900" s="289" t="s">
        <v>2760</v>
      </c>
      <c r="F900" s="290"/>
      <c r="G900" s="289"/>
      <c r="H900" s="289"/>
      <c r="I900" s="289"/>
      <c r="J900" s="289">
        <v>0</v>
      </c>
      <c r="K900" s="289" t="s">
        <v>1657</v>
      </c>
      <c r="L900" s="289"/>
      <c r="M900" s="289"/>
      <c r="N900" s="293">
        <v>42037</v>
      </c>
      <c r="O900" s="293">
        <v>42037</v>
      </c>
      <c r="P900" s="289" t="s">
        <v>2761</v>
      </c>
      <c r="Q900" s="290">
        <v>300</v>
      </c>
      <c r="R900" s="290">
        <v>14110</v>
      </c>
      <c r="S900" s="291">
        <v>2768.16</v>
      </c>
      <c r="T900" s="290">
        <v>14116</v>
      </c>
      <c r="U900" s="291">
        <v>2768.16</v>
      </c>
      <c r="V900" s="291">
        <f t="shared" si="13"/>
        <v>0</v>
      </c>
      <c r="W900" s="292">
        <v>0</v>
      </c>
      <c r="X900" s="290">
        <v>70260</v>
      </c>
      <c r="Y900" s="291">
        <v>0</v>
      </c>
      <c r="Z900" s="289" t="s">
        <v>944</v>
      </c>
      <c r="AA900" s="289"/>
      <c r="AB900" s="289" t="s">
        <v>2762</v>
      </c>
      <c r="AC900" s="289"/>
      <c r="AD900" s="289" t="s">
        <v>1446</v>
      </c>
      <c r="AE900" s="289" t="s">
        <v>410</v>
      </c>
      <c r="AF900" s="290" t="s">
        <v>1447</v>
      </c>
      <c r="AG900" s="289"/>
      <c r="AH900" s="290" t="s">
        <v>1448</v>
      </c>
      <c r="AI900" s="289">
        <v>0</v>
      </c>
      <c r="AJ900" s="289">
        <v>0</v>
      </c>
    </row>
    <row r="901" spans="2:36">
      <c r="B901" s="290">
        <v>2111</v>
      </c>
      <c r="C901" s="294">
        <v>120153</v>
      </c>
      <c r="D901" s="290">
        <v>120152</v>
      </c>
      <c r="E901" s="289" t="s">
        <v>2763</v>
      </c>
      <c r="F901" s="290">
        <v>0</v>
      </c>
      <c r="G901" s="289"/>
      <c r="H901" s="289" t="s">
        <v>2764</v>
      </c>
      <c r="I901" s="289"/>
      <c r="J901" s="289">
        <v>2013</v>
      </c>
      <c r="K901" s="289" t="s">
        <v>2300</v>
      </c>
      <c r="L901" s="289" t="s">
        <v>751</v>
      </c>
      <c r="M901" s="289" t="s">
        <v>1523</v>
      </c>
      <c r="N901" s="293">
        <v>41260</v>
      </c>
      <c r="O901" s="293">
        <v>41260</v>
      </c>
      <c r="P901" s="289" t="s">
        <v>2765</v>
      </c>
      <c r="Q901" s="290">
        <v>1000</v>
      </c>
      <c r="R901" s="290">
        <v>14040</v>
      </c>
      <c r="S901" s="291">
        <v>847.67</v>
      </c>
      <c r="T901" s="290">
        <v>14046</v>
      </c>
      <c r="U901" s="291">
        <v>812.39</v>
      </c>
      <c r="V901" s="291">
        <f t="shared" si="13"/>
        <v>35.279999999999973</v>
      </c>
      <c r="W901" s="292">
        <v>49.46</v>
      </c>
      <c r="X901" s="290">
        <v>51260</v>
      </c>
      <c r="Y901" s="291">
        <v>7.06</v>
      </c>
      <c r="Z901" s="289" t="s">
        <v>944</v>
      </c>
      <c r="AA901" s="289"/>
      <c r="AB901" s="289">
        <v>1217124</v>
      </c>
      <c r="AC901" s="289"/>
      <c r="AD901" s="289" t="s">
        <v>1446</v>
      </c>
      <c r="AE901" s="289" t="s">
        <v>410</v>
      </c>
      <c r="AF901" s="290" t="s">
        <v>1447</v>
      </c>
      <c r="AG901" s="295">
        <v>42035</v>
      </c>
      <c r="AH901" s="290" t="s">
        <v>1448</v>
      </c>
      <c r="AI901" s="289">
        <v>0</v>
      </c>
      <c r="AJ901" s="289">
        <v>176.6</v>
      </c>
    </row>
    <row r="902" spans="2:36">
      <c r="B902" s="290">
        <v>2111</v>
      </c>
      <c r="C902" s="294">
        <v>120152</v>
      </c>
      <c r="D902" s="290" t="s">
        <v>944</v>
      </c>
      <c r="E902" s="289" t="s">
        <v>2766</v>
      </c>
      <c r="F902" s="290">
        <v>0</v>
      </c>
      <c r="G902" s="289"/>
      <c r="H902" s="289" t="s">
        <v>2764</v>
      </c>
      <c r="I902" s="289"/>
      <c r="J902" s="289">
        <v>2013</v>
      </c>
      <c r="K902" s="289" t="s">
        <v>2300</v>
      </c>
      <c r="L902" s="289" t="s">
        <v>2767</v>
      </c>
      <c r="M902" s="289" t="s">
        <v>1523</v>
      </c>
      <c r="N902" s="293">
        <v>41260</v>
      </c>
      <c r="O902" s="293">
        <v>41260</v>
      </c>
      <c r="P902" s="289" t="s">
        <v>2765</v>
      </c>
      <c r="Q902" s="290">
        <v>1000</v>
      </c>
      <c r="R902" s="290">
        <v>14040</v>
      </c>
      <c r="S902" s="291">
        <v>304502.05</v>
      </c>
      <c r="T902" s="290">
        <v>14046</v>
      </c>
      <c r="U902" s="291">
        <v>291814.51</v>
      </c>
      <c r="V902" s="291">
        <f t="shared" si="13"/>
        <v>12687.539999999979</v>
      </c>
      <c r="W902" s="292">
        <v>17762.62</v>
      </c>
      <c r="X902" s="290">
        <v>51260</v>
      </c>
      <c r="Y902" s="291">
        <v>2537.5100000000002</v>
      </c>
      <c r="Z902" s="289" t="s">
        <v>944</v>
      </c>
      <c r="AA902" s="289"/>
      <c r="AB902" s="289" t="s">
        <v>2768</v>
      </c>
      <c r="AC902" s="289">
        <v>910</v>
      </c>
      <c r="AD902" s="289" t="s">
        <v>1446</v>
      </c>
      <c r="AE902" s="289" t="s">
        <v>410</v>
      </c>
      <c r="AF902" s="290" t="s">
        <v>1447</v>
      </c>
      <c r="AG902" s="295">
        <v>42035</v>
      </c>
      <c r="AH902" s="290" t="s">
        <v>1448</v>
      </c>
      <c r="AI902" s="289">
        <v>0</v>
      </c>
      <c r="AJ902" s="289">
        <v>63437.94</v>
      </c>
    </row>
    <row r="903" spans="2:36">
      <c r="B903" s="290">
        <v>2111</v>
      </c>
      <c r="C903" s="294">
        <v>118482</v>
      </c>
      <c r="D903" s="290" t="s">
        <v>944</v>
      </c>
      <c r="E903" s="289" t="s">
        <v>2769</v>
      </c>
      <c r="F903" s="290"/>
      <c r="G903" s="289"/>
      <c r="H903" s="289" t="s">
        <v>2770</v>
      </c>
      <c r="I903" s="289"/>
      <c r="J903" s="289">
        <v>2014</v>
      </c>
      <c r="K903" s="289" t="s">
        <v>2771</v>
      </c>
      <c r="L903" s="289" t="s">
        <v>2772</v>
      </c>
      <c r="M903" s="289" t="s">
        <v>1546</v>
      </c>
      <c r="N903" s="293">
        <v>41978</v>
      </c>
      <c r="O903" s="293">
        <v>41978</v>
      </c>
      <c r="P903" s="289" t="s">
        <v>2773</v>
      </c>
      <c r="Q903" s="290">
        <v>900</v>
      </c>
      <c r="R903" s="290">
        <v>14030</v>
      </c>
      <c r="S903" s="291">
        <v>14933.1</v>
      </c>
      <c r="T903" s="290">
        <v>14036</v>
      </c>
      <c r="U903" s="291">
        <v>12720.76</v>
      </c>
      <c r="V903" s="291">
        <f t="shared" si="13"/>
        <v>2212.34</v>
      </c>
      <c r="W903" s="292">
        <v>967.88</v>
      </c>
      <c r="X903" s="290">
        <v>51260</v>
      </c>
      <c r="Y903" s="291">
        <v>138.26</v>
      </c>
      <c r="Z903" s="289" t="s">
        <v>944</v>
      </c>
      <c r="AA903" s="289"/>
      <c r="AB903" s="289">
        <v>9612062258</v>
      </c>
      <c r="AC903" s="289" t="s">
        <v>2774</v>
      </c>
      <c r="AD903" s="289" t="s">
        <v>1446</v>
      </c>
      <c r="AE903" s="289" t="s">
        <v>410</v>
      </c>
      <c r="AF903" s="290" t="s">
        <v>1447</v>
      </c>
      <c r="AG903" s="289"/>
      <c r="AH903" s="290" t="s">
        <v>1448</v>
      </c>
      <c r="AI903" s="289">
        <v>0</v>
      </c>
      <c r="AJ903" s="289">
        <v>0</v>
      </c>
    </row>
    <row r="904" spans="2:36">
      <c r="B904" s="290">
        <v>2111</v>
      </c>
      <c r="C904" s="294">
        <v>118361</v>
      </c>
      <c r="D904" s="290" t="s">
        <v>944</v>
      </c>
      <c r="E904" s="289" t="s">
        <v>2775</v>
      </c>
      <c r="F904" s="290">
        <v>48</v>
      </c>
      <c r="G904" s="289"/>
      <c r="H904" s="289"/>
      <c r="I904" s="289"/>
      <c r="J904" s="289">
        <v>0</v>
      </c>
      <c r="K904" s="289" t="s">
        <v>2257</v>
      </c>
      <c r="L904" s="289"/>
      <c r="M904" s="289"/>
      <c r="N904" s="293">
        <v>41984</v>
      </c>
      <c r="O904" s="293">
        <v>41984</v>
      </c>
      <c r="P904" s="289" t="s">
        <v>2776</v>
      </c>
      <c r="Q904" s="290">
        <v>500</v>
      </c>
      <c r="R904" s="290">
        <v>14050</v>
      </c>
      <c r="S904" s="291">
        <v>59251.040000000001</v>
      </c>
      <c r="T904" s="290">
        <v>14056</v>
      </c>
      <c r="U904" s="291">
        <v>59251.040000000001</v>
      </c>
      <c r="V904" s="291">
        <f t="shared" si="13"/>
        <v>0</v>
      </c>
      <c r="W904" s="292">
        <v>0</v>
      </c>
      <c r="X904" s="290">
        <v>54260</v>
      </c>
      <c r="Y904" s="291">
        <v>0</v>
      </c>
      <c r="Z904" s="289" t="s">
        <v>944</v>
      </c>
      <c r="AA904" s="289"/>
      <c r="AB904" s="289">
        <v>10297</v>
      </c>
      <c r="AC904" s="289"/>
      <c r="AD904" s="289" t="s">
        <v>1446</v>
      </c>
      <c r="AE904" s="289" t="s">
        <v>410</v>
      </c>
      <c r="AF904" s="290" t="s">
        <v>1447</v>
      </c>
      <c r="AG904" s="289"/>
      <c r="AH904" s="290" t="s">
        <v>1448</v>
      </c>
      <c r="AI904" s="289">
        <v>0</v>
      </c>
      <c r="AJ904" s="289">
        <v>0</v>
      </c>
    </row>
    <row r="905" spans="2:36">
      <c r="B905" s="290">
        <v>2111</v>
      </c>
      <c r="C905" s="294">
        <v>118290</v>
      </c>
      <c r="D905" s="290" t="s">
        <v>944</v>
      </c>
      <c r="E905" s="289" t="s">
        <v>2777</v>
      </c>
      <c r="F905" s="290"/>
      <c r="G905" s="289"/>
      <c r="H905" s="289"/>
      <c r="I905" s="289"/>
      <c r="J905" s="289">
        <v>0</v>
      </c>
      <c r="K905" s="289" t="s">
        <v>2778</v>
      </c>
      <c r="L905" s="289"/>
      <c r="M905" s="289"/>
      <c r="N905" s="293">
        <v>41960</v>
      </c>
      <c r="O905" s="293">
        <v>41960</v>
      </c>
      <c r="P905" s="289" t="s">
        <v>2779</v>
      </c>
      <c r="Q905" s="290">
        <v>500</v>
      </c>
      <c r="R905" s="290">
        <v>14070</v>
      </c>
      <c r="S905" s="291">
        <v>46736.34</v>
      </c>
      <c r="T905" s="290">
        <v>14076</v>
      </c>
      <c r="U905" s="291">
        <v>46736.34</v>
      </c>
      <c r="V905" s="291">
        <f t="shared" si="13"/>
        <v>0</v>
      </c>
      <c r="W905" s="292">
        <v>0</v>
      </c>
      <c r="X905" s="290">
        <v>51260</v>
      </c>
      <c r="Y905" s="291">
        <v>0</v>
      </c>
      <c r="Z905" s="289" t="s">
        <v>944</v>
      </c>
      <c r="AA905" s="289"/>
      <c r="AB905" s="289" t="s">
        <v>2780</v>
      </c>
      <c r="AC905" s="289"/>
      <c r="AD905" s="289" t="s">
        <v>1446</v>
      </c>
      <c r="AE905" s="289" t="s">
        <v>410</v>
      </c>
      <c r="AF905" s="290" t="s">
        <v>1447</v>
      </c>
      <c r="AG905" s="289"/>
      <c r="AH905" s="290" t="s">
        <v>1448</v>
      </c>
      <c r="AI905" s="289">
        <v>0</v>
      </c>
      <c r="AJ905" s="289">
        <v>0</v>
      </c>
    </row>
    <row r="906" spans="2:36">
      <c r="B906" s="290">
        <v>2111</v>
      </c>
      <c r="C906" s="294">
        <v>118206</v>
      </c>
      <c r="D906" s="290" t="s">
        <v>944</v>
      </c>
      <c r="E906" s="289" t="s">
        <v>2781</v>
      </c>
      <c r="F906" s="290"/>
      <c r="G906" s="289"/>
      <c r="H906" s="289" t="s">
        <v>2782</v>
      </c>
      <c r="I906" s="289"/>
      <c r="J906" s="289">
        <v>2012</v>
      </c>
      <c r="K906" s="289" t="s">
        <v>1483</v>
      </c>
      <c r="L906" s="289" t="s">
        <v>2783</v>
      </c>
      <c r="M906" s="289" t="s">
        <v>1907</v>
      </c>
      <c r="N906" s="293">
        <v>41548</v>
      </c>
      <c r="O906" s="293">
        <v>41548</v>
      </c>
      <c r="P906" s="289" t="s">
        <v>2784</v>
      </c>
      <c r="Q906" s="290">
        <v>800</v>
      </c>
      <c r="R906" s="290">
        <v>14040</v>
      </c>
      <c r="S906" s="291">
        <v>181166.14</v>
      </c>
      <c r="T906" s="290">
        <v>14046</v>
      </c>
      <c r="U906" s="291">
        <v>181166.14</v>
      </c>
      <c r="V906" s="291">
        <f t="shared" si="13"/>
        <v>0</v>
      </c>
      <c r="W906" s="292">
        <v>0</v>
      </c>
      <c r="X906" s="290">
        <v>51260</v>
      </c>
      <c r="Y906" s="291">
        <v>0</v>
      </c>
      <c r="Z906" s="289" t="s">
        <v>944</v>
      </c>
      <c r="AA906" s="289"/>
      <c r="AB906" s="289"/>
      <c r="AC906" s="289">
        <v>422</v>
      </c>
      <c r="AD906" s="289" t="s">
        <v>1446</v>
      </c>
      <c r="AE906" s="289" t="s">
        <v>410</v>
      </c>
      <c r="AF906" s="290" t="s">
        <v>1447</v>
      </c>
      <c r="AG906" s="295">
        <v>41973</v>
      </c>
      <c r="AH906" s="290" t="s">
        <v>1448</v>
      </c>
      <c r="AI906" s="289">
        <v>0</v>
      </c>
      <c r="AJ906" s="289">
        <v>26420.06</v>
      </c>
    </row>
    <row r="907" spans="2:36">
      <c r="B907" s="290">
        <v>2111</v>
      </c>
      <c r="C907" s="294">
        <v>117607</v>
      </c>
      <c r="D907" s="290" t="s">
        <v>944</v>
      </c>
      <c r="E907" s="289" t="s">
        <v>2785</v>
      </c>
      <c r="F907" s="290"/>
      <c r="G907" s="289"/>
      <c r="H907" s="289" t="s">
        <v>2786</v>
      </c>
      <c r="I907" s="289"/>
      <c r="J907" s="289">
        <v>2014</v>
      </c>
      <c r="K907" s="289" t="s">
        <v>2787</v>
      </c>
      <c r="L907" s="289" t="s">
        <v>2788</v>
      </c>
      <c r="M907" s="289" t="s">
        <v>1582</v>
      </c>
      <c r="N907" s="293">
        <v>41961</v>
      </c>
      <c r="O907" s="293">
        <v>41961</v>
      </c>
      <c r="P907" s="289" t="s">
        <v>2789</v>
      </c>
      <c r="Q907" s="290">
        <v>600</v>
      </c>
      <c r="R907" s="290">
        <v>14040</v>
      </c>
      <c r="S907" s="291">
        <v>6499.27</v>
      </c>
      <c r="T907" s="290">
        <v>14046</v>
      </c>
      <c r="U907" s="291">
        <v>6499.27</v>
      </c>
      <c r="V907" s="291">
        <f t="shared" si="13"/>
        <v>0</v>
      </c>
      <c r="W907" s="292">
        <v>0</v>
      </c>
      <c r="X907" s="290">
        <v>51260</v>
      </c>
      <c r="Y907" s="291">
        <v>0</v>
      </c>
      <c r="Z907" s="289" t="s">
        <v>944</v>
      </c>
      <c r="AA907" s="289"/>
      <c r="AB907" s="289">
        <v>127012</v>
      </c>
      <c r="AC907" s="289" t="s">
        <v>2790</v>
      </c>
      <c r="AD907" s="289" t="s">
        <v>1446</v>
      </c>
      <c r="AE907" s="289" t="s">
        <v>410</v>
      </c>
      <c r="AF907" s="290" t="s">
        <v>1447</v>
      </c>
      <c r="AG907" s="289"/>
      <c r="AH907" s="290" t="s">
        <v>1448</v>
      </c>
      <c r="AI907" s="289">
        <v>0</v>
      </c>
      <c r="AJ907" s="289">
        <v>0</v>
      </c>
    </row>
    <row r="908" spans="2:36">
      <c r="B908" s="290">
        <v>2111</v>
      </c>
      <c r="C908" s="294">
        <v>117196</v>
      </c>
      <c r="D908" s="290">
        <v>109566</v>
      </c>
      <c r="E908" s="289" t="s">
        <v>2791</v>
      </c>
      <c r="F908" s="290"/>
      <c r="G908" s="289"/>
      <c r="H908" s="289"/>
      <c r="I908" s="289"/>
      <c r="J908" s="289">
        <v>0</v>
      </c>
      <c r="K908" s="289"/>
      <c r="L908" s="289"/>
      <c r="M908" s="289"/>
      <c r="N908" s="293">
        <v>41609</v>
      </c>
      <c r="O908" s="293">
        <v>41609</v>
      </c>
      <c r="P908" s="289" t="s">
        <v>2792</v>
      </c>
      <c r="Q908" s="290">
        <v>0</v>
      </c>
      <c r="R908" s="290">
        <v>14080</v>
      </c>
      <c r="S908" s="291">
        <v>0</v>
      </c>
      <c r="T908" s="290">
        <v>14086</v>
      </c>
      <c r="U908" s="291">
        <v>0</v>
      </c>
      <c r="V908" s="291">
        <f t="shared" si="13"/>
        <v>0</v>
      </c>
      <c r="W908" s="292">
        <v>0</v>
      </c>
      <c r="X908" s="290">
        <v>57260</v>
      </c>
      <c r="Y908" s="291">
        <v>0</v>
      </c>
      <c r="Z908" s="289" t="s">
        <v>944</v>
      </c>
      <c r="AA908" s="289"/>
      <c r="AB908" s="289"/>
      <c r="AC908" s="289"/>
      <c r="AD908" s="289" t="s">
        <v>1446</v>
      </c>
      <c r="AE908" s="289" t="s">
        <v>410</v>
      </c>
      <c r="AF908" s="290" t="s">
        <v>1660</v>
      </c>
      <c r="AG908" s="289"/>
      <c r="AH908" s="290" t="s">
        <v>1448</v>
      </c>
      <c r="AI908" s="289">
        <v>0</v>
      </c>
      <c r="AJ908" s="289">
        <v>0</v>
      </c>
    </row>
    <row r="909" spans="2:36">
      <c r="B909" s="290">
        <v>2111</v>
      </c>
      <c r="C909" s="294">
        <v>117195</v>
      </c>
      <c r="D909" s="290">
        <v>109566</v>
      </c>
      <c r="E909" s="289" t="s">
        <v>2793</v>
      </c>
      <c r="F909" s="290"/>
      <c r="G909" s="289"/>
      <c r="H909" s="289"/>
      <c r="I909" s="289"/>
      <c r="J909" s="289">
        <v>0</v>
      </c>
      <c r="K909" s="289"/>
      <c r="L909" s="289"/>
      <c r="M909" s="289"/>
      <c r="N909" s="293">
        <v>41609</v>
      </c>
      <c r="O909" s="293">
        <v>41609</v>
      </c>
      <c r="P909" s="289" t="s">
        <v>2792</v>
      </c>
      <c r="Q909" s="290">
        <v>0</v>
      </c>
      <c r="R909" s="290">
        <v>14080</v>
      </c>
      <c r="S909" s="291">
        <v>0</v>
      </c>
      <c r="T909" s="290">
        <v>14086</v>
      </c>
      <c r="U909" s="291">
        <v>0</v>
      </c>
      <c r="V909" s="291">
        <f t="shared" si="13"/>
        <v>0</v>
      </c>
      <c r="W909" s="292">
        <v>0</v>
      </c>
      <c r="X909" s="290">
        <v>57260</v>
      </c>
      <c r="Y909" s="291">
        <v>0</v>
      </c>
      <c r="Z909" s="289" t="s">
        <v>944</v>
      </c>
      <c r="AA909" s="289"/>
      <c r="AB909" s="289"/>
      <c r="AC909" s="289"/>
      <c r="AD909" s="289" t="s">
        <v>1446</v>
      </c>
      <c r="AE909" s="289" t="s">
        <v>410</v>
      </c>
      <c r="AF909" s="290" t="s">
        <v>1660</v>
      </c>
      <c r="AG909" s="289"/>
      <c r="AH909" s="290" t="s">
        <v>1448</v>
      </c>
      <c r="AI909" s="289">
        <v>0</v>
      </c>
      <c r="AJ909" s="289">
        <v>0</v>
      </c>
    </row>
    <row r="910" spans="2:36">
      <c r="B910" s="290">
        <v>2111</v>
      </c>
      <c r="C910" s="294">
        <v>117194</v>
      </c>
      <c r="D910" s="290">
        <v>109566</v>
      </c>
      <c r="E910" s="289" t="s">
        <v>2794</v>
      </c>
      <c r="F910" s="290"/>
      <c r="G910" s="289"/>
      <c r="H910" s="289"/>
      <c r="I910" s="289"/>
      <c r="J910" s="289">
        <v>0</v>
      </c>
      <c r="K910" s="289"/>
      <c r="L910" s="289"/>
      <c r="M910" s="289"/>
      <c r="N910" s="293">
        <v>41609</v>
      </c>
      <c r="O910" s="293">
        <v>41609</v>
      </c>
      <c r="P910" s="289" t="s">
        <v>2792</v>
      </c>
      <c r="Q910" s="290">
        <v>0</v>
      </c>
      <c r="R910" s="290">
        <v>14080</v>
      </c>
      <c r="S910" s="291">
        <v>0</v>
      </c>
      <c r="T910" s="290">
        <v>14086</v>
      </c>
      <c r="U910" s="291">
        <v>0</v>
      </c>
      <c r="V910" s="291">
        <f t="shared" ref="V910:V973" si="14">S910-U910</f>
        <v>0</v>
      </c>
      <c r="W910" s="292">
        <v>0</v>
      </c>
      <c r="X910" s="290">
        <v>57260</v>
      </c>
      <c r="Y910" s="291">
        <v>0</v>
      </c>
      <c r="Z910" s="289" t="s">
        <v>944</v>
      </c>
      <c r="AA910" s="289"/>
      <c r="AB910" s="289"/>
      <c r="AC910" s="289"/>
      <c r="AD910" s="289" t="s">
        <v>1446</v>
      </c>
      <c r="AE910" s="289" t="s">
        <v>410</v>
      </c>
      <c r="AF910" s="290" t="s">
        <v>1660</v>
      </c>
      <c r="AG910" s="289"/>
      <c r="AH910" s="290" t="s">
        <v>1448</v>
      </c>
      <c r="AI910" s="289">
        <v>0</v>
      </c>
      <c r="AJ910" s="289">
        <v>0</v>
      </c>
    </row>
    <row r="911" spans="2:36">
      <c r="B911" s="290">
        <v>2111</v>
      </c>
      <c r="C911" s="294">
        <v>117193</v>
      </c>
      <c r="D911" s="290">
        <v>109566</v>
      </c>
      <c r="E911" s="289" t="s">
        <v>2795</v>
      </c>
      <c r="F911" s="290"/>
      <c r="G911" s="289"/>
      <c r="H911" s="289"/>
      <c r="I911" s="289"/>
      <c r="J911" s="289">
        <v>0</v>
      </c>
      <c r="K911" s="289"/>
      <c r="L911" s="289"/>
      <c r="M911" s="289"/>
      <c r="N911" s="293">
        <v>41609</v>
      </c>
      <c r="O911" s="293">
        <v>41609</v>
      </c>
      <c r="P911" s="289" t="s">
        <v>2792</v>
      </c>
      <c r="Q911" s="290">
        <v>0</v>
      </c>
      <c r="R911" s="290">
        <v>14080</v>
      </c>
      <c r="S911" s="291">
        <v>0</v>
      </c>
      <c r="T911" s="290">
        <v>14086</v>
      </c>
      <c r="U911" s="291">
        <v>0</v>
      </c>
      <c r="V911" s="291">
        <f t="shared" si="14"/>
        <v>0</v>
      </c>
      <c r="W911" s="292">
        <v>0</v>
      </c>
      <c r="X911" s="290">
        <v>57260</v>
      </c>
      <c r="Y911" s="291">
        <v>0</v>
      </c>
      <c r="Z911" s="289" t="s">
        <v>944</v>
      </c>
      <c r="AA911" s="289"/>
      <c r="AB911" s="289"/>
      <c r="AC911" s="289"/>
      <c r="AD911" s="289" t="s">
        <v>1446</v>
      </c>
      <c r="AE911" s="289" t="s">
        <v>410</v>
      </c>
      <c r="AF911" s="290" t="s">
        <v>1660</v>
      </c>
      <c r="AG911" s="289"/>
      <c r="AH911" s="290" t="s">
        <v>1448</v>
      </c>
      <c r="AI911" s="289">
        <v>0</v>
      </c>
      <c r="AJ911" s="289">
        <v>0</v>
      </c>
    </row>
    <row r="912" spans="2:36">
      <c r="B912" s="290">
        <v>2111</v>
      </c>
      <c r="C912" s="294">
        <v>117192</v>
      </c>
      <c r="D912" s="290">
        <v>109566</v>
      </c>
      <c r="E912" s="289" t="s">
        <v>2796</v>
      </c>
      <c r="F912" s="290"/>
      <c r="G912" s="289"/>
      <c r="H912" s="289"/>
      <c r="I912" s="289"/>
      <c r="J912" s="289">
        <v>0</v>
      </c>
      <c r="K912" s="289"/>
      <c r="L912" s="289"/>
      <c r="M912" s="289"/>
      <c r="N912" s="293">
        <v>41609</v>
      </c>
      <c r="O912" s="293">
        <v>41609</v>
      </c>
      <c r="P912" s="289" t="s">
        <v>2792</v>
      </c>
      <c r="Q912" s="290">
        <v>0</v>
      </c>
      <c r="R912" s="290">
        <v>14080</v>
      </c>
      <c r="S912" s="291">
        <v>0</v>
      </c>
      <c r="T912" s="290">
        <v>14086</v>
      </c>
      <c r="U912" s="291">
        <v>0</v>
      </c>
      <c r="V912" s="291">
        <f t="shared" si="14"/>
        <v>0</v>
      </c>
      <c r="W912" s="292">
        <v>0</v>
      </c>
      <c r="X912" s="290">
        <v>57260</v>
      </c>
      <c r="Y912" s="291">
        <v>0</v>
      </c>
      <c r="Z912" s="289" t="s">
        <v>944</v>
      </c>
      <c r="AA912" s="289"/>
      <c r="AB912" s="289"/>
      <c r="AC912" s="289"/>
      <c r="AD912" s="289" t="s">
        <v>1446</v>
      </c>
      <c r="AE912" s="289" t="s">
        <v>410</v>
      </c>
      <c r="AF912" s="290" t="s">
        <v>1660</v>
      </c>
      <c r="AG912" s="289"/>
      <c r="AH912" s="290" t="s">
        <v>1448</v>
      </c>
      <c r="AI912" s="289">
        <v>0</v>
      </c>
      <c r="AJ912" s="289">
        <v>0</v>
      </c>
    </row>
    <row r="913" spans="2:36">
      <c r="B913" s="290">
        <v>2111</v>
      </c>
      <c r="C913" s="294">
        <v>116566</v>
      </c>
      <c r="D913" s="290" t="s">
        <v>944</v>
      </c>
      <c r="E913" s="289" t="s">
        <v>1243</v>
      </c>
      <c r="F913" s="290">
        <v>0</v>
      </c>
      <c r="G913" s="289"/>
      <c r="H913" s="289" t="s">
        <v>2797</v>
      </c>
      <c r="I913" s="289"/>
      <c r="J913" s="289">
        <v>2015</v>
      </c>
      <c r="K913" s="289" t="s">
        <v>1483</v>
      </c>
      <c r="L913" s="289" t="s">
        <v>2798</v>
      </c>
      <c r="M913" s="289" t="s">
        <v>1495</v>
      </c>
      <c r="N913" s="293">
        <v>41942</v>
      </c>
      <c r="O913" s="293">
        <v>41942</v>
      </c>
      <c r="P913" s="289" t="s">
        <v>2799</v>
      </c>
      <c r="Q913" s="290">
        <v>1000</v>
      </c>
      <c r="R913" s="290">
        <v>14040</v>
      </c>
      <c r="S913" s="291">
        <v>325033.65999999997</v>
      </c>
      <c r="T913" s="290">
        <v>14046</v>
      </c>
      <c r="U913" s="291">
        <v>251901.05</v>
      </c>
      <c r="V913" s="291">
        <f t="shared" si="14"/>
        <v>73132.609999999986</v>
      </c>
      <c r="W913" s="292">
        <v>18960.3</v>
      </c>
      <c r="X913" s="290">
        <v>51260</v>
      </c>
      <c r="Y913" s="291">
        <v>2708.61</v>
      </c>
      <c r="Z913" s="289" t="s">
        <v>944</v>
      </c>
      <c r="AA913" s="289"/>
      <c r="AB913" s="289"/>
      <c r="AC913" s="289">
        <v>826</v>
      </c>
      <c r="AD913" s="289" t="s">
        <v>1446</v>
      </c>
      <c r="AE913" s="289" t="s">
        <v>410</v>
      </c>
      <c r="AF913" s="290" t="s">
        <v>1447</v>
      </c>
      <c r="AG913" s="289"/>
      <c r="AH913" s="290" t="s">
        <v>1448</v>
      </c>
      <c r="AI913" s="289">
        <v>0</v>
      </c>
      <c r="AJ913" s="289">
        <v>0</v>
      </c>
    </row>
    <row r="914" spans="2:36">
      <c r="B914" s="290">
        <v>2111</v>
      </c>
      <c r="C914" s="294">
        <v>116095</v>
      </c>
      <c r="D914" s="290" t="s">
        <v>944</v>
      </c>
      <c r="E914" s="289" t="s">
        <v>2800</v>
      </c>
      <c r="F914" s="290">
        <v>624</v>
      </c>
      <c r="G914" s="289"/>
      <c r="H914" s="289"/>
      <c r="I914" s="289"/>
      <c r="J914" s="289">
        <v>0</v>
      </c>
      <c r="K914" s="289" t="s">
        <v>2342</v>
      </c>
      <c r="L914" s="289"/>
      <c r="M914" s="289"/>
      <c r="N914" s="293">
        <v>41906</v>
      </c>
      <c r="O914" s="293">
        <v>41906</v>
      </c>
      <c r="P914" s="289" t="s">
        <v>2801</v>
      </c>
      <c r="Q914" s="290">
        <v>700</v>
      </c>
      <c r="R914" s="290">
        <v>14050</v>
      </c>
      <c r="S914" s="291">
        <v>37546.959999999999</v>
      </c>
      <c r="T914" s="290">
        <v>14056</v>
      </c>
      <c r="U914" s="291">
        <v>37546.959999999999</v>
      </c>
      <c r="V914" s="291">
        <f t="shared" si="14"/>
        <v>0</v>
      </c>
      <c r="W914" s="292">
        <v>0</v>
      </c>
      <c r="X914" s="290">
        <v>54260</v>
      </c>
      <c r="Y914" s="291">
        <v>0</v>
      </c>
      <c r="Z914" s="289" t="s">
        <v>944</v>
      </c>
      <c r="AA914" s="289"/>
      <c r="AB914" s="289" t="s">
        <v>2802</v>
      </c>
      <c r="AC914" s="289"/>
      <c r="AD914" s="289" t="s">
        <v>1446</v>
      </c>
      <c r="AE914" s="289" t="s">
        <v>410</v>
      </c>
      <c r="AF914" s="290" t="s">
        <v>1447</v>
      </c>
      <c r="AG914" s="289"/>
      <c r="AH914" s="290" t="s">
        <v>1448</v>
      </c>
      <c r="AI914" s="289">
        <v>0</v>
      </c>
      <c r="AJ914" s="289">
        <v>0</v>
      </c>
    </row>
    <row r="915" spans="2:36">
      <c r="B915" s="290">
        <v>2111</v>
      </c>
      <c r="C915" s="294">
        <v>115434</v>
      </c>
      <c r="D915" s="290" t="s">
        <v>944</v>
      </c>
      <c r="E915" s="289" t="s">
        <v>2803</v>
      </c>
      <c r="F915" s="290">
        <v>0</v>
      </c>
      <c r="G915" s="289"/>
      <c r="H915" s="289" t="s">
        <v>2804</v>
      </c>
      <c r="I915" s="289"/>
      <c r="J915" s="289">
        <v>1994</v>
      </c>
      <c r="K915" s="289" t="s">
        <v>2214</v>
      </c>
      <c r="L915" s="289" t="s">
        <v>2805</v>
      </c>
      <c r="M915" s="289" t="s">
        <v>1575</v>
      </c>
      <c r="N915" s="293">
        <v>39755</v>
      </c>
      <c r="O915" s="293">
        <v>39755</v>
      </c>
      <c r="P915" s="289"/>
      <c r="Q915" s="290">
        <v>300</v>
      </c>
      <c r="R915" s="290">
        <v>14040</v>
      </c>
      <c r="S915" s="291">
        <v>2500</v>
      </c>
      <c r="T915" s="290">
        <v>14046</v>
      </c>
      <c r="U915" s="291">
        <v>2500</v>
      </c>
      <c r="V915" s="291">
        <f t="shared" si="14"/>
        <v>0</v>
      </c>
      <c r="W915" s="292">
        <v>0</v>
      </c>
      <c r="X915" s="290">
        <v>51260</v>
      </c>
      <c r="Y915" s="291">
        <v>0</v>
      </c>
      <c r="Z915" s="289" t="s">
        <v>410</v>
      </c>
      <c r="AA915" s="289" t="s">
        <v>1828</v>
      </c>
      <c r="AB915" s="289"/>
      <c r="AC915" s="289" t="s">
        <v>350</v>
      </c>
      <c r="AD915" s="289" t="s">
        <v>1446</v>
      </c>
      <c r="AE915" s="289" t="s">
        <v>410</v>
      </c>
      <c r="AF915" s="290" t="s">
        <v>1447</v>
      </c>
      <c r="AG915" s="295">
        <v>41851</v>
      </c>
      <c r="AH915" s="290" t="s">
        <v>1448</v>
      </c>
      <c r="AI915" s="289">
        <v>0</v>
      </c>
      <c r="AJ915" s="289">
        <v>2500</v>
      </c>
    </row>
    <row r="916" spans="2:36">
      <c r="B916" s="290">
        <v>2111</v>
      </c>
      <c r="C916" s="294">
        <v>115362</v>
      </c>
      <c r="D916" s="290" t="s">
        <v>944</v>
      </c>
      <c r="E916" s="289" t="s">
        <v>2806</v>
      </c>
      <c r="F916" s="290">
        <v>1</v>
      </c>
      <c r="G916" s="289"/>
      <c r="H916" s="289"/>
      <c r="I916" s="289"/>
      <c r="J916" s="289">
        <v>0</v>
      </c>
      <c r="K916" s="289" t="s">
        <v>2257</v>
      </c>
      <c r="L916" s="289"/>
      <c r="M916" s="289" t="s">
        <v>1667</v>
      </c>
      <c r="N916" s="293">
        <v>41864</v>
      </c>
      <c r="O916" s="293">
        <v>41864</v>
      </c>
      <c r="P916" s="289" t="s">
        <v>2807</v>
      </c>
      <c r="Q916" s="290">
        <v>1200</v>
      </c>
      <c r="R916" s="290">
        <v>14050</v>
      </c>
      <c r="S916" s="291">
        <v>6969.68</v>
      </c>
      <c r="T916" s="290">
        <v>14056</v>
      </c>
      <c r="U916" s="291">
        <v>4646.4799999999996</v>
      </c>
      <c r="V916" s="291">
        <f t="shared" si="14"/>
        <v>2323.2000000000007</v>
      </c>
      <c r="W916" s="292">
        <v>338.81</v>
      </c>
      <c r="X916" s="290">
        <v>54260</v>
      </c>
      <c r="Y916" s="291">
        <v>48.4</v>
      </c>
      <c r="Z916" s="289" t="s">
        <v>944</v>
      </c>
      <c r="AA916" s="289"/>
      <c r="AB916" s="289">
        <v>97843</v>
      </c>
      <c r="AC916" s="289"/>
      <c r="AD916" s="289" t="s">
        <v>1446</v>
      </c>
      <c r="AE916" s="289" t="s">
        <v>410</v>
      </c>
      <c r="AF916" s="290" t="s">
        <v>1447</v>
      </c>
      <c r="AG916" s="289"/>
      <c r="AH916" s="290" t="s">
        <v>1448</v>
      </c>
      <c r="AI916" s="289">
        <v>0</v>
      </c>
      <c r="AJ916" s="289">
        <v>0</v>
      </c>
    </row>
    <row r="917" spans="2:36">
      <c r="B917" s="290">
        <v>2111</v>
      </c>
      <c r="C917" s="294">
        <v>115361</v>
      </c>
      <c r="D917" s="290" t="s">
        <v>944</v>
      </c>
      <c r="E917" s="289" t="s">
        <v>2806</v>
      </c>
      <c r="F917" s="290">
        <v>1</v>
      </c>
      <c r="G917" s="289"/>
      <c r="H917" s="289"/>
      <c r="I917" s="289"/>
      <c r="J917" s="289">
        <v>0</v>
      </c>
      <c r="K917" s="289" t="s">
        <v>2257</v>
      </c>
      <c r="L917" s="289"/>
      <c r="M917" s="289" t="s">
        <v>1667</v>
      </c>
      <c r="N917" s="293">
        <v>41876</v>
      </c>
      <c r="O917" s="293">
        <v>41876</v>
      </c>
      <c r="P917" s="289" t="s">
        <v>2807</v>
      </c>
      <c r="Q917" s="290">
        <v>1200</v>
      </c>
      <c r="R917" s="290">
        <v>14050</v>
      </c>
      <c r="S917" s="291">
        <v>6969.68</v>
      </c>
      <c r="T917" s="290">
        <v>14056</v>
      </c>
      <c r="U917" s="291">
        <v>4598.08</v>
      </c>
      <c r="V917" s="291">
        <f t="shared" si="14"/>
        <v>2371.6000000000004</v>
      </c>
      <c r="W917" s="292">
        <v>338.81</v>
      </c>
      <c r="X917" s="290">
        <v>54260</v>
      </c>
      <c r="Y917" s="291">
        <v>48.4</v>
      </c>
      <c r="Z917" s="289" t="s">
        <v>944</v>
      </c>
      <c r="AA917" s="289"/>
      <c r="AB917" s="289">
        <v>98223</v>
      </c>
      <c r="AC917" s="289"/>
      <c r="AD917" s="289" t="s">
        <v>1446</v>
      </c>
      <c r="AE917" s="289" t="s">
        <v>410</v>
      </c>
      <c r="AF917" s="290" t="s">
        <v>1447</v>
      </c>
      <c r="AG917" s="289"/>
      <c r="AH917" s="290" t="s">
        <v>1448</v>
      </c>
      <c r="AI917" s="289">
        <v>0</v>
      </c>
      <c r="AJ917" s="289">
        <v>0</v>
      </c>
    </row>
    <row r="918" spans="2:36">
      <c r="B918" s="290">
        <v>2111</v>
      </c>
      <c r="C918" s="294">
        <v>115352</v>
      </c>
      <c r="D918" s="290">
        <v>19647</v>
      </c>
      <c r="E918" s="289" t="s">
        <v>2808</v>
      </c>
      <c r="F918" s="290"/>
      <c r="G918" s="289"/>
      <c r="H918" s="289"/>
      <c r="I918" s="289"/>
      <c r="J918" s="289">
        <v>0</v>
      </c>
      <c r="K918" s="289" t="s">
        <v>2809</v>
      </c>
      <c r="L918" s="289"/>
      <c r="M918" s="289" t="s">
        <v>1586</v>
      </c>
      <c r="N918" s="293">
        <v>41843</v>
      </c>
      <c r="O918" s="293">
        <v>41843</v>
      </c>
      <c r="P918" s="289" t="s">
        <v>2810</v>
      </c>
      <c r="Q918" s="290">
        <v>300</v>
      </c>
      <c r="R918" s="290">
        <v>14040</v>
      </c>
      <c r="S918" s="291">
        <v>8754.92</v>
      </c>
      <c r="T918" s="290">
        <v>14046</v>
      </c>
      <c r="U918" s="291">
        <v>8754.92</v>
      </c>
      <c r="V918" s="291">
        <f t="shared" si="14"/>
        <v>0</v>
      </c>
      <c r="W918" s="292">
        <v>0</v>
      </c>
      <c r="X918" s="290">
        <v>51260</v>
      </c>
      <c r="Y918" s="291">
        <v>0</v>
      </c>
      <c r="Z918" s="289" t="s">
        <v>944</v>
      </c>
      <c r="AA918" s="289"/>
      <c r="AB918" s="289" t="s">
        <v>2811</v>
      </c>
      <c r="AC918" s="289"/>
      <c r="AD918" s="289" t="s">
        <v>1446</v>
      </c>
      <c r="AE918" s="289" t="s">
        <v>410</v>
      </c>
      <c r="AF918" s="290" t="s">
        <v>1447</v>
      </c>
      <c r="AG918" s="289"/>
      <c r="AH918" s="290" t="s">
        <v>1448</v>
      </c>
      <c r="AI918" s="289">
        <v>0</v>
      </c>
      <c r="AJ918" s="289">
        <v>0</v>
      </c>
    </row>
    <row r="919" spans="2:36">
      <c r="B919" s="290">
        <v>2111</v>
      </c>
      <c r="C919" s="294">
        <v>115031</v>
      </c>
      <c r="D919" s="290" t="s">
        <v>944</v>
      </c>
      <c r="E919" s="289" t="s">
        <v>852</v>
      </c>
      <c r="F919" s="290">
        <v>486</v>
      </c>
      <c r="G919" s="289"/>
      <c r="H919" s="289"/>
      <c r="I919" s="289"/>
      <c r="J919" s="289">
        <v>0</v>
      </c>
      <c r="K919" s="289" t="s">
        <v>2245</v>
      </c>
      <c r="L919" s="289"/>
      <c r="M919" s="289"/>
      <c r="N919" s="293">
        <v>41835</v>
      </c>
      <c r="O919" s="293">
        <v>41835</v>
      </c>
      <c r="P919" s="289" t="s">
        <v>2812</v>
      </c>
      <c r="Q919" s="290">
        <v>700</v>
      </c>
      <c r="R919" s="290">
        <v>14050</v>
      </c>
      <c r="S919" s="291">
        <v>28330.85</v>
      </c>
      <c r="T919" s="290">
        <v>14056</v>
      </c>
      <c r="U919" s="291">
        <v>28330.85</v>
      </c>
      <c r="V919" s="291">
        <f t="shared" si="14"/>
        <v>0</v>
      </c>
      <c r="W919" s="292">
        <v>0</v>
      </c>
      <c r="X919" s="290">
        <v>54260</v>
      </c>
      <c r="Y919" s="291">
        <v>0</v>
      </c>
      <c r="Z919" s="289" t="s">
        <v>944</v>
      </c>
      <c r="AA919" s="289"/>
      <c r="AB919" s="289" t="s">
        <v>2813</v>
      </c>
      <c r="AC919" s="289"/>
      <c r="AD919" s="289" t="s">
        <v>1446</v>
      </c>
      <c r="AE919" s="289" t="s">
        <v>410</v>
      </c>
      <c r="AF919" s="290" t="s">
        <v>1447</v>
      </c>
      <c r="AG919" s="289"/>
      <c r="AH919" s="290" t="s">
        <v>1448</v>
      </c>
      <c r="AI919" s="289">
        <v>0</v>
      </c>
      <c r="AJ919" s="289">
        <v>0</v>
      </c>
    </row>
    <row r="920" spans="2:36">
      <c r="B920" s="290">
        <v>2111</v>
      </c>
      <c r="C920" s="294">
        <v>114319</v>
      </c>
      <c r="D920" s="290" t="s">
        <v>944</v>
      </c>
      <c r="E920" s="289" t="s">
        <v>2283</v>
      </c>
      <c r="F920" s="290">
        <v>65</v>
      </c>
      <c r="G920" s="289"/>
      <c r="H920" s="289"/>
      <c r="I920" s="289"/>
      <c r="J920" s="289">
        <v>0</v>
      </c>
      <c r="K920" s="289"/>
      <c r="L920" s="289"/>
      <c r="M920" s="289" t="s">
        <v>1670</v>
      </c>
      <c r="N920" s="293">
        <v>34576</v>
      </c>
      <c r="O920" s="293">
        <v>34576</v>
      </c>
      <c r="P920" s="289"/>
      <c r="Q920" s="290">
        <v>1200</v>
      </c>
      <c r="R920" s="290">
        <v>14050</v>
      </c>
      <c r="S920" s="291">
        <v>1864.15</v>
      </c>
      <c r="T920" s="290">
        <v>14056</v>
      </c>
      <c r="U920" s="291">
        <v>1864.15</v>
      </c>
      <c r="V920" s="291">
        <f t="shared" si="14"/>
        <v>0</v>
      </c>
      <c r="W920" s="292">
        <v>0</v>
      </c>
      <c r="X920" s="290">
        <v>54260</v>
      </c>
      <c r="Y920" s="291">
        <v>0</v>
      </c>
      <c r="Z920" s="289" t="s">
        <v>410</v>
      </c>
      <c r="AA920" s="289" t="s">
        <v>2284</v>
      </c>
      <c r="AB920" s="289"/>
      <c r="AC920" s="289"/>
      <c r="AD920" s="289" t="s">
        <v>1446</v>
      </c>
      <c r="AE920" s="289" t="s">
        <v>410</v>
      </c>
      <c r="AF920" s="290" t="s">
        <v>1447</v>
      </c>
      <c r="AG920" s="295">
        <v>41820</v>
      </c>
      <c r="AH920" s="290" t="s">
        <v>1448</v>
      </c>
      <c r="AI920" s="289">
        <v>0</v>
      </c>
      <c r="AJ920" s="289">
        <v>1864.15</v>
      </c>
    </row>
    <row r="921" spans="2:36">
      <c r="B921" s="290">
        <v>2111</v>
      </c>
      <c r="C921" s="294">
        <v>113987</v>
      </c>
      <c r="D921" s="290" t="s">
        <v>944</v>
      </c>
      <c r="E921" s="289" t="s">
        <v>2814</v>
      </c>
      <c r="F921" s="290"/>
      <c r="G921" s="289"/>
      <c r="H921" s="289"/>
      <c r="I921" s="289"/>
      <c r="J921" s="289">
        <v>0</v>
      </c>
      <c r="K921" s="289" t="s">
        <v>2815</v>
      </c>
      <c r="L921" s="289"/>
      <c r="M921" s="289"/>
      <c r="N921" s="293">
        <v>41816</v>
      </c>
      <c r="O921" s="293">
        <v>41816</v>
      </c>
      <c r="P921" s="289" t="s">
        <v>2816</v>
      </c>
      <c r="Q921" s="290">
        <v>500</v>
      </c>
      <c r="R921" s="290">
        <v>14070</v>
      </c>
      <c r="S921" s="291">
        <v>10194.98</v>
      </c>
      <c r="T921" s="290">
        <v>14076</v>
      </c>
      <c r="U921" s="291">
        <v>10194.98</v>
      </c>
      <c r="V921" s="291">
        <f t="shared" si="14"/>
        <v>0</v>
      </c>
      <c r="W921" s="292">
        <v>0</v>
      </c>
      <c r="X921" s="290">
        <v>51260</v>
      </c>
      <c r="Y921" s="291">
        <v>0</v>
      </c>
      <c r="Z921" s="289" t="s">
        <v>944</v>
      </c>
      <c r="AA921" s="289"/>
      <c r="AB921" s="289">
        <v>557626</v>
      </c>
      <c r="AC921" s="289"/>
      <c r="AD921" s="289" t="s">
        <v>1446</v>
      </c>
      <c r="AE921" s="289" t="s">
        <v>410</v>
      </c>
      <c r="AF921" s="290" t="s">
        <v>1447</v>
      </c>
      <c r="AG921" s="289"/>
      <c r="AH921" s="290" t="s">
        <v>1448</v>
      </c>
      <c r="AI921" s="289">
        <v>0</v>
      </c>
      <c r="AJ921" s="289">
        <v>0</v>
      </c>
    </row>
    <row r="922" spans="2:36">
      <c r="B922" s="290">
        <v>2111</v>
      </c>
      <c r="C922" s="294">
        <v>113921</v>
      </c>
      <c r="D922" s="290" t="s">
        <v>944</v>
      </c>
      <c r="E922" s="289" t="s">
        <v>2817</v>
      </c>
      <c r="F922" s="290">
        <v>486</v>
      </c>
      <c r="G922" s="289"/>
      <c r="H922" s="289"/>
      <c r="I922" s="289"/>
      <c r="J922" s="289">
        <v>0</v>
      </c>
      <c r="K922" s="289" t="s">
        <v>2245</v>
      </c>
      <c r="L922" s="289"/>
      <c r="M922" s="289"/>
      <c r="N922" s="293">
        <v>41813</v>
      </c>
      <c r="O922" s="293">
        <v>41813</v>
      </c>
      <c r="P922" s="289" t="s">
        <v>2818</v>
      </c>
      <c r="Q922" s="290">
        <v>700</v>
      </c>
      <c r="R922" s="290">
        <v>14050</v>
      </c>
      <c r="S922" s="291">
        <v>28330.85</v>
      </c>
      <c r="T922" s="290">
        <v>14056</v>
      </c>
      <c r="U922" s="291">
        <v>28330.85</v>
      </c>
      <c r="V922" s="291">
        <f t="shared" si="14"/>
        <v>0</v>
      </c>
      <c r="W922" s="292">
        <v>0</v>
      </c>
      <c r="X922" s="290">
        <v>54260</v>
      </c>
      <c r="Y922" s="291">
        <v>0</v>
      </c>
      <c r="Z922" s="289" t="s">
        <v>944</v>
      </c>
      <c r="AA922" s="289"/>
      <c r="AB922" s="289" t="s">
        <v>2819</v>
      </c>
      <c r="AC922" s="289"/>
      <c r="AD922" s="289" t="s">
        <v>1446</v>
      </c>
      <c r="AE922" s="289" t="s">
        <v>410</v>
      </c>
      <c r="AF922" s="290" t="s">
        <v>1447</v>
      </c>
      <c r="AG922" s="289"/>
      <c r="AH922" s="290" t="s">
        <v>1448</v>
      </c>
      <c r="AI922" s="289">
        <v>0</v>
      </c>
      <c r="AJ922" s="289">
        <v>0</v>
      </c>
    </row>
    <row r="923" spans="2:36">
      <c r="B923" s="290">
        <v>2111</v>
      </c>
      <c r="C923" s="294">
        <v>113725</v>
      </c>
      <c r="D923" s="290" t="s">
        <v>944</v>
      </c>
      <c r="E923" s="289" t="s">
        <v>2820</v>
      </c>
      <c r="F923" s="290">
        <v>0</v>
      </c>
      <c r="G923" s="289"/>
      <c r="H923" s="289"/>
      <c r="I923" s="289"/>
      <c r="J923" s="289">
        <v>0</v>
      </c>
      <c r="K923" s="289" t="s">
        <v>2821</v>
      </c>
      <c r="L923" s="289"/>
      <c r="M923" s="289"/>
      <c r="N923" s="293">
        <v>40735</v>
      </c>
      <c r="O923" s="293">
        <v>40735</v>
      </c>
      <c r="P923" s="289" t="s">
        <v>2822</v>
      </c>
      <c r="Q923" s="290">
        <v>500</v>
      </c>
      <c r="R923" s="290">
        <v>14110</v>
      </c>
      <c r="S923" s="291">
        <v>2292.02</v>
      </c>
      <c r="T923" s="290">
        <v>14116</v>
      </c>
      <c r="U923" s="291">
        <v>2292.02</v>
      </c>
      <c r="V923" s="291">
        <f t="shared" si="14"/>
        <v>0</v>
      </c>
      <c r="W923" s="292">
        <v>0</v>
      </c>
      <c r="X923" s="290">
        <v>70260</v>
      </c>
      <c r="Y923" s="291">
        <v>0</v>
      </c>
      <c r="Z923" s="289" t="s">
        <v>944</v>
      </c>
      <c r="AA923" s="289"/>
      <c r="AB923" s="289">
        <v>46237</v>
      </c>
      <c r="AC923" s="289"/>
      <c r="AD923" s="289" t="s">
        <v>1446</v>
      </c>
      <c r="AE923" s="289" t="s">
        <v>410</v>
      </c>
      <c r="AF923" s="290" t="s">
        <v>1447</v>
      </c>
      <c r="AG923" s="295">
        <v>41790</v>
      </c>
      <c r="AH923" s="290" t="s">
        <v>1448</v>
      </c>
      <c r="AI923" s="289">
        <v>0</v>
      </c>
      <c r="AJ923" s="289">
        <v>1337</v>
      </c>
    </row>
    <row r="924" spans="2:36">
      <c r="B924" s="290">
        <v>2111</v>
      </c>
      <c r="C924" s="294">
        <v>113724</v>
      </c>
      <c r="D924" s="290" t="s">
        <v>944</v>
      </c>
      <c r="E924" s="289" t="s">
        <v>2823</v>
      </c>
      <c r="F924" s="290">
        <v>0</v>
      </c>
      <c r="G924" s="289"/>
      <c r="H924" s="289"/>
      <c r="I924" s="289"/>
      <c r="J924" s="289">
        <v>0</v>
      </c>
      <c r="K924" s="289" t="s">
        <v>2821</v>
      </c>
      <c r="L924" s="289"/>
      <c r="M924" s="289"/>
      <c r="N924" s="293">
        <v>40735</v>
      </c>
      <c r="O924" s="293">
        <v>40735</v>
      </c>
      <c r="P924" s="289" t="s">
        <v>2822</v>
      </c>
      <c r="Q924" s="290">
        <v>300</v>
      </c>
      <c r="R924" s="290">
        <v>14110</v>
      </c>
      <c r="S924" s="291">
        <v>16910.03</v>
      </c>
      <c r="T924" s="290">
        <v>14116</v>
      </c>
      <c r="U924" s="291">
        <v>16910.03</v>
      </c>
      <c r="V924" s="291">
        <f t="shared" si="14"/>
        <v>0</v>
      </c>
      <c r="W924" s="292">
        <v>0</v>
      </c>
      <c r="X924" s="290">
        <v>70260</v>
      </c>
      <c r="Y924" s="291">
        <v>0</v>
      </c>
      <c r="Z924" s="289" t="s">
        <v>944</v>
      </c>
      <c r="AA924" s="289"/>
      <c r="AB924" s="289">
        <v>46237</v>
      </c>
      <c r="AC924" s="289"/>
      <c r="AD924" s="289" t="s">
        <v>1446</v>
      </c>
      <c r="AE924" s="289" t="s">
        <v>410</v>
      </c>
      <c r="AF924" s="290" t="s">
        <v>1447</v>
      </c>
      <c r="AG924" s="295">
        <v>41790</v>
      </c>
      <c r="AH924" s="290" t="s">
        <v>1448</v>
      </c>
      <c r="AI924" s="289">
        <v>0</v>
      </c>
      <c r="AJ924" s="289">
        <v>16440.310000000001</v>
      </c>
    </row>
    <row r="925" spans="2:36">
      <c r="B925" s="290">
        <v>2111</v>
      </c>
      <c r="C925" s="294">
        <v>113265</v>
      </c>
      <c r="D925" s="290" t="s">
        <v>944</v>
      </c>
      <c r="E925" s="289" t="s">
        <v>2824</v>
      </c>
      <c r="F925" s="290">
        <v>8</v>
      </c>
      <c r="G925" s="289"/>
      <c r="H925" s="289"/>
      <c r="I925" s="289"/>
      <c r="J925" s="289">
        <v>0</v>
      </c>
      <c r="K925" s="289" t="s">
        <v>1657</v>
      </c>
      <c r="L925" s="289"/>
      <c r="M925" s="289"/>
      <c r="N925" s="293">
        <v>41749</v>
      </c>
      <c r="O925" s="293">
        <v>41749</v>
      </c>
      <c r="P925" s="289" t="s">
        <v>2825</v>
      </c>
      <c r="Q925" s="290">
        <v>300</v>
      </c>
      <c r="R925" s="290">
        <v>14110</v>
      </c>
      <c r="S925" s="291">
        <v>2780.14</v>
      </c>
      <c r="T925" s="290">
        <v>14116</v>
      </c>
      <c r="U925" s="291">
        <v>2780.14</v>
      </c>
      <c r="V925" s="291">
        <f t="shared" si="14"/>
        <v>0</v>
      </c>
      <c r="W925" s="292">
        <v>0</v>
      </c>
      <c r="X925" s="290">
        <v>70260</v>
      </c>
      <c r="Y925" s="291">
        <v>0</v>
      </c>
      <c r="Z925" s="289" t="s">
        <v>944</v>
      </c>
      <c r="AA925" s="289"/>
      <c r="AB925" s="289" t="s">
        <v>2826</v>
      </c>
      <c r="AC925" s="289"/>
      <c r="AD925" s="289" t="s">
        <v>1446</v>
      </c>
      <c r="AE925" s="289" t="s">
        <v>410</v>
      </c>
      <c r="AF925" s="290" t="s">
        <v>1447</v>
      </c>
      <c r="AG925" s="289"/>
      <c r="AH925" s="290" t="s">
        <v>1448</v>
      </c>
      <c r="AI925" s="289">
        <v>0</v>
      </c>
      <c r="AJ925" s="289">
        <v>0</v>
      </c>
    </row>
    <row r="926" spans="2:36">
      <c r="B926" s="290">
        <v>2111</v>
      </c>
      <c r="C926" s="294">
        <v>113249</v>
      </c>
      <c r="D926" s="290">
        <v>109566</v>
      </c>
      <c r="E926" s="289" t="s">
        <v>2827</v>
      </c>
      <c r="F926" s="290"/>
      <c r="G926" s="289"/>
      <c r="H926" s="289"/>
      <c r="I926" s="289"/>
      <c r="J926" s="289">
        <v>0</v>
      </c>
      <c r="K926" s="289" t="s">
        <v>2828</v>
      </c>
      <c r="L926" s="289"/>
      <c r="M926" s="289"/>
      <c r="N926" s="293">
        <v>41640</v>
      </c>
      <c r="O926" s="293">
        <v>41640</v>
      </c>
      <c r="P926" s="289" t="s">
        <v>2792</v>
      </c>
      <c r="Q926" s="290">
        <v>1911</v>
      </c>
      <c r="R926" s="290">
        <v>14080</v>
      </c>
      <c r="S926" s="291">
        <v>631.14</v>
      </c>
      <c r="T926" s="290">
        <v>14086</v>
      </c>
      <c r="U926" s="291">
        <v>271.83999999999997</v>
      </c>
      <c r="V926" s="291">
        <f t="shared" si="14"/>
        <v>359.3</v>
      </c>
      <c r="W926" s="292">
        <v>18.48</v>
      </c>
      <c r="X926" s="290">
        <v>57260</v>
      </c>
      <c r="Y926" s="291">
        <v>2.64</v>
      </c>
      <c r="Z926" s="289" t="s">
        <v>944</v>
      </c>
      <c r="AA926" s="289"/>
      <c r="AB926" s="289">
        <v>67410</v>
      </c>
      <c r="AC926" s="289"/>
      <c r="AD926" s="289" t="s">
        <v>1446</v>
      </c>
      <c r="AE926" s="289" t="s">
        <v>410</v>
      </c>
      <c r="AF926" s="290" t="s">
        <v>1447</v>
      </c>
      <c r="AG926" s="289"/>
      <c r="AH926" s="290" t="s">
        <v>1448</v>
      </c>
      <c r="AI926" s="289">
        <v>0</v>
      </c>
      <c r="AJ926" s="289">
        <v>0</v>
      </c>
    </row>
    <row r="927" spans="2:36">
      <c r="B927" s="290">
        <v>2111</v>
      </c>
      <c r="C927" s="294">
        <v>113143</v>
      </c>
      <c r="D927" s="290">
        <v>109566</v>
      </c>
      <c r="E927" s="289" t="s">
        <v>2829</v>
      </c>
      <c r="F927" s="290"/>
      <c r="G927" s="289"/>
      <c r="H927" s="289"/>
      <c r="I927" s="289"/>
      <c r="J927" s="289">
        <v>0</v>
      </c>
      <c r="K927" s="289" t="s">
        <v>2830</v>
      </c>
      <c r="L927" s="289"/>
      <c r="M927" s="289"/>
      <c r="N927" s="293">
        <v>41640</v>
      </c>
      <c r="O927" s="293">
        <v>41640</v>
      </c>
      <c r="P927" s="289" t="s">
        <v>2792</v>
      </c>
      <c r="Q927" s="290">
        <v>1911</v>
      </c>
      <c r="R927" s="290">
        <v>14080</v>
      </c>
      <c r="S927" s="291">
        <v>-1288.93</v>
      </c>
      <c r="T927" s="290">
        <v>14086</v>
      </c>
      <c r="U927" s="291">
        <v>-555.51</v>
      </c>
      <c r="V927" s="291">
        <f t="shared" si="14"/>
        <v>-733.42000000000007</v>
      </c>
      <c r="W927" s="292">
        <v>-37.75</v>
      </c>
      <c r="X927" s="290">
        <v>57260</v>
      </c>
      <c r="Y927" s="291">
        <v>-5.39</v>
      </c>
      <c r="Z927" s="289" t="s">
        <v>944</v>
      </c>
      <c r="AA927" s="289"/>
      <c r="AB927" s="289">
        <v>1076101</v>
      </c>
      <c r="AC927" s="289"/>
      <c r="AD927" s="289" t="s">
        <v>1446</v>
      </c>
      <c r="AE927" s="289" t="s">
        <v>410</v>
      </c>
      <c r="AF927" s="290" t="s">
        <v>1447</v>
      </c>
      <c r="AG927" s="289"/>
      <c r="AH927" s="290" t="s">
        <v>1448</v>
      </c>
      <c r="AI927" s="289">
        <v>0</v>
      </c>
      <c r="AJ927" s="289">
        <v>0</v>
      </c>
    </row>
    <row r="928" spans="2:36">
      <c r="B928" s="290">
        <v>2111</v>
      </c>
      <c r="C928" s="294">
        <v>112769</v>
      </c>
      <c r="D928" s="290" t="s">
        <v>944</v>
      </c>
      <c r="E928" s="289" t="s">
        <v>2831</v>
      </c>
      <c r="F928" s="290">
        <v>0</v>
      </c>
      <c r="G928" s="289"/>
      <c r="H928" s="289"/>
      <c r="I928" s="289"/>
      <c r="J928" s="289">
        <v>0</v>
      </c>
      <c r="K928" s="289" t="s">
        <v>1657</v>
      </c>
      <c r="L928" s="289"/>
      <c r="M928" s="289"/>
      <c r="N928" s="293">
        <v>41320</v>
      </c>
      <c r="O928" s="293">
        <v>41320</v>
      </c>
      <c r="P928" s="289" t="s">
        <v>2832</v>
      </c>
      <c r="Q928" s="290">
        <v>300</v>
      </c>
      <c r="R928" s="290">
        <v>14110</v>
      </c>
      <c r="S928" s="291">
        <v>976.33</v>
      </c>
      <c r="T928" s="290">
        <v>14116</v>
      </c>
      <c r="U928" s="291">
        <v>976.33</v>
      </c>
      <c r="V928" s="291">
        <f t="shared" si="14"/>
        <v>0</v>
      </c>
      <c r="W928" s="292">
        <v>0</v>
      </c>
      <c r="X928" s="290">
        <v>70260</v>
      </c>
      <c r="Y928" s="291">
        <v>0</v>
      </c>
      <c r="Z928" s="289" t="s">
        <v>944</v>
      </c>
      <c r="AA928" s="289"/>
      <c r="AB928" s="289" t="s">
        <v>2833</v>
      </c>
      <c r="AC928" s="289"/>
      <c r="AD928" s="289" t="s">
        <v>1446</v>
      </c>
      <c r="AE928" s="289" t="s">
        <v>410</v>
      </c>
      <c r="AF928" s="290" t="s">
        <v>1447</v>
      </c>
      <c r="AG928" s="295">
        <v>41759</v>
      </c>
      <c r="AH928" s="290" t="s">
        <v>1448</v>
      </c>
      <c r="AI928" s="289">
        <v>0</v>
      </c>
      <c r="AJ928" s="289">
        <v>406.8</v>
      </c>
    </row>
    <row r="929" spans="2:36">
      <c r="B929" s="290">
        <v>2111</v>
      </c>
      <c r="C929" s="294">
        <v>112527</v>
      </c>
      <c r="D929" s="290">
        <v>109566</v>
      </c>
      <c r="E929" s="289" t="s">
        <v>2834</v>
      </c>
      <c r="F929" s="290"/>
      <c r="G929" s="289"/>
      <c r="H929" s="289"/>
      <c r="I929" s="289"/>
      <c r="J929" s="289">
        <v>0</v>
      </c>
      <c r="K929" s="289" t="s">
        <v>2835</v>
      </c>
      <c r="L929" s="289"/>
      <c r="M929" s="289"/>
      <c r="N929" s="293">
        <v>41640</v>
      </c>
      <c r="O929" s="293">
        <v>41640</v>
      </c>
      <c r="P929" s="289" t="s">
        <v>2792</v>
      </c>
      <c r="Q929" s="290">
        <v>2000</v>
      </c>
      <c r="R929" s="290">
        <v>14080</v>
      </c>
      <c r="S929" s="291">
        <v>742.58</v>
      </c>
      <c r="T929" s="290">
        <v>14086</v>
      </c>
      <c r="U929" s="291">
        <v>318.7</v>
      </c>
      <c r="V929" s="291">
        <f t="shared" si="14"/>
        <v>423.88000000000005</v>
      </c>
      <c r="W929" s="292">
        <v>21.66</v>
      </c>
      <c r="X929" s="290">
        <v>57260</v>
      </c>
      <c r="Y929" s="291">
        <v>3.09</v>
      </c>
      <c r="Z929" s="289" t="s">
        <v>944</v>
      </c>
      <c r="AA929" s="289"/>
      <c r="AB929" s="289" t="s">
        <v>2836</v>
      </c>
      <c r="AC929" s="289"/>
      <c r="AD929" s="289" t="s">
        <v>1446</v>
      </c>
      <c r="AE929" s="289" t="s">
        <v>410</v>
      </c>
      <c r="AF929" s="290" t="s">
        <v>1447</v>
      </c>
      <c r="AG929" s="289"/>
      <c r="AH929" s="290" t="s">
        <v>1448</v>
      </c>
      <c r="AI929" s="289">
        <v>0</v>
      </c>
      <c r="AJ929" s="289">
        <v>0</v>
      </c>
    </row>
    <row r="930" spans="2:36">
      <c r="B930" s="290">
        <v>2111</v>
      </c>
      <c r="C930" s="294">
        <v>111626</v>
      </c>
      <c r="D930" s="290" t="s">
        <v>944</v>
      </c>
      <c r="E930" s="289" t="s">
        <v>2800</v>
      </c>
      <c r="F930" s="290">
        <v>486</v>
      </c>
      <c r="G930" s="289"/>
      <c r="H930" s="289"/>
      <c r="I930" s="289"/>
      <c r="J930" s="289">
        <v>0</v>
      </c>
      <c r="K930" s="289" t="s">
        <v>2245</v>
      </c>
      <c r="L930" s="289"/>
      <c r="M930" s="289"/>
      <c r="N930" s="293">
        <v>41666</v>
      </c>
      <c r="O930" s="293">
        <v>41666</v>
      </c>
      <c r="P930" s="289" t="s">
        <v>2837</v>
      </c>
      <c r="Q930" s="290">
        <v>700</v>
      </c>
      <c r="R930" s="290">
        <v>14050</v>
      </c>
      <c r="S930" s="291">
        <v>27313.39</v>
      </c>
      <c r="T930" s="290">
        <v>14056</v>
      </c>
      <c r="U930" s="291">
        <v>27313.39</v>
      </c>
      <c r="V930" s="291">
        <f t="shared" si="14"/>
        <v>0</v>
      </c>
      <c r="W930" s="292">
        <v>0</v>
      </c>
      <c r="X930" s="290">
        <v>54260</v>
      </c>
      <c r="Y930" s="291">
        <v>0</v>
      </c>
      <c r="Z930" s="289" t="s">
        <v>944</v>
      </c>
      <c r="AA930" s="289"/>
      <c r="AB930" s="289" t="s">
        <v>2838</v>
      </c>
      <c r="AC930" s="289"/>
      <c r="AD930" s="289" t="s">
        <v>1446</v>
      </c>
      <c r="AE930" s="289" t="s">
        <v>410</v>
      </c>
      <c r="AF930" s="290" t="s">
        <v>1447</v>
      </c>
      <c r="AG930" s="289"/>
      <c r="AH930" s="290" t="s">
        <v>1448</v>
      </c>
      <c r="AI930" s="289">
        <v>0</v>
      </c>
      <c r="AJ930" s="289">
        <v>0</v>
      </c>
    </row>
    <row r="931" spans="2:36">
      <c r="B931" s="290">
        <v>2111</v>
      </c>
      <c r="C931" s="294">
        <v>111444</v>
      </c>
      <c r="D931" s="290" t="s">
        <v>944</v>
      </c>
      <c r="E931" s="289" t="s">
        <v>851</v>
      </c>
      <c r="F931" s="290">
        <v>624</v>
      </c>
      <c r="G931" s="289"/>
      <c r="H931" s="289"/>
      <c r="I931" s="289"/>
      <c r="J931" s="289">
        <v>0</v>
      </c>
      <c r="K931" s="289" t="s">
        <v>2342</v>
      </c>
      <c r="L931" s="289"/>
      <c r="M931" s="289"/>
      <c r="N931" s="293">
        <v>41699</v>
      </c>
      <c r="O931" s="293">
        <v>41699</v>
      </c>
      <c r="P931" s="289" t="s">
        <v>2839</v>
      </c>
      <c r="Q931" s="290">
        <v>700</v>
      </c>
      <c r="R931" s="290">
        <v>14050</v>
      </c>
      <c r="S931" s="291">
        <v>35948.660000000003</v>
      </c>
      <c r="T931" s="290">
        <v>14056</v>
      </c>
      <c r="U931" s="291">
        <v>35948.660000000003</v>
      </c>
      <c r="V931" s="291">
        <f t="shared" si="14"/>
        <v>0</v>
      </c>
      <c r="W931" s="292">
        <v>0</v>
      </c>
      <c r="X931" s="290">
        <v>54260</v>
      </c>
      <c r="Y931" s="291">
        <v>0</v>
      </c>
      <c r="Z931" s="289" t="s">
        <v>944</v>
      </c>
      <c r="AA931" s="289"/>
      <c r="AB931" s="289" t="s">
        <v>2840</v>
      </c>
      <c r="AC931" s="289"/>
      <c r="AD931" s="289" t="s">
        <v>1446</v>
      </c>
      <c r="AE931" s="289" t="s">
        <v>410</v>
      </c>
      <c r="AF931" s="290" t="s">
        <v>1447</v>
      </c>
      <c r="AG931" s="289"/>
      <c r="AH931" s="290" t="s">
        <v>1448</v>
      </c>
      <c r="AI931" s="289">
        <v>0</v>
      </c>
      <c r="AJ931" s="289">
        <v>0</v>
      </c>
    </row>
    <row r="932" spans="2:36">
      <c r="B932" s="290">
        <v>2111</v>
      </c>
      <c r="C932" s="294">
        <v>111133</v>
      </c>
      <c r="D932" s="290">
        <v>109566</v>
      </c>
      <c r="E932" s="289" t="s">
        <v>2841</v>
      </c>
      <c r="F932" s="290"/>
      <c r="G932" s="289"/>
      <c r="H932" s="289"/>
      <c r="I932" s="289"/>
      <c r="J932" s="289">
        <v>0</v>
      </c>
      <c r="K932" s="289" t="s">
        <v>2842</v>
      </c>
      <c r="L932" s="289"/>
      <c r="M932" s="289"/>
      <c r="N932" s="293">
        <v>41640</v>
      </c>
      <c r="O932" s="293">
        <v>41640</v>
      </c>
      <c r="P932" s="289" t="s">
        <v>2792</v>
      </c>
      <c r="Q932" s="290">
        <v>1911</v>
      </c>
      <c r="R932" s="290">
        <v>14080</v>
      </c>
      <c r="S932" s="291">
        <v>2520</v>
      </c>
      <c r="T932" s="290">
        <v>14086</v>
      </c>
      <c r="U932" s="291">
        <v>1086.05</v>
      </c>
      <c r="V932" s="291">
        <f t="shared" si="14"/>
        <v>1433.95</v>
      </c>
      <c r="W932" s="292">
        <v>73.81</v>
      </c>
      <c r="X932" s="290">
        <v>57260</v>
      </c>
      <c r="Y932" s="291">
        <v>10.54</v>
      </c>
      <c r="Z932" s="289" t="s">
        <v>944</v>
      </c>
      <c r="AA932" s="289"/>
      <c r="AB932" s="289" t="s">
        <v>2843</v>
      </c>
      <c r="AC932" s="289"/>
      <c r="AD932" s="289" t="s">
        <v>1446</v>
      </c>
      <c r="AE932" s="289" t="s">
        <v>410</v>
      </c>
      <c r="AF932" s="290" t="s">
        <v>1447</v>
      </c>
      <c r="AG932" s="289"/>
      <c r="AH932" s="290" t="s">
        <v>1448</v>
      </c>
      <c r="AI932" s="289">
        <v>0</v>
      </c>
      <c r="AJ932" s="289">
        <v>0</v>
      </c>
    </row>
    <row r="933" spans="2:36">
      <c r="B933" s="290">
        <v>2111</v>
      </c>
      <c r="C933" s="294">
        <v>110969</v>
      </c>
      <c r="D933" s="290" t="s">
        <v>944</v>
      </c>
      <c r="E933" s="289" t="s">
        <v>2844</v>
      </c>
      <c r="F933" s="290"/>
      <c r="G933" s="289"/>
      <c r="H933" s="289" t="s">
        <v>2845</v>
      </c>
      <c r="I933" s="289"/>
      <c r="J933" s="289">
        <v>2014</v>
      </c>
      <c r="K933" s="289" t="s">
        <v>2294</v>
      </c>
      <c r="L933" s="289" t="s">
        <v>2846</v>
      </c>
      <c r="M933" s="289" t="s">
        <v>2306</v>
      </c>
      <c r="N933" s="293">
        <v>41673</v>
      </c>
      <c r="O933" s="293">
        <v>41673</v>
      </c>
      <c r="P933" s="289" t="s">
        <v>2847</v>
      </c>
      <c r="Q933" s="290">
        <v>1000</v>
      </c>
      <c r="R933" s="290">
        <v>14040</v>
      </c>
      <c r="S933" s="291">
        <v>74932.75</v>
      </c>
      <c r="T933" s="290">
        <v>14046</v>
      </c>
      <c r="U933" s="291">
        <v>63692.88</v>
      </c>
      <c r="V933" s="291">
        <f t="shared" si="14"/>
        <v>11239.870000000003</v>
      </c>
      <c r="W933" s="292">
        <v>4371.08</v>
      </c>
      <c r="X933" s="290">
        <v>51260</v>
      </c>
      <c r="Y933" s="291">
        <v>624.44000000000005</v>
      </c>
      <c r="Z933" s="289" t="s">
        <v>944</v>
      </c>
      <c r="AA933" s="289"/>
      <c r="AB933" s="289"/>
      <c r="AC933" s="289">
        <v>127</v>
      </c>
      <c r="AD933" s="289" t="s">
        <v>1446</v>
      </c>
      <c r="AE933" s="289" t="s">
        <v>410</v>
      </c>
      <c r="AF933" s="290" t="s">
        <v>1447</v>
      </c>
      <c r="AG933" s="289"/>
      <c r="AH933" s="290" t="s">
        <v>1448</v>
      </c>
      <c r="AI933" s="289">
        <v>0</v>
      </c>
      <c r="AJ933" s="289">
        <v>0</v>
      </c>
    </row>
    <row r="934" spans="2:36">
      <c r="B934" s="290">
        <v>2111</v>
      </c>
      <c r="C934" s="294">
        <v>110968</v>
      </c>
      <c r="D934" s="290" t="s">
        <v>944</v>
      </c>
      <c r="E934" s="289" t="s">
        <v>1243</v>
      </c>
      <c r="F934" s="290"/>
      <c r="G934" s="289"/>
      <c r="H934" s="289" t="s">
        <v>2848</v>
      </c>
      <c r="I934" s="289"/>
      <c r="J934" s="289">
        <v>2014</v>
      </c>
      <c r="K934" s="289" t="s">
        <v>2170</v>
      </c>
      <c r="L934" s="289" t="s">
        <v>2190</v>
      </c>
      <c r="M934" s="289" t="s">
        <v>1495</v>
      </c>
      <c r="N934" s="293">
        <v>41673</v>
      </c>
      <c r="O934" s="293">
        <v>41673</v>
      </c>
      <c r="P934" s="289" t="s">
        <v>2849</v>
      </c>
      <c r="Q934" s="290">
        <v>1000</v>
      </c>
      <c r="R934" s="290">
        <v>14040</v>
      </c>
      <c r="S934" s="291">
        <v>318992.86</v>
      </c>
      <c r="T934" s="290">
        <v>14046</v>
      </c>
      <c r="U934" s="291">
        <v>271143.96000000002</v>
      </c>
      <c r="V934" s="291">
        <f t="shared" si="14"/>
        <v>47848.899999999965</v>
      </c>
      <c r="W934" s="292">
        <v>18607.919999999998</v>
      </c>
      <c r="X934" s="290">
        <v>51260</v>
      </c>
      <c r="Y934" s="291">
        <v>2658.27</v>
      </c>
      <c r="Z934" s="289" t="s">
        <v>944</v>
      </c>
      <c r="AA934" s="289"/>
      <c r="AB934" s="289"/>
      <c r="AC934" s="289">
        <v>825</v>
      </c>
      <c r="AD934" s="289" t="s">
        <v>1446</v>
      </c>
      <c r="AE934" s="289" t="s">
        <v>410</v>
      </c>
      <c r="AF934" s="290" t="s">
        <v>1447</v>
      </c>
      <c r="AG934" s="289"/>
      <c r="AH934" s="290" t="s">
        <v>1448</v>
      </c>
      <c r="AI934" s="289">
        <v>0</v>
      </c>
      <c r="AJ934" s="289">
        <v>0</v>
      </c>
    </row>
    <row r="935" spans="2:36">
      <c r="B935" s="290">
        <v>2111</v>
      </c>
      <c r="C935" s="294">
        <v>110907</v>
      </c>
      <c r="D935" s="290">
        <v>109566</v>
      </c>
      <c r="E935" s="289" t="s">
        <v>2850</v>
      </c>
      <c r="F935" s="290"/>
      <c r="G935" s="289"/>
      <c r="H935" s="289"/>
      <c r="I935" s="289"/>
      <c r="J935" s="289">
        <v>0</v>
      </c>
      <c r="K935" s="289" t="s">
        <v>2851</v>
      </c>
      <c r="L935" s="289"/>
      <c r="M935" s="289"/>
      <c r="N935" s="293">
        <v>41640</v>
      </c>
      <c r="O935" s="293">
        <v>41640</v>
      </c>
      <c r="P935" s="289" t="s">
        <v>2792</v>
      </c>
      <c r="Q935" s="290">
        <v>1911</v>
      </c>
      <c r="R935" s="290">
        <v>14080</v>
      </c>
      <c r="S935" s="291">
        <v>29651.93</v>
      </c>
      <c r="T935" s="290">
        <v>14086</v>
      </c>
      <c r="U935" s="291">
        <v>12778.87</v>
      </c>
      <c r="V935" s="291">
        <f t="shared" si="14"/>
        <v>16873.059999999998</v>
      </c>
      <c r="W935" s="292">
        <v>868.47</v>
      </c>
      <c r="X935" s="290">
        <v>57260</v>
      </c>
      <c r="Y935" s="291">
        <v>124.07</v>
      </c>
      <c r="Z935" s="289" t="s">
        <v>944</v>
      </c>
      <c r="AA935" s="289"/>
      <c r="AB935" s="289">
        <v>125129</v>
      </c>
      <c r="AC935" s="289"/>
      <c r="AD935" s="289" t="s">
        <v>1446</v>
      </c>
      <c r="AE935" s="289" t="s">
        <v>410</v>
      </c>
      <c r="AF935" s="290" t="s">
        <v>1447</v>
      </c>
      <c r="AG935" s="289"/>
      <c r="AH935" s="290" t="s">
        <v>1448</v>
      </c>
      <c r="AI935" s="289">
        <v>0</v>
      </c>
      <c r="AJ935" s="289">
        <v>0</v>
      </c>
    </row>
    <row r="936" spans="2:36">
      <c r="B936" s="290">
        <v>2111</v>
      </c>
      <c r="C936" s="294">
        <v>110706</v>
      </c>
      <c r="D936" s="290">
        <v>109566</v>
      </c>
      <c r="E936" s="289" t="s">
        <v>2852</v>
      </c>
      <c r="F936" s="290"/>
      <c r="G936" s="289"/>
      <c r="H936" s="289"/>
      <c r="I936" s="289"/>
      <c r="J936" s="289">
        <v>0</v>
      </c>
      <c r="K936" s="289" t="s">
        <v>2853</v>
      </c>
      <c r="L936" s="289"/>
      <c r="M936" s="289"/>
      <c r="N936" s="293">
        <v>41640</v>
      </c>
      <c r="O936" s="293">
        <v>41640</v>
      </c>
      <c r="P936" s="289" t="s">
        <v>2792</v>
      </c>
      <c r="Q936" s="290">
        <v>1911</v>
      </c>
      <c r="R936" s="290">
        <v>14080</v>
      </c>
      <c r="S936" s="291">
        <v>11814.1</v>
      </c>
      <c r="T936" s="290">
        <v>14086</v>
      </c>
      <c r="U936" s="291">
        <v>5091.46</v>
      </c>
      <c r="V936" s="291">
        <f t="shared" si="14"/>
        <v>6722.64</v>
      </c>
      <c r="W936" s="292">
        <v>346.02</v>
      </c>
      <c r="X936" s="290">
        <v>57260</v>
      </c>
      <c r="Y936" s="291">
        <v>49.43</v>
      </c>
      <c r="Z936" s="289" t="s">
        <v>944</v>
      </c>
      <c r="AA936" s="289"/>
      <c r="AB936" s="295">
        <v>41652</v>
      </c>
      <c r="AC936" s="289"/>
      <c r="AD936" s="289" t="s">
        <v>1446</v>
      </c>
      <c r="AE936" s="289" t="s">
        <v>410</v>
      </c>
      <c r="AF936" s="290" t="s">
        <v>1447</v>
      </c>
      <c r="AG936" s="289"/>
      <c r="AH936" s="290" t="s">
        <v>1448</v>
      </c>
      <c r="AI936" s="289">
        <v>0</v>
      </c>
      <c r="AJ936" s="289">
        <v>0</v>
      </c>
    </row>
    <row r="937" spans="2:36">
      <c r="B937" s="290">
        <v>2111</v>
      </c>
      <c r="C937" s="294">
        <v>110645</v>
      </c>
      <c r="D937" s="290">
        <v>109566</v>
      </c>
      <c r="E937" s="289" t="s">
        <v>2852</v>
      </c>
      <c r="F937" s="290"/>
      <c r="G937" s="289"/>
      <c r="H937" s="289"/>
      <c r="I937" s="289"/>
      <c r="J937" s="289">
        <v>0</v>
      </c>
      <c r="K937" s="289" t="s">
        <v>2851</v>
      </c>
      <c r="L937" s="289"/>
      <c r="M937" s="289"/>
      <c r="N937" s="293">
        <v>41640</v>
      </c>
      <c r="O937" s="293">
        <v>41640</v>
      </c>
      <c r="P937" s="289" t="s">
        <v>2792</v>
      </c>
      <c r="Q937" s="290">
        <v>1911</v>
      </c>
      <c r="R937" s="290">
        <v>14080</v>
      </c>
      <c r="S937" s="291">
        <v>1301.6300000000001</v>
      </c>
      <c r="T937" s="290">
        <v>14086</v>
      </c>
      <c r="U937" s="291">
        <v>560.91999999999996</v>
      </c>
      <c r="V937" s="291">
        <f t="shared" si="14"/>
        <v>740.71000000000015</v>
      </c>
      <c r="W937" s="292">
        <v>38.119999999999997</v>
      </c>
      <c r="X937" s="290">
        <v>57260</v>
      </c>
      <c r="Y937" s="291">
        <v>5.44</v>
      </c>
      <c r="Z937" s="289" t="s">
        <v>944</v>
      </c>
      <c r="AA937" s="289"/>
      <c r="AB937" s="289">
        <v>125128</v>
      </c>
      <c r="AC937" s="289"/>
      <c r="AD937" s="289" t="s">
        <v>1446</v>
      </c>
      <c r="AE937" s="289" t="s">
        <v>410</v>
      </c>
      <c r="AF937" s="290" t="s">
        <v>1447</v>
      </c>
      <c r="AG937" s="289"/>
      <c r="AH937" s="290" t="s">
        <v>1448</v>
      </c>
      <c r="AI937" s="289">
        <v>0</v>
      </c>
      <c r="AJ937" s="289">
        <v>0</v>
      </c>
    </row>
    <row r="938" spans="2:36">
      <c r="B938" s="290">
        <v>2111</v>
      </c>
      <c r="C938" s="294">
        <v>110509</v>
      </c>
      <c r="D938" s="290">
        <v>109566</v>
      </c>
      <c r="E938" s="289" t="s">
        <v>2852</v>
      </c>
      <c r="F938" s="290"/>
      <c r="G938" s="289"/>
      <c r="H938" s="289"/>
      <c r="I938" s="289"/>
      <c r="J938" s="289">
        <v>0</v>
      </c>
      <c r="K938" s="289" t="s">
        <v>2854</v>
      </c>
      <c r="L938" s="289"/>
      <c r="M938" s="289"/>
      <c r="N938" s="293">
        <v>41640</v>
      </c>
      <c r="O938" s="293">
        <v>41640</v>
      </c>
      <c r="P938" s="289" t="s">
        <v>2792</v>
      </c>
      <c r="Q938" s="290">
        <v>1911</v>
      </c>
      <c r="R938" s="290">
        <v>14080</v>
      </c>
      <c r="S938" s="291">
        <v>306599.73</v>
      </c>
      <c r="T938" s="290">
        <v>14086</v>
      </c>
      <c r="U938" s="291">
        <v>132132.87</v>
      </c>
      <c r="V938" s="291">
        <f t="shared" si="14"/>
        <v>174466.86</v>
      </c>
      <c r="W938" s="292">
        <v>8979.91</v>
      </c>
      <c r="X938" s="290">
        <v>57260</v>
      </c>
      <c r="Y938" s="291">
        <v>1282.8399999999999</v>
      </c>
      <c r="Z938" s="289" t="s">
        <v>944</v>
      </c>
      <c r="AA938" s="289"/>
      <c r="AB938" s="289">
        <v>125107</v>
      </c>
      <c r="AC938" s="289"/>
      <c r="AD938" s="289" t="s">
        <v>1446</v>
      </c>
      <c r="AE938" s="289" t="s">
        <v>410</v>
      </c>
      <c r="AF938" s="290" t="s">
        <v>1447</v>
      </c>
      <c r="AG938" s="289"/>
      <c r="AH938" s="290" t="s">
        <v>1448</v>
      </c>
      <c r="AI938" s="289">
        <v>0</v>
      </c>
      <c r="AJ938" s="289">
        <v>0</v>
      </c>
    </row>
    <row r="939" spans="2:36">
      <c r="B939" s="290">
        <v>2111</v>
      </c>
      <c r="C939" s="294">
        <v>110503</v>
      </c>
      <c r="D939" s="290" t="s">
        <v>944</v>
      </c>
      <c r="E939" s="289" t="s">
        <v>2855</v>
      </c>
      <c r="F939" s="290">
        <v>10</v>
      </c>
      <c r="G939" s="289"/>
      <c r="H939" s="289"/>
      <c r="I939" s="289"/>
      <c r="J939" s="289">
        <v>0</v>
      </c>
      <c r="K939" s="289" t="s">
        <v>2257</v>
      </c>
      <c r="L939" s="289"/>
      <c r="M939" s="289" t="s">
        <v>1665</v>
      </c>
      <c r="N939" s="293">
        <v>41640</v>
      </c>
      <c r="O939" s="293">
        <v>41640</v>
      </c>
      <c r="P939" s="289" t="s">
        <v>2856</v>
      </c>
      <c r="Q939" s="290">
        <v>1200</v>
      </c>
      <c r="R939" s="290">
        <v>14050</v>
      </c>
      <c r="S939" s="291">
        <v>4649.5</v>
      </c>
      <c r="T939" s="290">
        <v>14056</v>
      </c>
      <c r="U939" s="291">
        <v>3325.7</v>
      </c>
      <c r="V939" s="291">
        <f t="shared" si="14"/>
        <v>1323.8000000000002</v>
      </c>
      <c r="W939" s="292">
        <v>226.02</v>
      </c>
      <c r="X939" s="290">
        <v>54260</v>
      </c>
      <c r="Y939" s="291">
        <v>32.29</v>
      </c>
      <c r="Z939" s="289" t="s">
        <v>944</v>
      </c>
      <c r="AA939" s="289"/>
      <c r="AB939" s="289">
        <v>82941</v>
      </c>
      <c r="AC939" s="289"/>
      <c r="AD939" s="289" t="s">
        <v>1446</v>
      </c>
      <c r="AE939" s="289" t="s">
        <v>410</v>
      </c>
      <c r="AF939" s="290" t="s">
        <v>1447</v>
      </c>
      <c r="AG939" s="289"/>
      <c r="AH939" s="290" t="s">
        <v>1448</v>
      </c>
      <c r="AI939" s="289">
        <v>0</v>
      </c>
      <c r="AJ939" s="289">
        <v>0</v>
      </c>
    </row>
    <row r="940" spans="2:36">
      <c r="B940" s="290">
        <v>2111</v>
      </c>
      <c r="C940" s="294">
        <v>110099</v>
      </c>
      <c r="D940" s="290">
        <v>109566</v>
      </c>
      <c r="E940" s="289" t="s">
        <v>2852</v>
      </c>
      <c r="F940" s="290"/>
      <c r="G940" s="289"/>
      <c r="H940" s="289"/>
      <c r="I940" s="289"/>
      <c r="J940" s="289">
        <v>0</v>
      </c>
      <c r="K940" s="289" t="s">
        <v>2857</v>
      </c>
      <c r="L940" s="289"/>
      <c r="M940" s="289"/>
      <c r="N940" s="293">
        <v>41609</v>
      </c>
      <c r="O940" s="293">
        <v>41609</v>
      </c>
      <c r="P940" s="289" t="s">
        <v>2792</v>
      </c>
      <c r="Q940" s="290">
        <v>2000</v>
      </c>
      <c r="R940" s="290">
        <v>14080</v>
      </c>
      <c r="S940" s="291">
        <v>42201.919999999998</v>
      </c>
      <c r="T940" s="290">
        <v>14086</v>
      </c>
      <c r="U940" s="291">
        <v>18287.53</v>
      </c>
      <c r="V940" s="291">
        <f t="shared" si="14"/>
        <v>23914.39</v>
      </c>
      <c r="W940" s="292">
        <v>1230.8900000000001</v>
      </c>
      <c r="X940" s="290">
        <v>57260</v>
      </c>
      <c r="Y940" s="291">
        <v>175.84</v>
      </c>
      <c r="Z940" s="289" t="s">
        <v>944</v>
      </c>
      <c r="AA940" s="289"/>
      <c r="AB940" s="289" t="s">
        <v>2858</v>
      </c>
      <c r="AC940" s="289"/>
      <c r="AD940" s="289" t="s">
        <v>1446</v>
      </c>
      <c r="AE940" s="289" t="s">
        <v>410</v>
      </c>
      <c r="AF940" s="290" t="s">
        <v>1447</v>
      </c>
      <c r="AG940" s="289"/>
      <c r="AH940" s="290" t="s">
        <v>1448</v>
      </c>
      <c r="AI940" s="289">
        <v>0</v>
      </c>
      <c r="AJ940" s="289">
        <v>0</v>
      </c>
    </row>
    <row r="941" spans="2:36">
      <c r="B941" s="290">
        <v>2111</v>
      </c>
      <c r="C941" s="294">
        <v>110094</v>
      </c>
      <c r="D941" s="290" t="s">
        <v>944</v>
      </c>
      <c r="E941" s="289" t="s">
        <v>2859</v>
      </c>
      <c r="F941" s="290"/>
      <c r="G941" s="289"/>
      <c r="H941" s="289"/>
      <c r="I941" s="289"/>
      <c r="J941" s="289">
        <v>0</v>
      </c>
      <c r="K941" s="289" t="s">
        <v>2709</v>
      </c>
      <c r="L941" s="289"/>
      <c r="M941" s="289"/>
      <c r="N941" s="293">
        <v>41639</v>
      </c>
      <c r="O941" s="293">
        <v>41639</v>
      </c>
      <c r="P941" s="289" t="s">
        <v>2860</v>
      </c>
      <c r="Q941" s="290">
        <v>500</v>
      </c>
      <c r="R941" s="290">
        <v>14070</v>
      </c>
      <c r="S941" s="291">
        <v>14544.51</v>
      </c>
      <c r="T941" s="290">
        <v>14076</v>
      </c>
      <c r="U941" s="291">
        <v>14544.51</v>
      </c>
      <c r="V941" s="291">
        <f t="shared" si="14"/>
        <v>0</v>
      </c>
      <c r="W941" s="292">
        <v>0</v>
      </c>
      <c r="X941" s="290">
        <v>51260</v>
      </c>
      <c r="Y941" s="291">
        <v>0</v>
      </c>
      <c r="Z941" s="289" t="s">
        <v>944</v>
      </c>
      <c r="AA941" s="289"/>
      <c r="AB941" s="289">
        <v>912041088</v>
      </c>
      <c r="AC941" s="289"/>
      <c r="AD941" s="289" t="s">
        <v>1446</v>
      </c>
      <c r="AE941" s="289" t="s">
        <v>410</v>
      </c>
      <c r="AF941" s="290" t="s">
        <v>1447</v>
      </c>
      <c r="AG941" s="289"/>
      <c r="AH941" s="290" t="s">
        <v>1448</v>
      </c>
      <c r="AI941" s="289">
        <v>0</v>
      </c>
      <c r="AJ941" s="289">
        <v>0</v>
      </c>
    </row>
    <row r="942" spans="2:36">
      <c r="B942" s="290">
        <v>2111</v>
      </c>
      <c r="C942" s="294">
        <v>110093</v>
      </c>
      <c r="D942" s="290" t="s">
        <v>944</v>
      </c>
      <c r="E942" s="289" t="s">
        <v>285</v>
      </c>
      <c r="F942" s="290"/>
      <c r="G942" s="289"/>
      <c r="H942" s="289"/>
      <c r="I942" s="289"/>
      <c r="J942" s="289">
        <v>0</v>
      </c>
      <c r="K942" s="289" t="s">
        <v>2861</v>
      </c>
      <c r="L942" s="289"/>
      <c r="M942" s="289"/>
      <c r="N942" s="293">
        <v>41639</v>
      </c>
      <c r="O942" s="293">
        <v>41639</v>
      </c>
      <c r="P942" s="289" t="s">
        <v>2860</v>
      </c>
      <c r="Q942" s="290">
        <v>500</v>
      </c>
      <c r="R942" s="290">
        <v>14070</v>
      </c>
      <c r="S942" s="291">
        <v>5343.25</v>
      </c>
      <c r="T942" s="290">
        <v>14076</v>
      </c>
      <c r="U942" s="291">
        <v>5343.25</v>
      </c>
      <c r="V942" s="291">
        <f t="shared" si="14"/>
        <v>0</v>
      </c>
      <c r="W942" s="292">
        <v>0</v>
      </c>
      <c r="X942" s="290">
        <v>51260</v>
      </c>
      <c r="Y942" s="291">
        <v>0</v>
      </c>
      <c r="Z942" s="289" t="s">
        <v>944</v>
      </c>
      <c r="AA942" s="289"/>
      <c r="AB942" s="289">
        <v>57837442</v>
      </c>
      <c r="AC942" s="289"/>
      <c r="AD942" s="289" t="s">
        <v>1446</v>
      </c>
      <c r="AE942" s="289" t="s">
        <v>410</v>
      </c>
      <c r="AF942" s="290" t="s">
        <v>1447</v>
      </c>
      <c r="AG942" s="289"/>
      <c r="AH942" s="290" t="s">
        <v>1448</v>
      </c>
      <c r="AI942" s="289">
        <v>0</v>
      </c>
      <c r="AJ942" s="289">
        <v>0</v>
      </c>
    </row>
    <row r="943" spans="2:36">
      <c r="B943" s="290">
        <v>2111</v>
      </c>
      <c r="C943" s="294">
        <v>110092</v>
      </c>
      <c r="D943" s="290" t="s">
        <v>944</v>
      </c>
      <c r="E943" s="289" t="s">
        <v>284</v>
      </c>
      <c r="F943" s="290"/>
      <c r="G943" s="289"/>
      <c r="H943" s="289"/>
      <c r="I943" s="289"/>
      <c r="J943" s="289">
        <v>0</v>
      </c>
      <c r="K943" s="289" t="s">
        <v>2862</v>
      </c>
      <c r="L943" s="289"/>
      <c r="M943" s="289"/>
      <c r="N943" s="293">
        <v>41639</v>
      </c>
      <c r="O943" s="293">
        <v>41639</v>
      </c>
      <c r="P943" s="289" t="s">
        <v>2860</v>
      </c>
      <c r="Q943" s="290">
        <v>500</v>
      </c>
      <c r="R943" s="290">
        <v>14070</v>
      </c>
      <c r="S943" s="291">
        <v>2337.39</v>
      </c>
      <c r="T943" s="290">
        <v>14076</v>
      </c>
      <c r="U943" s="291">
        <v>2337.39</v>
      </c>
      <c r="V943" s="291">
        <f t="shared" si="14"/>
        <v>0</v>
      </c>
      <c r="W943" s="292">
        <v>0</v>
      </c>
      <c r="X943" s="290">
        <v>51260</v>
      </c>
      <c r="Y943" s="291">
        <v>0</v>
      </c>
      <c r="Z943" s="289" t="s">
        <v>944</v>
      </c>
      <c r="AA943" s="289"/>
      <c r="AB943" s="289">
        <v>40273902</v>
      </c>
      <c r="AC943" s="289"/>
      <c r="AD943" s="289" t="s">
        <v>1446</v>
      </c>
      <c r="AE943" s="289" t="s">
        <v>410</v>
      </c>
      <c r="AF943" s="290" t="s">
        <v>1447</v>
      </c>
      <c r="AG943" s="289"/>
      <c r="AH943" s="290" t="s">
        <v>1448</v>
      </c>
      <c r="AI943" s="289">
        <v>0</v>
      </c>
      <c r="AJ943" s="289">
        <v>0</v>
      </c>
    </row>
    <row r="944" spans="2:36">
      <c r="B944" s="290">
        <v>2111</v>
      </c>
      <c r="C944" s="294">
        <v>109960</v>
      </c>
      <c r="D944" s="290">
        <v>109566</v>
      </c>
      <c r="E944" s="289" t="s">
        <v>2852</v>
      </c>
      <c r="F944" s="290"/>
      <c r="G944" s="289"/>
      <c r="H944" s="289"/>
      <c r="I944" s="289"/>
      <c r="J944" s="289">
        <v>0</v>
      </c>
      <c r="K944" s="289" t="s">
        <v>2830</v>
      </c>
      <c r="L944" s="289"/>
      <c r="M944" s="289"/>
      <c r="N944" s="293">
        <v>41609</v>
      </c>
      <c r="O944" s="293">
        <v>41609</v>
      </c>
      <c r="P944" s="289" t="s">
        <v>2792</v>
      </c>
      <c r="Q944" s="290">
        <v>2000</v>
      </c>
      <c r="R944" s="290">
        <v>14080</v>
      </c>
      <c r="S944" s="291">
        <v>3969.58</v>
      </c>
      <c r="T944" s="290">
        <v>14086</v>
      </c>
      <c r="U944" s="291">
        <v>1720.16</v>
      </c>
      <c r="V944" s="291">
        <f t="shared" si="14"/>
        <v>2249.42</v>
      </c>
      <c r="W944" s="292">
        <v>115.78</v>
      </c>
      <c r="X944" s="290">
        <v>57260</v>
      </c>
      <c r="Y944" s="291">
        <v>16.54</v>
      </c>
      <c r="Z944" s="289" t="s">
        <v>944</v>
      </c>
      <c r="AA944" s="289"/>
      <c r="AB944" s="289">
        <v>1072209</v>
      </c>
      <c r="AC944" s="289"/>
      <c r="AD944" s="289" t="s">
        <v>1446</v>
      </c>
      <c r="AE944" s="289" t="s">
        <v>410</v>
      </c>
      <c r="AF944" s="290" t="s">
        <v>1447</v>
      </c>
      <c r="AG944" s="289"/>
      <c r="AH944" s="290" t="s">
        <v>1448</v>
      </c>
      <c r="AI944" s="289">
        <v>0</v>
      </c>
      <c r="AJ944" s="289">
        <v>0</v>
      </c>
    </row>
    <row r="945" spans="2:36">
      <c r="B945" s="290">
        <v>2111</v>
      </c>
      <c r="C945" s="294">
        <v>109827</v>
      </c>
      <c r="D945" s="290">
        <v>109566</v>
      </c>
      <c r="E945" s="289" t="s">
        <v>2852</v>
      </c>
      <c r="F945" s="290"/>
      <c r="G945" s="289"/>
      <c r="H945" s="289"/>
      <c r="I945" s="289"/>
      <c r="J945" s="289">
        <v>0</v>
      </c>
      <c r="K945" s="289" t="s">
        <v>2863</v>
      </c>
      <c r="L945" s="289"/>
      <c r="M945" s="289"/>
      <c r="N945" s="293">
        <v>41609</v>
      </c>
      <c r="O945" s="293">
        <v>41609</v>
      </c>
      <c r="P945" s="289" t="s">
        <v>2792</v>
      </c>
      <c r="Q945" s="290">
        <v>2000</v>
      </c>
      <c r="R945" s="290">
        <v>14080</v>
      </c>
      <c r="S945" s="291">
        <v>1650.8</v>
      </c>
      <c r="T945" s="290">
        <v>14086</v>
      </c>
      <c r="U945" s="291">
        <v>715.35</v>
      </c>
      <c r="V945" s="291">
        <f t="shared" si="14"/>
        <v>935.44999999999993</v>
      </c>
      <c r="W945" s="292">
        <v>48.15</v>
      </c>
      <c r="X945" s="290">
        <v>57260</v>
      </c>
      <c r="Y945" s="291">
        <v>6.88</v>
      </c>
      <c r="Z945" s="289" t="s">
        <v>944</v>
      </c>
      <c r="AA945" s="289"/>
      <c r="AB945" s="289">
        <v>38328</v>
      </c>
      <c r="AC945" s="289"/>
      <c r="AD945" s="289" t="s">
        <v>1446</v>
      </c>
      <c r="AE945" s="289" t="s">
        <v>410</v>
      </c>
      <c r="AF945" s="290" t="s">
        <v>1447</v>
      </c>
      <c r="AG945" s="289"/>
      <c r="AH945" s="290" t="s">
        <v>1448</v>
      </c>
      <c r="AI945" s="289">
        <v>0</v>
      </c>
      <c r="AJ945" s="289">
        <v>0</v>
      </c>
    </row>
    <row r="946" spans="2:36">
      <c r="B946" s="290">
        <v>2111</v>
      </c>
      <c r="C946" s="294">
        <v>109566</v>
      </c>
      <c r="D946" s="290" t="s">
        <v>944</v>
      </c>
      <c r="E946" s="289" t="s">
        <v>2864</v>
      </c>
      <c r="F946" s="290"/>
      <c r="G946" s="289"/>
      <c r="H946" s="289"/>
      <c r="I946" s="289"/>
      <c r="J946" s="289">
        <v>0</v>
      </c>
      <c r="K946" s="289"/>
      <c r="L946" s="289"/>
      <c r="M946" s="289"/>
      <c r="N946" s="293">
        <v>41609</v>
      </c>
      <c r="O946" s="293">
        <v>41609</v>
      </c>
      <c r="P946" s="289" t="s">
        <v>2792</v>
      </c>
      <c r="Q946" s="290">
        <v>2000</v>
      </c>
      <c r="R946" s="290">
        <v>14080</v>
      </c>
      <c r="S946" s="291">
        <v>5573344.7300000004</v>
      </c>
      <c r="T946" s="290">
        <v>14086</v>
      </c>
      <c r="U946" s="291">
        <v>2415116.08</v>
      </c>
      <c r="V946" s="291">
        <f t="shared" si="14"/>
        <v>3158228.6500000004</v>
      </c>
      <c r="W946" s="292">
        <v>162555.89000000001</v>
      </c>
      <c r="X946" s="290">
        <v>57260</v>
      </c>
      <c r="Y946" s="291">
        <v>23222.27</v>
      </c>
      <c r="Z946" s="289" t="s">
        <v>944</v>
      </c>
      <c r="AA946" s="289"/>
      <c r="AB946" s="289"/>
      <c r="AC946" s="289"/>
      <c r="AD946" s="289" t="s">
        <v>1446</v>
      </c>
      <c r="AE946" s="289" t="s">
        <v>410</v>
      </c>
      <c r="AF946" s="290" t="s">
        <v>1447</v>
      </c>
      <c r="AG946" s="289"/>
      <c r="AH946" s="290" t="s">
        <v>1448</v>
      </c>
      <c r="AI946" s="289">
        <v>0</v>
      </c>
      <c r="AJ946" s="289">
        <v>0</v>
      </c>
    </row>
    <row r="947" spans="2:36">
      <c r="B947" s="290">
        <v>2111</v>
      </c>
      <c r="C947" s="294">
        <v>109254</v>
      </c>
      <c r="D947" s="290" t="s">
        <v>944</v>
      </c>
      <c r="E947" s="289" t="s">
        <v>2865</v>
      </c>
      <c r="F947" s="290">
        <v>0</v>
      </c>
      <c r="G947" s="289"/>
      <c r="H947" s="289" t="s">
        <v>2866</v>
      </c>
      <c r="I947" s="289"/>
      <c r="J947" s="289">
        <v>2006</v>
      </c>
      <c r="K947" s="289" t="s">
        <v>2867</v>
      </c>
      <c r="L947" s="289" t="s">
        <v>2868</v>
      </c>
      <c r="M947" s="289" t="s">
        <v>2868</v>
      </c>
      <c r="N947" s="293">
        <v>40375</v>
      </c>
      <c r="O947" s="293">
        <v>40375</v>
      </c>
      <c r="P947" s="289" t="s">
        <v>2869</v>
      </c>
      <c r="Q947" s="290">
        <v>500</v>
      </c>
      <c r="R947" s="290">
        <v>14040</v>
      </c>
      <c r="S947" s="291">
        <v>46580</v>
      </c>
      <c r="T947" s="290">
        <v>14046</v>
      </c>
      <c r="U947" s="291">
        <v>46580</v>
      </c>
      <c r="V947" s="291">
        <f t="shared" si="14"/>
        <v>0</v>
      </c>
      <c r="W947" s="292">
        <v>0</v>
      </c>
      <c r="X947" s="290">
        <v>51260</v>
      </c>
      <c r="Y947" s="291">
        <v>0</v>
      </c>
      <c r="Z947" s="289" t="s">
        <v>944</v>
      </c>
      <c r="AA947" s="289"/>
      <c r="AB947" s="289" t="s">
        <v>2870</v>
      </c>
      <c r="AC947" s="289">
        <v>132</v>
      </c>
      <c r="AD947" s="289" t="s">
        <v>1446</v>
      </c>
      <c r="AE947" s="289" t="s">
        <v>410</v>
      </c>
      <c r="AF947" s="290" t="s">
        <v>1447</v>
      </c>
      <c r="AG947" s="295">
        <v>41608</v>
      </c>
      <c r="AH947" s="290" t="s">
        <v>1448</v>
      </c>
      <c r="AI947" s="289">
        <v>0</v>
      </c>
      <c r="AJ947" s="289">
        <v>31053.34</v>
      </c>
    </row>
    <row r="948" spans="2:36">
      <c r="B948" s="290">
        <v>2111</v>
      </c>
      <c r="C948" s="294">
        <v>108441</v>
      </c>
      <c r="D948" s="290" t="s">
        <v>944</v>
      </c>
      <c r="E948" s="289" t="s">
        <v>2871</v>
      </c>
      <c r="F948" s="290">
        <v>0</v>
      </c>
      <c r="G948" s="289"/>
      <c r="H948" s="289"/>
      <c r="I948" s="289"/>
      <c r="J948" s="289">
        <v>0</v>
      </c>
      <c r="K948" s="289" t="s">
        <v>2872</v>
      </c>
      <c r="L948" s="289"/>
      <c r="M948" s="289"/>
      <c r="N948" s="293">
        <v>40756</v>
      </c>
      <c r="O948" s="293">
        <v>40756</v>
      </c>
      <c r="P948" s="289" t="s">
        <v>2873</v>
      </c>
      <c r="Q948" s="290">
        <v>300</v>
      </c>
      <c r="R948" s="290">
        <v>14110</v>
      </c>
      <c r="S948" s="291">
        <v>5025</v>
      </c>
      <c r="T948" s="290">
        <v>14116</v>
      </c>
      <c r="U948" s="291">
        <v>5025</v>
      </c>
      <c r="V948" s="291">
        <f t="shared" si="14"/>
        <v>0</v>
      </c>
      <c r="W948" s="292">
        <v>0</v>
      </c>
      <c r="X948" s="290">
        <v>70260</v>
      </c>
      <c r="Y948" s="291">
        <v>0</v>
      </c>
      <c r="Z948" s="289" t="s">
        <v>944</v>
      </c>
      <c r="AA948" s="289"/>
      <c r="AB948" s="289">
        <v>12486</v>
      </c>
      <c r="AC948" s="289"/>
      <c r="AD948" s="289" t="s">
        <v>1446</v>
      </c>
      <c r="AE948" s="289" t="s">
        <v>410</v>
      </c>
      <c r="AF948" s="290" t="s">
        <v>1447</v>
      </c>
      <c r="AG948" s="295">
        <v>41578</v>
      </c>
      <c r="AH948" s="290" t="s">
        <v>1448</v>
      </c>
      <c r="AI948" s="289">
        <v>0</v>
      </c>
      <c r="AJ948" s="289">
        <v>3768.75</v>
      </c>
    </row>
    <row r="949" spans="2:36">
      <c r="B949" s="290">
        <v>2111</v>
      </c>
      <c r="C949" s="294">
        <v>108440</v>
      </c>
      <c r="D949" s="290">
        <v>108441</v>
      </c>
      <c r="E949" s="289" t="s">
        <v>2874</v>
      </c>
      <c r="F949" s="290">
        <v>0</v>
      </c>
      <c r="G949" s="289"/>
      <c r="H949" s="289"/>
      <c r="I949" s="289"/>
      <c r="J949" s="289">
        <v>0</v>
      </c>
      <c r="K949" s="289" t="s">
        <v>2875</v>
      </c>
      <c r="L949" s="289"/>
      <c r="M949" s="289"/>
      <c r="N949" s="293">
        <v>40756</v>
      </c>
      <c r="O949" s="293">
        <v>40756</v>
      </c>
      <c r="P949" s="289" t="s">
        <v>2873</v>
      </c>
      <c r="Q949" s="290">
        <v>300</v>
      </c>
      <c r="R949" s="290">
        <v>14110</v>
      </c>
      <c r="S949" s="291">
        <v>467.32</v>
      </c>
      <c r="T949" s="290">
        <v>14116</v>
      </c>
      <c r="U949" s="291">
        <v>467.32</v>
      </c>
      <c r="V949" s="291">
        <f t="shared" si="14"/>
        <v>0</v>
      </c>
      <c r="W949" s="292">
        <v>0</v>
      </c>
      <c r="X949" s="290">
        <v>70260</v>
      </c>
      <c r="Y949" s="291">
        <v>0</v>
      </c>
      <c r="Z949" s="289" t="s">
        <v>944</v>
      </c>
      <c r="AA949" s="289"/>
      <c r="AB949" s="289">
        <v>12486</v>
      </c>
      <c r="AC949" s="289"/>
      <c r="AD949" s="289" t="s">
        <v>1446</v>
      </c>
      <c r="AE949" s="289" t="s">
        <v>410</v>
      </c>
      <c r="AF949" s="290" t="s">
        <v>1447</v>
      </c>
      <c r="AG949" s="295">
        <v>41578</v>
      </c>
      <c r="AH949" s="290" t="s">
        <v>1448</v>
      </c>
      <c r="AI949" s="289">
        <v>0</v>
      </c>
      <c r="AJ949" s="289">
        <v>350.47</v>
      </c>
    </row>
    <row r="950" spans="2:36">
      <c r="B950" s="290">
        <v>2111</v>
      </c>
      <c r="C950" s="294">
        <v>107976</v>
      </c>
      <c r="D950" s="290" t="s">
        <v>944</v>
      </c>
      <c r="E950" s="289" t="s">
        <v>512</v>
      </c>
      <c r="F950" s="290">
        <v>312</v>
      </c>
      <c r="G950" s="289"/>
      <c r="H950" s="289"/>
      <c r="I950" s="289"/>
      <c r="J950" s="289">
        <v>0</v>
      </c>
      <c r="K950" s="289" t="s">
        <v>2342</v>
      </c>
      <c r="L950" s="289"/>
      <c r="M950" s="289"/>
      <c r="N950" s="293">
        <v>41577</v>
      </c>
      <c r="O950" s="293">
        <v>41577</v>
      </c>
      <c r="P950" s="289" t="s">
        <v>2876</v>
      </c>
      <c r="Q950" s="290">
        <v>700</v>
      </c>
      <c r="R950" s="290">
        <v>14050</v>
      </c>
      <c r="S950" s="291">
        <v>17116.18</v>
      </c>
      <c r="T950" s="290">
        <v>14056</v>
      </c>
      <c r="U950" s="291">
        <v>17116.18</v>
      </c>
      <c r="V950" s="291">
        <f t="shared" si="14"/>
        <v>0</v>
      </c>
      <c r="W950" s="292">
        <v>0</v>
      </c>
      <c r="X950" s="290">
        <v>54260</v>
      </c>
      <c r="Y950" s="291">
        <v>0</v>
      </c>
      <c r="Z950" s="289" t="s">
        <v>944</v>
      </c>
      <c r="AA950" s="289"/>
      <c r="AB950" s="289" t="s">
        <v>2877</v>
      </c>
      <c r="AC950" s="289"/>
      <c r="AD950" s="289" t="s">
        <v>1446</v>
      </c>
      <c r="AE950" s="289" t="s">
        <v>410</v>
      </c>
      <c r="AF950" s="290" t="s">
        <v>1447</v>
      </c>
      <c r="AG950" s="289"/>
      <c r="AH950" s="290" t="s">
        <v>1448</v>
      </c>
      <c r="AI950" s="289">
        <v>0</v>
      </c>
      <c r="AJ950" s="289">
        <v>0</v>
      </c>
    </row>
    <row r="951" spans="2:36">
      <c r="B951" s="290">
        <v>2111</v>
      </c>
      <c r="C951" s="294">
        <v>107975</v>
      </c>
      <c r="D951" s="290" t="s">
        <v>944</v>
      </c>
      <c r="E951" s="289" t="s">
        <v>853</v>
      </c>
      <c r="F951" s="290">
        <v>312</v>
      </c>
      <c r="G951" s="289"/>
      <c r="H951" s="289"/>
      <c r="I951" s="289"/>
      <c r="J951" s="289">
        <v>0</v>
      </c>
      <c r="K951" s="289" t="s">
        <v>2342</v>
      </c>
      <c r="L951" s="289"/>
      <c r="M951" s="289"/>
      <c r="N951" s="293">
        <v>41577</v>
      </c>
      <c r="O951" s="293">
        <v>41577</v>
      </c>
      <c r="P951" s="289" t="s">
        <v>2876</v>
      </c>
      <c r="Q951" s="290">
        <v>700</v>
      </c>
      <c r="R951" s="290">
        <v>14050</v>
      </c>
      <c r="S951" s="291">
        <v>17201.509999999998</v>
      </c>
      <c r="T951" s="290">
        <v>14056</v>
      </c>
      <c r="U951" s="291">
        <v>17201.509999999998</v>
      </c>
      <c r="V951" s="291">
        <f t="shared" si="14"/>
        <v>0</v>
      </c>
      <c r="W951" s="292">
        <v>0</v>
      </c>
      <c r="X951" s="290">
        <v>54260</v>
      </c>
      <c r="Y951" s="291">
        <v>0</v>
      </c>
      <c r="Z951" s="289" t="s">
        <v>944</v>
      </c>
      <c r="AA951" s="289"/>
      <c r="AB951" s="289" t="s">
        <v>2877</v>
      </c>
      <c r="AC951" s="289"/>
      <c r="AD951" s="289" t="s">
        <v>1446</v>
      </c>
      <c r="AE951" s="289" t="s">
        <v>410</v>
      </c>
      <c r="AF951" s="290" t="s">
        <v>1447</v>
      </c>
      <c r="AG951" s="289"/>
      <c r="AH951" s="290" t="s">
        <v>1448</v>
      </c>
      <c r="AI951" s="289">
        <v>0</v>
      </c>
      <c r="AJ951" s="289">
        <v>0</v>
      </c>
    </row>
    <row r="952" spans="2:36">
      <c r="B952" s="290">
        <v>2111</v>
      </c>
      <c r="C952" s="294">
        <v>107198</v>
      </c>
      <c r="D952" s="290">
        <v>107189</v>
      </c>
      <c r="E952" s="289" t="s">
        <v>2878</v>
      </c>
      <c r="F952" s="290">
        <v>0</v>
      </c>
      <c r="G952" s="289"/>
      <c r="H952" s="289"/>
      <c r="I952" s="289"/>
      <c r="J952" s="289">
        <v>2006</v>
      </c>
      <c r="K952" s="289" t="s">
        <v>2879</v>
      </c>
      <c r="L952" s="289" t="s">
        <v>2879</v>
      </c>
      <c r="M952" s="289" t="s">
        <v>1467</v>
      </c>
      <c r="N952" s="293">
        <v>41183</v>
      </c>
      <c r="O952" s="293">
        <v>41183</v>
      </c>
      <c r="P952" s="289" t="s">
        <v>2880</v>
      </c>
      <c r="Q952" s="290">
        <v>300</v>
      </c>
      <c r="R952" s="290">
        <v>14030</v>
      </c>
      <c r="S952" s="291">
        <v>1938.15</v>
      </c>
      <c r="T952" s="290">
        <v>14036</v>
      </c>
      <c r="U952" s="291">
        <v>1938.15</v>
      </c>
      <c r="V952" s="291">
        <f t="shared" si="14"/>
        <v>0</v>
      </c>
      <c r="W952" s="292">
        <v>0</v>
      </c>
      <c r="X952" s="290">
        <v>51260</v>
      </c>
      <c r="Y952" s="291">
        <v>0</v>
      </c>
      <c r="Z952" s="289" t="s">
        <v>944</v>
      </c>
      <c r="AA952" s="289"/>
      <c r="AB952" s="289" t="s">
        <v>2881</v>
      </c>
      <c r="AC952" s="289"/>
      <c r="AD952" s="289" t="s">
        <v>1446</v>
      </c>
      <c r="AE952" s="289" t="s">
        <v>410</v>
      </c>
      <c r="AF952" s="290" t="s">
        <v>1447</v>
      </c>
      <c r="AG952" s="295">
        <v>41517</v>
      </c>
      <c r="AH952" s="290" t="s">
        <v>1448</v>
      </c>
      <c r="AI952" s="289">
        <v>0</v>
      </c>
      <c r="AJ952" s="289">
        <v>592.21</v>
      </c>
    </row>
    <row r="953" spans="2:36">
      <c r="B953" s="290">
        <v>2111</v>
      </c>
      <c r="C953" s="294">
        <v>107197</v>
      </c>
      <c r="D953" s="290">
        <v>107189</v>
      </c>
      <c r="E953" s="289" t="s">
        <v>2882</v>
      </c>
      <c r="F953" s="290">
        <v>0</v>
      </c>
      <c r="G953" s="289"/>
      <c r="H953" s="289"/>
      <c r="I953" s="289"/>
      <c r="J953" s="289">
        <v>2006</v>
      </c>
      <c r="K953" s="289" t="s">
        <v>2879</v>
      </c>
      <c r="L953" s="289" t="s">
        <v>2879</v>
      </c>
      <c r="M953" s="289" t="s">
        <v>1467</v>
      </c>
      <c r="N953" s="293">
        <v>41183</v>
      </c>
      <c r="O953" s="293">
        <v>41183</v>
      </c>
      <c r="P953" s="289" t="s">
        <v>2880</v>
      </c>
      <c r="Q953" s="290">
        <v>300</v>
      </c>
      <c r="R953" s="290">
        <v>14030</v>
      </c>
      <c r="S953" s="291">
        <v>1938.15</v>
      </c>
      <c r="T953" s="290">
        <v>14036</v>
      </c>
      <c r="U953" s="291">
        <v>1938.15</v>
      </c>
      <c r="V953" s="291">
        <f t="shared" si="14"/>
        <v>0</v>
      </c>
      <c r="W953" s="292">
        <v>0</v>
      </c>
      <c r="X953" s="290">
        <v>51260</v>
      </c>
      <c r="Y953" s="291">
        <v>0</v>
      </c>
      <c r="Z953" s="289" t="s">
        <v>944</v>
      </c>
      <c r="AA953" s="289"/>
      <c r="AB953" s="289" t="s">
        <v>2881</v>
      </c>
      <c r="AC953" s="289"/>
      <c r="AD953" s="289" t="s">
        <v>1446</v>
      </c>
      <c r="AE953" s="289" t="s">
        <v>410</v>
      </c>
      <c r="AF953" s="290" t="s">
        <v>1447</v>
      </c>
      <c r="AG953" s="295">
        <v>41517</v>
      </c>
      <c r="AH953" s="290" t="s">
        <v>1448</v>
      </c>
      <c r="AI953" s="289">
        <v>0</v>
      </c>
      <c r="AJ953" s="289">
        <v>592.21</v>
      </c>
    </row>
    <row r="954" spans="2:36">
      <c r="B954" s="290">
        <v>2111</v>
      </c>
      <c r="C954" s="294">
        <v>107196</v>
      </c>
      <c r="D954" s="290">
        <v>107189</v>
      </c>
      <c r="E954" s="289" t="s">
        <v>2883</v>
      </c>
      <c r="F954" s="290">
        <v>0</v>
      </c>
      <c r="G954" s="289"/>
      <c r="H954" s="289"/>
      <c r="I954" s="289"/>
      <c r="J954" s="289">
        <v>2006</v>
      </c>
      <c r="K954" s="289" t="s">
        <v>2884</v>
      </c>
      <c r="L954" s="289"/>
      <c r="M954" s="289" t="s">
        <v>1467</v>
      </c>
      <c r="N954" s="293">
        <v>41183</v>
      </c>
      <c r="O954" s="293">
        <v>41183</v>
      </c>
      <c r="P954" s="289" t="s">
        <v>2880</v>
      </c>
      <c r="Q954" s="290">
        <v>300</v>
      </c>
      <c r="R954" s="290">
        <v>14030</v>
      </c>
      <c r="S954" s="291">
        <v>1938.15</v>
      </c>
      <c r="T954" s="290">
        <v>14036</v>
      </c>
      <c r="U954" s="291">
        <v>1938.15</v>
      </c>
      <c r="V954" s="291">
        <f t="shared" si="14"/>
        <v>0</v>
      </c>
      <c r="W954" s="292">
        <v>0</v>
      </c>
      <c r="X954" s="290">
        <v>51260</v>
      </c>
      <c r="Y954" s="291">
        <v>0</v>
      </c>
      <c r="Z954" s="289" t="s">
        <v>944</v>
      </c>
      <c r="AA954" s="289"/>
      <c r="AB954" s="289" t="s">
        <v>2881</v>
      </c>
      <c r="AC954" s="289"/>
      <c r="AD954" s="289" t="s">
        <v>1446</v>
      </c>
      <c r="AE954" s="289" t="s">
        <v>410</v>
      </c>
      <c r="AF954" s="290" t="s">
        <v>1447</v>
      </c>
      <c r="AG954" s="295">
        <v>41517</v>
      </c>
      <c r="AH954" s="290" t="s">
        <v>1448</v>
      </c>
      <c r="AI954" s="289">
        <v>0</v>
      </c>
      <c r="AJ954" s="289">
        <v>592.21</v>
      </c>
    </row>
    <row r="955" spans="2:36">
      <c r="B955" s="290">
        <v>2111</v>
      </c>
      <c r="C955" s="294">
        <v>107195</v>
      </c>
      <c r="D955" s="290">
        <v>107189</v>
      </c>
      <c r="E955" s="289" t="s">
        <v>2885</v>
      </c>
      <c r="F955" s="290">
        <v>0</v>
      </c>
      <c r="G955" s="289"/>
      <c r="H955" s="289"/>
      <c r="I955" s="289"/>
      <c r="J955" s="289">
        <v>2006</v>
      </c>
      <c r="K955" s="289" t="s">
        <v>2879</v>
      </c>
      <c r="L955" s="289" t="s">
        <v>2879</v>
      </c>
      <c r="M955" s="289" t="s">
        <v>1467</v>
      </c>
      <c r="N955" s="293">
        <v>41183</v>
      </c>
      <c r="O955" s="293">
        <v>41183</v>
      </c>
      <c r="P955" s="289" t="s">
        <v>2880</v>
      </c>
      <c r="Q955" s="290">
        <v>300</v>
      </c>
      <c r="R955" s="290">
        <v>14030</v>
      </c>
      <c r="S955" s="291">
        <v>1938.15</v>
      </c>
      <c r="T955" s="290">
        <v>14036</v>
      </c>
      <c r="U955" s="291">
        <v>1938.15</v>
      </c>
      <c r="V955" s="291">
        <f t="shared" si="14"/>
        <v>0</v>
      </c>
      <c r="W955" s="292">
        <v>0</v>
      </c>
      <c r="X955" s="290">
        <v>51260</v>
      </c>
      <c r="Y955" s="291">
        <v>0</v>
      </c>
      <c r="Z955" s="289" t="s">
        <v>944</v>
      </c>
      <c r="AA955" s="289"/>
      <c r="AB955" s="289" t="s">
        <v>2881</v>
      </c>
      <c r="AC955" s="289"/>
      <c r="AD955" s="289" t="s">
        <v>1446</v>
      </c>
      <c r="AE955" s="289" t="s">
        <v>410</v>
      </c>
      <c r="AF955" s="290" t="s">
        <v>1447</v>
      </c>
      <c r="AG955" s="295">
        <v>41517</v>
      </c>
      <c r="AH955" s="290" t="s">
        <v>1448</v>
      </c>
      <c r="AI955" s="289">
        <v>0</v>
      </c>
      <c r="AJ955" s="289">
        <v>592.21</v>
      </c>
    </row>
    <row r="956" spans="2:36">
      <c r="B956" s="290">
        <v>2111</v>
      </c>
      <c r="C956" s="294">
        <v>107194</v>
      </c>
      <c r="D956" s="290">
        <v>107189</v>
      </c>
      <c r="E956" s="289" t="s">
        <v>2886</v>
      </c>
      <c r="F956" s="290">
        <v>0</v>
      </c>
      <c r="G956" s="289"/>
      <c r="H956" s="289"/>
      <c r="I956" s="289"/>
      <c r="J956" s="289">
        <v>2006</v>
      </c>
      <c r="K956" s="289" t="s">
        <v>2879</v>
      </c>
      <c r="L956" s="289" t="s">
        <v>2879</v>
      </c>
      <c r="M956" s="289" t="s">
        <v>1467</v>
      </c>
      <c r="N956" s="293">
        <v>41183</v>
      </c>
      <c r="O956" s="293">
        <v>41183</v>
      </c>
      <c r="P956" s="289" t="s">
        <v>2880</v>
      </c>
      <c r="Q956" s="290">
        <v>300</v>
      </c>
      <c r="R956" s="290">
        <v>14030</v>
      </c>
      <c r="S956" s="291">
        <v>3230.25</v>
      </c>
      <c r="T956" s="290">
        <v>14036</v>
      </c>
      <c r="U956" s="291">
        <v>3230.25</v>
      </c>
      <c r="V956" s="291">
        <f t="shared" si="14"/>
        <v>0</v>
      </c>
      <c r="W956" s="292">
        <v>0</v>
      </c>
      <c r="X956" s="290">
        <v>51260</v>
      </c>
      <c r="Y956" s="291">
        <v>0</v>
      </c>
      <c r="Z956" s="289" t="s">
        <v>944</v>
      </c>
      <c r="AA956" s="289"/>
      <c r="AB956" s="289" t="s">
        <v>2881</v>
      </c>
      <c r="AC956" s="289"/>
      <c r="AD956" s="289" t="s">
        <v>1446</v>
      </c>
      <c r="AE956" s="289" t="s">
        <v>410</v>
      </c>
      <c r="AF956" s="290" t="s">
        <v>1447</v>
      </c>
      <c r="AG956" s="295">
        <v>41517</v>
      </c>
      <c r="AH956" s="290" t="s">
        <v>1448</v>
      </c>
      <c r="AI956" s="289">
        <v>0</v>
      </c>
      <c r="AJ956" s="289">
        <v>987.02</v>
      </c>
    </row>
    <row r="957" spans="2:36">
      <c r="B957" s="290">
        <v>2111</v>
      </c>
      <c r="C957" s="294">
        <v>107193</v>
      </c>
      <c r="D957" s="290">
        <v>107189</v>
      </c>
      <c r="E957" s="289" t="s">
        <v>2887</v>
      </c>
      <c r="F957" s="290">
        <v>0</v>
      </c>
      <c r="G957" s="289"/>
      <c r="H957" s="289"/>
      <c r="I957" s="289"/>
      <c r="J957" s="289">
        <v>2006</v>
      </c>
      <c r="K957" s="289" t="s">
        <v>2879</v>
      </c>
      <c r="L957" s="289" t="s">
        <v>2879</v>
      </c>
      <c r="M957" s="289" t="s">
        <v>1467</v>
      </c>
      <c r="N957" s="293">
        <v>41183</v>
      </c>
      <c r="O957" s="293">
        <v>41183</v>
      </c>
      <c r="P957" s="289" t="s">
        <v>2880</v>
      </c>
      <c r="Q957" s="290">
        <v>300</v>
      </c>
      <c r="R957" s="290">
        <v>14030</v>
      </c>
      <c r="S957" s="291">
        <v>3230.25</v>
      </c>
      <c r="T957" s="290">
        <v>14036</v>
      </c>
      <c r="U957" s="291">
        <v>3230.25</v>
      </c>
      <c r="V957" s="291">
        <f t="shared" si="14"/>
        <v>0</v>
      </c>
      <c r="W957" s="292">
        <v>0</v>
      </c>
      <c r="X957" s="290">
        <v>51260</v>
      </c>
      <c r="Y957" s="291">
        <v>0</v>
      </c>
      <c r="Z957" s="289" t="s">
        <v>944</v>
      </c>
      <c r="AA957" s="289"/>
      <c r="AB957" s="289" t="s">
        <v>2881</v>
      </c>
      <c r="AC957" s="289"/>
      <c r="AD957" s="289" t="s">
        <v>1446</v>
      </c>
      <c r="AE957" s="289" t="s">
        <v>410</v>
      </c>
      <c r="AF957" s="290" t="s">
        <v>1447</v>
      </c>
      <c r="AG957" s="295">
        <v>41517</v>
      </c>
      <c r="AH957" s="290" t="s">
        <v>1448</v>
      </c>
      <c r="AI957" s="289">
        <v>0</v>
      </c>
      <c r="AJ957" s="289">
        <v>987.02</v>
      </c>
    </row>
    <row r="958" spans="2:36">
      <c r="B958" s="290">
        <v>2111</v>
      </c>
      <c r="C958" s="294">
        <v>107192</v>
      </c>
      <c r="D958" s="290">
        <v>107189</v>
      </c>
      <c r="E958" s="289" t="s">
        <v>2888</v>
      </c>
      <c r="F958" s="290">
        <v>0</v>
      </c>
      <c r="G958" s="289"/>
      <c r="H958" s="289"/>
      <c r="I958" s="289"/>
      <c r="J958" s="289">
        <v>2006</v>
      </c>
      <c r="K958" s="289" t="s">
        <v>2879</v>
      </c>
      <c r="L958" s="289" t="s">
        <v>2879</v>
      </c>
      <c r="M958" s="289" t="s">
        <v>1467</v>
      </c>
      <c r="N958" s="293">
        <v>41183</v>
      </c>
      <c r="O958" s="293">
        <v>41183</v>
      </c>
      <c r="P958" s="289" t="s">
        <v>2880</v>
      </c>
      <c r="Q958" s="290">
        <v>300</v>
      </c>
      <c r="R958" s="290">
        <v>14030</v>
      </c>
      <c r="S958" s="291">
        <v>2584.1999999999998</v>
      </c>
      <c r="T958" s="290">
        <v>14036</v>
      </c>
      <c r="U958" s="291">
        <v>2584.1999999999998</v>
      </c>
      <c r="V958" s="291">
        <f t="shared" si="14"/>
        <v>0</v>
      </c>
      <c r="W958" s="292">
        <v>0</v>
      </c>
      <c r="X958" s="290">
        <v>51260</v>
      </c>
      <c r="Y958" s="291">
        <v>0</v>
      </c>
      <c r="Z958" s="289" t="s">
        <v>944</v>
      </c>
      <c r="AA958" s="289"/>
      <c r="AB958" s="289" t="s">
        <v>2881</v>
      </c>
      <c r="AC958" s="289"/>
      <c r="AD958" s="289" t="s">
        <v>1446</v>
      </c>
      <c r="AE958" s="289" t="s">
        <v>410</v>
      </c>
      <c r="AF958" s="290" t="s">
        <v>1447</v>
      </c>
      <c r="AG958" s="295">
        <v>41517</v>
      </c>
      <c r="AH958" s="290" t="s">
        <v>1448</v>
      </c>
      <c r="AI958" s="289">
        <v>0</v>
      </c>
      <c r="AJ958" s="289">
        <v>789.62</v>
      </c>
    </row>
    <row r="959" spans="2:36">
      <c r="B959" s="290">
        <v>2111</v>
      </c>
      <c r="C959" s="294">
        <v>107191</v>
      </c>
      <c r="D959" s="290">
        <v>107189</v>
      </c>
      <c r="E959" s="289" t="s">
        <v>2889</v>
      </c>
      <c r="F959" s="290">
        <v>0</v>
      </c>
      <c r="G959" s="289"/>
      <c r="H959" s="289"/>
      <c r="I959" s="289"/>
      <c r="J959" s="289">
        <v>2006</v>
      </c>
      <c r="K959" s="289" t="s">
        <v>2879</v>
      </c>
      <c r="L959" s="289" t="s">
        <v>2879</v>
      </c>
      <c r="M959" s="289" t="s">
        <v>1467</v>
      </c>
      <c r="N959" s="293">
        <v>41183</v>
      </c>
      <c r="O959" s="293">
        <v>41183</v>
      </c>
      <c r="P959" s="289" t="s">
        <v>2880</v>
      </c>
      <c r="Q959" s="290">
        <v>300</v>
      </c>
      <c r="R959" s="290">
        <v>14030</v>
      </c>
      <c r="S959" s="291">
        <v>5168.3999999999996</v>
      </c>
      <c r="T959" s="290">
        <v>14036</v>
      </c>
      <c r="U959" s="291">
        <v>5168.3999999999996</v>
      </c>
      <c r="V959" s="291">
        <f t="shared" si="14"/>
        <v>0</v>
      </c>
      <c r="W959" s="292">
        <v>0</v>
      </c>
      <c r="X959" s="290">
        <v>51260</v>
      </c>
      <c r="Y959" s="291">
        <v>0</v>
      </c>
      <c r="Z959" s="289" t="s">
        <v>944</v>
      </c>
      <c r="AA959" s="289"/>
      <c r="AB959" s="289" t="s">
        <v>2881</v>
      </c>
      <c r="AC959" s="289"/>
      <c r="AD959" s="289" t="s">
        <v>1446</v>
      </c>
      <c r="AE959" s="289" t="s">
        <v>410</v>
      </c>
      <c r="AF959" s="290" t="s">
        <v>1447</v>
      </c>
      <c r="AG959" s="295">
        <v>41517</v>
      </c>
      <c r="AH959" s="290" t="s">
        <v>1448</v>
      </c>
      <c r="AI959" s="289">
        <v>0</v>
      </c>
      <c r="AJ959" s="289">
        <v>1579.23</v>
      </c>
    </row>
    <row r="960" spans="2:36">
      <c r="B960" s="290">
        <v>2111</v>
      </c>
      <c r="C960" s="294">
        <v>107190</v>
      </c>
      <c r="D960" s="290">
        <v>107189</v>
      </c>
      <c r="E960" s="289" t="s">
        <v>2890</v>
      </c>
      <c r="F960" s="290">
        <v>0</v>
      </c>
      <c r="G960" s="289"/>
      <c r="H960" s="289"/>
      <c r="I960" s="289"/>
      <c r="J960" s="289">
        <v>2006</v>
      </c>
      <c r="K960" s="289" t="s">
        <v>2879</v>
      </c>
      <c r="L960" s="289" t="s">
        <v>2879</v>
      </c>
      <c r="M960" s="289" t="s">
        <v>1467</v>
      </c>
      <c r="N960" s="293">
        <v>41183</v>
      </c>
      <c r="O960" s="293">
        <v>41183</v>
      </c>
      <c r="P960" s="289" t="s">
        <v>2880</v>
      </c>
      <c r="Q960" s="290">
        <v>300</v>
      </c>
      <c r="R960" s="290">
        <v>14030</v>
      </c>
      <c r="S960" s="291">
        <v>7752.6</v>
      </c>
      <c r="T960" s="290">
        <v>14036</v>
      </c>
      <c r="U960" s="291">
        <v>7752.6</v>
      </c>
      <c r="V960" s="291">
        <f t="shared" si="14"/>
        <v>0</v>
      </c>
      <c r="W960" s="292">
        <v>0</v>
      </c>
      <c r="X960" s="290">
        <v>51260</v>
      </c>
      <c r="Y960" s="291">
        <v>0</v>
      </c>
      <c r="Z960" s="289" t="s">
        <v>944</v>
      </c>
      <c r="AA960" s="289"/>
      <c r="AB960" s="289" t="s">
        <v>2881</v>
      </c>
      <c r="AC960" s="289"/>
      <c r="AD960" s="289" t="s">
        <v>1446</v>
      </c>
      <c r="AE960" s="289" t="s">
        <v>410</v>
      </c>
      <c r="AF960" s="290" t="s">
        <v>1447</v>
      </c>
      <c r="AG960" s="295">
        <v>41517</v>
      </c>
      <c r="AH960" s="290" t="s">
        <v>1448</v>
      </c>
      <c r="AI960" s="289">
        <v>0</v>
      </c>
      <c r="AJ960" s="289">
        <v>2368.85</v>
      </c>
    </row>
    <row r="961" spans="2:36">
      <c r="B961" s="290">
        <v>2111</v>
      </c>
      <c r="C961" s="294">
        <v>107188</v>
      </c>
      <c r="D961" s="290" t="s">
        <v>944</v>
      </c>
      <c r="E961" s="289" t="s">
        <v>283</v>
      </c>
      <c r="F961" s="290">
        <v>0</v>
      </c>
      <c r="G961" s="289"/>
      <c r="H961" s="289"/>
      <c r="I961" s="289"/>
      <c r="J961" s="289">
        <v>0</v>
      </c>
      <c r="K961" s="289" t="s">
        <v>1657</v>
      </c>
      <c r="L961" s="289"/>
      <c r="M961" s="289"/>
      <c r="N961" s="293">
        <v>41105</v>
      </c>
      <c r="O961" s="293">
        <v>41105</v>
      </c>
      <c r="P961" s="289" t="s">
        <v>2891</v>
      </c>
      <c r="Q961" s="290">
        <v>300</v>
      </c>
      <c r="R961" s="290">
        <v>14110</v>
      </c>
      <c r="S961" s="291">
        <v>649.16999999999996</v>
      </c>
      <c r="T961" s="290">
        <v>14116</v>
      </c>
      <c r="U961" s="291">
        <v>649.16999999999996</v>
      </c>
      <c r="V961" s="291">
        <f t="shared" si="14"/>
        <v>0</v>
      </c>
      <c r="W961" s="292">
        <v>0</v>
      </c>
      <c r="X961" s="290">
        <v>70260</v>
      </c>
      <c r="Y961" s="291">
        <v>0</v>
      </c>
      <c r="Z961" s="289" t="s">
        <v>944</v>
      </c>
      <c r="AA961" s="289"/>
      <c r="AB961" s="289" t="s">
        <v>2892</v>
      </c>
      <c r="AC961" s="289"/>
      <c r="AD961" s="289" t="s">
        <v>1446</v>
      </c>
      <c r="AE961" s="289" t="s">
        <v>410</v>
      </c>
      <c r="AF961" s="290" t="s">
        <v>1447</v>
      </c>
      <c r="AG961" s="295">
        <v>41517</v>
      </c>
      <c r="AH961" s="290" t="s">
        <v>1448</v>
      </c>
      <c r="AI961" s="289">
        <v>0</v>
      </c>
      <c r="AJ961" s="289">
        <v>252.46</v>
      </c>
    </row>
    <row r="962" spans="2:36">
      <c r="B962" s="290">
        <v>2111</v>
      </c>
      <c r="C962" s="294">
        <v>107187</v>
      </c>
      <c r="D962" s="290" t="s">
        <v>944</v>
      </c>
      <c r="E962" s="289" t="s">
        <v>282</v>
      </c>
      <c r="F962" s="290">
        <v>0</v>
      </c>
      <c r="G962" s="289"/>
      <c r="H962" s="289"/>
      <c r="I962" s="289"/>
      <c r="J962" s="289">
        <v>0</v>
      </c>
      <c r="K962" s="289" t="s">
        <v>2893</v>
      </c>
      <c r="L962" s="289"/>
      <c r="M962" s="289"/>
      <c r="N962" s="293">
        <v>40933</v>
      </c>
      <c r="O962" s="293">
        <v>40933</v>
      </c>
      <c r="P962" s="289" t="s">
        <v>2894</v>
      </c>
      <c r="Q962" s="290">
        <v>500</v>
      </c>
      <c r="R962" s="290">
        <v>14110</v>
      </c>
      <c r="S962" s="291">
        <v>564.44000000000005</v>
      </c>
      <c r="T962" s="290">
        <v>14116</v>
      </c>
      <c r="U962" s="291">
        <v>564.44000000000005</v>
      </c>
      <c r="V962" s="291">
        <f t="shared" si="14"/>
        <v>0</v>
      </c>
      <c r="W962" s="292">
        <v>0</v>
      </c>
      <c r="X962" s="290">
        <v>70260</v>
      </c>
      <c r="Y962" s="291">
        <v>0</v>
      </c>
      <c r="Z962" s="289" t="s">
        <v>944</v>
      </c>
      <c r="AA962" s="289"/>
      <c r="AB962" s="289" t="s">
        <v>2895</v>
      </c>
      <c r="AC962" s="289"/>
      <c r="AD962" s="289" t="s">
        <v>1446</v>
      </c>
      <c r="AE962" s="289" t="s">
        <v>410</v>
      </c>
      <c r="AF962" s="290" t="s">
        <v>1447</v>
      </c>
      <c r="AG962" s="295">
        <v>41517</v>
      </c>
      <c r="AH962" s="290" t="s">
        <v>1448</v>
      </c>
      <c r="AI962" s="289">
        <v>0</v>
      </c>
      <c r="AJ962" s="289">
        <v>178.74</v>
      </c>
    </row>
    <row r="963" spans="2:36">
      <c r="B963" s="290">
        <v>2111</v>
      </c>
      <c r="C963" s="294">
        <v>107185</v>
      </c>
      <c r="D963" s="290" t="s">
        <v>944</v>
      </c>
      <c r="E963" s="289" t="s">
        <v>2896</v>
      </c>
      <c r="F963" s="290">
        <v>0</v>
      </c>
      <c r="G963" s="289"/>
      <c r="H963" s="289" t="s">
        <v>2897</v>
      </c>
      <c r="I963" s="289"/>
      <c r="J963" s="289">
        <v>2011</v>
      </c>
      <c r="K963" s="289" t="s">
        <v>2879</v>
      </c>
      <c r="L963" s="289" t="s">
        <v>2879</v>
      </c>
      <c r="M963" s="289" t="s">
        <v>2898</v>
      </c>
      <c r="N963" s="293">
        <v>40798</v>
      </c>
      <c r="O963" s="293">
        <v>40798</v>
      </c>
      <c r="P963" s="289" t="s">
        <v>2899</v>
      </c>
      <c r="Q963" s="290">
        <v>900</v>
      </c>
      <c r="R963" s="290">
        <v>14030</v>
      </c>
      <c r="S963" s="291">
        <v>42435.72</v>
      </c>
      <c r="T963" s="290">
        <v>14036</v>
      </c>
      <c r="U963" s="291">
        <v>42435.72</v>
      </c>
      <c r="V963" s="291">
        <f t="shared" si="14"/>
        <v>0</v>
      </c>
      <c r="W963" s="292">
        <v>0</v>
      </c>
      <c r="X963" s="290">
        <v>51260</v>
      </c>
      <c r="Y963" s="291">
        <v>0</v>
      </c>
      <c r="Z963" s="289" t="s">
        <v>944</v>
      </c>
      <c r="AA963" s="289"/>
      <c r="AB963" s="289" t="s">
        <v>2900</v>
      </c>
      <c r="AC963" s="289" t="s">
        <v>2901</v>
      </c>
      <c r="AD963" s="289" t="s">
        <v>1446</v>
      </c>
      <c r="AE963" s="289" t="s">
        <v>410</v>
      </c>
      <c r="AF963" s="290" t="s">
        <v>1447</v>
      </c>
      <c r="AG963" s="295">
        <v>41517</v>
      </c>
      <c r="AH963" s="290" t="s">
        <v>1448</v>
      </c>
      <c r="AI963" s="289">
        <v>0</v>
      </c>
      <c r="AJ963" s="289">
        <v>9430.16</v>
      </c>
    </row>
    <row r="964" spans="2:36">
      <c r="B964" s="290">
        <v>2111</v>
      </c>
      <c r="C964" s="294">
        <v>107184</v>
      </c>
      <c r="D964" s="290" t="s">
        <v>944</v>
      </c>
      <c r="E964" s="289" t="s">
        <v>2902</v>
      </c>
      <c r="F964" s="290">
        <v>0</v>
      </c>
      <c r="G964" s="289"/>
      <c r="H964" s="289"/>
      <c r="I964" s="289"/>
      <c r="J964" s="289">
        <v>0</v>
      </c>
      <c r="K964" s="289" t="s">
        <v>2903</v>
      </c>
      <c r="L964" s="289"/>
      <c r="M964" s="289"/>
      <c r="N964" s="293">
        <v>40610</v>
      </c>
      <c r="O964" s="293">
        <v>40610</v>
      </c>
      <c r="P964" s="289" t="s">
        <v>2904</v>
      </c>
      <c r="Q964" s="290">
        <v>500</v>
      </c>
      <c r="R964" s="290">
        <v>14070</v>
      </c>
      <c r="S964" s="291">
        <v>7596.35</v>
      </c>
      <c r="T964" s="290">
        <v>14076</v>
      </c>
      <c r="U964" s="291">
        <v>7596.35</v>
      </c>
      <c r="V964" s="291">
        <f t="shared" si="14"/>
        <v>0</v>
      </c>
      <c r="W964" s="292">
        <v>0</v>
      </c>
      <c r="X964" s="290">
        <v>51260</v>
      </c>
      <c r="Y964" s="291">
        <v>0</v>
      </c>
      <c r="Z964" s="289" t="s">
        <v>944</v>
      </c>
      <c r="AA964" s="289"/>
      <c r="AB964" s="289" t="s">
        <v>2905</v>
      </c>
      <c r="AC964" s="289"/>
      <c r="AD964" s="289" t="s">
        <v>1446</v>
      </c>
      <c r="AE964" s="289" t="s">
        <v>410</v>
      </c>
      <c r="AF964" s="290" t="s">
        <v>1447</v>
      </c>
      <c r="AG964" s="295">
        <v>41517</v>
      </c>
      <c r="AH964" s="290" t="s">
        <v>1448</v>
      </c>
      <c r="AI964" s="289">
        <v>0</v>
      </c>
      <c r="AJ964" s="289">
        <v>3798.18</v>
      </c>
    </row>
    <row r="965" spans="2:36">
      <c r="B965" s="290">
        <v>2111</v>
      </c>
      <c r="C965" s="294">
        <v>107183</v>
      </c>
      <c r="D965" s="290">
        <v>80691</v>
      </c>
      <c r="E965" s="289" t="s">
        <v>2906</v>
      </c>
      <c r="F965" s="290">
        <v>0</v>
      </c>
      <c r="G965" s="289"/>
      <c r="H965" s="289"/>
      <c r="I965" s="289"/>
      <c r="J965" s="289">
        <v>0</v>
      </c>
      <c r="K965" s="289" t="s">
        <v>2907</v>
      </c>
      <c r="L965" s="289"/>
      <c r="M965" s="289"/>
      <c r="N965" s="293">
        <v>40610</v>
      </c>
      <c r="O965" s="293">
        <v>40610</v>
      </c>
      <c r="P965" s="289" t="s">
        <v>2904</v>
      </c>
      <c r="Q965" s="290">
        <v>500</v>
      </c>
      <c r="R965" s="290">
        <v>14070</v>
      </c>
      <c r="S965" s="291">
        <v>1505.44</v>
      </c>
      <c r="T965" s="290">
        <v>14076</v>
      </c>
      <c r="U965" s="291">
        <v>1505.44</v>
      </c>
      <c r="V965" s="291">
        <f t="shared" si="14"/>
        <v>0</v>
      </c>
      <c r="W965" s="292">
        <v>0</v>
      </c>
      <c r="X965" s="290">
        <v>51260</v>
      </c>
      <c r="Y965" s="291">
        <v>0</v>
      </c>
      <c r="Z965" s="289" t="s">
        <v>944</v>
      </c>
      <c r="AA965" s="289"/>
      <c r="AB965" s="289">
        <v>40892498</v>
      </c>
      <c r="AC965" s="289"/>
      <c r="AD965" s="289" t="s">
        <v>1446</v>
      </c>
      <c r="AE965" s="289" t="s">
        <v>410</v>
      </c>
      <c r="AF965" s="290" t="s">
        <v>1447</v>
      </c>
      <c r="AG965" s="295">
        <v>41517</v>
      </c>
      <c r="AH965" s="290" t="s">
        <v>1448</v>
      </c>
      <c r="AI965" s="289">
        <v>0</v>
      </c>
      <c r="AJ965" s="289">
        <v>752.73</v>
      </c>
    </row>
    <row r="966" spans="2:36">
      <c r="B966" s="290">
        <v>2111</v>
      </c>
      <c r="C966" s="294">
        <v>107182</v>
      </c>
      <c r="D966" s="290">
        <v>80691</v>
      </c>
      <c r="E966" s="289" t="s">
        <v>2906</v>
      </c>
      <c r="F966" s="290">
        <v>0</v>
      </c>
      <c r="G966" s="289"/>
      <c r="H966" s="289"/>
      <c r="I966" s="289"/>
      <c r="J966" s="289">
        <v>0</v>
      </c>
      <c r="K966" s="289" t="s">
        <v>2908</v>
      </c>
      <c r="L966" s="289"/>
      <c r="M966" s="289"/>
      <c r="N966" s="293">
        <v>40610</v>
      </c>
      <c r="O966" s="293">
        <v>40610</v>
      </c>
      <c r="P966" s="289" t="s">
        <v>2904</v>
      </c>
      <c r="Q966" s="290">
        <v>500</v>
      </c>
      <c r="R966" s="290">
        <v>14070</v>
      </c>
      <c r="S966" s="291">
        <v>736.79</v>
      </c>
      <c r="T966" s="290">
        <v>14076</v>
      </c>
      <c r="U966" s="291">
        <v>736.79</v>
      </c>
      <c r="V966" s="291">
        <f t="shared" si="14"/>
        <v>0</v>
      </c>
      <c r="W966" s="292">
        <v>0</v>
      </c>
      <c r="X966" s="290">
        <v>51260</v>
      </c>
      <c r="Y966" s="291">
        <v>0</v>
      </c>
      <c r="Z966" s="289" t="s">
        <v>944</v>
      </c>
      <c r="AA966" s="289"/>
      <c r="AB966" s="289" t="s">
        <v>2909</v>
      </c>
      <c r="AC966" s="289"/>
      <c r="AD966" s="289" t="s">
        <v>1446</v>
      </c>
      <c r="AE966" s="289" t="s">
        <v>410</v>
      </c>
      <c r="AF966" s="290" t="s">
        <v>1447</v>
      </c>
      <c r="AG966" s="295">
        <v>41517</v>
      </c>
      <c r="AH966" s="290" t="s">
        <v>1448</v>
      </c>
      <c r="AI966" s="289">
        <v>0</v>
      </c>
      <c r="AJ966" s="289">
        <v>368.4</v>
      </c>
    </row>
    <row r="967" spans="2:36">
      <c r="B967" s="290">
        <v>2111</v>
      </c>
      <c r="C967" s="294">
        <v>107181</v>
      </c>
      <c r="D967" s="290" t="s">
        <v>944</v>
      </c>
      <c r="E967" s="289" t="s">
        <v>2910</v>
      </c>
      <c r="F967" s="290">
        <v>0</v>
      </c>
      <c r="G967" s="289"/>
      <c r="H967" s="289"/>
      <c r="I967" s="289"/>
      <c r="J967" s="289">
        <v>0</v>
      </c>
      <c r="K967" s="289" t="s">
        <v>2911</v>
      </c>
      <c r="L967" s="289"/>
      <c r="M967" s="289"/>
      <c r="N967" s="293">
        <v>40543</v>
      </c>
      <c r="O967" s="293">
        <v>40543</v>
      </c>
      <c r="P967" s="289" t="s">
        <v>2912</v>
      </c>
      <c r="Q967" s="290">
        <v>500</v>
      </c>
      <c r="R967" s="290">
        <v>14070</v>
      </c>
      <c r="S967" s="291">
        <v>4645.25</v>
      </c>
      <c r="T967" s="290">
        <v>14076</v>
      </c>
      <c r="U967" s="291">
        <v>4645.25</v>
      </c>
      <c r="V967" s="291">
        <f t="shared" si="14"/>
        <v>0</v>
      </c>
      <c r="W967" s="292">
        <v>0</v>
      </c>
      <c r="X967" s="290">
        <v>51260</v>
      </c>
      <c r="Y967" s="291">
        <v>0</v>
      </c>
      <c r="Z967" s="289" t="s">
        <v>944</v>
      </c>
      <c r="AA967" s="289"/>
      <c r="AB967" s="289" t="s">
        <v>2913</v>
      </c>
      <c r="AC967" s="289"/>
      <c r="AD967" s="289" t="s">
        <v>1446</v>
      </c>
      <c r="AE967" s="289" t="s">
        <v>410</v>
      </c>
      <c r="AF967" s="290" t="s">
        <v>1447</v>
      </c>
      <c r="AG967" s="295">
        <v>41517</v>
      </c>
      <c r="AH967" s="290" t="s">
        <v>1448</v>
      </c>
      <c r="AI967" s="289">
        <v>0</v>
      </c>
      <c r="AJ967" s="289">
        <v>2477.4699999999998</v>
      </c>
    </row>
    <row r="968" spans="2:36">
      <c r="B968" s="290">
        <v>2111</v>
      </c>
      <c r="C968" s="294">
        <v>107171</v>
      </c>
      <c r="D968" s="290">
        <v>74664</v>
      </c>
      <c r="E968" s="289" t="s">
        <v>2914</v>
      </c>
      <c r="F968" s="290">
        <v>0</v>
      </c>
      <c r="G968" s="289"/>
      <c r="H968" s="289"/>
      <c r="I968" s="289"/>
      <c r="J968" s="289">
        <v>0</v>
      </c>
      <c r="K968" s="289"/>
      <c r="L968" s="289"/>
      <c r="M968" s="289" t="s">
        <v>1467</v>
      </c>
      <c r="N968" s="293">
        <v>38518</v>
      </c>
      <c r="O968" s="293">
        <v>38518</v>
      </c>
      <c r="P968" s="289" t="s">
        <v>2466</v>
      </c>
      <c r="Q968" s="290">
        <v>300</v>
      </c>
      <c r="R968" s="290">
        <v>14040</v>
      </c>
      <c r="S968" s="291">
        <v>1215.48</v>
      </c>
      <c r="T968" s="290">
        <v>14046</v>
      </c>
      <c r="U968" s="291">
        <v>1215.48</v>
      </c>
      <c r="V968" s="291">
        <f t="shared" si="14"/>
        <v>0</v>
      </c>
      <c r="W968" s="292">
        <v>0</v>
      </c>
      <c r="X968" s="290">
        <v>51260</v>
      </c>
      <c r="Y968" s="291">
        <v>0</v>
      </c>
      <c r="Z968" s="289" t="s">
        <v>944</v>
      </c>
      <c r="AA968" s="289">
        <v>0</v>
      </c>
      <c r="AB968" s="289" t="s">
        <v>2915</v>
      </c>
      <c r="AC968" s="289"/>
      <c r="AD968" s="289" t="s">
        <v>1446</v>
      </c>
      <c r="AE968" s="289" t="s">
        <v>410</v>
      </c>
      <c r="AF968" s="290" t="s">
        <v>1447</v>
      </c>
      <c r="AG968" s="295">
        <v>41517</v>
      </c>
      <c r="AH968" s="290" t="s">
        <v>1448</v>
      </c>
      <c r="AI968" s="289">
        <v>0</v>
      </c>
      <c r="AJ968" s="289">
        <v>1215.48</v>
      </c>
    </row>
    <row r="969" spans="2:36">
      <c r="B969" s="290">
        <v>2111</v>
      </c>
      <c r="C969" s="294">
        <v>107170</v>
      </c>
      <c r="D969" s="290" t="s">
        <v>944</v>
      </c>
      <c r="E969" s="289" t="s">
        <v>2916</v>
      </c>
      <c r="F969" s="290">
        <v>0</v>
      </c>
      <c r="G969" s="289"/>
      <c r="H969" s="289" t="s">
        <v>2917</v>
      </c>
      <c r="I969" s="289"/>
      <c r="J969" s="289">
        <v>1999</v>
      </c>
      <c r="K969" s="289" t="s">
        <v>2918</v>
      </c>
      <c r="L969" s="289" t="s">
        <v>2214</v>
      </c>
      <c r="M969" s="289" t="s">
        <v>2021</v>
      </c>
      <c r="N969" s="293">
        <v>37155</v>
      </c>
      <c r="O969" s="293">
        <v>37155</v>
      </c>
      <c r="P969" s="289" t="s">
        <v>2919</v>
      </c>
      <c r="Q969" s="290">
        <v>400</v>
      </c>
      <c r="R969" s="290">
        <v>14040</v>
      </c>
      <c r="S969" s="291">
        <v>15005.87</v>
      </c>
      <c r="T969" s="290">
        <v>14046</v>
      </c>
      <c r="U969" s="291">
        <v>15005.87</v>
      </c>
      <c r="V969" s="291">
        <f t="shared" si="14"/>
        <v>0</v>
      </c>
      <c r="W969" s="292">
        <v>0</v>
      </c>
      <c r="X969" s="290">
        <v>51260</v>
      </c>
      <c r="Y969" s="291">
        <v>0</v>
      </c>
      <c r="Z969" s="289" t="s">
        <v>944</v>
      </c>
      <c r="AA969" s="289"/>
      <c r="AB969" s="289"/>
      <c r="AC969" s="289">
        <v>14</v>
      </c>
      <c r="AD969" s="289" t="s">
        <v>1446</v>
      </c>
      <c r="AE969" s="289" t="s">
        <v>410</v>
      </c>
      <c r="AF969" s="290" t="s">
        <v>1447</v>
      </c>
      <c r="AG969" s="295">
        <v>41517</v>
      </c>
      <c r="AH969" s="290" t="s">
        <v>1448</v>
      </c>
      <c r="AI969" s="289">
        <v>0</v>
      </c>
      <c r="AJ969" s="289">
        <v>15005.87</v>
      </c>
    </row>
    <row r="970" spans="2:36">
      <c r="B970" s="290">
        <v>2111</v>
      </c>
      <c r="C970" s="294">
        <v>107169</v>
      </c>
      <c r="D970" s="290" t="s">
        <v>944</v>
      </c>
      <c r="E970" s="289" t="s">
        <v>2920</v>
      </c>
      <c r="F970" s="290">
        <v>0</v>
      </c>
      <c r="G970" s="289"/>
      <c r="H970" s="289" t="s">
        <v>2921</v>
      </c>
      <c r="I970" s="289"/>
      <c r="J970" s="289">
        <v>2008</v>
      </c>
      <c r="K970" s="289" t="s">
        <v>2922</v>
      </c>
      <c r="L970" s="289"/>
      <c r="M970" s="289" t="s">
        <v>1546</v>
      </c>
      <c r="N970" s="293">
        <v>40190</v>
      </c>
      <c r="O970" s="293">
        <v>40190</v>
      </c>
      <c r="P970" s="289" t="s">
        <v>2923</v>
      </c>
      <c r="Q970" s="290">
        <v>800</v>
      </c>
      <c r="R970" s="290">
        <v>14030</v>
      </c>
      <c r="S970" s="291">
        <v>25084.35</v>
      </c>
      <c r="T970" s="290">
        <v>14036</v>
      </c>
      <c r="U970" s="291">
        <v>25084.35</v>
      </c>
      <c r="V970" s="291">
        <f t="shared" si="14"/>
        <v>0</v>
      </c>
      <c r="W970" s="292">
        <v>0</v>
      </c>
      <c r="X970" s="290">
        <v>51260</v>
      </c>
      <c r="Y970" s="291">
        <v>0</v>
      </c>
      <c r="Z970" s="289" t="s">
        <v>944</v>
      </c>
      <c r="AA970" s="289"/>
      <c r="AB970" s="289" t="s">
        <v>2924</v>
      </c>
      <c r="AC970" s="289" t="s">
        <v>2925</v>
      </c>
      <c r="AD970" s="289" t="s">
        <v>1446</v>
      </c>
      <c r="AE970" s="289" t="s">
        <v>410</v>
      </c>
      <c r="AF970" s="290" t="s">
        <v>1447</v>
      </c>
      <c r="AG970" s="295">
        <v>41517</v>
      </c>
      <c r="AH970" s="290" t="s">
        <v>1448</v>
      </c>
      <c r="AI970" s="289">
        <v>0</v>
      </c>
      <c r="AJ970" s="289">
        <v>11496.98</v>
      </c>
    </row>
    <row r="971" spans="2:36">
      <c r="B971" s="290">
        <v>2111</v>
      </c>
      <c r="C971" s="294">
        <v>107168</v>
      </c>
      <c r="D971" s="290" t="s">
        <v>944</v>
      </c>
      <c r="E971" s="289" t="s">
        <v>2926</v>
      </c>
      <c r="F971" s="290">
        <v>0</v>
      </c>
      <c r="G971" s="289"/>
      <c r="H971" s="289" t="s">
        <v>2927</v>
      </c>
      <c r="I971" s="289"/>
      <c r="J971" s="289">
        <v>2009</v>
      </c>
      <c r="K971" s="289" t="s">
        <v>2928</v>
      </c>
      <c r="L971" s="289"/>
      <c r="M971" s="289" t="s">
        <v>1546</v>
      </c>
      <c r="N971" s="293">
        <v>40065</v>
      </c>
      <c r="O971" s="293">
        <v>40065</v>
      </c>
      <c r="P971" s="289" t="s">
        <v>2929</v>
      </c>
      <c r="Q971" s="290">
        <v>1000</v>
      </c>
      <c r="R971" s="290">
        <v>14030</v>
      </c>
      <c r="S971" s="291">
        <v>23991.35</v>
      </c>
      <c r="T971" s="290">
        <v>14036</v>
      </c>
      <c r="U971" s="291">
        <v>23991.35</v>
      </c>
      <c r="V971" s="291">
        <f t="shared" si="14"/>
        <v>0</v>
      </c>
      <c r="W971" s="292">
        <v>0</v>
      </c>
      <c r="X971" s="290">
        <v>51260</v>
      </c>
      <c r="Y971" s="291">
        <v>0</v>
      </c>
      <c r="Z971" s="289" t="s">
        <v>944</v>
      </c>
      <c r="AA971" s="289"/>
      <c r="AB971" s="289" t="s">
        <v>2930</v>
      </c>
      <c r="AC971" s="289" t="s">
        <v>2931</v>
      </c>
      <c r="AD971" s="289" t="s">
        <v>1446</v>
      </c>
      <c r="AE971" s="289" t="s">
        <v>410</v>
      </c>
      <c r="AF971" s="290" t="s">
        <v>1447</v>
      </c>
      <c r="AG971" s="295">
        <v>41517</v>
      </c>
      <c r="AH971" s="290" t="s">
        <v>1448</v>
      </c>
      <c r="AI971" s="289">
        <v>0</v>
      </c>
      <c r="AJ971" s="289">
        <v>9596.56</v>
      </c>
    </row>
    <row r="972" spans="2:36">
      <c r="B972" s="290">
        <v>2111</v>
      </c>
      <c r="C972" s="294">
        <v>107167</v>
      </c>
      <c r="D972" s="290">
        <v>57325</v>
      </c>
      <c r="E972" s="289" t="s">
        <v>2932</v>
      </c>
      <c r="F972" s="290">
        <v>0</v>
      </c>
      <c r="G972" s="289"/>
      <c r="H972" s="289"/>
      <c r="I972" s="289"/>
      <c r="J972" s="289">
        <v>0</v>
      </c>
      <c r="K972" s="289" t="s">
        <v>2333</v>
      </c>
      <c r="L972" s="289"/>
      <c r="M972" s="289"/>
      <c r="N972" s="293">
        <v>39599</v>
      </c>
      <c r="O972" s="293">
        <v>39599</v>
      </c>
      <c r="P972" s="289" t="s">
        <v>2401</v>
      </c>
      <c r="Q972" s="290">
        <v>500</v>
      </c>
      <c r="R972" s="290">
        <v>14070</v>
      </c>
      <c r="S972" s="291">
        <v>545.42999999999995</v>
      </c>
      <c r="T972" s="290">
        <v>14076</v>
      </c>
      <c r="U972" s="291">
        <v>545.42999999999995</v>
      </c>
      <c r="V972" s="291">
        <f t="shared" si="14"/>
        <v>0</v>
      </c>
      <c r="W972" s="292">
        <v>0</v>
      </c>
      <c r="X972" s="290">
        <v>51260</v>
      </c>
      <c r="Y972" s="291">
        <v>0</v>
      </c>
      <c r="Z972" s="289" t="s">
        <v>944</v>
      </c>
      <c r="AA972" s="289"/>
      <c r="AB972" s="289" t="s">
        <v>2402</v>
      </c>
      <c r="AC972" s="289"/>
      <c r="AD972" s="289" t="s">
        <v>1446</v>
      </c>
      <c r="AE972" s="289" t="s">
        <v>410</v>
      </c>
      <c r="AF972" s="290" t="s">
        <v>1447</v>
      </c>
      <c r="AG972" s="295">
        <v>41517</v>
      </c>
      <c r="AH972" s="290" t="s">
        <v>1448</v>
      </c>
      <c r="AI972" s="289">
        <v>0</v>
      </c>
      <c r="AJ972" s="289">
        <v>545.42999999999995</v>
      </c>
    </row>
    <row r="973" spans="2:36">
      <c r="B973" s="290">
        <v>2111</v>
      </c>
      <c r="C973" s="294">
        <v>107165</v>
      </c>
      <c r="D973" s="290" t="s">
        <v>944</v>
      </c>
      <c r="E973" s="289" t="s">
        <v>2933</v>
      </c>
      <c r="F973" s="290">
        <v>0</v>
      </c>
      <c r="G973" s="289"/>
      <c r="H973" s="289">
        <v>0</v>
      </c>
      <c r="I973" s="289"/>
      <c r="J973" s="289">
        <v>0</v>
      </c>
      <c r="K973" s="289" t="s">
        <v>2934</v>
      </c>
      <c r="L973" s="289"/>
      <c r="M973" s="289"/>
      <c r="N973" s="293">
        <v>38807</v>
      </c>
      <c r="O973" s="293">
        <v>38807</v>
      </c>
      <c r="P973" s="289" t="s">
        <v>2935</v>
      </c>
      <c r="Q973" s="290">
        <v>500</v>
      </c>
      <c r="R973" s="290">
        <v>14070</v>
      </c>
      <c r="S973" s="291">
        <v>3088.83</v>
      </c>
      <c r="T973" s="290">
        <v>14076</v>
      </c>
      <c r="U973" s="291">
        <v>3088.83</v>
      </c>
      <c r="V973" s="291">
        <f t="shared" si="14"/>
        <v>0</v>
      </c>
      <c r="W973" s="292">
        <v>0</v>
      </c>
      <c r="X973" s="290">
        <v>51260</v>
      </c>
      <c r="Y973" s="291">
        <v>0</v>
      </c>
      <c r="Z973" s="289" t="s">
        <v>944</v>
      </c>
      <c r="AA973" s="289"/>
      <c r="AB973" s="289">
        <v>267431</v>
      </c>
      <c r="AC973" s="289"/>
      <c r="AD973" s="289" t="s">
        <v>1446</v>
      </c>
      <c r="AE973" s="289" t="s">
        <v>410</v>
      </c>
      <c r="AF973" s="290" t="s">
        <v>1447</v>
      </c>
      <c r="AG973" s="295">
        <v>41517</v>
      </c>
      <c r="AH973" s="290" t="s">
        <v>1448</v>
      </c>
      <c r="AI973" s="289">
        <v>0</v>
      </c>
      <c r="AJ973" s="289">
        <v>3088.83</v>
      </c>
    </row>
    <row r="974" spans="2:36">
      <c r="B974" s="290">
        <v>2111</v>
      </c>
      <c r="C974" s="294">
        <v>107163</v>
      </c>
      <c r="D974" s="290" t="s">
        <v>944</v>
      </c>
      <c r="E974" s="289" t="s">
        <v>2936</v>
      </c>
      <c r="F974" s="290">
        <v>0</v>
      </c>
      <c r="G974" s="289"/>
      <c r="H974" s="289" t="s">
        <v>2937</v>
      </c>
      <c r="I974" s="289"/>
      <c r="J974" s="289">
        <v>1996</v>
      </c>
      <c r="K974" s="289" t="s">
        <v>2578</v>
      </c>
      <c r="L974" s="289" t="s">
        <v>2214</v>
      </c>
      <c r="M974" s="289" t="s">
        <v>2938</v>
      </c>
      <c r="N974" s="293">
        <v>35298</v>
      </c>
      <c r="O974" s="293">
        <v>35298</v>
      </c>
      <c r="P974" s="289"/>
      <c r="Q974" s="290">
        <v>1000</v>
      </c>
      <c r="R974" s="290">
        <v>14040</v>
      </c>
      <c r="S974" s="291">
        <v>29045.200000000001</v>
      </c>
      <c r="T974" s="290">
        <v>14046</v>
      </c>
      <c r="U974" s="291">
        <v>29045.200000000001</v>
      </c>
      <c r="V974" s="291">
        <f t="shared" ref="V974:V1037" si="15">S974-U974</f>
        <v>0</v>
      </c>
      <c r="W974" s="292">
        <v>0</v>
      </c>
      <c r="X974" s="290">
        <v>51260</v>
      </c>
      <c r="Y974" s="291">
        <v>0</v>
      </c>
      <c r="Z974" s="289" t="s">
        <v>410</v>
      </c>
      <c r="AA974" s="289" t="s">
        <v>2939</v>
      </c>
      <c r="AB974" s="289"/>
      <c r="AC974" s="289" t="s">
        <v>2940</v>
      </c>
      <c r="AD974" s="289" t="s">
        <v>1446</v>
      </c>
      <c r="AE974" s="289" t="s">
        <v>410</v>
      </c>
      <c r="AF974" s="290" t="s">
        <v>1447</v>
      </c>
      <c r="AG974" s="295">
        <v>41517</v>
      </c>
      <c r="AH974" s="290" t="s">
        <v>1448</v>
      </c>
      <c r="AI974" s="289">
        <v>0</v>
      </c>
      <c r="AJ974" s="289">
        <v>29045.200000000001</v>
      </c>
    </row>
    <row r="975" spans="2:36">
      <c r="B975" s="290">
        <v>2111</v>
      </c>
      <c r="C975" s="294">
        <v>107162</v>
      </c>
      <c r="D975" s="290" t="s">
        <v>944</v>
      </c>
      <c r="E975" s="289" t="s">
        <v>2941</v>
      </c>
      <c r="F975" s="290">
        <v>0</v>
      </c>
      <c r="G975" s="289"/>
      <c r="H975" s="289" t="s">
        <v>2942</v>
      </c>
      <c r="I975" s="289"/>
      <c r="J975" s="289">
        <v>0</v>
      </c>
      <c r="K975" s="289" t="s">
        <v>2550</v>
      </c>
      <c r="L975" s="289"/>
      <c r="M975" s="289"/>
      <c r="N975" s="293">
        <v>38076</v>
      </c>
      <c r="O975" s="293">
        <v>38076</v>
      </c>
      <c r="P975" s="289" t="s">
        <v>2943</v>
      </c>
      <c r="Q975" s="290">
        <v>300</v>
      </c>
      <c r="R975" s="290">
        <v>14110</v>
      </c>
      <c r="S975" s="291">
        <v>658.47</v>
      </c>
      <c r="T975" s="290">
        <v>14116</v>
      </c>
      <c r="U975" s="291">
        <v>658.47</v>
      </c>
      <c r="V975" s="291">
        <f t="shared" si="15"/>
        <v>0</v>
      </c>
      <c r="W975" s="292">
        <v>0</v>
      </c>
      <c r="X975" s="290">
        <v>70260</v>
      </c>
      <c r="Y975" s="291">
        <v>0</v>
      </c>
      <c r="Z975" s="289" t="s">
        <v>944</v>
      </c>
      <c r="AA975" s="289">
        <v>0</v>
      </c>
      <c r="AB975" s="289">
        <v>319106</v>
      </c>
      <c r="AC975" s="289"/>
      <c r="AD975" s="289" t="s">
        <v>1446</v>
      </c>
      <c r="AE975" s="289" t="s">
        <v>410</v>
      </c>
      <c r="AF975" s="290" t="s">
        <v>1447</v>
      </c>
      <c r="AG975" s="295">
        <v>41517</v>
      </c>
      <c r="AH975" s="290" t="s">
        <v>1448</v>
      </c>
      <c r="AI975" s="289">
        <v>0</v>
      </c>
      <c r="AJ975" s="289">
        <v>658.47</v>
      </c>
    </row>
    <row r="976" spans="2:36">
      <c r="B976" s="290">
        <v>2111</v>
      </c>
      <c r="C976" s="294">
        <v>107161</v>
      </c>
      <c r="D976" s="290" t="s">
        <v>944</v>
      </c>
      <c r="E976" s="289" t="s">
        <v>2941</v>
      </c>
      <c r="F976" s="290">
        <v>0</v>
      </c>
      <c r="G976" s="289"/>
      <c r="H976" s="289" t="s">
        <v>2942</v>
      </c>
      <c r="I976" s="289"/>
      <c r="J976" s="289">
        <v>0</v>
      </c>
      <c r="K976" s="289" t="s">
        <v>2550</v>
      </c>
      <c r="L976" s="289"/>
      <c r="M976" s="289"/>
      <c r="N976" s="293">
        <v>38076</v>
      </c>
      <c r="O976" s="293">
        <v>38076</v>
      </c>
      <c r="P976" s="289" t="s">
        <v>2943</v>
      </c>
      <c r="Q976" s="290">
        <v>300</v>
      </c>
      <c r="R976" s="290">
        <v>14110</v>
      </c>
      <c r="S976" s="291">
        <v>817</v>
      </c>
      <c r="T976" s="290">
        <v>14116</v>
      </c>
      <c r="U976" s="291">
        <v>817</v>
      </c>
      <c r="V976" s="291">
        <f t="shared" si="15"/>
        <v>0</v>
      </c>
      <c r="W976" s="292">
        <v>0</v>
      </c>
      <c r="X976" s="290">
        <v>70260</v>
      </c>
      <c r="Y976" s="291">
        <v>0</v>
      </c>
      <c r="Z976" s="289" t="s">
        <v>944</v>
      </c>
      <c r="AA976" s="289">
        <v>0</v>
      </c>
      <c r="AB976" s="289">
        <v>319105</v>
      </c>
      <c r="AC976" s="289"/>
      <c r="AD976" s="289" t="s">
        <v>1446</v>
      </c>
      <c r="AE976" s="289" t="s">
        <v>410</v>
      </c>
      <c r="AF976" s="290" t="s">
        <v>1447</v>
      </c>
      <c r="AG976" s="295">
        <v>41517</v>
      </c>
      <c r="AH976" s="290" t="s">
        <v>1448</v>
      </c>
      <c r="AI976" s="289">
        <v>0</v>
      </c>
      <c r="AJ976" s="289">
        <v>817</v>
      </c>
    </row>
    <row r="977" spans="2:36">
      <c r="B977" s="290">
        <v>2111</v>
      </c>
      <c r="C977" s="294">
        <v>107160</v>
      </c>
      <c r="D977" s="290" t="s">
        <v>944</v>
      </c>
      <c r="E977" s="289" t="s">
        <v>2944</v>
      </c>
      <c r="F977" s="290">
        <v>0</v>
      </c>
      <c r="G977" s="289"/>
      <c r="H977" s="289"/>
      <c r="I977" s="289"/>
      <c r="J977" s="289">
        <v>0</v>
      </c>
      <c r="K977" s="289" t="s">
        <v>2945</v>
      </c>
      <c r="L977" s="289"/>
      <c r="M977" s="289"/>
      <c r="N977" s="293">
        <v>37741</v>
      </c>
      <c r="O977" s="293">
        <v>37741</v>
      </c>
      <c r="P977" s="289" t="s">
        <v>2946</v>
      </c>
      <c r="Q977" s="290">
        <v>300</v>
      </c>
      <c r="R977" s="290">
        <v>14100</v>
      </c>
      <c r="S977" s="291">
        <v>2165</v>
      </c>
      <c r="T977" s="290">
        <v>14106</v>
      </c>
      <c r="U977" s="291">
        <v>2165</v>
      </c>
      <c r="V977" s="291">
        <f t="shared" si="15"/>
        <v>0</v>
      </c>
      <c r="W977" s="292">
        <v>0</v>
      </c>
      <c r="X977" s="290">
        <v>70260</v>
      </c>
      <c r="Y977" s="291">
        <v>0</v>
      </c>
      <c r="Z977" s="289" t="s">
        <v>944</v>
      </c>
      <c r="AA977" s="289"/>
      <c r="AB977" s="289" t="s">
        <v>2947</v>
      </c>
      <c r="AC977" s="289"/>
      <c r="AD977" s="289" t="s">
        <v>1446</v>
      </c>
      <c r="AE977" s="289" t="s">
        <v>410</v>
      </c>
      <c r="AF977" s="290" t="s">
        <v>1447</v>
      </c>
      <c r="AG977" s="295">
        <v>41517</v>
      </c>
      <c r="AH977" s="290" t="s">
        <v>1448</v>
      </c>
      <c r="AI977" s="289">
        <v>0</v>
      </c>
      <c r="AJ977" s="289">
        <v>2165</v>
      </c>
    </row>
    <row r="978" spans="2:36">
      <c r="B978" s="290">
        <v>2111</v>
      </c>
      <c r="C978" s="294">
        <v>107159</v>
      </c>
      <c r="D978" s="290" t="s">
        <v>944</v>
      </c>
      <c r="E978" s="289" t="s">
        <v>2948</v>
      </c>
      <c r="F978" s="290">
        <v>0</v>
      </c>
      <c r="G978" s="289"/>
      <c r="H978" s="289" t="s">
        <v>2949</v>
      </c>
      <c r="I978" s="289"/>
      <c r="J978" s="289">
        <v>1995</v>
      </c>
      <c r="K978" s="289" t="s">
        <v>2578</v>
      </c>
      <c r="L978" s="289" t="s">
        <v>2214</v>
      </c>
      <c r="M978" s="289" t="s">
        <v>2662</v>
      </c>
      <c r="N978" s="293">
        <v>37741</v>
      </c>
      <c r="O978" s="293">
        <v>37741</v>
      </c>
      <c r="P978" s="289" t="s">
        <v>2950</v>
      </c>
      <c r="Q978" s="290">
        <v>700</v>
      </c>
      <c r="R978" s="290">
        <v>14030</v>
      </c>
      <c r="S978" s="291">
        <v>24969.599999999999</v>
      </c>
      <c r="T978" s="290">
        <v>14036</v>
      </c>
      <c r="U978" s="291">
        <v>24969.599999999999</v>
      </c>
      <c r="V978" s="291">
        <f t="shared" si="15"/>
        <v>0</v>
      </c>
      <c r="W978" s="292">
        <v>0</v>
      </c>
      <c r="X978" s="290">
        <v>51260</v>
      </c>
      <c r="Y978" s="291">
        <v>0</v>
      </c>
      <c r="Z978" s="289" t="s">
        <v>944</v>
      </c>
      <c r="AA978" s="289"/>
      <c r="AB978" s="289">
        <v>28651</v>
      </c>
      <c r="AC978" s="289" t="s">
        <v>2951</v>
      </c>
      <c r="AD978" s="289" t="s">
        <v>1446</v>
      </c>
      <c r="AE978" s="289" t="s">
        <v>410</v>
      </c>
      <c r="AF978" s="290" t="s">
        <v>1447</v>
      </c>
      <c r="AG978" s="295">
        <v>41517</v>
      </c>
      <c r="AH978" s="290" t="s">
        <v>1448</v>
      </c>
      <c r="AI978" s="289">
        <v>0</v>
      </c>
      <c r="AJ978" s="289">
        <v>24969.599999999999</v>
      </c>
    </row>
    <row r="979" spans="2:36">
      <c r="B979" s="290">
        <v>2111</v>
      </c>
      <c r="C979" s="294">
        <v>107157</v>
      </c>
      <c r="D979" s="290" t="s">
        <v>944</v>
      </c>
      <c r="E979" s="289" t="s">
        <v>2952</v>
      </c>
      <c r="F979" s="290">
        <v>0</v>
      </c>
      <c r="G979" s="289"/>
      <c r="H979" s="289" t="s">
        <v>2953</v>
      </c>
      <c r="I979" s="289"/>
      <c r="J979" s="289">
        <v>0</v>
      </c>
      <c r="K979" s="289" t="s">
        <v>2954</v>
      </c>
      <c r="L979" s="289"/>
      <c r="M979" s="289"/>
      <c r="N979" s="293">
        <v>36566</v>
      </c>
      <c r="O979" s="293">
        <v>36566</v>
      </c>
      <c r="P979" s="289" t="s">
        <v>2955</v>
      </c>
      <c r="Q979" s="290">
        <v>500</v>
      </c>
      <c r="R979" s="290">
        <v>14110</v>
      </c>
      <c r="S979" s="291">
        <v>466.52</v>
      </c>
      <c r="T979" s="290">
        <v>14116</v>
      </c>
      <c r="U979" s="291">
        <v>466.52</v>
      </c>
      <c r="V979" s="291">
        <f t="shared" si="15"/>
        <v>0</v>
      </c>
      <c r="W979" s="292">
        <v>0</v>
      </c>
      <c r="X979" s="290">
        <v>70260</v>
      </c>
      <c r="Y979" s="291">
        <v>0</v>
      </c>
      <c r="Z979" s="289" t="s">
        <v>944</v>
      </c>
      <c r="AA979" s="289"/>
      <c r="AB979" s="289"/>
      <c r="AC979" s="289"/>
      <c r="AD979" s="289" t="s">
        <v>1446</v>
      </c>
      <c r="AE979" s="289" t="s">
        <v>410</v>
      </c>
      <c r="AF979" s="290" t="s">
        <v>1447</v>
      </c>
      <c r="AG979" s="295">
        <v>41517</v>
      </c>
      <c r="AH979" s="290" t="s">
        <v>1448</v>
      </c>
      <c r="AI979" s="289">
        <v>0</v>
      </c>
      <c r="AJ979" s="289">
        <v>466.52</v>
      </c>
    </row>
    <row r="980" spans="2:36">
      <c r="B980" s="290">
        <v>2111</v>
      </c>
      <c r="C980" s="294">
        <v>107018</v>
      </c>
      <c r="D980" s="290">
        <v>107016</v>
      </c>
      <c r="E980" s="289" t="s">
        <v>2956</v>
      </c>
      <c r="F980" s="290">
        <v>0</v>
      </c>
      <c r="G980" s="289"/>
      <c r="H980" s="289"/>
      <c r="I980" s="289"/>
      <c r="J980" s="289">
        <v>0</v>
      </c>
      <c r="K980" s="289"/>
      <c r="L980" s="289"/>
      <c r="M980" s="289" t="s">
        <v>1467</v>
      </c>
      <c r="N980" s="293">
        <v>39882</v>
      </c>
      <c r="O980" s="293">
        <v>39882</v>
      </c>
      <c r="P980" s="289" t="s">
        <v>2957</v>
      </c>
      <c r="Q980" s="290">
        <v>300</v>
      </c>
      <c r="R980" s="290">
        <v>14040</v>
      </c>
      <c r="S980" s="291">
        <v>13401.78</v>
      </c>
      <c r="T980" s="290">
        <v>14046</v>
      </c>
      <c r="U980" s="291">
        <v>13401.78</v>
      </c>
      <c r="V980" s="291">
        <f t="shared" si="15"/>
        <v>0</v>
      </c>
      <c r="W980" s="292">
        <v>0</v>
      </c>
      <c r="X980" s="290">
        <v>51260</v>
      </c>
      <c r="Y980" s="291">
        <v>0</v>
      </c>
      <c r="Z980" s="289" t="s">
        <v>944</v>
      </c>
      <c r="AA980" s="289"/>
      <c r="AB980" s="289">
        <v>23523</v>
      </c>
      <c r="AC980" s="289"/>
      <c r="AD980" s="289" t="s">
        <v>1446</v>
      </c>
      <c r="AE980" s="289" t="s">
        <v>410</v>
      </c>
      <c r="AF980" s="290" t="s">
        <v>1447</v>
      </c>
      <c r="AG980" s="295">
        <v>41517</v>
      </c>
      <c r="AH980" s="290" t="s">
        <v>1448</v>
      </c>
      <c r="AI980" s="289">
        <v>0</v>
      </c>
      <c r="AJ980" s="289">
        <v>13401.78</v>
      </c>
    </row>
    <row r="981" spans="2:36">
      <c r="B981" s="290">
        <v>2111</v>
      </c>
      <c r="C981" s="294">
        <v>107017</v>
      </c>
      <c r="D981" s="290">
        <v>107016</v>
      </c>
      <c r="E981" s="289" t="s">
        <v>2958</v>
      </c>
      <c r="F981" s="290">
        <v>0</v>
      </c>
      <c r="G981" s="289"/>
      <c r="H981" s="289"/>
      <c r="I981" s="289"/>
      <c r="J981" s="289">
        <v>0</v>
      </c>
      <c r="K981" s="289"/>
      <c r="L981" s="289"/>
      <c r="M981" s="289" t="s">
        <v>1467</v>
      </c>
      <c r="N981" s="293">
        <v>39882</v>
      </c>
      <c r="O981" s="293">
        <v>39882</v>
      </c>
      <c r="P981" s="289" t="s">
        <v>2957</v>
      </c>
      <c r="Q981" s="290">
        <v>300</v>
      </c>
      <c r="R981" s="290">
        <v>14040</v>
      </c>
      <c r="S981" s="291">
        <v>7500</v>
      </c>
      <c r="T981" s="290">
        <v>14046</v>
      </c>
      <c r="U981" s="291">
        <v>7500</v>
      </c>
      <c r="V981" s="291">
        <f t="shared" si="15"/>
        <v>0</v>
      </c>
      <c r="W981" s="292">
        <v>0</v>
      </c>
      <c r="X981" s="290">
        <v>51260</v>
      </c>
      <c r="Y981" s="291">
        <v>0</v>
      </c>
      <c r="Z981" s="289" t="s">
        <v>944</v>
      </c>
      <c r="AA981" s="289"/>
      <c r="AB981" s="289">
        <v>230</v>
      </c>
      <c r="AC981" s="289"/>
      <c r="AD981" s="289" t="s">
        <v>1446</v>
      </c>
      <c r="AE981" s="289" t="s">
        <v>410</v>
      </c>
      <c r="AF981" s="290" t="s">
        <v>1447</v>
      </c>
      <c r="AG981" s="295">
        <v>41517</v>
      </c>
      <c r="AH981" s="290" t="s">
        <v>1448</v>
      </c>
      <c r="AI981" s="289">
        <v>0</v>
      </c>
      <c r="AJ981" s="289">
        <v>7500</v>
      </c>
    </row>
    <row r="982" spans="2:36">
      <c r="B982" s="290">
        <v>2111</v>
      </c>
      <c r="C982" s="294">
        <v>107016</v>
      </c>
      <c r="D982" s="290" t="s">
        <v>944</v>
      </c>
      <c r="E982" s="289" t="s">
        <v>2959</v>
      </c>
      <c r="F982" s="290">
        <v>0</v>
      </c>
      <c r="G982" s="289"/>
      <c r="H982" s="289" t="s">
        <v>2960</v>
      </c>
      <c r="I982" s="289"/>
      <c r="J982" s="289">
        <v>2003</v>
      </c>
      <c r="K982" s="289" t="s">
        <v>2961</v>
      </c>
      <c r="L982" s="289" t="s">
        <v>2214</v>
      </c>
      <c r="M982" s="289" t="s">
        <v>1575</v>
      </c>
      <c r="N982" s="293">
        <v>37881</v>
      </c>
      <c r="O982" s="293">
        <v>37881</v>
      </c>
      <c r="P982" s="289"/>
      <c r="Q982" s="290">
        <v>700</v>
      </c>
      <c r="R982" s="290">
        <v>14040</v>
      </c>
      <c r="S982" s="291">
        <v>40000</v>
      </c>
      <c r="T982" s="290">
        <v>14046</v>
      </c>
      <c r="U982" s="291">
        <v>40000</v>
      </c>
      <c r="V982" s="291">
        <f t="shared" si="15"/>
        <v>0</v>
      </c>
      <c r="W982" s="292">
        <v>0</v>
      </c>
      <c r="X982" s="290">
        <v>51260</v>
      </c>
      <c r="Y982" s="291">
        <v>0</v>
      </c>
      <c r="Z982" s="289" t="s">
        <v>410</v>
      </c>
      <c r="AA982" s="289" t="s">
        <v>2962</v>
      </c>
      <c r="AB982" s="289"/>
      <c r="AC982" s="289" t="s">
        <v>354</v>
      </c>
      <c r="AD982" s="289" t="s">
        <v>1446</v>
      </c>
      <c r="AE982" s="289" t="s">
        <v>410</v>
      </c>
      <c r="AF982" s="290" t="s">
        <v>1447</v>
      </c>
      <c r="AG982" s="295">
        <v>41517</v>
      </c>
      <c r="AH982" s="290" t="s">
        <v>1448</v>
      </c>
      <c r="AI982" s="289">
        <v>0</v>
      </c>
      <c r="AJ982" s="289">
        <v>40000</v>
      </c>
    </row>
    <row r="983" spans="2:36">
      <c r="B983" s="290">
        <v>2111</v>
      </c>
      <c r="C983" s="294">
        <v>107015</v>
      </c>
      <c r="D983" s="290">
        <v>107013</v>
      </c>
      <c r="E983" s="289" t="s">
        <v>2963</v>
      </c>
      <c r="F983" s="290">
        <v>0</v>
      </c>
      <c r="G983" s="289"/>
      <c r="H983" s="289"/>
      <c r="I983" s="289"/>
      <c r="J983" s="289">
        <v>0</v>
      </c>
      <c r="K983" s="289"/>
      <c r="L983" s="289"/>
      <c r="M983" s="289" t="s">
        <v>1467</v>
      </c>
      <c r="N983" s="293">
        <v>39975</v>
      </c>
      <c r="O983" s="293">
        <v>39975</v>
      </c>
      <c r="P983" s="289" t="s">
        <v>2964</v>
      </c>
      <c r="Q983" s="290">
        <v>300</v>
      </c>
      <c r="R983" s="290">
        <v>14040</v>
      </c>
      <c r="S983" s="291">
        <v>13520.5</v>
      </c>
      <c r="T983" s="290">
        <v>14046</v>
      </c>
      <c r="U983" s="291">
        <v>13520.5</v>
      </c>
      <c r="V983" s="291">
        <f t="shared" si="15"/>
        <v>0</v>
      </c>
      <c r="W983" s="292">
        <v>0</v>
      </c>
      <c r="X983" s="290">
        <v>51260</v>
      </c>
      <c r="Y983" s="291">
        <v>0</v>
      </c>
      <c r="Z983" s="289" t="s">
        <v>944</v>
      </c>
      <c r="AA983" s="289"/>
      <c r="AB983" s="289">
        <v>23665</v>
      </c>
      <c r="AC983" s="289"/>
      <c r="AD983" s="289" t="s">
        <v>1446</v>
      </c>
      <c r="AE983" s="289" t="s">
        <v>410</v>
      </c>
      <c r="AF983" s="290" t="s">
        <v>1447</v>
      </c>
      <c r="AG983" s="295">
        <v>41517</v>
      </c>
      <c r="AH983" s="290" t="s">
        <v>1448</v>
      </c>
      <c r="AI983" s="289">
        <v>0</v>
      </c>
      <c r="AJ983" s="289">
        <v>13520.5</v>
      </c>
    </row>
    <row r="984" spans="2:36">
      <c r="B984" s="290">
        <v>2111</v>
      </c>
      <c r="C984" s="294">
        <v>107014</v>
      </c>
      <c r="D984" s="290">
        <v>107013</v>
      </c>
      <c r="E984" s="289" t="s">
        <v>2965</v>
      </c>
      <c r="F984" s="290">
        <v>0</v>
      </c>
      <c r="G984" s="289"/>
      <c r="H984" s="289"/>
      <c r="I984" s="289"/>
      <c r="J984" s="289">
        <v>0</v>
      </c>
      <c r="K984" s="289"/>
      <c r="L984" s="289"/>
      <c r="M984" s="289" t="s">
        <v>1467</v>
      </c>
      <c r="N984" s="293">
        <v>39975</v>
      </c>
      <c r="O984" s="293">
        <v>39975</v>
      </c>
      <c r="P984" s="289" t="s">
        <v>2964</v>
      </c>
      <c r="Q984" s="290">
        <v>300</v>
      </c>
      <c r="R984" s="290">
        <v>14040</v>
      </c>
      <c r="S984" s="291">
        <v>7500</v>
      </c>
      <c r="T984" s="290">
        <v>14046</v>
      </c>
      <c r="U984" s="291">
        <v>7500</v>
      </c>
      <c r="V984" s="291">
        <f t="shared" si="15"/>
        <v>0</v>
      </c>
      <c r="W984" s="292">
        <v>0</v>
      </c>
      <c r="X984" s="290">
        <v>51260</v>
      </c>
      <c r="Y984" s="291">
        <v>0</v>
      </c>
      <c r="Z984" s="289" t="s">
        <v>944</v>
      </c>
      <c r="AA984" s="289"/>
      <c r="AB984" s="289">
        <v>289</v>
      </c>
      <c r="AC984" s="289"/>
      <c r="AD984" s="289" t="s">
        <v>1446</v>
      </c>
      <c r="AE984" s="289" t="s">
        <v>410</v>
      </c>
      <c r="AF984" s="290" t="s">
        <v>1447</v>
      </c>
      <c r="AG984" s="295">
        <v>41517</v>
      </c>
      <c r="AH984" s="290" t="s">
        <v>1448</v>
      </c>
      <c r="AI984" s="289">
        <v>0</v>
      </c>
      <c r="AJ984" s="289">
        <v>7500</v>
      </c>
    </row>
    <row r="985" spans="2:36">
      <c r="B985" s="290">
        <v>2111</v>
      </c>
      <c r="C985" s="294">
        <v>107013</v>
      </c>
      <c r="D985" s="290" t="s">
        <v>944</v>
      </c>
      <c r="E985" s="289" t="s">
        <v>2959</v>
      </c>
      <c r="F985" s="290">
        <v>0</v>
      </c>
      <c r="G985" s="289"/>
      <c r="H985" s="289" t="s">
        <v>2966</v>
      </c>
      <c r="I985" s="289"/>
      <c r="J985" s="289">
        <v>2003</v>
      </c>
      <c r="K985" s="289" t="s">
        <v>2961</v>
      </c>
      <c r="L985" s="289" t="s">
        <v>2214</v>
      </c>
      <c r="M985" s="289" t="s">
        <v>1575</v>
      </c>
      <c r="N985" s="293">
        <v>37881</v>
      </c>
      <c r="O985" s="293">
        <v>37881</v>
      </c>
      <c r="P985" s="289"/>
      <c r="Q985" s="290">
        <v>700</v>
      </c>
      <c r="R985" s="290">
        <v>14040</v>
      </c>
      <c r="S985" s="291">
        <v>40000</v>
      </c>
      <c r="T985" s="290">
        <v>14046</v>
      </c>
      <c r="U985" s="291">
        <v>40000</v>
      </c>
      <c r="V985" s="291">
        <f t="shared" si="15"/>
        <v>0</v>
      </c>
      <c r="W985" s="292">
        <v>0</v>
      </c>
      <c r="X985" s="290">
        <v>51260</v>
      </c>
      <c r="Y985" s="291">
        <v>0</v>
      </c>
      <c r="Z985" s="289" t="s">
        <v>410</v>
      </c>
      <c r="AA985" s="289" t="s">
        <v>2962</v>
      </c>
      <c r="AB985" s="289"/>
      <c r="AC985" s="289" t="s">
        <v>353</v>
      </c>
      <c r="AD985" s="289" t="s">
        <v>1446</v>
      </c>
      <c r="AE985" s="289" t="s">
        <v>410</v>
      </c>
      <c r="AF985" s="290" t="s">
        <v>1447</v>
      </c>
      <c r="AG985" s="295">
        <v>41517</v>
      </c>
      <c r="AH985" s="290" t="s">
        <v>1448</v>
      </c>
      <c r="AI985" s="289">
        <v>0</v>
      </c>
      <c r="AJ985" s="289">
        <v>40000</v>
      </c>
    </row>
    <row r="986" spans="2:36">
      <c r="B986" s="290">
        <v>2111</v>
      </c>
      <c r="C986" s="294">
        <v>107012</v>
      </c>
      <c r="D986" s="290">
        <v>107009</v>
      </c>
      <c r="E986" s="289" t="s">
        <v>2967</v>
      </c>
      <c r="F986" s="290">
        <v>0</v>
      </c>
      <c r="G986" s="289"/>
      <c r="H986" s="289"/>
      <c r="I986" s="289"/>
      <c r="J986" s="289">
        <v>0</v>
      </c>
      <c r="K986" s="289" t="s">
        <v>2968</v>
      </c>
      <c r="L986" s="289"/>
      <c r="M986" s="289" t="s">
        <v>1467</v>
      </c>
      <c r="N986" s="293">
        <v>40532</v>
      </c>
      <c r="O986" s="293">
        <v>40532</v>
      </c>
      <c r="P986" s="289" t="s">
        <v>2969</v>
      </c>
      <c r="Q986" s="290">
        <v>300</v>
      </c>
      <c r="R986" s="290">
        <v>14040</v>
      </c>
      <c r="S986" s="291">
        <v>13314.76</v>
      </c>
      <c r="T986" s="290">
        <v>14046</v>
      </c>
      <c r="U986" s="291">
        <v>13314.76</v>
      </c>
      <c r="V986" s="291">
        <f t="shared" si="15"/>
        <v>0</v>
      </c>
      <c r="W986" s="292">
        <v>0</v>
      </c>
      <c r="X986" s="290">
        <v>51260</v>
      </c>
      <c r="Y986" s="291">
        <v>0</v>
      </c>
      <c r="Z986" s="289" t="s">
        <v>944</v>
      </c>
      <c r="AA986" s="289"/>
      <c r="AB986" s="289">
        <v>24941</v>
      </c>
      <c r="AC986" s="289"/>
      <c r="AD986" s="289" t="s">
        <v>1446</v>
      </c>
      <c r="AE986" s="289" t="s">
        <v>410</v>
      </c>
      <c r="AF986" s="290" t="s">
        <v>1447</v>
      </c>
      <c r="AG986" s="295">
        <v>41517</v>
      </c>
      <c r="AH986" s="290" t="s">
        <v>1448</v>
      </c>
      <c r="AI986" s="289">
        <v>0</v>
      </c>
      <c r="AJ986" s="289">
        <v>11835.34</v>
      </c>
    </row>
    <row r="987" spans="2:36">
      <c r="B987" s="290">
        <v>2111</v>
      </c>
      <c r="C987" s="294">
        <v>107011</v>
      </c>
      <c r="D987" s="290">
        <v>107009</v>
      </c>
      <c r="E987" s="289" t="s">
        <v>2970</v>
      </c>
      <c r="F987" s="290">
        <v>0</v>
      </c>
      <c r="G987" s="289"/>
      <c r="H987" s="289"/>
      <c r="I987" s="289"/>
      <c r="J987" s="289">
        <v>0</v>
      </c>
      <c r="K987" s="289" t="s">
        <v>2971</v>
      </c>
      <c r="L987" s="289"/>
      <c r="M987" s="289" t="s">
        <v>1467</v>
      </c>
      <c r="N987" s="293">
        <v>40532</v>
      </c>
      <c r="O987" s="293">
        <v>40532</v>
      </c>
      <c r="P987" s="289" t="s">
        <v>2969</v>
      </c>
      <c r="Q987" s="290">
        <v>300</v>
      </c>
      <c r="R987" s="290">
        <v>14040</v>
      </c>
      <c r="S987" s="291">
        <v>7500</v>
      </c>
      <c r="T987" s="290">
        <v>14046</v>
      </c>
      <c r="U987" s="291">
        <v>7500</v>
      </c>
      <c r="V987" s="291">
        <f t="shared" si="15"/>
        <v>0</v>
      </c>
      <c r="W987" s="292">
        <v>0</v>
      </c>
      <c r="X987" s="290">
        <v>51260</v>
      </c>
      <c r="Y987" s="291">
        <v>0</v>
      </c>
      <c r="Z987" s="289" t="s">
        <v>944</v>
      </c>
      <c r="AA987" s="289"/>
      <c r="AB987" s="289">
        <v>702</v>
      </c>
      <c r="AC987" s="289"/>
      <c r="AD987" s="289" t="s">
        <v>1446</v>
      </c>
      <c r="AE987" s="289" t="s">
        <v>410</v>
      </c>
      <c r="AF987" s="290" t="s">
        <v>1447</v>
      </c>
      <c r="AG987" s="295">
        <v>41517</v>
      </c>
      <c r="AH987" s="290" t="s">
        <v>1448</v>
      </c>
      <c r="AI987" s="289">
        <v>0</v>
      </c>
      <c r="AJ987" s="289">
        <v>6666.67</v>
      </c>
    </row>
    <row r="988" spans="2:36">
      <c r="B988" s="290">
        <v>2111</v>
      </c>
      <c r="C988" s="294">
        <v>107010</v>
      </c>
      <c r="D988" s="290">
        <v>107009</v>
      </c>
      <c r="E988" s="289" t="s">
        <v>2972</v>
      </c>
      <c r="F988" s="290">
        <v>0</v>
      </c>
      <c r="G988" s="289"/>
      <c r="H988" s="289"/>
      <c r="I988" s="289"/>
      <c r="J988" s="289">
        <v>0</v>
      </c>
      <c r="K988" s="289" t="s">
        <v>2971</v>
      </c>
      <c r="L988" s="289"/>
      <c r="M988" s="289" t="s">
        <v>1467</v>
      </c>
      <c r="N988" s="293">
        <v>40574</v>
      </c>
      <c r="O988" s="293">
        <v>40574</v>
      </c>
      <c r="P988" s="289" t="s">
        <v>2973</v>
      </c>
      <c r="Q988" s="290">
        <v>300</v>
      </c>
      <c r="R988" s="290">
        <v>14040</v>
      </c>
      <c r="S988" s="291">
        <v>13289.72</v>
      </c>
      <c r="T988" s="290">
        <v>14046</v>
      </c>
      <c r="U988" s="291">
        <v>13289.72</v>
      </c>
      <c r="V988" s="291">
        <f t="shared" si="15"/>
        <v>0</v>
      </c>
      <c r="W988" s="292">
        <v>0</v>
      </c>
      <c r="X988" s="290">
        <v>51260</v>
      </c>
      <c r="Y988" s="291">
        <v>0</v>
      </c>
      <c r="Z988" s="289" t="s">
        <v>944</v>
      </c>
      <c r="AA988" s="289"/>
      <c r="AB988" s="289">
        <v>720</v>
      </c>
      <c r="AC988" s="289"/>
      <c r="AD988" s="289" t="s">
        <v>1446</v>
      </c>
      <c r="AE988" s="289" t="s">
        <v>410</v>
      </c>
      <c r="AF988" s="290" t="s">
        <v>1447</v>
      </c>
      <c r="AG988" s="295">
        <v>41517</v>
      </c>
      <c r="AH988" s="290" t="s">
        <v>1448</v>
      </c>
      <c r="AI988" s="289">
        <v>0</v>
      </c>
      <c r="AJ988" s="289">
        <v>11443.93</v>
      </c>
    </row>
    <row r="989" spans="2:36">
      <c r="B989" s="290">
        <v>2111</v>
      </c>
      <c r="C989" s="294">
        <v>107009</v>
      </c>
      <c r="D989" s="290" t="s">
        <v>944</v>
      </c>
      <c r="E989" s="289" t="s">
        <v>2959</v>
      </c>
      <c r="F989" s="290">
        <v>0</v>
      </c>
      <c r="G989" s="289"/>
      <c r="H989" s="289" t="s">
        <v>2974</v>
      </c>
      <c r="I989" s="289"/>
      <c r="J989" s="289">
        <v>2003</v>
      </c>
      <c r="K989" s="289" t="s">
        <v>2961</v>
      </c>
      <c r="L989" s="289" t="s">
        <v>2214</v>
      </c>
      <c r="M989" s="289" t="s">
        <v>1575</v>
      </c>
      <c r="N989" s="293">
        <v>37881</v>
      </c>
      <c r="O989" s="293">
        <v>37881</v>
      </c>
      <c r="P989" s="289"/>
      <c r="Q989" s="290">
        <v>700</v>
      </c>
      <c r="R989" s="290">
        <v>14040</v>
      </c>
      <c r="S989" s="291">
        <v>40000</v>
      </c>
      <c r="T989" s="290">
        <v>14046</v>
      </c>
      <c r="U989" s="291">
        <v>40000</v>
      </c>
      <c r="V989" s="291">
        <f t="shared" si="15"/>
        <v>0</v>
      </c>
      <c r="W989" s="292">
        <v>0</v>
      </c>
      <c r="X989" s="290">
        <v>51260</v>
      </c>
      <c r="Y989" s="291">
        <v>0</v>
      </c>
      <c r="Z989" s="289" t="s">
        <v>410</v>
      </c>
      <c r="AA989" s="289" t="s">
        <v>2962</v>
      </c>
      <c r="AB989" s="289"/>
      <c r="AC989" s="289" t="s">
        <v>351</v>
      </c>
      <c r="AD989" s="289" t="s">
        <v>1446</v>
      </c>
      <c r="AE989" s="289" t="s">
        <v>410</v>
      </c>
      <c r="AF989" s="290" t="s">
        <v>1447</v>
      </c>
      <c r="AG989" s="295">
        <v>41517</v>
      </c>
      <c r="AH989" s="290" t="s">
        <v>1448</v>
      </c>
      <c r="AI989" s="289">
        <v>0</v>
      </c>
      <c r="AJ989" s="289">
        <v>40000</v>
      </c>
    </row>
    <row r="990" spans="2:36">
      <c r="B990" s="290">
        <v>2111</v>
      </c>
      <c r="C990" s="294">
        <v>107008</v>
      </c>
      <c r="D990" s="290" t="s">
        <v>944</v>
      </c>
      <c r="E990" s="289" t="s">
        <v>2959</v>
      </c>
      <c r="F990" s="290">
        <v>0</v>
      </c>
      <c r="G990" s="289"/>
      <c r="H990" s="289" t="s">
        <v>2975</v>
      </c>
      <c r="I990" s="289"/>
      <c r="J990" s="289">
        <v>2003</v>
      </c>
      <c r="K990" s="289" t="s">
        <v>2961</v>
      </c>
      <c r="L990" s="289" t="s">
        <v>2214</v>
      </c>
      <c r="M990" s="289" t="s">
        <v>1575</v>
      </c>
      <c r="N990" s="293">
        <v>37881</v>
      </c>
      <c r="O990" s="293">
        <v>37881</v>
      </c>
      <c r="P990" s="289"/>
      <c r="Q990" s="290">
        <v>700</v>
      </c>
      <c r="R990" s="290">
        <v>14040</v>
      </c>
      <c r="S990" s="291">
        <v>40000</v>
      </c>
      <c r="T990" s="290">
        <v>14046</v>
      </c>
      <c r="U990" s="291">
        <v>40000</v>
      </c>
      <c r="V990" s="291">
        <f t="shared" si="15"/>
        <v>0</v>
      </c>
      <c r="W990" s="292">
        <v>0</v>
      </c>
      <c r="X990" s="290">
        <v>51260</v>
      </c>
      <c r="Y990" s="291">
        <v>0</v>
      </c>
      <c r="Z990" s="289" t="s">
        <v>410</v>
      </c>
      <c r="AA990" s="289" t="s">
        <v>2962</v>
      </c>
      <c r="AB990" s="289"/>
      <c r="AC990" s="289" t="s">
        <v>352</v>
      </c>
      <c r="AD990" s="289" t="s">
        <v>1446</v>
      </c>
      <c r="AE990" s="289" t="s">
        <v>410</v>
      </c>
      <c r="AF990" s="290" t="s">
        <v>1447</v>
      </c>
      <c r="AG990" s="295">
        <v>41517</v>
      </c>
      <c r="AH990" s="290" t="s">
        <v>1448</v>
      </c>
      <c r="AI990" s="289">
        <v>0</v>
      </c>
      <c r="AJ990" s="289">
        <v>40000</v>
      </c>
    </row>
    <row r="991" spans="2:36">
      <c r="B991" s="290">
        <v>2111</v>
      </c>
      <c r="C991" s="294">
        <v>106797</v>
      </c>
      <c r="D991" s="290" t="s">
        <v>944</v>
      </c>
      <c r="E991" s="289" t="s">
        <v>2976</v>
      </c>
      <c r="F991" s="290">
        <v>0</v>
      </c>
      <c r="G991" s="289"/>
      <c r="H991" s="289" t="s">
        <v>2977</v>
      </c>
      <c r="I991" s="289"/>
      <c r="J991" s="289">
        <v>2013</v>
      </c>
      <c r="K991" s="289" t="s">
        <v>2978</v>
      </c>
      <c r="L991" s="289" t="s">
        <v>2978</v>
      </c>
      <c r="M991" s="289" t="s">
        <v>2077</v>
      </c>
      <c r="N991" s="293">
        <v>41506</v>
      </c>
      <c r="O991" s="293">
        <v>41506</v>
      </c>
      <c r="P991" s="289" t="s">
        <v>2979</v>
      </c>
      <c r="Q991" s="290">
        <v>600</v>
      </c>
      <c r="R991" s="290">
        <v>14040</v>
      </c>
      <c r="S991" s="291">
        <v>39274.82</v>
      </c>
      <c r="T991" s="290">
        <v>14046</v>
      </c>
      <c r="U991" s="291">
        <v>39274.82</v>
      </c>
      <c r="V991" s="291">
        <f t="shared" si="15"/>
        <v>0</v>
      </c>
      <c r="W991" s="292">
        <v>0</v>
      </c>
      <c r="X991" s="290">
        <v>51260</v>
      </c>
      <c r="Y991" s="291">
        <v>0</v>
      </c>
      <c r="Z991" s="289" t="s">
        <v>944</v>
      </c>
      <c r="AA991" s="289"/>
      <c r="AB991" s="289">
        <v>1544</v>
      </c>
      <c r="AC991" s="289" t="s">
        <v>278</v>
      </c>
      <c r="AD991" s="289" t="s">
        <v>1446</v>
      </c>
      <c r="AE991" s="289" t="s">
        <v>410</v>
      </c>
      <c r="AF991" s="290" t="s">
        <v>1447</v>
      </c>
      <c r="AG991" s="289"/>
      <c r="AH991" s="290" t="s">
        <v>1448</v>
      </c>
      <c r="AI991" s="289">
        <v>0</v>
      </c>
      <c r="AJ991" s="289">
        <v>0</v>
      </c>
    </row>
    <row r="992" spans="2:36">
      <c r="B992" s="290">
        <v>2111</v>
      </c>
      <c r="C992" s="294">
        <v>106796</v>
      </c>
      <c r="D992" s="290" t="s">
        <v>944</v>
      </c>
      <c r="E992" s="289" t="s">
        <v>2976</v>
      </c>
      <c r="F992" s="290">
        <v>0</v>
      </c>
      <c r="G992" s="289"/>
      <c r="H992" s="289" t="s">
        <v>2980</v>
      </c>
      <c r="I992" s="289"/>
      <c r="J992" s="289">
        <v>2013</v>
      </c>
      <c r="K992" s="289" t="s">
        <v>2978</v>
      </c>
      <c r="L992" s="289" t="s">
        <v>2978</v>
      </c>
      <c r="M992" s="289" t="s">
        <v>2077</v>
      </c>
      <c r="N992" s="293">
        <v>41506</v>
      </c>
      <c r="O992" s="293">
        <v>41506</v>
      </c>
      <c r="P992" s="289" t="s">
        <v>2981</v>
      </c>
      <c r="Q992" s="290">
        <v>600</v>
      </c>
      <c r="R992" s="290">
        <v>14040</v>
      </c>
      <c r="S992" s="291">
        <v>39274.82</v>
      </c>
      <c r="T992" s="290">
        <v>14046</v>
      </c>
      <c r="U992" s="291">
        <v>39274.82</v>
      </c>
      <c r="V992" s="291">
        <f t="shared" si="15"/>
        <v>0</v>
      </c>
      <c r="W992" s="292">
        <v>0</v>
      </c>
      <c r="X992" s="290">
        <v>51260</v>
      </c>
      <c r="Y992" s="291">
        <v>0</v>
      </c>
      <c r="Z992" s="289" t="s">
        <v>944</v>
      </c>
      <c r="AA992" s="289"/>
      <c r="AB992" s="289">
        <v>1543</v>
      </c>
      <c r="AC992" s="289" t="s">
        <v>277</v>
      </c>
      <c r="AD992" s="289" t="s">
        <v>1446</v>
      </c>
      <c r="AE992" s="289" t="s">
        <v>410</v>
      </c>
      <c r="AF992" s="290" t="s">
        <v>1447</v>
      </c>
      <c r="AG992" s="289"/>
      <c r="AH992" s="290" t="s">
        <v>1448</v>
      </c>
      <c r="AI992" s="289">
        <v>0</v>
      </c>
      <c r="AJ992" s="289">
        <v>0</v>
      </c>
    </row>
    <row r="993" spans="2:36">
      <c r="B993" s="290">
        <v>2111</v>
      </c>
      <c r="C993" s="294">
        <v>106743</v>
      </c>
      <c r="D993" s="290" t="s">
        <v>944</v>
      </c>
      <c r="E993" s="289" t="s">
        <v>2982</v>
      </c>
      <c r="F993" s="290">
        <v>0</v>
      </c>
      <c r="G993" s="289"/>
      <c r="H993" s="289" t="s">
        <v>2983</v>
      </c>
      <c r="I993" s="289"/>
      <c r="J993" s="289">
        <v>2013</v>
      </c>
      <c r="K993" s="289" t="s">
        <v>2978</v>
      </c>
      <c r="L993" s="289" t="s">
        <v>2978</v>
      </c>
      <c r="M993" s="289" t="s">
        <v>2077</v>
      </c>
      <c r="N993" s="293">
        <v>41506</v>
      </c>
      <c r="O993" s="293">
        <v>41506</v>
      </c>
      <c r="P993" s="289" t="s">
        <v>2984</v>
      </c>
      <c r="Q993" s="290">
        <v>700</v>
      </c>
      <c r="R993" s="290">
        <v>14040</v>
      </c>
      <c r="S993" s="291">
        <v>39274.82</v>
      </c>
      <c r="T993" s="290">
        <v>14046</v>
      </c>
      <c r="U993" s="291">
        <v>39274.82</v>
      </c>
      <c r="V993" s="291">
        <f t="shared" si="15"/>
        <v>0</v>
      </c>
      <c r="W993" s="292">
        <v>0</v>
      </c>
      <c r="X993" s="290">
        <v>51260</v>
      </c>
      <c r="Y993" s="291">
        <v>0</v>
      </c>
      <c r="Z993" s="289" t="s">
        <v>944</v>
      </c>
      <c r="AA993" s="289"/>
      <c r="AB993" s="289">
        <v>1542</v>
      </c>
      <c r="AC993" s="289" t="s">
        <v>276</v>
      </c>
      <c r="AD993" s="289" t="s">
        <v>1446</v>
      </c>
      <c r="AE993" s="289" t="s">
        <v>410</v>
      </c>
      <c r="AF993" s="290" t="s">
        <v>1447</v>
      </c>
      <c r="AG993" s="289"/>
      <c r="AH993" s="290" t="s">
        <v>1448</v>
      </c>
      <c r="AI993" s="289">
        <v>0</v>
      </c>
      <c r="AJ993" s="289">
        <v>0</v>
      </c>
    </row>
    <row r="994" spans="2:36">
      <c r="B994" s="290">
        <v>2111</v>
      </c>
      <c r="C994" s="294">
        <v>105992</v>
      </c>
      <c r="D994" s="290" t="s">
        <v>944</v>
      </c>
      <c r="E994" s="289" t="s">
        <v>853</v>
      </c>
      <c r="F994" s="290">
        <v>486</v>
      </c>
      <c r="G994" s="289"/>
      <c r="H994" s="289"/>
      <c r="I994" s="289"/>
      <c r="J994" s="289">
        <v>0</v>
      </c>
      <c r="K994" s="289" t="s">
        <v>2245</v>
      </c>
      <c r="L994" s="289"/>
      <c r="M994" s="289"/>
      <c r="N994" s="293">
        <v>41483</v>
      </c>
      <c r="O994" s="293">
        <v>41483</v>
      </c>
      <c r="P994" s="289" t="s">
        <v>2876</v>
      </c>
      <c r="Q994" s="290">
        <v>700</v>
      </c>
      <c r="R994" s="290">
        <v>14050</v>
      </c>
      <c r="S994" s="291">
        <v>26316.799999999999</v>
      </c>
      <c r="T994" s="290">
        <v>14056</v>
      </c>
      <c r="U994" s="291">
        <v>26316.799999999999</v>
      </c>
      <c r="V994" s="291">
        <f t="shared" si="15"/>
        <v>0</v>
      </c>
      <c r="W994" s="292">
        <v>0</v>
      </c>
      <c r="X994" s="290">
        <v>54260</v>
      </c>
      <c r="Y994" s="291">
        <v>0</v>
      </c>
      <c r="Z994" s="289" t="s">
        <v>944</v>
      </c>
      <c r="AA994" s="289"/>
      <c r="AB994" s="289" t="s">
        <v>2985</v>
      </c>
      <c r="AC994" s="289"/>
      <c r="AD994" s="289" t="s">
        <v>1446</v>
      </c>
      <c r="AE994" s="289" t="s">
        <v>410</v>
      </c>
      <c r="AF994" s="290" t="s">
        <v>1447</v>
      </c>
      <c r="AG994" s="289"/>
      <c r="AH994" s="290" t="s">
        <v>1448</v>
      </c>
      <c r="AI994" s="289">
        <v>0</v>
      </c>
      <c r="AJ994" s="289">
        <v>0</v>
      </c>
    </row>
    <row r="995" spans="2:36">
      <c r="B995" s="290">
        <v>2111</v>
      </c>
      <c r="C995" s="294">
        <v>105140</v>
      </c>
      <c r="D995" s="290" t="s">
        <v>944</v>
      </c>
      <c r="E995" s="289" t="s">
        <v>2986</v>
      </c>
      <c r="F995" s="290">
        <v>0</v>
      </c>
      <c r="G995" s="289"/>
      <c r="H995" s="289"/>
      <c r="I995" s="289"/>
      <c r="J995" s="289">
        <v>0</v>
      </c>
      <c r="K995" s="289" t="s">
        <v>1657</v>
      </c>
      <c r="L995" s="289"/>
      <c r="M995" s="289"/>
      <c r="N995" s="293">
        <v>41430</v>
      </c>
      <c r="O995" s="293">
        <v>41430</v>
      </c>
      <c r="P995" s="289" t="s">
        <v>2987</v>
      </c>
      <c r="Q995" s="290">
        <v>300</v>
      </c>
      <c r="R995" s="290">
        <v>14110</v>
      </c>
      <c r="S995" s="291">
        <v>1020.44</v>
      </c>
      <c r="T995" s="290">
        <v>14116</v>
      </c>
      <c r="U995" s="291">
        <v>1020.44</v>
      </c>
      <c r="V995" s="291">
        <f t="shared" si="15"/>
        <v>0</v>
      </c>
      <c r="W995" s="292">
        <v>0</v>
      </c>
      <c r="X995" s="290">
        <v>70260</v>
      </c>
      <c r="Y995" s="291">
        <v>0</v>
      </c>
      <c r="Z995" s="289" t="s">
        <v>944</v>
      </c>
      <c r="AA995" s="289"/>
      <c r="AB995" s="289" t="s">
        <v>2988</v>
      </c>
      <c r="AC995" s="289"/>
      <c r="AD995" s="289" t="s">
        <v>1446</v>
      </c>
      <c r="AE995" s="289" t="s">
        <v>410</v>
      </c>
      <c r="AF995" s="290" t="s">
        <v>1447</v>
      </c>
      <c r="AG995" s="289"/>
      <c r="AH995" s="290" t="s">
        <v>1448</v>
      </c>
      <c r="AI995" s="289">
        <v>0</v>
      </c>
      <c r="AJ995" s="289">
        <v>0</v>
      </c>
    </row>
    <row r="996" spans="2:36">
      <c r="B996" s="290">
        <v>2111</v>
      </c>
      <c r="C996" s="294">
        <v>104634</v>
      </c>
      <c r="D996" s="290" t="s">
        <v>944</v>
      </c>
      <c r="E996" s="289" t="s">
        <v>2288</v>
      </c>
      <c r="F996" s="290">
        <v>486</v>
      </c>
      <c r="G996" s="289"/>
      <c r="H996" s="289"/>
      <c r="I996" s="289"/>
      <c r="J996" s="289">
        <v>0</v>
      </c>
      <c r="K996" s="289" t="s">
        <v>2245</v>
      </c>
      <c r="L996" s="289"/>
      <c r="M996" s="289"/>
      <c r="N996" s="293">
        <v>41433</v>
      </c>
      <c r="O996" s="293">
        <v>41433</v>
      </c>
      <c r="P996" s="289" t="s">
        <v>2989</v>
      </c>
      <c r="Q996" s="290">
        <v>700</v>
      </c>
      <c r="R996" s="290">
        <v>14050</v>
      </c>
      <c r="S996" s="291">
        <v>26316.799999999999</v>
      </c>
      <c r="T996" s="290">
        <v>14056</v>
      </c>
      <c r="U996" s="291">
        <v>26316.799999999999</v>
      </c>
      <c r="V996" s="291">
        <f t="shared" si="15"/>
        <v>0</v>
      </c>
      <c r="W996" s="292">
        <v>0</v>
      </c>
      <c r="X996" s="290">
        <v>54260</v>
      </c>
      <c r="Y996" s="291">
        <v>0</v>
      </c>
      <c r="Z996" s="289" t="s">
        <v>944</v>
      </c>
      <c r="AA996" s="289"/>
      <c r="AB996" s="289" t="s">
        <v>2990</v>
      </c>
      <c r="AC996" s="289"/>
      <c r="AD996" s="289" t="s">
        <v>1446</v>
      </c>
      <c r="AE996" s="289" t="s">
        <v>410</v>
      </c>
      <c r="AF996" s="290" t="s">
        <v>1447</v>
      </c>
      <c r="AG996" s="289"/>
      <c r="AH996" s="290" t="s">
        <v>1448</v>
      </c>
      <c r="AI996" s="289">
        <v>0</v>
      </c>
      <c r="AJ996" s="289">
        <v>0</v>
      </c>
    </row>
    <row r="997" spans="2:36">
      <c r="B997" s="290">
        <v>2111</v>
      </c>
      <c r="C997" s="294">
        <v>104623</v>
      </c>
      <c r="D997" s="290">
        <v>102175</v>
      </c>
      <c r="E997" s="289" t="s">
        <v>2991</v>
      </c>
      <c r="F997" s="290">
        <v>0</v>
      </c>
      <c r="G997" s="289"/>
      <c r="H997" s="289"/>
      <c r="I997" s="289"/>
      <c r="J997" s="289">
        <v>0</v>
      </c>
      <c r="K997" s="289" t="s">
        <v>1759</v>
      </c>
      <c r="L997" s="289"/>
      <c r="M997" s="289" t="s">
        <v>1586</v>
      </c>
      <c r="N997" s="293">
        <v>41362</v>
      </c>
      <c r="O997" s="293">
        <v>41362</v>
      </c>
      <c r="P997" s="289" t="s">
        <v>2992</v>
      </c>
      <c r="Q997" s="290">
        <v>300</v>
      </c>
      <c r="R997" s="290">
        <v>14040</v>
      </c>
      <c r="S997" s="291">
        <v>10181.32</v>
      </c>
      <c r="T997" s="290">
        <v>14046</v>
      </c>
      <c r="U997" s="291">
        <v>10181.32</v>
      </c>
      <c r="V997" s="291">
        <f t="shared" si="15"/>
        <v>0</v>
      </c>
      <c r="W997" s="292">
        <v>0</v>
      </c>
      <c r="X997" s="290">
        <v>51260</v>
      </c>
      <c r="Y997" s="291">
        <v>0</v>
      </c>
      <c r="Z997" s="289" t="s">
        <v>944</v>
      </c>
      <c r="AA997" s="289"/>
      <c r="AB997" s="289" t="s">
        <v>2993</v>
      </c>
      <c r="AC997" s="289"/>
      <c r="AD997" s="289" t="s">
        <v>1446</v>
      </c>
      <c r="AE997" s="289" t="s">
        <v>410</v>
      </c>
      <c r="AF997" s="290" t="s">
        <v>1447</v>
      </c>
      <c r="AG997" s="289"/>
      <c r="AH997" s="290" t="s">
        <v>1448</v>
      </c>
      <c r="AI997" s="289">
        <v>0</v>
      </c>
      <c r="AJ997" s="289">
        <v>0</v>
      </c>
    </row>
    <row r="998" spans="2:36">
      <c r="B998" s="290">
        <v>2111</v>
      </c>
      <c r="C998" s="294">
        <v>103580</v>
      </c>
      <c r="D998" s="290" t="s">
        <v>944</v>
      </c>
      <c r="E998" s="289" t="s">
        <v>2994</v>
      </c>
      <c r="F998" s="290">
        <v>10</v>
      </c>
      <c r="G998" s="289"/>
      <c r="H998" s="289"/>
      <c r="I998" s="289"/>
      <c r="J998" s="289">
        <v>0</v>
      </c>
      <c r="K998" s="289" t="s">
        <v>2257</v>
      </c>
      <c r="L998" s="289"/>
      <c r="M998" s="289" t="s">
        <v>1664</v>
      </c>
      <c r="N998" s="293">
        <v>41365</v>
      </c>
      <c r="O998" s="293">
        <v>41365</v>
      </c>
      <c r="P998" s="289" t="s">
        <v>2995</v>
      </c>
      <c r="Q998" s="290">
        <v>1200</v>
      </c>
      <c r="R998" s="290">
        <v>14050</v>
      </c>
      <c r="S998" s="291">
        <v>6782.8</v>
      </c>
      <c r="T998" s="290">
        <v>14056</v>
      </c>
      <c r="U998" s="291">
        <v>5275.49</v>
      </c>
      <c r="V998" s="291">
        <f t="shared" si="15"/>
        <v>1507.3100000000004</v>
      </c>
      <c r="W998" s="292">
        <v>329.72</v>
      </c>
      <c r="X998" s="290">
        <v>54260</v>
      </c>
      <c r="Y998" s="291">
        <v>47.1</v>
      </c>
      <c r="Z998" s="289" t="s">
        <v>944</v>
      </c>
      <c r="AA998" s="289"/>
      <c r="AB998" s="289">
        <v>80982</v>
      </c>
      <c r="AC998" s="289"/>
      <c r="AD998" s="289" t="s">
        <v>1446</v>
      </c>
      <c r="AE998" s="289" t="s">
        <v>410</v>
      </c>
      <c r="AF998" s="290" t="s">
        <v>1447</v>
      </c>
      <c r="AG998" s="289"/>
      <c r="AH998" s="290" t="s">
        <v>1448</v>
      </c>
      <c r="AI998" s="289">
        <v>0</v>
      </c>
      <c r="AJ998" s="289">
        <v>0</v>
      </c>
    </row>
    <row r="999" spans="2:36">
      <c r="B999" s="290">
        <v>2111</v>
      </c>
      <c r="C999" s="294">
        <v>103336</v>
      </c>
      <c r="D999" s="290" t="s">
        <v>944</v>
      </c>
      <c r="E999" s="289" t="s">
        <v>2996</v>
      </c>
      <c r="F999" s="290">
        <v>6</v>
      </c>
      <c r="G999" s="289"/>
      <c r="H999" s="289"/>
      <c r="I999" s="289"/>
      <c r="J999" s="289">
        <v>0</v>
      </c>
      <c r="K999" s="289" t="s">
        <v>2257</v>
      </c>
      <c r="L999" s="289"/>
      <c r="M999" s="289" t="s">
        <v>1662</v>
      </c>
      <c r="N999" s="293">
        <v>41364</v>
      </c>
      <c r="O999" s="293">
        <v>41364</v>
      </c>
      <c r="P999" s="289" t="s">
        <v>2995</v>
      </c>
      <c r="Q999" s="290">
        <v>1200</v>
      </c>
      <c r="R999" s="290">
        <v>14050</v>
      </c>
      <c r="S999" s="291">
        <v>5218.38</v>
      </c>
      <c r="T999" s="290">
        <v>14056</v>
      </c>
      <c r="U999" s="291">
        <v>4058.78</v>
      </c>
      <c r="V999" s="291">
        <f t="shared" si="15"/>
        <v>1159.5999999999999</v>
      </c>
      <c r="W999" s="292">
        <v>253.67</v>
      </c>
      <c r="X999" s="290">
        <v>54260</v>
      </c>
      <c r="Y999" s="291">
        <v>36.229999999999997</v>
      </c>
      <c r="Z999" s="289" t="s">
        <v>944</v>
      </c>
      <c r="AA999" s="289"/>
      <c r="AB999" s="289">
        <v>80637</v>
      </c>
      <c r="AC999" s="289"/>
      <c r="AD999" s="289" t="s">
        <v>1446</v>
      </c>
      <c r="AE999" s="289" t="s">
        <v>410</v>
      </c>
      <c r="AF999" s="290" t="s">
        <v>1447</v>
      </c>
      <c r="AG999" s="289"/>
      <c r="AH999" s="290" t="s">
        <v>1448</v>
      </c>
      <c r="AI999" s="289">
        <v>0</v>
      </c>
      <c r="AJ999" s="289">
        <v>0</v>
      </c>
    </row>
    <row r="1000" spans="2:36">
      <c r="B1000" s="290">
        <v>2111</v>
      </c>
      <c r="C1000" s="294">
        <v>103335</v>
      </c>
      <c r="D1000" s="290" t="s">
        <v>944</v>
      </c>
      <c r="E1000" s="289" t="s">
        <v>2997</v>
      </c>
      <c r="F1000" s="290">
        <v>11</v>
      </c>
      <c r="G1000" s="289"/>
      <c r="H1000" s="289"/>
      <c r="I1000" s="289"/>
      <c r="J1000" s="289">
        <v>0</v>
      </c>
      <c r="K1000" s="289" t="s">
        <v>2257</v>
      </c>
      <c r="L1000" s="289"/>
      <c r="M1000" s="289" t="s">
        <v>1662</v>
      </c>
      <c r="N1000" s="293">
        <v>41364</v>
      </c>
      <c r="O1000" s="293">
        <v>41364</v>
      </c>
      <c r="P1000" s="289" t="s">
        <v>2995</v>
      </c>
      <c r="Q1000" s="290">
        <v>1200</v>
      </c>
      <c r="R1000" s="290">
        <v>14050</v>
      </c>
      <c r="S1000" s="291">
        <v>9567.0300000000007</v>
      </c>
      <c r="T1000" s="290">
        <v>14056</v>
      </c>
      <c r="U1000" s="291">
        <v>7441</v>
      </c>
      <c r="V1000" s="291">
        <f t="shared" si="15"/>
        <v>2126.0300000000007</v>
      </c>
      <c r="W1000" s="292">
        <v>465.06</v>
      </c>
      <c r="X1000" s="290">
        <v>54260</v>
      </c>
      <c r="Y1000" s="291">
        <v>66.430000000000007</v>
      </c>
      <c r="Z1000" s="289" t="s">
        <v>944</v>
      </c>
      <c r="AA1000" s="289"/>
      <c r="AB1000" s="289">
        <v>80664</v>
      </c>
      <c r="AC1000" s="289"/>
      <c r="AD1000" s="289" t="s">
        <v>1446</v>
      </c>
      <c r="AE1000" s="289" t="s">
        <v>410</v>
      </c>
      <c r="AF1000" s="290" t="s">
        <v>1447</v>
      </c>
      <c r="AG1000" s="289"/>
      <c r="AH1000" s="290" t="s">
        <v>1448</v>
      </c>
      <c r="AI1000" s="289">
        <v>0</v>
      </c>
      <c r="AJ1000" s="289">
        <v>0</v>
      </c>
    </row>
    <row r="1001" spans="2:36">
      <c r="B1001" s="290">
        <v>2111</v>
      </c>
      <c r="C1001" s="294">
        <v>103334</v>
      </c>
      <c r="D1001" s="290" t="s">
        <v>944</v>
      </c>
      <c r="E1001" s="289" t="s">
        <v>2998</v>
      </c>
      <c r="F1001" s="290">
        <v>8</v>
      </c>
      <c r="G1001" s="289"/>
      <c r="H1001" s="289"/>
      <c r="I1001" s="289"/>
      <c r="J1001" s="289">
        <v>0</v>
      </c>
      <c r="K1001" s="289" t="s">
        <v>2257</v>
      </c>
      <c r="L1001" s="289"/>
      <c r="M1001" s="289" t="s">
        <v>1662</v>
      </c>
      <c r="N1001" s="293">
        <v>41364</v>
      </c>
      <c r="O1001" s="293">
        <v>41364</v>
      </c>
      <c r="P1001" s="289" t="s">
        <v>2995</v>
      </c>
      <c r="Q1001" s="290">
        <v>1200</v>
      </c>
      <c r="R1001" s="290">
        <v>14050</v>
      </c>
      <c r="S1001" s="291">
        <v>6957.84</v>
      </c>
      <c r="T1001" s="290">
        <v>14056</v>
      </c>
      <c r="U1001" s="291">
        <v>5411.66</v>
      </c>
      <c r="V1001" s="291">
        <f t="shared" si="15"/>
        <v>1546.1800000000003</v>
      </c>
      <c r="W1001" s="292">
        <v>338.23</v>
      </c>
      <c r="X1001" s="290">
        <v>54260</v>
      </c>
      <c r="Y1001" s="291">
        <v>48.32</v>
      </c>
      <c r="Z1001" s="289" t="s">
        <v>944</v>
      </c>
      <c r="AA1001" s="289"/>
      <c r="AB1001" s="289">
        <v>80665</v>
      </c>
      <c r="AC1001" s="289"/>
      <c r="AD1001" s="289" t="s">
        <v>1446</v>
      </c>
      <c r="AE1001" s="289" t="s">
        <v>410</v>
      </c>
      <c r="AF1001" s="290" t="s">
        <v>1447</v>
      </c>
      <c r="AG1001" s="289"/>
      <c r="AH1001" s="290" t="s">
        <v>1448</v>
      </c>
      <c r="AI1001" s="289">
        <v>0</v>
      </c>
      <c r="AJ1001" s="289">
        <v>0</v>
      </c>
    </row>
    <row r="1002" spans="2:36">
      <c r="B1002" s="290">
        <v>2111</v>
      </c>
      <c r="C1002" s="294">
        <v>103267</v>
      </c>
      <c r="D1002" s="290" t="s">
        <v>944</v>
      </c>
      <c r="E1002" s="289" t="s">
        <v>2999</v>
      </c>
      <c r="F1002" s="290">
        <v>10</v>
      </c>
      <c r="G1002" s="289"/>
      <c r="H1002" s="289"/>
      <c r="I1002" s="289"/>
      <c r="J1002" s="289">
        <v>0</v>
      </c>
      <c r="K1002" s="289" t="s">
        <v>2257</v>
      </c>
      <c r="L1002" s="289"/>
      <c r="M1002" s="289" t="s">
        <v>1665</v>
      </c>
      <c r="N1002" s="293">
        <v>41364</v>
      </c>
      <c r="O1002" s="293">
        <v>41364</v>
      </c>
      <c r="P1002" s="289" t="s">
        <v>2995</v>
      </c>
      <c r="Q1002" s="290">
        <v>1200</v>
      </c>
      <c r="R1002" s="290">
        <v>14050</v>
      </c>
      <c r="S1002" s="291">
        <v>4649.5</v>
      </c>
      <c r="T1002" s="290">
        <v>14056</v>
      </c>
      <c r="U1002" s="291">
        <v>3616.29</v>
      </c>
      <c r="V1002" s="291">
        <f t="shared" si="15"/>
        <v>1033.21</v>
      </c>
      <c r="W1002" s="292">
        <v>226.02</v>
      </c>
      <c r="X1002" s="290">
        <v>54260</v>
      </c>
      <c r="Y1002" s="291">
        <v>32.29</v>
      </c>
      <c r="Z1002" s="289" t="s">
        <v>944</v>
      </c>
      <c r="AA1002" s="289"/>
      <c r="AB1002" s="289">
        <v>80638</v>
      </c>
      <c r="AC1002" s="289"/>
      <c r="AD1002" s="289" t="s">
        <v>1446</v>
      </c>
      <c r="AE1002" s="289" t="s">
        <v>410</v>
      </c>
      <c r="AF1002" s="290" t="s">
        <v>1447</v>
      </c>
      <c r="AG1002" s="289"/>
      <c r="AH1002" s="290" t="s">
        <v>1448</v>
      </c>
      <c r="AI1002" s="289">
        <v>0</v>
      </c>
      <c r="AJ1002" s="289">
        <v>0</v>
      </c>
    </row>
    <row r="1003" spans="2:36">
      <c r="B1003" s="290">
        <v>2111</v>
      </c>
      <c r="C1003" s="294">
        <v>102964</v>
      </c>
      <c r="D1003" s="290" t="s">
        <v>944</v>
      </c>
      <c r="E1003" s="289" t="s">
        <v>3000</v>
      </c>
      <c r="F1003" s="290">
        <v>20</v>
      </c>
      <c r="G1003" s="289"/>
      <c r="H1003" s="289"/>
      <c r="I1003" s="289"/>
      <c r="J1003" s="289">
        <v>0</v>
      </c>
      <c r="K1003" s="289" t="s">
        <v>2257</v>
      </c>
      <c r="L1003" s="289"/>
      <c r="M1003" s="289" t="s">
        <v>1659</v>
      </c>
      <c r="N1003" s="293">
        <v>41334</v>
      </c>
      <c r="O1003" s="293">
        <v>41334</v>
      </c>
      <c r="P1003" s="289" t="s">
        <v>2995</v>
      </c>
      <c r="Q1003" s="290">
        <v>1200</v>
      </c>
      <c r="R1003" s="290">
        <v>14050</v>
      </c>
      <c r="S1003" s="291">
        <v>11815.2</v>
      </c>
      <c r="T1003" s="290">
        <v>14056</v>
      </c>
      <c r="U1003" s="291">
        <v>9271.65</v>
      </c>
      <c r="V1003" s="291">
        <f t="shared" si="15"/>
        <v>2543.5500000000011</v>
      </c>
      <c r="W1003" s="292">
        <v>574.35</v>
      </c>
      <c r="X1003" s="290">
        <v>54260</v>
      </c>
      <c r="Y1003" s="291">
        <v>82.05</v>
      </c>
      <c r="Z1003" s="289" t="s">
        <v>944</v>
      </c>
      <c r="AA1003" s="289"/>
      <c r="AB1003" s="289">
        <v>80118</v>
      </c>
      <c r="AC1003" s="289"/>
      <c r="AD1003" s="289" t="s">
        <v>1446</v>
      </c>
      <c r="AE1003" s="289" t="s">
        <v>410</v>
      </c>
      <c r="AF1003" s="290" t="s">
        <v>1447</v>
      </c>
      <c r="AG1003" s="289"/>
      <c r="AH1003" s="290" t="s">
        <v>1448</v>
      </c>
      <c r="AI1003" s="289">
        <v>0</v>
      </c>
      <c r="AJ1003" s="289">
        <v>0</v>
      </c>
    </row>
    <row r="1004" spans="2:36">
      <c r="B1004" s="290">
        <v>2111</v>
      </c>
      <c r="C1004" s="294">
        <v>102874</v>
      </c>
      <c r="D1004" s="290" t="s">
        <v>944</v>
      </c>
      <c r="E1004" s="289" t="s">
        <v>3001</v>
      </c>
      <c r="F1004" s="290">
        <v>0</v>
      </c>
      <c r="G1004" s="289"/>
      <c r="H1004" s="289" t="s">
        <v>3002</v>
      </c>
      <c r="I1004" s="289"/>
      <c r="J1004" s="289">
        <v>2006</v>
      </c>
      <c r="K1004" s="289"/>
      <c r="L1004" s="289" t="s">
        <v>3003</v>
      </c>
      <c r="M1004" s="289" t="s">
        <v>1546</v>
      </c>
      <c r="N1004" s="293">
        <v>41362</v>
      </c>
      <c r="O1004" s="293">
        <v>41362</v>
      </c>
      <c r="P1004" s="289" t="s">
        <v>3004</v>
      </c>
      <c r="Q1004" s="290">
        <v>300</v>
      </c>
      <c r="R1004" s="290">
        <v>14030</v>
      </c>
      <c r="S1004" s="291">
        <v>34953.300000000003</v>
      </c>
      <c r="T1004" s="290">
        <v>14036</v>
      </c>
      <c r="U1004" s="291">
        <v>34953.300000000003</v>
      </c>
      <c r="V1004" s="291">
        <f t="shared" si="15"/>
        <v>0</v>
      </c>
      <c r="W1004" s="292">
        <v>0</v>
      </c>
      <c r="X1004" s="290">
        <v>51260</v>
      </c>
      <c r="Y1004" s="291">
        <v>0</v>
      </c>
      <c r="Z1004" s="289" t="s">
        <v>944</v>
      </c>
      <c r="AA1004" s="289"/>
      <c r="AB1004" s="289"/>
      <c r="AC1004" s="289" t="s">
        <v>3005</v>
      </c>
      <c r="AD1004" s="289" t="s">
        <v>1446</v>
      </c>
      <c r="AE1004" s="289" t="s">
        <v>410</v>
      </c>
      <c r="AF1004" s="290" t="s">
        <v>1447</v>
      </c>
      <c r="AG1004" s="289"/>
      <c r="AH1004" s="290" t="s">
        <v>1448</v>
      </c>
      <c r="AI1004" s="289">
        <v>0</v>
      </c>
      <c r="AJ1004" s="289">
        <v>0</v>
      </c>
    </row>
    <row r="1005" spans="2:36">
      <c r="B1005" s="290">
        <v>2111</v>
      </c>
      <c r="C1005" s="294">
        <v>102854</v>
      </c>
      <c r="D1005" s="290" t="s">
        <v>944</v>
      </c>
      <c r="E1005" s="289" t="s">
        <v>3006</v>
      </c>
      <c r="F1005" s="290">
        <v>5</v>
      </c>
      <c r="G1005" s="289"/>
      <c r="H1005" s="289"/>
      <c r="I1005" s="289"/>
      <c r="J1005" s="289">
        <v>0</v>
      </c>
      <c r="K1005" s="289" t="s">
        <v>2257</v>
      </c>
      <c r="L1005" s="289"/>
      <c r="M1005" s="289" t="s">
        <v>1659</v>
      </c>
      <c r="N1005" s="293">
        <v>41341</v>
      </c>
      <c r="O1005" s="293">
        <v>41341</v>
      </c>
      <c r="P1005" s="289" t="s">
        <v>2995</v>
      </c>
      <c r="Q1005" s="290">
        <v>1200</v>
      </c>
      <c r="R1005" s="290">
        <v>14050</v>
      </c>
      <c r="S1005" s="291">
        <v>2953.8</v>
      </c>
      <c r="T1005" s="290">
        <v>14056</v>
      </c>
      <c r="U1005" s="291">
        <v>2317.92</v>
      </c>
      <c r="V1005" s="291">
        <f t="shared" si="15"/>
        <v>635.88000000000011</v>
      </c>
      <c r="W1005" s="292">
        <v>143.59</v>
      </c>
      <c r="X1005" s="290">
        <v>54260</v>
      </c>
      <c r="Y1005" s="291">
        <v>20.51</v>
      </c>
      <c r="Z1005" s="289" t="s">
        <v>944</v>
      </c>
      <c r="AA1005" s="289"/>
      <c r="AB1005" s="289">
        <v>80155</v>
      </c>
      <c r="AC1005" s="289"/>
      <c r="AD1005" s="289" t="s">
        <v>1446</v>
      </c>
      <c r="AE1005" s="289" t="s">
        <v>410</v>
      </c>
      <c r="AF1005" s="290" t="s">
        <v>1447</v>
      </c>
      <c r="AG1005" s="289"/>
      <c r="AH1005" s="290" t="s">
        <v>1448</v>
      </c>
      <c r="AI1005" s="289">
        <v>0</v>
      </c>
      <c r="AJ1005" s="289">
        <v>0</v>
      </c>
    </row>
    <row r="1006" spans="2:36">
      <c r="B1006" s="290">
        <v>2111</v>
      </c>
      <c r="C1006" s="294">
        <v>102853</v>
      </c>
      <c r="D1006" s="290" t="s">
        <v>944</v>
      </c>
      <c r="E1006" s="289" t="s">
        <v>3007</v>
      </c>
      <c r="F1006" s="290">
        <v>20</v>
      </c>
      <c r="G1006" s="289"/>
      <c r="H1006" s="289"/>
      <c r="I1006" s="289"/>
      <c r="J1006" s="289">
        <v>0</v>
      </c>
      <c r="K1006" s="289" t="s">
        <v>2257</v>
      </c>
      <c r="L1006" s="289"/>
      <c r="M1006" s="289" t="s">
        <v>1918</v>
      </c>
      <c r="N1006" s="293">
        <v>41341</v>
      </c>
      <c r="O1006" s="293">
        <v>41341</v>
      </c>
      <c r="P1006" s="289" t="s">
        <v>2995</v>
      </c>
      <c r="Q1006" s="290">
        <v>1200</v>
      </c>
      <c r="R1006" s="290">
        <v>14050</v>
      </c>
      <c r="S1006" s="291">
        <v>9189.6</v>
      </c>
      <c r="T1006" s="290">
        <v>14056</v>
      </c>
      <c r="U1006" s="291">
        <v>7211.29</v>
      </c>
      <c r="V1006" s="291">
        <f t="shared" si="15"/>
        <v>1978.3100000000004</v>
      </c>
      <c r="W1006" s="292">
        <v>446.72</v>
      </c>
      <c r="X1006" s="290">
        <v>54260</v>
      </c>
      <c r="Y1006" s="291">
        <v>63.82</v>
      </c>
      <c r="Z1006" s="289" t="s">
        <v>944</v>
      </c>
      <c r="AA1006" s="289"/>
      <c r="AB1006" s="289">
        <v>80119</v>
      </c>
      <c r="AC1006" s="289"/>
      <c r="AD1006" s="289" t="s">
        <v>1446</v>
      </c>
      <c r="AE1006" s="289" t="s">
        <v>410</v>
      </c>
      <c r="AF1006" s="290" t="s">
        <v>1447</v>
      </c>
      <c r="AG1006" s="289"/>
      <c r="AH1006" s="290" t="s">
        <v>1448</v>
      </c>
      <c r="AI1006" s="289">
        <v>0</v>
      </c>
      <c r="AJ1006" s="289">
        <v>0</v>
      </c>
    </row>
    <row r="1007" spans="2:36">
      <c r="B1007" s="290">
        <v>2111</v>
      </c>
      <c r="C1007" s="294">
        <v>102361</v>
      </c>
      <c r="D1007" s="290">
        <v>102350</v>
      </c>
      <c r="E1007" s="289" t="s">
        <v>3008</v>
      </c>
      <c r="F1007" s="290">
        <v>0</v>
      </c>
      <c r="G1007" s="289"/>
      <c r="H1007" s="289" t="s">
        <v>3009</v>
      </c>
      <c r="I1007" s="289"/>
      <c r="J1007" s="289">
        <v>2000</v>
      </c>
      <c r="K1007" s="289"/>
      <c r="L1007" s="289"/>
      <c r="M1007" s="289" t="s">
        <v>1467</v>
      </c>
      <c r="N1007" s="293">
        <v>38049</v>
      </c>
      <c r="O1007" s="293">
        <v>38049</v>
      </c>
      <c r="P1007" s="289">
        <v>42040018</v>
      </c>
      <c r="Q1007" s="290">
        <v>500</v>
      </c>
      <c r="R1007" s="290">
        <v>14040</v>
      </c>
      <c r="S1007" s="291">
        <v>189</v>
      </c>
      <c r="T1007" s="290">
        <v>14046</v>
      </c>
      <c r="U1007" s="291">
        <v>189</v>
      </c>
      <c r="V1007" s="291">
        <f t="shared" si="15"/>
        <v>0</v>
      </c>
      <c r="W1007" s="292">
        <v>0</v>
      </c>
      <c r="X1007" s="290">
        <v>51260</v>
      </c>
      <c r="Y1007" s="291">
        <v>0</v>
      </c>
      <c r="Z1007" s="289" t="s">
        <v>410</v>
      </c>
      <c r="AA1007" s="289">
        <v>0</v>
      </c>
      <c r="AB1007" s="289" t="s">
        <v>3010</v>
      </c>
      <c r="AC1007" s="289">
        <v>61</v>
      </c>
      <c r="AD1007" s="289" t="s">
        <v>1446</v>
      </c>
      <c r="AE1007" s="289" t="s">
        <v>410</v>
      </c>
      <c r="AF1007" s="290" t="s">
        <v>1447</v>
      </c>
      <c r="AG1007" s="295">
        <v>41305</v>
      </c>
      <c r="AH1007" s="290" t="s">
        <v>1448</v>
      </c>
      <c r="AI1007" s="289">
        <v>0</v>
      </c>
      <c r="AJ1007" s="289">
        <v>189</v>
      </c>
    </row>
    <row r="1008" spans="2:36">
      <c r="B1008" s="290">
        <v>2111</v>
      </c>
      <c r="C1008" s="294">
        <v>102360</v>
      </c>
      <c r="D1008" s="290">
        <v>102350</v>
      </c>
      <c r="E1008" s="289" t="s">
        <v>3008</v>
      </c>
      <c r="F1008" s="290">
        <v>0</v>
      </c>
      <c r="G1008" s="289"/>
      <c r="H1008" s="289" t="s">
        <v>3009</v>
      </c>
      <c r="I1008" s="289"/>
      <c r="J1008" s="289">
        <v>2000</v>
      </c>
      <c r="K1008" s="289"/>
      <c r="L1008" s="289"/>
      <c r="M1008" s="289" t="s">
        <v>1467</v>
      </c>
      <c r="N1008" s="293">
        <v>38033</v>
      </c>
      <c r="O1008" s="293">
        <v>38033</v>
      </c>
      <c r="P1008" s="289">
        <v>42040018</v>
      </c>
      <c r="Q1008" s="290">
        <v>500</v>
      </c>
      <c r="R1008" s="290">
        <v>14040</v>
      </c>
      <c r="S1008" s="291">
        <v>212.48</v>
      </c>
      <c r="T1008" s="290">
        <v>14046</v>
      </c>
      <c r="U1008" s="291">
        <v>212.48</v>
      </c>
      <c r="V1008" s="291">
        <f t="shared" si="15"/>
        <v>0</v>
      </c>
      <c r="W1008" s="292">
        <v>0</v>
      </c>
      <c r="X1008" s="290">
        <v>51260</v>
      </c>
      <c r="Y1008" s="291">
        <v>0</v>
      </c>
      <c r="Z1008" s="289" t="s">
        <v>410</v>
      </c>
      <c r="AA1008" s="289">
        <v>0</v>
      </c>
      <c r="AB1008" s="289">
        <v>71493</v>
      </c>
      <c r="AC1008" s="289">
        <v>61</v>
      </c>
      <c r="AD1008" s="289" t="s">
        <v>1446</v>
      </c>
      <c r="AE1008" s="289" t="s">
        <v>410</v>
      </c>
      <c r="AF1008" s="290" t="s">
        <v>1447</v>
      </c>
      <c r="AG1008" s="295">
        <v>41305</v>
      </c>
      <c r="AH1008" s="290" t="s">
        <v>1448</v>
      </c>
      <c r="AI1008" s="289">
        <v>0</v>
      </c>
      <c r="AJ1008" s="289">
        <v>212.48</v>
      </c>
    </row>
    <row r="1009" spans="2:36">
      <c r="B1009" s="290">
        <v>2111</v>
      </c>
      <c r="C1009" s="294">
        <v>102359</v>
      </c>
      <c r="D1009" s="290">
        <v>102350</v>
      </c>
      <c r="E1009" s="289" t="s">
        <v>3008</v>
      </c>
      <c r="F1009" s="290">
        <v>0</v>
      </c>
      <c r="G1009" s="289"/>
      <c r="H1009" s="289" t="s">
        <v>3009</v>
      </c>
      <c r="I1009" s="289"/>
      <c r="J1009" s="289">
        <v>2000</v>
      </c>
      <c r="K1009" s="289"/>
      <c r="L1009" s="289"/>
      <c r="M1009" s="289" t="s">
        <v>1467</v>
      </c>
      <c r="N1009" s="293">
        <v>38029</v>
      </c>
      <c r="O1009" s="293">
        <v>38029</v>
      </c>
      <c r="P1009" s="289">
        <v>42040018</v>
      </c>
      <c r="Q1009" s="290">
        <v>500</v>
      </c>
      <c r="R1009" s="290">
        <v>14040</v>
      </c>
      <c r="S1009" s="291">
        <v>279.02</v>
      </c>
      <c r="T1009" s="290">
        <v>14046</v>
      </c>
      <c r="U1009" s="291">
        <v>279.02</v>
      </c>
      <c r="V1009" s="291">
        <f t="shared" si="15"/>
        <v>0</v>
      </c>
      <c r="W1009" s="292">
        <v>0</v>
      </c>
      <c r="X1009" s="290">
        <v>51260</v>
      </c>
      <c r="Y1009" s="291">
        <v>0</v>
      </c>
      <c r="Z1009" s="289" t="s">
        <v>410</v>
      </c>
      <c r="AA1009" s="289">
        <v>0</v>
      </c>
      <c r="AB1009" s="289">
        <v>1508</v>
      </c>
      <c r="AC1009" s="289">
        <v>61</v>
      </c>
      <c r="AD1009" s="289" t="s">
        <v>1446</v>
      </c>
      <c r="AE1009" s="289" t="s">
        <v>410</v>
      </c>
      <c r="AF1009" s="290" t="s">
        <v>1447</v>
      </c>
      <c r="AG1009" s="295">
        <v>41305</v>
      </c>
      <c r="AH1009" s="290" t="s">
        <v>1448</v>
      </c>
      <c r="AI1009" s="289">
        <v>0</v>
      </c>
      <c r="AJ1009" s="289">
        <v>279.02</v>
      </c>
    </row>
    <row r="1010" spans="2:36">
      <c r="B1010" s="290">
        <v>2111</v>
      </c>
      <c r="C1010" s="294">
        <v>102358</v>
      </c>
      <c r="D1010" s="290">
        <v>102350</v>
      </c>
      <c r="E1010" s="289" t="s">
        <v>3008</v>
      </c>
      <c r="F1010" s="290">
        <v>0</v>
      </c>
      <c r="G1010" s="289"/>
      <c r="H1010" s="289" t="s">
        <v>3009</v>
      </c>
      <c r="I1010" s="289"/>
      <c r="J1010" s="289">
        <v>2000</v>
      </c>
      <c r="K1010" s="289"/>
      <c r="L1010" s="289"/>
      <c r="M1010" s="289" t="s">
        <v>1467</v>
      </c>
      <c r="N1010" s="293">
        <v>38051</v>
      </c>
      <c r="O1010" s="293">
        <v>38051</v>
      </c>
      <c r="P1010" s="289">
        <v>42040018</v>
      </c>
      <c r="Q1010" s="290">
        <v>500</v>
      </c>
      <c r="R1010" s="290">
        <v>14040</v>
      </c>
      <c r="S1010" s="291">
        <v>2328.44</v>
      </c>
      <c r="T1010" s="290">
        <v>14046</v>
      </c>
      <c r="U1010" s="291">
        <v>2328.44</v>
      </c>
      <c r="V1010" s="291">
        <f t="shared" si="15"/>
        <v>0</v>
      </c>
      <c r="W1010" s="292">
        <v>0</v>
      </c>
      <c r="X1010" s="290">
        <v>51260</v>
      </c>
      <c r="Y1010" s="291">
        <v>0</v>
      </c>
      <c r="Z1010" s="289" t="s">
        <v>410</v>
      </c>
      <c r="AA1010" s="289">
        <v>0</v>
      </c>
      <c r="AB1010" s="289" t="s">
        <v>3011</v>
      </c>
      <c r="AC1010" s="289">
        <v>61</v>
      </c>
      <c r="AD1010" s="289" t="s">
        <v>1446</v>
      </c>
      <c r="AE1010" s="289" t="s">
        <v>410</v>
      </c>
      <c r="AF1010" s="290" t="s">
        <v>1447</v>
      </c>
      <c r="AG1010" s="295">
        <v>41305</v>
      </c>
      <c r="AH1010" s="290" t="s">
        <v>1448</v>
      </c>
      <c r="AI1010" s="289">
        <v>0</v>
      </c>
      <c r="AJ1010" s="289">
        <v>2328.44</v>
      </c>
    </row>
    <row r="1011" spans="2:36">
      <c r="B1011" s="290">
        <v>2111</v>
      </c>
      <c r="C1011" s="294">
        <v>102357</v>
      </c>
      <c r="D1011" s="290">
        <v>102350</v>
      </c>
      <c r="E1011" s="289" t="s">
        <v>3008</v>
      </c>
      <c r="F1011" s="290">
        <v>0</v>
      </c>
      <c r="G1011" s="289"/>
      <c r="H1011" s="289" t="s">
        <v>3009</v>
      </c>
      <c r="I1011" s="289"/>
      <c r="J1011" s="289">
        <v>2000</v>
      </c>
      <c r="K1011" s="289"/>
      <c r="L1011" s="289"/>
      <c r="M1011" s="289" t="s">
        <v>1467</v>
      </c>
      <c r="N1011" s="293">
        <v>38033</v>
      </c>
      <c r="O1011" s="293">
        <v>38033</v>
      </c>
      <c r="P1011" s="289">
        <v>42040018</v>
      </c>
      <c r="Q1011" s="290">
        <v>500</v>
      </c>
      <c r="R1011" s="290">
        <v>14040</v>
      </c>
      <c r="S1011" s="291">
        <v>401.69</v>
      </c>
      <c r="T1011" s="290">
        <v>14046</v>
      </c>
      <c r="U1011" s="291">
        <v>401.69</v>
      </c>
      <c r="V1011" s="291">
        <f t="shared" si="15"/>
        <v>0</v>
      </c>
      <c r="W1011" s="292">
        <v>0</v>
      </c>
      <c r="X1011" s="290">
        <v>51260</v>
      </c>
      <c r="Y1011" s="291">
        <v>0</v>
      </c>
      <c r="Z1011" s="289" t="s">
        <v>410</v>
      </c>
      <c r="AA1011" s="289">
        <v>0</v>
      </c>
      <c r="AB1011" s="289">
        <v>2240470033</v>
      </c>
      <c r="AC1011" s="289">
        <v>61</v>
      </c>
      <c r="AD1011" s="289" t="s">
        <v>1446</v>
      </c>
      <c r="AE1011" s="289" t="s">
        <v>410</v>
      </c>
      <c r="AF1011" s="290" t="s">
        <v>1447</v>
      </c>
      <c r="AG1011" s="295">
        <v>41305</v>
      </c>
      <c r="AH1011" s="290" t="s">
        <v>1448</v>
      </c>
      <c r="AI1011" s="289">
        <v>0</v>
      </c>
      <c r="AJ1011" s="289">
        <v>401.69</v>
      </c>
    </row>
    <row r="1012" spans="2:36">
      <c r="B1012" s="290">
        <v>2111</v>
      </c>
      <c r="C1012" s="294">
        <v>102356</v>
      </c>
      <c r="D1012" s="290">
        <v>102350</v>
      </c>
      <c r="E1012" s="289" t="s">
        <v>3008</v>
      </c>
      <c r="F1012" s="290">
        <v>0</v>
      </c>
      <c r="G1012" s="289"/>
      <c r="H1012" s="289" t="s">
        <v>3009</v>
      </c>
      <c r="I1012" s="289"/>
      <c r="J1012" s="289">
        <v>2000</v>
      </c>
      <c r="K1012" s="289"/>
      <c r="L1012" s="289"/>
      <c r="M1012" s="289" t="s">
        <v>1467</v>
      </c>
      <c r="N1012" s="293">
        <v>38049</v>
      </c>
      <c r="O1012" s="293">
        <v>38049</v>
      </c>
      <c r="P1012" s="289">
        <v>42040018</v>
      </c>
      <c r="Q1012" s="290">
        <v>500</v>
      </c>
      <c r="R1012" s="290">
        <v>14040</v>
      </c>
      <c r="S1012" s="291">
        <v>190</v>
      </c>
      <c r="T1012" s="290">
        <v>14046</v>
      </c>
      <c r="U1012" s="291">
        <v>190</v>
      </c>
      <c r="V1012" s="291">
        <f t="shared" si="15"/>
        <v>0</v>
      </c>
      <c r="W1012" s="292">
        <v>0</v>
      </c>
      <c r="X1012" s="290">
        <v>51260</v>
      </c>
      <c r="Y1012" s="291">
        <v>0</v>
      </c>
      <c r="Z1012" s="289" t="s">
        <v>410</v>
      </c>
      <c r="AA1012" s="289">
        <v>0</v>
      </c>
      <c r="AB1012" s="289">
        <v>33563</v>
      </c>
      <c r="AC1012" s="289">
        <v>61</v>
      </c>
      <c r="AD1012" s="289" t="s">
        <v>1446</v>
      </c>
      <c r="AE1012" s="289" t="s">
        <v>410</v>
      </c>
      <c r="AF1012" s="290" t="s">
        <v>1447</v>
      </c>
      <c r="AG1012" s="295">
        <v>41305</v>
      </c>
      <c r="AH1012" s="290" t="s">
        <v>1448</v>
      </c>
      <c r="AI1012" s="289">
        <v>0</v>
      </c>
      <c r="AJ1012" s="289">
        <v>190</v>
      </c>
    </row>
    <row r="1013" spans="2:36">
      <c r="B1013" s="290">
        <v>2111</v>
      </c>
      <c r="C1013" s="294">
        <v>102355</v>
      </c>
      <c r="D1013" s="290">
        <v>102350</v>
      </c>
      <c r="E1013" s="289" t="s">
        <v>3008</v>
      </c>
      <c r="F1013" s="290">
        <v>0</v>
      </c>
      <c r="G1013" s="289"/>
      <c r="H1013" s="289" t="s">
        <v>3009</v>
      </c>
      <c r="I1013" s="289"/>
      <c r="J1013" s="289">
        <v>2000</v>
      </c>
      <c r="K1013" s="289"/>
      <c r="L1013" s="289"/>
      <c r="M1013" s="289" t="s">
        <v>1467</v>
      </c>
      <c r="N1013" s="293">
        <v>38043</v>
      </c>
      <c r="O1013" s="293">
        <v>38043</v>
      </c>
      <c r="P1013" s="289">
        <v>42040018</v>
      </c>
      <c r="Q1013" s="290">
        <v>500</v>
      </c>
      <c r="R1013" s="290">
        <v>14040</v>
      </c>
      <c r="S1013" s="291">
        <v>144.69999999999999</v>
      </c>
      <c r="T1013" s="290">
        <v>14046</v>
      </c>
      <c r="U1013" s="291">
        <v>144.69999999999999</v>
      </c>
      <c r="V1013" s="291">
        <f t="shared" si="15"/>
        <v>0</v>
      </c>
      <c r="W1013" s="292">
        <v>0</v>
      </c>
      <c r="X1013" s="290">
        <v>51260</v>
      </c>
      <c r="Y1013" s="291">
        <v>0</v>
      </c>
      <c r="Z1013" s="289" t="s">
        <v>410</v>
      </c>
      <c r="AA1013" s="289">
        <v>0</v>
      </c>
      <c r="AB1013" s="289">
        <v>33483</v>
      </c>
      <c r="AC1013" s="289">
        <v>61</v>
      </c>
      <c r="AD1013" s="289" t="s">
        <v>1446</v>
      </c>
      <c r="AE1013" s="289" t="s">
        <v>410</v>
      </c>
      <c r="AF1013" s="290" t="s">
        <v>1447</v>
      </c>
      <c r="AG1013" s="295">
        <v>41305</v>
      </c>
      <c r="AH1013" s="290" t="s">
        <v>1448</v>
      </c>
      <c r="AI1013" s="289">
        <v>0</v>
      </c>
      <c r="AJ1013" s="289">
        <v>144.69999999999999</v>
      </c>
    </row>
    <row r="1014" spans="2:36">
      <c r="B1014" s="290">
        <v>2111</v>
      </c>
      <c r="C1014" s="294">
        <v>102354</v>
      </c>
      <c r="D1014" s="290">
        <v>102350</v>
      </c>
      <c r="E1014" s="289" t="s">
        <v>3008</v>
      </c>
      <c r="F1014" s="290">
        <v>0</v>
      </c>
      <c r="G1014" s="289"/>
      <c r="H1014" s="289" t="s">
        <v>3009</v>
      </c>
      <c r="I1014" s="289"/>
      <c r="J1014" s="289">
        <v>2000</v>
      </c>
      <c r="K1014" s="289"/>
      <c r="L1014" s="289"/>
      <c r="M1014" s="289" t="s">
        <v>1467</v>
      </c>
      <c r="N1014" s="293">
        <v>38035</v>
      </c>
      <c r="O1014" s="293">
        <v>38035</v>
      </c>
      <c r="P1014" s="289">
        <v>42040018</v>
      </c>
      <c r="Q1014" s="290">
        <v>500</v>
      </c>
      <c r="R1014" s="290">
        <v>14040</v>
      </c>
      <c r="S1014" s="291">
        <v>253.67</v>
      </c>
      <c r="T1014" s="290">
        <v>14046</v>
      </c>
      <c r="U1014" s="291">
        <v>253.67</v>
      </c>
      <c r="V1014" s="291">
        <f t="shared" si="15"/>
        <v>0</v>
      </c>
      <c r="W1014" s="292">
        <v>0</v>
      </c>
      <c r="X1014" s="290">
        <v>51260</v>
      </c>
      <c r="Y1014" s="291">
        <v>0</v>
      </c>
      <c r="Z1014" s="289" t="s">
        <v>410</v>
      </c>
      <c r="AA1014" s="289">
        <v>0</v>
      </c>
      <c r="AB1014" s="289" t="s">
        <v>3012</v>
      </c>
      <c r="AC1014" s="289">
        <v>61</v>
      </c>
      <c r="AD1014" s="289" t="s">
        <v>1446</v>
      </c>
      <c r="AE1014" s="289" t="s">
        <v>410</v>
      </c>
      <c r="AF1014" s="290" t="s">
        <v>1447</v>
      </c>
      <c r="AG1014" s="295">
        <v>41305</v>
      </c>
      <c r="AH1014" s="290" t="s">
        <v>1448</v>
      </c>
      <c r="AI1014" s="289">
        <v>0</v>
      </c>
      <c r="AJ1014" s="289">
        <v>253.67</v>
      </c>
    </row>
    <row r="1015" spans="2:36">
      <c r="B1015" s="290">
        <v>2111</v>
      </c>
      <c r="C1015" s="294">
        <v>102353</v>
      </c>
      <c r="D1015" s="290">
        <v>102350</v>
      </c>
      <c r="E1015" s="289" t="s">
        <v>3008</v>
      </c>
      <c r="F1015" s="290">
        <v>0</v>
      </c>
      <c r="G1015" s="289"/>
      <c r="H1015" s="289" t="s">
        <v>3009</v>
      </c>
      <c r="I1015" s="289"/>
      <c r="J1015" s="289">
        <v>2000</v>
      </c>
      <c r="K1015" s="289"/>
      <c r="L1015" s="289"/>
      <c r="M1015" s="289" t="s">
        <v>1467</v>
      </c>
      <c r="N1015" s="293">
        <v>38034</v>
      </c>
      <c r="O1015" s="293">
        <v>38034</v>
      </c>
      <c r="P1015" s="289">
        <v>42040018</v>
      </c>
      <c r="Q1015" s="290">
        <v>500</v>
      </c>
      <c r="R1015" s="290">
        <v>14040</v>
      </c>
      <c r="S1015" s="291">
        <v>113.91</v>
      </c>
      <c r="T1015" s="290">
        <v>14046</v>
      </c>
      <c r="U1015" s="291">
        <v>113.91</v>
      </c>
      <c r="V1015" s="291">
        <f t="shared" si="15"/>
        <v>0</v>
      </c>
      <c r="W1015" s="292">
        <v>0</v>
      </c>
      <c r="X1015" s="290">
        <v>51260</v>
      </c>
      <c r="Y1015" s="291">
        <v>0</v>
      </c>
      <c r="Z1015" s="289" t="s">
        <v>410</v>
      </c>
      <c r="AA1015" s="289">
        <v>0</v>
      </c>
      <c r="AB1015" s="289">
        <v>122778</v>
      </c>
      <c r="AC1015" s="289">
        <v>61</v>
      </c>
      <c r="AD1015" s="289" t="s">
        <v>1446</v>
      </c>
      <c r="AE1015" s="289" t="s">
        <v>410</v>
      </c>
      <c r="AF1015" s="290" t="s">
        <v>1447</v>
      </c>
      <c r="AG1015" s="295">
        <v>41305</v>
      </c>
      <c r="AH1015" s="290" t="s">
        <v>1448</v>
      </c>
      <c r="AI1015" s="289">
        <v>0</v>
      </c>
      <c r="AJ1015" s="289">
        <v>113.91</v>
      </c>
    </row>
    <row r="1016" spans="2:36">
      <c r="B1016" s="290">
        <v>2111</v>
      </c>
      <c r="C1016" s="294">
        <v>102352</v>
      </c>
      <c r="D1016" s="290">
        <v>102350</v>
      </c>
      <c r="E1016" s="289" t="s">
        <v>3008</v>
      </c>
      <c r="F1016" s="290">
        <v>0</v>
      </c>
      <c r="G1016" s="289"/>
      <c r="H1016" s="289" t="s">
        <v>3009</v>
      </c>
      <c r="I1016" s="289"/>
      <c r="J1016" s="289">
        <v>2000</v>
      </c>
      <c r="K1016" s="289"/>
      <c r="L1016" s="289"/>
      <c r="M1016" s="289" t="s">
        <v>1467</v>
      </c>
      <c r="N1016" s="293">
        <v>38035</v>
      </c>
      <c r="O1016" s="293">
        <v>38035</v>
      </c>
      <c r="P1016" s="289">
        <v>42040018</v>
      </c>
      <c r="Q1016" s="290">
        <v>500</v>
      </c>
      <c r="R1016" s="290">
        <v>14040</v>
      </c>
      <c r="S1016" s="291">
        <v>1000</v>
      </c>
      <c r="T1016" s="290">
        <v>14046</v>
      </c>
      <c r="U1016" s="291">
        <v>1000</v>
      </c>
      <c r="V1016" s="291">
        <f t="shared" si="15"/>
        <v>0</v>
      </c>
      <c r="W1016" s="292">
        <v>0</v>
      </c>
      <c r="X1016" s="290">
        <v>51260</v>
      </c>
      <c r="Y1016" s="291">
        <v>0</v>
      </c>
      <c r="Z1016" s="289" t="s">
        <v>410</v>
      </c>
      <c r="AA1016" s="289">
        <v>0</v>
      </c>
      <c r="AB1016" s="289"/>
      <c r="AC1016" s="289">
        <v>61</v>
      </c>
      <c r="AD1016" s="289" t="s">
        <v>1446</v>
      </c>
      <c r="AE1016" s="289" t="s">
        <v>410</v>
      </c>
      <c r="AF1016" s="290" t="s">
        <v>1447</v>
      </c>
      <c r="AG1016" s="295">
        <v>41305</v>
      </c>
      <c r="AH1016" s="290" t="s">
        <v>1448</v>
      </c>
      <c r="AI1016" s="289">
        <v>0</v>
      </c>
      <c r="AJ1016" s="289">
        <v>1000</v>
      </c>
    </row>
    <row r="1017" spans="2:36">
      <c r="B1017" s="290">
        <v>2111</v>
      </c>
      <c r="C1017" s="294">
        <v>102351</v>
      </c>
      <c r="D1017" s="290">
        <v>102350</v>
      </c>
      <c r="E1017" s="289" t="s">
        <v>3013</v>
      </c>
      <c r="F1017" s="290">
        <v>0</v>
      </c>
      <c r="G1017" s="289"/>
      <c r="H1017" s="289"/>
      <c r="I1017" s="289"/>
      <c r="J1017" s="289">
        <v>0</v>
      </c>
      <c r="K1017" s="289"/>
      <c r="L1017" s="289"/>
      <c r="M1017" s="289" t="s">
        <v>1467</v>
      </c>
      <c r="N1017" s="293">
        <v>37621</v>
      </c>
      <c r="O1017" s="293">
        <v>37621</v>
      </c>
      <c r="P1017" s="289" t="s">
        <v>3014</v>
      </c>
      <c r="Q1017" s="290">
        <v>1000</v>
      </c>
      <c r="R1017" s="290">
        <v>14040</v>
      </c>
      <c r="S1017" s="291">
        <v>39</v>
      </c>
      <c r="T1017" s="290">
        <v>14046</v>
      </c>
      <c r="U1017" s="291">
        <v>39</v>
      </c>
      <c r="V1017" s="291">
        <f t="shared" si="15"/>
        <v>0</v>
      </c>
      <c r="W1017" s="292">
        <v>0</v>
      </c>
      <c r="X1017" s="290">
        <v>51260</v>
      </c>
      <c r="Y1017" s="291">
        <v>0</v>
      </c>
      <c r="Z1017" s="289" t="s">
        <v>944</v>
      </c>
      <c r="AA1017" s="289"/>
      <c r="AB1017" s="289" t="s">
        <v>3015</v>
      </c>
      <c r="AC1017" s="289"/>
      <c r="AD1017" s="289" t="s">
        <v>1446</v>
      </c>
      <c r="AE1017" s="289" t="s">
        <v>410</v>
      </c>
      <c r="AF1017" s="290" t="s">
        <v>1447</v>
      </c>
      <c r="AG1017" s="295">
        <v>41305</v>
      </c>
      <c r="AH1017" s="290" t="s">
        <v>1448</v>
      </c>
      <c r="AI1017" s="289">
        <v>0</v>
      </c>
      <c r="AJ1017" s="289">
        <v>39</v>
      </c>
    </row>
    <row r="1018" spans="2:36">
      <c r="B1018" s="290">
        <v>2111</v>
      </c>
      <c r="C1018" s="294">
        <v>102350</v>
      </c>
      <c r="D1018" s="290" t="s">
        <v>944</v>
      </c>
      <c r="E1018" s="289" t="s">
        <v>3016</v>
      </c>
      <c r="F1018" s="290">
        <v>0</v>
      </c>
      <c r="G1018" s="289"/>
      <c r="H1018" s="289" t="s">
        <v>3009</v>
      </c>
      <c r="I1018" s="289"/>
      <c r="J1018" s="289">
        <v>2000</v>
      </c>
      <c r="K1018" s="289" t="s">
        <v>3017</v>
      </c>
      <c r="L1018" s="289" t="s">
        <v>751</v>
      </c>
      <c r="M1018" s="289" t="s">
        <v>1591</v>
      </c>
      <c r="N1018" s="293">
        <v>38014</v>
      </c>
      <c r="O1018" s="293">
        <v>38014</v>
      </c>
      <c r="P1018" s="289">
        <v>42040018</v>
      </c>
      <c r="Q1018" s="290">
        <v>500</v>
      </c>
      <c r="R1018" s="290">
        <v>14040</v>
      </c>
      <c r="S1018" s="291">
        <v>47000</v>
      </c>
      <c r="T1018" s="290">
        <v>14046</v>
      </c>
      <c r="U1018" s="291">
        <v>47000</v>
      </c>
      <c r="V1018" s="291">
        <f t="shared" si="15"/>
        <v>0</v>
      </c>
      <c r="W1018" s="292">
        <v>0</v>
      </c>
      <c r="X1018" s="290">
        <v>51260</v>
      </c>
      <c r="Y1018" s="291">
        <v>0</v>
      </c>
      <c r="Z1018" s="289" t="s">
        <v>410</v>
      </c>
      <c r="AA1018" s="289">
        <v>0</v>
      </c>
      <c r="AB1018" s="289"/>
      <c r="AC1018" s="289">
        <v>61</v>
      </c>
      <c r="AD1018" s="289" t="s">
        <v>1446</v>
      </c>
      <c r="AE1018" s="289" t="s">
        <v>410</v>
      </c>
      <c r="AF1018" s="290" t="s">
        <v>1447</v>
      </c>
      <c r="AG1018" s="295">
        <v>41305</v>
      </c>
      <c r="AH1018" s="290" t="s">
        <v>1448</v>
      </c>
      <c r="AI1018" s="289">
        <v>0</v>
      </c>
      <c r="AJ1018" s="289">
        <v>47000</v>
      </c>
    </row>
    <row r="1019" spans="2:36">
      <c r="B1019" s="290">
        <v>2111</v>
      </c>
      <c r="C1019" s="294">
        <v>102349</v>
      </c>
      <c r="D1019" s="290">
        <v>102347</v>
      </c>
      <c r="E1019" s="289" t="s">
        <v>3018</v>
      </c>
      <c r="F1019" s="290">
        <v>0</v>
      </c>
      <c r="G1019" s="289"/>
      <c r="H1019" s="289" t="s">
        <v>3019</v>
      </c>
      <c r="I1019" s="289"/>
      <c r="J1019" s="289">
        <v>2002</v>
      </c>
      <c r="K1019" s="289"/>
      <c r="L1019" s="289"/>
      <c r="M1019" s="289" t="s">
        <v>1591</v>
      </c>
      <c r="N1019" s="293">
        <v>37412</v>
      </c>
      <c r="O1019" s="293">
        <v>37412</v>
      </c>
      <c r="P1019" s="289" t="s">
        <v>3020</v>
      </c>
      <c r="Q1019" s="290">
        <v>600</v>
      </c>
      <c r="R1019" s="290">
        <v>14040</v>
      </c>
      <c r="S1019" s="291">
        <v>17500</v>
      </c>
      <c r="T1019" s="290">
        <v>14046</v>
      </c>
      <c r="U1019" s="291">
        <v>17500</v>
      </c>
      <c r="V1019" s="291">
        <f t="shared" si="15"/>
        <v>0</v>
      </c>
      <c r="W1019" s="292">
        <v>0</v>
      </c>
      <c r="X1019" s="290">
        <v>51260</v>
      </c>
      <c r="Y1019" s="291">
        <v>0</v>
      </c>
      <c r="Z1019" s="289" t="s">
        <v>944</v>
      </c>
      <c r="AA1019" s="289"/>
      <c r="AB1019" s="289"/>
      <c r="AC1019" s="289">
        <v>60</v>
      </c>
      <c r="AD1019" s="289" t="s">
        <v>1446</v>
      </c>
      <c r="AE1019" s="289" t="s">
        <v>410</v>
      </c>
      <c r="AF1019" s="290" t="s">
        <v>1447</v>
      </c>
      <c r="AG1019" s="295">
        <v>41305</v>
      </c>
      <c r="AH1019" s="290" t="s">
        <v>1448</v>
      </c>
      <c r="AI1019" s="289">
        <v>0</v>
      </c>
      <c r="AJ1019" s="289">
        <v>17500</v>
      </c>
    </row>
    <row r="1020" spans="2:36">
      <c r="B1020" s="290">
        <v>2111</v>
      </c>
      <c r="C1020" s="294">
        <v>102348</v>
      </c>
      <c r="D1020" s="290">
        <v>102347</v>
      </c>
      <c r="E1020" s="289" t="s">
        <v>3021</v>
      </c>
      <c r="F1020" s="290">
        <v>0</v>
      </c>
      <c r="G1020" s="289"/>
      <c r="H1020" s="289" t="s">
        <v>3019</v>
      </c>
      <c r="I1020" s="289"/>
      <c r="J1020" s="289">
        <v>2001</v>
      </c>
      <c r="K1020" s="289"/>
      <c r="L1020" s="289"/>
      <c r="M1020" s="289"/>
      <c r="N1020" s="293">
        <v>39538</v>
      </c>
      <c r="O1020" s="293">
        <v>39538</v>
      </c>
      <c r="P1020" s="289" t="s">
        <v>3022</v>
      </c>
      <c r="Q1020" s="290">
        <v>300</v>
      </c>
      <c r="R1020" s="290">
        <v>14040</v>
      </c>
      <c r="S1020" s="291">
        <v>13118.26</v>
      </c>
      <c r="T1020" s="290">
        <v>14046</v>
      </c>
      <c r="U1020" s="291">
        <v>13118.26</v>
      </c>
      <c r="V1020" s="291">
        <f t="shared" si="15"/>
        <v>0</v>
      </c>
      <c r="W1020" s="292">
        <v>0</v>
      </c>
      <c r="X1020" s="290">
        <v>51260</v>
      </c>
      <c r="Y1020" s="291">
        <v>0</v>
      </c>
      <c r="Z1020" s="289" t="s">
        <v>944</v>
      </c>
      <c r="AA1020" s="289"/>
      <c r="AB1020" s="289">
        <v>6708209</v>
      </c>
      <c r="AC1020" s="289" t="s">
        <v>3023</v>
      </c>
      <c r="AD1020" s="289" t="s">
        <v>1446</v>
      </c>
      <c r="AE1020" s="289" t="s">
        <v>410</v>
      </c>
      <c r="AF1020" s="290" t="s">
        <v>1447</v>
      </c>
      <c r="AG1020" s="295">
        <v>41305</v>
      </c>
      <c r="AH1020" s="290" t="s">
        <v>1448</v>
      </c>
      <c r="AI1020" s="289">
        <v>0</v>
      </c>
      <c r="AJ1020" s="289">
        <v>13118.26</v>
      </c>
    </row>
    <row r="1021" spans="2:36">
      <c r="B1021" s="290">
        <v>2111</v>
      </c>
      <c r="C1021" s="294">
        <v>102347</v>
      </c>
      <c r="D1021" s="290" t="s">
        <v>944</v>
      </c>
      <c r="E1021" s="289" t="s">
        <v>1258</v>
      </c>
      <c r="F1021" s="290">
        <v>0</v>
      </c>
      <c r="G1021" s="289"/>
      <c r="H1021" s="289" t="s">
        <v>3019</v>
      </c>
      <c r="I1021" s="289"/>
      <c r="J1021" s="289">
        <v>2001</v>
      </c>
      <c r="K1021" s="289" t="s">
        <v>3017</v>
      </c>
      <c r="L1021" s="289" t="s">
        <v>751</v>
      </c>
      <c r="M1021" s="289" t="s">
        <v>1591</v>
      </c>
      <c r="N1021" s="293">
        <v>37408</v>
      </c>
      <c r="O1021" s="293">
        <v>37408</v>
      </c>
      <c r="P1021" s="289">
        <v>22040016</v>
      </c>
      <c r="Q1021" s="290">
        <v>600</v>
      </c>
      <c r="R1021" s="290">
        <v>14040</v>
      </c>
      <c r="S1021" s="291">
        <v>37500</v>
      </c>
      <c r="T1021" s="290">
        <v>14046</v>
      </c>
      <c r="U1021" s="291">
        <v>37500</v>
      </c>
      <c r="V1021" s="291">
        <f t="shared" si="15"/>
        <v>0</v>
      </c>
      <c r="W1021" s="292">
        <v>0</v>
      </c>
      <c r="X1021" s="290">
        <v>51260</v>
      </c>
      <c r="Y1021" s="291">
        <v>0</v>
      </c>
      <c r="Z1021" s="289" t="s">
        <v>944</v>
      </c>
      <c r="AA1021" s="289"/>
      <c r="AB1021" s="289"/>
      <c r="AC1021" s="289">
        <v>60</v>
      </c>
      <c r="AD1021" s="289" t="s">
        <v>1446</v>
      </c>
      <c r="AE1021" s="289" t="s">
        <v>410</v>
      </c>
      <c r="AF1021" s="290" t="s">
        <v>1447</v>
      </c>
      <c r="AG1021" s="295">
        <v>41305</v>
      </c>
      <c r="AH1021" s="290" t="s">
        <v>1448</v>
      </c>
      <c r="AI1021" s="289">
        <v>0</v>
      </c>
      <c r="AJ1021" s="289">
        <v>37500</v>
      </c>
    </row>
    <row r="1022" spans="2:36">
      <c r="B1022" s="290">
        <v>2111</v>
      </c>
      <c r="C1022" s="294">
        <v>102189</v>
      </c>
      <c r="D1022" s="290">
        <v>102188</v>
      </c>
      <c r="E1022" s="289" t="s">
        <v>3024</v>
      </c>
      <c r="F1022" s="290">
        <v>0</v>
      </c>
      <c r="G1022" s="289"/>
      <c r="H1022" s="289" t="s">
        <v>3025</v>
      </c>
      <c r="I1022" s="289"/>
      <c r="J1022" s="289">
        <v>2010</v>
      </c>
      <c r="K1022" s="289"/>
      <c r="L1022" s="289"/>
      <c r="M1022" s="289" t="s">
        <v>1495</v>
      </c>
      <c r="N1022" s="293">
        <v>40482</v>
      </c>
      <c r="O1022" s="293">
        <v>40482</v>
      </c>
      <c r="P1022" s="289" t="s">
        <v>3026</v>
      </c>
      <c r="Q1022" s="290">
        <v>900</v>
      </c>
      <c r="R1022" s="290">
        <v>14040</v>
      </c>
      <c r="S1022" s="291">
        <v>129535.12</v>
      </c>
      <c r="T1022" s="290">
        <v>14046</v>
      </c>
      <c r="U1022" s="291">
        <v>129535.12</v>
      </c>
      <c r="V1022" s="291">
        <f t="shared" si="15"/>
        <v>0</v>
      </c>
      <c r="W1022" s="292">
        <v>0</v>
      </c>
      <c r="X1022" s="290">
        <v>51260</v>
      </c>
      <c r="Y1022" s="291">
        <v>0</v>
      </c>
      <c r="Z1022" s="289" t="s">
        <v>944</v>
      </c>
      <c r="AA1022" s="289"/>
      <c r="AB1022" s="289" t="s">
        <v>3027</v>
      </c>
      <c r="AC1022" s="289">
        <v>624</v>
      </c>
      <c r="AD1022" s="289" t="s">
        <v>1446</v>
      </c>
      <c r="AE1022" s="289" t="s">
        <v>410</v>
      </c>
      <c r="AF1022" s="290" t="s">
        <v>1447</v>
      </c>
      <c r="AG1022" s="295">
        <v>41305</v>
      </c>
      <c r="AH1022" s="290" t="s">
        <v>1448</v>
      </c>
      <c r="AI1022" s="289">
        <v>0</v>
      </c>
      <c r="AJ1022" s="289">
        <v>32383.78</v>
      </c>
    </row>
    <row r="1023" spans="2:36">
      <c r="B1023" s="290">
        <v>2111</v>
      </c>
      <c r="C1023" s="294">
        <v>102188</v>
      </c>
      <c r="D1023" s="290" t="s">
        <v>944</v>
      </c>
      <c r="E1023" s="289" t="s">
        <v>3028</v>
      </c>
      <c r="F1023" s="290">
        <v>0</v>
      </c>
      <c r="G1023" s="289"/>
      <c r="H1023" s="289" t="s">
        <v>3025</v>
      </c>
      <c r="I1023" s="289"/>
      <c r="J1023" s="289">
        <v>2010</v>
      </c>
      <c r="K1023" s="289" t="s">
        <v>3029</v>
      </c>
      <c r="L1023" s="289" t="s">
        <v>1764</v>
      </c>
      <c r="M1023" s="289" t="s">
        <v>3030</v>
      </c>
      <c r="N1023" s="293">
        <v>40482</v>
      </c>
      <c r="O1023" s="293">
        <v>40482</v>
      </c>
      <c r="P1023" s="289" t="s">
        <v>3026</v>
      </c>
      <c r="Q1023" s="290">
        <v>900</v>
      </c>
      <c r="R1023" s="290">
        <v>14040</v>
      </c>
      <c r="S1023" s="291">
        <v>162266.70000000001</v>
      </c>
      <c r="T1023" s="290">
        <v>14046</v>
      </c>
      <c r="U1023" s="291">
        <v>162266.70000000001</v>
      </c>
      <c r="V1023" s="291">
        <f t="shared" si="15"/>
        <v>0</v>
      </c>
      <c r="W1023" s="292">
        <v>0</v>
      </c>
      <c r="X1023" s="290">
        <v>51260</v>
      </c>
      <c r="Y1023" s="291">
        <v>0</v>
      </c>
      <c r="Z1023" s="289" t="s">
        <v>944</v>
      </c>
      <c r="AA1023" s="289"/>
      <c r="AB1023" s="289" t="s">
        <v>3027</v>
      </c>
      <c r="AC1023" s="289">
        <v>624</v>
      </c>
      <c r="AD1023" s="289" t="s">
        <v>1446</v>
      </c>
      <c r="AE1023" s="289" t="s">
        <v>410</v>
      </c>
      <c r="AF1023" s="290" t="s">
        <v>1447</v>
      </c>
      <c r="AG1023" s="295">
        <v>41305</v>
      </c>
      <c r="AH1023" s="290" t="s">
        <v>1448</v>
      </c>
      <c r="AI1023" s="289">
        <v>0</v>
      </c>
      <c r="AJ1023" s="289">
        <v>40566.67</v>
      </c>
    </row>
    <row r="1024" spans="2:36">
      <c r="B1024" s="290">
        <v>2111</v>
      </c>
      <c r="C1024" s="294">
        <v>102187</v>
      </c>
      <c r="D1024" s="290" t="s">
        <v>944</v>
      </c>
      <c r="E1024" s="289" t="s">
        <v>1259</v>
      </c>
      <c r="F1024" s="290">
        <v>0</v>
      </c>
      <c r="G1024" s="289"/>
      <c r="H1024" s="289" t="s">
        <v>3031</v>
      </c>
      <c r="I1024" s="289"/>
      <c r="J1024" s="289">
        <v>2006</v>
      </c>
      <c r="K1024" s="289" t="s">
        <v>3032</v>
      </c>
      <c r="L1024" s="289" t="s">
        <v>751</v>
      </c>
      <c r="M1024" s="289" t="s">
        <v>1591</v>
      </c>
      <c r="N1024" s="293">
        <v>40305</v>
      </c>
      <c r="O1024" s="293">
        <v>40305</v>
      </c>
      <c r="P1024" s="289" t="s">
        <v>3033</v>
      </c>
      <c r="Q1024" s="290">
        <v>600</v>
      </c>
      <c r="R1024" s="290">
        <v>14040</v>
      </c>
      <c r="S1024" s="291">
        <v>76172</v>
      </c>
      <c r="T1024" s="290">
        <v>14046</v>
      </c>
      <c r="U1024" s="291">
        <v>76172</v>
      </c>
      <c r="V1024" s="291">
        <f t="shared" si="15"/>
        <v>0</v>
      </c>
      <c r="W1024" s="292">
        <v>0</v>
      </c>
      <c r="X1024" s="290">
        <v>51260</v>
      </c>
      <c r="Y1024" s="291">
        <v>0</v>
      </c>
      <c r="Z1024" s="289" t="s">
        <v>944</v>
      </c>
      <c r="AA1024" s="289"/>
      <c r="AB1024" s="289" t="s">
        <v>3034</v>
      </c>
      <c r="AC1024" s="289">
        <v>183</v>
      </c>
      <c r="AD1024" s="289" t="s">
        <v>1446</v>
      </c>
      <c r="AE1024" s="289" t="s">
        <v>410</v>
      </c>
      <c r="AF1024" s="290" t="s">
        <v>1447</v>
      </c>
      <c r="AG1024" s="295">
        <v>41305</v>
      </c>
      <c r="AH1024" s="290" t="s">
        <v>1448</v>
      </c>
      <c r="AI1024" s="289">
        <v>0</v>
      </c>
      <c r="AJ1024" s="289">
        <v>34912.129999999997</v>
      </c>
    </row>
    <row r="1025" spans="2:36">
      <c r="B1025" s="290">
        <v>2111</v>
      </c>
      <c r="C1025" s="294">
        <v>102178</v>
      </c>
      <c r="D1025" s="290">
        <v>102177</v>
      </c>
      <c r="E1025" s="289" t="s">
        <v>3035</v>
      </c>
      <c r="F1025" s="290">
        <v>0</v>
      </c>
      <c r="G1025" s="289"/>
      <c r="H1025" s="289" t="s">
        <v>3036</v>
      </c>
      <c r="I1025" s="289"/>
      <c r="J1025" s="289">
        <v>2007</v>
      </c>
      <c r="K1025" s="289"/>
      <c r="L1025" s="289"/>
      <c r="M1025" s="289" t="s">
        <v>1591</v>
      </c>
      <c r="N1025" s="293">
        <v>39814</v>
      </c>
      <c r="O1025" s="293">
        <v>39814</v>
      </c>
      <c r="P1025" s="289" t="s">
        <v>3037</v>
      </c>
      <c r="Q1025" s="290">
        <v>709</v>
      </c>
      <c r="R1025" s="290">
        <v>14040</v>
      </c>
      <c r="S1025" s="291">
        <v>3236.4</v>
      </c>
      <c r="T1025" s="290">
        <v>14046</v>
      </c>
      <c r="U1025" s="291">
        <v>3236.4</v>
      </c>
      <c r="V1025" s="291">
        <f t="shared" si="15"/>
        <v>0</v>
      </c>
      <c r="W1025" s="292">
        <v>0</v>
      </c>
      <c r="X1025" s="290">
        <v>51260</v>
      </c>
      <c r="Y1025" s="291">
        <v>0</v>
      </c>
      <c r="Z1025" s="289" t="s">
        <v>944</v>
      </c>
      <c r="AA1025" s="289"/>
      <c r="AB1025" s="289" t="s">
        <v>3038</v>
      </c>
      <c r="AC1025" s="289"/>
      <c r="AD1025" s="289" t="s">
        <v>1446</v>
      </c>
      <c r="AE1025" s="289" t="s">
        <v>410</v>
      </c>
      <c r="AF1025" s="290" t="s">
        <v>1447</v>
      </c>
      <c r="AG1025" s="295">
        <v>41305</v>
      </c>
      <c r="AH1025" s="290" t="s">
        <v>1448</v>
      </c>
      <c r="AI1025" s="289">
        <v>0</v>
      </c>
      <c r="AJ1025" s="289">
        <v>1705.2</v>
      </c>
    </row>
    <row r="1026" spans="2:36">
      <c r="B1026" s="290">
        <v>2111</v>
      </c>
      <c r="C1026" s="294">
        <v>102177</v>
      </c>
      <c r="D1026" s="290" t="s">
        <v>944</v>
      </c>
      <c r="E1026" s="289" t="s">
        <v>3039</v>
      </c>
      <c r="F1026" s="290">
        <v>0</v>
      </c>
      <c r="G1026" s="289"/>
      <c r="H1026" s="289" t="s">
        <v>3036</v>
      </c>
      <c r="I1026" s="289"/>
      <c r="J1026" s="289">
        <v>2007</v>
      </c>
      <c r="K1026" s="289" t="s">
        <v>3032</v>
      </c>
      <c r="L1026" s="289" t="s">
        <v>2214</v>
      </c>
      <c r="M1026" s="289" t="s">
        <v>1591</v>
      </c>
      <c r="N1026" s="293">
        <v>39716</v>
      </c>
      <c r="O1026" s="293">
        <v>39716</v>
      </c>
      <c r="P1026" s="289" t="s">
        <v>3040</v>
      </c>
      <c r="Q1026" s="290">
        <v>800</v>
      </c>
      <c r="R1026" s="290">
        <v>14040</v>
      </c>
      <c r="S1026" s="291">
        <v>110664</v>
      </c>
      <c r="T1026" s="290">
        <v>14046</v>
      </c>
      <c r="U1026" s="291">
        <v>110664</v>
      </c>
      <c r="V1026" s="291">
        <f t="shared" si="15"/>
        <v>0</v>
      </c>
      <c r="W1026" s="292">
        <v>0</v>
      </c>
      <c r="X1026" s="290">
        <v>51260</v>
      </c>
      <c r="Y1026" s="291">
        <v>0</v>
      </c>
      <c r="Z1026" s="289" t="s">
        <v>944</v>
      </c>
      <c r="AA1026" s="289"/>
      <c r="AB1026" s="289" t="s">
        <v>3041</v>
      </c>
      <c r="AC1026" s="289">
        <v>181</v>
      </c>
      <c r="AD1026" s="289" t="s">
        <v>1446</v>
      </c>
      <c r="AE1026" s="289" t="s">
        <v>410</v>
      </c>
      <c r="AF1026" s="290" t="s">
        <v>1447</v>
      </c>
      <c r="AG1026" s="295">
        <v>41305</v>
      </c>
      <c r="AH1026" s="290" t="s">
        <v>1448</v>
      </c>
      <c r="AI1026" s="289">
        <v>0</v>
      </c>
      <c r="AJ1026" s="289">
        <v>59943</v>
      </c>
    </row>
    <row r="1027" spans="2:36">
      <c r="B1027" s="290">
        <v>2111</v>
      </c>
      <c r="C1027" s="294">
        <v>102176</v>
      </c>
      <c r="D1027" s="290">
        <v>102175</v>
      </c>
      <c r="E1027" s="289" t="s">
        <v>3042</v>
      </c>
      <c r="F1027" s="290">
        <v>0</v>
      </c>
      <c r="G1027" s="289"/>
      <c r="H1027" s="289"/>
      <c r="I1027" s="289"/>
      <c r="J1027" s="289">
        <v>0</v>
      </c>
      <c r="K1027" s="289"/>
      <c r="L1027" s="289"/>
      <c r="M1027" s="289"/>
      <c r="N1027" s="293">
        <v>39814</v>
      </c>
      <c r="O1027" s="293">
        <v>39814</v>
      </c>
      <c r="P1027" s="289" t="s">
        <v>2310</v>
      </c>
      <c r="Q1027" s="290">
        <v>300</v>
      </c>
      <c r="R1027" s="290">
        <v>14040</v>
      </c>
      <c r="S1027" s="291">
        <v>6818.83</v>
      </c>
      <c r="T1027" s="290">
        <v>14046</v>
      </c>
      <c r="U1027" s="291">
        <v>6818.83</v>
      </c>
      <c r="V1027" s="291">
        <f t="shared" si="15"/>
        <v>0</v>
      </c>
      <c r="W1027" s="292">
        <v>0</v>
      </c>
      <c r="X1027" s="290">
        <v>51260</v>
      </c>
      <c r="Y1027" s="291">
        <v>0</v>
      </c>
      <c r="Z1027" s="289" t="s">
        <v>944</v>
      </c>
      <c r="AA1027" s="289"/>
      <c r="AB1027" s="289"/>
      <c r="AC1027" s="289">
        <v>154</v>
      </c>
      <c r="AD1027" s="289" t="s">
        <v>1446</v>
      </c>
      <c r="AE1027" s="289" t="s">
        <v>410</v>
      </c>
      <c r="AF1027" s="290" t="s">
        <v>1447</v>
      </c>
      <c r="AG1027" s="295">
        <v>41305</v>
      </c>
      <c r="AH1027" s="290" t="s">
        <v>1448</v>
      </c>
      <c r="AI1027" s="289">
        <v>0</v>
      </c>
      <c r="AJ1027" s="289">
        <v>6818.83</v>
      </c>
    </row>
    <row r="1028" spans="2:36">
      <c r="B1028" s="290">
        <v>2111</v>
      </c>
      <c r="C1028" s="294">
        <v>102175</v>
      </c>
      <c r="D1028" s="290" t="s">
        <v>944</v>
      </c>
      <c r="E1028" s="289" t="s">
        <v>1332</v>
      </c>
      <c r="F1028" s="290">
        <v>0</v>
      </c>
      <c r="G1028" s="289"/>
      <c r="H1028" s="289" t="s">
        <v>3043</v>
      </c>
      <c r="I1028" s="289"/>
      <c r="J1028" s="289">
        <v>1998</v>
      </c>
      <c r="K1028" s="289" t="s">
        <v>1483</v>
      </c>
      <c r="L1028" s="289" t="s">
        <v>2316</v>
      </c>
      <c r="M1028" s="289" t="s">
        <v>1907</v>
      </c>
      <c r="N1028" s="293">
        <v>35654</v>
      </c>
      <c r="O1028" s="293">
        <v>35654</v>
      </c>
      <c r="P1028" s="289"/>
      <c r="Q1028" s="290">
        <v>1000</v>
      </c>
      <c r="R1028" s="290">
        <v>14040</v>
      </c>
      <c r="S1028" s="291">
        <v>120715.78</v>
      </c>
      <c r="T1028" s="290">
        <v>14046</v>
      </c>
      <c r="U1028" s="291">
        <v>120715.78</v>
      </c>
      <c r="V1028" s="291">
        <f t="shared" si="15"/>
        <v>0</v>
      </c>
      <c r="W1028" s="292">
        <v>0</v>
      </c>
      <c r="X1028" s="290">
        <v>51260</v>
      </c>
      <c r="Y1028" s="291">
        <v>0</v>
      </c>
      <c r="Z1028" s="289" t="s">
        <v>410</v>
      </c>
      <c r="AA1028" s="289" t="s">
        <v>3044</v>
      </c>
      <c r="AB1028" s="289"/>
      <c r="AC1028" s="289">
        <v>154</v>
      </c>
      <c r="AD1028" s="289" t="s">
        <v>1446</v>
      </c>
      <c r="AE1028" s="289" t="s">
        <v>410</v>
      </c>
      <c r="AF1028" s="290" t="s">
        <v>1447</v>
      </c>
      <c r="AG1028" s="295">
        <v>41305</v>
      </c>
      <c r="AH1028" s="290" t="s">
        <v>1448</v>
      </c>
      <c r="AI1028" s="289">
        <v>0</v>
      </c>
      <c r="AJ1028" s="289">
        <v>120715.78</v>
      </c>
    </row>
    <row r="1029" spans="2:36">
      <c r="B1029" s="290">
        <v>2111</v>
      </c>
      <c r="C1029" s="294">
        <v>102170</v>
      </c>
      <c r="D1029" s="290">
        <v>102169</v>
      </c>
      <c r="E1029" s="289" t="s">
        <v>3045</v>
      </c>
      <c r="F1029" s="290">
        <v>0</v>
      </c>
      <c r="G1029" s="289"/>
      <c r="H1029" s="289"/>
      <c r="I1029" s="289"/>
      <c r="J1029" s="289">
        <v>0</v>
      </c>
      <c r="K1029" s="289" t="s">
        <v>3046</v>
      </c>
      <c r="L1029" s="289"/>
      <c r="M1029" s="289" t="s">
        <v>1467</v>
      </c>
      <c r="N1029" s="293">
        <v>40619</v>
      </c>
      <c r="O1029" s="293">
        <v>40619</v>
      </c>
      <c r="P1029" s="289" t="s">
        <v>3047</v>
      </c>
      <c r="Q1029" s="290">
        <v>300</v>
      </c>
      <c r="R1029" s="290">
        <v>14040</v>
      </c>
      <c r="S1029" s="291">
        <v>8744</v>
      </c>
      <c r="T1029" s="290">
        <v>14046</v>
      </c>
      <c r="U1029" s="291">
        <v>8744</v>
      </c>
      <c r="V1029" s="291">
        <f t="shared" si="15"/>
        <v>0</v>
      </c>
      <c r="W1029" s="292">
        <v>0</v>
      </c>
      <c r="X1029" s="290">
        <v>51260</v>
      </c>
      <c r="Y1029" s="291">
        <v>0</v>
      </c>
      <c r="Z1029" s="289" t="s">
        <v>944</v>
      </c>
      <c r="AA1029" s="289"/>
      <c r="AB1029" s="289">
        <v>167589</v>
      </c>
      <c r="AC1029" s="289"/>
      <c r="AD1029" s="289" t="s">
        <v>1446</v>
      </c>
      <c r="AE1029" s="289" t="s">
        <v>410</v>
      </c>
      <c r="AF1029" s="290" t="s">
        <v>1447</v>
      </c>
      <c r="AG1029" s="295">
        <v>41305</v>
      </c>
      <c r="AH1029" s="290" t="s">
        <v>1448</v>
      </c>
      <c r="AI1029" s="289">
        <v>0</v>
      </c>
      <c r="AJ1029" s="289">
        <v>5343.56</v>
      </c>
    </row>
    <row r="1030" spans="2:36">
      <c r="B1030" s="290">
        <v>2111</v>
      </c>
      <c r="C1030" s="294">
        <v>102169</v>
      </c>
      <c r="D1030" s="290" t="s">
        <v>944</v>
      </c>
      <c r="E1030" s="289" t="s">
        <v>3048</v>
      </c>
      <c r="F1030" s="290">
        <v>0</v>
      </c>
      <c r="G1030" s="289"/>
      <c r="H1030" s="289" t="s">
        <v>3049</v>
      </c>
      <c r="I1030" s="289"/>
      <c r="J1030" s="289">
        <v>2005</v>
      </c>
      <c r="K1030" s="289" t="s">
        <v>3032</v>
      </c>
      <c r="L1030" s="289" t="s">
        <v>751</v>
      </c>
      <c r="M1030" s="289" t="s">
        <v>1591</v>
      </c>
      <c r="N1030" s="293">
        <v>40038</v>
      </c>
      <c r="O1030" s="293">
        <v>40038</v>
      </c>
      <c r="P1030" s="289" t="s">
        <v>3050</v>
      </c>
      <c r="Q1030" s="290">
        <v>500</v>
      </c>
      <c r="R1030" s="290">
        <v>14040</v>
      </c>
      <c r="S1030" s="291">
        <v>63020</v>
      </c>
      <c r="T1030" s="290">
        <v>14046</v>
      </c>
      <c r="U1030" s="291">
        <v>63020</v>
      </c>
      <c r="V1030" s="291">
        <f t="shared" si="15"/>
        <v>0</v>
      </c>
      <c r="W1030" s="292">
        <v>0</v>
      </c>
      <c r="X1030" s="290">
        <v>51260</v>
      </c>
      <c r="Y1030" s="291">
        <v>0</v>
      </c>
      <c r="Z1030" s="289" t="s">
        <v>944</v>
      </c>
      <c r="AA1030" s="289"/>
      <c r="AB1030" s="289" t="s">
        <v>3051</v>
      </c>
      <c r="AC1030" s="289">
        <v>182</v>
      </c>
      <c r="AD1030" s="289" t="s">
        <v>1446</v>
      </c>
      <c r="AE1030" s="289" t="s">
        <v>410</v>
      </c>
      <c r="AF1030" s="290" t="s">
        <v>1447</v>
      </c>
      <c r="AG1030" s="295">
        <v>41305</v>
      </c>
      <c r="AH1030" s="290" t="s">
        <v>1448</v>
      </c>
      <c r="AI1030" s="289">
        <v>0</v>
      </c>
      <c r="AJ1030" s="289">
        <v>44114</v>
      </c>
    </row>
    <row r="1031" spans="2:36">
      <c r="B1031" s="290">
        <v>2111</v>
      </c>
      <c r="C1031" s="294">
        <v>102168</v>
      </c>
      <c r="D1031" s="290">
        <v>102167</v>
      </c>
      <c r="E1031" s="289" t="s">
        <v>3052</v>
      </c>
      <c r="F1031" s="290">
        <v>0</v>
      </c>
      <c r="G1031" s="289"/>
      <c r="H1031" s="289">
        <v>45983</v>
      </c>
      <c r="I1031" s="289"/>
      <c r="J1031" s="289">
        <v>2004</v>
      </c>
      <c r="K1031" s="289"/>
      <c r="L1031" s="289"/>
      <c r="M1031" s="289" t="s">
        <v>1467</v>
      </c>
      <c r="N1031" s="293">
        <v>39936</v>
      </c>
      <c r="O1031" s="293">
        <v>39936</v>
      </c>
      <c r="P1031" s="289" t="s">
        <v>3053</v>
      </c>
      <c r="Q1031" s="290">
        <v>300</v>
      </c>
      <c r="R1031" s="290">
        <v>14040</v>
      </c>
      <c r="S1031" s="291">
        <v>7240.26</v>
      </c>
      <c r="T1031" s="290">
        <v>14046</v>
      </c>
      <c r="U1031" s="291">
        <v>7240.26</v>
      </c>
      <c r="V1031" s="291">
        <f t="shared" si="15"/>
        <v>0</v>
      </c>
      <c r="W1031" s="292">
        <v>0</v>
      </c>
      <c r="X1031" s="290">
        <v>51260</v>
      </c>
      <c r="Y1031" s="291">
        <v>0</v>
      </c>
      <c r="Z1031" s="289" t="s">
        <v>944</v>
      </c>
      <c r="AA1031" s="289"/>
      <c r="AB1031" s="289">
        <v>1669</v>
      </c>
      <c r="AC1031" s="289">
        <v>5583</v>
      </c>
      <c r="AD1031" s="289" t="s">
        <v>1446</v>
      </c>
      <c r="AE1031" s="289" t="s">
        <v>410</v>
      </c>
      <c r="AF1031" s="290" t="s">
        <v>1447</v>
      </c>
      <c r="AG1031" s="295">
        <v>41305</v>
      </c>
      <c r="AH1031" s="290" t="s">
        <v>1448</v>
      </c>
      <c r="AI1031" s="289">
        <v>0</v>
      </c>
      <c r="AJ1031" s="289">
        <v>7240.26</v>
      </c>
    </row>
    <row r="1032" spans="2:36">
      <c r="B1032" s="290">
        <v>2111</v>
      </c>
      <c r="C1032" s="294">
        <v>102159</v>
      </c>
      <c r="D1032" s="290">
        <v>10258</v>
      </c>
      <c r="E1032" s="289" t="s">
        <v>3054</v>
      </c>
      <c r="F1032" s="290">
        <v>0</v>
      </c>
      <c r="G1032" s="289"/>
      <c r="H1032" s="289" t="s">
        <v>3055</v>
      </c>
      <c r="I1032" s="289"/>
      <c r="J1032" s="289">
        <v>2006</v>
      </c>
      <c r="K1032" s="289"/>
      <c r="L1032" s="289"/>
      <c r="M1032" s="289" t="s">
        <v>1467</v>
      </c>
      <c r="N1032" s="293">
        <v>39006</v>
      </c>
      <c r="O1032" s="293">
        <v>39006</v>
      </c>
      <c r="P1032" s="289" t="s">
        <v>3056</v>
      </c>
      <c r="Q1032" s="290">
        <v>1000</v>
      </c>
      <c r="R1032" s="290">
        <v>14040</v>
      </c>
      <c r="S1032" s="291">
        <v>57321.279999999999</v>
      </c>
      <c r="T1032" s="290">
        <v>14046</v>
      </c>
      <c r="U1032" s="291">
        <v>57321.279999999999</v>
      </c>
      <c r="V1032" s="291">
        <f t="shared" si="15"/>
        <v>0</v>
      </c>
      <c r="W1032" s="292">
        <v>0</v>
      </c>
      <c r="X1032" s="290">
        <v>51260</v>
      </c>
      <c r="Y1032" s="291">
        <v>0</v>
      </c>
      <c r="Z1032" s="289" t="s">
        <v>944</v>
      </c>
      <c r="AA1032" s="289"/>
      <c r="AB1032" s="289">
        <v>24811</v>
      </c>
      <c r="AC1032" s="289"/>
      <c r="AD1032" s="289" t="s">
        <v>1446</v>
      </c>
      <c r="AE1032" s="289" t="s">
        <v>410</v>
      </c>
      <c r="AF1032" s="290" t="s">
        <v>1447</v>
      </c>
      <c r="AG1032" s="295">
        <v>41305</v>
      </c>
      <c r="AH1032" s="290" t="s">
        <v>1448</v>
      </c>
      <c r="AI1032" s="289">
        <v>0</v>
      </c>
      <c r="AJ1032" s="289">
        <v>35825.82</v>
      </c>
    </row>
    <row r="1033" spans="2:36">
      <c r="B1033" s="290">
        <v>2111</v>
      </c>
      <c r="C1033" s="294">
        <v>102158</v>
      </c>
      <c r="D1033" s="290" t="s">
        <v>944</v>
      </c>
      <c r="E1033" s="289" t="s">
        <v>3057</v>
      </c>
      <c r="F1033" s="290">
        <v>0</v>
      </c>
      <c r="G1033" s="289"/>
      <c r="H1033" s="289" t="s">
        <v>3055</v>
      </c>
      <c r="I1033" s="289"/>
      <c r="J1033" s="289">
        <v>2006</v>
      </c>
      <c r="K1033" s="289" t="s">
        <v>2435</v>
      </c>
      <c r="L1033" s="289" t="s">
        <v>1522</v>
      </c>
      <c r="M1033" s="289" t="s">
        <v>1746</v>
      </c>
      <c r="N1033" s="293">
        <v>38854</v>
      </c>
      <c r="O1033" s="293">
        <v>38854</v>
      </c>
      <c r="P1033" s="289" t="s">
        <v>3056</v>
      </c>
      <c r="Q1033" s="290">
        <v>1000</v>
      </c>
      <c r="R1033" s="290">
        <v>14040</v>
      </c>
      <c r="S1033" s="291">
        <v>120222.34</v>
      </c>
      <c r="T1033" s="290">
        <v>14046</v>
      </c>
      <c r="U1033" s="291">
        <v>120222.34</v>
      </c>
      <c r="V1033" s="291">
        <f t="shared" si="15"/>
        <v>0</v>
      </c>
      <c r="W1033" s="292">
        <v>0</v>
      </c>
      <c r="X1033" s="290">
        <v>51260</v>
      </c>
      <c r="Y1033" s="291">
        <v>0</v>
      </c>
      <c r="Z1033" s="289" t="s">
        <v>944</v>
      </c>
      <c r="AA1033" s="289"/>
      <c r="AB1033" s="289">
        <v>203512</v>
      </c>
      <c r="AC1033" s="289">
        <v>613</v>
      </c>
      <c r="AD1033" s="289" t="s">
        <v>1446</v>
      </c>
      <c r="AE1033" s="289" t="s">
        <v>410</v>
      </c>
      <c r="AF1033" s="290" t="s">
        <v>1447</v>
      </c>
      <c r="AG1033" s="295">
        <v>41305</v>
      </c>
      <c r="AH1033" s="290" t="s">
        <v>1448</v>
      </c>
      <c r="AI1033" s="289">
        <v>0</v>
      </c>
      <c r="AJ1033" s="289">
        <v>80148.160000000003</v>
      </c>
    </row>
    <row r="1034" spans="2:36">
      <c r="B1034" s="290">
        <v>2111</v>
      </c>
      <c r="C1034" s="294">
        <v>99657</v>
      </c>
      <c r="D1034" s="290" t="s">
        <v>944</v>
      </c>
      <c r="E1034" s="289" t="s">
        <v>3058</v>
      </c>
      <c r="F1034" s="290">
        <v>0</v>
      </c>
      <c r="G1034" s="289"/>
      <c r="H1034" s="289" t="s">
        <v>3059</v>
      </c>
      <c r="I1034" s="289"/>
      <c r="J1034" s="289">
        <v>2013</v>
      </c>
      <c r="K1034" s="289" t="s">
        <v>2300</v>
      </c>
      <c r="L1034" s="289" t="s">
        <v>2190</v>
      </c>
      <c r="M1034" s="289" t="s">
        <v>1495</v>
      </c>
      <c r="N1034" s="293">
        <v>41274</v>
      </c>
      <c r="O1034" s="293">
        <v>41274</v>
      </c>
      <c r="P1034" s="289" t="s">
        <v>3060</v>
      </c>
      <c r="Q1034" s="290">
        <v>1000</v>
      </c>
      <c r="R1034" s="290">
        <v>14040</v>
      </c>
      <c r="S1034" s="291">
        <v>313064.90999999997</v>
      </c>
      <c r="T1034" s="290">
        <v>14046</v>
      </c>
      <c r="U1034" s="291">
        <v>300020.53999999998</v>
      </c>
      <c r="V1034" s="291">
        <f t="shared" si="15"/>
        <v>13044.369999999995</v>
      </c>
      <c r="W1034" s="292">
        <v>18262.13</v>
      </c>
      <c r="X1034" s="290">
        <v>51260</v>
      </c>
      <c r="Y1034" s="291">
        <v>2608.87</v>
      </c>
      <c r="Z1034" s="289" t="s">
        <v>944</v>
      </c>
      <c r="AA1034" s="289"/>
      <c r="AB1034" s="289">
        <v>4101986</v>
      </c>
      <c r="AC1034" s="289">
        <v>822</v>
      </c>
      <c r="AD1034" s="289" t="s">
        <v>1446</v>
      </c>
      <c r="AE1034" s="289" t="s">
        <v>410</v>
      </c>
      <c r="AF1034" s="290" t="s">
        <v>1447</v>
      </c>
      <c r="AG1034" s="289"/>
      <c r="AH1034" s="290" t="s">
        <v>1448</v>
      </c>
      <c r="AI1034" s="289">
        <v>0</v>
      </c>
      <c r="AJ1034" s="289">
        <v>0</v>
      </c>
    </row>
    <row r="1035" spans="2:36">
      <c r="B1035" s="290">
        <v>2111</v>
      </c>
      <c r="C1035" s="294">
        <v>98430</v>
      </c>
      <c r="D1035" s="290" t="s">
        <v>944</v>
      </c>
      <c r="E1035" s="289" t="s">
        <v>245</v>
      </c>
      <c r="F1035" s="290">
        <v>0</v>
      </c>
      <c r="G1035" s="289"/>
      <c r="H1035" s="289"/>
      <c r="I1035" s="289"/>
      <c r="J1035" s="289">
        <v>0</v>
      </c>
      <c r="K1035" s="289" t="s">
        <v>3061</v>
      </c>
      <c r="L1035" s="289"/>
      <c r="M1035" s="289"/>
      <c r="N1035" s="293">
        <v>41229</v>
      </c>
      <c r="O1035" s="293">
        <v>41229</v>
      </c>
      <c r="P1035" s="289" t="s">
        <v>3062</v>
      </c>
      <c r="Q1035" s="290">
        <v>1000</v>
      </c>
      <c r="R1035" s="290">
        <v>14010</v>
      </c>
      <c r="S1035" s="291">
        <v>753818</v>
      </c>
      <c r="T1035" s="290">
        <v>14016</v>
      </c>
      <c r="U1035" s="291">
        <v>728690.73</v>
      </c>
      <c r="V1035" s="291">
        <f t="shared" si="15"/>
        <v>25127.270000000019</v>
      </c>
      <c r="W1035" s="292">
        <v>43972.71</v>
      </c>
      <c r="X1035" s="290">
        <v>57260</v>
      </c>
      <c r="Y1035" s="291">
        <v>6281.81</v>
      </c>
      <c r="Z1035" s="289" t="s">
        <v>944</v>
      </c>
      <c r="AA1035" s="289"/>
      <c r="AB1035" s="289">
        <v>11302012</v>
      </c>
      <c r="AC1035" s="289"/>
      <c r="AD1035" s="289" t="s">
        <v>1446</v>
      </c>
      <c r="AE1035" s="289" t="s">
        <v>410</v>
      </c>
      <c r="AF1035" s="290" t="s">
        <v>1447</v>
      </c>
      <c r="AG1035" s="289"/>
      <c r="AH1035" s="290" t="s">
        <v>1448</v>
      </c>
      <c r="AI1035" s="289">
        <v>0</v>
      </c>
      <c r="AJ1035" s="289">
        <v>0</v>
      </c>
    </row>
    <row r="1036" spans="2:36">
      <c r="B1036" s="290">
        <v>2111</v>
      </c>
      <c r="C1036" s="294">
        <v>95850</v>
      </c>
      <c r="D1036" s="290" t="s">
        <v>944</v>
      </c>
      <c r="E1036" s="289" t="s">
        <v>3063</v>
      </c>
      <c r="F1036" s="290">
        <v>486</v>
      </c>
      <c r="G1036" s="289"/>
      <c r="H1036" s="289" t="s">
        <v>3064</v>
      </c>
      <c r="I1036" s="289"/>
      <c r="J1036" s="289">
        <v>0</v>
      </c>
      <c r="K1036" s="289" t="s">
        <v>2245</v>
      </c>
      <c r="L1036" s="289"/>
      <c r="M1036" s="289"/>
      <c r="N1036" s="293">
        <v>41107</v>
      </c>
      <c r="O1036" s="293">
        <v>41107</v>
      </c>
      <c r="P1036" s="289" t="s">
        <v>3065</v>
      </c>
      <c r="Q1036" s="290">
        <v>700</v>
      </c>
      <c r="R1036" s="290">
        <v>14050</v>
      </c>
      <c r="S1036" s="291">
        <v>25365.119999999999</v>
      </c>
      <c r="T1036" s="290">
        <v>14056</v>
      </c>
      <c r="U1036" s="291">
        <v>25365.119999999999</v>
      </c>
      <c r="V1036" s="291">
        <f t="shared" si="15"/>
        <v>0</v>
      </c>
      <c r="W1036" s="292">
        <v>0</v>
      </c>
      <c r="X1036" s="290">
        <v>54260</v>
      </c>
      <c r="Y1036" s="291">
        <v>0</v>
      </c>
      <c r="Z1036" s="289" t="s">
        <v>944</v>
      </c>
      <c r="AA1036" s="289"/>
      <c r="AB1036" s="289" t="s">
        <v>3066</v>
      </c>
      <c r="AC1036" s="289"/>
      <c r="AD1036" s="289" t="s">
        <v>1446</v>
      </c>
      <c r="AE1036" s="289" t="s">
        <v>410</v>
      </c>
      <c r="AF1036" s="290" t="s">
        <v>1447</v>
      </c>
      <c r="AG1036" s="289"/>
      <c r="AH1036" s="290" t="s">
        <v>1448</v>
      </c>
      <c r="AI1036" s="289">
        <v>0</v>
      </c>
      <c r="AJ1036" s="289">
        <v>0</v>
      </c>
    </row>
    <row r="1037" spans="2:36">
      <c r="B1037" s="290">
        <v>2111</v>
      </c>
      <c r="C1037" s="294">
        <v>95043</v>
      </c>
      <c r="D1037" s="290" t="s">
        <v>944</v>
      </c>
      <c r="E1037" s="289" t="s">
        <v>244</v>
      </c>
      <c r="F1037" s="290">
        <v>0</v>
      </c>
      <c r="G1037" s="289"/>
      <c r="H1037" s="289"/>
      <c r="I1037" s="289"/>
      <c r="J1037" s="289">
        <v>0</v>
      </c>
      <c r="K1037" s="289" t="s">
        <v>1657</v>
      </c>
      <c r="L1037" s="289"/>
      <c r="M1037" s="289"/>
      <c r="N1037" s="293">
        <v>41029</v>
      </c>
      <c r="O1037" s="293">
        <v>41029</v>
      </c>
      <c r="P1037" s="289" t="s">
        <v>3067</v>
      </c>
      <c r="Q1037" s="290">
        <v>300</v>
      </c>
      <c r="R1037" s="290">
        <v>14110</v>
      </c>
      <c r="S1037" s="291">
        <v>1398.18</v>
      </c>
      <c r="T1037" s="290">
        <v>14116</v>
      </c>
      <c r="U1037" s="291">
        <v>1398.18</v>
      </c>
      <c r="V1037" s="291">
        <f t="shared" si="15"/>
        <v>0</v>
      </c>
      <c r="W1037" s="292">
        <v>0</v>
      </c>
      <c r="X1037" s="290">
        <v>70260</v>
      </c>
      <c r="Y1037" s="291">
        <v>0</v>
      </c>
      <c r="Z1037" s="289" t="s">
        <v>944</v>
      </c>
      <c r="AA1037" s="289"/>
      <c r="AB1037" s="289" t="s">
        <v>3068</v>
      </c>
      <c r="AC1037" s="289"/>
      <c r="AD1037" s="289" t="s">
        <v>1446</v>
      </c>
      <c r="AE1037" s="289" t="s">
        <v>410</v>
      </c>
      <c r="AF1037" s="290" t="s">
        <v>1447</v>
      </c>
      <c r="AG1037" s="295">
        <v>41090</v>
      </c>
      <c r="AH1037" s="290" t="s">
        <v>1448</v>
      </c>
      <c r="AI1037" s="289">
        <v>0</v>
      </c>
      <c r="AJ1037" s="289">
        <v>77.680000000000007</v>
      </c>
    </row>
    <row r="1038" spans="2:36">
      <c r="B1038" s="290">
        <v>2111</v>
      </c>
      <c r="C1038" s="294">
        <v>94658</v>
      </c>
      <c r="D1038" s="290">
        <v>91749</v>
      </c>
      <c r="E1038" s="289" t="s">
        <v>3069</v>
      </c>
      <c r="F1038" s="290">
        <v>0</v>
      </c>
      <c r="G1038" s="289"/>
      <c r="H1038" s="289"/>
      <c r="I1038" s="289"/>
      <c r="J1038" s="289">
        <v>0</v>
      </c>
      <c r="K1038" s="289" t="s">
        <v>3070</v>
      </c>
      <c r="L1038" s="289"/>
      <c r="M1038" s="289"/>
      <c r="N1038" s="293">
        <v>40969</v>
      </c>
      <c r="O1038" s="293">
        <v>40969</v>
      </c>
      <c r="P1038" s="289" t="s">
        <v>3071</v>
      </c>
      <c r="Q1038" s="290">
        <v>1000</v>
      </c>
      <c r="R1038" s="290">
        <v>14080</v>
      </c>
      <c r="S1038" s="291">
        <v>-245.93</v>
      </c>
      <c r="T1038" s="290">
        <v>14086</v>
      </c>
      <c r="U1038" s="291">
        <v>-245.93</v>
      </c>
      <c r="V1038" s="291">
        <f t="shared" ref="V1038:V1101" si="16">S1038-U1038</f>
        <v>0</v>
      </c>
      <c r="W1038" s="292">
        <v>-4.12</v>
      </c>
      <c r="X1038" s="290">
        <v>57260</v>
      </c>
      <c r="Y1038" s="291">
        <v>0</v>
      </c>
      <c r="Z1038" s="289" t="s">
        <v>944</v>
      </c>
      <c r="AA1038" s="289"/>
      <c r="AB1038" s="289" t="s">
        <v>3072</v>
      </c>
      <c r="AC1038" s="289"/>
      <c r="AD1038" s="289" t="s">
        <v>1446</v>
      </c>
      <c r="AE1038" s="289" t="s">
        <v>410</v>
      </c>
      <c r="AF1038" s="290" t="s">
        <v>1447</v>
      </c>
      <c r="AG1038" s="289"/>
      <c r="AH1038" s="290" t="s">
        <v>1448</v>
      </c>
      <c r="AI1038" s="289">
        <v>0</v>
      </c>
      <c r="AJ1038" s="289">
        <v>0</v>
      </c>
    </row>
    <row r="1039" spans="2:36">
      <c r="B1039" s="290">
        <v>2111</v>
      </c>
      <c r="C1039" s="294">
        <v>92659</v>
      </c>
      <c r="D1039" s="290">
        <v>91749</v>
      </c>
      <c r="E1039" s="289" t="s">
        <v>3073</v>
      </c>
      <c r="F1039" s="290">
        <v>0</v>
      </c>
      <c r="G1039" s="289"/>
      <c r="H1039" s="289"/>
      <c r="I1039" s="289"/>
      <c r="J1039" s="289">
        <v>0</v>
      </c>
      <c r="K1039" s="289" t="s">
        <v>3070</v>
      </c>
      <c r="L1039" s="289"/>
      <c r="M1039" s="289"/>
      <c r="N1039" s="293">
        <v>40969</v>
      </c>
      <c r="O1039" s="293">
        <v>40969</v>
      </c>
      <c r="P1039" s="289" t="s">
        <v>3074</v>
      </c>
      <c r="Q1039" s="290">
        <v>1000</v>
      </c>
      <c r="R1039" s="290">
        <v>14080</v>
      </c>
      <c r="S1039" s="291">
        <v>38610.230000000003</v>
      </c>
      <c r="T1039" s="290">
        <v>14086</v>
      </c>
      <c r="U1039" s="291">
        <v>38610.230000000003</v>
      </c>
      <c r="V1039" s="291">
        <f t="shared" si="16"/>
        <v>0</v>
      </c>
      <c r="W1039" s="292">
        <v>643.53</v>
      </c>
      <c r="X1039" s="290">
        <v>57260</v>
      </c>
      <c r="Y1039" s="291">
        <v>0</v>
      </c>
      <c r="Z1039" s="289" t="s">
        <v>944</v>
      </c>
      <c r="AA1039" s="289"/>
      <c r="AB1039" s="289">
        <v>229706</v>
      </c>
      <c r="AC1039" s="289"/>
      <c r="AD1039" s="289" t="s">
        <v>1446</v>
      </c>
      <c r="AE1039" s="289" t="s">
        <v>410</v>
      </c>
      <c r="AF1039" s="290" t="s">
        <v>1447</v>
      </c>
      <c r="AG1039" s="289"/>
      <c r="AH1039" s="290" t="s">
        <v>1448</v>
      </c>
      <c r="AI1039" s="289">
        <v>0</v>
      </c>
      <c r="AJ1039" s="289">
        <v>0</v>
      </c>
    </row>
    <row r="1040" spans="2:36">
      <c r="B1040" s="290">
        <v>2111</v>
      </c>
      <c r="C1040" s="294">
        <v>92557</v>
      </c>
      <c r="D1040" s="290">
        <v>91749</v>
      </c>
      <c r="E1040" s="289" t="s">
        <v>3075</v>
      </c>
      <c r="F1040" s="290">
        <v>0</v>
      </c>
      <c r="G1040" s="289"/>
      <c r="H1040" s="289"/>
      <c r="I1040" s="289"/>
      <c r="J1040" s="289">
        <v>0</v>
      </c>
      <c r="K1040" s="289" t="s">
        <v>3076</v>
      </c>
      <c r="L1040" s="289"/>
      <c r="M1040" s="289"/>
      <c r="N1040" s="293">
        <v>40969</v>
      </c>
      <c r="O1040" s="293">
        <v>40969</v>
      </c>
      <c r="P1040" s="289" t="s">
        <v>3071</v>
      </c>
      <c r="Q1040" s="290">
        <v>1000</v>
      </c>
      <c r="R1040" s="290">
        <v>14080</v>
      </c>
      <c r="S1040" s="291">
        <v>1311.6</v>
      </c>
      <c r="T1040" s="290">
        <v>14086</v>
      </c>
      <c r="U1040" s="291">
        <v>1311.6</v>
      </c>
      <c r="V1040" s="291">
        <f t="shared" si="16"/>
        <v>0</v>
      </c>
      <c r="W1040" s="292">
        <v>21.86</v>
      </c>
      <c r="X1040" s="290">
        <v>57260</v>
      </c>
      <c r="Y1040" s="291">
        <v>0</v>
      </c>
      <c r="Z1040" s="289" t="s">
        <v>944</v>
      </c>
      <c r="AA1040" s="289"/>
      <c r="AB1040" s="289" t="s">
        <v>3077</v>
      </c>
      <c r="AC1040" s="289"/>
      <c r="AD1040" s="289" t="s">
        <v>1446</v>
      </c>
      <c r="AE1040" s="289" t="s">
        <v>410</v>
      </c>
      <c r="AF1040" s="290" t="s">
        <v>1447</v>
      </c>
      <c r="AG1040" s="289"/>
      <c r="AH1040" s="290" t="s">
        <v>1448</v>
      </c>
      <c r="AI1040" s="289">
        <v>0</v>
      </c>
      <c r="AJ1040" s="289">
        <v>0</v>
      </c>
    </row>
    <row r="1041" spans="2:36">
      <c r="B1041" s="290">
        <v>2111</v>
      </c>
      <c r="C1041" s="294">
        <v>92556</v>
      </c>
      <c r="D1041" s="290">
        <v>91749</v>
      </c>
      <c r="E1041" s="289" t="s">
        <v>3078</v>
      </c>
      <c r="F1041" s="290">
        <v>0</v>
      </c>
      <c r="G1041" s="289"/>
      <c r="H1041" s="289"/>
      <c r="I1041" s="289"/>
      <c r="J1041" s="289">
        <v>0</v>
      </c>
      <c r="K1041" s="289" t="s">
        <v>3076</v>
      </c>
      <c r="L1041" s="289"/>
      <c r="M1041" s="289"/>
      <c r="N1041" s="293">
        <v>40969</v>
      </c>
      <c r="O1041" s="293">
        <v>40969</v>
      </c>
      <c r="P1041" s="289" t="s">
        <v>3071</v>
      </c>
      <c r="Q1041" s="290">
        <v>1000</v>
      </c>
      <c r="R1041" s="290">
        <v>14080</v>
      </c>
      <c r="S1041" s="291">
        <v>3497.6</v>
      </c>
      <c r="T1041" s="290">
        <v>14086</v>
      </c>
      <c r="U1041" s="291">
        <v>3497.6</v>
      </c>
      <c r="V1041" s="291">
        <f t="shared" si="16"/>
        <v>0</v>
      </c>
      <c r="W1041" s="292">
        <v>58.29</v>
      </c>
      <c r="X1041" s="290">
        <v>57260</v>
      </c>
      <c r="Y1041" s="291">
        <v>0</v>
      </c>
      <c r="Z1041" s="289" t="s">
        <v>944</v>
      </c>
      <c r="AA1041" s="289"/>
      <c r="AB1041" s="289" t="s">
        <v>3079</v>
      </c>
      <c r="AC1041" s="289"/>
      <c r="AD1041" s="289" t="s">
        <v>1446</v>
      </c>
      <c r="AE1041" s="289" t="s">
        <v>410</v>
      </c>
      <c r="AF1041" s="290" t="s">
        <v>1447</v>
      </c>
      <c r="AG1041" s="289"/>
      <c r="AH1041" s="290" t="s">
        <v>1448</v>
      </c>
      <c r="AI1041" s="289">
        <v>0</v>
      </c>
      <c r="AJ1041" s="289">
        <v>0</v>
      </c>
    </row>
    <row r="1042" spans="2:36">
      <c r="B1042" s="290">
        <v>2111</v>
      </c>
      <c r="C1042" s="294">
        <v>92555</v>
      </c>
      <c r="D1042" s="290">
        <v>91749</v>
      </c>
      <c r="E1042" s="289" t="s">
        <v>3080</v>
      </c>
      <c r="F1042" s="290">
        <v>0</v>
      </c>
      <c r="G1042" s="289"/>
      <c r="H1042" s="289"/>
      <c r="I1042" s="289"/>
      <c r="J1042" s="289">
        <v>0</v>
      </c>
      <c r="K1042" s="289" t="s">
        <v>3076</v>
      </c>
      <c r="L1042" s="289"/>
      <c r="M1042" s="289"/>
      <c r="N1042" s="293">
        <v>40969</v>
      </c>
      <c r="O1042" s="293">
        <v>40969</v>
      </c>
      <c r="P1042" s="289" t="s">
        <v>3071</v>
      </c>
      <c r="Q1042" s="290">
        <v>1000</v>
      </c>
      <c r="R1042" s="290">
        <v>14080</v>
      </c>
      <c r="S1042" s="291">
        <v>98.37</v>
      </c>
      <c r="T1042" s="290">
        <v>14086</v>
      </c>
      <c r="U1042" s="291">
        <v>98.37</v>
      </c>
      <c r="V1042" s="291">
        <f t="shared" si="16"/>
        <v>0</v>
      </c>
      <c r="W1042" s="292">
        <v>1.61</v>
      </c>
      <c r="X1042" s="290">
        <v>57260</v>
      </c>
      <c r="Y1042" s="291">
        <v>0</v>
      </c>
      <c r="Z1042" s="289" t="s">
        <v>944</v>
      </c>
      <c r="AA1042" s="289"/>
      <c r="AB1042" s="289" t="s">
        <v>3081</v>
      </c>
      <c r="AC1042" s="289"/>
      <c r="AD1042" s="289" t="s">
        <v>1446</v>
      </c>
      <c r="AE1042" s="289" t="s">
        <v>410</v>
      </c>
      <c r="AF1042" s="290" t="s">
        <v>1447</v>
      </c>
      <c r="AG1042" s="289"/>
      <c r="AH1042" s="290" t="s">
        <v>1448</v>
      </c>
      <c r="AI1042" s="289">
        <v>0</v>
      </c>
      <c r="AJ1042" s="289">
        <v>0</v>
      </c>
    </row>
    <row r="1043" spans="2:36">
      <c r="B1043" s="290">
        <v>2111</v>
      </c>
      <c r="C1043" s="294">
        <v>92554</v>
      </c>
      <c r="D1043" s="290">
        <v>91749</v>
      </c>
      <c r="E1043" s="289" t="s">
        <v>3082</v>
      </c>
      <c r="F1043" s="290">
        <v>0</v>
      </c>
      <c r="G1043" s="289"/>
      <c r="H1043" s="289"/>
      <c r="I1043" s="289"/>
      <c r="J1043" s="289">
        <v>0</v>
      </c>
      <c r="K1043" s="289" t="s">
        <v>3083</v>
      </c>
      <c r="L1043" s="289"/>
      <c r="M1043" s="289"/>
      <c r="N1043" s="293">
        <v>40969</v>
      </c>
      <c r="O1043" s="293">
        <v>40969</v>
      </c>
      <c r="P1043" s="289" t="s">
        <v>3071</v>
      </c>
      <c r="Q1043" s="290">
        <v>1000</v>
      </c>
      <c r="R1043" s="290">
        <v>14080</v>
      </c>
      <c r="S1043" s="291">
        <v>142.09</v>
      </c>
      <c r="T1043" s="290">
        <v>14086</v>
      </c>
      <c r="U1043" s="291">
        <v>142.09</v>
      </c>
      <c r="V1043" s="291">
        <f t="shared" si="16"/>
        <v>0</v>
      </c>
      <c r="W1043" s="292">
        <v>2.36</v>
      </c>
      <c r="X1043" s="290">
        <v>57260</v>
      </c>
      <c r="Y1043" s="291">
        <v>0</v>
      </c>
      <c r="Z1043" s="289" t="s">
        <v>944</v>
      </c>
      <c r="AA1043" s="289"/>
      <c r="AB1043" s="289">
        <v>230094</v>
      </c>
      <c r="AC1043" s="289"/>
      <c r="AD1043" s="289" t="s">
        <v>1446</v>
      </c>
      <c r="AE1043" s="289" t="s">
        <v>410</v>
      </c>
      <c r="AF1043" s="290" t="s">
        <v>1447</v>
      </c>
      <c r="AG1043" s="289"/>
      <c r="AH1043" s="290" t="s">
        <v>1448</v>
      </c>
      <c r="AI1043" s="289">
        <v>0</v>
      </c>
      <c r="AJ1043" s="289">
        <v>0</v>
      </c>
    </row>
    <row r="1044" spans="2:36">
      <c r="B1044" s="290">
        <v>2111</v>
      </c>
      <c r="C1044" s="294">
        <v>91797</v>
      </c>
      <c r="D1044" s="290">
        <v>91749</v>
      </c>
      <c r="E1044" s="289" t="s">
        <v>3084</v>
      </c>
      <c r="F1044" s="290">
        <v>0</v>
      </c>
      <c r="G1044" s="289"/>
      <c r="H1044" s="289"/>
      <c r="I1044" s="289"/>
      <c r="J1044" s="289">
        <v>0</v>
      </c>
      <c r="K1044" s="289" t="s">
        <v>3085</v>
      </c>
      <c r="L1044" s="289"/>
      <c r="M1044" s="289"/>
      <c r="N1044" s="293">
        <v>40969</v>
      </c>
      <c r="O1044" s="293">
        <v>40969</v>
      </c>
      <c r="P1044" s="289" t="s">
        <v>3071</v>
      </c>
      <c r="Q1044" s="290">
        <v>1000</v>
      </c>
      <c r="R1044" s="290">
        <v>14080</v>
      </c>
      <c r="S1044" s="291">
        <v>901.73</v>
      </c>
      <c r="T1044" s="290">
        <v>14086</v>
      </c>
      <c r="U1044" s="291">
        <v>901.73</v>
      </c>
      <c r="V1044" s="291">
        <f t="shared" si="16"/>
        <v>0</v>
      </c>
      <c r="W1044" s="292">
        <v>15.05</v>
      </c>
      <c r="X1044" s="290">
        <v>57260</v>
      </c>
      <c r="Y1044" s="291">
        <v>0</v>
      </c>
      <c r="Z1044" s="289" t="s">
        <v>944</v>
      </c>
      <c r="AA1044" s="289"/>
      <c r="AB1044" s="289" t="s">
        <v>3086</v>
      </c>
      <c r="AC1044" s="289"/>
      <c r="AD1044" s="289" t="s">
        <v>1446</v>
      </c>
      <c r="AE1044" s="289" t="s">
        <v>410</v>
      </c>
      <c r="AF1044" s="290" t="s">
        <v>1447</v>
      </c>
      <c r="AG1044" s="289"/>
      <c r="AH1044" s="290" t="s">
        <v>1448</v>
      </c>
      <c r="AI1044" s="289">
        <v>0</v>
      </c>
      <c r="AJ1044" s="289">
        <v>0</v>
      </c>
    </row>
    <row r="1045" spans="2:36">
      <c r="B1045" s="290">
        <v>2111</v>
      </c>
      <c r="C1045" s="294">
        <v>91796</v>
      </c>
      <c r="D1045" s="290">
        <v>91749</v>
      </c>
      <c r="E1045" s="289" t="s">
        <v>3087</v>
      </c>
      <c r="F1045" s="290">
        <v>0</v>
      </c>
      <c r="G1045" s="289"/>
      <c r="H1045" s="289"/>
      <c r="I1045" s="289"/>
      <c r="J1045" s="289">
        <v>0</v>
      </c>
      <c r="K1045" s="289" t="s">
        <v>3088</v>
      </c>
      <c r="L1045" s="289"/>
      <c r="M1045" s="289"/>
      <c r="N1045" s="293">
        <v>40969</v>
      </c>
      <c r="O1045" s="293">
        <v>40969</v>
      </c>
      <c r="P1045" s="289" t="s">
        <v>3071</v>
      </c>
      <c r="Q1045" s="290">
        <v>1000</v>
      </c>
      <c r="R1045" s="290">
        <v>14080</v>
      </c>
      <c r="S1045" s="291">
        <v>245.93</v>
      </c>
      <c r="T1045" s="290">
        <v>14086</v>
      </c>
      <c r="U1045" s="291">
        <v>245.93</v>
      </c>
      <c r="V1045" s="291">
        <f t="shared" si="16"/>
        <v>0</v>
      </c>
      <c r="W1045" s="292">
        <v>4.12</v>
      </c>
      <c r="X1045" s="290">
        <v>57260</v>
      </c>
      <c r="Y1045" s="291">
        <v>0</v>
      </c>
      <c r="Z1045" s="289" t="s">
        <v>944</v>
      </c>
      <c r="AA1045" s="289"/>
      <c r="AB1045" s="289">
        <v>230965</v>
      </c>
      <c r="AC1045" s="289"/>
      <c r="AD1045" s="289" t="s">
        <v>1446</v>
      </c>
      <c r="AE1045" s="289" t="s">
        <v>410</v>
      </c>
      <c r="AF1045" s="290" t="s">
        <v>1447</v>
      </c>
      <c r="AG1045" s="289"/>
      <c r="AH1045" s="290" t="s">
        <v>1448</v>
      </c>
      <c r="AI1045" s="289">
        <v>0</v>
      </c>
      <c r="AJ1045" s="289">
        <v>0</v>
      </c>
    </row>
    <row r="1046" spans="2:36">
      <c r="B1046" s="290">
        <v>2111</v>
      </c>
      <c r="C1046" s="294">
        <v>91749</v>
      </c>
      <c r="D1046" s="290"/>
      <c r="E1046" s="289" t="s">
        <v>3089</v>
      </c>
      <c r="F1046" s="290">
        <v>0</v>
      </c>
      <c r="G1046" s="289"/>
      <c r="H1046" s="289"/>
      <c r="I1046" s="289"/>
      <c r="J1046" s="289">
        <v>0</v>
      </c>
      <c r="K1046" s="289"/>
      <c r="L1046" s="289"/>
      <c r="M1046" s="289"/>
      <c r="N1046" s="293">
        <v>40969</v>
      </c>
      <c r="O1046" s="293">
        <v>40969</v>
      </c>
      <c r="P1046" s="289">
        <v>2111</v>
      </c>
      <c r="Q1046" s="290">
        <v>1000</v>
      </c>
      <c r="R1046" s="290">
        <v>14080</v>
      </c>
      <c r="S1046" s="291">
        <v>382909.31</v>
      </c>
      <c r="T1046" s="290">
        <v>14086</v>
      </c>
      <c r="U1046" s="291">
        <v>382909.31</v>
      </c>
      <c r="V1046" s="291">
        <f t="shared" si="16"/>
        <v>0</v>
      </c>
      <c r="W1046" s="292">
        <v>6381.83</v>
      </c>
      <c r="X1046" s="290">
        <v>57260</v>
      </c>
      <c r="Y1046" s="291">
        <v>0</v>
      </c>
      <c r="Z1046" s="289" t="s">
        <v>944</v>
      </c>
      <c r="AA1046" s="289"/>
      <c r="AB1046" s="289"/>
      <c r="AC1046" s="289"/>
      <c r="AD1046" s="289" t="s">
        <v>1446</v>
      </c>
      <c r="AE1046" s="289" t="s">
        <v>410</v>
      </c>
      <c r="AF1046" s="290" t="s">
        <v>1447</v>
      </c>
      <c r="AG1046" s="289"/>
      <c r="AH1046" s="290" t="s">
        <v>1448</v>
      </c>
      <c r="AI1046" s="289">
        <v>0</v>
      </c>
      <c r="AJ1046" s="289">
        <v>0</v>
      </c>
    </row>
    <row r="1047" spans="2:36">
      <c r="B1047" s="290">
        <v>2111</v>
      </c>
      <c r="C1047" s="294">
        <v>91734</v>
      </c>
      <c r="D1047" s="290">
        <v>91749</v>
      </c>
      <c r="E1047" s="289" t="s">
        <v>3090</v>
      </c>
      <c r="F1047" s="290">
        <v>0</v>
      </c>
      <c r="G1047" s="289"/>
      <c r="H1047" s="289"/>
      <c r="I1047" s="289"/>
      <c r="J1047" s="289">
        <v>0</v>
      </c>
      <c r="K1047" s="289"/>
      <c r="L1047" s="289"/>
      <c r="M1047" s="289"/>
      <c r="N1047" s="293">
        <v>40969</v>
      </c>
      <c r="O1047" s="293">
        <v>40969</v>
      </c>
      <c r="P1047" s="289" t="s">
        <v>3071</v>
      </c>
      <c r="Q1047" s="290">
        <v>1000</v>
      </c>
      <c r="R1047" s="290">
        <v>14080</v>
      </c>
      <c r="S1047" s="291">
        <v>49925.64</v>
      </c>
      <c r="T1047" s="290">
        <v>14086</v>
      </c>
      <c r="U1047" s="291">
        <v>49925.64</v>
      </c>
      <c r="V1047" s="291">
        <f t="shared" si="16"/>
        <v>0</v>
      </c>
      <c r="W1047" s="292">
        <v>832.13</v>
      </c>
      <c r="X1047" s="290">
        <v>57260</v>
      </c>
      <c r="Y1047" s="291">
        <v>0</v>
      </c>
      <c r="Z1047" s="289" t="s">
        <v>944</v>
      </c>
      <c r="AA1047" s="289"/>
      <c r="AB1047" s="289">
        <v>230273</v>
      </c>
      <c r="AC1047" s="289"/>
      <c r="AD1047" s="289" t="s">
        <v>1446</v>
      </c>
      <c r="AE1047" s="289" t="s">
        <v>410</v>
      </c>
      <c r="AF1047" s="290" t="s">
        <v>1447</v>
      </c>
      <c r="AG1047" s="289"/>
      <c r="AH1047" s="290" t="s">
        <v>1448</v>
      </c>
      <c r="AI1047" s="289">
        <v>0</v>
      </c>
      <c r="AJ1047" s="289">
        <v>0</v>
      </c>
    </row>
    <row r="1048" spans="2:36">
      <c r="B1048" s="290">
        <v>2111</v>
      </c>
      <c r="C1048" s="294">
        <v>91733</v>
      </c>
      <c r="D1048" s="290">
        <v>91749</v>
      </c>
      <c r="E1048" s="289" t="s">
        <v>3091</v>
      </c>
      <c r="F1048" s="290">
        <v>0</v>
      </c>
      <c r="G1048" s="289"/>
      <c r="H1048" s="289"/>
      <c r="I1048" s="289"/>
      <c r="J1048" s="289">
        <v>0</v>
      </c>
      <c r="K1048" s="289"/>
      <c r="L1048" s="289"/>
      <c r="M1048" s="289"/>
      <c r="N1048" s="293">
        <v>40969</v>
      </c>
      <c r="O1048" s="293">
        <v>40969</v>
      </c>
      <c r="P1048" s="289" t="s">
        <v>3074</v>
      </c>
      <c r="Q1048" s="290">
        <v>1000</v>
      </c>
      <c r="R1048" s="290">
        <v>14080</v>
      </c>
      <c r="S1048" s="291">
        <v>471968.91</v>
      </c>
      <c r="T1048" s="290">
        <v>14086</v>
      </c>
      <c r="U1048" s="291">
        <v>471968.91</v>
      </c>
      <c r="V1048" s="291">
        <f t="shared" si="16"/>
        <v>0</v>
      </c>
      <c r="W1048" s="292">
        <v>7866.16</v>
      </c>
      <c r="X1048" s="290">
        <v>57260</v>
      </c>
      <c r="Y1048" s="291">
        <v>0</v>
      </c>
      <c r="Z1048" s="289" t="s">
        <v>944</v>
      </c>
      <c r="AA1048" s="289"/>
      <c r="AB1048" s="289" t="s">
        <v>3092</v>
      </c>
      <c r="AC1048" s="289"/>
      <c r="AD1048" s="289" t="s">
        <v>1446</v>
      </c>
      <c r="AE1048" s="289" t="s">
        <v>410</v>
      </c>
      <c r="AF1048" s="290" t="s">
        <v>1447</v>
      </c>
      <c r="AG1048" s="289"/>
      <c r="AH1048" s="290" t="s">
        <v>1448</v>
      </c>
      <c r="AI1048" s="289">
        <v>0</v>
      </c>
      <c r="AJ1048" s="289">
        <v>0</v>
      </c>
    </row>
    <row r="1049" spans="2:36">
      <c r="B1049" s="290">
        <v>2111</v>
      </c>
      <c r="C1049" s="294">
        <v>91732</v>
      </c>
      <c r="D1049" s="290">
        <v>91749</v>
      </c>
      <c r="E1049" s="289" t="s">
        <v>3093</v>
      </c>
      <c r="F1049" s="290">
        <v>0</v>
      </c>
      <c r="G1049" s="289"/>
      <c r="H1049" s="289"/>
      <c r="I1049" s="289"/>
      <c r="J1049" s="289">
        <v>0</v>
      </c>
      <c r="K1049" s="289"/>
      <c r="L1049" s="289"/>
      <c r="M1049" s="289"/>
      <c r="N1049" s="293">
        <v>40969</v>
      </c>
      <c r="O1049" s="293">
        <v>40969</v>
      </c>
      <c r="P1049" s="289" t="s">
        <v>3094</v>
      </c>
      <c r="Q1049" s="290">
        <v>1000</v>
      </c>
      <c r="R1049" s="290">
        <v>14080</v>
      </c>
      <c r="S1049" s="291">
        <v>24281.1</v>
      </c>
      <c r="T1049" s="290">
        <v>14086</v>
      </c>
      <c r="U1049" s="291">
        <v>24281.1</v>
      </c>
      <c r="V1049" s="291">
        <f t="shared" si="16"/>
        <v>0</v>
      </c>
      <c r="W1049" s="292">
        <v>404.68</v>
      </c>
      <c r="X1049" s="290">
        <v>57260</v>
      </c>
      <c r="Y1049" s="291">
        <v>0</v>
      </c>
      <c r="Z1049" s="289" t="s">
        <v>944</v>
      </c>
      <c r="AA1049" s="289"/>
      <c r="AB1049" s="289" t="s">
        <v>3095</v>
      </c>
      <c r="AC1049" s="289"/>
      <c r="AD1049" s="289" t="s">
        <v>1446</v>
      </c>
      <c r="AE1049" s="289" t="s">
        <v>410</v>
      </c>
      <c r="AF1049" s="290" t="s">
        <v>1447</v>
      </c>
      <c r="AG1049" s="289"/>
      <c r="AH1049" s="290" t="s">
        <v>1448</v>
      </c>
      <c r="AI1049" s="289">
        <v>0</v>
      </c>
      <c r="AJ1049" s="289">
        <v>0</v>
      </c>
    </row>
    <row r="1050" spans="2:36">
      <c r="B1050" s="290">
        <v>2111</v>
      </c>
      <c r="C1050" s="294">
        <v>91713</v>
      </c>
      <c r="D1050" s="290">
        <v>91749</v>
      </c>
      <c r="E1050" s="289" t="s">
        <v>3096</v>
      </c>
      <c r="F1050" s="290">
        <v>0</v>
      </c>
      <c r="G1050" s="289"/>
      <c r="H1050" s="289"/>
      <c r="I1050" s="289"/>
      <c r="J1050" s="289">
        <v>0</v>
      </c>
      <c r="K1050" s="289" t="s">
        <v>3088</v>
      </c>
      <c r="L1050" s="289"/>
      <c r="M1050" s="289"/>
      <c r="N1050" s="293">
        <v>40969</v>
      </c>
      <c r="O1050" s="293">
        <v>40969</v>
      </c>
      <c r="P1050" s="289" t="s">
        <v>3071</v>
      </c>
      <c r="Q1050" s="290">
        <v>1000</v>
      </c>
      <c r="R1050" s="290">
        <v>14080</v>
      </c>
      <c r="S1050" s="291">
        <v>2000.19</v>
      </c>
      <c r="T1050" s="290">
        <v>14086</v>
      </c>
      <c r="U1050" s="291">
        <v>2000.19</v>
      </c>
      <c r="V1050" s="291">
        <f t="shared" si="16"/>
        <v>0</v>
      </c>
      <c r="W1050" s="292">
        <v>33.33</v>
      </c>
      <c r="X1050" s="290">
        <v>57260</v>
      </c>
      <c r="Y1050" s="291">
        <v>0</v>
      </c>
      <c r="Z1050" s="289" t="s">
        <v>944</v>
      </c>
      <c r="AA1050" s="289"/>
      <c r="AB1050" s="289">
        <v>230273</v>
      </c>
      <c r="AC1050" s="289"/>
      <c r="AD1050" s="289" t="s">
        <v>1446</v>
      </c>
      <c r="AE1050" s="289" t="s">
        <v>410</v>
      </c>
      <c r="AF1050" s="290" t="s">
        <v>1447</v>
      </c>
      <c r="AG1050" s="289"/>
      <c r="AH1050" s="290" t="s">
        <v>1448</v>
      </c>
      <c r="AI1050" s="289">
        <v>0</v>
      </c>
      <c r="AJ1050" s="289">
        <v>0</v>
      </c>
    </row>
    <row r="1051" spans="2:36">
      <c r="B1051" s="290">
        <v>2111</v>
      </c>
      <c r="C1051" s="294">
        <v>91712</v>
      </c>
      <c r="D1051" s="290">
        <v>91749</v>
      </c>
      <c r="E1051" s="289" t="s">
        <v>3097</v>
      </c>
      <c r="F1051" s="290">
        <v>0</v>
      </c>
      <c r="G1051" s="289"/>
      <c r="H1051" s="289"/>
      <c r="I1051" s="289"/>
      <c r="J1051" s="289">
        <v>0</v>
      </c>
      <c r="K1051" s="289" t="s">
        <v>3088</v>
      </c>
      <c r="L1051" s="289"/>
      <c r="M1051" s="289"/>
      <c r="N1051" s="293">
        <v>40969</v>
      </c>
      <c r="O1051" s="293">
        <v>40969</v>
      </c>
      <c r="P1051" s="289" t="s">
        <v>3071</v>
      </c>
      <c r="Q1051" s="290">
        <v>1000</v>
      </c>
      <c r="R1051" s="290">
        <v>14080</v>
      </c>
      <c r="S1051" s="291">
        <v>3858.29</v>
      </c>
      <c r="T1051" s="290">
        <v>14086</v>
      </c>
      <c r="U1051" s="291">
        <v>3858.29</v>
      </c>
      <c r="V1051" s="291">
        <f t="shared" si="16"/>
        <v>0</v>
      </c>
      <c r="W1051" s="292">
        <v>64.290000000000006</v>
      </c>
      <c r="X1051" s="290">
        <v>57260</v>
      </c>
      <c r="Y1051" s="291">
        <v>0</v>
      </c>
      <c r="Z1051" s="289" t="s">
        <v>944</v>
      </c>
      <c r="AA1051" s="289"/>
      <c r="AB1051" s="289">
        <v>230240</v>
      </c>
      <c r="AC1051" s="289"/>
      <c r="AD1051" s="289" t="s">
        <v>1446</v>
      </c>
      <c r="AE1051" s="289" t="s">
        <v>410</v>
      </c>
      <c r="AF1051" s="290" t="s">
        <v>1447</v>
      </c>
      <c r="AG1051" s="289"/>
      <c r="AH1051" s="290" t="s">
        <v>1448</v>
      </c>
      <c r="AI1051" s="289">
        <v>0</v>
      </c>
      <c r="AJ1051" s="289">
        <v>0</v>
      </c>
    </row>
    <row r="1052" spans="2:36">
      <c r="B1052" s="290">
        <v>2111</v>
      </c>
      <c r="C1052" s="294">
        <v>91711</v>
      </c>
      <c r="D1052" s="290">
        <v>91749</v>
      </c>
      <c r="E1052" s="289" t="s">
        <v>3098</v>
      </c>
      <c r="F1052" s="290">
        <v>0</v>
      </c>
      <c r="G1052" s="289"/>
      <c r="H1052" s="289"/>
      <c r="I1052" s="289"/>
      <c r="J1052" s="289">
        <v>0</v>
      </c>
      <c r="K1052" s="289" t="s">
        <v>3088</v>
      </c>
      <c r="L1052" s="289"/>
      <c r="M1052" s="289"/>
      <c r="N1052" s="293">
        <v>40969</v>
      </c>
      <c r="O1052" s="293">
        <v>40969</v>
      </c>
      <c r="P1052" s="289" t="s">
        <v>3071</v>
      </c>
      <c r="Q1052" s="290">
        <v>1000</v>
      </c>
      <c r="R1052" s="290">
        <v>14080</v>
      </c>
      <c r="S1052" s="291">
        <v>9399.7999999999993</v>
      </c>
      <c r="T1052" s="290">
        <v>14086</v>
      </c>
      <c r="U1052" s="291">
        <v>9399.7999999999993</v>
      </c>
      <c r="V1052" s="291">
        <f t="shared" si="16"/>
        <v>0</v>
      </c>
      <c r="W1052" s="292">
        <v>156.66</v>
      </c>
      <c r="X1052" s="290">
        <v>57260</v>
      </c>
      <c r="Y1052" s="291">
        <v>0</v>
      </c>
      <c r="Z1052" s="289" t="s">
        <v>944</v>
      </c>
      <c r="AA1052" s="289"/>
      <c r="AB1052" s="289">
        <v>230242</v>
      </c>
      <c r="AC1052" s="289"/>
      <c r="AD1052" s="289" t="s">
        <v>1446</v>
      </c>
      <c r="AE1052" s="289" t="s">
        <v>410</v>
      </c>
      <c r="AF1052" s="290" t="s">
        <v>1447</v>
      </c>
      <c r="AG1052" s="289"/>
      <c r="AH1052" s="290" t="s">
        <v>1448</v>
      </c>
      <c r="AI1052" s="289">
        <v>0</v>
      </c>
      <c r="AJ1052" s="289">
        <v>0</v>
      </c>
    </row>
    <row r="1053" spans="2:36">
      <c r="B1053" s="290">
        <v>2111</v>
      </c>
      <c r="C1053" s="294">
        <v>91710</v>
      </c>
      <c r="D1053" s="290">
        <v>91749</v>
      </c>
      <c r="E1053" s="289" t="s">
        <v>3099</v>
      </c>
      <c r="F1053" s="290">
        <v>0</v>
      </c>
      <c r="G1053" s="289"/>
      <c r="H1053" s="289"/>
      <c r="I1053" s="289"/>
      <c r="J1053" s="289">
        <v>0</v>
      </c>
      <c r="K1053" s="289" t="s">
        <v>3088</v>
      </c>
      <c r="L1053" s="289"/>
      <c r="M1053" s="289"/>
      <c r="N1053" s="293">
        <v>40969</v>
      </c>
      <c r="O1053" s="293">
        <v>40969</v>
      </c>
      <c r="P1053" s="289" t="s">
        <v>3071</v>
      </c>
      <c r="Q1053" s="290">
        <v>1000</v>
      </c>
      <c r="R1053" s="290">
        <v>14080</v>
      </c>
      <c r="S1053" s="291">
        <v>9755.0300000000007</v>
      </c>
      <c r="T1053" s="290">
        <v>14086</v>
      </c>
      <c r="U1053" s="291">
        <v>9755.0300000000007</v>
      </c>
      <c r="V1053" s="291">
        <f t="shared" si="16"/>
        <v>0</v>
      </c>
      <c r="W1053" s="292">
        <v>162.61000000000001</v>
      </c>
      <c r="X1053" s="290">
        <v>57260</v>
      </c>
      <c r="Y1053" s="291">
        <v>0</v>
      </c>
      <c r="Z1053" s="289" t="s">
        <v>944</v>
      </c>
      <c r="AA1053" s="289"/>
      <c r="AB1053" s="289">
        <v>230241</v>
      </c>
      <c r="AC1053" s="289"/>
      <c r="AD1053" s="289" t="s">
        <v>1446</v>
      </c>
      <c r="AE1053" s="289" t="s">
        <v>410</v>
      </c>
      <c r="AF1053" s="290" t="s">
        <v>1447</v>
      </c>
      <c r="AG1053" s="289"/>
      <c r="AH1053" s="290" t="s">
        <v>1448</v>
      </c>
      <c r="AI1053" s="289">
        <v>0</v>
      </c>
      <c r="AJ1053" s="289">
        <v>0</v>
      </c>
    </row>
    <row r="1054" spans="2:36">
      <c r="B1054" s="290">
        <v>2111</v>
      </c>
      <c r="C1054" s="294">
        <v>89625</v>
      </c>
      <c r="D1054" s="290" t="s">
        <v>944</v>
      </c>
      <c r="E1054" s="289" t="s">
        <v>3100</v>
      </c>
      <c r="F1054" s="290">
        <v>0</v>
      </c>
      <c r="G1054" s="289"/>
      <c r="H1054" s="289" t="s">
        <v>3101</v>
      </c>
      <c r="I1054" s="289"/>
      <c r="J1054" s="289">
        <v>2012</v>
      </c>
      <c r="K1054" s="289" t="s">
        <v>2300</v>
      </c>
      <c r="L1054" s="289" t="s">
        <v>3102</v>
      </c>
      <c r="M1054" s="289" t="s">
        <v>1523</v>
      </c>
      <c r="N1054" s="293">
        <v>40939</v>
      </c>
      <c r="O1054" s="293">
        <v>40939</v>
      </c>
      <c r="P1054" s="289" t="s">
        <v>3103</v>
      </c>
      <c r="Q1054" s="290">
        <v>1000</v>
      </c>
      <c r="R1054" s="290">
        <v>14040</v>
      </c>
      <c r="S1054" s="291">
        <v>284650.28000000003</v>
      </c>
      <c r="T1054" s="290">
        <v>14046</v>
      </c>
      <c r="U1054" s="291">
        <v>284650.28000000003</v>
      </c>
      <c r="V1054" s="291">
        <f t="shared" si="16"/>
        <v>0</v>
      </c>
      <c r="W1054" s="292">
        <v>2372.0700000000002</v>
      </c>
      <c r="X1054" s="290">
        <v>51260</v>
      </c>
      <c r="Y1054" s="291">
        <v>0</v>
      </c>
      <c r="Z1054" s="289" t="s">
        <v>944</v>
      </c>
      <c r="AA1054" s="289"/>
      <c r="AB1054" s="289">
        <v>4101818</v>
      </c>
      <c r="AC1054" s="289">
        <v>908</v>
      </c>
      <c r="AD1054" s="289" t="s">
        <v>1446</v>
      </c>
      <c r="AE1054" s="289" t="s">
        <v>410</v>
      </c>
      <c r="AF1054" s="290" t="s">
        <v>1447</v>
      </c>
      <c r="AG1054" s="289"/>
      <c r="AH1054" s="290" t="s">
        <v>1448</v>
      </c>
      <c r="AI1054" s="289">
        <v>0</v>
      </c>
      <c r="AJ1054" s="289">
        <v>0</v>
      </c>
    </row>
    <row r="1055" spans="2:36">
      <c r="B1055" s="290">
        <v>2111</v>
      </c>
      <c r="C1055" s="294">
        <v>89092</v>
      </c>
      <c r="D1055" s="290" t="s">
        <v>944</v>
      </c>
      <c r="E1055" s="289" t="s">
        <v>3104</v>
      </c>
      <c r="F1055" s="290">
        <v>0</v>
      </c>
      <c r="G1055" s="289"/>
      <c r="H1055" s="289"/>
      <c r="I1055" s="289"/>
      <c r="J1055" s="289">
        <v>0</v>
      </c>
      <c r="K1055" s="289" t="s">
        <v>1657</v>
      </c>
      <c r="L1055" s="289"/>
      <c r="M1055" s="289"/>
      <c r="N1055" s="293">
        <v>40908</v>
      </c>
      <c r="O1055" s="293">
        <v>40908</v>
      </c>
      <c r="P1055" s="289" t="s">
        <v>3105</v>
      </c>
      <c r="Q1055" s="290">
        <v>500</v>
      </c>
      <c r="R1055" s="290">
        <v>14110</v>
      </c>
      <c r="S1055" s="291">
        <v>858</v>
      </c>
      <c r="T1055" s="290">
        <v>14116</v>
      </c>
      <c r="U1055" s="291">
        <v>858</v>
      </c>
      <c r="V1055" s="291">
        <f t="shared" si="16"/>
        <v>0</v>
      </c>
      <c r="W1055" s="292">
        <v>0</v>
      </c>
      <c r="X1055" s="290">
        <v>70260</v>
      </c>
      <c r="Y1055" s="291">
        <v>0</v>
      </c>
      <c r="Z1055" s="289" t="s">
        <v>944</v>
      </c>
      <c r="AA1055" s="289"/>
      <c r="AB1055" s="289" t="s">
        <v>3106</v>
      </c>
      <c r="AC1055" s="289"/>
      <c r="AD1055" s="289" t="s">
        <v>1446</v>
      </c>
      <c r="AE1055" s="289" t="s">
        <v>410</v>
      </c>
      <c r="AF1055" s="290" t="s">
        <v>1447</v>
      </c>
      <c r="AG1055" s="289"/>
      <c r="AH1055" s="290" t="s">
        <v>1448</v>
      </c>
      <c r="AI1055" s="289">
        <v>0</v>
      </c>
      <c r="AJ1055" s="289">
        <v>0</v>
      </c>
    </row>
    <row r="1056" spans="2:36">
      <c r="B1056" s="290">
        <v>2111</v>
      </c>
      <c r="C1056" s="294">
        <v>89091</v>
      </c>
      <c r="D1056" s="290" t="s">
        <v>944</v>
      </c>
      <c r="E1056" s="289" t="s">
        <v>3107</v>
      </c>
      <c r="F1056" s="290">
        <v>0</v>
      </c>
      <c r="G1056" s="289"/>
      <c r="H1056" s="289"/>
      <c r="I1056" s="289"/>
      <c r="J1056" s="289">
        <v>0</v>
      </c>
      <c r="K1056" s="289" t="s">
        <v>1657</v>
      </c>
      <c r="L1056" s="289"/>
      <c r="M1056" s="289"/>
      <c r="N1056" s="293">
        <v>40908</v>
      </c>
      <c r="O1056" s="293">
        <v>40908</v>
      </c>
      <c r="P1056" s="289" t="s">
        <v>3105</v>
      </c>
      <c r="Q1056" s="290">
        <v>500</v>
      </c>
      <c r="R1056" s="290">
        <v>14110</v>
      </c>
      <c r="S1056" s="291">
        <v>858</v>
      </c>
      <c r="T1056" s="290">
        <v>14116</v>
      </c>
      <c r="U1056" s="291">
        <v>858</v>
      </c>
      <c r="V1056" s="291">
        <f t="shared" si="16"/>
        <v>0</v>
      </c>
      <c r="W1056" s="292">
        <v>0</v>
      </c>
      <c r="X1056" s="290">
        <v>70260</v>
      </c>
      <c r="Y1056" s="291">
        <v>0</v>
      </c>
      <c r="Z1056" s="289" t="s">
        <v>944</v>
      </c>
      <c r="AA1056" s="289"/>
      <c r="AB1056" s="289" t="s">
        <v>3108</v>
      </c>
      <c r="AC1056" s="289"/>
      <c r="AD1056" s="289" t="s">
        <v>1446</v>
      </c>
      <c r="AE1056" s="289" t="s">
        <v>410</v>
      </c>
      <c r="AF1056" s="290" t="s">
        <v>1447</v>
      </c>
      <c r="AG1056" s="289"/>
      <c r="AH1056" s="290" t="s">
        <v>1448</v>
      </c>
      <c r="AI1056" s="289">
        <v>0</v>
      </c>
      <c r="AJ1056" s="289">
        <v>0</v>
      </c>
    </row>
    <row r="1057" spans="2:36">
      <c r="B1057" s="290">
        <v>2111</v>
      </c>
      <c r="C1057" s="294">
        <v>88795</v>
      </c>
      <c r="D1057" s="290" t="s">
        <v>944</v>
      </c>
      <c r="E1057" s="289" t="s">
        <v>3109</v>
      </c>
      <c r="F1057" s="290">
        <v>0</v>
      </c>
      <c r="G1057" s="289"/>
      <c r="H1057" s="289"/>
      <c r="I1057" s="289"/>
      <c r="J1057" s="289">
        <v>0</v>
      </c>
      <c r="K1057" s="289" t="s">
        <v>2333</v>
      </c>
      <c r="L1057" s="289"/>
      <c r="M1057" s="289"/>
      <c r="N1057" s="293">
        <v>40892</v>
      </c>
      <c r="O1057" s="293">
        <v>40892</v>
      </c>
      <c r="P1057" s="289" t="s">
        <v>3110</v>
      </c>
      <c r="Q1057" s="290">
        <v>500</v>
      </c>
      <c r="R1057" s="290">
        <v>14070</v>
      </c>
      <c r="S1057" s="291">
        <v>3830.72</v>
      </c>
      <c r="T1057" s="290">
        <v>14076</v>
      </c>
      <c r="U1057" s="291">
        <v>3830.72</v>
      </c>
      <c r="V1057" s="291">
        <f t="shared" si="16"/>
        <v>0</v>
      </c>
      <c r="W1057" s="292">
        <v>0</v>
      </c>
      <c r="X1057" s="290">
        <v>51260</v>
      </c>
      <c r="Y1057" s="291">
        <v>0</v>
      </c>
      <c r="Z1057" s="289" t="s">
        <v>944</v>
      </c>
      <c r="AA1057" s="289"/>
      <c r="AB1057" s="289">
        <v>5003158</v>
      </c>
      <c r="AC1057" s="289"/>
      <c r="AD1057" s="289" t="s">
        <v>1446</v>
      </c>
      <c r="AE1057" s="289" t="s">
        <v>410</v>
      </c>
      <c r="AF1057" s="290" t="s">
        <v>1447</v>
      </c>
      <c r="AG1057" s="289"/>
      <c r="AH1057" s="290" t="s">
        <v>1448</v>
      </c>
      <c r="AI1057" s="289">
        <v>0</v>
      </c>
      <c r="AJ1057" s="289">
        <v>0</v>
      </c>
    </row>
    <row r="1058" spans="2:36">
      <c r="B1058" s="290">
        <v>2111</v>
      </c>
      <c r="C1058" s="294">
        <v>88717</v>
      </c>
      <c r="D1058" s="290" t="s">
        <v>944</v>
      </c>
      <c r="E1058" s="289" t="s">
        <v>2336</v>
      </c>
      <c r="F1058" s="290">
        <v>0</v>
      </c>
      <c r="G1058" s="289"/>
      <c r="H1058" s="289" t="s">
        <v>3111</v>
      </c>
      <c r="I1058" s="289"/>
      <c r="J1058" s="289">
        <v>2012</v>
      </c>
      <c r="K1058" s="289" t="s">
        <v>2338</v>
      </c>
      <c r="L1058" s="289" t="s">
        <v>3112</v>
      </c>
      <c r="M1058" s="289" t="s">
        <v>2049</v>
      </c>
      <c r="N1058" s="293">
        <v>40908</v>
      </c>
      <c r="O1058" s="293">
        <v>40908</v>
      </c>
      <c r="P1058" s="289" t="s">
        <v>3113</v>
      </c>
      <c r="Q1058" s="290">
        <v>700</v>
      </c>
      <c r="R1058" s="290">
        <v>14040</v>
      </c>
      <c r="S1058" s="291">
        <v>105733.19</v>
      </c>
      <c r="T1058" s="290">
        <v>14046</v>
      </c>
      <c r="U1058" s="291">
        <v>105733.19</v>
      </c>
      <c r="V1058" s="291">
        <f t="shared" si="16"/>
        <v>0</v>
      </c>
      <c r="W1058" s="292">
        <v>0</v>
      </c>
      <c r="X1058" s="290">
        <v>51260</v>
      </c>
      <c r="Y1058" s="291">
        <v>0</v>
      </c>
      <c r="Z1058" s="289" t="s">
        <v>944</v>
      </c>
      <c r="AA1058" s="289"/>
      <c r="AB1058" s="289">
        <v>4101819</v>
      </c>
      <c r="AC1058" s="289">
        <v>151</v>
      </c>
      <c r="AD1058" s="289" t="s">
        <v>1446</v>
      </c>
      <c r="AE1058" s="289" t="s">
        <v>410</v>
      </c>
      <c r="AF1058" s="290" t="s">
        <v>1447</v>
      </c>
      <c r="AG1058" s="289"/>
      <c r="AH1058" s="290" t="s">
        <v>1448</v>
      </c>
      <c r="AI1058" s="289">
        <v>0</v>
      </c>
      <c r="AJ1058" s="289">
        <v>0</v>
      </c>
    </row>
    <row r="1059" spans="2:36">
      <c r="B1059" s="290">
        <v>2111</v>
      </c>
      <c r="C1059" s="294">
        <v>87856</v>
      </c>
      <c r="D1059" s="290" t="s">
        <v>944</v>
      </c>
      <c r="E1059" s="289" t="s">
        <v>3114</v>
      </c>
      <c r="F1059" s="290">
        <v>7</v>
      </c>
      <c r="G1059" s="289"/>
      <c r="H1059" s="289"/>
      <c r="I1059" s="289"/>
      <c r="J1059" s="289">
        <v>0</v>
      </c>
      <c r="K1059" s="289" t="s">
        <v>2257</v>
      </c>
      <c r="L1059" s="289"/>
      <c r="M1059" s="289" t="s">
        <v>1662</v>
      </c>
      <c r="N1059" s="293">
        <v>40877</v>
      </c>
      <c r="O1059" s="293">
        <v>40877</v>
      </c>
      <c r="P1059" s="289" t="s">
        <v>3115</v>
      </c>
      <c r="Q1059" s="290">
        <v>1200</v>
      </c>
      <c r="R1059" s="290">
        <v>14050</v>
      </c>
      <c r="S1059" s="291">
        <v>5891.27</v>
      </c>
      <c r="T1059" s="290">
        <v>14056</v>
      </c>
      <c r="U1059" s="291">
        <v>5236.59</v>
      </c>
      <c r="V1059" s="291">
        <f t="shared" si="16"/>
        <v>654.68000000000029</v>
      </c>
      <c r="W1059" s="292">
        <v>286.38</v>
      </c>
      <c r="X1059" s="290">
        <v>54260</v>
      </c>
      <c r="Y1059" s="291">
        <v>40.909999999999997</v>
      </c>
      <c r="Z1059" s="289" t="s">
        <v>944</v>
      </c>
      <c r="AA1059" s="289"/>
      <c r="AB1059" s="289">
        <v>63808</v>
      </c>
      <c r="AC1059" s="289"/>
      <c r="AD1059" s="289" t="s">
        <v>1446</v>
      </c>
      <c r="AE1059" s="289" t="s">
        <v>410</v>
      </c>
      <c r="AF1059" s="290" t="s">
        <v>1447</v>
      </c>
      <c r="AG1059" s="289"/>
      <c r="AH1059" s="290" t="s">
        <v>1448</v>
      </c>
      <c r="AI1059" s="289">
        <v>0</v>
      </c>
      <c r="AJ1059" s="289">
        <v>0</v>
      </c>
    </row>
    <row r="1060" spans="2:36">
      <c r="B1060" s="290">
        <v>2111</v>
      </c>
      <c r="C1060" s="294">
        <v>87855</v>
      </c>
      <c r="D1060" s="290" t="s">
        <v>944</v>
      </c>
      <c r="E1060" s="289" t="s">
        <v>3114</v>
      </c>
      <c r="F1060" s="290">
        <v>7</v>
      </c>
      <c r="G1060" s="289"/>
      <c r="H1060" s="289"/>
      <c r="I1060" s="289"/>
      <c r="J1060" s="289">
        <v>0</v>
      </c>
      <c r="K1060" s="289" t="s">
        <v>2257</v>
      </c>
      <c r="L1060" s="289"/>
      <c r="M1060" s="289" t="s">
        <v>1662</v>
      </c>
      <c r="N1060" s="293">
        <v>40877</v>
      </c>
      <c r="O1060" s="293">
        <v>40877</v>
      </c>
      <c r="P1060" s="289" t="s">
        <v>3115</v>
      </c>
      <c r="Q1060" s="290">
        <v>1200</v>
      </c>
      <c r="R1060" s="290">
        <v>14050</v>
      </c>
      <c r="S1060" s="291">
        <v>5891.27</v>
      </c>
      <c r="T1060" s="290">
        <v>14056</v>
      </c>
      <c r="U1060" s="291">
        <v>5236.59</v>
      </c>
      <c r="V1060" s="291">
        <f t="shared" si="16"/>
        <v>654.68000000000029</v>
      </c>
      <c r="W1060" s="292">
        <v>286.38</v>
      </c>
      <c r="X1060" s="290">
        <v>54260</v>
      </c>
      <c r="Y1060" s="291">
        <v>40.909999999999997</v>
      </c>
      <c r="Z1060" s="289" t="s">
        <v>944</v>
      </c>
      <c r="AA1060" s="289"/>
      <c r="AB1060" s="289">
        <v>63807</v>
      </c>
      <c r="AC1060" s="289"/>
      <c r="AD1060" s="289" t="s">
        <v>1446</v>
      </c>
      <c r="AE1060" s="289" t="s">
        <v>410</v>
      </c>
      <c r="AF1060" s="290" t="s">
        <v>1447</v>
      </c>
      <c r="AG1060" s="289"/>
      <c r="AH1060" s="290" t="s">
        <v>1448</v>
      </c>
      <c r="AI1060" s="289">
        <v>0</v>
      </c>
      <c r="AJ1060" s="289">
        <v>0</v>
      </c>
    </row>
    <row r="1061" spans="2:36">
      <c r="B1061" s="290">
        <v>2111</v>
      </c>
      <c r="C1061" s="294">
        <v>87854</v>
      </c>
      <c r="D1061" s="290" t="s">
        <v>944</v>
      </c>
      <c r="E1061" s="289" t="s">
        <v>3116</v>
      </c>
      <c r="F1061" s="290">
        <v>13</v>
      </c>
      <c r="G1061" s="289"/>
      <c r="H1061" s="289"/>
      <c r="I1061" s="289"/>
      <c r="J1061" s="289">
        <v>0</v>
      </c>
      <c r="K1061" s="289" t="s">
        <v>2257</v>
      </c>
      <c r="L1061" s="289"/>
      <c r="M1061" s="289" t="s">
        <v>1662</v>
      </c>
      <c r="N1061" s="293">
        <v>40877</v>
      </c>
      <c r="O1061" s="293">
        <v>40877</v>
      </c>
      <c r="P1061" s="289" t="s">
        <v>3115</v>
      </c>
      <c r="Q1061" s="290">
        <v>1200</v>
      </c>
      <c r="R1061" s="290">
        <v>14050</v>
      </c>
      <c r="S1061" s="291">
        <v>12077.65</v>
      </c>
      <c r="T1061" s="290">
        <v>14056</v>
      </c>
      <c r="U1061" s="291">
        <v>10735.68</v>
      </c>
      <c r="V1061" s="291">
        <f t="shared" si="16"/>
        <v>1341.9699999999993</v>
      </c>
      <c r="W1061" s="292">
        <v>587.11</v>
      </c>
      <c r="X1061" s="290">
        <v>54260</v>
      </c>
      <c r="Y1061" s="291">
        <v>83.87</v>
      </c>
      <c r="Z1061" s="289" t="s">
        <v>944</v>
      </c>
      <c r="AA1061" s="289"/>
      <c r="AB1061" s="289">
        <v>63773</v>
      </c>
      <c r="AC1061" s="289"/>
      <c r="AD1061" s="289" t="s">
        <v>1446</v>
      </c>
      <c r="AE1061" s="289" t="s">
        <v>410</v>
      </c>
      <c r="AF1061" s="290" t="s">
        <v>1447</v>
      </c>
      <c r="AG1061" s="289"/>
      <c r="AH1061" s="290" t="s">
        <v>1448</v>
      </c>
      <c r="AI1061" s="289">
        <v>0</v>
      </c>
      <c r="AJ1061" s="289">
        <v>0</v>
      </c>
    </row>
    <row r="1062" spans="2:36">
      <c r="B1062" s="290">
        <v>2111</v>
      </c>
      <c r="C1062" s="294">
        <v>87853</v>
      </c>
      <c r="D1062" s="290" t="s">
        <v>944</v>
      </c>
      <c r="E1062" s="289" t="s">
        <v>3114</v>
      </c>
      <c r="F1062" s="290">
        <v>7</v>
      </c>
      <c r="G1062" s="289"/>
      <c r="H1062" s="289"/>
      <c r="I1062" s="289"/>
      <c r="J1062" s="289">
        <v>0</v>
      </c>
      <c r="K1062" s="289" t="s">
        <v>2257</v>
      </c>
      <c r="L1062" s="289"/>
      <c r="M1062" s="289" t="s">
        <v>1662</v>
      </c>
      <c r="N1062" s="293">
        <v>40877</v>
      </c>
      <c r="O1062" s="293">
        <v>40877</v>
      </c>
      <c r="P1062" s="289" t="s">
        <v>3115</v>
      </c>
      <c r="Q1062" s="290">
        <v>1200</v>
      </c>
      <c r="R1062" s="290">
        <v>14050</v>
      </c>
      <c r="S1062" s="291">
        <v>5891.27</v>
      </c>
      <c r="T1062" s="290">
        <v>14056</v>
      </c>
      <c r="U1062" s="291">
        <v>5236.59</v>
      </c>
      <c r="V1062" s="291">
        <f t="shared" si="16"/>
        <v>654.68000000000029</v>
      </c>
      <c r="W1062" s="292">
        <v>286.38</v>
      </c>
      <c r="X1062" s="290">
        <v>54260</v>
      </c>
      <c r="Y1062" s="291">
        <v>40.909999999999997</v>
      </c>
      <c r="Z1062" s="289" t="s">
        <v>944</v>
      </c>
      <c r="AA1062" s="289"/>
      <c r="AB1062" s="289">
        <v>63772</v>
      </c>
      <c r="AC1062" s="289"/>
      <c r="AD1062" s="289" t="s">
        <v>1446</v>
      </c>
      <c r="AE1062" s="289" t="s">
        <v>410</v>
      </c>
      <c r="AF1062" s="290" t="s">
        <v>1447</v>
      </c>
      <c r="AG1062" s="289"/>
      <c r="AH1062" s="290" t="s">
        <v>1448</v>
      </c>
      <c r="AI1062" s="289">
        <v>0</v>
      </c>
      <c r="AJ1062" s="289">
        <v>0</v>
      </c>
    </row>
    <row r="1063" spans="2:36">
      <c r="B1063" s="290">
        <v>2111</v>
      </c>
      <c r="C1063" s="294">
        <v>87852</v>
      </c>
      <c r="D1063" s="290" t="s">
        <v>944</v>
      </c>
      <c r="E1063" s="289" t="s">
        <v>3116</v>
      </c>
      <c r="F1063" s="290">
        <v>6</v>
      </c>
      <c r="G1063" s="289"/>
      <c r="H1063" s="289"/>
      <c r="I1063" s="289"/>
      <c r="J1063" s="289">
        <v>0</v>
      </c>
      <c r="K1063" s="289" t="s">
        <v>2257</v>
      </c>
      <c r="L1063" s="289"/>
      <c r="M1063" s="289" t="s">
        <v>1662</v>
      </c>
      <c r="N1063" s="293">
        <v>40877</v>
      </c>
      <c r="O1063" s="293">
        <v>40877</v>
      </c>
      <c r="P1063" s="289" t="s">
        <v>3115</v>
      </c>
      <c r="Q1063" s="290">
        <v>1200</v>
      </c>
      <c r="R1063" s="290">
        <v>14050</v>
      </c>
      <c r="S1063" s="291">
        <v>5574.3</v>
      </c>
      <c r="T1063" s="290">
        <v>14056</v>
      </c>
      <c r="U1063" s="291">
        <v>4954.99</v>
      </c>
      <c r="V1063" s="291">
        <f t="shared" si="16"/>
        <v>619.3100000000004</v>
      </c>
      <c r="W1063" s="292">
        <v>270.98</v>
      </c>
      <c r="X1063" s="290">
        <v>54260</v>
      </c>
      <c r="Y1063" s="291">
        <v>38.71</v>
      </c>
      <c r="Z1063" s="289" t="s">
        <v>944</v>
      </c>
      <c r="AA1063" s="289"/>
      <c r="AB1063" s="289">
        <v>63813</v>
      </c>
      <c r="AC1063" s="289"/>
      <c r="AD1063" s="289" t="s">
        <v>1446</v>
      </c>
      <c r="AE1063" s="289" t="s">
        <v>410</v>
      </c>
      <c r="AF1063" s="290" t="s">
        <v>1447</v>
      </c>
      <c r="AG1063" s="289"/>
      <c r="AH1063" s="290" t="s">
        <v>1448</v>
      </c>
      <c r="AI1063" s="289">
        <v>0</v>
      </c>
      <c r="AJ1063" s="289">
        <v>0</v>
      </c>
    </row>
    <row r="1064" spans="2:36">
      <c r="B1064" s="290">
        <v>2111</v>
      </c>
      <c r="C1064" s="294">
        <v>87851</v>
      </c>
      <c r="D1064" s="290" t="s">
        <v>944</v>
      </c>
      <c r="E1064" s="289" t="s">
        <v>3116</v>
      </c>
      <c r="F1064" s="290">
        <v>13</v>
      </c>
      <c r="G1064" s="289"/>
      <c r="H1064" s="289"/>
      <c r="I1064" s="289"/>
      <c r="J1064" s="289">
        <v>0</v>
      </c>
      <c r="K1064" s="289" t="s">
        <v>2257</v>
      </c>
      <c r="L1064" s="289"/>
      <c r="M1064" s="289" t="s">
        <v>1662</v>
      </c>
      <c r="N1064" s="293">
        <v>40877</v>
      </c>
      <c r="O1064" s="293">
        <v>40877</v>
      </c>
      <c r="P1064" s="289" t="s">
        <v>3115</v>
      </c>
      <c r="Q1064" s="290">
        <v>1200</v>
      </c>
      <c r="R1064" s="290">
        <v>14050</v>
      </c>
      <c r="S1064" s="291">
        <v>12077.65</v>
      </c>
      <c r="T1064" s="290">
        <v>14056</v>
      </c>
      <c r="U1064" s="291">
        <v>10735.68</v>
      </c>
      <c r="V1064" s="291">
        <f t="shared" si="16"/>
        <v>1341.9699999999993</v>
      </c>
      <c r="W1064" s="292">
        <v>587.11</v>
      </c>
      <c r="X1064" s="290">
        <v>54260</v>
      </c>
      <c r="Y1064" s="291">
        <v>83.87</v>
      </c>
      <c r="Z1064" s="289" t="s">
        <v>944</v>
      </c>
      <c r="AA1064" s="289"/>
      <c r="AB1064" s="289">
        <v>63812</v>
      </c>
      <c r="AC1064" s="289"/>
      <c r="AD1064" s="289" t="s">
        <v>1446</v>
      </c>
      <c r="AE1064" s="289" t="s">
        <v>410</v>
      </c>
      <c r="AF1064" s="290" t="s">
        <v>1447</v>
      </c>
      <c r="AG1064" s="289"/>
      <c r="AH1064" s="290" t="s">
        <v>1448</v>
      </c>
      <c r="AI1064" s="289">
        <v>0</v>
      </c>
      <c r="AJ1064" s="289">
        <v>0</v>
      </c>
    </row>
    <row r="1065" spans="2:36">
      <c r="B1065" s="290">
        <v>2111</v>
      </c>
      <c r="C1065" s="294">
        <v>87850</v>
      </c>
      <c r="D1065" s="290" t="s">
        <v>944</v>
      </c>
      <c r="E1065" s="289" t="s">
        <v>3116</v>
      </c>
      <c r="F1065" s="290">
        <v>13</v>
      </c>
      <c r="G1065" s="289"/>
      <c r="H1065" s="289"/>
      <c r="I1065" s="289"/>
      <c r="J1065" s="289">
        <v>0</v>
      </c>
      <c r="K1065" s="289" t="s">
        <v>2257</v>
      </c>
      <c r="L1065" s="289"/>
      <c r="M1065" s="289" t="s">
        <v>1662</v>
      </c>
      <c r="N1065" s="293">
        <v>40877</v>
      </c>
      <c r="O1065" s="293">
        <v>40877</v>
      </c>
      <c r="P1065" s="289" t="s">
        <v>3115</v>
      </c>
      <c r="Q1065" s="290">
        <v>1200</v>
      </c>
      <c r="R1065" s="290">
        <v>14050</v>
      </c>
      <c r="S1065" s="291">
        <v>12077.65</v>
      </c>
      <c r="T1065" s="290">
        <v>14056</v>
      </c>
      <c r="U1065" s="291">
        <v>10735.68</v>
      </c>
      <c r="V1065" s="291">
        <f t="shared" si="16"/>
        <v>1341.9699999999993</v>
      </c>
      <c r="W1065" s="292">
        <v>587.11</v>
      </c>
      <c r="X1065" s="290">
        <v>54260</v>
      </c>
      <c r="Y1065" s="291">
        <v>83.87</v>
      </c>
      <c r="Z1065" s="289" t="s">
        <v>944</v>
      </c>
      <c r="AA1065" s="289"/>
      <c r="AB1065" s="289">
        <v>63811</v>
      </c>
      <c r="AC1065" s="289"/>
      <c r="AD1065" s="289" t="s">
        <v>1446</v>
      </c>
      <c r="AE1065" s="289" t="s">
        <v>410</v>
      </c>
      <c r="AF1065" s="290" t="s">
        <v>1447</v>
      </c>
      <c r="AG1065" s="289"/>
      <c r="AH1065" s="290" t="s">
        <v>1448</v>
      </c>
      <c r="AI1065" s="289">
        <v>0</v>
      </c>
      <c r="AJ1065" s="289">
        <v>0</v>
      </c>
    </row>
    <row r="1066" spans="2:36">
      <c r="B1066" s="290">
        <v>2111</v>
      </c>
      <c r="C1066" s="294">
        <v>87849</v>
      </c>
      <c r="D1066" s="290" t="s">
        <v>944</v>
      </c>
      <c r="E1066" s="289" t="s">
        <v>3114</v>
      </c>
      <c r="F1066" s="290">
        <v>2</v>
      </c>
      <c r="G1066" s="289"/>
      <c r="H1066" s="289"/>
      <c r="I1066" s="289"/>
      <c r="J1066" s="289">
        <v>0</v>
      </c>
      <c r="K1066" s="289" t="s">
        <v>2257</v>
      </c>
      <c r="L1066" s="289"/>
      <c r="M1066" s="289" t="s">
        <v>1662</v>
      </c>
      <c r="N1066" s="293">
        <v>40877</v>
      </c>
      <c r="O1066" s="293">
        <v>40877</v>
      </c>
      <c r="P1066" s="289" t="s">
        <v>3115</v>
      </c>
      <c r="Q1066" s="290">
        <v>1200</v>
      </c>
      <c r="R1066" s="290">
        <v>14050</v>
      </c>
      <c r="S1066" s="291">
        <v>1683.22</v>
      </c>
      <c r="T1066" s="290">
        <v>14056</v>
      </c>
      <c r="U1066" s="291">
        <v>1496.21</v>
      </c>
      <c r="V1066" s="291">
        <f t="shared" si="16"/>
        <v>187.01</v>
      </c>
      <c r="W1066" s="292">
        <v>81.819999999999993</v>
      </c>
      <c r="X1066" s="290">
        <v>54260</v>
      </c>
      <c r="Y1066" s="291">
        <v>11.68</v>
      </c>
      <c r="Z1066" s="289" t="s">
        <v>944</v>
      </c>
      <c r="AA1066" s="289"/>
      <c r="AB1066" s="289">
        <v>63810</v>
      </c>
      <c r="AC1066" s="289"/>
      <c r="AD1066" s="289" t="s">
        <v>1446</v>
      </c>
      <c r="AE1066" s="289" t="s">
        <v>410</v>
      </c>
      <c r="AF1066" s="290" t="s">
        <v>1447</v>
      </c>
      <c r="AG1066" s="289"/>
      <c r="AH1066" s="290" t="s">
        <v>1448</v>
      </c>
      <c r="AI1066" s="289">
        <v>0</v>
      </c>
      <c r="AJ1066" s="289">
        <v>0</v>
      </c>
    </row>
    <row r="1067" spans="2:36">
      <c r="B1067" s="290">
        <v>2111</v>
      </c>
      <c r="C1067" s="294">
        <v>87848</v>
      </c>
      <c r="D1067" s="290" t="s">
        <v>944</v>
      </c>
      <c r="E1067" s="289" t="s">
        <v>3114</v>
      </c>
      <c r="F1067" s="290">
        <v>7</v>
      </c>
      <c r="G1067" s="289"/>
      <c r="H1067" s="289"/>
      <c r="I1067" s="289"/>
      <c r="J1067" s="289">
        <v>0</v>
      </c>
      <c r="K1067" s="289" t="s">
        <v>2257</v>
      </c>
      <c r="L1067" s="289"/>
      <c r="M1067" s="289" t="s">
        <v>1662</v>
      </c>
      <c r="N1067" s="293">
        <v>40877</v>
      </c>
      <c r="O1067" s="293">
        <v>40877</v>
      </c>
      <c r="P1067" s="289" t="s">
        <v>3115</v>
      </c>
      <c r="Q1067" s="290">
        <v>1200</v>
      </c>
      <c r="R1067" s="290">
        <v>14050</v>
      </c>
      <c r="S1067" s="291">
        <v>5891.27</v>
      </c>
      <c r="T1067" s="290">
        <v>14056</v>
      </c>
      <c r="U1067" s="291">
        <v>5236.59</v>
      </c>
      <c r="V1067" s="291">
        <f t="shared" si="16"/>
        <v>654.68000000000029</v>
      </c>
      <c r="W1067" s="292">
        <v>286.38</v>
      </c>
      <c r="X1067" s="290">
        <v>54260</v>
      </c>
      <c r="Y1067" s="291">
        <v>40.909999999999997</v>
      </c>
      <c r="Z1067" s="289" t="s">
        <v>944</v>
      </c>
      <c r="AA1067" s="289"/>
      <c r="AB1067" s="289">
        <v>63809</v>
      </c>
      <c r="AC1067" s="289"/>
      <c r="AD1067" s="289" t="s">
        <v>1446</v>
      </c>
      <c r="AE1067" s="289" t="s">
        <v>410</v>
      </c>
      <c r="AF1067" s="290" t="s">
        <v>1447</v>
      </c>
      <c r="AG1067" s="289"/>
      <c r="AH1067" s="290" t="s">
        <v>1448</v>
      </c>
      <c r="AI1067" s="289">
        <v>0</v>
      </c>
      <c r="AJ1067" s="289">
        <v>0</v>
      </c>
    </row>
    <row r="1068" spans="2:36">
      <c r="B1068" s="290">
        <v>2111</v>
      </c>
      <c r="C1068" s="294">
        <v>87697</v>
      </c>
      <c r="D1068" s="290">
        <v>80817</v>
      </c>
      <c r="E1068" s="289" t="s">
        <v>2874</v>
      </c>
      <c r="F1068" s="290">
        <v>0</v>
      </c>
      <c r="G1068" s="289"/>
      <c r="H1068" s="289"/>
      <c r="I1068" s="289"/>
      <c r="J1068" s="289">
        <v>0</v>
      </c>
      <c r="K1068" s="289" t="s">
        <v>2875</v>
      </c>
      <c r="L1068" s="289"/>
      <c r="M1068" s="289"/>
      <c r="N1068" s="293">
        <v>40637</v>
      </c>
      <c r="O1068" s="293">
        <v>40637</v>
      </c>
      <c r="P1068" s="289" t="s">
        <v>3117</v>
      </c>
      <c r="Q1068" s="290">
        <v>300</v>
      </c>
      <c r="R1068" s="290">
        <v>14110</v>
      </c>
      <c r="S1068" s="291">
        <v>162.75</v>
      </c>
      <c r="T1068" s="290">
        <v>14116</v>
      </c>
      <c r="U1068" s="291">
        <v>162.75</v>
      </c>
      <c r="V1068" s="291">
        <f t="shared" si="16"/>
        <v>0</v>
      </c>
      <c r="W1068" s="292">
        <v>0</v>
      </c>
      <c r="X1068" s="290">
        <v>70260</v>
      </c>
      <c r="Y1068" s="291">
        <v>0</v>
      </c>
      <c r="Z1068" s="289" t="s">
        <v>944</v>
      </c>
      <c r="AA1068" s="289"/>
      <c r="AB1068" s="289">
        <v>12038</v>
      </c>
      <c r="AC1068" s="289"/>
      <c r="AD1068" s="289" t="s">
        <v>1446</v>
      </c>
      <c r="AE1068" s="289" t="s">
        <v>410</v>
      </c>
      <c r="AF1068" s="290" t="s">
        <v>1447</v>
      </c>
      <c r="AG1068" s="289"/>
      <c r="AH1068" s="290" t="s">
        <v>1448</v>
      </c>
      <c r="AI1068" s="289">
        <v>0</v>
      </c>
      <c r="AJ1068" s="289">
        <v>0</v>
      </c>
    </row>
    <row r="1069" spans="2:36">
      <c r="B1069" s="290">
        <v>2111</v>
      </c>
      <c r="C1069" s="294">
        <v>87404</v>
      </c>
      <c r="D1069" s="290" t="s">
        <v>944</v>
      </c>
      <c r="E1069" s="289" t="s">
        <v>3118</v>
      </c>
      <c r="F1069" s="290">
        <v>1</v>
      </c>
      <c r="G1069" s="289"/>
      <c r="H1069" s="289"/>
      <c r="I1069" s="289"/>
      <c r="J1069" s="289">
        <v>0</v>
      </c>
      <c r="K1069" s="289" t="s">
        <v>2257</v>
      </c>
      <c r="L1069" s="289"/>
      <c r="M1069" s="289" t="s">
        <v>1665</v>
      </c>
      <c r="N1069" s="293">
        <v>40847</v>
      </c>
      <c r="O1069" s="293">
        <v>40847</v>
      </c>
      <c r="P1069" s="289" t="s">
        <v>3119</v>
      </c>
      <c r="Q1069" s="290">
        <v>1200</v>
      </c>
      <c r="R1069" s="290">
        <v>14050</v>
      </c>
      <c r="S1069" s="291">
        <v>486.39</v>
      </c>
      <c r="T1069" s="290">
        <v>14056</v>
      </c>
      <c r="U1069" s="291">
        <v>435.7</v>
      </c>
      <c r="V1069" s="291">
        <f t="shared" si="16"/>
        <v>50.69</v>
      </c>
      <c r="W1069" s="292">
        <v>23.64</v>
      </c>
      <c r="X1069" s="290">
        <v>54260</v>
      </c>
      <c r="Y1069" s="291">
        <v>3.37</v>
      </c>
      <c r="Z1069" s="289" t="s">
        <v>944</v>
      </c>
      <c r="AA1069" s="289"/>
      <c r="AB1069" s="289">
        <v>62867</v>
      </c>
      <c r="AC1069" s="289"/>
      <c r="AD1069" s="289" t="s">
        <v>1446</v>
      </c>
      <c r="AE1069" s="289" t="s">
        <v>410</v>
      </c>
      <c r="AF1069" s="290" t="s">
        <v>1447</v>
      </c>
      <c r="AG1069" s="289"/>
      <c r="AH1069" s="290" t="s">
        <v>1448</v>
      </c>
      <c r="AI1069" s="289">
        <v>0</v>
      </c>
      <c r="AJ1069" s="289">
        <v>0</v>
      </c>
    </row>
    <row r="1070" spans="2:36">
      <c r="B1070" s="290">
        <v>2111</v>
      </c>
      <c r="C1070" s="294">
        <v>87403</v>
      </c>
      <c r="D1070" s="290" t="s">
        <v>944</v>
      </c>
      <c r="E1070" s="289" t="s">
        <v>3120</v>
      </c>
      <c r="F1070" s="290">
        <v>12</v>
      </c>
      <c r="G1070" s="289"/>
      <c r="H1070" s="289"/>
      <c r="I1070" s="289"/>
      <c r="J1070" s="289">
        <v>0</v>
      </c>
      <c r="K1070" s="289" t="s">
        <v>2257</v>
      </c>
      <c r="L1070" s="289"/>
      <c r="M1070" s="289" t="s">
        <v>1665</v>
      </c>
      <c r="N1070" s="293">
        <v>40847</v>
      </c>
      <c r="O1070" s="293">
        <v>40847</v>
      </c>
      <c r="P1070" s="289" t="s">
        <v>3119</v>
      </c>
      <c r="Q1070" s="290">
        <v>1200</v>
      </c>
      <c r="R1070" s="290">
        <v>14050</v>
      </c>
      <c r="S1070" s="291">
        <v>5836.62</v>
      </c>
      <c r="T1070" s="290">
        <v>14056</v>
      </c>
      <c r="U1070" s="291">
        <v>5228.6099999999997</v>
      </c>
      <c r="V1070" s="291">
        <f t="shared" si="16"/>
        <v>608.01000000000022</v>
      </c>
      <c r="W1070" s="292">
        <v>283.73</v>
      </c>
      <c r="X1070" s="290">
        <v>54260</v>
      </c>
      <c r="Y1070" s="291">
        <v>40.53</v>
      </c>
      <c r="Z1070" s="289" t="s">
        <v>944</v>
      </c>
      <c r="AA1070" s="289"/>
      <c r="AB1070" s="289">
        <v>62866</v>
      </c>
      <c r="AC1070" s="289"/>
      <c r="AD1070" s="289" t="s">
        <v>1446</v>
      </c>
      <c r="AE1070" s="289" t="s">
        <v>410</v>
      </c>
      <c r="AF1070" s="290" t="s">
        <v>1447</v>
      </c>
      <c r="AG1070" s="289"/>
      <c r="AH1070" s="290" t="s">
        <v>1448</v>
      </c>
      <c r="AI1070" s="289">
        <v>0</v>
      </c>
      <c r="AJ1070" s="289">
        <v>0</v>
      </c>
    </row>
    <row r="1071" spans="2:36">
      <c r="B1071" s="290">
        <v>2111</v>
      </c>
      <c r="C1071" s="294">
        <v>87402</v>
      </c>
      <c r="D1071" s="290" t="s">
        <v>944</v>
      </c>
      <c r="E1071" s="289" t="s">
        <v>3120</v>
      </c>
      <c r="F1071" s="290">
        <v>2</v>
      </c>
      <c r="G1071" s="289"/>
      <c r="H1071" s="289"/>
      <c r="I1071" s="289"/>
      <c r="J1071" s="289">
        <v>0</v>
      </c>
      <c r="K1071" s="289" t="s">
        <v>2257</v>
      </c>
      <c r="L1071" s="289"/>
      <c r="M1071" s="289" t="s">
        <v>1665</v>
      </c>
      <c r="N1071" s="293">
        <v>40847</v>
      </c>
      <c r="O1071" s="293">
        <v>40847</v>
      </c>
      <c r="P1071" s="289" t="s">
        <v>3119</v>
      </c>
      <c r="Q1071" s="290">
        <v>1200</v>
      </c>
      <c r="R1071" s="290">
        <v>14050</v>
      </c>
      <c r="S1071" s="291">
        <v>972.77</v>
      </c>
      <c r="T1071" s="290">
        <v>14056</v>
      </c>
      <c r="U1071" s="291">
        <v>871.5</v>
      </c>
      <c r="V1071" s="291">
        <f t="shared" si="16"/>
        <v>101.26999999999998</v>
      </c>
      <c r="W1071" s="292">
        <v>47.29</v>
      </c>
      <c r="X1071" s="290">
        <v>54260</v>
      </c>
      <c r="Y1071" s="291">
        <v>6.75</v>
      </c>
      <c r="Z1071" s="289" t="s">
        <v>944</v>
      </c>
      <c r="AA1071" s="289"/>
      <c r="AB1071" s="289">
        <v>62789</v>
      </c>
      <c r="AC1071" s="289"/>
      <c r="AD1071" s="289" t="s">
        <v>1446</v>
      </c>
      <c r="AE1071" s="289" t="s">
        <v>410</v>
      </c>
      <c r="AF1071" s="290" t="s">
        <v>1447</v>
      </c>
      <c r="AG1071" s="289"/>
      <c r="AH1071" s="290" t="s">
        <v>1448</v>
      </c>
      <c r="AI1071" s="289">
        <v>0</v>
      </c>
      <c r="AJ1071" s="289">
        <v>0</v>
      </c>
    </row>
    <row r="1072" spans="2:36">
      <c r="B1072" s="290">
        <v>2111</v>
      </c>
      <c r="C1072" s="294">
        <v>86523</v>
      </c>
      <c r="D1072" s="290" t="s">
        <v>944</v>
      </c>
      <c r="E1072" s="289" t="s">
        <v>3121</v>
      </c>
      <c r="F1072" s="290">
        <v>0</v>
      </c>
      <c r="G1072" s="289"/>
      <c r="H1072" s="289"/>
      <c r="I1072" s="289"/>
      <c r="J1072" s="289">
        <v>0</v>
      </c>
      <c r="K1072" s="289" t="s">
        <v>1657</v>
      </c>
      <c r="L1072" s="289"/>
      <c r="M1072" s="289"/>
      <c r="N1072" s="293">
        <v>40813</v>
      </c>
      <c r="O1072" s="293">
        <v>40813</v>
      </c>
      <c r="P1072" s="289" t="s">
        <v>3122</v>
      </c>
      <c r="Q1072" s="290">
        <v>300</v>
      </c>
      <c r="R1072" s="290">
        <v>14110</v>
      </c>
      <c r="S1072" s="291">
        <v>593.86</v>
      </c>
      <c r="T1072" s="290">
        <v>14116</v>
      </c>
      <c r="U1072" s="291">
        <v>593.86</v>
      </c>
      <c r="V1072" s="291">
        <f t="shared" si="16"/>
        <v>0</v>
      </c>
      <c r="W1072" s="292">
        <v>0</v>
      </c>
      <c r="X1072" s="290">
        <v>70260</v>
      </c>
      <c r="Y1072" s="291">
        <v>0</v>
      </c>
      <c r="Z1072" s="289" t="s">
        <v>944</v>
      </c>
      <c r="AA1072" s="289"/>
      <c r="AB1072" s="289" t="s">
        <v>3123</v>
      </c>
      <c r="AC1072" s="289"/>
      <c r="AD1072" s="289" t="s">
        <v>1446</v>
      </c>
      <c r="AE1072" s="289" t="s">
        <v>410</v>
      </c>
      <c r="AF1072" s="290" t="s">
        <v>1447</v>
      </c>
      <c r="AG1072" s="289"/>
      <c r="AH1072" s="290" t="s">
        <v>1448</v>
      </c>
      <c r="AI1072" s="289">
        <v>0</v>
      </c>
      <c r="AJ1072" s="289">
        <v>0</v>
      </c>
    </row>
    <row r="1073" spans="2:36">
      <c r="B1073" s="290">
        <v>2111</v>
      </c>
      <c r="C1073" s="294">
        <v>86151</v>
      </c>
      <c r="D1073" s="290" t="s">
        <v>944</v>
      </c>
      <c r="E1073" s="289" t="s">
        <v>3124</v>
      </c>
      <c r="F1073" s="290">
        <v>486</v>
      </c>
      <c r="G1073" s="289"/>
      <c r="H1073" s="289"/>
      <c r="I1073" s="289"/>
      <c r="J1073" s="289">
        <v>0</v>
      </c>
      <c r="K1073" s="289" t="s">
        <v>2245</v>
      </c>
      <c r="L1073" s="289"/>
      <c r="M1073" s="289"/>
      <c r="N1073" s="293">
        <v>40786</v>
      </c>
      <c r="O1073" s="293">
        <v>40786</v>
      </c>
      <c r="P1073" s="289" t="s">
        <v>3125</v>
      </c>
      <c r="Q1073" s="290">
        <v>700</v>
      </c>
      <c r="R1073" s="290">
        <v>14050</v>
      </c>
      <c r="S1073" s="291">
        <v>26150.87</v>
      </c>
      <c r="T1073" s="290">
        <v>14056</v>
      </c>
      <c r="U1073" s="291">
        <v>26150.87</v>
      </c>
      <c r="V1073" s="291">
        <f t="shared" si="16"/>
        <v>0</v>
      </c>
      <c r="W1073" s="292">
        <v>0</v>
      </c>
      <c r="X1073" s="290">
        <v>54260</v>
      </c>
      <c r="Y1073" s="291">
        <v>0</v>
      </c>
      <c r="Z1073" s="289" t="s">
        <v>944</v>
      </c>
      <c r="AA1073" s="289"/>
      <c r="AB1073" s="289" t="s">
        <v>3126</v>
      </c>
      <c r="AC1073" s="289"/>
      <c r="AD1073" s="289" t="s">
        <v>1446</v>
      </c>
      <c r="AE1073" s="289" t="s">
        <v>410</v>
      </c>
      <c r="AF1073" s="290" t="s">
        <v>1447</v>
      </c>
      <c r="AG1073" s="289"/>
      <c r="AH1073" s="290" t="s">
        <v>1448</v>
      </c>
      <c r="AI1073" s="289">
        <v>0</v>
      </c>
      <c r="AJ1073" s="289">
        <v>0</v>
      </c>
    </row>
    <row r="1074" spans="2:36">
      <c r="B1074" s="290">
        <v>2111</v>
      </c>
      <c r="C1074" s="294">
        <v>85380</v>
      </c>
      <c r="D1074" s="290">
        <v>85258</v>
      </c>
      <c r="E1074" s="289" t="s">
        <v>3127</v>
      </c>
      <c r="F1074" s="290">
        <v>0</v>
      </c>
      <c r="G1074" s="289"/>
      <c r="H1074" s="289" t="s">
        <v>3128</v>
      </c>
      <c r="I1074" s="289"/>
      <c r="J1074" s="289">
        <v>2005</v>
      </c>
      <c r="K1074" s="289"/>
      <c r="L1074" s="289"/>
      <c r="M1074" s="289" t="s">
        <v>1467</v>
      </c>
      <c r="N1074" s="293">
        <v>40755</v>
      </c>
      <c r="O1074" s="293">
        <v>40755</v>
      </c>
      <c r="P1074" s="289" t="s">
        <v>3129</v>
      </c>
      <c r="Q1074" s="290">
        <v>300</v>
      </c>
      <c r="R1074" s="290">
        <v>14040</v>
      </c>
      <c r="S1074" s="291">
        <v>3825.5</v>
      </c>
      <c r="T1074" s="290">
        <v>14046</v>
      </c>
      <c r="U1074" s="291">
        <v>3825.5</v>
      </c>
      <c r="V1074" s="291">
        <f t="shared" si="16"/>
        <v>0</v>
      </c>
      <c r="W1074" s="292">
        <v>0</v>
      </c>
      <c r="X1074" s="290">
        <v>51260</v>
      </c>
      <c r="Y1074" s="291">
        <v>0</v>
      </c>
      <c r="Z1074" s="289" t="s">
        <v>944</v>
      </c>
      <c r="AA1074" s="289"/>
      <c r="AB1074" s="289">
        <v>28015</v>
      </c>
      <c r="AC1074" s="289"/>
      <c r="AD1074" s="289" t="s">
        <v>1446</v>
      </c>
      <c r="AE1074" s="289" t="s">
        <v>410</v>
      </c>
      <c r="AF1074" s="290" t="s">
        <v>1447</v>
      </c>
      <c r="AG1074" s="289"/>
      <c r="AH1074" s="290" t="s">
        <v>1448</v>
      </c>
      <c r="AI1074" s="289">
        <v>0</v>
      </c>
      <c r="AJ1074" s="289">
        <v>0</v>
      </c>
    </row>
    <row r="1075" spans="2:36">
      <c r="B1075" s="290">
        <v>2111</v>
      </c>
      <c r="C1075" s="294">
        <v>85258</v>
      </c>
      <c r="D1075" s="290" t="s">
        <v>944</v>
      </c>
      <c r="E1075" s="289" t="s">
        <v>3130</v>
      </c>
      <c r="F1075" s="290">
        <v>0</v>
      </c>
      <c r="G1075" s="289"/>
      <c r="H1075" s="289" t="s">
        <v>3128</v>
      </c>
      <c r="I1075" s="289"/>
      <c r="J1075" s="289">
        <v>2005</v>
      </c>
      <c r="K1075" s="289" t="s">
        <v>3032</v>
      </c>
      <c r="L1075" s="289" t="s">
        <v>751</v>
      </c>
      <c r="M1075" s="289" t="s">
        <v>1591</v>
      </c>
      <c r="N1075" s="293">
        <v>40755</v>
      </c>
      <c r="O1075" s="293">
        <v>40755</v>
      </c>
      <c r="P1075" s="289" t="s">
        <v>3129</v>
      </c>
      <c r="Q1075" s="290">
        <v>300</v>
      </c>
      <c r="R1075" s="290">
        <v>14040</v>
      </c>
      <c r="S1075" s="291">
        <v>71987.66</v>
      </c>
      <c r="T1075" s="290">
        <v>14046</v>
      </c>
      <c r="U1075" s="291">
        <v>71987.66</v>
      </c>
      <c r="V1075" s="291">
        <f t="shared" si="16"/>
        <v>0</v>
      </c>
      <c r="W1075" s="292">
        <v>0</v>
      </c>
      <c r="X1075" s="290">
        <v>51260</v>
      </c>
      <c r="Y1075" s="291">
        <v>0</v>
      </c>
      <c r="Z1075" s="289" t="s">
        <v>944</v>
      </c>
      <c r="AA1075" s="289"/>
      <c r="AB1075" s="289" t="s">
        <v>3131</v>
      </c>
      <c r="AC1075" s="289">
        <v>185</v>
      </c>
      <c r="AD1075" s="289" t="s">
        <v>1446</v>
      </c>
      <c r="AE1075" s="289" t="s">
        <v>410</v>
      </c>
      <c r="AF1075" s="290" t="s">
        <v>1447</v>
      </c>
      <c r="AG1075" s="289"/>
      <c r="AH1075" s="290" t="s">
        <v>1448</v>
      </c>
      <c r="AI1075" s="289">
        <v>0</v>
      </c>
      <c r="AJ1075" s="289">
        <v>0</v>
      </c>
    </row>
    <row r="1076" spans="2:36">
      <c r="B1076" s="290">
        <v>2111</v>
      </c>
      <c r="C1076" s="294">
        <v>85182</v>
      </c>
      <c r="D1076" s="290" t="s">
        <v>944</v>
      </c>
      <c r="E1076" s="289" t="s">
        <v>3132</v>
      </c>
      <c r="F1076" s="290">
        <v>486</v>
      </c>
      <c r="G1076" s="289"/>
      <c r="H1076" s="289"/>
      <c r="I1076" s="289"/>
      <c r="J1076" s="289">
        <v>0</v>
      </c>
      <c r="K1076" s="289" t="s">
        <v>2245</v>
      </c>
      <c r="L1076" s="289"/>
      <c r="M1076" s="289"/>
      <c r="N1076" s="293">
        <v>40732</v>
      </c>
      <c r="O1076" s="293">
        <v>40732</v>
      </c>
      <c r="P1076" s="289" t="s">
        <v>3133</v>
      </c>
      <c r="Q1076" s="290">
        <v>700</v>
      </c>
      <c r="R1076" s="290">
        <v>14050</v>
      </c>
      <c r="S1076" s="291">
        <v>26150.87</v>
      </c>
      <c r="T1076" s="290">
        <v>14056</v>
      </c>
      <c r="U1076" s="291">
        <v>26150.87</v>
      </c>
      <c r="V1076" s="291">
        <f t="shared" si="16"/>
        <v>0</v>
      </c>
      <c r="W1076" s="292">
        <v>0</v>
      </c>
      <c r="X1076" s="290">
        <v>54260</v>
      </c>
      <c r="Y1076" s="291">
        <v>0</v>
      </c>
      <c r="Z1076" s="289" t="s">
        <v>944</v>
      </c>
      <c r="AA1076" s="289"/>
      <c r="AB1076" s="289" t="s">
        <v>3134</v>
      </c>
      <c r="AC1076" s="289"/>
      <c r="AD1076" s="289" t="s">
        <v>1446</v>
      </c>
      <c r="AE1076" s="289" t="s">
        <v>410</v>
      </c>
      <c r="AF1076" s="290" t="s">
        <v>1447</v>
      </c>
      <c r="AG1076" s="289"/>
      <c r="AH1076" s="290" t="s">
        <v>1448</v>
      </c>
      <c r="AI1076" s="289">
        <v>0</v>
      </c>
      <c r="AJ1076" s="289">
        <v>0</v>
      </c>
    </row>
    <row r="1077" spans="2:36">
      <c r="B1077" s="290">
        <v>2111</v>
      </c>
      <c r="C1077" s="294">
        <v>85181</v>
      </c>
      <c r="D1077" s="290" t="s">
        <v>944</v>
      </c>
      <c r="E1077" s="289" t="s">
        <v>3132</v>
      </c>
      <c r="F1077" s="290">
        <v>243</v>
      </c>
      <c r="G1077" s="289"/>
      <c r="H1077" s="289"/>
      <c r="I1077" s="289"/>
      <c r="J1077" s="289">
        <v>0</v>
      </c>
      <c r="K1077" s="289" t="s">
        <v>2245</v>
      </c>
      <c r="L1077" s="289"/>
      <c r="M1077" s="289"/>
      <c r="N1077" s="293">
        <v>40732</v>
      </c>
      <c r="O1077" s="293">
        <v>40732</v>
      </c>
      <c r="P1077" s="289" t="s">
        <v>3133</v>
      </c>
      <c r="Q1077" s="290">
        <v>700</v>
      </c>
      <c r="R1077" s="290">
        <v>14050</v>
      </c>
      <c r="S1077" s="291">
        <v>13075.44</v>
      </c>
      <c r="T1077" s="290">
        <v>14056</v>
      </c>
      <c r="U1077" s="291">
        <v>13075.44</v>
      </c>
      <c r="V1077" s="291">
        <f t="shared" si="16"/>
        <v>0</v>
      </c>
      <c r="W1077" s="292">
        <v>0</v>
      </c>
      <c r="X1077" s="290">
        <v>54260</v>
      </c>
      <c r="Y1077" s="291">
        <v>0</v>
      </c>
      <c r="Z1077" s="289" t="s">
        <v>944</v>
      </c>
      <c r="AA1077" s="289"/>
      <c r="AB1077" s="289" t="s">
        <v>3135</v>
      </c>
      <c r="AC1077" s="289"/>
      <c r="AD1077" s="289" t="s">
        <v>1446</v>
      </c>
      <c r="AE1077" s="289" t="s">
        <v>410</v>
      </c>
      <c r="AF1077" s="290" t="s">
        <v>1447</v>
      </c>
      <c r="AG1077" s="289"/>
      <c r="AH1077" s="290" t="s">
        <v>1448</v>
      </c>
      <c r="AI1077" s="289">
        <v>0</v>
      </c>
      <c r="AJ1077" s="289">
        <v>0</v>
      </c>
    </row>
    <row r="1078" spans="2:36">
      <c r="B1078" s="290">
        <v>2111</v>
      </c>
      <c r="C1078" s="294">
        <v>85180</v>
      </c>
      <c r="D1078" s="290" t="s">
        <v>944</v>
      </c>
      <c r="E1078" s="289" t="s">
        <v>3136</v>
      </c>
      <c r="F1078" s="290">
        <v>243</v>
      </c>
      <c r="G1078" s="289"/>
      <c r="H1078" s="289"/>
      <c r="I1078" s="289"/>
      <c r="J1078" s="289">
        <v>0</v>
      </c>
      <c r="K1078" s="289" t="s">
        <v>2245</v>
      </c>
      <c r="L1078" s="289"/>
      <c r="M1078" s="289"/>
      <c r="N1078" s="293">
        <v>40732</v>
      </c>
      <c r="O1078" s="293">
        <v>40732</v>
      </c>
      <c r="P1078" s="289" t="s">
        <v>3133</v>
      </c>
      <c r="Q1078" s="290">
        <v>700</v>
      </c>
      <c r="R1078" s="290">
        <v>14050</v>
      </c>
      <c r="S1078" s="291">
        <v>13341.05</v>
      </c>
      <c r="T1078" s="290">
        <v>14056</v>
      </c>
      <c r="U1078" s="291">
        <v>13341.05</v>
      </c>
      <c r="V1078" s="291">
        <f t="shared" si="16"/>
        <v>0</v>
      </c>
      <c r="W1078" s="292">
        <v>0</v>
      </c>
      <c r="X1078" s="290">
        <v>54260</v>
      </c>
      <c r="Y1078" s="291">
        <v>0</v>
      </c>
      <c r="Z1078" s="289" t="s">
        <v>944</v>
      </c>
      <c r="AA1078" s="289"/>
      <c r="AB1078" s="289" t="s">
        <v>3137</v>
      </c>
      <c r="AC1078" s="289"/>
      <c r="AD1078" s="289" t="s">
        <v>1446</v>
      </c>
      <c r="AE1078" s="289" t="s">
        <v>410</v>
      </c>
      <c r="AF1078" s="290" t="s">
        <v>1447</v>
      </c>
      <c r="AG1078" s="289"/>
      <c r="AH1078" s="290" t="s">
        <v>1448</v>
      </c>
      <c r="AI1078" s="289">
        <v>0</v>
      </c>
      <c r="AJ1078" s="289">
        <v>0</v>
      </c>
    </row>
    <row r="1079" spans="2:36">
      <c r="B1079" s="290">
        <v>2111</v>
      </c>
      <c r="C1079" s="294">
        <v>85049</v>
      </c>
      <c r="D1079" s="290" t="s">
        <v>944</v>
      </c>
      <c r="E1079" s="289" t="s">
        <v>3138</v>
      </c>
      <c r="F1079" s="290">
        <v>45</v>
      </c>
      <c r="G1079" s="289"/>
      <c r="H1079" s="289"/>
      <c r="I1079" s="289"/>
      <c r="J1079" s="289">
        <v>0</v>
      </c>
      <c r="K1079" s="289" t="s">
        <v>3139</v>
      </c>
      <c r="L1079" s="289"/>
      <c r="M1079" s="289" t="s">
        <v>1659</v>
      </c>
      <c r="N1079" s="293">
        <v>40724</v>
      </c>
      <c r="O1079" s="293">
        <v>40724</v>
      </c>
      <c r="P1079" s="289" t="s">
        <v>3140</v>
      </c>
      <c r="Q1079" s="290">
        <v>1200</v>
      </c>
      <c r="R1079" s="290">
        <v>14050</v>
      </c>
      <c r="S1079" s="291">
        <v>35855.870000000003</v>
      </c>
      <c r="T1079" s="290">
        <v>14056</v>
      </c>
      <c r="U1079" s="291">
        <v>33116.89</v>
      </c>
      <c r="V1079" s="291">
        <f t="shared" si="16"/>
        <v>2738.9800000000032</v>
      </c>
      <c r="W1079" s="292">
        <v>1742.99</v>
      </c>
      <c r="X1079" s="290">
        <v>54260</v>
      </c>
      <c r="Y1079" s="291">
        <v>248.99</v>
      </c>
      <c r="Z1079" s="289" t="s">
        <v>944</v>
      </c>
      <c r="AA1079" s="289"/>
      <c r="AB1079" s="289">
        <v>4944</v>
      </c>
      <c r="AC1079" s="289"/>
      <c r="AD1079" s="289" t="s">
        <v>1446</v>
      </c>
      <c r="AE1079" s="289" t="s">
        <v>410</v>
      </c>
      <c r="AF1079" s="290" t="s">
        <v>1447</v>
      </c>
      <c r="AG1079" s="289"/>
      <c r="AH1079" s="290" t="s">
        <v>1448</v>
      </c>
      <c r="AI1079" s="289">
        <v>0</v>
      </c>
      <c r="AJ1079" s="289">
        <v>0</v>
      </c>
    </row>
    <row r="1080" spans="2:36">
      <c r="B1080" s="290">
        <v>2111</v>
      </c>
      <c r="C1080" s="294">
        <v>80817</v>
      </c>
      <c r="D1080" s="290" t="s">
        <v>944</v>
      </c>
      <c r="E1080" s="289" t="s">
        <v>3141</v>
      </c>
      <c r="F1080" s="290">
        <v>0</v>
      </c>
      <c r="G1080" s="289"/>
      <c r="H1080" s="289"/>
      <c r="I1080" s="289"/>
      <c r="J1080" s="289">
        <v>0</v>
      </c>
      <c r="K1080" s="289" t="s">
        <v>2347</v>
      </c>
      <c r="L1080" s="289"/>
      <c r="M1080" s="289"/>
      <c r="N1080" s="293">
        <v>40637</v>
      </c>
      <c r="O1080" s="293">
        <v>40637</v>
      </c>
      <c r="P1080" s="289" t="s">
        <v>3117</v>
      </c>
      <c r="Q1080" s="290">
        <v>300</v>
      </c>
      <c r="R1080" s="290">
        <v>14110</v>
      </c>
      <c r="S1080" s="291">
        <v>1750</v>
      </c>
      <c r="T1080" s="290">
        <v>14116</v>
      </c>
      <c r="U1080" s="291">
        <v>1750</v>
      </c>
      <c r="V1080" s="291">
        <f t="shared" si="16"/>
        <v>0</v>
      </c>
      <c r="W1080" s="292">
        <v>0</v>
      </c>
      <c r="X1080" s="290">
        <v>70260</v>
      </c>
      <c r="Y1080" s="291">
        <v>0</v>
      </c>
      <c r="Z1080" s="289" t="s">
        <v>944</v>
      </c>
      <c r="AA1080" s="289"/>
      <c r="AB1080" s="289">
        <v>12038</v>
      </c>
      <c r="AC1080" s="289"/>
      <c r="AD1080" s="289" t="s">
        <v>1446</v>
      </c>
      <c r="AE1080" s="289" t="s">
        <v>410</v>
      </c>
      <c r="AF1080" s="290" t="s">
        <v>1447</v>
      </c>
      <c r="AG1080" s="289"/>
      <c r="AH1080" s="290" t="s">
        <v>1448</v>
      </c>
      <c r="AI1080" s="289">
        <v>0</v>
      </c>
      <c r="AJ1080" s="289">
        <v>0</v>
      </c>
    </row>
    <row r="1081" spans="2:36">
      <c r="B1081" s="290">
        <v>2111</v>
      </c>
      <c r="C1081" s="294">
        <v>80693</v>
      </c>
      <c r="D1081" s="290" t="s">
        <v>944</v>
      </c>
      <c r="E1081" s="289" t="s">
        <v>3142</v>
      </c>
      <c r="F1081" s="290">
        <v>0</v>
      </c>
      <c r="G1081" s="289"/>
      <c r="H1081" s="289"/>
      <c r="I1081" s="289"/>
      <c r="J1081" s="289">
        <v>0</v>
      </c>
      <c r="K1081" s="289" t="s">
        <v>1120</v>
      </c>
      <c r="L1081" s="289"/>
      <c r="M1081" s="289"/>
      <c r="N1081" s="293">
        <v>40544</v>
      </c>
      <c r="O1081" s="293">
        <v>40544</v>
      </c>
      <c r="P1081" s="289" t="s">
        <v>3143</v>
      </c>
      <c r="Q1081" s="290">
        <v>500</v>
      </c>
      <c r="R1081" s="290">
        <v>14070</v>
      </c>
      <c r="S1081" s="291">
        <v>6260.49</v>
      </c>
      <c r="T1081" s="290">
        <v>14076</v>
      </c>
      <c r="U1081" s="291">
        <v>6260.49</v>
      </c>
      <c r="V1081" s="291">
        <f t="shared" si="16"/>
        <v>0</v>
      </c>
      <c r="W1081" s="292">
        <v>0</v>
      </c>
      <c r="X1081" s="290">
        <v>51260</v>
      </c>
      <c r="Y1081" s="291">
        <v>0</v>
      </c>
      <c r="Z1081" s="289" t="s">
        <v>944</v>
      </c>
      <c r="AA1081" s="289"/>
      <c r="AB1081" s="289">
        <v>493211</v>
      </c>
      <c r="AC1081" s="289"/>
      <c r="AD1081" s="289" t="s">
        <v>1446</v>
      </c>
      <c r="AE1081" s="289" t="s">
        <v>410</v>
      </c>
      <c r="AF1081" s="290" t="s">
        <v>1447</v>
      </c>
      <c r="AG1081" s="289"/>
      <c r="AH1081" s="290" t="s">
        <v>1448</v>
      </c>
      <c r="AI1081" s="289">
        <v>0</v>
      </c>
      <c r="AJ1081" s="289">
        <v>0</v>
      </c>
    </row>
    <row r="1082" spans="2:36">
      <c r="B1082" s="290">
        <v>2111</v>
      </c>
      <c r="C1082" s="294">
        <v>80515</v>
      </c>
      <c r="D1082" s="290">
        <v>80514</v>
      </c>
      <c r="E1082" s="289" t="s">
        <v>3144</v>
      </c>
      <c r="F1082" s="290">
        <v>12</v>
      </c>
      <c r="G1082" s="289"/>
      <c r="H1082" s="289"/>
      <c r="I1082" s="289"/>
      <c r="J1082" s="289">
        <v>0</v>
      </c>
      <c r="K1082" s="289" t="s">
        <v>2257</v>
      </c>
      <c r="L1082" s="289"/>
      <c r="M1082" s="289"/>
      <c r="N1082" s="293">
        <v>40544</v>
      </c>
      <c r="O1082" s="293">
        <v>40544</v>
      </c>
      <c r="P1082" s="289" t="s">
        <v>3145</v>
      </c>
      <c r="Q1082" s="290">
        <v>1200</v>
      </c>
      <c r="R1082" s="290">
        <v>14050</v>
      </c>
      <c r="S1082" s="291">
        <v>590</v>
      </c>
      <c r="T1082" s="290">
        <v>14056</v>
      </c>
      <c r="U1082" s="291">
        <v>569.54999999999995</v>
      </c>
      <c r="V1082" s="291">
        <f t="shared" si="16"/>
        <v>20.450000000000045</v>
      </c>
      <c r="W1082" s="292">
        <v>28.68</v>
      </c>
      <c r="X1082" s="290">
        <v>54260</v>
      </c>
      <c r="Y1082" s="291">
        <v>4.09</v>
      </c>
      <c r="Z1082" s="289" t="s">
        <v>944</v>
      </c>
      <c r="AA1082" s="289"/>
      <c r="AB1082" s="289">
        <v>52371</v>
      </c>
      <c r="AC1082" s="289"/>
      <c r="AD1082" s="289" t="s">
        <v>1446</v>
      </c>
      <c r="AE1082" s="289" t="s">
        <v>410</v>
      </c>
      <c r="AF1082" s="290" t="s">
        <v>1447</v>
      </c>
      <c r="AG1082" s="289"/>
      <c r="AH1082" s="290" t="s">
        <v>1448</v>
      </c>
      <c r="AI1082" s="289">
        <v>0</v>
      </c>
      <c r="AJ1082" s="289">
        <v>0</v>
      </c>
    </row>
    <row r="1083" spans="2:36">
      <c r="B1083" s="290">
        <v>2111</v>
      </c>
      <c r="C1083" s="294">
        <v>80514</v>
      </c>
      <c r="D1083" s="290" t="s">
        <v>944</v>
      </c>
      <c r="E1083" s="289" t="s">
        <v>3146</v>
      </c>
      <c r="F1083" s="290">
        <v>12</v>
      </c>
      <c r="G1083" s="289"/>
      <c r="H1083" s="289"/>
      <c r="I1083" s="289"/>
      <c r="J1083" s="289">
        <v>0</v>
      </c>
      <c r="K1083" s="289" t="s">
        <v>2257</v>
      </c>
      <c r="L1083" s="289"/>
      <c r="M1083" s="289" t="s">
        <v>1918</v>
      </c>
      <c r="N1083" s="293">
        <v>40544</v>
      </c>
      <c r="O1083" s="293">
        <v>40544</v>
      </c>
      <c r="P1083" s="289" t="s">
        <v>3147</v>
      </c>
      <c r="Q1083" s="290">
        <v>1200</v>
      </c>
      <c r="R1083" s="290">
        <v>14050</v>
      </c>
      <c r="S1083" s="291">
        <v>4886</v>
      </c>
      <c r="T1083" s="290">
        <v>14056</v>
      </c>
      <c r="U1083" s="291">
        <v>4716.3900000000003</v>
      </c>
      <c r="V1083" s="291">
        <f t="shared" si="16"/>
        <v>169.60999999999967</v>
      </c>
      <c r="W1083" s="292">
        <v>237.52</v>
      </c>
      <c r="X1083" s="290">
        <v>54260</v>
      </c>
      <c r="Y1083" s="291">
        <v>33.93</v>
      </c>
      <c r="Z1083" s="289" t="s">
        <v>944</v>
      </c>
      <c r="AA1083" s="289"/>
      <c r="AB1083" s="289">
        <v>52371</v>
      </c>
      <c r="AC1083" s="289"/>
      <c r="AD1083" s="289" t="s">
        <v>1446</v>
      </c>
      <c r="AE1083" s="289" t="s">
        <v>410</v>
      </c>
      <c r="AF1083" s="290" t="s">
        <v>1447</v>
      </c>
      <c r="AG1083" s="289"/>
      <c r="AH1083" s="290" t="s">
        <v>1448</v>
      </c>
      <c r="AI1083" s="289">
        <v>0</v>
      </c>
      <c r="AJ1083" s="289">
        <v>0</v>
      </c>
    </row>
    <row r="1084" spans="2:36">
      <c r="B1084" s="290">
        <v>2111</v>
      </c>
      <c r="C1084" s="294">
        <v>79173</v>
      </c>
      <c r="D1084" s="290" t="s">
        <v>944</v>
      </c>
      <c r="E1084" s="289" t="s">
        <v>708</v>
      </c>
      <c r="F1084" s="290">
        <v>9</v>
      </c>
      <c r="G1084" s="289"/>
      <c r="H1084" s="289"/>
      <c r="I1084" s="289"/>
      <c r="J1084" s="289">
        <v>0</v>
      </c>
      <c r="K1084" s="289" t="s">
        <v>2257</v>
      </c>
      <c r="L1084" s="289"/>
      <c r="M1084" s="289" t="s">
        <v>1918</v>
      </c>
      <c r="N1084" s="293">
        <v>40543</v>
      </c>
      <c r="O1084" s="293">
        <v>40543</v>
      </c>
      <c r="P1084" s="289" t="s">
        <v>3145</v>
      </c>
      <c r="Q1084" s="290">
        <v>1200</v>
      </c>
      <c r="R1084" s="290">
        <v>14050</v>
      </c>
      <c r="S1084" s="291">
        <v>4131.54</v>
      </c>
      <c r="T1084" s="290">
        <v>14056</v>
      </c>
      <c r="U1084" s="291">
        <v>3988.14</v>
      </c>
      <c r="V1084" s="291">
        <f t="shared" si="16"/>
        <v>143.40000000000009</v>
      </c>
      <c r="W1084" s="292">
        <v>200.84</v>
      </c>
      <c r="X1084" s="290">
        <v>54260</v>
      </c>
      <c r="Y1084" s="291">
        <v>28.69</v>
      </c>
      <c r="Z1084" s="289" t="s">
        <v>944</v>
      </c>
      <c r="AA1084" s="289"/>
      <c r="AB1084" s="289">
        <v>52332</v>
      </c>
      <c r="AC1084" s="289"/>
      <c r="AD1084" s="289" t="s">
        <v>1446</v>
      </c>
      <c r="AE1084" s="289" t="s">
        <v>410</v>
      </c>
      <c r="AF1084" s="290" t="s">
        <v>1447</v>
      </c>
      <c r="AG1084" s="289"/>
      <c r="AH1084" s="290" t="s">
        <v>1448</v>
      </c>
      <c r="AI1084" s="289">
        <v>0</v>
      </c>
      <c r="AJ1084" s="289">
        <v>0</v>
      </c>
    </row>
    <row r="1085" spans="2:36">
      <c r="B1085" s="290">
        <v>2111</v>
      </c>
      <c r="C1085" s="294">
        <v>79157</v>
      </c>
      <c r="D1085" s="290" t="s">
        <v>944</v>
      </c>
      <c r="E1085" s="289" t="s">
        <v>3148</v>
      </c>
      <c r="F1085" s="290">
        <v>6</v>
      </c>
      <c r="G1085" s="289"/>
      <c r="H1085" s="289"/>
      <c r="I1085" s="289"/>
      <c r="J1085" s="289">
        <v>0</v>
      </c>
      <c r="K1085" s="289" t="s">
        <v>2257</v>
      </c>
      <c r="L1085" s="289"/>
      <c r="M1085" s="289" t="s">
        <v>1659</v>
      </c>
      <c r="N1085" s="293">
        <v>40533</v>
      </c>
      <c r="O1085" s="293">
        <v>40533</v>
      </c>
      <c r="P1085" s="289" t="s">
        <v>3145</v>
      </c>
      <c r="Q1085" s="290">
        <v>1200</v>
      </c>
      <c r="R1085" s="290">
        <v>14050</v>
      </c>
      <c r="S1085" s="291">
        <v>3147.84</v>
      </c>
      <c r="T1085" s="290">
        <v>14056</v>
      </c>
      <c r="U1085" s="291">
        <v>3038.54</v>
      </c>
      <c r="V1085" s="291">
        <f t="shared" si="16"/>
        <v>109.30000000000018</v>
      </c>
      <c r="W1085" s="292">
        <v>153.02000000000001</v>
      </c>
      <c r="X1085" s="290">
        <v>54260</v>
      </c>
      <c r="Y1085" s="291">
        <v>21.86</v>
      </c>
      <c r="Z1085" s="289" t="s">
        <v>944</v>
      </c>
      <c r="AA1085" s="289"/>
      <c r="AB1085" s="289">
        <v>52372</v>
      </c>
      <c r="AC1085" s="289"/>
      <c r="AD1085" s="289" t="s">
        <v>1446</v>
      </c>
      <c r="AE1085" s="289" t="s">
        <v>410</v>
      </c>
      <c r="AF1085" s="290" t="s">
        <v>1447</v>
      </c>
      <c r="AG1085" s="295">
        <v>40847</v>
      </c>
      <c r="AH1085" s="290" t="s">
        <v>1448</v>
      </c>
      <c r="AI1085" s="289">
        <v>1</v>
      </c>
      <c r="AJ1085" s="289">
        <v>218.6</v>
      </c>
    </row>
    <row r="1086" spans="2:36">
      <c r="B1086" s="290">
        <v>2111</v>
      </c>
      <c r="C1086" s="294">
        <v>79156</v>
      </c>
      <c r="D1086" s="290" t="s">
        <v>944</v>
      </c>
      <c r="E1086" s="289" t="s">
        <v>1530</v>
      </c>
      <c r="F1086" s="290">
        <v>2</v>
      </c>
      <c r="G1086" s="289"/>
      <c r="H1086" s="289"/>
      <c r="I1086" s="289"/>
      <c r="J1086" s="289">
        <v>0</v>
      </c>
      <c r="K1086" s="289" t="s">
        <v>2257</v>
      </c>
      <c r="L1086" s="289"/>
      <c r="M1086" s="289" t="s">
        <v>1659</v>
      </c>
      <c r="N1086" s="293">
        <v>40533</v>
      </c>
      <c r="O1086" s="293">
        <v>40533</v>
      </c>
      <c r="P1086" s="289" t="s">
        <v>3147</v>
      </c>
      <c r="Q1086" s="290">
        <v>1200</v>
      </c>
      <c r="R1086" s="290">
        <v>14050</v>
      </c>
      <c r="S1086" s="291">
        <v>163.96</v>
      </c>
      <c r="T1086" s="290">
        <v>14056</v>
      </c>
      <c r="U1086" s="291">
        <v>158.26</v>
      </c>
      <c r="V1086" s="291">
        <f t="shared" si="16"/>
        <v>5.7000000000000171</v>
      </c>
      <c r="W1086" s="292">
        <v>8</v>
      </c>
      <c r="X1086" s="290">
        <v>54260</v>
      </c>
      <c r="Y1086" s="291">
        <v>1.1399999999999999</v>
      </c>
      <c r="Z1086" s="289" t="s">
        <v>944</v>
      </c>
      <c r="AA1086" s="289"/>
      <c r="AB1086" s="289">
        <v>52373</v>
      </c>
      <c r="AC1086" s="289"/>
      <c r="AD1086" s="289" t="s">
        <v>1446</v>
      </c>
      <c r="AE1086" s="289" t="s">
        <v>410</v>
      </c>
      <c r="AF1086" s="290" t="s">
        <v>1447</v>
      </c>
      <c r="AG1086" s="289"/>
      <c r="AH1086" s="290" t="s">
        <v>1448</v>
      </c>
      <c r="AI1086" s="289">
        <v>0</v>
      </c>
      <c r="AJ1086" s="289">
        <v>0</v>
      </c>
    </row>
    <row r="1087" spans="2:36">
      <c r="B1087" s="290">
        <v>2111</v>
      </c>
      <c r="C1087" s="294">
        <v>79155</v>
      </c>
      <c r="D1087" s="290" t="s">
        <v>944</v>
      </c>
      <c r="E1087" s="289" t="s">
        <v>730</v>
      </c>
      <c r="F1087" s="290">
        <v>12</v>
      </c>
      <c r="G1087" s="289"/>
      <c r="H1087" s="289"/>
      <c r="I1087" s="289"/>
      <c r="J1087" s="289">
        <v>0</v>
      </c>
      <c r="K1087" s="289" t="s">
        <v>2257</v>
      </c>
      <c r="L1087" s="289"/>
      <c r="M1087" s="289" t="s">
        <v>1659</v>
      </c>
      <c r="N1087" s="293">
        <v>40533</v>
      </c>
      <c r="O1087" s="293">
        <v>40533</v>
      </c>
      <c r="P1087" s="289" t="s">
        <v>3149</v>
      </c>
      <c r="Q1087" s="290">
        <v>1200</v>
      </c>
      <c r="R1087" s="290">
        <v>14050</v>
      </c>
      <c r="S1087" s="291">
        <v>7181</v>
      </c>
      <c r="T1087" s="290">
        <v>14056</v>
      </c>
      <c r="U1087" s="291">
        <v>6931.69</v>
      </c>
      <c r="V1087" s="291">
        <f t="shared" si="16"/>
        <v>249.3100000000004</v>
      </c>
      <c r="W1087" s="292">
        <v>349.07</v>
      </c>
      <c r="X1087" s="290">
        <v>54260</v>
      </c>
      <c r="Y1087" s="291">
        <v>49.87</v>
      </c>
      <c r="Z1087" s="289" t="s">
        <v>944</v>
      </c>
      <c r="AA1087" s="289"/>
      <c r="AB1087" s="289">
        <v>52373</v>
      </c>
      <c r="AC1087" s="289"/>
      <c r="AD1087" s="289" t="s">
        <v>1446</v>
      </c>
      <c r="AE1087" s="289" t="s">
        <v>410</v>
      </c>
      <c r="AF1087" s="290" t="s">
        <v>1447</v>
      </c>
      <c r="AG1087" s="289"/>
      <c r="AH1087" s="290" t="s">
        <v>1448</v>
      </c>
      <c r="AI1087" s="289">
        <v>0</v>
      </c>
      <c r="AJ1087" s="289">
        <v>0</v>
      </c>
    </row>
    <row r="1088" spans="2:36">
      <c r="B1088" s="290">
        <v>2111</v>
      </c>
      <c r="C1088" s="294">
        <v>79154</v>
      </c>
      <c r="D1088" s="290" t="s">
        <v>944</v>
      </c>
      <c r="E1088" s="289" t="s">
        <v>708</v>
      </c>
      <c r="F1088" s="290">
        <v>9</v>
      </c>
      <c r="G1088" s="289"/>
      <c r="H1088" s="289"/>
      <c r="I1088" s="289"/>
      <c r="J1088" s="289">
        <v>0</v>
      </c>
      <c r="K1088" s="289" t="s">
        <v>2257</v>
      </c>
      <c r="L1088" s="289"/>
      <c r="M1088" s="289" t="s">
        <v>1918</v>
      </c>
      <c r="N1088" s="293">
        <v>40533</v>
      </c>
      <c r="O1088" s="293">
        <v>40533</v>
      </c>
      <c r="P1088" s="289" t="s">
        <v>3147</v>
      </c>
      <c r="Q1088" s="290">
        <v>1200</v>
      </c>
      <c r="R1088" s="290">
        <v>14050</v>
      </c>
      <c r="S1088" s="291">
        <v>4131.54</v>
      </c>
      <c r="T1088" s="290">
        <v>14056</v>
      </c>
      <c r="U1088" s="291">
        <v>3988.14</v>
      </c>
      <c r="V1088" s="291">
        <f t="shared" si="16"/>
        <v>143.40000000000009</v>
      </c>
      <c r="W1088" s="292">
        <v>200.84</v>
      </c>
      <c r="X1088" s="290">
        <v>54260</v>
      </c>
      <c r="Y1088" s="291">
        <v>28.69</v>
      </c>
      <c r="Z1088" s="289" t="s">
        <v>944</v>
      </c>
      <c r="AA1088" s="289"/>
      <c r="AB1088" s="289">
        <v>52370</v>
      </c>
      <c r="AC1088" s="289"/>
      <c r="AD1088" s="289" t="s">
        <v>1446</v>
      </c>
      <c r="AE1088" s="289" t="s">
        <v>410</v>
      </c>
      <c r="AF1088" s="290" t="s">
        <v>1447</v>
      </c>
      <c r="AG1088" s="289"/>
      <c r="AH1088" s="290" t="s">
        <v>1448</v>
      </c>
      <c r="AI1088" s="289">
        <v>0</v>
      </c>
      <c r="AJ1088" s="289">
        <v>0</v>
      </c>
    </row>
    <row r="1089" spans="2:36">
      <c r="B1089" s="290">
        <v>2111</v>
      </c>
      <c r="C1089" s="294">
        <v>79152</v>
      </c>
      <c r="D1089" s="290" t="s">
        <v>944</v>
      </c>
      <c r="E1089" s="289" t="s">
        <v>730</v>
      </c>
      <c r="F1089" s="290">
        <v>8</v>
      </c>
      <c r="G1089" s="289"/>
      <c r="H1089" s="289"/>
      <c r="I1089" s="289"/>
      <c r="J1089" s="289">
        <v>0</v>
      </c>
      <c r="K1089" s="289" t="s">
        <v>2257</v>
      </c>
      <c r="L1089" s="289"/>
      <c r="M1089" s="289" t="s">
        <v>1659</v>
      </c>
      <c r="N1089" s="293">
        <v>40532</v>
      </c>
      <c r="O1089" s="293">
        <v>40532</v>
      </c>
      <c r="P1089" s="289" t="s">
        <v>3145</v>
      </c>
      <c r="Q1089" s="290">
        <v>1200</v>
      </c>
      <c r="R1089" s="290">
        <v>14050</v>
      </c>
      <c r="S1089" s="291">
        <v>4197.12</v>
      </c>
      <c r="T1089" s="290">
        <v>14056</v>
      </c>
      <c r="U1089" s="291">
        <v>4051.39</v>
      </c>
      <c r="V1089" s="291">
        <f t="shared" si="16"/>
        <v>145.73000000000002</v>
      </c>
      <c r="W1089" s="292">
        <v>204.03</v>
      </c>
      <c r="X1089" s="290">
        <v>54260</v>
      </c>
      <c r="Y1089" s="291">
        <v>29.15</v>
      </c>
      <c r="Z1089" s="289" t="s">
        <v>944</v>
      </c>
      <c r="AA1089" s="289"/>
      <c r="AB1089" s="289">
        <v>52333</v>
      </c>
      <c r="AC1089" s="289"/>
      <c r="AD1089" s="289" t="s">
        <v>1446</v>
      </c>
      <c r="AE1089" s="289" t="s">
        <v>410</v>
      </c>
      <c r="AF1089" s="290" t="s">
        <v>1447</v>
      </c>
      <c r="AG1089" s="289"/>
      <c r="AH1089" s="290" t="s">
        <v>1448</v>
      </c>
      <c r="AI1089" s="289">
        <v>0</v>
      </c>
      <c r="AJ1089" s="289">
        <v>0</v>
      </c>
    </row>
    <row r="1090" spans="2:36">
      <c r="B1090" s="290">
        <v>2111</v>
      </c>
      <c r="C1090" s="294">
        <v>79144</v>
      </c>
      <c r="D1090" s="290" t="s">
        <v>944</v>
      </c>
      <c r="E1090" s="289" t="s">
        <v>530</v>
      </c>
      <c r="F1090" s="290">
        <v>486</v>
      </c>
      <c r="G1090" s="289"/>
      <c r="H1090" s="289"/>
      <c r="I1090" s="289"/>
      <c r="J1090" s="289">
        <v>0</v>
      </c>
      <c r="K1090" s="289" t="s">
        <v>2245</v>
      </c>
      <c r="L1090" s="289"/>
      <c r="M1090" s="289"/>
      <c r="N1090" s="293">
        <v>40510</v>
      </c>
      <c r="O1090" s="293">
        <v>40510</v>
      </c>
      <c r="P1090" s="289" t="s">
        <v>3150</v>
      </c>
      <c r="Q1090" s="290">
        <v>700</v>
      </c>
      <c r="R1090" s="290">
        <v>14050</v>
      </c>
      <c r="S1090" s="291">
        <v>23872.04</v>
      </c>
      <c r="T1090" s="290">
        <v>14056</v>
      </c>
      <c r="U1090" s="291">
        <v>23872.04</v>
      </c>
      <c r="V1090" s="291">
        <f t="shared" si="16"/>
        <v>0</v>
      </c>
      <c r="W1090" s="292">
        <v>0</v>
      </c>
      <c r="X1090" s="290">
        <v>54260</v>
      </c>
      <c r="Y1090" s="291">
        <v>0</v>
      </c>
      <c r="Z1090" s="289" t="s">
        <v>944</v>
      </c>
      <c r="AA1090" s="289"/>
      <c r="AB1090" s="289" t="s">
        <v>3151</v>
      </c>
      <c r="AC1090" s="289"/>
      <c r="AD1090" s="289" t="s">
        <v>1446</v>
      </c>
      <c r="AE1090" s="289" t="s">
        <v>410</v>
      </c>
      <c r="AF1090" s="290" t="s">
        <v>1447</v>
      </c>
      <c r="AG1090" s="289"/>
      <c r="AH1090" s="290" t="s">
        <v>1448</v>
      </c>
      <c r="AI1090" s="289">
        <v>0</v>
      </c>
      <c r="AJ1090" s="289">
        <v>0</v>
      </c>
    </row>
    <row r="1091" spans="2:36">
      <c r="B1091" s="290">
        <v>2111</v>
      </c>
      <c r="C1091" s="294">
        <v>78044</v>
      </c>
      <c r="D1091" s="290" t="s">
        <v>944</v>
      </c>
      <c r="E1091" s="289" t="s">
        <v>3152</v>
      </c>
      <c r="F1091" s="290">
        <v>0</v>
      </c>
      <c r="G1091" s="289"/>
      <c r="H1091" s="289"/>
      <c r="I1091" s="289"/>
      <c r="J1091" s="289">
        <v>0</v>
      </c>
      <c r="K1091" s="289" t="s">
        <v>3153</v>
      </c>
      <c r="L1091" s="289"/>
      <c r="M1091" s="289"/>
      <c r="N1091" s="293">
        <v>40501</v>
      </c>
      <c r="O1091" s="293">
        <v>40501</v>
      </c>
      <c r="P1091" s="289" t="s">
        <v>3154</v>
      </c>
      <c r="Q1091" s="290">
        <v>500</v>
      </c>
      <c r="R1091" s="290">
        <v>14070</v>
      </c>
      <c r="S1091" s="291">
        <v>7651</v>
      </c>
      <c r="T1091" s="290">
        <v>14076</v>
      </c>
      <c r="U1091" s="291">
        <v>7651</v>
      </c>
      <c r="V1091" s="291">
        <f t="shared" si="16"/>
        <v>0</v>
      </c>
      <c r="W1091" s="292">
        <v>0</v>
      </c>
      <c r="X1091" s="290">
        <v>51260</v>
      </c>
      <c r="Y1091" s="291">
        <v>0</v>
      </c>
      <c r="Z1091" s="289" t="s">
        <v>944</v>
      </c>
      <c r="AA1091" s="289"/>
      <c r="AB1091" s="289">
        <v>16451</v>
      </c>
      <c r="AC1091" s="289"/>
      <c r="AD1091" s="289" t="s">
        <v>1446</v>
      </c>
      <c r="AE1091" s="289" t="s">
        <v>410</v>
      </c>
      <c r="AF1091" s="290" t="s">
        <v>1447</v>
      </c>
      <c r="AG1091" s="289"/>
      <c r="AH1091" s="290" t="s">
        <v>1448</v>
      </c>
      <c r="AI1091" s="289">
        <v>0</v>
      </c>
      <c r="AJ1091" s="289">
        <v>0</v>
      </c>
    </row>
    <row r="1092" spans="2:36">
      <c r="B1092" s="290">
        <v>2111</v>
      </c>
      <c r="C1092" s="294">
        <v>78016</v>
      </c>
      <c r="D1092" s="290">
        <v>9536</v>
      </c>
      <c r="E1092" s="289" t="s">
        <v>3155</v>
      </c>
      <c r="F1092" s="290">
        <v>0</v>
      </c>
      <c r="G1092" s="289"/>
      <c r="H1092" s="289"/>
      <c r="I1092" s="289"/>
      <c r="J1092" s="289">
        <v>0</v>
      </c>
      <c r="K1092" s="289" t="s">
        <v>2252</v>
      </c>
      <c r="L1092" s="289"/>
      <c r="M1092" s="289" t="s">
        <v>1467</v>
      </c>
      <c r="N1092" s="293">
        <v>40479</v>
      </c>
      <c r="O1092" s="293">
        <v>40479</v>
      </c>
      <c r="P1092" s="289" t="s">
        <v>3156</v>
      </c>
      <c r="Q1092" s="290">
        <v>300</v>
      </c>
      <c r="R1092" s="290">
        <v>14040</v>
      </c>
      <c r="S1092" s="291">
        <v>12406</v>
      </c>
      <c r="T1092" s="290">
        <v>14046</v>
      </c>
      <c r="U1092" s="291">
        <v>12406</v>
      </c>
      <c r="V1092" s="291">
        <f t="shared" si="16"/>
        <v>0</v>
      </c>
      <c r="W1092" s="292">
        <v>0</v>
      </c>
      <c r="X1092" s="290">
        <v>51260</v>
      </c>
      <c r="Y1092" s="291">
        <v>0</v>
      </c>
      <c r="Z1092" s="289" t="s">
        <v>944</v>
      </c>
      <c r="AA1092" s="289"/>
      <c r="AB1092" s="289">
        <v>196670</v>
      </c>
      <c r="AC1092" s="289"/>
      <c r="AD1092" s="289" t="s">
        <v>1446</v>
      </c>
      <c r="AE1092" s="289" t="s">
        <v>410</v>
      </c>
      <c r="AF1092" s="290" t="s">
        <v>1447</v>
      </c>
      <c r="AG1092" s="289"/>
      <c r="AH1092" s="290" t="s">
        <v>1448</v>
      </c>
      <c r="AI1092" s="289">
        <v>0</v>
      </c>
      <c r="AJ1092" s="289">
        <v>0</v>
      </c>
    </row>
    <row r="1093" spans="2:36">
      <c r="B1093" s="290">
        <v>2111</v>
      </c>
      <c r="C1093" s="294">
        <v>77215</v>
      </c>
      <c r="D1093" s="290" t="s">
        <v>944</v>
      </c>
      <c r="E1093" s="289" t="s">
        <v>3157</v>
      </c>
      <c r="F1093" s="290">
        <v>11</v>
      </c>
      <c r="G1093" s="289"/>
      <c r="H1093" s="289"/>
      <c r="I1093" s="289"/>
      <c r="J1093" s="289">
        <v>0</v>
      </c>
      <c r="K1093" s="289" t="s">
        <v>2257</v>
      </c>
      <c r="L1093" s="289"/>
      <c r="M1093" s="289" t="s">
        <v>1659</v>
      </c>
      <c r="N1093" s="293">
        <v>40351</v>
      </c>
      <c r="O1093" s="293">
        <v>40351</v>
      </c>
      <c r="P1093" s="289" t="s">
        <v>3158</v>
      </c>
      <c r="Q1093" s="290">
        <v>1200</v>
      </c>
      <c r="R1093" s="290">
        <v>14050</v>
      </c>
      <c r="S1093" s="291">
        <v>5584</v>
      </c>
      <c r="T1093" s="290">
        <v>14056</v>
      </c>
      <c r="U1093" s="291">
        <v>5584</v>
      </c>
      <c r="V1093" s="291">
        <f t="shared" si="16"/>
        <v>0</v>
      </c>
      <c r="W1093" s="292">
        <v>232.7</v>
      </c>
      <c r="X1093" s="290">
        <v>54260</v>
      </c>
      <c r="Y1093" s="291">
        <v>0</v>
      </c>
      <c r="Z1093" s="289" t="s">
        <v>944</v>
      </c>
      <c r="AA1093" s="289"/>
      <c r="AB1093" s="289">
        <v>47981</v>
      </c>
      <c r="AC1093" s="289"/>
      <c r="AD1093" s="289" t="s">
        <v>1446</v>
      </c>
      <c r="AE1093" s="289" t="s">
        <v>410</v>
      </c>
      <c r="AF1093" s="290" t="s">
        <v>1447</v>
      </c>
      <c r="AG1093" s="289"/>
      <c r="AH1093" s="290" t="s">
        <v>1448</v>
      </c>
      <c r="AI1093" s="289">
        <v>0</v>
      </c>
      <c r="AJ1093" s="289">
        <v>0</v>
      </c>
    </row>
    <row r="1094" spans="2:36">
      <c r="B1094" s="290">
        <v>2111</v>
      </c>
      <c r="C1094" s="294">
        <v>77214</v>
      </c>
      <c r="D1094" s="290">
        <v>77215</v>
      </c>
      <c r="E1094" s="289" t="s">
        <v>3159</v>
      </c>
      <c r="F1094" s="290">
        <v>11</v>
      </c>
      <c r="G1094" s="289"/>
      <c r="H1094" s="289"/>
      <c r="I1094" s="289"/>
      <c r="J1094" s="289">
        <v>0</v>
      </c>
      <c r="K1094" s="289" t="s">
        <v>2257</v>
      </c>
      <c r="L1094" s="289"/>
      <c r="M1094" s="289"/>
      <c r="N1094" s="293">
        <v>40350</v>
      </c>
      <c r="O1094" s="293">
        <v>40350</v>
      </c>
      <c r="P1094" s="289" t="s">
        <v>3160</v>
      </c>
      <c r="Q1094" s="290">
        <v>1200</v>
      </c>
      <c r="R1094" s="290">
        <v>14050</v>
      </c>
      <c r="S1094" s="291">
        <v>0.7</v>
      </c>
      <c r="T1094" s="290">
        <v>14056</v>
      </c>
      <c r="U1094" s="291">
        <v>0.7</v>
      </c>
      <c r="V1094" s="291">
        <f t="shared" si="16"/>
        <v>0</v>
      </c>
      <c r="W1094" s="292">
        <v>0</v>
      </c>
      <c r="X1094" s="290">
        <v>54260</v>
      </c>
      <c r="Y1094" s="291">
        <v>0</v>
      </c>
      <c r="Z1094" s="289" t="s">
        <v>944</v>
      </c>
      <c r="AA1094" s="289"/>
      <c r="AB1094" s="289">
        <v>47981</v>
      </c>
      <c r="AC1094" s="289"/>
      <c r="AD1094" s="289" t="s">
        <v>1446</v>
      </c>
      <c r="AE1094" s="289" t="s">
        <v>410</v>
      </c>
      <c r="AF1094" s="290" t="s">
        <v>1447</v>
      </c>
      <c r="AG1094" s="289"/>
      <c r="AH1094" s="290" t="s">
        <v>1448</v>
      </c>
      <c r="AI1094" s="289">
        <v>0</v>
      </c>
      <c r="AJ1094" s="289">
        <v>0</v>
      </c>
    </row>
    <row r="1095" spans="2:36">
      <c r="B1095" s="290">
        <v>2111</v>
      </c>
      <c r="C1095" s="294">
        <v>77213</v>
      </c>
      <c r="D1095" s="290">
        <v>77215</v>
      </c>
      <c r="E1095" s="289" t="s">
        <v>3159</v>
      </c>
      <c r="F1095" s="290">
        <v>11</v>
      </c>
      <c r="G1095" s="289"/>
      <c r="H1095" s="289"/>
      <c r="I1095" s="289"/>
      <c r="J1095" s="289">
        <v>0</v>
      </c>
      <c r="K1095" s="289" t="s">
        <v>2257</v>
      </c>
      <c r="L1095" s="289"/>
      <c r="M1095" s="289"/>
      <c r="N1095" s="293">
        <v>40350</v>
      </c>
      <c r="O1095" s="293">
        <v>40350</v>
      </c>
      <c r="P1095" s="289" t="s">
        <v>3161</v>
      </c>
      <c r="Q1095" s="290">
        <v>1200</v>
      </c>
      <c r="R1095" s="290">
        <v>14050</v>
      </c>
      <c r="S1095" s="291">
        <v>6</v>
      </c>
      <c r="T1095" s="290">
        <v>14056</v>
      </c>
      <c r="U1095" s="291">
        <v>6</v>
      </c>
      <c r="V1095" s="291">
        <f t="shared" si="16"/>
        <v>0</v>
      </c>
      <c r="W1095" s="292">
        <v>0.25</v>
      </c>
      <c r="X1095" s="290">
        <v>54260</v>
      </c>
      <c r="Y1095" s="291">
        <v>0</v>
      </c>
      <c r="Z1095" s="289" t="s">
        <v>944</v>
      </c>
      <c r="AA1095" s="289"/>
      <c r="AB1095" s="289">
        <v>47981</v>
      </c>
      <c r="AC1095" s="289"/>
      <c r="AD1095" s="289" t="s">
        <v>1446</v>
      </c>
      <c r="AE1095" s="289" t="s">
        <v>410</v>
      </c>
      <c r="AF1095" s="290" t="s">
        <v>1447</v>
      </c>
      <c r="AG1095" s="289"/>
      <c r="AH1095" s="290" t="s">
        <v>1448</v>
      </c>
      <c r="AI1095" s="289">
        <v>0</v>
      </c>
      <c r="AJ1095" s="289">
        <v>0</v>
      </c>
    </row>
    <row r="1096" spans="2:36">
      <c r="B1096" s="290">
        <v>2111</v>
      </c>
      <c r="C1096" s="294">
        <v>76984</v>
      </c>
      <c r="D1096" s="290" t="s">
        <v>944</v>
      </c>
      <c r="E1096" s="289" t="s">
        <v>715</v>
      </c>
      <c r="F1096" s="290">
        <v>9</v>
      </c>
      <c r="G1096" s="289"/>
      <c r="H1096" s="289"/>
      <c r="I1096" s="289"/>
      <c r="J1096" s="289">
        <v>0</v>
      </c>
      <c r="K1096" s="289" t="s">
        <v>2257</v>
      </c>
      <c r="L1096" s="289"/>
      <c r="M1096" s="289" t="s">
        <v>1664</v>
      </c>
      <c r="N1096" s="293">
        <v>40422</v>
      </c>
      <c r="O1096" s="293">
        <v>40422</v>
      </c>
      <c r="P1096" s="289" t="s">
        <v>3162</v>
      </c>
      <c r="Q1096" s="290">
        <v>1200</v>
      </c>
      <c r="R1096" s="290">
        <v>14050</v>
      </c>
      <c r="S1096" s="291">
        <v>5705.46</v>
      </c>
      <c r="T1096" s="290">
        <v>14056</v>
      </c>
      <c r="U1096" s="291">
        <v>5665.81</v>
      </c>
      <c r="V1096" s="291">
        <f t="shared" si="16"/>
        <v>39.649999999999636</v>
      </c>
      <c r="W1096" s="292">
        <v>277.49</v>
      </c>
      <c r="X1096" s="290">
        <v>54260</v>
      </c>
      <c r="Y1096" s="291">
        <v>39.64</v>
      </c>
      <c r="Z1096" s="289" t="s">
        <v>944</v>
      </c>
      <c r="AA1096" s="289"/>
      <c r="AB1096" s="289">
        <v>49730</v>
      </c>
      <c r="AC1096" s="289"/>
      <c r="AD1096" s="289" t="s">
        <v>1446</v>
      </c>
      <c r="AE1096" s="289" t="s">
        <v>410</v>
      </c>
      <c r="AF1096" s="290" t="s">
        <v>1447</v>
      </c>
      <c r="AG1096" s="289"/>
      <c r="AH1096" s="290" t="s">
        <v>1448</v>
      </c>
      <c r="AI1096" s="289">
        <v>0</v>
      </c>
      <c r="AJ1096" s="289">
        <v>0</v>
      </c>
    </row>
    <row r="1097" spans="2:36">
      <c r="B1097" s="290">
        <v>2111</v>
      </c>
      <c r="C1097" s="294">
        <v>76983</v>
      </c>
      <c r="D1097" s="290" t="s">
        <v>944</v>
      </c>
      <c r="E1097" s="289" t="s">
        <v>3163</v>
      </c>
      <c r="F1097" s="290">
        <v>14</v>
      </c>
      <c r="G1097" s="289"/>
      <c r="H1097" s="289"/>
      <c r="I1097" s="289"/>
      <c r="J1097" s="289">
        <v>0</v>
      </c>
      <c r="K1097" s="289" t="s">
        <v>2257</v>
      </c>
      <c r="L1097" s="289"/>
      <c r="M1097" s="289" t="s">
        <v>1664</v>
      </c>
      <c r="N1097" s="293">
        <v>40422</v>
      </c>
      <c r="O1097" s="293">
        <v>40422</v>
      </c>
      <c r="P1097" s="289" t="s">
        <v>3162</v>
      </c>
      <c r="Q1097" s="290">
        <v>1200</v>
      </c>
      <c r="R1097" s="290">
        <v>14050</v>
      </c>
      <c r="S1097" s="291">
        <v>8875.16</v>
      </c>
      <c r="T1097" s="290">
        <v>14056</v>
      </c>
      <c r="U1097" s="291">
        <v>8813.58</v>
      </c>
      <c r="V1097" s="291">
        <f t="shared" si="16"/>
        <v>61.579999999999927</v>
      </c>
      <c r="W1097" s="292">
        <v>431.45</v>
      </c>
      <c r="X1097" s="290">
        <v>54260</v>
      </c>
      <c r="Y1097" s="291">
        <v>61.64</v>
      </c>
      <c r="Z1097" s="289" t="s">
        <v>944</v>
      </c>
      <c r="AA1097" s="289"/>
      <c r="AB1097" s="289">
        <v>49729</v>
      </c>
      <c r="AC1097" s="289"/>
      <c r="AD1097" s="289" t="s">
        <v>1446</v>
      </c>
      <c r="AE1097" s="289" t="s">
        <v>410</v>
      </c>
      <c r="AF1097" s="290" t="s">
        <v>1447</v>
      </c>
      <c r="AG1097" s="289"/>
      <c r="AH1097" s="290" t="s">
        <v>1448</v>
      </c>
      <c r="AI1097" s="289">
        <v>0</v>
      </c>
      <c r="AJ1097" s="289">
        <v>0</v>
      </c>
    </row>
    <row r="1098" spans="2:36">
      <c r="B1098" s="290">
        <v>2111</v>
      </c>
      <c r="C1098" s="294">
        <v>76982</v>
      </c>
      <c r="D1098" s="290" t="s">
        <v>944</v>
      </c>
      <c r="E1098" s="289" t="s">
        <v>715</v>
      </c>
      <c r="F1098" s="290">
        <v>14</v>
      </c>
      <c r="G1098" s="289"/>
      <c r="H1098" s="289"/>
      <c r="I1098" s="289"/>
      <c r="J1098" s="289">
        <v>0</v>
      </c>
      <c r="K1098" s="289" t="s">
        <v>2257</v>
      </c>
      <c r="L1098" s="289"/>
      <c r="M1098" s="289" t="s">
        <v>1664</v>
      </c>
      <c r="N1098" s="293">
        <v>40422</v>
      </c>
      <c r="O1098" s="293">
        <v>40422</v>
      </c>
      <c r="P1098" s="289" t="s">
        <v>3162</v>
      </c>
      <c r="Q1098" s="290">
        <v>1200</v>
      </c>
      <c r="R1098" s="290">
        <v>14050</v>
      </c>
      <c r="S1098" s="291">
        <v>8875.16</v>
      </c>
      <c r="T1098" s="290">
        <v>14056</v>
      </c>
      <c r="U1098" s="291">
        <v>8813.58</v>
      </c>
      <c r="V1098" s="291">
        <f t="shared" si="16"/>
        <v>61.579999999999927</v>
      </c>
      <c r="W1098" s="292">
        <v>431.45</v>
      </c>
      <c r="X1098" s="290">
        <v>54260</v>
      </c>
      <c r="Y1098" s="291">
        <v>61.64</v>
      </c>
      <c r="Z1098" s="289" t="s">
        <v>944</v>
      </c>
      <c r="AA1098" s="289"/>
      <c r="AB1098" s="289">
        <v>49728</v>
      </c>
      <c r="AC1098" s="289"/>
      <c r="AD1098" s="289" t="s">
        <v>1446</v>
      </c>
      <c r="AE1098" s="289" t="s">
        <v>410</v>
      </c>
      <c r="AF1098" s="290" t="s">
        <v>1447</v>
      </c>
      <c r="AG1098" s="289"/>
      <c r="AH1098" s="290" t="s">
        <v>1448</v>
      </c>
      <c r="AI1098" s="289">
        <v>0</v>
      </c>
      <c r="AJ1098" s="289">
        <v>0</v>
      </c>
    </row>
    <row r="1099" spans="2:36">
      <c r="B1099" s="290">
        <v>2111</v>
      </c>
      <c r="C1099" s="294">
        <v>76981</v>
      </c>
      <c r="D1099" s="290" t="s">
        <v>944</v>
      </c>
      <c r="E1099" s="289" t="s">
        <v>715</v>
      </c>
      <c r="F1099" s="290">
        <v>13</v>
      </c>
      <c r="G1099" s="289"/>
      <c r="H1099" s="289"/>
      <c r="I1099" s="289"/>
      <c r="J1099" s="289">
        <v>0</v>
      </c>
      <c r="K1099" s="289" t="s">
        <v>2257</v>
      </c>
      <c r="L1099" s="289"/>
      <c r="M1099" s="289" t="s">
        <v>1664</v>
      </c>
      <c r="N1099" s="293">
        <v>40422</v>
      </c>
      <c r="O1099" s="293">
        <v>40422</v>
      </c>
      <c r="P1099" s="289" t="s">
        <v>3162</v>
      </c>
      <c r="Q1099" s="290">
        <v>1200</v>
      </c>
      <c r="R1099" s="290">
        <v>14050</v>
      </c>
      <c r="S1099" s="291">
        <v>8241.2199999999993</v>
      </c>
      <c r="T1099" s="290">
        <v>14056</v>
      </c>
      <c r="U1099" s="291">
        <v>8184.02</v>
      </c>
      <c r="V1099" s="291">
        <f t="shared" si="16"/>
        <v>57.199999999998909</v>
      </c>
      <c r="W1099" s="292">
        <v>400.63</v>
      </c>
      <c r="X1099" s="290">
        <v>54260</v>
      </c>
      <c r="Y1099" s="291">
        <v>57.23</v>
      </c>
      <c r="Z1099" s="289" t="s">
        <v>944</v>
      </c>
      <c r="AA1099" s="289"/>
      <c r="AB1099" s="289">
        <v>49710</v>
      </c>
      <c r="AC1099" s="289"/>
      <c r="AD1099" s="289" t="s">
        <v>1446</v>
      </c>
      <c r="AE1099" s="289" t="s">
        <v>410</v>
      </c>
      <c r="AF1099" s="290" t="s">
        <v>1447</v>
      </c>
      <c r="AG1099" s="289"/>
      <c r="AH1099" s="290" t="s">
        <v>1448</v>
      </c>
      <c r="AI1099" s="289">
        <v>0</v>
      </c>
      <c r="AJ1099" s="289">
        <v>0</v>
      </c>
    </row>
    <row r="1100" spans="2:36">
      <c r="B1100" s="290">
        <v>2111</v>
      </c>
      <c r="C1100" s="294">
        <v>76808</v>
      </c>
      <c r="D1100" s="290" t="s">
        <v>944</v>
      </c>
      <c r="E1100" s="289" t="s">
        <v>3164</v>
      </c>
      <c r="F1100" s="290">
        <v>0</v>
      </c>
      <c r="G1100" s="289"/>
      <c r="H1100" s="289"/>
      <c r="I1100" s="289"/>
      <c r="J1100" s="289">
        <v>0</v>
      </c>
      <c r="K1100" s="289" t="s">
        <v>1657</v>
      </c>
      <c r="L1100" s="289"/>
      <c r="M1100" s="289"/>
      <c r="N1100" s="293">
        <v>40420</v>
      </c>
      <c r="O1100" s="293">
        <v>40420</v>
      </c>
      <c r="P1100" s="289" t="s">
        <v>3165</v>
      </c>
      <c r="Q1100" s="290">
        <v>300</v>
      </c>
      <c r="R1100" s="290">
        <v>14110</v>
      </c>
      <c r="S1100" s="291">
        <v>611.54999999999995</v>
      </c>
      <c r="T1100" s="290">
        <v>14116</v>
      </c>
      <c r="U1100" s="291">
        <v>611.54999999999995</v>
      </c>
      <c r="V1100" s="291">
        <f t="shared" si="16"/>
        <v>0</v>
      </c>
      <c r="W1100" s="292">
        <v>0</v>
      </c>
      <c r="X1100" s="290">
        <v>70260</v>
      </c>
      <c r="Y1100" s="291">
        <v>0</v>
      </c>
      <c r="Z1100" s="289" t="s">
        <v>944</v>
      </c>
      <c r="AA1100" s="289"/>
      <c r="AB1100" s="289" t="s">
        <v>3166</v>
      </c>
      <c r="AC1100" s="289"/>
      <c r="AD1100" s="289" t="s">
        <v>1446</v>
      </c>
      <c r="AE1100" s="289" t="s">
        <v>410</v>
      </c>
      <c r="AF1100" s="290" t="s">
        <v>1447</v>
      </c>
      <c r="AG1100" s="289"/>
      <c r="AH1100" s="290" t="s">
        <v>1448</v>
      </c>
      <c r="AI1100" s="289">
        <v>0</v>
      </c>
      <c r="AJ1100" s="289">
        <v>0</v>
      </c>
    </row>
    <row r="1101" spans="2:36">
      <c r="B1101" s="290">
        <v>2111</v>
      </c>
      <c r="C1101" s="294">
        <v>76740</v>
      </c>
      <c r="D1101" s="290" t="s">
        <v>944</v>
      </c>
      <c r="E1101" s="289" t="s">
        <v>3167</v>
      </c>
      <c r="F1101" s="290">
        <v>0</v>
      </c>
      <c r="G1101" s="289"/>
      <c r="H1101" s="289"/>
      <c r="I1101" s="289"/>
      <c r="J1101" s="289">
        <v>0</v>
      </c>
      <c r="K1101" s="289" t="s">
        <v>3168</v>
      </c>
      <c r="L1101" s="289"/>
      <c r="M1101" s="289"/>
      <c r="N1101" s="293">
        <v>40401</v>
      </c>
      <c r="O1101" s="293">
        <v>40401</v>
      </c>
      <c r="P1101" s="289" t="s">
        <v>3169</v>
      </c>
      <c r="Q1101" s="290">
        <v>500</v>
      </c>
      <c r="R1101" s="290">
        <v>14070</v>
      </c>
      <c r="S1101" s="291">
        <v>3359.46</v>
      </c>
      <c r="T1101" s="290">
        <v>14076</v>
      </c>
      <c r="U1101" s="291">
        <v>3359.46</v>
      </c>
      <c r="V1101" s="291">
        <f t="shared" si="16"/>
        <v>0</v>
      </c>
      <c r="W1101" s="292">
        <v>0</v>
      </c>
      <c r="X1101" s="290">
        <v>51260</v>
      </c>
      <c r="Y1101" s="291">
        <v>0</v>
      </c>
      <c r="Z1101" s="289" t="s">
        <v>944</v>
      </c>
      <c r="AA1101" s="289"/>
      <c r="AB1101" s="289">
        <v>489047</v>
      </c>
      <c r="AC1101" s="289"/>
      <c r="AD1101" s="289" t="s">
        <v>1446</v>
      </c>
      <c r="AE1101" s="289" t="s">
        <v>410</v>
      </c>
      <c r="AF1101" s="290" t="s">
        <v>1447</v>
      </c>
      <c r="AG1101" s="289"/>
      <c r="AH1101" s="290" t="s">
        <v>1448</v>
      </c>
      <c r="AI1101" s="289">
        <v>0</v>
      </c>
      <c r="AJ1101" s="289">
        <v>0</v>
      </c>
    </row>
    <row r="1102" spans="2:36">
      <c r="B1102" s="290">
        <v>2111</v>
      </c>
      <c r="C1102" s="294">
        <v>76739</v>
      </c>
      <c r="D1102" s="290" t="s">
        <v>944</v>
      </c>
      <c r="E1102" s="289" t="s">
        <v>3170</v>
      </c>
      <c r="F1102" s="290">
        <v>0</v>
      </c>
      <c r="G1102" s="289"/>
      <c r="H1102" s="289"/>
      <c r="I1102" s="289"/>
      <c r="J1102" s="289">
        <v>0</v>
      </c>
      <c r="K1102" s="289" t="s">
        <v>3168</v>
      </c>
      <c r="L1102" s="289"/>
      <c r="M1102" s="289"/>
      <c r="N1102" s="293">
        <v>40399</v>
      </c>
      <c r="O1102" s="293">
        <v>40399</v>
      </c>
      <c r="P1102" s="289" t="s">
        <v>3169</v>
      </c>
      <c r="Q1102" s="290">
        <v>500</v>
      </c>
      <c r="R1102" s="290">
        <v>14070</v>
      </c>
      <c r="S1102" s="291">
        <v>1119.82</v>
      </c>
      <c r="T1102" s="290">
        <v>14076</v>
      </c>
      <c r="U1102" s="291">
        <v>1119.82</v>
      </c>
      <c r="V1102" s="291">
        <f t="shared" ref="V1102:V1165" si="17">S1102-U1102</f>
        <v>0</v>
      </c>
      <c r="W1102" s="292">
        <v>0</v>
      </c>
      <c r="X1102" s="290">
        <v>51260</v>
      </c>
      <c r="Y1102" s="291">
        <v>0</v>
      </c>
      <c r="Z1102" s="289" t="s">
        <v>944</v>
      </c>
      <c r="AA1102" s="289"/>
      <c r="AB1102" s="289">
        <v>489047</v>
      </c>
      <c r="AC1102" s="289"/>
      <c r="AD1102" s="289" t="s">
        <v>1446</v>
      </c>
      <c r="AE1102" s="289" t="s">
        <v>410</v>
      </c>
      <c r="AF1102" s="290" t="s">
        <v>1447</v>
      </c>
      <c r="AG1102" s="289"/>
      <c r="AH1102" s="290" t="s">
        <v>1448</v>
      </c>
      <c r="AI1102" s="289">
        <v>0</v>
      </c>
      <c r="AJ1102" s="289">
        <v>0</v>
      </c>
    </row>
    <row r="1103" spans="2:36">
      <c r="B1103" s="290">
        <v>2111</v>
      </c>
      <c r="C1103" s="294">
        <v>76738</v>
      </c>
      <c r="D1103" s="290" t="s">
        <v>944</v>
      </c>
      <c r="E1103" s="289" t="s">
        <v>3171</v>
      </c>
      <c r="F1103" s="290">
        <v>0</v>
      </c>
      <c r="G1103" s="289"/>
      <c r="H1103" s="289"/>
      <c r="I1103" s="289"/>
      <c r="J1103" s="289">
        <v>0</v>
      </c>
      <c r="K1103" s="289" t="s">
        <v>3168</v>
      </c>
      <c r="L1103" s="289"/>
      <c r="M1103" s="289"/>
      <c r="N1103" s="293">
        <v>40389</v>
      </c>
      <c r="O1103" s="293">
        <v>40389</v>
      </c>
      <c r="P1103" s="289" t="s">
        <v>3169</v>
      </c>
      <c r="Q1103" s="290">
        <v>500</v>
      </c>
      <c r="R1103" s="290">
        <v>14070</v>
      </c>
      <c r="S1103" s="291">
        <v>1119.82</v>
      </c>
      <c r="T1103" s="290">
        <v>14076</v>
      </c>
      <c r="U1103" s="291">
        <v>1119.82</v>
      </c>
      <c r="V1103" s="291">
        <f t="shared" si="17"/>
        <v>0</v>
      </c>
      <c r="W1103" s="292">
        <v>0</v>
      </c>
      <c r="X1103" s="290">
        <v>51260</v>
      </c>
      <c r="Y1103" s="291">
        <v>0</v>
      </c>
      <c r="Z1103" s="289" t="s">
        <v>944</v>
      </c>
      <c r="AA1103" s="289"/>
      <c r="AB1103" s="289">
        <v>489047</v>
      </c>
      <c r="AC1103" s="289"/>
      <c r="AD1103" s="289" t="s">
        <v>1446</v>
      </c>
      <c r="AE1103" s="289" t="s">
        <v>410</v>
      </c>
      <c r="AF1103" s="290" t="s">
        <v>1447</v>
      </c>
      <c r="AG1103" s="289"/>
      <c r="AH1103" s="290" t="s">
        <v>1448</v>
      </c>
      <c r="AI1103" s="289">
        <v>0</v>
      </c>
      <c r="AJ1103" s="289">
        <v>0</v>
      </c>
    </row>
    <row r="1104" spans="2:36">
      <c r="B1104" s="290">
        <v>2111</v>
      </c>
      <c r="C1104" s="294">
        <v>76629</v>
      </c>
      <c r="D1104" s="290" t="s">
        <v>944</v>
      </c>
      <c r="E1104" s="289" t="s">
        <v>3172</v>
      </c>
      <c r="F1104" s="290">
        <v>0</v>
      </c>
      <c r="G1104" s="289"/>
      <c r="H1104" s="289"/>
      <c r="I1104" s="289"/>
      <c r="J1104" s="289">
        <v>0</v>
      </c>
      <c r="K1104" s="289" t="s">
        <v>3173</v>
      </c>
      <c r="L1104" s="289"/>
      <c r="M1104" s="289"/>
      <c r="N1104" s="293">
        <v>40382</v>
      </c>
      <c r="O1104" s="293">
        <v>40382</v>
      </c>
      <c r="P1104" s="289" t="s">
        <v>3174</v>
      </c>
      <c r="Q1104" s="290">
        <v>500</v>
      </c>
      <c r="R1104" s="290">
        <v>14070</v>
      </c>
      <c r="S1104" s="291">
        <v>164438</v>
      </c>
      <c r="T1104" s="290">
        <v>14076</v>
      </c>
      <c r="U1104" s="291">
        <v>164438</v>
      </c>
      <c r="V1104" s="291">
        <f t="shared" si="17"/>
        <v>0</v>
      </c>
      <c r="W1104" s="292">
        <v>0</v>
      </c>
      <c r="X1104" s="290">
        <v>51260</v>
      </c>
      <c r="Y1104" s="291">
        <v>0</v>
      </c>
      <c r="Z1104" s="289" t="s">
        <v>944</v>
      </c>
      <c r="AA1104" s="289"/>
      <c r="AB1104" s="289">
        <v>353392</v>
      </c>
      <c r="AC1104" s="289"/>
      <c r="AD1104" s="289" t="s">
        <v>1446</v>
      </c>
      <c r="AE1104" s="289" t="s">
        <v>410</v>
      </c>
      <c r="AF1104" s="290" t="s">
        <v>1447</v>
      </c>
      <c r="AG1104" s="289"/>
      <c r="AH1104" s="290" t="s">
        <v>1448</v>
      </c>
      <c r="AI1104" s="289">
        <v>0</v>
      </c>
      <c r="AJ1104" s="289">
        <v>0</v>
      </c>
    </row>
    <row r="1105" spans="2:36">
      <c r="B1105" s="290">
        <v>2111</v>
      </c>
      <c r="C1105" s="294">
        <v>76057</v>
      </c>
      <c r="D1105" s="290">
        <v>73368</v>
      </c>
      <c r="E1105" s="289" t="s">
        <v>3175</v>
      </c>
      <c r="F1105" s="290">
        <v>0</v>
      </c>
      <c r="G1105" s="289"/>
      <c r="H1105" s="289"/>
      <c r="I1105" s="289"/>
      <c r="J1105" s="289">
        <v>0</v>
      </c>
      <c r="K1105" s="289" t="s">
        <v>3176</v>
      </c>
      <c r="L1105" s="289"/>
      <c r="M1105" s="289"/>
      <c r="N1105" s="293">
        <v>40298</v>
      </c>
      <c r="O1105" s="293">
        <v>40298</v>
      </c>
      <c r="P1105" s="289" t="s">
        <v>3177</v>
      </c>
      <c r="Q1105" s="290">
        <v>500</v>
      </c>
      <c r="R1105" s="290">
        <v>14100</v>
      </c>
      <c r="S1105" s="291">
        <v>5000</v>
      </c>
      <c r="T1105" s="290">
        <v>14106</v>
      </c>
      <c r="U1105" s="291">
        <v>5000</v>
      </c>
      <c r="V1105" s="291">
        <f t="shared" si="17"/>
        <v>0</v>
      </c>
      <c r="W1105" s="292">
        <v>0</v>
      </c>
      <c r="X1105" s="290">
        <v>70260</v>
      </c>
      <c r="Y1105" s="291">
        <v>0</v>
      </c>
      <c r="Z1105" s="289" t="s">
        <v>944</v>
      </c>
      <c r="AA1105" s="289"/>
      <c r="AB1105" s="289" t="s">
        <v>3178</v>
      </c>
      <c r="AC1105" s="289"/>
      <c r="AD1105" s="289" t="s">
        <v>1446</v>
      </c>
      <c r="AE1105" s="289" t="s">
        <v>410</v>
      </c>
      <c r="AF1105" s="290" t="s">
        <v>1447</v>
      </c>
      <c r="AG1105" s="289"/>
      <c r="AH1105" s="290" t="s">
        <v>1448</v>
      </c>
      <c r="AI1105" s="289">
        <v>0</v>
      </c>
      <c r="AJ1105" s="289">
        <v>0</v>
      </c>
    </row>
    <row r="1106" spans="2:36">
      <c r="B1106" s="290">
        <v>2111</v>
      </c>
      <c r="C1106" s="294">
        <v>75742</v>
      </c>
      <c r="D1106" s="290">
        <v>75741</v>
      </c>
      <c r="E1106" s="289" t="s">
        <v>3179</v>
      </c>
      <c r="F1106" s="290">
        <v>0</v>
      </c>
      <c r="G1106" s="289"/>
      <c r="H1106" s="289" t="s">
        <v>3180</v>
      </c>
      <c r="I1106" s="289"/>
      <c r="J1106" s="289">
        <v>1999</v>
      </c>
      <c r="K1106" s="289"/>
      <c r="L1106" s="289"/>
      <c r="M1106" s="289" t="s">
        <v>1467</v>
      </c>
      <c r="N1106" s="293">
        <v>38579</v>
      </c>
      <c r="O1106" s="293">
        <v>38579</v>
      </c>
      <c r="P1106" s="289">
        <v>52170001</v>
      </c>
      <c r="Q1106" s="290">
        <v>1000</v>
      </c>
      <c r="R1106" s="290">
        <v>14040</v>
      </c>
      <c r="S1106" s="291">
        <v>8008</v>
      </c>
      <c r="T1106" s="290">
        <v>14046</v>
      </c>
      <c r="U1106" s="291">
        <v>8008</v>
      </c>
      <c r="V1106" s="291">
        <f t="shared" si="17"/>
        <v>0</v>
      </c>
      <c r="W1106" s="292">
        <v>0</v>
      </c>
      <c r="X1106" s="290">
        <v>51260</v>
      </c>
      <c r="Y1106" s="291">
        <v>0</v>
      </c>
      <c r="Z1106" s="289" t="s">
        <v>944</v>
      </c>
      <c r="AA1106" s="289">
        <v>0</v>
      </c>
      <c r="AB1106" s="289" t="s">
        <v>3181</v>
      </c>
      <c r="AC1106" s="289"/>
      <c r="AD1106" s="289" t="s">
        <v>1446</v>
      </c>
      <c r="AE1106" s="289" t="s">
        <v>410</v>
      </c>
      <c r="AF1106" s="290" t="s">
        <v>1447</v>
      </c>
      <c r="AG1106" s="295">
        <v>40359</v>
      </c>
      <c r="AH1106" s="290" t="s">
        <v>1448</v>
      </c>
      <c r="AI1106" s="289">
        <v>0</v>
      </c>
      <c r="AJ1106" s="289">
        <v>3937.27</v>
      </c>
    </row>
    <row r="1107" spans="2:36">
      <c r="B1107" s="290">
        <v>2111</v>
      </c>
      <c r="C1107" s="294">
        <v>75741</v>
      </c>
      <c r="D1107" s="290" t="s">
        <v>944</v>
      </c>
      <c r="E1107" s="289" t="s">
        <v>3182</v>
      </c>
      <c r="F1107" s="290">
        <v>0</v>
      </c>
      <c r="G1107" s="289"/>
      <c r="H1107" s="289" t="s">
        <v>3183</v>
      </c>
      <c r="I1107" s="289"/>
      <c r="J1107" s="289">
        <v>2005</v>
      </c>
      <c r="K1107" s="289" t="s">
        <v>3184</v>
      </c>
      <c r="L1107" s="289" t="s">
        <v>2214</v>
      </c>
      <c r="M1107" s="289" t="s">
        <v>2868</v>
      </c>
      <c r="N1107" s="293">
        <v>38505</v>
      </c>
      <c r="O1107" s="293">
        <v>38505</v>
      </c>
      <c r="P1107" s="289">
        <v>52170001</v>
      </c>
      <c r="Q1107" s="290">
        <v>1000</v>
      </c>
      <c r="R1107" s="290">
        <v>14040</v>
      </c>
      <c r="S1107" s="291">
        <v>88000</v>
      </c>
      <c r="T1107" s="290">
        <v>14046</v>
      </c>
      <c r="U1107" s="291">
        <v>88000</v>
      </c>
      <c r="V1107" s="291">
        <f t="shared" si="17"/>
        <v>0</v>
      </c>
      <c r="W1107" s="292">
        <v>0</v>
      </c>
      <c r="X1107" s="290">
        <v>51260</v>
      </c>
      <c r="Y1107" s="291">
        <v>0</v>
      </c>
      <c r="Z1107" s="289" t="s">
        <v>944</v>
      </c>
      <c r="AA1107" s="289">
        <v>0</v>
      </c>
      <c r="AB1107" s="289">
        <v>6205</v>
      </c>
      <c r="AC1107" s="289" t="s">
        <v>3185</v>
      </c>
      <c r="AD1107" s="289" t="s">
        <v>1446</v>
      </c>
      <c r="AE1107" s="289" t="s">
        <v>410</v>
      </c>
      <c r="AF1107" s="290" t="s">
        <v>1447</v>
      </c>
      <c r="AG1107" s="295">
        <v>40359</v>
      </c>
      <c r="AH1107" s="290" t="s">
        <v>1448</v>
      </c>
      <c r="AI1107" s="289">
        <v>0</v>
      </c>
      <c r="AJ1107" s="289">
        <v>44733.33</v>
      </c>
    </row>
    <row r="1108" spans="2:36">
      <c r="B1108" s="290">
        <v>2111</v>
      </c>
      <c r="C1108" s="294">
        <v>75679</v>
      </c>
      <c r="D1108" s="290" t="s">
        <v>944</v>
      </c>
      <c r="E1108" s="289" t="s">
        <v>3186</v>
      </c>
      <c r="F1108" s="290">
        <v>10</v>
      </c>
      <c r="G1108" s="289"/>
      <c r="H1108" s="289"/>
      <c r="I1108" s="289"/>
      <c r="J1108" s="289">
        <v>0</v>
      </c>
      <c r="K1108" s="289" t="s">
        <v>2257</v>
      </c>
      <c r="L1108" s="289"/>
      <c r="M1108" s="289" t="s">
        <v>1659</v>
      </c>
      <c r="N1108" s="293">
        <v>40359</v>
      </c>
      <c r="O1108" s="293">
        <v>40359</v>
      </c>
      <c r="P1108" s="289" t="s">
        <v>3187</v>
      </c>
      <c r="Q1108" s="290">
        <v>1200</v>
      </c>
      <c r="R1108" s="290">
        <v>14050</v>
      </c>
      <c r="S1108" s="291">
        <v>5027.8</v>
      </c>
      <c r="T1108" s="290">
        <v>14056</v>
      </c>
      <c r="U1108" s="291">
        <v>5027.8</v>
      </c>
      <c r="V1108" s="291">
        <f t="shared" si="17"/>
        <v>0</v>
      </c>
      <c r="W1108" s="292">
        <v>209.64</v>
      </c>
      <c r="X1108" s="290">
        <v>54260</v>
      </c>
      <c r="Y1108" s="291">
        <v>0</v>
      </c>
      <c r="Z1108" s="289" t="s">
        <v>944</v>
      </c>
      <c r="AA1108" s="289"/>
      <c r="AB1108" s="289">
        <v>48198</v>
      </c>
      <c r="AC1108" s="289"/>
      <c r="AD1108" s="289" t="s">
        <v>1446</v>
      </c>
      <c r="AE1108" s="289" t="s">
        <v>410</v>
      </c>
      <c r="AF1108" s="290" t="s">
        <v>1447</v>
      </c>
      <c r="AG1108" s="289"/>
      <c r="AH1108" s="290" t="s">
        <v>1448</v>
      </c>
      <c r="AI1108" s="289">
        <v>0</v>
      </c>
      <c r="AJ1108" s="289">
        <v>0</v>
      </c>
    </row>
    <row r="1109" spans="2:36">
      <c r="B1109" s="290">
        <v>2111</v>
      </c>
      <c r="C1109" s="294">
        <v>75234</v>
      </c>
      <c r="D1109" s="290" t="s">
        <v>944</v>
      </c>
      <c r="E1109" s="289" t="s">
        <v>3188</v>
      </c>
      <c r="F1109" s="290">
        <v>14</v>
      </c>
      <c r="G1109" s="289"/>
      <c r="H1109" s="289"/>
      <c r="I1109" s="289"/>
      <c r="J1109" s="289">
        <v>0</v>
      </c>
      <c r="K1109" s="289" t="s">
        <v>2257</v>
      </c>
      <c r="L1109" s="289"/>
      <c r="M1109" s="289" t="s">
        <v>1918</v>
      </c>
      <c r="N1109" s="293">
        <v>40350</v>
      </c>
      <c r="O1109" s="293">
        <v>40350</v>
      </c>
      <c r="P1109" s="289" t="s">
        <v>3189</v>
      </c>
      <c r="Q1109" s="290">
        <v>1200</v>
      </c>
      <c r="R1109" s="290">
        <v>14050</v>
      </c>
      <c r="S1109" s="291">
        <v>6273.82</v>
      </c>
      <c r="T1109" s="290">
        <v>14056</v>
      </c>
      <c r="U1109" s="291">
        <v>6273.82</v>
      </c>
      <c r="V1109" s="291">
        <f t="shared" si="17"/>
        <v>0</v>
      </c>
      <c r="W1109" s="292">
        <v>261.39</v>
      </c>
      <c r="X1109" s="290">
        <v>54260</v>
      </c>
      <c r="Y1109" s="291">
        <v>0</v>
      </c>
      <c r="Z1109" s="289" t="s">
        <v>944</v>
      </c>
      <c r="AA1109" s="289"/>
      <c r="AB1109" s="289">
        <v>47977</v>
      </c>
      <c r="AC1109" s="289"/>
      <c r="AD1109" s="289" t="s">
        <v>1446</v>
      </c>
      <c r="AE1109" s="289" t="s">
        <v>410</v>
      </c>
      <c r="AF1109" s="290" t="s">
        <v>1447</v>
      </c>
      <c r="AG1109" s="289"/>
      <c r="AH1109" s="290" t="s">
        <v>1448</v>
      </c>
      <c r="AI1109" s="289">
        <v>0</v>
      </c>
      <c r="AJ1109" s="289">
        <v>0</v>
      </c>
    </row>
    <row r="1110" spans="2:36">
      <c r="B1110" s="290">
        <v>2111</v>
      </c>
      <c r="C1110" s="294">
        <v>75233</v>
      </c>
      <c r="D1110" s="290" t="s">
        <v>944</v>
      </c>
      <c r="E1110" s="289" t="s">
        <v>3188</v>
      </c>
      <c r="F1110" s="290">
        <v>1</v>
      </c>
      <c r="G1110" s="289"/>
      <c r="H1110" s="289"/>
      <c r="I1110" s="289"/>
      <c r="J1110" s="289">
        <v>0</v>
      </c>
      <c r="K1110" s="289" t="s">
        <v>2257</v>
      </c>
      <c r="L1110" s="289"/>
      <c r="M1110" s="289" t="s">
        <v>1918</v>
      </c>
      <c r="N1110" s="293">
        <v>40350</v>
      </c>
      <c r="O1110" s="293">
        <v>40350</v>
      </c>
      <c r="P1110" s="289" t="s">
        <v>3189</v>
      </c>
      <c r="Q1110" s="290">
        <v>1200</v>
      </c>
      <c r="R1110" s="290">
        <v>14050</v>
      </c>
      <c r="S1110" s="291">
        <v>448.13</v>
      </c>
      <c r="T1110" s="290">
        <v>14056</v>
      </c>
      <c r="U1110" s="291">
        <v>448.13</v>
      </c>
      <c r="V1110" s="291">
        <f t="shared" si="17"/>
        <v>0</v>
      </c>
      <c r="W1110" s="292">
        <v>18.61</v>
      </c>
      <c r="X1110" s="290">
        <v>54260</v>
      </c>
      <c r="Y1110" s="291">
        <v>0</v>
      </c>
      <c r="Z1110" s="289" t="s">
        <v>944</v>
      </c>
      <c r="AA1110" s="289"/>
      <c r="AB1110" s="289">
        <v>47976</v>
      </c>
      <c r="AC1110" s="289"/>
      <c r="AD1110" s="289" t="s">
        <v>1446</v>
      </c>
      <c r="AE1110" s="289" t="s">
        <v>410</v>
      </c>
      <c r="AF1110" s="290" t="s">
        <v>1447</v>
      </c>
      <c r="AG1110" s="289"/>
      <c r="AH1110" s="290" t="s">
        <v>1448</v>
      </c>
      <c r="AI1110" s="289">
        <v>0</v>
      </c>
      <c r="AJ1110" s="289">
        <v>0</v>
      </c>
    </row>
    <row r="1111" spans="2:36">
      <c r="B1111" s="290">
        <v>2111</v>
      </c>
      <c r="C1111" s="294">
        <v>75232</v>
      </c>
      <c r="D1111" s="290" t="s">
        <v>944</v>
      </c>
      <c r="E1111" s="289" t="s">
        <v>675</v>
      </c>
      <c r="F1111" s="290">
        <v>15</v>
      </c>
      <c r="G1111" s="289"/>
      <c r="H1111" s="289"/>
      <c r="I1111" s="289"/>
      <c r="J1111" s="289">
        <v>0</v>
      </c>
      <c r="K1111" s="289" t="s">
        <v>2257</v>
      </c>
      <c r="L1111" s="289"/>
      <c r="M1111" s="289" t="s">
        <v>1918</v>
      </c>
      <c r="N1111" s="293">
        <v>40350</v>
      </c>
      <c r="O1111" s="293">
        <v>40350</v>
      </c>
      <c r="P1111" s="289" t="s">
        <v>3189</v>
      </c>
      <c r="Q1111" s="290">
        <v>1200</v>
      </c>
      <c r="R1111" s="290">
        <v>14050</v>
      </c>
      <c r="S1111" s="291">
        <v>6721.95</v>
      </c>
      <c r="T1111" s="290">
        <v>14056</v>
      </c>
      <c r="U1111" s="291">
        <v>6721.95</v>
      </c>
      <c r="V1111" s="291">
        <f t="shared" si="17"/>
        <v>0</v>
      </c>
      <c r="W1111" s="292">
        <v>280.11</v>
      </c>
      <c r="X1111" s="290">
        <v>54260</v>
      </c>
      <c r="Y1111" s="291">
        <v>0</v>
      </c>
      <c r="Z1111" s="289" t="s">
        <v>944</v>
      </c>
      <c r="AA1111" s="289"/>
      <c r="AB1111" s="289">
        <v>47931</v>
      </c>
      <c r="AC1111" s="289"/>
      <c r="AD1111" s="289" t="s">
        <v>1446</v>
      </c>
      <c r="AE1111" s="289" t="s">
        <v>410</v>
      </c>
      <c r="AF1111" s="290" t="s">
        <v>1447</v>
      </c>
      <c r="AG1111" s="289"/>
      <c r="AH1111" s="290" t="s">
        <v>1448</v>
      </c>
      <c r="AI1111" s="289">
        <v>0</v>
      </c>
      <c r="AJ1111" s="289">
        <v>0</v>
      </c>
    </row>
    <row r="1112" spans="2:36">
      <c r="B1112" s="290">
        <v>2111</v>
      </c>
      <c r="C1112" s="294">
        <v>75231</v>
      </c>
      <c r="D1112" s="290" t="s">
        <v>944</v>
      </c>
      <c r="E1112" s="289" t="s">
        <v>2352</v>
      </c>
      <c r="F1112" s="290">
        <v>8</v>
      </c>
      <c r="G1112" s="289"/>
      <c r="H1112" s="289"/>
      <c r="I1112" s="289"/>
      <c r="J1112" s="289">
        <v>0</v>
      </c>
      <c r="K1112" s="289" t="s">
        <v>2257</v>
      </c>
      <c r="L1112" s="289"/>
      <c r="M1112" s="289" t="s">
        <v>1665</v>
      </c>
      <c r="N1112" s="293">
        <v>40350</v>
      </c>
      <c r="O1112" s="293">
        <v>40350</v>
      </c>
      <c r="P1112" s="289" t="s">
        <v>3160</v>
      </c>
      <c r="Q1112" s="290">
        <v>1200</v>
      </c>
      <c r="R1112" s="290">
        <v>14050</v>
      </c>
      <c r="S1112" s="291">
        <v>3716.2</v>
      </c>
      <c r="T1112" s="290">
        <v>14056</v>
      </c>
      <c r="U1112" s="291">
        <v>3716.2</v>
      </c>
      <c r="V1112" s="291">
        <f t="shared" si="17"/>
        <v>0</v>
      </c>
      <c r="W1112" s="292">
        <v>154.88</v>
      </c>
      <c r="X1112" s="290">
        <v>54260</v>
      </c>
      <c r="Y1112" s="291">
        <v>0</v>
      </c>
      <c r="Z1112" s="289" t="s">
        <v>944</v>
      </c>
      <c r="AA1112" s="289"/>
      <c r="AB1112" s="289">
        <v>47979</v>
      </c>
      <c r="AC1112" s="289"/>
      <c r="AD1112" s="289" t="s">
        <v>1446</v>
      </c>
      <c r="AE1112" s="289" t="s">
        <v>410</v>
      </c>
      <c r="AF1112" s="290" t="s">
        <v>1447</v>
      </c>
      <c r="AG1112" s="295">
        <v>40847</v>
      </c>
      <c r="AH1112" s="290" t="s">
        <v>1448</v>
      </c>
      <c r="AI1112" s="289">
        <v>1</v>
      </c>
      <c r="AJ1112" s="289">
        <v>412.91</v>
      </c>
    </row>
    <row r="1113" spans="2:36">
      <c r="B1113" s="290">
        <v>2111</v>
      </c>
      <c r="C1113" s="294">
        <v>75230</v>
      </c>
      <c r="D1113" s="290" t="s">
        <v>944</v>
      </c>
      <c r="E1113" s="289" t="s">
        <v>2352</v>
      </c>
      <c r="F1113" s="290">
        <v>3</v>
      </c>
      <c r="G1113" s="289"/>
      <c r="H1113" s="289"/>
      <c r="I1113" s="289"/>
      <c r="J1113" s="289">
        <v>0</v>
      </c>
      <c r="K1113" s="289" t="s">
        <v>2257</v>
      </c>
      <c r="L1113" s="289"/>
      <c r="M1113" s="289" t="s">
        <v>1665</v>
      </c>
      <c r="N1113" s="293">
        <v>40350</v>
      </c>
      <c r="O1113" s="293">
        <v>40350</v>
      </c>
      <c r="P1113" s="289" t="s">
        <v>3160</v>
      </c>
      <c r="Q1113" s="290">
        <v>1200</v>
      </c>
      <c r="R1113" s="290">
        <v>14050</v>
      </c>
      <c r="S1113" s="291">
        <v>1393.58</v>
      </c>
      <c r="T1113" s="290">
        <v>14056</v>
      </c>
      <c r="U1113" s="291">
        <v>1393.58</v>
      </c>
      <c r="V1113" s="291">
        <f t="shared" si="17"/>
        <v>0</v>
      </c>
      <c r="W1113" s="292">
        <v>58.08</v>
      </c>
      <c r="X1113" s="290">
        <v>54260</v>
      </c>
      <c r="Y1113" s="291">
        <v>0</v>
      </c>
      <c r="Z1113" s="289" t="s">
        <v>944</v>
      </c>
      <c r="AA1113" s="289"/>
      <c r="AB1113" s="289">
        <v>47978</v>
      </c>
      <c r="AC1113" s="289"/>
      <c r="AD1113" s="289" t="s">
        <v>1446</v>
      </c>
      <c r="AE1113" s="289" t="s">
        <v>410</v>
      </c>
      <c r="AF1113" s="290" t="s">
        <v>1447</v>
      </c>
      <c r="AG1113" s="289"/>
      <c r="AH1113" s="290" t="s">
        <v>1448</v>
      </c>
      <c r="AI1113" s="289">
        <v>0</v>
      </c>
      <c r="AJ1113" s="289">
        <v>0</v>
      </c>
    </row>
    <row r="1114" spans="2:36">
      <c r="B1114" s="290">
        <v>2111</v>
      </c>
      <c r="C1114" s="294">
        <v>75220</v>
      </c>
      <c r="D1114" s="290" t="s">
        <v>944</v>
      </c>
      <c r="E1114" s="289" t="s">
        <v>3190</v>
      </c>
      <c r="F1114" s="290">
        <v>486</v>
      </c>
      <c r="G1114" s="289"/>
      <c r="H1114" s="289"/>
      <c r="I1114" s="289"/>
      <c r="J1114" s="289">
        <v>0</v>
      </c>
      <c r="K1114" s="289" t="s">
        <v>2245</v>
      </c>
      <c r="L1114" s="289"/>
      <c r="M1114" s="289"/>
      <c r="N1114" s="293">
        <v>40310</v>
      </c>
      <c r="O1114" s="293">
        <v>40310</v>
      </c>
      <c r="P1114" s="289" t="s">
        <v>3191</v>
      </c>
      <c r="Q1114" s="290">
        <v>700</v>
      </c>
      <c r="R1114" s="290">
        <v>14050</v>
      </c>
      <c r="S1114" s="291">
        <v>25141.599999999999</v>
      </c>
      <c r="T1114" s="290">
        <v>14056</v>
      </c>
      <c r="U1114" s="291">
        <v>25141.599999999999</v>
      </c>
      <c r="V1114" s="291">
        <f t="shared" si="17"/>
        <v>0</v>
      </c>
      <c r="W1114" s="292">
        <v>0</v>
      </c>
      <c r="X1114" s="290">
        <v>54260</v>
      </c>
      <c r="Y1114" s="291">
        <v>0</v>
      </c>
      <c r="Z1114" s="289" t="s">
        <v>944</v>
      </c>
      <c r="AA1114" s="289"/>
      <c r="AB1114" s="289" t="s">
        <v>3192</v>
      </c>
      <c r="AC1114" s="289"/>
      <c r="AD1114" s="289" t="s">
        <v>1446</v>
      </c>
      <c r="AE1114" s="289" t="s">
        <v>410</v>
      </c>
      <c r="AF1114" s="290" t="s">
        <v>1447</v>
      </c>
      <c r="AG1114" s="289"/>
      <c r="AH1114" s="290" t="s">
        <v>1448</v>
      </c>
      <c r="AI1114" s="289">
        <v>0</v>
      </c>
      <c r="AJ1114" s="289">
        <v>0</v>
      </c>
    </row>
    <row r="1115" spans="2:36">
      <c r="B1115" s="290">
        <v>2111</v>
      </c>
      <c r="C1115" s="294">
        <v>75183</v>
      </c>
      <c r="D1115" s="290" t="s">
        <v>944</v>
      </c>
      <c r="E1115" s="289" t="s">
        <v>697</v>
      </c>
      <c r="F1115" s="290">
        <v>4</v>
      </c>
      <c r="G1115" s="289"/>
      <c r="H1115" s="289"/>
      <c r="I1115" s="289"/>
      <c r="J1115" s="289">
        <v>0</v>
      </c>
      <c r="K1115" s="289" t="s">
        <v>2257</v>
      </c>
      <c r="L1115" s="289"/>
      <c r="M1115" s="289" t="s">
        <v>1659</v>
      </c>
      <c r="N1115" s="293">
        <v>40351</v>
      </c>
      <c r="O1115" s="293">
        <v>40351</v>
      </c>
      <c r="P1115" s="289" t="s">
        <v>3158</v>
      </c>
      <c r="Q1115" s="290">
        <v>1200</v>
      </c>
      <c r="R1115" s="290">
        <v>14050</v>
      </c>
      <c r="S1115" s="291">
        <v>2032.98</v>
      </c>
      <c r="T1115" s="290">
        <v>14056</v>
      </c>
      <c r="U1115" s="291">
        <v>2032.98</v>
      </c>
      <c r="V1115" s="291">
        <f t="shared" si="17"/>
        <v>0</v>
      </c>
      <c r="W1115" s="292">
        <v>84.65</v>
      </c>
      <c r="X1115" s="290">
        <v>54260</v>
      </c>
      <c r="Y1115" s="291">
        <v>0</v>
      </c>
      <c r="Z1115" s="289" t="s">
        <v>944</v>
      </c>
      <c r="AA1115" s="289"/>
      <c r="AB1115" s="289">
        <v>47980</v>
      </c>
      <c r="AC1115" s="289"/>
      <c r="AD1115" s="289" t="s">
        <v>1446</v>
      </c>
      <c r="AE1115" s="289" t="s">
        <v>410</v>
      </c>
      <c r="AF1115" s="290" t="s">
        <v>1447</v>
      </c>
      <c r="AG1115" s="289"/>
      <c r="AH1115" s="290" t="s">
        <v>1448</v>
      </c>
      <c r="AI1115" s="289">
        <v>0</v>
      </c>
      <c r="AJ1115" s="289">
        <v>0</v>
      </c>
    </row>
    <row r="1116" spans="2:36">
      <c r="B1116" s="290">
        <v>2111</v>
      </c>
      <c r="C1116" s="294">
        <v>75182</v>
      </c>
      <c r="D1116" s="290" t="s">
        <v>944</v>
      </c>
      <c r="E1116" s="289" t="s">
        <v>2352</v>
      </c>
      <c r="F1116" s="290">
        <v>2</v>
      </c>
      <c r="G1116" s="289"/>
      <c r="H1116" s="289"/>
      <c r="I1116" s="289"/>
      <c r="J1116" s="289">
        <v>0</v>
      </c>
      <c r="K1116" s="289" t="s">
        <v>2257</v>
      </c>
      <c r="L1116" s="289"/>
      <c r="M1116" s="289" t="s">
        <v>1665</v>
      </c>
      <c r="N1116" s="293">
        <v>40350</v>
      </c>
      <c r="O1116" s="293">
        <v>40350</v>
      </c>
      <c r="P1116" s="289" t="s">
        <v>3160</v>
      </c>
      <c r="Q1116" s="290">
        <v>1200</v>
      </c>
      <c r="R1116" s="290">
        <v>14050</v>
      </c>
      <c r="S1116" s="291">
        <v>929.05</v>
      </c>
      <c r="T1116" s="290">
        <v>14056</v>
      </c>
      <c r="U1116" s="291">
        <v>929.05</v>
      </c>
      <c r="V1116" s="291">
        <f t="shared" si="17"/>
        <v>0</v>
      </c>
      <c r="W1116" s="292">
        <v>38.83</v>
      </c>
      <c r="X1116" s="290">
        <v>54260</v>
      </c>
      <c r="Y1116" s="291">
        <v>0</v>
      </c>
      <c r="Z1116" s="289" t="s">
        <v>944</v>
      </c>
      <c r="AA1116" s="289"/>
      <c r="AB1116" s="289">
        <v>47932</v>
      </c>
      <c r="AC1116" s="289"/>
      <c r="AD1116" s="289" t="s">
        <v>1446</v>
      </c>
      <c r="AE1116" s="289" t="s">
        <v>410</v>
      </c>
      <c r="AF1116" s="290" t="s">
        <v>1447</v>
      </c>
      <c r="AG1116" s="289"/>
      <c r="AH1116" s="290" t="s">
        <v>1448</v>
      </c>
      <c r="AI1116" s="289">
        <v>0</v>
      </c>
      <c r="AJ1116" s="289">
        <v>0</v>
      </c>
    </row>
    <row r="1117" spans="2:36">
      <c r="B1117" s="290">
        <v>2111</v>
      </c>
      <c r="C1117" s="294">
        <v>75181</v>
      </c>
      <c r="D1117" s="290" t="s">
        <v>944</v>
      </c>
      <c r="E1117" s="289" t="s">
        <v>3193</v>
      </c>
      <c r="F1117" s="290">
        <v>1</v>
      </c>
      <c r="G1117" s="289"/>
      <c r="H1117" s="289"/>
      <c r="I1117" s="289"/>
      <c r="J1117" s="289">
        <v>0</v>
      </c>
      <c r="K1117" s="289" t="s">
        <v>2257</v>
      </c>
      <c r="L1117" s="289"/>
      <c r="M1117" s="289" t="s">
        <v>1659</v>
      </c>
      <c r="N1117" s="293">
        <v>40350</v>
      </c>
      <c r="O1117" s="293">
        <v>40350</v>
      </c>
      <c r="P1117" s="289" t="s">
        <v>3161</v>
      </c>
      <c r="Q1117" s="290">
        <v>1200</v>
      </c>
      <c r="R1117" s="290">
        <v>14050</v>
      </c>
      <c r="S1117" s="291">
        <v>508.25</v>
      </c>
      <c r="T1117" s="290">
        <v>14056</v>
      </c>
      <c r="U1117" s="291">
        <v>508.25</v>
      </c>
      <c r="V1117" s="291">
        <f t="shared" si="17"/>
        <v>0</v>
      </c>
      <c r="W1117" s="292">
        <v>21.11</v>
      </c>
      <c r="X1117" s="290">
        <v>54260</v>
      </c>
      <c r="Y1117" s="291">
        <v>0</v>
      </c>
      <c r="Z1117" s="289" t="s">
        <v>944</v>
      </c>
      <c r="AA1117" s="289"/>
      <c r="AB1117" s="289">
        <v>47980</v>
      </c>
      <c r="AC1117" s="289"/>
      <c r="AD1117" s="289" t="s">
        <v>1446</v>
      </c>
      <c r="AE1117" s="289" t="s">
        <v>410</v>
      </c>
      <c r="AF1117" s="290" t="s">
        <v>1447</v>
      </c>
      <c r="AG1117" s="289"/>
      <c r="AH1117" s="290" t="s">
        <v>1448</v>
      </c>
      <c r="AI1117" s="289">
        <v>0</v>
      </c>
      <c r="AJ1117" s="289">
        <v>0</v>
      </c>
    </row>
    <row r="1118" spans="2:36">
      <c r="B1118" s="290">
        <v>2111</v>
      </c>
      <c r="C1118" s="294">
        <v>75180</v>
      </c>
      <c r="D1118" s="290" t="s">
        <v>944</v>
      </c>
      <c r="E1118" s="289" t="s">
        <v>697</v>
      </c>
      <c r="F1118" s="290">
        <v>13</v>
      </c>
      <c r="G1118" s="289"/>
      <c r="H1118" s="289"/>
      <c r="I1118" s="289"/>
      <c r="J1118" s="289">
        <v>0</v>
      </c>
      <c r="K1118" s="289" t="s">
        <v>2257</v>
      </c>
      <c r="L1118" s="289"/>
      <c r="M1118" s="289" t="s">
        <v>1659</v>
      </c>
      <c r="N1118" s="293">
        <v>40350</v>
      </c>
      <c r="O1118" s="293">
        <v>40350</v>
      </c>
      <c r="P1118" s="289" t="s">
        <v>3161</v>
      </c>
      <c r="Q1118" s="290">
        <v>1200</v>
      </c>
      <c r="R1118" s="290">
        <v>14050</v>
      </c>
      <c r="S1118" s="291">
        <v>6607.18</v>
      </c>
      <c r="T1118" s="290">
        <v>14056</v>
      </c>
      <c r="U1118" s="291">
        <v>6607.18</v>
      </c>
      <c r="V1118" s="291">
        <f t="shared" si="17"/>
        <v>0</v>
      </c>
      <c r="W1118" s="292">
        <v>275.32</v>
      </c>
      <c r="X1118" s="290">
        <v>54260</v>
      </c>
      <c r="Y1118" s="291">
        <v>0</v>
      </c>
      <c r="Z1118" s="289" t="s">
        <v>944</v>
      </c>
      <c r="AA1118" s="289"/>
      <c r="AB1118" s="289">
        <v>47933</v>
      </c>
      <c r="AC1118" s="289"/>
      <c r="AD1118" s="289" t="s">
        <v>1446</v>
      </c>
      <c r="AE1118" s="289" t="s">
        <v>410</v>
      </c>
      <c r="AF1118" s="290" t="s">
        <v>1447</v>
      </c>
      <c r="AG1118" s="289"/>
      <c r="AH1118" s="290" t="s">
        <v>1448</v>
      </c>
      <c r="AI1118" s="289">
        <v>2</v>
      </c>
      <c r="AJ1118" s="289">
        <v>0</v>
      </c>
    </row>
    <row r="1119" spans="2:36">
      <c r="B1119" s="290">
        <v>2111</v>
      </c>
      <c r="C1119" s="294">
        <v>75142</v>
      </c>
      <c r="D1119" s="290" t="s">
        <v>944</v>
      </c>
      <c r="E1119" s="289" t="s">
        <v>3194</v>
      </c>
      <c r="F1119" s="290">
        <v>0</v>
      </c>
      <c r="G1119" s="289"/>
      <c r="H1119" s="289" t="s">
        <v>3195</v>
      </c>
      <c r="I1119" s="289"/>
      <c r="J1119" s="289">
        <v>2007</v>
      </c>
      <c r="K1119" s="289" t="s">
        <v>3196</v>
      </c>
      <c r="L1119" s="289" t="s">
        <v>2214</v>
      </c>
      <c r="M1119" s="289" t="s">
        <v>2021</v>
      </c>
      <c r="N1119" s="293">
        <v>40333</v>
      </c>
      <c r="O1119" s="293">
        <v>40333</v>
      </c>
      <c r="P1119" s="289" t="s">
        <v>3197</v>
      </c>
      <c r="Q1119" s="290">
        <v>300</v>
      </c>
      <c r="R1119" s="290">
        <v>14040</v>
      </c>
      <c r="S1119" s="291">
        <v>25131.7</v>
      </c>
      <c r="T1119" s="290">
        <v>14046</v>
      </c>
      <c r="U1119" s="291">
        <v>25131.7</v>
      </c>
      <c r="V1119" s="291">
        <f t="shared" si="17"/>
        <v>0</v>
      </c>
      <c r="W1119" s="292">
        <v>0</v>
      </c>
      <c r="X1119" s="290">
        <v>51260</v>
      </c>
      <c r="Y1119" s="291">
        <v>0</v>
      </c>
      <c r="Z1119" s="289" t="s">
        <v>944</v>
      </c>
      <c r="AA1119" s="289"/>
      <c r="AB1119" s="289" t="s">
        <v>3198</v>
      </c>
      <c r="AC1119" s="289">
        <v>3</v>
      </c>
      <c r="AD1119" s="289" t="s">
        <v>1446</v>
      </c>
      <c r="AE1119" s="289" t="s">
        <v>410</v>
      </c>
      <c r="AF1119" s="290" t="s">
        <v>1447</v>
      </c>
      <c r="AG1119" s="289"/>
      <c r="AH1119" s="290" t="s">
        <v>1448</v>
      </c>
      <c r="AI1119" s="289">
        <v>0</v>
      </c>
      <c r="AJ1119" s="289">
        <v>0</v>
      </c>
    </row>
    <row r="1120" spans="2:36">
      <c r="B1120" s="290">
        <v>2111</v>
      </c>
      <c r="C1120" s="294">
        <v>74450</v>
      </c>
      <c r="D1120" s="290" t="s">
        <v>944</v>
      </c>
      <c r="E1120" s="289" t="s">
        <v>3199</v>
      </c>
      <c r="F1120" s="290">
        <v>0</v>
      </c>
      <c r="G1120" s="289"/>
      <c r="H1120" s="289"/>
      <c r="I1120" s="289"/>
      <c r="J1120" s="289">
        <v>0</v>
      </c>
      <c r="K1120" s="289" t="s">
        <v>1657</v>
      </c>
      <c r="L1120" s="289"/>
      <c r="M1120" s="289"/>
      <c r="N1120" s="293">
        <v>40308</v>
      </c>
      <c r="O1120" s="293">
        <v>40308</v>
      </c>
      <c r="P1120" s="289" t="s">
        <v>3200</v>
      </c>
      <c r="Q1120" s="290">
        <v>300</v>
      </c>
      <c r="R1120" s="290">
        <v>14110</v>
      </c>
      <c r="S1120" s="291">
        <v>1573.39</v>
      </c>
      <c r="T1120" s="290">
        <v>14116</v>
      </c>
      <c r="U1120" s="291">
        <v>1573.39</v>
      </c>
      <c r="V1120" s="291">
        <f t="shared" si="17"/>
        <v>0</v>
      </c>
      <c r="W1120" s="292">
        <v>0</v>
      </c>
      <c r="X1120" s="290">
        <v>70260</v>
      </c>
      <c r="Y1120" s="291">
        <v>0</v>
      </c>
      <c r="Z1120" s="289" t="s">
        <v>944</v>
      </c>
      <c r="AA1120" s="289"/>
      <c r="AB1120" s="289" t="s">
        <v>3201</v>
      </c>
      <c r="AC1120" s="289"/>
      <c r="AD1120" s="289" t="s">
        <v>1446</v>
      </c>
      <c r="AE1120" s="289" t="s">
        <v>410</v>
      </c>
      <c r="AF1120" s="290" t="s">
        <v>1447</v>
      </c>
      <c r="AG1120" s="289"/>
      <c r="AH1120" s="290" t="s">
        <v>1448</v>
      </c>
      <c r="AI1120" s="289">
        <v>0</v>
      </c>
      <c r="AJ1120" s="289">
        <v>0</v>
      </c>
    </row>
    <row r="1121" spans="2:36">
      <c r="B1121" s="290">
        <v>2111</v>
      </c>
      <c r="C1121" s="294">
        <v>74443</v>
      </c>
      <c r="D1121" s="290">
        <v>73368</v>
      </c>
      <c r="E1121" s="289" t="s">
        <v>3202</v>
      </c>
      <c r="F1121" s="290">
        <v>0</v>
      </c>
      <c r="G1121" s="289"/>
      <c r="H1121" s="289"/>
      <c r="I1121" s="289"/>
      <c r="J1121" s="289">
        <v>0</v>
      </c>
      <c r="K1121" s="289" t="s">
        <v>3176</v>
      </c>
      <c r="L1121" s="289"/>
      <c r="M1121" s="289"/>
      <c r="N1121" s="293">
        <v>40283</v>
      </c>
      <c r="O1121" s="293">
        <v>40283</v>
      </c>
      <c r="P1121" s="289" t="s">
        <v>3177</v>
      </c>
      <c r="Q1121" s="290">
        <v>500</v>
      </c>
      <c r="R1121" s="290">
        <v>14100</v>
      </c>
      <c r="S1121" s="291">
        <v>21294.240000000002</v>
      </c>
      <c r="T1121" s="290">
        <v>14106</v>
      </c>
      <c r="U1121" s="291">
        <v>21294.240000000002</v>
      </c>
      <c r="V1121" s="291">
        <f t="shared" si="17"/>
        <v>0</v>
      </c>
      <c r="W1121" s="292">
        <v>0</v>
      </c>
      <c r="X1121" s="290">
        <v>70260</v>
      </c>
      <c r="Y1121" s="291">
        <v>0</v>
      </c>
      <c r="Z1121" s="289" t="s">
        <v>944</v>
      </c>
      <c r="AA1121" s="289"/>
      <c r="AB1121" s="289" t="s">
        <v>3203</v>
      </c>
      <c r="AC1121" s="289"/>
      <c r="AD1121" s="289" t="s">
        <v>1446</v>
      </c>
      <c r="AE1121" s="289" t="s">
        <v>410</v>
      </c>
      <c r="AF1121" s="290" t="s">
        <v>1447</v>
      </c>
      <c r="AG1121" s="289"/>
      <c r="AH1121" s="290" t="s">
        <v>1448</v>
      </c>
      <c r="AI1121" s="289">
        <v>0</v>
      </c>
      <c r="AJ1121" s="289">
        <v>0</v>
      </c>
    </row>
    <row r="1122" spans="2:36">
      <c r="B1122" s="290">
        <v>2111</v>
      </c>
      <c r="C1122" s="294">
        <v>74026</v>
      </c>
      <c r="D1122" s="290" t="s">
        <v>944</v>
      </c>
      <c r="E1122" s="289" t="s">
        <v>3204</v>
      </c>
      <c r="F1122" s="290">
        <v>0</v>
      </c>
      <c r="G1122" s="289"/>
      <c r="H1122" s="289"/>
      <c r="I1122" s="289"/>
      <c r="J1122" s="289">
        <v>0</v>
      </c>
      <c r="K1122" s="289" t="s">
        <v>3205</v>
      </c>
      <c r="L1122" s="289"/>
      <c r="M1122" s="289"/>
      <c r="N1122" s="293">
        <v>40296</v>
      </c>
      <c r="O1122" s="293">
        <v>40296</v>
      </c>
      <c r="P1122" s="289" t="s">
        <v>3206</v>
      </c>
      <c r="Q1122" s="290">
        <v>500</v>
      </c>
      <c r="R1122" s="290">
        <v>14070</v>
      </c>
      <c r="S1122" s="291">
        <v>5464.99</v>
      </c>
      <c r="T1122" s="290">
        <v>14076</v>
      </c>
      <c r="U1122" s="291">
        <v>5464.99</v>
      </c>
      <c r="V1122" s="291">
        <f t="shared" si="17"/>
        <v>0</v>
      </c>
      <c r="W1122" s="292">
        <v>0</v>
      </c>
      <c r="X1122" s="290">
        <v>51260</v>
      </c>
      <c r="Y1122" s="291">
        <v>0</v>
      </c>
      <c r="Z1122" s="289" t="s">
        <v>944</v>
      </c>
      <c r="AA1122" s="289"/>
      <c r="AB1122" s="289">
        <v>317221</v>
      </c>
      <c r="AC1122" s="289"/>
      <c r="AD1122" s="289" t="s">
        <v>1446</v>
      </c>
      <c r="AE1122" s="289" t="s">
        <v>410</v>
      </c>
      <c r="AF1122" s="290" t="s">
        <v>1447</v>
      </c>
      <c r="AG1122" s="289"/>
      <c r="AH1122" s="290" t="s">
        <v>1448</v>
      </c>
      <c r="AI1122" s="289">
        <v>0</v>
      </c>
      <c r="AJ1122" s="289">
        <v>0</v>
      </c>
    </row>
    <row r="1123" spans="2:36">
      <c r="B1123" s="290">
        <v>2111</v>
      </c>
      <c r="C1123" s="294">
        <v>73855</v>
      </c>
      <c r="D1123" s="290">
        <v>73757</v>
      </c>
      <c r="E1123" s="289" t="s">
        <v>3207</v>
      </c>
      <c r="F1123" s="290">
        <v>0</v>
      </c>
      <c r="G1123" s="289"/>
      <c r="H1123" s="289"/>
      <c r="I1123" s="289"/>
      <c r="J1123" s="289">
        <v>0</v>
      </c>
      <c r="K1123" s="289" t="s">
        <v>2875</v>
      </c>
      <c r="L1123" s="289"/>
      <c r="M1123" s="289"/>
      <c r="N1123" s="293">
        <v>40269</v>
      </c>
      <c r="O1123" s="293">
        <v>40269</v>
      </c>
      <c r="P1123" s="289" t="s">
        <v>3208</v>
      </c>
      <c r="Q1123" s="290">
        <v>300</v>
      </c>
      <c r="R1123" s="290">
        <v>14110</v>
      </c>
      <c r="S1123" s="291">
        <v>81.38</v>
      </c>
      <c r="T1123" s="290">
        <v>14116</v>
      </c>
      <c r="U1123" s="291">
        <v>81.38</v>
      </c>
      <c r="V1123" s="291">
        <f t="shared" si="17"/>
        <v>0</v>
      </c>
      <c r="W1123" s="292">
        <v>0</v>
      </c>
      <c r="X1123" s="290">
        <v>70260</v>
      </c>
      <c r="Y1123" s="291">
        <v>0</v>
      </c>
      <c r="Z1123" s="289" t="s">
        <v>944</v>
      </c>
      <c r="AA1123" s="289"/>
      <c r="AB1123" s="289">
        <v>11038</v>
      </c>
      <c r="AC1123" s="289"/>
      <c r="AD1123" s="289" t="s">
        <v>1446</v>
      </c>
      <c r="AE1123" s="289" t="s">
        <v>410</v>
      </c>
      <c r="AF1123" s="290" t="s">
        <v>1447</v>
      </c>
      <c r="AG1123" s="289"/>
      <c r="AH1123" s="290" t="s">
        <v>1448</v>
      </c>
      <c r="AI1123" s="289">
        <v>0</v>
      </c>
      <c r="AJ1123" s="289">
        <v>0</v>
      </c>
    </row>
    <row r="1124" spans="2:36">
      <c r="B1124" s="290">
        <v>2111</v>
      </c>
      <c r="C1124" s="294">
        <v>73851</v>
      </c>
      <c r="D1124" s="290">
        <v>73368</v>
      </c>
      <c r="E1124" s="289" t="s">
        <v>3209</v>
      </c>
      <c r="F1124" s="290">
        <v>0</v>
      </c>
      <c r="G1124" s="289"/>
      <c r="H1124" s="289"/>
      <c r="I1124" s="289"/>
      <c r="J1124" s="289">
        <v>0</v>
      </c>
      <c r="K1124" s="289" t="s">
        <v>3176</v>
      </c>
      <c r="L1124" s="289"/>
      <c r="M1124" s="289"/>
      <c r="N1124" s="293">
        <v>40283</v>
      </c>
      <c r="O1124" s="293">
        <v>40283</v>
      </c>
      <c r="P1124" s="289" t="s">
        <v>3177</v>
      </c>
      <c r="Q1124" s="290">
        <v>500</v>
      </c>
      <c r="R1124" s="290">
        <v>14100</v>
      </c>
      <c r="S1124" s="291">
        <v>30050.55</v>
      </c>
      <c r="T1124" s="290">
        <v>14106</v>
      </c>
      <c r="U1124" s="291">
        <v>30050.55</v>
      </c>
      <c r="V1124" s="291">
        <f t="shared" si="17"/>
        <v>0</v>
      </c>
      <c r="W1124" s="292">
        <v>0</v>
      </c>
      <c r="X1124" s="290">
        <v>70260</v>
      </c>
      <c r="Y1124" s="291">
        <v>0</v>
      </c>
      <c r="Z1124" s="289" t="s">
        <v>944</v>
      </c>
      <c r="AA1124" s="289"/>
      <c r="AB1124" s="289" t="s">
        <v>3210</v>
      </c>
      <c r="AC1124" s="289"/>
      <c r="AD1124" s="289" t="s">
        <v>1446</v>
      </c>
      <c r="AE1124" s="289" t="s">
        <v>410</v>
      </c>
      <c r="AF1124" s="290" t="s">
        <v>1447</v>
      </c>
      <c r="AG1124" s="289"/>
      <c r="AH1124" s="290" t="s">
        <v>1448</v>
      </c>
      <c r="AI1124" s="289">
        <v>0</v>
      </c>
      <c r="AJ1124" s="289">
        <v>0</v>
      </c>
    </row>
    <row r="1125" spans="2:36">
      <c r="B1125" s="290">
        <v>2111</v>
      </c>
      <c r="C1125" s="294">
        <v>73757</v>
      </c>
      <c r="D1125" s="290" t="s">
        <v>944</v>
      </c>
      <c r="E1125" s="289" t="s">
        <v>3211</v>
      </c>
      <c r="F1125" s="290">
        <v>0</v>
      </c>
      <c r="G1125" s="289"/>
      <c r="H1125" s="289"/>
      <c r="I1125" s="289"/>
      <c r="J1125" s="289">
        <v>0</v>
      </c>
      <c r="K1125" s="289" t="s">
        <v>2347</v>
      </c>
      <c r="L1125" s="289"/>
      <c r="M1125" s="289"/>
      <c r="N1125" s="293">
        <v>40269</v>
      </c>
      <c r="O1125" s="293">
        <v>40269</v>
      </c>
      <c r="P1125" s="289" t="s">
        <v>3208</v>
      </c>
      <c r="Q1125" s="290">
        <v>300</v>
      </c>
      <c r="R1125" s="290">
        <v>14110</v>
      </c>
      <c r="S1125" s="291">
        <v>875</v>
      </c>
      <c r="T1125" s="290">
        <v>14116</v>
      </c>
      <c r="U1125" s="291">
        <v>875</v>
      </c>
      <c r="V1125" s="291">
        <f t="shared" si="17"/>
        <v>0</v>
      </c>
      <c r="W1125" s="292">
        <v>0</v>
      </c>
      <c r="X1125" s="290">
        <v>70260</v>
      </c>
      <c r="Y1125" s="291">
        <v>0</v>
      </c>
      <c r="Z1125" s="289" t="s">
        <v>944</v>
      </c>
      <c r="AA1125" s="289"/>
      <c r="AB1125" s="289">
        <v>11038</v>
      </c>
      <c r="AC1125" s="289"/>
      <c r="AD1125" s="289" t="s">
        <v>1446</v>
      </c>
      <c r="AE1125" s="289" t="s">
        <v>410</v>
      </c>
      <c r="AF1125" s="290" t="s">
        <v>1447</v>
      </c>
      <c r="AG1125" s="289"/>
      <c r="AH1125" s="290" t="s">
        <v>1448</v>
      </c>
      <c r="AI1125" s="289">
        <v>0</v>
      </c>
      <c r="AJ1125" s="289">
        <v>0</v>
      </c>
    </row>
    <row r="1126" spans="2:36">
      <c r="B1126" s="290">
        <v>2111</v>
      </c>
      <c r="C1126" s="294">
        <v>73638</v>
      </c>
      <c r="D1126" s="290" t="s">
        <v>944</v>
      </c>
      <c r="E1126" s="289" t="s">
        <v>3212</v>
      </c>
      <c r="F1126" s="290">
        <v>0</v>
      </c>
      <c r="G1126" s="289"/>
      <c r="H1126" s="289" t="s">
        <v>3213</v>
      </c>
      <c r="I1126" s="289"/>
      <c r="J1126" s="289">
        <v>2010</v>
      </c>
      <c r="K1126" s="289" t="s">
        <v>3214</v>
      </c>
      <c r="L1126" s="289" t="s">
        <v>3215</v>
      </c>
      <c r="M1126" s="289" t="s">
        <v>2039</v>
      </c>
      <c r="N1126" s="293">
        <v>40284</v>
      </c>
      <c r="O1126" s="293">
        <v>40284</v>
      </c>
      <c r="P1126" s="289" t="s">
        <v>3216</v>
      </c>
      <c r="Q1126" s="290">
        <v>500</v>
      </c>
      <c r="R1126" s="290">
        <v>14040</v>
      </c>
      <c r="S1126" s="291">
        <v>35496</v>
      </c>
      <c r="T1126" s="290">
        <v>14046</v>
      </c>
      <c r="U1126" s="291">
        <v>35496</v>
      </c>
      <c r="V1126" s="291">
        <f t="shared" si="17"/>
        <v>0</v>
      </c>
      <c r="W1126" s="292">
        <v>0</v>
      </c>
      <c r="X1126" s="290">
        <v>51260</v>
      </c>
      <c r="Y1126" s="291">
        <v>0</v>
      </c>
      <c r="Z1126" s="289" t="s">
        <v>944</v>
      </c>
      <c r="AA1126" s="289"/>
      <c r="AB1126" s="289" t="s">
        <v>3217</v>
      </c>
      <c r="AC1126" s="289" t="s">
        <v>3218</v>
      </c>
      <c r="AD1126" s="289" t="s">
        <v>1446</v>
      </c>
      <c r="AE1126" s="289" t="s">
        <v>410</v>
      </c>
      <c r="AF1126" s="290" t="s">
        <v>1447</v>
      </c>
      <c r="AG1126" s="289"/>
      <c r="AH1126" s="290" t="s">
        <v>1448</v>
      </c>
      <c r="AI1126" s="289">
        <v>0</v>
      </c>
      <c r="AJ1126" s="289">
        <v>0</v>
      </c>
    </row>
    <row r="1127" spans="2:36">
      <c r="B1127" s="290">
        <v>2111</v>
      </c>
      <c r="C1127" s="294">
        <v>73490</v>
      </c>
      <c r="D1127" s="290" t="s">
        <v>944</v>
      </c>
      <c r="E1127" s="289" t="s">
        <v>3219</v>
      </c>
      <c r="F1127" s="290">
        <v>5</v>
      </c>
      <c r="G1127" s="289"/>
      <c r="H1127" s="289"/>
      <c r="I1127" s="289"/>
      <c r="J1127" s="289">
        <v>0</v>
      </c>
      <c r="K1127" s="289" t="s">
        <v>2125</v>
      </c>
      <c r="L1127" s="289"/>
      <c r="M1127" s="289" t="s">
        <v>1664</v>
      </c>
      <c r="N1127" s="293">
        <v>37455</v>
      </c>
      <c r="O1127" s="293">
        <v>37455</v>
      </c>
      <c r="P1127" s="289" t="s">
        <v>3220</v>
      </c>
      <c r="Q1127" s="290">
        <v>1200</v>
      </c>
      <c r="R1127" s="290">
        <v>14050</v>
      </c>
      <c r="S1127" s="291">
        <v>16250</v>
      </c>
      <c r="T1127" s="290">
        <v>14056</v>
      </c>
      <c r="U1127" s="291">
        <v>16250</v>
      </c>
      <c r="V1127" s="291">
        <f t="shared" si="17"/>
        <v>0</v>
      </c>
      <c r="W1127" s="292">
        <v>0</v>
      </c>
      <c r="X1127" s="290">
        <v>54260</v>
      </c>
      <c r="Y1127" s="291">
        <v>0</v>
      </c>
      <c r="Z1127" s="289" t="s">
        <v>944</v>
      </c>
      <c r="AA1127" s="289"/>
      <c r="AB1127" s="289">
        <v>131979</v>
      </c>
      <c r="AC1127" s="289"/>
      <c r="AD1127" s="289" t="s">
        <v>1446</v>
      </c>
      <c r="AE1127" s="289" t="s">
        <v>410</v>
      </c>
      <c r="AF1127" s="290" t="s">
        <v>1447</v>
      </c>
      <c r="AG1127" s="295">
        <v>40268</v>
      </c>
      <c r="AH1127" s="290" t="s">
        <v>1448</v>
      </c>
      <c r="AI1127" s="289">
        <v>0</v>
      </c>
      <c r="AJ1127" s="289">
        <v>10381.969999999999</v>
      </c>
    </row>
    <row r="1128" spans="2:36">
      <c r="B1128" s="290">
        <v>2111</v>
      </c>
      <c r="C1128" s="294">
        <v>73481</v>
      </c>
      <c r="D1128" s="290" t="s">
        <v>944</v>
      </c>
      <c r="E1128" s="289" t="s">
        <v>3221</v>
      </c>
      <c r="F1128" s="290">
        <v>4</v>
      </c>
      <c r="G1128" s="289"/>
      <c r="H1128" s="289" t="s">
        <v>3222</v>
      </c>
      <c r="I1128" s="289"/>
      <c r="J1128" s="289">
        <v>0</v>
      </c>
      <c r="K1128" s="289"/>
      <c r="L1128" s="289"/>
      <c r="M1128" s="289" t="s">
        <v>1670</v>
      </c>
      <c r="N1128" s="293">
        <v>36371</v>
      </c>
      <c r="O1128" s="293">
        <v>36371</v>
      </c>
      <c r="P1128" s="289" t="s">
        <v>3223</v>
      </c>
      <c r="Q1128" s="290">
        <v>1200</v>
      </c>
      <c r="R1128" s="290">
        <v>14050</v>
      </c>
      <c r="S1128" s="291">
        <v>9667.2000000000007</v>
      </c>
      <c r="T1128" s="290">
        <v>14056</v>
      </c>
      <c r="U1128" s="291">
        <v>9667.2000000000007</v>
      </c>
      <c r="V1128" s="291">
        <f t="shared" si="17"/>
        <v>0</v>
      </c>
      <c r="W1128" s="292">
        <v>0</v>
      </c>
      <c r="X1128" s="290">
        <v>54260</v>
      </c>
      <c r="Y1128" s="291">
        <v>0</v>
      </c>
      <c r="Z1128" s="289" t="s">
        <v>944</v>
      </c>
      <c r="AA1128" s="289"/>
      <c r="AB1128" s="289"/>
      <c r="AC1128" s="289"/>
      <c r="AD1128" s="289" t="s">
        <v>1446</v>
      </c>
      <c r="AE1128" s="289" t="s">
        <v>410</v>
      </c>
      <c r="AF1128" s="290" t="s">
        <v>1447</v>
      </c>
      <c r="AG1128" s="295">
        <v>40268</v>
      </c>
      <c r="AH1128" s="290" t="s">
        <v>1448</v>
      </c>
      <c r="AI1128" s="289">
        <v>0</v>
      </c>
      <c r="AJ1128" s="289">
        <v>8593.07</v>
      </c>
    </row>
    <row r="1129" spans="2:36">
      <c r="B1129" s="290">
        <v>2111</v>
      </c>
      <c r="C1129" s="294">
        <v>73470</v>
      </c>
      <c r="D1129" s="290" t="s">
        <v>944</v>
      </c>
      <c r="E1129" s="289" t="s">
        <v>3224</v>
      </c>
      <c r="F1129" s="290">
        <v>10</v>
      </c>
      <c r="G1129" s="289"/>
      <c r="H1129" s="289"/>
      <c r="I1129" s="289"/>
      <c r="J1129" s="289">
        <v>0</v>
      </c>
      <c r="K1129" s="289"/>
      <c r="L1129" s="289"/>
      <c r="M1129" s="289" t="s">
        <v>1667</v>
      </c>
      <c r="N1129" s="293">
        <v>35765</v>
      </c>
      <c r="O1129" s="293">
        <v>35765</v>
      </c>
      <c r="P1129" s="289"/>
      <c r="Q1129" s="290">
        <v>600</v>
      </c>
      <c r="R1129" s="290">
        <v>14050</v>
      </c>
      <c r="S1129" s="291">
        <v>66000</v>
      </c>
      <c r="T1129" s="290">
        <v>14056</v>
      </c>
      <c r="U1129" s="291">
        <v>66000</v>
      </c>
      <c r="V1129" s="291">
        <f t="shared" si="17"/>
        <v>0</v>
      </c>
      <c r="W1129" s="292">
        <v>0</v>
      </c>
      <c r="X1129" s="290">
        <v>54260</v>
      </c>
      <c r="Y1129" s="291">
        <v>0</v>
      </c>
      <c r="Z1129" s="289" t="s">
        <v>410</v>
      </c>
      <c r="AA1129" s="289" t="s">
        <v>3225</v>
      </c>
      <c r="AB1129" s="289"/>
      <c r="AC1129" s="289"/>
      <c r="AD1129" s="289" t="s">
        <v>1446</v>
      </c>
      <c r="AE1129" s="289" t="s">
        <v>410</v>
      </c>
      <c r="AF1129" s="290" t="s">
        <v>1447</v>
      </c>
      <c r="AG1129" s="295">
        <v>40268</v>
      </c>
      <c r="AH1129" s="290" t="s">
        <v>1448</v>
      </c>
      <c r="AI1129" s="289">
        <v>0</v>
      </c>
      <c r="AJ1129" s="289">
        <v>66000</v>
      </c>
    </row>
    <row r="1130" spans="2:36">
      <c r="B1130" s="290">
        <v>2111</v>
      </c>
      <c r="C1130" s="294">
        <v>73368</v>
      </c>
      <c r="D1130" s="290" t="s">
        <v>944</v>
      </c>
      <c r="E1130" s="289" t="s">
        <v>3226</v>
      </c>
      <c r="F1130" s="290">
        <v>0</v>
      </c>
      <c r="G1130" s="289"/>
      <c r="H1130" s="289"/>
      <c r="I1130" s="289"/>
      <c r="J1130" s="289">
        <v>0</v>
      </c>
      <c r="K1130" s="289" t="s">
        <v>3176</v>
      </c>
      <c r="L1130" s="289"/>
      <c r="M1130" s="289"/>
      <c r="N1130" s="293">
        <v>40283</v>
      </c>
      <c r="O1130" s="293">
        <v>40283</v>
      </c>
      <c r="P1130" s="289" t="s">
        <v>3177</v>
      </c>
      <c r="Q1130" s="290">
        <v>500</v>
      </c>
      <c r="R1130" s="290">
        <v>14100</v>
      </c>
      <c r="S1130" s="291">
        <v>18781.59</v>
      </c>
      <c r="T1130" s="290">
        <v>14106</v>
      </c>
      <c r="U1130" s="291">
        <v>18781.59</v>
      </c>
      <c r="V1130" s="291">
        <f t="shared" si="17"/>
        <v>0</v>
      </c>
      <c r="W1130" s="292">
        <v>0</v>
      </c>
      <c r="X1130" s="290">
        <v>70260</v>
      </c>
      <c r="Y1130" s="291">
        <v>0</v>
      </c>
      <c r="Z1130" s="289" t="s">
        <v>944</v>
      </c>
      <c r="AA1130" s="289"/>
      <c r="AB1130" s="289" t="s">
        <v>3227</v>
      </c>
      <c r="AC1130" s="289"/>
      <c r="AD1130" s="289" t="s">
        <v>1446</v>
      </c>
      <c r="AE1130" s="289" t="s">
        <v>410</v>
      </c>
      <c r="AF1130" s="290" t="s">
        <v>1447</v>
      </c>
      <c r="AG1130" s="289"/>
      <c r="AH1130" s="290" t="s">
        <v>1448</v>
      </c>
      <c r="AI1130" s="289">
        <v>0</v>
      </c>
      <c r="AJ1130" s="289">
        <v>0</v>
      </c>
    </row>
    <row r="1131" spans="2:36">
      <c r="B1131" s="290">
        <v>2111</v>
      </c>
      <c r="C1131" s="294">
        <v>73244</v>
      </c>
      <c r="D1131" s="290">
        <v>73243</v>
      </c>
      <c r="E1131" s="289" t="s">
        <v>3228</v>
      </c>
      <c r="F1131" s="290">
        <v>0</v>
      </c>
      <c r="G1131" s="289"/>
      <c r="H1131" s="289" t="s">
        <v>3229</v>
      </c>
      <c r="I1131" s="289"/>
      <c r="J1131" s="289">
        <v>2009</v>
      </c>
      <c r="K1131" s="289" t="s">
        <v>3230</v>
      </c>
      <c r="L1131" s="289" t="s">
        <v>2214</v>
      </c>
      <c r="M1131" s="289" t="s">
        <v>1467</v>
      </c>
      <c r="N1131" s="293">
        <v>40266</v>
      </c>
      <c r="O1131" s="293">
        <v>40266</v>
      </c>
      <c r="P1131" s="289" t="s">
        <v>3231</v>
      </c>
      <c r="Q1131" s="290">
        <v>900</v>
      </c>
      <c r="R1131" s="290">
        <v>14040</v>
      </c>
      <c r="S1131" s="291">
        <v>36333.870000000003</v>
      </c>
      <c r="T1131" s="290">
        <v>14046</v>
      </c>
      <c r="U1131" s="291">
        <v>36333.870000000003</v>
      </c>
      <c r="V1131" s="291">
        <f t="shared" si="17"/>
        <v>0</v>
      </c>
      <c r="W1131" s="292">
        <v>0</v>
      </c>
      <c r="X1131" s="290">
        <v>51260</v>
      </c>
      <c r="Y1131" s="291">
        <v>0</v>
      </c>
      <c r="Z1131" s="289" t="s">
        <v>944</v>
      </c>
      <c r="AA1131" s="289"/>
      <c r="AB1131" s="289" t="s">
        <v>3232</v>
      </c>
      <c r="AC1131" s="289" t="s">
        <v>3233</v>
      </c>
      <c r="AD1131" s="289" t="s">
        <v>1446</v>
      </c>
      <c r="AE1131" s="289" t="s">
        <v>410</v>
      </c>
      <c r="AF1131" s="290" t="s">
        <v>1447</v>
      </c>
      <c r="AG1131" s="289"/>
      <c r="AH1131" s="290" t="s">
        <v>1448</v>
      </c>
      <c r="AI1131" s="289">
        <v>0</v>
      </c>
      <c r="AJ1131" s="289">
        <v>0</v>
      </c>
    </row>
    <row r="1132" spans="2:36">
      <c r="B1132" s="290">
        <v>2111</v>
      </c>
      <c r="C1132" s="294">
        <v>73243</v>
      </c>
      <c r="D1132" s="290" t="s">
        <v>944</v>
      </c>
      <c r="E1132" s="289" t="s">
        <v>3234</v>
      </c>
      <c r="F1132" s="290">
        <v>0</v>
      </c>
      <c r="G1132" s="289"/>
      <c r="H1132" s="289" t="s">
        <v>3229</v>
      </c>
      <c r="I1132" s="289"/>
      <c r="J1132" s="289">
        <v>2009</v>
      </c>
      <c r="K1132" s="289" t="s">
        <v>3235</v>
      </c>
      <c r="L1132" s="289" t="s">
        <v>1557</v>
      </c>
      <c r="M1132" s="289" t="s">
        <v>2868</v>
      </c>
      <c r="N1132" s="293">
        <v>40266</v>
      </c>
      <c r="O1132" s="293">
        <v>40266</v>
      </c>
      <c r="P1132" s="289" t="s">
        <v>3231</v>
      </c>
      <c r="Q1132" s="290">
        <v>900</v>
      </c>
      <c r="R1132" s="290">
        <v>14040</v>
      </c>
      <c r="S1132" s="291">
        <v>74310.77</v>
      </c>
      <c r="T1132" s="290">
        <v>14046</v>
      </c>
      <c r="U1132" s="291">
        <v>74310.77</v>
      </c>
      <c r="V1132" s="291">
        <f t="shared" si="17"/>
        <v>0</v>
      </c>
      <c r="W1132" s="292">
        <v>0</v>
      </c>
      <c r="X1132" s="290">
        <v>51260</v>
      </c>
      <c r="Y1132" s="291">
        <v>0</v>
      </c>
      <c r="Z1132" s="289" t="s">
        <v>944</v>
      </c>
      <c r="AA1132" s="289"/>
      <c r="AB1132" s="289">
        <v>39116</v>
      </c>
      <c r="AC1132" s="289" t="s">
        <v>185</v>
      </c>
      <c r="AD1132" s="289" t="s">
        <v>1446</v>
      </c>
      <c r="AE1132" s="289" t="s">
        <v>410</v>
      </c>
      <c r="AF1132" s="290" t="s">
        <v>1447</v>
      </c>
      <c r="AG1132" s="289"/>
      <c r="AH1132" s="290" t="s">
        <v>1448</v>
      </c>
      <c r="AI1132" s="289">
        <v>0</v>
      </c>
      <c r="AJ1132" s="289">
        <v>0</v>
      </c>
    </row>
    <row r="1133" spans="2:36">
      <c r="B1133" s="290">
        <v>2111</v>
      </c>
      <c r="C1133" s="294">
        <v>73005</v>
      </c>
      <c r="D1133" s="290" t="s">
        <v>944</v>
      </c>
      <c r="E1133" s="289" t="s">
        <v>3236</v>
      </c>
      <c r="F1133" s="290">
        <v>40</v>
      </c>
      <c r="G1133" s="289"/>
      <c r="H1133" s="289"/>
      <c r="I1133" s="289"/>
      <c r="J1133" s="289">
        <v>0</v>
      </c>
      <c r="K1133" s="289" t="s">
        <v>2257</v>
      </c>
      <c r="L1133" s="289"/>
      <c r="M1133" s="289" t="s">
        <v>1662</v>
      </c>
      <c r="N1133" s="293">
        <v>40179</v>
      </c>
      <c r="O1133" s="293">
        <v>40179</v>
      </c>
      <c r="P1133" s="289" t="s">
        <v>3237</v>
      </c>
      <c r="Q1133" s="290">
        <v>1200</v>
      </c>
      <c r="R1133" s="290">
        <v>14050</v>
      </c>
      <c r="S1133" s="291">
        <v>34626.239999999998</v>
      </c>
      <c r="T1133" s="290">
        <v>14056</v>
      </c>
      <c r="U1133" s="291">
        <v>34626.239999999998</v>
      </c>
      <c r="V1133" s="291">
        <f t="shared" si="17"/>
        <v>0</v>
      </c>
      <c r="W1133" s="292">
        <v>0</v>
      </c>
      <c r="X1133" s="290">
        <v>54260</v>
      </c>
      <c r="Y1133" s="291">
        <v>0</v>
      </c>
      <c r="Z1133" s="289" t="s">
        <v>944</v>
      </c>
      <c r="AA1133" s="289"/>
      <c r="AB1133" s="289">
        <v>506410000</v>
      </c>
      <c r="AC1133" s="289"/>
      <c r="AD1133" s="289" t="s">
        <v>1446</v>
      </c>
      <c r="AE1133" s="289" t="s">
        <v>410</v>
      </c>
      <c r="AF1133" s="290" t="s">
        <v>1447</v>
      </c>
      <c r="AG1133" s="289"/>
      <c r="AH1133" s="290" t="s">
        <v>1448</v>
      </c>
      <c r="AI1133" s="289">
        <v>0</v>
      </c>
      <c r="AJ1133" s="289">
        <v>0</v>
      </c>
    </row>
    <row r="1134" spans="2:36">
      <c r="B1134" s="290">
        <v>2111</v>
      </c>
      <c r="C1134" s="294">
        <v>73004</v>
      </c>
      <c r="D1134" s="290" t="s">
        <v>944</v>
      </c>
      <c r="E1134" s="289" t="s">
        <v>3238</v>
      </c>
      <c r="F1134" s="290">
        <v>40</v>
      </c>
      <c r="G1134" s="289"/>
      <c r="H1134" s="289"/>
      <c r="I1134" s="289"/>
      <c r="J1134" s="289">
        <v>0</v>
      </c>
      <c r="K1134" s="289" t="s">
        <v>2257</v>
      </c>
      <c r="L1134" s="289"/>
      <c r="M1134" s="289" t="s">
        <v>1659</v>
      </c>
      <c r="N1134" s="293">
        <v>40179</v>
      </c>
      <c r="O1134" s="293">
        <v>40179</v>
      </c>
      <c r="P1134" s="289" t="s">
        <v>3239</v>
      </c>
      <c r="Q1134" s="290">
        <v>1200</v>
      </c>
      <c r="R1134" s="290">
        <v>14050</v>
      </c>
      <c r="S1134" s="291">
        <v>20723.28</v>
      </c>
      <c r="T1134" s="290">
        <v>14056</v>
      </c>
      <c r="U1134" s="291">
        <v>20723.28</v>
      </c>
      <c r="V1134" s="291">
        <f t="shared" si="17"/>
        <v>0</v>
      </c>
      <c r="W1134" s="292">
        <v>0</v>
      </c>
      <c r="X1134" s="290">
        <v>54260</v>
      </c>
      <c r="Y1134" s="291">
        <v>0</v>
      </c>
      <c r="Z1134" s="289" t="s">
        <v>944</v>
      </c>
      <c r="AA1134" s="289"/>
      <c r="AB1134" s="289">
        <v>506420000</v>
      </c>
      <c r="AC1134" s="289"/>
      <c r="AD1134" s="289" t="s">
        <v>1446</v>
      </c>
      <c r="AE1134" s="289" t="s">
        <v>410</v>
      </c>
      <c r="AF1134" s="290" t="s">
        <v>1447</v>
      </c>
      <c r="AG1134" s="289"/>
      <c r="AH1134" s="290" t="s">
        <v>1448</v>
      </c>
      <c r="AI1134" s="289">
        <v>0</v>
      </c>
      <c r="AJ1134" s="289">
        <v>0</v>
      </c>
    </row>
    <row r="1135" spans="2:36">
      <c r="B1135" s="290">
        <v>2111</v>
      </c>
      <c r="C1135" s="294">
        <v>70873</v>
      </c>
      <c r="D1135" s="290" t="s">
        <v>944</v>
      </c>
      <c r="E1135" s="289" t="s">
        <v>3240</v>
      </c>
      <c r="F1135" s="290">
        <v>624</v>
      </c>
      <c r="G1135" s="289"/>
      <c r="H1135" s="289"/>
      <c r="I1135" s="289"/>
      <c r="J1135" s="289">
        <v>0</v>
      </c>
      <c r="K1135" s="289" t="s">
        <v>2342</v>
      </c>
      <c r="L1135" s="289"/>
      <c r="M1135" s="289"/>
      <c r="N1135" s="293">
        <v>40161</v>
      </c>
      <c r="O1135" s="293">
        <v>40161</v>
      </c>
      <c r="P1135" s="289" t="s">
        <v>3241</v>
      </c>
      <c r="Q1135" s="290">
        <v>700</v>
      </c>
      <c r="R1135" s="290">
        <v>14050</v>
      </c>
      <c r="S1135" s="291">
        <v>29186.16</v>
      </c>
      <c r="T1135" s="290">
        <v>14056</v>
      </c>
      <c r="U1135" s="291">
        <v>29186.16</v>
      </c>
      <c r="V1135" s="291">
        <f t="shared" si="17"/>
        <v>0</v>
      </c>
      <c r="W1135" s="292">
        <v>0</v>
      </c>
      <c r="X1135" s="290">
        <v>54260</v>
      </c>
      <c r="Y1135" s="291">
        <v>0</v>
      </c>
      <c r="Z1135" s="289" t="s">
        <v>944</v>
      </c>
      <c r="AA1135" s="289"/>
      <c r="AB1135" s="289" t="s">
        <v>3242</v>
      </c>
      <c r="AC1135" s="289"/>
      <c r="AD1135" s="289" t="s">
        <v>1446</v>
      </c>
      <c r="AE1135" s="289" t="s">
        <v>410</v>
      </c>
      <c r="AF1135" s="290" t="s">
        <v>1447</v>
      </c>
      <c r="AG1135" s="289"/>
      <c r="AH1135" s="290" t="s">
        <v>1448</v>
      </c>
      <c r="AI1135" s="289">
        <v>0</v>
      </c>
      <c r="AJ1135" s="289">
        <v>0</v>
      </c>
    </row>
    <row r="1136" spans="2:36">
      <c r="B1136" s="290">
        <v>2111</v>
      </c>
      <c r="C1136" s="294">
        <v>69853</v>
      </c>
      <c r="D1136" s="290" t="s">
        <v>944</v>
      </c>
      <c r="E1136" s="289" t="s">
        <v>3243</v>
      </c>
      <c r="F1136" s="290">
        <v>624</v>
      </c>
      <c r="G1136" s="289"/>
      <c r="H1136" s="289"/>
      <c r="I1136" s="289"/>
      <c r="J1136" s="289">
        <v>0</v>
      </c>
      <c r="K1136" s="289" t="s">
        <v>2342</v>
      </c>
      <c r="L1136" s="289"/>
      <c r="M1136" s="289"/>
      <c r="N1136" s="293">
        <v>40116</v>
      </c>
      <c r="O1136" s="293">
        <v>40116</v>
      </c>
      <c r="P1136" s="289" t="s">
        <v>3244</v>
      </c>
      <c r="Q1136" s="290">
        <v>700</v>
      </c>
      <c r="R1136" s="290">
        <v>14050</v>
      </c>
      <c r="S1136" s="291">
        <v>30038.7</v>
      </c>
      <c r="T1136" s="290">
        <v>14056</v>
      </c>
      <c r="U1136" s="291">
        <v>30038.7</v>
      </c>
      <c r="V1136" s="291">
        <f t="shared" si="17"/>
        <v>0</v>
      </c>
      <c r="W1136" s="292">
        <v>0</v>
      </c>
      <c r="X1136" s="290">
        <v>54260</v>
      </c>
      <c r="Y1136" s="291">
        <v>0</v>
      </c>
      <c r="Z1136" s="289" t="s">
        <v>944</v>
      </c>
      <c r="AA1136" s="289"/>
      <c r="AB1136" s="289" t="s">
        <v>3245</v>
      </c>
      <c r="AC1136" s="289"/>
      <c r="AD1136" s="289" t="s">
        <v>1446</v>
      </c>
      <c r="AE1136" s="289" t="s">
        <v>410</v>
      </c>
      <c r="AF1136" s="290" t="s">
        <v>1447</v>
      </c>
      <c r="AG1136" s="289"/>
      <c r="AH1136" s="290" t="s">
        <v>1448</v>
      </c>
      <c r="AI1136" s="289">
        <v>0</v>
      </c>
      <c r="AJ1136" s="289">
        <v>0</v>
      </c>
    </row>
    <row r="1137" spans="2:36">
      <c r="B1137" s="290">
        <v>2111</v>
      </c>
      <c r="C1137" s="294">
        <v>68924</v>
      </c>
      <c r="D1137" s="290" t="s">
        <v>944</v>
      </c>
      <c r="E1137" s="289" t="s">
        <v>3246</v>
      </c>
      <c r="F1137" s="290">
        <v>624</v>
      </c>
      <c r="G1137" s="289"/>
      <c r="H1137" s="289"/>
      <c r="I1137" s="289"/>
      <c r="J1137" s="289">
        <v>0</v>
      </c>
      <c r="K1137" s="289" t="s">
        <v>2342</v>
      </c>
      <c r="L1137" s="289"/>
      <c r="M1137" s="289"/>
      <c r="N1137" s="293">
        <v>40071</v>
      </c>
      <c r="O1137" s="293">
        <v>40071</v>
      </c>
      <c r="P1137" s="289" t="s">
        <v>3244</v>
      </c>
      <c r="Q1137" s="290">
        <v>700</v>
      </c>
      <c r="R1137" s="290">
        <v>14050</v>
      </c>
      <c r="S1137" s="291">
        <v>30038.7</v>
      </c>
      <c r="T1137" s="290">
        <v>14056</v>
      </c>
      <c r="U1137" s="291">
        <v>30038.7</v>
      </c>
      <c r="V1137" s="291">
        <f t="shared" si="17"/>
        <v>0</v>
      </c>
      <c r="W1137" s="292">
        <v>0</v>
      </c>
      <c r="X1137" s="290">
        <v>54260</v>
      </c>
      <c r="Y1137" s="291">
        <v>0</v>
      </c>
      <c r="Z1137" s="289" t="s">
        <v>944</v>
      </c>
      <c r="AA1137" s="289"/>
      <c r="AB1137" s="289" t="s">
        <v>3247</v>
      </c>
      <c r="AC1137" s="289"/>
      <c r="AD1137" s="289" t="s">
        <v>1446</v>
      </c>
      <c r="AE1137" s="289" t="s">
        <v>410</v>
      </c>
      <c r="AF1137" s="290" t="s">
        <v>1447</v>
      </c>
      <c r="AG1137" s="289"/>
      <c r="AH1137" s="290" t="s">
        <v>1448</v>
      </c>
      <c r="AI1137" s="289">
        <v>0</v>
      </c>
      <c r="AJ1137" s="289">
        <v>0</v>
      </c>
    </row>
    <row r="1138" spans="2:36">
      <c r="B1138" s="290">
        <v>2111</v>
      </c>
      <c r="C1138" s="294">
        <v>66433</v>
      </c>
      <c r="D1138" s="290">
        <v>66278</v>
      </c>
      <c r="E1138" s="289" t="s">
        <v>3248</v>
      </c>
      <c r="F1138" s="290">
        <v>0</v>
      </c>
      <c r="G1138" s="289"/>
      <c r="H1138" s="289"/>
      <c r="I1138" s="289"/>
      <c r="J1138" s="289">
        <v>0</v>
      </c>
      <c r="K1138" s="289" t="s">
        <v>3249</v>
      </c>
      <c r="L1138" s="289"/>
      <c r="M1138" s="289"/>
      <c r="N1138" s="293">
        <v>39994</v>
      </c>
      <c r="O1138" s="293">
        <v>39994</v>
      </c>
      <c r="P1138" s="289" t="s">
        <v>3250</v>
      </c>
      <c r="Q1138" s="290">
        <v>500</v>
      </c>
      <c r="R1138" s="290">
        <v>14070</v>
      </c>
      <c r="S1138" s="291">
        <v>746.16</v>
      </c>
      <c r="T1138" s="290">
        <v>14076</v>
      </c>
      <c r="U1138" s="291">
        <v>746.16</v>
      </c>
      <c r="V1138" s="291">
        <f t="shared" si="17"/>
        <v>0</v>
      </c>
      <c r="W1138" s="292">
        <v>0</v>
      </c>
      <c r="X1138" s="290">
        <v>51260</v>
      </c>
      <c r="Y1138" s="291">
        <v>0</v>
      </c>
      <c r="Z1138" s="289" t="s">
        <v>944</v>
      </c>
      <c r="AA1138" s="289"/>
      <c r="AB1138" s="289">
        <v>446717</v>
      </c>
      <c r="AC1138" s="289"/>
      <c r="AD1138" s="289" t="s">
        <v>1446</v>
      </c>
      <c r="AE1138" s="289" t="s">
        <v>410</v>
      </c>
      <c r="AF1138" s="290" t="s">
        <v>1447</v>
      </c>
      <c r="AG1138" s="289"/>
      <c r="AH1138" s="290" t="s">
        <v>1448</v>
      </c>
      <c r="AI1138" s="289">
        <v>0</v>
      </c>
      <c r="AJ1138" s="289">
        <v>0</v>
      </c>
    </row>
    <row r="1139" spans="2:36">
      <c r="B1139" s="290">
        <v>2111</v>
      </c>
      <c r="C1139" s="294">
        <v>66278</v>
      </c>
      <c r="D1139" s="290" t="s">
        <v>944</v>
      </c>
      <c r="E1139" s="289" t="s">
        <v>3251</v>
      </c>
      <c r="F1139" s="290">
        <v>0</v>
      </c>
      <c r="G1139" s="289"/>
      <c r="H1139" s="289"/>
      <c r="I1139" s="289"/>
      <c r="J1139" s="289">
        <v>0</v>
      </c>
      <c r="K1139" s="289" t="s">
        <v>3249</v>
      </c>
      <c r="L1139" s="289"/>
      <c r="M1139" s="289"/>
      <c r="N1139" s="293">
        <v>39994</v>
      </c>
      <c r="O1139" s="293">
        <v>39994</v>
      </c>
      <c r="P1139" s="289" t="s">
        <v>3250</v>
      </c>
      <c r="Q1139" s="290">
        <v>500</v>
      </c>
      <c r="R1139" s="290">
        <v>14070</v>
      </c>
      <c r="S1139" s="291">
        <v>13737.83</v>
      </c>
      <c r="T1139" s="290">
        <v>14076</v>
      </c>
      <c r="U1139" s="291">
        <v>13737.83</v>
      </c>
      <c r="V1139" s="291">
        <f t="shared" si="17"/>
        <v>0</v>
      </c>
      <c r="W1139" s="292">
        <v>0</v>
      </c>
      <c r="X1139" s="290">
        <v>51260</v>
      </c>
      <c r="Y1139" s="291">
        <v>0</v>
      </c>
      <c r="Z1139" s="289" t="s">
        <v>944</v>
      </c>
      <c r="AA1139" s="289"/>
      <c r="AB1139" s="289" t="s">
        <v>3252</v>
      </c>
      <c r="AC1139" s="289"/>
      <c r="AD1139" s="289" t="s">
        <v>1446</v>
      </c>
      <c r="AE1139" s="289" t="s">
        <v>410</v>
      </c>
      <c r="AF1139" s="290" t="s">
        <v>1447</v>
      </c>
      <c r="AG1139" s="289"/>
      <c r="AH1139" s="290" t="s">
        <v>1448</v>
      </c>
      <c r="AI1139" s="289">
        <v>0</v>
      </c>
      <c r="AJ1139" s="289">
        <v>0</v>
      </c>
    </row>
    <row r="1140" spans="2:36">
      <c r="B1140" s="290">
        <v>2111</v>
      </c>
      <c r="C1140" s="294">
        <v>66197</v>
      </c>
      <c r="D1140" s="290">
        <v>66196</v>
      </c>
      <c r="E1140" s="289" t="s">
        <v>3253</v>
      </c>
      <c r="F1140" s="290">
        <v>0</v>
      </c>
      <c r="G1140" s="289"/>
      <c r="H1140" s="289" t="s">
        <v>3254</v>
      </c>
      <c r="I1140" s="289"/>
      <c r="J1140" s="289">
        <v>2007</v>
      </c>
      <c r="K1140" s="289"/>
      <c r="L1140" s="289"/>
      <c r="M1140" s="289" t="s">
        <v>1467</v>
      </c>
      <c r="N1140" s="293">
        <v>39448</v>
      </c>
      <c r="O1140" s="293">
        <v>39448</v>
      </c>
      <c r="P1140" s="289" t="s">
        <v>3255</v>
      </c>
      <c r="Q1140" s="290">
        <v>904</v>
      </c>
      <c r="R1140" s="290">
        <v>14040</v>
      </c>
      <c r="S1140" s="291">
        <v>-2947</v>
      </c>
      <c r="T1140" s="290">
        <v>14046</v>
      </c>
      <c r="U1140" s="291">
        <v>-2947</v>
      </c>
      <c r="V1140" s="291">
        <f t="shared" si="17"/>
        <v>0</v>
      </c>
      <c r="W1140" s="292">
        <v>0</v>
      </c>
      <c r="X1140" s="290">
        <v>51260</v>
      </c>
      <c r="Y1140" s="291">
        <v>0</v>
      </c>
      <c r="Z1140" s="289" t="s">
        <v>944</v>
      </c>
      <c r="AA1140" s="289">
        <v>0</v>
      </c>
      <c r="AB1140" s="289" t="s">
        <v>3256</v>
      </c>
      <c r="AC1140" s="289"/>
      <c r="AD1140" s="289" t="s">
        <v>1446</v>
      </c>
      <c r="AE1140" s="289" t="s">
        <v>410</v>
      </c>
      <c r="AF1140" s="290" t="s">
        <v>1447</v>
      </c>
      <c r="AG1140" s="295">
        <v>39994</v>
      </c>
      <c r="AH1140" s="290" t="s">
        <v>1448</v>
      </c>
      <c r="AI1140" s="289">
        <v>0</v>
      </c>
      <c r="AJ1140" s="289">
        <v>-473.63</v>
      </c>
    </row>
    <row r="1141" spans="2:36">
      <c r="B1141" s="290">
        <v>2111</v>
      </c>
      <c r="C1141" s="294">
        <v>66196</v>
      </c>
      <c r="D1141" s="290" t="s">
        <v>944</v>
      </c>
      <c r="E1141" s="289" t="s">
        <v>3257</v>
      </c>
      <c r="F1141" s="290">
        <v>0</v>
      </c>
      <c r="G1141" s="289"/>
      <c r="H1141" s="289" t="s">
        <v>3254</v>
      </c>
      <c r="I1141" s="289"/>
      <c r="J1141" s="289">
        <v>2009</v>
      </c>
      <c r="K1141" s="289" t="s">
        <v>3258</v>
      </c>
      <c r="L1141" s="289" t="s">
        <v>1522</v>
      </c>
      <c r="M1141" s="289" t="s">
        <v>1746</v>
      </c>
      <c r="N1141" s="293">
        <v>39177</v>
      </c>
      <c r="O1141" s="293">
        <v>39177</v>
      </c>
      <c r="P1141" s="289" t="s">
        <v>3255</v>
      </c>
      <c r="Q1141" s="290">
        <v>1000</v>
      </c>
      <c r="R1141" s="290">
        <v>14040</v>
      </c>
      <c r="S1141" s="291">
        <v>83420.460000000006</v>
      </c>
      <c r="T1141" s="290">
        <v>14046</v>
      </c>
      <c r="U1141" s="291">
        <v>83420.460000000006</v>
      </c>
      <c r="V1141" s="291">
        <f t="shared" si="17"/>
        <v>0</v>
      </c>
      <c r="W1141" s="292">
        <v>0</v>
      </c>
      <c r="X1141" s="290">
        <v>51260</v>
      </c>
      <c r="Y1141" s="291">
        <v>0</v>
      </c>
      <c r="Z1141" s="289" t="s">
        <v>944</v>
      </c>
      <c r="AA1141" s="289">
        <v>0</v>
      </c>
      <c r="AB1141" s="289"/>
      <c r="AC1141" s="289">
        <v>614</v>
      </c>
      <c r="AD1141" s="289" t="s">
        <v>1446</v>
      </c>
      <c r="AE1141" s="289" t="s">
        <v>410</v>
      </c>
      <c r="AF1141" s="290" t="s">
        <v>1447</v>
      </c>
      <c r="AG1141" s="295">
        <v>39994</v>
      </c>
      <c r="AH1141" s="290" t="s">
        <v>1448</v>
      </c>
      <c r="AI1141" s="289">
        <v>0</v>
      </c>
      <c r="AJ1141" s="289">
        <v>18769.62</v>
      </c>
    </row>
    <row r="1142" spans="2:36">
      <c r="B1142" s="290">
        <v>2111</v>
      </c>
      <c r="C1142" s="294">
        <v>65892</v>
      </c>
      <c r="D1142" s="290">
        <v>62296</v>
      </c>
      <c r="E1142" s="289" t="s">
        <v>3259</v>
      </c>
      <c r="F1142" s="290">
        <v>0</v>
      </c>
      <c r="G1142" s="289"/>
      <c r="H1142" s="289" t="s">
        <v>3260</v>
      </c>
      <c r="I1142" s="289"/>
      <c r="J1142" s="289">
        <v>2008</v>
      </c>
      <c r="K1142" s="289"/>
      <c r="L1142" s="289"/>
      <c r="M1142" s="289" t="s">
        <v>1523</v>
      </c>
      <c r="N1142" s="293">
        <v>39814</v>
      </c>
      <c r="O1142" s="293">
        <v>39814</v>
      </c>
      <c r="P1142" s="289" t="s">
        <v>3261</v>
      </c>
      <c r="Q1142" s="290">
        <v>911</v>
      </c>
      <c r="R1142" s="290">
        <v>14040</v>
      </c>
      <c r="S1142" s="291">
        <v>1105.68</v>
      </c>
      <c r="T1142" s="290">
        <v>14046</v>
      </c>
      <c r="U1142" s="291">
        <v>1105.68</v>
      </c>
      <c r="V1142" s="291">
        <f t="shared" si="17"/>
        <v>0</v>
      </c>
      <c r="W1142" s="292">
        <v>0</v>
      </c>
      <c r="X1142" s="290">
        <v>51260</v>
      </c>
      <c r="Y1142" s="291">
        <v>0</v>
      </c>
      <c r="Z1142" s="289" t="s">
        <v>944</v>
      </c>
      <c r="AA1142" s="289"/>
      <c r="AB1142" s="289" t="s">
        <v>3262</v>
      </c>
      <c r="AC1142" s="289"/>
      <c r="AD1142" s="289" t="s">
        <v>1446</v>
      </c>
      <c r="AE1142" s="289" t="s">
        <v>410</v>
      </c>
      <c r="AF1142" s="290" t="s">
        <v>1447</v>
      </c>
      <c r="AG1142" s="289"/>
      <c r="AH1142" s="290" t="s">
        <v>1448</v>
      </c>
      <c r="AI1142" s="289">
        <v>0</v>
      </c>
      <c r="AJ1142" s="289">
        <v>0</v>
      </c>
    </row>
    <row r="1143" spans="2:36">
      <c r="B1143" s="290">
        <v>2111</v>
      </c>
      <c r="C1143" s="294">
        <v>65540</v>
      </c>
      <c r="D1143" s="290" t="s">
        <v>944</v>
      </c>
      <c r="E1143" s="289" t="s">
        <v>3263</v>
      </c>
      <c r="F1143" s="290">
        <v>415</v>
      </c>
      <c r="G1143" s="289"/>
      <c r="H1143" s="289"/>
      <c r="I1143" s="289"/>
      <c r="J1143" s="289">
        <v>0</v>
      </c>
      <c r="K1143" s="289" t="s">
        <v>2245</v>
      </c>
      <c r="L1143" s="289"/>
      <c r="M1143" s="289"/>
      <c r="N1143" s="293">
        <v>39965</v>
      </c>
      <c r="O1143" s="293">
        <v>39965</v>
      </c>
      <c r="P1143" s="289" t="s">
        <v>3241</v>
      </c>
      <c r="Q1143" s="290">
        <v>700</v>
      </c>
      <c r="R1143" s="290">
        <v>14050</v>
      </c>
      <c r="S1143" s="291">
        <v>20203.11</v>
      </c>
      <c r="T1143" s="290">
        <v>14056</v>
      </c>
      <c r="U1143" s="291">
        <v>20203.11</v>
      </c>
      <c r="V1143" s="291">
        <f t="shared" si="17"/>
        <v>0</v>
      </c>
      <c r="W1143" s="292">
        <v>0</v>
      </c>
      <c r="X1143" s="290">
        <v>54260</v>
      </c>
      <c r="Y1143" s="291">
        <v>0</v>
      </c>
      <c r="Z1143" s="289" t="s">
        <v>944</v>
      </c>
      <c r="AA1143" s="289"/>
      <c r="AB1143" s="289" t="s">
        <v>3264</v>
      </c>
      <c r="AC1143" s="289"/>
      <c r="AD1143" s="289" t="s">
        <v>1446</v>
      </c>
      <c r="AE1143" s="289" t="s">
        <v>410</v>
      </c>
      <c r="AF1143" s="290" t="s">
        <v>1447</v>
      </c>
      <c r="AG1143" s="289"/>
      <c r="AH1143" s="290" t="s">
        <v>1448</v>
      </c>
      <c r="AI1143" s="289">
        <v>0</v>
      </c>
      <c r="AJ1143" s="289">
        <v>0</v>
      </c>
    </row>
    <row r="1144" spans="2:36">
      <c r="B1144" s="290">
        <v>2111</v>
      </c>
      <c r="C1144" s="294">
        <v>65106</v>
      </c>
      <c r="D1144" s="290" t="s">
        <v>944</v>
      </c>
      <c r="E1144" s="289" t="s">
        <v>3265</v>
      </c>
      <c r="F1144" s="290">
        <v>486</v>
      </c>
      <c r="G1144" s="289"/>
      <c r="H1144" s="289"/>
      <c r="I1144" s="289"/>
      <c r="J1144" s="289">
        <v>0</v>
      </c>
      <c r="K1144" s="289" t="s">
        <v>2245</v>
      </c>
      <c r="L1144" s="289"/>
      <c r="M1144" s="289"/>
      <c r="N1144" s="293">
        <v>39953</v>
      </c>
      <c r="O1144" s="293">
        <v>39953</v>
      </c>
      <c r="P1144" s="289" t="s">
        <v>3241</v>
      </c>
      <c r="Q1144" s="290">
        <v>700</v>
      </c>
      <c r="R1144" s="290">
        <v>14050</v>
      </c>
      <c r="S1144" s="291">
        <v>23659.56</v>
      </c>
      <c r="T1144" s="290">
        <v>14056</v>
      </c>
      <c r="U1144" s="291">
        <v>23659.56</v>
      </c>
      <c r="V1144" s="291">
        <f t="shared" si="17"/>
        <v>0</v>
      </c>
      <c r="W1144" s="292">
        <v>0</v>
      </c>
      <c r="X1144" s="290">
        <v>54260</v>
      </c>
      <c r="Y1144" s="291">
        <v>0</v>
      </c>
      <c r="Z1144" s="289" t="s">
        <v>944</v>
      </c>
      <c r="AA1144" s="289"/>
      <c r="AB1144" s="289" t="s">
        <v>3266</v>
      </c>
      <c r="AC1144" s="289"/>
      <c r="AD1144" s="289" t="s">
        <v>1446</v>
      </c>
      <c r="AE1144" s="289" t="s">
        <v>410</v>
      </c>
      <c r="AF1144" s="290" t="s">
        <v>1447</v>
      </c>
      <c r="AG1144" s="289"/>
      <c r="AH1144" s="290" t="s">
        <v>1448</v>
      </c>
      <c r="AI1144" s="289">
        <v>0</v>
      </c>
      <c r="AJ1144" s="289">
        <v>0</v>
      </c>
    </row>
    <row r="1145" spans="2:36">
      <c r="B1145" s="290">
        <v>2111</v>
      </c>
      <c r="C1145" s="294">
        <v>64155</v>
      </c>
      <c r="D1145" s="290">
        <v>63589</v>
      </c>
      <c r="E1145" s="289" t="s">
        <v>3267</v>
      </c>
      <c r="F1145" s="290">
        <v>0</v>
      </c>
      <c r="G1145" s="289"/>
      <c r="H1145" s="289"/>
      <c r="I1145" s="289"/>
      <c r="J1145" s="289">
        <v>2009</v>
      </c>
      <c r="K1145" s="289"/>
      <c r="L1145" s="289"/>
      <c r="M1145" s="289" t="s">
        <v>1746</v>
      </c>
      <c r="N1145" s="293">
        <v>39885</v>
      </c>
      <c r="O1145" s="293">
        <v>39885</v>
      </c>
      <c r="P1145" s="289" t="s">
        <v>3268</v>
      </c>
      <c r="Q1145" s="290">
        <v>1000</v>
      </c>
      <c r="R1145" s="290">
        <v>14040</v>
      </c>
      <c r="S1145" s="291">
        <v>8016.29</v>
      </c>
      <c r="T1145" s="290">
        <v>14046</v>
      </c>
      <c r="U1145" s="291">
        <v>8016.29</v>
      </c>
      <c r="V1145" s="291">
        <f t="shared" si="17"/>
        <v>0</v>
      </c>
      <c r="W1145" s="292">
        <v>0</v>
      </c>
      <c r="X1145" s="290">
        <v>51260</v>
      </c>
      <c r="Y1145" s="291">
        <v>0</v>
      </c>
      <c r="Z1145" s="289" t="s">
        <v>944</v>
      </c>
      <c r="AA1145" s="289"/>
      <c r="AB1145" s="296">
        <v>462338</v>
      </c>
      <c r="AC1145" s="289"/>
      <c r="AD1145" s="289" t="s">
        <v>1446</v>
      </c>
      <c r="AE1145" s="289" t="s">
        <v>410</v>
      </c>
      <c r="AF1145" s="290" t="s">
        <v>1447</v>
      </c>
      <c r="AG1145" s="289"/>
      <c r="AH1145" s="290" t="s">
        <v>1448</v>
      </c>
      <c r="AI1145" s="289">
        <v>0</v>
      </c>
      <c r="AJ1145" s="289">
        <v>0</v>
      </c>
    </row>
    <row r="1146" spans="2:36">
      <c r="B1146" s="290">
        <v>2111</v>
      </c>
      <c r="C1146" s="294">
        <v>62662</v>
      </c>
      <c r="D1146" s="290">
        <v>25020</v>
      </c>
      <c r="E1146" s="289" t="s">
        <v>3269</v>
      </c>
      <c r="F1146" s="290">
        <v>0</v>
      </c>
      <c r="G1146" s="289"/>
      <c r="H1146" s="289"/>
      <c r="I1146" s="289"/>
      <c r="J1146" s="289">
        <v>0</v>
      </c>
      <c r="K1146" s="289"/>
      <c r="L1146" s="289"/>
      <c r="M1146" s="289" t="s">
        <v>1467</v>
      </c>
      <c r="N1146" s="293">
        <v>39814</v>
      </c>
      <c r="O1146" s="293">
        <v>39814</v>
      </c>
      <c r="P1146" s="289" t="s">
        <v>3270</v>
      </c>
      <c r="Q1146" s="290">
        <v>300</v>
      </c>
      <c r="R1146" s="290">
        <v>14040</v>
      </c>
      <c r="S1146" s="291">
        <v>6818.83</v>
      </c>
      <c r="T1146" s="290">
        <v>14046</v>
      </c>
      <c r="U1146" s="291">
        <v>6818.83</v>
      </c>
      <c r="V1146" s="291">
        <f t="shared" si="17"/>
        <v>0</v>
      </c>
      <c r="W1146" s="292">
        <v>0</v>
      </c>
      <c r="X1146" s="290">
        <v>51260</v>
      </c>
      <c r="Y1146" s="291">
        <v>0</v>
      </c>
      <c r="Z1146" s="289" t="s">
        <v>944</v>
      </c>
      <c r="AA1146" s="289">
        <v>0</v>
      </c>
      <c r="AB1146" s="289"/>
      <c r="AC1146" s="289"/>
      <c r="AD1146" s="289" t="s">
        <v>1446</v>
      </c>
      <c r="AE1146" s="289" t="s">
        <v>410</v>
      </c>
      <c r="AF1146" s="290" t="s">
        <v>1447</v>
      </c>
      <c r="AG1146" s="289"/>
      <c r="AH1146" s="290" t="s">
        <v>1448</v>
      </c>
      <c r="AI1146" s="289">
        <v>0</v>
      </c>
      <c r="AJ1146" s="289">
        <v>0</v>
      </c>
    </row>
    <row r="1147" spans="2:36">
      <c r="B1147" s="290">
        <v>2111</v>
      </c>
      <c r="C1147" s="294">
        <v>62308</v>
      </c>
      <c r="D1147" s="290">
        <v>25019</v>
      </c>
      <c r="E1147" s="289" t="s">
        <v>181</v>
      </c>
      <c r="F1147" s="290">
        <v>0</v>
      </c>
      <c r="G1147" s="289"/>
      <c r="H1147" s="289"/>
      <c r="I1147" s="289"/>
      <c r="J1147" s="289">
        <v>0</v>
      </c>
      <c r="K1147" s="289"/>
      <c r="L1147" s="289"/>
      <c r="M1147" s="289" t="s">
        <v>1467</v>
      </c>
      <c r="N1147" s="293">
        <v>39813</v>
      </c>
      <c r="O1147" s="293">
        <v>39813</v>
      </c>
      <c r="P1147" s="289" t="s">
        <v>3271</v>
      </c>
      <c r="Q1147" s="290">
        <v>300</v>
      </c>
      <c r="R1147" s="290">
        <v>14040</v>
      </c>
      <c r="S1147" s="291">
        <v>6818.83</v>
      </c>
      <c r="T1147" s="290">
        <v>14046</v>
      </c>
      <c r="U1147" s="291">
        <v>6818.83</v>
      </c>
      <c r="V1147" s="291">
        <f t="shared" si="17"/>
        <v>0</v>
      </c>
      <c r="W1147" s="292">
        <v>0</v>
      </c>
      <c r="X1147" s="290">
        <v>51260</v>
      </c>
      <c r="Y1147" s="291">
        <v>0</v>
      </c>
      <c r="Z1147" s="289" t="s">
        <v>944</v>
      </c>
      <c r="AA1147" s="289"/>
      <c r="AB1147" s="289"/>
      <c r="AC1147" s="289"/>
      <c r="AD1147" s="289" t="s">
        <v>1446</v>
      </c>
      <c r="AE1147" s="289" t="s">
        <v>410</v>
      </c>
      <c r="AF1147" s="290" t="s">
        <v>1447</v>
      </c>
      <c r="AG1147" s="289"/>
      <c r="AH1147" s="290" t="s">
        <v>1448</v>
      </c>
      <c r="AI1147" s="289">
        <v>0</v>
      </c>
      <c r="AJ1147" s="289">
        <v>0</v>
      </c>
    </row>
    <row r="1148" spans="2:36">
      <c r="B1148" s="290">
        <v>2111</v>
      </c>
      <c r="C1148" s="294">
        <v>62296</v>
      </c>
      <c r="D1148" s="290" t="s">
        <v>944</v>
      </c>
      <c r="E1148" s="289" t="s">
        <v>3272</v>
      </c>
      <c r="F1148" s="290">
        <v>0</v>
      </c>
      <c r="G1148" s="289"/>
      <c r="H1148" s="289" t="s">
        <v>3273</v>
      </c>
      <c r="I1148" s="289"/>
      <c r="J1148" s="289">
        <v>2008</v>
      </c>
      <c r="K1148" s="289" t="s">
        <v>2300</v>
      </c>
      <c r="L1148" s="289" t="s">
        <v>1764</v>
      </c>
      <c r="M1148" s="289" t="s">
        <v>1523</v>
      </c>
      <c r="N1148" s="293">
        <v>39784</v>
      </c>
      <c r="O1148" s="293">
        <v>39784</v>
      </c>
      <c r="P1148" s="289" t="s">
        <v>3274</v>
      </c>
      <c r="Q1148" s="290">
        <v>900</v>
      </c>
      <c r="R1148" s="290">
        <v>14040</v>
      </c>
      <c r="S1148" s="291">
        <v>247446.22</v>
      </c>
      <c r="T1148" s="290">
        <v>14046</v>
      </c>
      <c r="U1148" s="291">
        <v>247446.22</v>
      </c>
      <c r="V1148" s="291">
        <f t="shared" si="17"/>
        <v>0</v>
      </c>
      <c r="W1148" s="292">
        <v>0</v>
      </c>
      <c r="X1148" s="290">
        <v>51260</v>
      </c>
      <c r="Y1148" s="291">
        <v>0</v>
      </c>
      <c r="Z1148" s="289" t="s">
        <v>944</v>
      </c>
      <c r="AA1148" s="289"/>
      <c r="AB1148" s="289"/>
      <c r="AC1148" s="289">
        <v>907</v>
      </c>
      <c r="AD1148" s="289" t="s">
        <v>1446</v>
      </c>
      <c r="AE1148" s="289" t="s">
        <v>410</v>
      </c>
      <c r="AF1148" s="290" t="s">
        <v>1447</v>
      </c>
      <c r="AG1148" s="289"/>
      <c r="AH1148" s="290" t="s">
        <v>1448</v>
      </c>
      <c r="AI1148" s="289">
        <v>0</v>
      </c>
      <c r="AJ1148" s="289">
        <v>0</v>
      </c>
    </row>
    <row r="1149" spans="2:36">
      <c r="B1149" s="290">
        <v>2111</v>
      </c>
      <c r="C1149" s="294">
        <v>62289</v>
      </c>
      <c r="D1149" s="290">
        <v>60338</v>
      </c>
      <c r="E1149" s="289" t="s">
        <v>3275</v>
      </c>
      <c r="F1149" s="290">
        <v>0</v>
      </c>
      <c r="G1149" s="289"/>
      <c r="H1149" s="289"/>
      <c r="I1149" s="289"/>
      <c r="J1149" s="289">
        <v>0</v>
      </c>
      <c r="K1149" s="289"/>
      <c r="L1149" s="289"/>
      <c r="M1149" s="289" t="s">
        <v>1467</v>
      </c>
      <c r="N1149" s="293">
        <v>39696</v>
      </c>
      <c r="O1149" s="293">
        <v>39696</v>
      </c>
      <c r="P1149" s="289" t="s">
        <v>3276</v>
      </c>
      <c r="Q1149" s="290">
        <v>300</v>
      </c>
      <c r="R1149" s="290">
        <v>14040</v>
      </c>
      <c r="S1149" s="291">
        <v>5712.34</v>
      </c>
      <c r="T1149" s="290">
        <v>14046</v>
      </c>
      <c r="U1149" s="291">
        <v>5712.34</v>
      </c>
      <c r="V1149" s="291">
        <f t="shared" si="17"/>
        <v>0</v>
      </c>
      <c r="W1149" s="292">
        <v>0</v>
      </c>
      <c r="X1149" s="290">
        <v>51260</v>
      </c>
      <c r="Y1149" s="291">
        <v>0</v>
      </c>
      <c r="Z1149" s="289" t="s">
        <v>944</v>
      </c>
      <c r="AA1149" s="289"/>
      <c r="AB1149" s="289"/>
      <c r="AC1149" s="289"/>
      <c r="AD1149" s="289" t="s">
        <v>1446</v>
      </c>
      <c r="AE1149" s="289" t="s">
        <v>410</v>
      </c>
      <c r="AF1149" s="290" t="s">
        <v>1447</v>
      </c>
      <c r="AG1149" s="289"/>
      <c r="AH1149" s="290" t="s">
        <v>1448</v>
      </c>
      <c r="AI1149" s="289">
        <v>0</v>
      </c>
      <c r="AJ1149" s="289">
        <v>0</v>
      </c>
    </row>
    <row r="1150" spans="2:36">
      <c r="B1150" s="290">
        <v>2111</v>
      </c>
      <c r="C1150" s="294">
        <v>60421</v>
      </c>
      <c r="D1150" s="290">
        <v>60338</v>
      </c>
      <c r="E1150" s="289" t="s">
        <v>3277</v>
      </c>
      <c r="F1150" s="290">
        <v>0</v>
      </c>
      <c r="G1150" s="289"/>
      <c r="H1150" s="289"/>
      <c r="I1150" s="289"/>
      <c r="J1150" s="289">
        <v>0</v>
      </c>
      <c r="K1150" s="289"/>
      <c r="L1150" s="289"/>
      <c r="M1150" s="289" t="s">
        <v>1467</v>
      </c>
      <c r="N1150" s="293">
        <v>39755</v>
      </c>
      <c r="O1150" s="293">
        <v>39755</v>
      </c>
      <c r="P1150" s="289" t="s">
        <v>3276</v>
      </c>
      <c r="Q1150" s="290">
        <v>300</v>
      </c>
      <c r="R1150" s="290">
        <v>14040</v>
      </c>
      <c r="S1150" s="291">
        <v>910</v>
      </c>
      <c r="T1150" s="290">
        <v>14046</v>
      </c>
      <c r="U1150" s="291">
        <v>910</v>
      </c>
      <c r="V1150" s="291">
        <f t="shared" si="17"/>
        <v>0</v>
      </c>
      <c r="W1150" s="292">
        <v>0</v>
      </c>
      <c r="X1150" s="290">
        <v>51260</v>
      </c>
      <c r="Y1150" s="291">
        <v>0</v>
      </c>
      <c r="Z1150" s="289" t="s">
        <v>944</v>
      </c>
      <c r="AA1150" s="289"/>
      <c r="AB1150" s="289" t="s">
        <v>3278</v>
      </c>
      <c r="AC1150" s="289"/>
      <c r="AD1150" s="289" t="s">
        <v>1446</v>
      </c>
      <c r="AE1150" s="289" t="s">
        <v>410</v>
      </c>
      <c r="AF1150" s="290" t="s">
        <v>1447</v>
      </c>
      <c r="AG1150" s="289"/>
      <c r="AH1150" s="290" t="s">
        <v>1448</v>
      </c>
      <c r="AI1150" s="289">
        <v>0</v>
      </c>
      <c r="AJ1150" s="289">
        <v>0</v>
      </c>
    </row>
    <row r="1151" spans="2:36">
      <c r="B1151" s="290">
        <v>2111</v>
      </c>
      <c r="C1151" s="294">
        <v>60420</v>
      </c>
      <c r="D1151" s="290">
        <v>58549</v>
      </c>
      <c r="E1151" s="289" t="s">
        <v>3279</v>
      </c>
      <c r="F1151" s="290">
        <v>0</v>
      </c>
      <c r="G1151" s="289"/>
      <c r="H1151" s="289" t="s">
        <v>3280</v>
      </c>
      <c r="I1151" s="289"/>
      <c r="J1151" s="289">
        <v>2008</v>
      </c>
      <c r="K1151" s="289"/>
      <c r="L1151" s="289"/>
      <c r="M1151" s="289" t="s">
        <v>1467</v>
      </c>
      <c r="N1151" s="293">
        <v>39680</v>
      </c>
      <c r="O1151" s="293">
        <v>39738</v>
      </c>
      <c r="P1151" s="289" t="s">
        <v>3281</v>
      </c>
      <c r="Q1151" s="290">
        <v>900</v>
      </c>
      <c r="R1151" s="290">
        <v>14040</v>
      </c>
      <c r="S1151" s="291">
        <v>2714.56</v>
      </c>
      <c r="T1151" s="290">
        <v>14046</v>
      </c>
      <c r="U1151" s="291">
        <v>2714.56</v>
      </c>
      <c r="V1151" s="291">
        <f t="shared" si="17"/>
        <v>0</v>
      </c>
      <c r="W1151" s="292">
        <v>0</v>
      </c>
      <c r="X1151" s="290">
        <v>51260</v>
      </c>
      <c r="Y1151" s="291">
        <v>0</v>
      </c>
      <c r="Z1151" s="289" t="s">
        <v>944</v>
      </c>
      <c r="AA1151" s="289"/>
      <c r="AB1151" s="289">
        <v>13823</v>
      </c>
      <c r="AC1151" s="289"/>
      <c r="AD1151" s="289" t="s">
        <v>1446</v>
      </c>
      <c r="AE1151" s="289" t="s">
        <v>410</v>
      </c>
      <c r="AF1151" s="290" t="s">
        <v>1447</v>
      </c>
      <c r="AG1151" s="289"/>
      <c r="AH1151" s="290" t="s">
        <v>1448</v>
      </c>
      <c r="AI1151" s="289">
        <v>0</v>
      </c>
      <c r="AJ1151" s="289">
        <v>0</v>
      </c>
    </row>
    <row r="1152" spans="2:36">
      <c r="B1152" s="290">
        <v>2111</v>
      </c>
      <c r="C1152" s="294">
        <v>60377</v>
      </c>
      <c r="D1152" s="290" t="s">
        <v>944</v>
      </c>
      <c r="E1152" s="289" t="s">
        <v>3282</v>
      </c>
      <c r="F1152" s="290">
        <v>0</v>
      </c>
      <c r="G1152" s="289"/>
      <c r="H1152" s="289" t="s">
        <v>3283</v>
      </c>
      <c r="I1152" s="289"/>
      <c r="J1152" s="289">
        <v>2008</v>
      </c>
      <c r="K1152" s="289" t="s">
        <v>3284</v>
      </c>
      <c r="L1152" s="289" t="s">
        <v>3285</v>
      </c>
      <c r="M1152" s="289" t="s">
        <v>1575</v>
      </c>
      <c r="N1152" s="293">
        <v>39758</v>
      </c>
      <c r="O1152" s="293">
        <v>39758</v>
      </c>
      <c r="P1152" s="289" t="s">
        <v>3286</v>
      </c>
      <c r="Q1152" s="290">
        <v>600</v>
      </c>
      <c r="R1152" s="290">
        <v>14040</v>
      </c>
      <c r="S1152" s="291">
        <v>101028.8</v>
      </c>
      <c r="T1152" s="290">
        <v>14046</v>
      </c>
      <c r="U1152" s="291">
        <v>101028.8</v>
      </c>
      <c r="V1152" s="291">
        <f t="shared" si="17"/>
        <v>0</v>
      </c>
      <c r="W1152" s="292">
        <v>0</v>
      </c>
      <c r="X1152" s="290">
        <v>51260</v>
      </c>
      <c r="Y1152" s="291">
        <v>0</v>
      </c>
      <c r="Z1152" s="289" t="s">
        <v>944</v>
      </c>
      <c r="AA1152" s="289"/>
      <c r="AB1152" s="289">
        <v>5381</v>
      </c>
      <c r="AC1152" s="289" t="s">
        <v>358</v>
      </c>
      <c r="AD1152" s="289" t="s">
        <v>1446</v>
      </c>
      <c r="AE1152" s="289" t="s">
        <v>410</v>
      </c>
      <c r="AF1152" s="290" t="s">
        <v>1447</v>
      </c>
      <c r="AG1152" s="289"/>
      <c r="AH1152" s="290" t="s">
        <v>1448</v>
      </c>
      <c r="AI1152" s="289">
        <v>0</v>
      </c>
      <c r="AJ1152" s="289">
        <v>0</v>
      </c>
    </row>
    <row r="1153" spans="2:36">
      <c r="B1153" s="290">
        <v>2111</v>
      </c>
      <c r="C1153" s="294">
        <v>60150</v>
      </c>
      <c r="D1153" s="290" t="s">
        <v>944</v>
      </c>
      <c r="E1153" s="289" t="s">
        <v>695</v>
      </c>
      <c r="F1153" s="290">
        <v>13</v>
      </c>
      <c r="G1153" s="289"/>
      <c r="H1153" s="289"/>
      <c r="I1153" s="289"/>
      <c r="J1153" s="289">
        <v>0</v>
      </c>
      <c r="K1153" s="289" t="s">
        <v>2257</v>
      </c>
      <c r="L1153" s="289"/>
      <c r="M1153" s="289" t="s">
        <v>1659</v>
      </c>
      <c r="N1153" s="293">
        <v>39752</v>
      </c>
      <c r="O1153" s="293">
        <v>39752</v>
      </c>
      <c r="P1153" s="289" t="s">
        <v>3287</v>
      </c>
      <c r="Q1153" s="290">
        <v>1200</v>
      </c>
      <c r="R1153" s="290">
        <v>14050</v>
      </c>
      <c r="S1153" s="291">
        <v>7468.03</v>
      </c>
      <c r="T1153" s="290">
        <v>14056</v>
      </c>
      <c r="U1153" s="291">
        <v>7468.03</v>
      </c>
      <c r="V1153" s="291">
        <f t="shared" si="17"/>
        <v>0</v>
      </c>
      <c r="W1153" s="292">
        <v>0</v>
      </c>
      <c r="X1153" s="290">
        <v>54260</v>
      </c>
      <c r="Y1153" s="291">
        <v>0</v>
      </c>
      <c r="Z1153" s="289" t="s">
        <v>944</v>
      </c>
      <c r="AA1153" s="289"/>
      <c r="AB1153" s="289">
        <v>38066</v>
      </c>
      <c r="AC1153" s="289"/>
      <c r="AD1153" s="289" t="s">
        <v>1446</v>
      </c>
      <c r="AE1153" s="289" t="s">
        <v>410</v>
      </c>
      <c r="AF1153" s="290" t="s">
        <v>1447</v>
      </c>
      <c r="AG1153" s="289"/>
      <c r="AH1153" s="290" t="s">
        <v>1448</v>
      </c>
      <c r="AI1153" s="289">
        <v>0</v>
      </c>
      <c r="AJ1153" s="289">
        <v>0</v>
      </c>
    </row>
    <row r="1154" spans="2:36">
      <c r="B1154" s="290">
        <v>2111</v>
      </c>
      <c r="C1154" s="294">
        <v>60147</v>
      </c>
      <c r="D1154" s="290" t="s">
        <v>944</v>
      </c>
      <c r="E1154" s="289" t="s">
        <v>693</v>
      </c>
      <c r="F1154" s="290">
        <v>1</v>
      </c>
      <c r="G1154" s="289"/>
      <c r="H1154" s="289"/>
      <c r="I1154" s="289"/>
      <c r="J1154" s="289">
        <v>0</v>
      </c>
      <c r="K1154" s="289" t="s">
        <v>2257</v>
      </c>
      <c r="L1154" s="289"/>
      <c r="M1154" s="289" t="s">
        <v>1918</v>
      </c>
      <c r="N1154" s="293">
        <v>39752</v>
      </c>
      <c r="O1154" s="293">
        <v>39752</v>
      </c>
      <c r="P1154" s="289" t="s">
        <v>3288</v>
      </c>
      <c r="Q1154" s="290">
        <v>1200</v>
      </c>
      <c r="R1154" s="290">
        <v>14050</v>
      </c>
      <c r="S1154" s="291">
        <v>2475.1999999999998</v>
      </c>
      <c r="T1154" s="290">
        <v>14056</v>
      </c>
      <c r="U1154" s="291">
        <v>2475.1999999999998</v>
      </c>
      <c r="V1154" s="291">
        <f t="shared" si="17"/>
        <v>0</v>
      </c>
      <c r="W1154" s="292">
        <v>0</v>
      </c>
      <c r="X1154" s="290">
        <v>54260</v>
      </c>
      <c r="Y1154" s="291">
        <v>0</v>
      </c>
      <c r="Z1154" s="289" t="s">
        <v>944</v>
      </c>
      <c r="AA1154" s="289"/>
      <c r="AB1154" s="289">
        <v>38043</v>
      </c>
      <c r="AC1154" s="289"/>
      <c r="AD1154" s="289" t="s">
        <v>1446</v>
      </c>
      <c r="AE1154" s="289" t="s">
        <v>410</v>
      </c>
      <c r="AF1154" s="290" t="s">
        <v>1447</v>
      </c>
      <c r="AG1154" s="295">
        <v>44408</v>
      </c>
      <c r="AH1154" s="290" t="s">
        <v>1448</v>
      </c>
      <c r="AI1154" s="289">
        <v>1</v>
      </c>
      <c r="AJ1154" s="289">
        <v>2475.1999999999998</v>
      </c>
    </row>
    <row r="1155" spans="2:36">
      <c r="B1155" s="290">
        <v>2111</v>
      </c>
      <c r="C1155" s="294">
        <v>59993</v>
      </c>
      <c r="D1155" s="290">
        <v>58774</v>
      </c>
      <c r="E1155" s="289" t="s">
        <v>3289</v>
      </c>
      <c r="F1155" s="290">
        <v>0</v>
      </c>
      <c r="G1155" s="289"/>
      <c r="H1155" s="289"/>
      <c r="I1155" s="289"/>
      <c r="J1155" s="289">
        <v>0</v>
      </c>
      <c r="K1155" s="289"/>
      <c r="L1155" s="289"/>
      <c r="M1155" s="289" t="s">
        <v>1467</v>
      </c>
      <c r="N1155" s="293">
        <v>39691</v>
      </c>
      <c r="O1155" s="293">
        <v>39691</v>
      </c>
      <c r="P1155" s="289"/>
      <c r="Q1155" s="290">
        <v>1000</v>
      </c>
      <c r="R1155" s="290">
        <v>14030</v>
      </c>
      <c r="S1155" s="291">
        <v>1750</v>
      </c>
      <c r="T1155" s="290">
        <v>14036</v>
      </c>
      <c r="U1155" s="291">
        <v>1750</v>
      </c>
      <c r="V1155" s="291">
        <f t="shared" si="17"/>
        <v>0</v>
      </c>
      <c r="W1155" s="292">
        <v>0</v>
      </c>
      <c r="X1155" s="290">
        <v>51260</v>
      </c>
      <c r="Y1155" s="291">
        <v>0</v>
      </c>
      <c r="Z1155" s="289" t="s">
        <v>944</v>
      </c>
      <c r="AA1155" s="289">
        <v>0</v>
      </c>
      <c r="AB1155" s="289" t="s">
        <v>3290</v>
      </c>
      <c r="AC1155" s="289"/>
      <c r="AD1155" s="289" t="s">
        <v>1446</v>
      </c>
      <c r="AE1155" s="289" t="s">
        <v>410</v>
      </c>
      <c r="AF1155" s="290" t="s">
        <v>1447</v>
      </c>
      <c r="AG1155" s="289"/>
      <c r="AH1155" s="290" t="s">
        <v>1448</v>
      </c>
      <c r="AI1155" s="289">
        <v>0</v>
      </c>
      <c r="AJ1155" s="289">
        <v>0</v>
      </c>
    </row>
    <row r="1156" spans="2:36">
      <c r="B1156" s="290">
        <v>2111</v>
      </c>
      <c r="C1156" s="294">
        <v>59913</v>
      </c>
      <c r="D1156" s="290" t="s">
        <v>944</v>
      </c>
      <c r="E1156" s="289" t="s">
        <v>3291</v>
      </c>
      <c r="F1156" s="290">
        <v>0</v>
      </c>
      <c r="G1156" s="289"/>
      <c r="H1156" s="289"/>
      <c r="I1156" s="289"/>
      <c r="J1156" s="289">
        <v>0</v>
      </c>
      <c r="K1156" s="289" t="s">
        <v>1657</v>
      </c>
      <c r="L1156" s="289"/>
      <c r="M1156" s="289"/>
      <c r="N1156" s="293">
        <v>39726</v>
      </c>
      <c r="O1156" s="293">
        <v>39726</v>
      </c>
      <c r="P1156" s="289" t="s">
        <v>3292</v>
      </c>
      <c r="Q1156" s="290">
        <v>300</v>
      </c>
      <c r="R1156" s="290">
        <v>14110</v>
      </c>
      <c r="S1156" s="291">
        <v>1251.47</v>
      </c>
      <c r="T1156" s="290">
        <v>14116</v>
      </c>
      <c r="U1156" s="291">
        <v>1251.47</v>
      </c>
      <c r="V1156" s="291">
        <f t="shared" si="17"/>
        <v>0</v>
      </c>
      <c r="W1156" s="292">
        <v>0</v>
      </c>
      <c r="X1156" s="290">
        <v>70260</v>
      </c>
      <c r="Y1156" s="291">
        <v>0</v>
      </c>
      <c r="Z1156" s="289" t="s">
        <v>944</v>
      </c>
      <c r="AA1156" s="289"/>
      <c r="AB1156" s="289" t="s">
        <v>3293</v>
      </c>
      <c r="AC1156" s="289"/>
      <c r="AD1156" s="289" t="s">
        <v>1446</v>
      </c>
      <c r="AE1156" s="289" t="s">
        <v>410</v>
      </c>
      <c r="AF1156" s="290" t="s">
        <v>1447</v>
      </c>
      <c r="AG1156" s="289"/>
      <c r="AH1156" s="290" t="s">
        <v>1448</v>
      </c>
      <c r="AI1156" s="289">
        <v>0</v>
      </c>
      <c r="AJ1156" s="289">
        <v>0</v>
      </c>
    </row>
    <row r="1157" spans="2:36">
      <c r="B1157" s="290">
        <v>2111</v>
      </c>
      <c r="C1157" s="294">
        <v>59813</v>
      </c>
      <c r="D1157" s="290" t="s">
        <v>944</v>
      </c>
      <c r="E1157" s="289" t="s">
        <v>3294</v>
      </c>
      <c r="F1157" s="290">
        <v>624</v>
      </c>
      <c r="G1157" s="289"/>
      <c r="H1157" s="289"/>
      <c r="I1157" s="289"/>
      <c r="J1157" s="289">
        <v>0</v>
      </c>
      <c r="K1157" s="289" t="s">
        <v>2342</v>
      </c>
      <c r="L1157" s="289"/>
      <c r="M1157" s="289"/>
      <c r="N1157" s="293">
        <v>39706</v>
      </c>
      <c r="O1157" s="293">
        <v>39706</v>
      </c>
      <c r="P1157" s="289" t="s">
        <v>3295</v>
      </c>
      <c r="Q1157" s="290">
        <v>700</v>
      </c>
      <c r="R1157" s="290">
        <v>14050</v>
      </c>
      <c r="S1157" s="291">
        <v>39442.870000000003</v>
      </c>
      <c r="T1157" s="290">
        <v>14056</v>
      </c>
      <c r="U1157" s="291">
        <v>39442.870000000003</v>
      </c>
      <c r="V1157" s="291">
        <f t="shared" si="17"/>
        <v>0</v>
      </c>
      <c r="W1157" s="292">
        <v>0</v>
      </c>
      <c r="X1157" s="290">
        <v>54260</v>
      </c>
      <c r="Y1157" s="291">
        <v>0</v>
      </c>
      <c r="Z1157" s="289" t="s">
        <v>944</v>
      </c>
      <c r="AA1157" s="289"/>
      <c r="AB1157" s="289" t="s">
        <v>3296</v>
      </c>
      <c r="AC1157" s="289"/>
      <c r="AD1157" s="289" t="s">
        <v>1446</v>
      </c>
      <c r="AE1157" s="289" t="s">
        <v>410</v>
      </c>
      <c r="AF1157" s="290" t="s">
        <v>1447</v>
      </c>
      <c r="AG1157" s="289"/>
      <c r="AH1157" s="290" t="s">
        <v>1448</v>
      </c>
      <c r="AI1157" s="289">
        <v>0</v>
      </c>
      <c r="AJ1157" s="289">
        <v>0</v>
      </c>
    </row>
    <row r="1158" spans="2:36">
      <c r="B1158" s="290">
        <v>2111</v>
      </c>
      <c r="C1158" s="294">
        <v>59812</v>
      </c>
      <c r="D1158" s="290" t="s">
        <v>944</v>
      </c>
      <c r="E1158" s="289" t="s">
        <v>3294</v>
      </c>
      <c r="F1158" s="290">
        <v>624</v>
      </c>
      <c r="G1158" s="289"/>
      <c r="H1158" s="289"/>
      <c r="I1158" s="289"/>
      <c r="J1158" s="289">
        <v>0</v>
      </c>
      <c r="K1158" s="289" t="s">
        <v>2342</v>
      </c>
      <c r="L1158" s="289"/>
      <c r="M1158" s="289"/>
      <c r="N1158" s="293">
        <v>39706</v>
      </c>
      <c r="O1158" s="293">
        <v>39706</v>
      </c>
      <c r="P1158" s="289" t="s">
        <v>3295</v>
      </c>
      <c r="Q1158" s="290">
        <v>700</v>
      </c>
      <c r="R1158" s="290">
        <v>14050</v>
      </c>
      <c r="S1158" s="291">
        <v>39442.870000000003</v>
      </c>
      <c r="T1158" s="290">
        <v>14056</v>
      </c>
      <c r="U1158" s="291">
        <v>39442.870000000003</v>
      </c>
      <c r="V1158" s="291">
        <f t="shared" si="17"/>
        <v>0</v>
      </c>
      <c r="W1158" s="292">
        <v>0</v>
      </c>
      <c r="X1158" s="290">
        <v>54260</v>
      </c>
      <c r="Y1158" s="291">
        <v>0</v>
      </c>
      <c r="Z1158" s="289" t="s">
        <v>944</v>
      </c>
      <c r="AA1158" s="289"/>
      <c r="AB1158" s="289" t="s">
        <v>3297</v>
      </c>
      <c r="AC1158" s="289"/>
      <c r="AD1158" s="289" t="s">
        <v>1446</v>
      </c>
      <c r="AE1158" s="289" t="s">
        <v>410</v>
      </c>
      <c r="AF1158" s="290" t="s">
        <v>1447</v>
      </c>
      <c r="AG1158" s="289"/>
      <c r="AH1158" s="290" t="s">
        <v>1448</v>
      </c>
      <c r="AI1158" s="289">
        <v>0</v>
      </c>
      <c r="AJ1158" s="289">
        <v>0</v>
      </c>
    </row>
    <row r="1159" spans="2:36">
      <c r="B1159" s="290">
        <v>2111</v>
      </c>
      <c r="C1159" s="294">
        <v>59796</v>
      </c>
      <c r="D1159" s="290">
        <v>58774</v>
      </c>
      <c r="E1159" s="289" t="s">
        <v>3298</v>
      </c>
      <c r="F1159" s="290">
        <v>0</v>
      </c>
      <c r="G1159" s="289"/>
      <c r="H1159" s="289" t="s">
        <v>751</v>
      </c>
      <c r="I1159" s="289"/>
      <c r="J1159" s="289">
        <v>2008</v>
      </c>
      <c r="K1159" s="289" t="s">
        <v>178</v>
      </c>
      <c r="L1159" s="289"/>
      <c r="M1159" s="289" t="s">
        <v>1467</v>
      </c>
      <c r="N1159" s="293">
        <v>39691</v>
      </c>
      <c r="O1159" s="293">
        <v>39691</v>
      </c>
      <c r="P1159" s="289" t="s">
        <v>3299</v>
      </c>
      <c r="Q1159" s="290">
        <v>1000</v>
      </c>
      <c r="R1159" s="290">
        <v>14030</v>
      </c>
      <c r="S1159" s="291">
        <v>6646.24</v>
      </c>
      <c r="T1159" s="290">
        <v>14036</v>
      </c>
      <c r="U1159" s="291">
        <v>6646.24</v>
      </c>
      <c r="V1159" s="291">
        <f t="shared" si="17"/>
        <v>0</v>
      </c>
      <c r="W1159" s="292">
        <v>0</v>
      </c>
      <c r="X1159" s="290">
        <v>51260</v>
      </c>
      <c r="Y1159" s="291">
        <v>0</v>
      </c>
      <c r="Z1159" s="289" t="s">
        <v>944</v>
      </c>
      <c r="AA1159" s="289"/>
      <c r="AB1159" s="289" t="s">
        <v>3300</v>
      </c>
      <c r="AC1159" s="289"/>
      <c r="AD1159" s="289" t="s">
        <v>1446</v>
      </c>
      <c r="AE1159" s="289" t="s">
        <v>410</v>
      </c>
      <c r="AF1159" s="290" t="s">
        <v>1447</v>
      </c>
      <c r="AG1159" s="289"/>
      <c r="AH1159" s="290" t="s">
        <v>1448</v>
      </c>
      <c r="AI1159" s="289">
        <v>0</v>
      </c>
      <c r="AJ1159" s="289">
        <v>0</v>
      </c>
    </row>
    <row r="1160" spans="2:36">
      <c r="B1160" s="290">
        <v>2111</v>
      </c>
      <c r="C1160" s="294">
        <v>59795</v>
      </c>
      <c r="D1160" s="290">
        <v>58774</v>
      </c>
      <c r="E1160" s="289" t="s">
        <v>3301</v>
      </c>
      <c r="F1160" s="290">
        <v>0</v>
      </c>
      <c r="G1160" s="289"/>
      <c r="H1160" s="289" t="s">
        <v>751</v>
      </c>
      <c r="I1160" s="289"/>
      <c r="J1160" s="289">
        <v>2008</v>
      </c>
      <c r="K1160" s="289" t="s">
        <v>178</v>
      </c>
      <c r="L1160" s="289"/>
      <c r="M1160" s="289" t="s">
        <v>3302</v>
      </c>
      <c r="N1160" s="293">
        <v>39691</v>
      </c>
      <c r="O1160" s="293">
        <v>39691</v>
      </c>
      <c r="P1160" s="289" t="s">
        <v>3299</v>
      </c>
      <c r="Q1160" s="290">
        <v>1000</v>
      </c>
      <c r="R1160" s="290">
        <v>14030</v>
      </c>
      <c r="S1160" s="291">
        <v>2570.94</v>
      </c>
      <c r="T1160" s="290">
        <v>14036</v>
      </c>
      <c r="U1160" s="291">
        <v>2570.94</v>
      </c>
      <c r="V1160" s="291">
        <f t="shared" si="17"/>
        <v>0</v>
      </c>
      <c r="W1160" s="292">
        <v>0</v>
      </c>
      <c r="X1160" s="290">
        <v>51260</v>
      </c>
      <c r="Y1160" s="291">
        <v>0</v>
      </c>
      <c r="Z1160" s="289" t="s">
        <v>944</v>
      </c>
      <c r="AA1160" s="289"/>
      <c r="AB1160" s="289">
        <v>192028</v>
      </c>
      <c r="AC1160" s="289"/>
      <c r="AD1160" s="289" t="s">
        <v>1446</v>
      </c>
      <c r="AE1160" s="289" t="s">
        <v>410</v>
      </c>
      <c r="AF1160" s="290" t="s">
        <v>1447</v>
      </c>
      <c r="AG1160" s="289"/>
      <c r="AH1160" s="290" t="s">
        <v>1448</v>
      </c>
      <c r="AI1160" s="289">
        <v>0</v>
      </c>
      <c r="AJ1160" s="289">
        <v>0</v>
      </c>
    </row>
    <row r="1161" spans="2:36">
      <c r="B1161" s="290">
        <v>2111</v>
      </c>
      <c r="C1161" s="294">
        <v>59445</v>
      </c>
      <c r="D1161" s="290" t="s">
        <v>944</v>
      </c>
      <c r="E1161" s="289" t="s">
        <v>2997</v>
      </c>
      <c r="F1161" s="290">
        <v>5</v>
      </c>
      <c r="G1161" s="289"/>
      <c r="H1161" s="289"/>
      <c r="I1161" s="289"/>
      <c r="J1161" s="289">
        <v>0</v>
      </c>
      <c r="K1161" s="289" t="s">
        <v>2257</v>
      </c>
      <c r="L1161" s="289"/>
      <c r="M1161" s="289" t="s">
        <v>1662</v>
      </c>
      <c r="N1161" s="293">
        <v>39707</v>
      </c>
      <c r="O1161" s="293">
        <v>39707</v>
      </c>
      <c r="P1161" s="289" t="s">
        <v>3303</v>
      </c>
      <c r="Q1161" s="290">
        <v>1200</v>
      </c>
      <c r="R1161" s="290">
        <v>14050</v>
      </c>
      <c r="S1161" s="291">
        <v>4977.6000000000004</v>
      </c>
      <c r="T1161" s="290">
        <v>14056</v>
      </c>
      <c r="U1161" s="291">
        <v>4977.6000000000004</v>
      </c>
      <c r="V1161" s="291">
        <f t="shared" si="17"/>
        <v>0</v>
      </c>
      <c r="W1161" s="292">
        <v>0</v>
      </c>
      <c r="X1161" s="290">
        <v>54260</v>
      </c>
      <c r="Y1161" s="291">
        <v>0</v>
      </c>
      <c r="Z1161" s="289" t="s">
        <v>944</v>
      </c>
      <c r="AA1161" s="289"/>
      <c r="AB1161" s="289">
        <v>36876</v>
      </c>
      <c r="AC1161" s="289"/>
      <c r="AD1161" s="289" t="s">
        <v>1446</v>
      </c>
      <c r="AE1161" s="289" t="s">
        <v>410</v>
      </c>
      <c r="AF1161" s="290" t="s">
        <v>1447</v>
      </c>
      <c r="AG1161" s="289"/>
      <c r="AH1161" s="290" t="s">
        <v>1448</v>
      </c>
      <c r="AI1161" s="289">
        <v>0</v>
      </c>
      <c r="AJ1161" s="289">
        <v>0</v>
      </c>
    </row>
    <row r="1162" spans="2:36">
      <c r="B1162" s="290">
        <v>2111</v>
      </c>
      <c r="C1162" s="294">
        <v>59444</v>
      </c>
      <c r="D1162" s="290" t="s">
        <v>944</v>
      </c>
      <c r="E1162" s="289" t="s">
        <v>3304</v>
      </c>
      <c r="F1162" s="290">
        <v>5</v>
      </c>
      <c r="G1162" s="289"/>
      <c r="H1162" s="289"/>
      <c r="I1162" s="289"/>
      <c r="J1162" s="289">
        <v>0</v>
      </c>
      <c r="K1162" s="289" t="s">
        <v>2257</v>
      </c>
      <c r="L1162" s="289"/>
      <c r="M1162" s="289" t="s">
        <v>1664</v>
      </c>
      <c r="N1162" s="293">
        <v>39716</v>
      </c>
      <c r="O1162" s="293">
        <v>39716</v>
      </c>
      <c r="P1162" s="289" t="s">
        <v>3305</v>
      </c>
      <c r="Q1162" s="290">
        <v>1200</v>
      </c>
      <c r="R1162" s="290">
        <v>14050</v>
      </c>
      <c r="S1162" s="291">
        <v>3726.4</v>
      </c>
      <c r="T1162" s="290">
        <v>14056</v>
      </c>
      <c r="U1162" s="291">
        <v>3726.4</v>
      </c>
      <c r="V1162" s="291">
        <f t="shared" si="17"/>
        <v>0</v>
      </c>
      <c r="W1162" s="292">
        <v>0</v>
      </c>
      <c r="X1162" s="290">
        <v>54260</v>
      </c>
      <c r="Y1162" s="291">
        <v>0</v>
      </c>
      <c r="Z1162" s="289" t="s">
        <v>944</v>
      </c>
      <c r="AA1162" s="289"/>
      <c r="AB1162" s="289">
        <v>37124</v>
      </c>
      <c r="AC1162" s="289"/>
      <c r="AD1162" s="289" t="s">
        <v>1446</v>
      </c>
      <c r="AE1162" s="289" t="s">
        <v>410</v>
      </c>
      <c r="AF1162" s="290" t="s">
        <v>1447</v>
      </c>
      <c r="AG1162" s="289"/>
      <c r="AH1162" s="290" t="s">
        <v>1448</v>
      </c>
      <c r="AI1162" s="289">
        <v>0</v>
      </c>
      <c r="AJ1162" s="289">
        <v>0</v>
      </c>
    </row>
    <row r="1163" spans="2:36">
      <c r="B1163" s="290">
        <v>2111</v>
      </c>
      <c r="C1163" s="294">
        <v>59199</v>
      </c>
      <c r="D1163" s="290" t="s">
        <v>944</v>
      </c>
      <c r="E1163" s="289" t="s">
        <v>3306</v>
      </c>
      <c r="F1163" s="290">
        <v>0</v>
      </c>
      <c r="G1163" s="289"/>
      <c r="H1163" s="289" t="s">
        <v>3307</v>
      </c>
      <c r="I1163" s="289"/>
      <c r="J1163" s="289">
        <v>2008</v>
      </c>
      <c r="K1163" s="289" t="s">
        <v>3308</v>
      </c>
      <c r="L1163" s="289" t="s">
        <v>3285</v>
      </c>
      <c r="M1163" s="289" t="s">
        <v>1575</v>
      </c>
      <c r="N1163" s="293">
        <v>39631</v>
      </c>
      <c r="O1163" s="293">
        <v>39631</v>
      </c>
      <c r="P1163" s="289" t="s">
        <v>3309</v>
      </c>
      <c r="Q1163" s="290">
        <v>600</v>
      </c>
      <c r="R1163" s="290">
        <v>14040</v>
      </c>
      <c r="S1163" s="291">
        <v>96676.9</v>
      </c>
      <c r="T1163" s="290">
        <v>14046</v>
      </c>
      <c r="U1163" s="291">
        <v>96676.9</v>
      </c>
      <c r="V1163" s="291">
        <f t="shared" si="17"/>
        <v>0</v>
      </c>
      <c r="W1163" s="292">
        <v>0</v>
      </c>
      <c r="X1163" s="290">
        <v>51260</v>
      </c>
      <c r="Y1163" s="291">
        <v>0</v>
      </c>
      <c r="Z1163" s="289" t="s">
        <v>944</v>
      </c>
      <c r="AA1163" s="289"/>
      <c r="AB1163" s="289">
        <v>5343</v>
      </c>
      <c r="AC1163" s="289" t="s">
        <v>357</v>
      </c>
      <c r="AD1163" s="289" t="s">
        <v>1446</v>
      </c>
      <c r="AE1163" s="289" t="s">
        <v>410</v>
      </c>
      <c r="AF1163" s="290" t="s">
        <v>1447</v>
      </c>
      <c r="AG1163" s="289"/>
      <c r="AH1163" s="290" t="s">
        <v>1448</v>
      </c>
      <c r="AI1163" s="289">
        <v>0</v>
      </c>
      <c r="AJ1163" s="289">
        <v>0</v>
      </c>
    </row>
    <row r="1164" spans="2:36">
      <c r="B1164" s="290">
        <v>2111</v>
      </c>
      <c r="C1164" s="294">
        <v>58868</v>
      </c>
      <c r="D1164" s="290">
        <v>58774</v>
      </c>
      <c r="E1164" s="289" t="s">
        <v>3310</v>
      </c>
      <c r="F1164" s="290">
        <v>0</v>
      </c>
      <c r="G1164" s="289"/>
      <c r="H1164" s="289"/>
      <c r="I1164" s="289"/>
      <c r="J1164" s="289">
        <v>0</v>
      </c>
      <c r="K1164" s="289"/>
      <c r="L1164" s="289"/>
      <c r="M1164" s="289"/>
      <c r="N1164" s="293">
        <v>39691</v>
      </c>
      <c r="O1164" s="293">
        <v>39691</v>
      </c>
      <c r="P1164" s="289" t="s">
        <v>3299</v>
      </c>
      <c r="Q1164" s="290">
        <v>1000</v>
      </c>
      <c r="R1164" s="290">
        <v>14030</v>
      </c>
      <c r="S1164" s="291">
        <v>1028.1600000000001</v>
      </c>
      <c r="T1164" s="290">
        <v>14036</v>
      </c>
      <c r="U1164" s="291">
        <v>1028.1600000000001</v>
      </c>
      <c r="V1164" s="291">
        <f t="shared" si="17"/>
        <v>0</v>
      </c>
      <c r="W1164" s="292">
        <v>0</v>
      </c>
      <c r="X1164" s="290">
        <v>51260</v>
      </c>
      <c r="Y1164" s="291">
        <v>0</v>
      </c>
      <c r="Z1164" s="289" t="s">
        <v>944</v>
      </c>
      <c r="AA1164" s="289"/>
      <c r="AB1164" s="289"/>
      <c r="AC1164" s="289"/>
      <c r="AD1164" s="289" t="s">
        <v>1446</v>
      </c>
      <c r="AE1164" s="289" t="s">
        <v>410</v>
      </c>
      <c r="AF1164" s="290" t="s">
        <v>1447</v>
      </c>
      <c r="AG1164" s="289"/>
      <c r="AH1164" s="290" t="s">
        <v>1448</v>
      </c>
      <c r="AI1164" s="289">
        <v>0</v>
      </c>
      <c r="AJ1164" s="289">
        <v>0</v>
      </c>
    </row>
    <row r="1165" spans="2:36">
      <c r="B1165" s="290">
        <v>2111</v>
      </c>
      <c r="C1165" s="294">
        <v>58826</v>
      </c>
      <c r="D1165" s="290" t="s">
        <v>944</v>
      </c>
      <c r="E1165" s="289" t="s">
        <v>3311</v>
      </c>
      <c r="F1165" s="290">
        <v>0</v>
      </c>
      <c r="G1165" s="289"/>
      <c r="H1165" s="289"/>
      <c r="I1165" s="289"/>
      <c r="J1165" s="289">
        <v>0</v>
      </c>
      <c r="K1165" s="289" t="s">
        <v>1657</v>
      </c>
      <c r="L1165" s="289"/>
      <c r="M1165" s="289"/>
      <c r="N1165" s="293">
        <v>39685</v>
      </c>
      <c r="O1165" s="293">
        <v>39685</v>
      </c>
      <c r="P1165" s="289" t="s">
        <v>3312</v>
      </c>
      <c r="Q1165" s="290">
        <v>300</v>
      </c>
      <c r="R1165" s="290">
        <v>14110</v>
      </c>
      <c r="S1165" s="291">
        <v>1462.97</v>
      </c>
      <c r="T1165" s="290">
        <v>14116</v>
      </c>
      <c r="U1165" s="291">
        <v>1462.97</v>
      </c>
      <c r="V1165" s="291">
        <f t="shared" si="17"/>
        <v>0</v>
      </c>
      <c r="W1165" s="292">
        <v>0</v>
      </c>
      <c r="X1165" s="290">
        <v>70260</v>
      </c>
      <c r="Y1165" s="291">
        <v>0</v>
      </c>
      <c r="Z1165" s="289" t="s">
        <v>944</v>
      </c>
      <c r="AA1165" s="289"/>
      <c r="AB1165" s="289" t="s">
        <v>3313</v>
      </c>
      <c r="AC1165" s="289"/>
      <c r="AD1165" s="289" t="s">
        <v>1446</v>
      </c>
      <c r="AE1165" s="289" t="s">
        <v>410</v>
      </c>
      <c r="AF1165" s="290" t="s">
        <v>1447</v>
      </c>
      <c r="AG1165" s="289"/>
      <c r="AH1165" s="290" t="s">
        <v>1448</v>
      </c>
      <c r="AI1165" s="289">
        <v>0</v>
      </c>
      <c r="AJ1165" s="289">
        <v>0</v>
      </c>
    </row>
    <row r="1166" spans="2:36">
      <c r="B1166" s="290">
        <v>2111</v>
      </c>
      <c r="C1166" s="294">
        <v>58774</v>
      </c>
      <c r="D1166" s="290" t="s">
        <v>944</v>
      </c>
      <c r="E1166" s="289" t="s">
        <v>3310</v>
      </c>
      <c r="F1166" s="290">
        <v>0</v>
      </c>
      <c r="G1166" s="289"/>
      <c r="H1166" s="289" t="s">
        <v>3314</v>
      </c>
      <c r="I1166" s="289"/>
      <c r="J1166" s="289">
        <v>10</v>
      </c>
      <c r="K1166" s="289" t="s">
        <v>2214</v>
      </c>
      <c r="L1166" s="289"/>
      <c r="M1166" s="289" t="s">
        <v>2662</v>
      </c>
      <c r="N1166" s="293">
        <v>39691</v>
      </c>
      <c r="O1166" s="293">
        <v>39691</v>
      </c>
      <c r="P1166" s="289" t="s">
        <v>3299</v>
      </c>
      <c r="Q1166" s="290">
        <v>1000</v>
      </c>
      <c r="R1166" s="290">
        <v>14030</v>
      </c>
      <c r="S1166" s="291">
        <v>116361.60000000001</v>
      </c>
      <c r="T1166" s="290">
        <v>14036</v>
      </c>
      <c r="U1166" s="291">
        <v>116361.60000000001</v>
      </c>
      <c r="V1166" s="291">
        <f t="shared" ref="V1166:V1229" si="18">S1166-U1166</f>
        <v>0</v>
      </c>
      <c r="W1166" s="292">
        <v>0</v>
      </c>
      <c r="X1166" s="290">
        <v>51260</v>
      </c>
      <c r="Y1166" s="291">
        <v>0</v>
      </c>
      <c r="Z1166" s="289" t="s">
        <v>944</v>
      </c>
      <c r="AA1166" s="289"/>
      <c r="AB1166" s="289"/>
      <c r="AC1166" s="289" t="s">
        <v>3315</v>
      </c>
      <c r="AD1166" s="289" t="s">
        <v>1446</v>
      </c>
      <c r="AE1166" s="289" t="s">
        <v>410</v>
      </c>
      <c r="AF1166" s="290" t="s">
        <v>1447</v>
      </c>
      <c r="AG1166" s="289"/>
      <c r="AH1166" s="290" t="s">
        <v>1448</v>
      </c>
      <c r="AI1166" s="289">
        <v>0</v>
      </c>
      <c r="AJ1166" s="289">
        <v>0</v>
      </c>
    </row>
    <row r="1167" spans="2:36">
      <c r="B1167" s="290">
        <v>2111</v>
      </c>
      <c r="C1167" s="294">
        <v>58549</v>
      </c>
      <c r="D1167" s="290" t="s">
        <v>944</v>
      </c>
      <c r="E1167" s="289" t="s">
        <v>3316</v>
      </c>
      <c r="F1167" s="290">
        <v>0</v>
      </c>
      <c r="G1167" s="289"/>
      <c r="H1167" s="289" t="s">
        <v>3280</v>
      </c>
      <c r="I1167" s="289"/>
      <c r="J1167" s="289">
        <v>2008</v>
      </c>
      <c r="K1167" s="289" t="s">
        <v>3317</v>
      </c>
      <c r="L1167" s="289" t="s">
        <v>2306</v>
      </c>
      <c r="M1167" s="289" t="s">
        <v>2306</v>
      </c>
      <c r="N1167" s="293">
        <v>39680</v>
      </c>
      <c r="O1167" s="293">
        <v>39680</v>
      </c>
      <c r="P1167" s="289" t="s">
        <v>3281</v>
      </c>
      <c r="Q1167" s="290">
        <v>900</v>
      </c>
      <c r="R1167" s="290">
        <v>14040</v>
      </c>
      <c r="S1167" s="291">
        <v>46818.35</v>
      </c>
      <c r="T1167" s="290">
        <v>14046</v>
      </c>
      <c r="U1167" s="291">
        <v>46818.35</v>
      </c>
      <c r="V1167" s="291">
        <f t="shared" si="18"/>
        <v>0</v>
      </c>
      <c r="W1167" s="292">
        <v>0</v>
      </c>
      <c r="X1167" s="290">
        <v>51260</v>
      </c>
      <c r="Y1167" s="291">
        <v>0</v>
      </c>
      <c r="Z1167" s="289" t="s">
        <v>944</v>
      </c>
      <c r="AA1167" s="289"/>
      <c r="AB1167" s="289" t="s">
        <v>3318</v>
      </c>
      <c r="AC1167" s="289">
        <v>126</v>
      </c>
      <c r="AD1167" s="289" t="s">
        <v>1446</v>
      </c>
      <c r="AE1167" s="289" t="s">
        <v>410</v>
      </c>
      <c r="AF1167" s="290" t="s">
        <v>1447</v>
      </c>
      <c r="AG1167" s="289"/>
      <c r="AH1167" s="290" t="s">
        <v>1448</v>
      </c>
      <c r="AI1167" s="289">
        <v>0</v>
      </c>
      <c r="AJ1167" s="289">
        <v>0</v>
      </c>
    </row>
    <row r="1168" spans="2:36">
      <c r="B1168" s="290">
        <v>2111</v>
      </c>
      <c r="C1168" s="294">
        <v>58436</v>
      </c>
      <c r="D1168" s="290" t="s">
        <v>944</v>
      </c>
      <c r="E1168" s="289" t="s">
        <v>3319</v>
      </c>
      <c r="F1168" s="290">
        <v>0</v>
      </c>
      <c r="G1168" s="289"/>
      <c r="H1168" s="289" t="s">
        <v>3320</v>
      </c>
      <c r="I1168" s="289"/>
      <c r="J1168" s="289">
        <v>2008</v>
      </c>
      <c r="K1168" s="289" t="s">
        <v>2300</v>
      </c>
      <c r="L1168" s="289" t="s">
        <v>1522</v>
      </c>
      <c r="M1168" s="289" t="s">
        <v>1495</v>
      </c>
      <c r="N1168" s="293">
        <v>39616</v>
      </c>
      <c r="O1168" s="293">
        <v>39616</v>
      </c>
      <c r="P1168" s="289" t="s">
        <v>3321</v>
      </c>
      <c r="Q1168" s="290">
        <v>1000</v>
      </c>
      <c r="R1168" s="290">
        <v>14040</v>
      </c>
      <c r="S1168" s="291">
        <v>232760.51</v>
      </c>
      <c r="T1168" s="290">
        <v>14046</v>
      </c>
      <c r="U1168" s="291">
        <v>232760.51</v>
      </c>
      <c r="V1168" s="291">
        <f t="shared" si="18"/>
        <v>0</v>
      </c>
      <c r="W1168" s="292">
        <v>0</v>
      </c>
      <c r="X1168" s="290">
        <v>51260</v>
      </c>
      <c r="Y1168" s="291">
        <v>0</v>
      </c>
      <c r="Z1168" s="289" t="s">
        <v>944</v>
      </c>
      <c r="AA1168" s="289"/>
      <c r="AB1168" s="289"/>
      <c r="AC1168" s="289">
        <v>814</v>
      </c>
      <c r="AD1168" s="289" t="s">
        <v>1446</v>
      </c>
      <c r="AE1168" s="289" t="s">
        <v>410</v>
      </c>
      <c r="AF1168" s="290" t="s">
        <v>1447</v>
      </c>
      <c r="AG1168" s="289"/>
      <c r="AH1168" s="290" t="s">
        <v>1448</v>
      </c>
      <c r="AI1168" s="289">
        <v>0</v>
      </c>
      <c r="AJ1168" s="289">
        <v>0</v>
      </c>
    </row>
    <row r="1169" spans="2:36">
      <c r="B1169" s="290">
        <v>2111</v>
      </c>
      <c r="C1169" s="294">
        <v>57894</v>
      </c>
      <c r="D1169" s="290">
        <v>57325</v>
      </c>
      <c r="E1169" s="289" t="s">
        <v>3322</v>
      </c>
      <c r="F1169" s="290">
        <v>0</v>
      </c>
      <c r="G1169" s="289"/>
      <c r="H1169" s="289"/>
      <c r="I1169" s="289"/>
      <c r="J1169" s="289">
        <v>0</v>
      </c>
      <c r="K1169" s="289" t="s">
        <v>2333</v>
      </c>
      <c r="L1169" s="289"/>
      <c r="M1169" s="289" t="s">
        <v>2428</v>
      </c>
      <c r="N1169" s="293">
        <v>39598</v>
      </c>
      <c r="O1169" s="293">
        <v>39598</v>
      </c>
      <c r="P1169" s="289" t="s">
        <v>3323</v>
      </c>
      <c r="Q1169" s="290">
        <v>500</v>
      </c>
      <c r="R1169" s="290">
        <v>14070</v>
      </c>
      <c r="S1169" s="291">
        <v>12000</v>
      </c>
      <c r="T1169" s="290">
        <v>14076</v>
      </c>
      <c r="U1169" s="291">
        <v>12000</v>
      </c>
      <c r="V1169" s="291">
        <f t="shared" si="18"/>
        <v>0</v>
      </c>
      <c r="W1169" s="292">
        <v>0</v>
      </c>
      <c r="X1169" s="290">
        <v>51260</v>
      </c>
      <c r="Y1169" s="291">
        <v>0</v>
      </c>
      <c r="Z1169" s="289" t="s">
        <v>944</v>
      </c>
      <c r="AA1169" s="289"/>
      <c r="AB1169" s="289" t="s">
        <v>3324</v>
      </c>
      <c r="AC1169" s="289"/>
      <c r="AD1169" s="289" t="s">
        <v>1446</v>
      </c>
      <c r="AE1169" s="289" t="s">
        <v>410</v>
      </c>
      <c r="AF1169" s="290" t="s">
        <v>1447</v>
      </c>
      <c r="AG1169" s="289"/>
      <c r="AH1169" s="290" t="s">
        <v>1448</v>
      </c>
      <c r="AI1169" s="289">
        <v>0</v>
      </c>
      <c r="AJ1169" s="289">
        <v>0</v>
      </c>
    </row>
    <row r="1170" spans="2:36">
      <c r="B1170" s="290">
        <v>2111</v>
      </c>
      <c r="C1170" s="294">
        <v>57822</v>
      </c>
      <c r="D1170" s="290">
        <v>50359</v>
      </c>
      <c r="E1170" s="289" t="s">
        <v>3325</v>
      </c>
      <c r="F1170" s="290">
        <v>0</v>
      </c>
      <c r="G1170" s="289"/>
      <c r="H1170" s="289">
        <v>0</v>
      </c>
      <c r="I1170" s="289"/>
      <c r="J1170" s="289">
        <v>0</v>
      </c>
      <c r="K1170" s="289"/>
      <c r="L1170" s="289"/>
      <c r="M1170" s="289" t="s">
        <v>2428</v>
      </c>
      <c r="N1170" s="293">
        <v>39448</v>
      </c>
      <c r="O1170" s="293">
        <v>39448</v>
      </c>
      <c r="P1170" s="289" t="s">
        <v>3326</v>
      </c>
      <c r="Q1170" s="290">
        <v>11</v>
      </c>
      <c r="R1170" s="290">
        <v>14090</v>
      </c>
      <c r="S1170" s="291">
        <v>-3745.44</v>
      </c>
      <c r="T1170" s="290">
        <v>14096</v>
      </c>
      <c r="U1170" s="291">
        <v>-3745.44</v>
      </c>
      <c r="V1170" s="291">
        <f t="shared" si="18"/>
        <v>0</v>
      </c>
      <c r="W1170" s="292">
        <v>0</v>
      </c>
      <c r="X1170" s="290">
        <v>57260</v>
      </c>
      <c r="Y1170" s="291">
        <v>0</v>
      </c>
      <c r="Z1170" s="289" t="s">
        <v>12</v>
      </c>
      <c r="AA1170" s="289"/>
      <c r="AB1170" s="289" t="s">
        <v>3327</v>
      </c>
      <c r="AC1170" s="289"/>
      <c r="AD1170" s="289" t="s">
        <v>1446</v>
      </c>
      <c r="AE1170" s="289" t="s">
        <v>410</v>
      </c>
      <c r="AF1170" s="290" t="s">
        <v>1447</v>
      </c>
      <c r="AG1170" s="289"/>
      <c r="AH1170" s="290" t="s">
        <v>1448</v>
      </c>
      <c r="AI1170" s="289">
        <v>0</v>
      </c>
      <c r="AJ1170" s="289">
        <v>0</v>
      </c>
    </row>
    <row r="1171" spans="2:36">
      <c r="B1171" s="290">
        <v>2111</v>
      </c>
      <c r="C1171" s="294">
        <v>57735</v>
      </c>
      <c r="D1171" s="290" t="s">
        <v>944</v>
      </c>
      <c r="E1171" s="289" t="s">
        <v>3328</v>
      </c>
      <c r="F1171" s="290">
        <v>486</v>
      </c>
      <c r="G1171" s="289"/>
      <c r="H1171" s="289"/>
      <c r="I1171" s="289"/>
      <c r="J1171" s="289">
        <v>0</v>
      </c>
      <c r="K1171" s="289" t="s">
        <v>2245</v>
      </c>
      <c r="L1171" s="289"/>
      <c r="M1171" s="289"/>
      <c r="N1171" s="293">
        <v>39601</v>
      </c>
      <c r="O1171" s="293">
        <v>39601</v>
      </c>
      <c r="P1171" s="289" t="s">
        <v>3295</v>
      </c>
      <c r="Q1171" s="290">
        <v>700</v>
      </c>
      <c r="R1171" s="290">
        <v>14050</v>
      </c>
      <c r="S1171" s="291">
        <v>29335</v>
      </c>
      <c r="T1171" s="290">
        <v>14056</v>
      </c>
      <c r="U1171" s="291">
        <v>29335</v>
      </c>
      <c r="V1171" s="291">
        <f t="shared" si="18"/>
        <v>0</v>
      </c>
      <c r="W1171" s="292">
        <v>0</v>
      </c>
      <c r="X1171" s="290">
        <v>54260</v>
      </c>
      <c r="Y1171" s="291">
        <v>0</v>
      </c>
      <c r="Z1171" s="289" t="s">
        <v>944</v>
      </c>
      <c r="AA1171" s="289"/>
      <c r="AB1171" s="289" t="s">
        <v>3329</v>
      </c>
      <c r="AC1171" s="289"/>
      <c r="AD1171" s="289" t="s">
        <v>1446</v>
      </c>
      <c r="AE1171" s="289" t="s">
        <v>410</v>
      </c>
      <c r="AF1171" s="290" t="s">
        <v>1447</v>
      </c>
      <c r="AG1171" s="289"/>
      <c r="AH1171" s="290" t="s">
        <v>1448</v>
      </c>
      <c r="AI1171" s="289">
        <v>0</v>
      </c>
      <c r="AJ1171" s="289">
        <v>0</v>
      </c>
    </row>
    <row r="1172" spans="2:36">
      <c r="B1172" s="290">
        <v>2111</v>
      </c>
      <c r="C1172" s="294">
        <v>57734</v>
      </c>
      <c r="D1172" s="290" t="s">
        <v>944</v>
      </c>
      <c r="E1172" s="289" t="s">
        <v>3330</v>
      </c>
      <c r="F1172" s="290">
        <v>486</v>
      </c>
      <c r="G1172" s="289"/>
      <c r="H1172" s="289"/>
      <c r="I1172" s="289"/>
      <c r="J1172" s="289">
        <v>0</v>
      </c>
      <c r="K1172" s="289" t="s">
        <v>2245</v>
      </c>
      <c r="L1172" s="289"/>
      <c r="M1172" s="289"/>
      <c r="N1172" s="293">
        <v>39601</v>
      </c>
      <c r="O1172" s="293">
        <v>39601</v>
      </c>
      <c r="P1172" s="289" t="s">
        <v>3331</v>
      </c>
      <c r="Q1172" s="290">
        <v>700</v>
      </c>
      <c r="R1172" s="290">
        <v>14050</v>
      </c>
      <c r="S1172" s="291">
        <v>28400.13</v>
      </c>
      <c r="T1172" s="290">
        <v>14056</v>
      </c>
      <c r="U1172" s="291">
        <v>28400.13</v>
      </c>
      <c r="V1172" s="291">
        <f t="shared" si="18"/>
        <v>0</v>
      </c>
      <c r="W1172" s="292">
        <v>0</v>
      </c>
      <c r="X1172" s="290">
        <v>54260</v>
      </c>
      <c r="Y1172" s="291">
        <v>0</v>
      </c>
      <c r="Z1172" s="289" t="s">
        <v>944</v>
      </c>
      <c r="AA1172" s="289"/>
      <c r="AB1172" s="289" t="s">
        <v>3332</v>
      </c>
      <c r="AC1172" s="289"/>
      <c r="AD1172" s="289" t="s">
        <v>1446</v>
      </c>
      <c r="AE1172" s="289" t="s">
        <v>410</v>
      </c>
      <c r="AF1172" s="290" t="s">
        <v>1447</v>
      </c>
      <c r="AG1172" s="289"/>
      <c r="AH1172" s="290" t="s">
        <v>1448</v>
      </c>
      <c r="AI1172" s="289">
        <v>0</v>
      </c>
      <c r="AJ1172" s="289">
        <v>0</v>
      </c>
    </row>
    <row r="1173" spans="2:36">
      <c r="B1173" s="290">
        <v>2111</v>
      </c>
      <c r="C1173" s="294">
        <v>57733</v>
      </c>
      <c r="D1173" s="290" t="s">
        <v>944</v>
      </c>
      <c r="E1173" s="289" t="s">
        <v>3330</v>
      </c>
      <c r="F1173" s="290">
        <v>486</v>
      </c>
      <c r="G1173" s="289"/>
      <c r="H1173" s="289"/>
      <c r="I1173" s="289"/>
      <c r="J1173" s="289">
        <v>0</v>
      </c>
      <c r="K1173" s="289" t="s">
        <v>2245</v>
      </c>
      <c r="L1173" s="289"/>
      <c r="M1173" s="289"/>
      <c r="N1173" s="293">
        <v>39601</v>
      </c>
      <c r="O1173" s="293">
        <v>39601</v>
      </c>
      <c r="P1173" s="289" t="s">
        <v>3331</v>
      </c>
      <c r="Q1173" s="290">
        <v>700</v>
      </c>
      <c r="R1173" s="290">
        <v>14050</v>
      </c>
      <c r="S1173" s="291">
        <v>28400.13</v>
      </c>
      <c r="T1173" s="290">
        <v>14056</v>
      </c>
      <c r="U1173" s="291">
        <v>28400.13</v>
      </c>
      <c r="V1173" s="291">
        <f t="shared" si="18"/>
        <v>0</v>
      </c>
      <c r="W1173" s="292">
        <v>0</v>
      </c>
      <c r="X1173" s="290">
        <v>54260</v>
      </c>
      <c r="Y1173" s="291">
        <v>0</v>
      </c>
      <c r="Z1173" s="289" t="s">
        <v>944</v>
      </c>
      <c r="AA1173" s="289"/>
      <c r="AB1173" s="289" t="s">
        <v>3333</v>
      </c>
      <c r="AC1173" s="289"/>
      <c r="AD1173" s="289" t="s">
        <v>1446</v>
      </c>
      <c r="AE1173" s="289" t="s">
        <v>410</v>
      </c>
      <c r="AF1173" s="290" t="s">
        <v>1447</v>
      </c>
      <c r="AG1173" s="289"/>
      <c r="AH1173" s="290" t="s">
        <v>1448</v>
      </c>
      <c r="AI1173" s="289">
        <v>0</v>
      </c>
      <c r="AJ1173" s="289">
        <v>0</v>
      </c>
    </row>
    <row r="1174" spans="2:36">
      <c r="B1174" s="290">
        <v>2111</v>
      </c>
      <c r="C1174" s="294">
        <v>57375</v>
      </c>
      <c r="D1174" s="290">
        <v>57325</v>
      </c>
      <c r="E1174" s="289" t="s">
        <v>3334</v>
      </c>
      <c r="F1174" s="290">
        <v>0</v>
      </c>
      <c r="G1174" s="289"/>
      <c r="H1174" s="289"/>
      <c r="I1174" s="289"/>
      <c r="J1174" s="289">
        <v>0</v>
      </c>
      <c r="K1174" s="289" t="s">
        <v>2333</v>
      </c>
      <c r="L1174" s="289"/>
      <c r="M1174" s="289"/>
      <c r="N1174" s="293">
        <v>39599</v>
      </c>
      <c r="O1174" s="293">
        <v>39599</v>
      </c>
      <c r="P1174" s="289" t="s">
        <v>2401</v>
      </c>
      <c r="Q1174" s="290">
        <v>500</v>
      </c>
      <c r="R1174" s="290">
        <v>14070</v>
      </c>
      <c r="S1174" s="291">
        <v>19635.47</v>
      </c>
      <c r="T1174" s="290">
        <v>14076</v>
      </c>
      <c r="U1174" s="291">
        <v>19635.47</v>
      </c>
      <c r="V1174" s="291">
        <f t="shared" si="18"/>
        <v>0</v>
      </c>
      <c r="W1174" s="292">
        <v>0</v>
      </c>
      <c r="X1174" s="290">
        <v>51260</v>
      </c>
      <c r="Y1174" s="291">
        <v>0</v>
      </c>
      <c r="Z1174" s="289" t="s">
        <v>944</v>
      </c>
      <c r="AA1174" s="289"/>
      <c r="AB1174" s="289" t="s">
        <v>2402</v>
      </c>
      <c r="AC1174" s="289"/>
      <c r="AD1174" s="289" t="s">
        <v>1446</v>
      </c>
      <c r="AE1174" s="289" t="s">
        <v>410</v>
      </c>
      <c r="AF1174" s="290" t="s">
        <v>1447</v>
      </c>
      <c r="AG1174" s="295">
        <v>39599</v>
      </c>
      <c r="AH1174" s="290" t="s">
        <v>1448</v>
      </c>
      <c r="AI1174" s="289">
        <v>6</v>
      </c>
      <c r="AJ1174" s="289">
        <v>0</v>
      </c>
    </row>
    <row r="1175" spans="2:36">
      <c r="B1175" s="290">
        <v>2111</v>
      </c>
      <c r="C1175" s="294">
        <v>57325</v>
      </c>
      <c r="D1175" s="290" t="s">
        <v>944</v>
      </c>
      <c r="E1175" s="289" t="s">
        <v>3335</v>
      </c>
      <c r="F1175" s="290">
        <v>0</v>
      </c>
      <c r="G1175" s="289"/>
      <c r="H1175" s="289"/>
      <c r="I1175" s="289"/>
      <c r="J1175" s="289">
        <v>0</v>
      </c>
      <c r="K1175" s="289" t="s">
        <v>2333</v>
      </c>
      <c r="L1175" s="289"/>
      <c r="M1175" s="289"/>
      <c r="N1175" s="293">
        <v>39599</v>
      </c>
      <c r="O1175" s="293">
        <v>39599</v>
      </c>
      <c r="P1175" s="289" t="s">
        <v>2401</v>
      </c>
      <c r="Q1175" s="290">
        <v>500</v>
      </c>
      <c r="R1175" s="290">
        <v>14070</v>
      </c>
      <c r="S1175" s="291">
        <v>538.6</v>
      </c>
      <c r="T1175" s="290">
        <v>14076</v>
      </c>
      <c r="U1175" s="291">
        <v>538.6</v>
      </c>
      <c r="V1175" s="291">
        <f t="shared" si="18"/>
        <v>0</v>
      </c>
      <c r="W1175" s="292">
        <v>0</v>
      </c>
      <c r="X1175" s="290">
        <v>51260</v>
      </c>
      <c r="Y1175" s="291">
        <v>0</v>
      </c>
      <c r="Z1175" s="289" t="s">
        <v>944</v>
      </c>
      <c r="AA1175" s="289"/>
      <c r="AB1175" s="289" t="s">
        <v>3336</v>
      </c>
      <c r="AC1175" s="289"/>
      <c r="AD1175" s="289" t="s">
        <v>1446</v>
      </c>
      <c r="AE1175" s="289" t="s">
        <v>410</v>
      </c>
      <c r="AF1175" s="290" t="s">
        <v>1447</v>
      </c>
      <c r="AG1175" s="289"/>
      <c r="AH1175" s="290" t="s">
        <v>1448</v>
      </c>
      <c r="AI1175" s="289">
        <v>0</v>
      </c>
      <c r="AJ1175" s="289">
        <v>0</v>
      </c>
    </row>
    <row r="1176" spans="2:36">
      <c r="B1176" s="290">
        <v>2111</v>
      </c>
      <c r="C1176" s="294">
        <v>56988</v>
      </c>
      <c r="D1176" s="290" t="s">
        <v>944</v>
      </c>
      <c r="E1176" s="289" t="s">
        <v>2288</v>
      </c>
      <c r="F1176" s="290">
        <v>427</v>
      </c>
      <c r="G1176" s="289"/>
      <c r="H1176" s="289"/>
      <c r="I1176" s="289"/>
      <c r="J1176" s="289">
        <v>0</v>
      </c>
      <c r="K1176" s="289" t="s">
        <v>3337</v>
      </c>
      <c r="L1176" s="289"/>
      <c r="M1176" s="289"/>
      <c r="N1176" s="293">
        <v>39449</v>
      </c>
      <c r="O1176" s="293">
        <v>39449</v>
      </c>
      <c r="P1176" s="289" t="s">
        <v>3331</v>
      </c>
      <c r="Q1176" s="290">
        <v>700</v>
      </c>
      <c r="R1176" s="290">
        <v>14050</v>
      </c>
      <c r="S1176" s="291">
        <v>22067.360000000001</v>
      </c>
      <c r="T1176" s="290">
        <v>14056</v>
      </c>
      <c r="U1176" s="291">
        <v>22067.360000000001</v>
      </c>
      <c r="V1176" s="291">
        <f t="shared" si="18"/>
        <v>0</v>
      </c>
      <c r="W1176" s="292">
        <v>0</v>
      </c>
      <c r="X1176" s="290">
        <v>54260</v>
      </c>
      <c r="Y1176" s="291">
        <v>0</v>
      </c>
      <c r="Z1176" s="289" t="s">
        <v>944</v>
      </c>
      <c r="AA1176" s="289"/>
      <c r="AB1176" s="289" t="s">
        <v>3338</v>
      </c>
      <c r="AC1176" s="289"/>
      <c r="AD1176" s="289" t="s">
        <v>1446</v>
      </c>
      <c r="AE1176" s="289" t="s">
        <v>410</v>
      </c>
      <c r="AF1176" s="290" t="s">
        <v>1447</v>
      </c>
      <c r="AG1176" s="289"/>
      <c r="AH1176" s="290" t="s">
        <v>1448</v>
      </c>
      <c r="AI1176" s="289">
        <v>0</v>
      </c>
      <c r="AJ1176" s="289">
        <v>0</v>
      </c>
    </row>
    <row r="1177" spans="2:36">
      <c r="B1177" s="290">
        <v>2111</v>
      </c>
      <c r="C1177" s="294">
        <v>56642</v>
      </c>
      <c r="D1177" s="290" t="s">
        <v>944</v>
      </c>
      <c r="E1177" s="289" t="s">
        <v>3339</v>
      </c>
      <c r="F1177" s="290">
        <v>486</v>
      </c>
      <c r="G1177" s="289"/>
      <c r="H1177" s="289"/>
      <c r="I1177" s="289"/>
      <c r="J1177" s="289">
        <v>0</v>
      </c>
      <c r="K1177" s="289" t="s">
        <v>2245</v>
      </c>
      <c r="L1177" s="289"/>
      <c r="M1177" s="289"/>
      <c r="N1177" s="293">
        <v>39546</v>
      </c>
      <c r="O1177" s="293">
        <v>39546</v>
      </c>
      <c r="P1177" s="289" t="s">
        <v>3295</v>
      </c>
      <c r="Q1177" s="290">
        <v>700</v>
      </c>
      <c r="R1177" s="290">
        <v>14050</v>
      </c>
      <c r="S1177" s="291">
        <v>29457.67</v>
      </c>
      <c r="T1177" s="290">
        <v>14056</v>
      </c>
      <c r="U1177" s="291">
        <v>29457.67</v>
      </c>
      <c r="V1177" s="291">
        <f t="shared" si="18"/>
        <v>0</v>
      </c>
      <c r="W1177" s="292">
        <v>0</v>
      </c>
      <c r="X1177" s="290">
        <v>54260</v>
      </c>
      <c r="Y1177" s="291">
        <v>0</v>
      </c>
      <c r="Z1177" s="289" t="s">
        <v>944</v>
      </c>
      <c r="AA1177" s="289"/>
      <c r="AB1177" s="289" t="s">
        <v>3340</v>
      </c>
      <c r="AC1177" s="289"/>
      <c r="AD1177" s="289" t="s">
        <v>1446</v>
      </c>
      <c r="AE1177" s="289" t="s">
        <v>410</v>
      </c>
      <c r="AF1177" s="290" t="s">
        <v>1447</v>
      </c>
      <c r="AG1177" s="289"/>
      <c r="AH1177" s="290" t="s">
        <v>1448</v>
      </c>
      <c r="AI1177" s="289">
        <v>0</v>
      </c>
      <c r="AJ1177" s="289">
        <v>0</v>
      </c>
    </row>
    <row r="1178" spans="2:36">
      <c r="B1178" s="290">
        <v>2111</v>
      </c>
      <c r="C1178" s="294">
        <v>56426</v>
      </c>
      <c r="D1178" s="290" t="s">
        <v>944</v>
      </c>
      <c r="E1178" s="289" t="s">
        <v>3341</v>
      </c>
      <c r="F1178" s="290">
        <v>0</v>
      </c>
      <c r="G1178" s="289"/>
      <c r="H1178" s="289"/>
      <c r="I1178" s="289"/>
      <c r="J1178" s="289">
        <v>0</v>
      </c>
      <c r="K1178" s="289"/>
      <c r="L1178" s="289"/>
      <c r="M1178" s="289"/>
      <c r="N1178" s="293">
        <v>39448</v>
      </c>
      <c r="O1178" s="293">
        <v>39448</v>
      </c>
      <c r="P1178" s="289"/>
      <c r="Q1178" s="290">
        <v>1000</v>
      </c>
      <c r="R1178" s="290">
        <v>14080</v>
      </c>
      <c r="S1178" s="291">
        <v>253974.7</v>
      </c>
      <c r="T1178" s="290">
        <v>14086</v>
      </c>
      <c r="U1178" s="291">
        <v>253974.7</v>
      </c>
      <c r="V1178" s="291">
        <f t="shared" si="18"/>
        <v>0</v>
      </c>
      <c r="W1178" s="292">
        <v>0</v>
      </c>
      <c r="X1178" s="290">
        <v>57260</v>
      </c>
      <c r="Y1178" s="291">
        <v>0</v>
      </c>
      <c r="Z1178" s="289" t="s">
        <v>944</v>
      </c>
      <c r="AA1178" s="289">
        <v>0</v>
      </c>
      <c r="AB1178" s="289"/>
      <c r="AC1178" s="289"/>
      <c r="AD1178" s="289" t="s">
        <v>1446</v>
      </c>
      <c r="AE1178" s="289" t="s">
        <v>410</v>
      </c>
      <c r="AF1178" s="290" t="s">
        <v>1447</v>
      </c>
      <c r="AG1178" s="289"/>
      <c r="AH1178" s="290" t="s">
        <v>1448</v>
      </c>
      <c r="AI1178" s="289">
        <v>0</v>
      </c>
      <c r="AJ1178" s="289">
        <v>0</v>
      </c>
    </row>
    <row r="1179" spans="2:36">
      <c r="B1179" s="290">
        <v>2111</v>
      </c>
      <c r="C1179" s="294">
        <v>55944</v>
      </c>
      <c r="D1179" s="290" t="s">
        <v>944</v>
      </c>
      <c r="E1179" s="289" t="s">
        <v>3342</v>
      </c>
      <c r="F1179" s="290">
        <v>10</v>
      </c>
      <c r="G1179" s="289"/>
      <c r="H1179" s="289"/>
      <c r="I1179" s="289"/>
      <c r="J1179" s="289">
        <v>0</v>
      </c>
      <c r="K1179" s="289" t="s">
        <v>2403</v>
      </c>
      <c r="L1179" s="289"/>
      <c r="M1179" s="289" t="s">
        <v>1662</v>
      </c>
      <c r="N1179" s="293">
        <v>39454</v>
      </c>
      <c r="O1179" s="293">
        <v>39454</v>
      </c>
      <c r="P1179" s="289" t="s">
        <v>3343</v>
      </c>
      <c r="Q1179" s="290">
        <v>1200</v>
      </c>
      <c r="R1179" s="290">
        <v>14050</v>
      </c>
      <c r="S1179" s="291">
        <v>8051</v>
      </c>
      <c r="T1179" s="290">
        <v>14056</v>
      </c>
      <c r="U1179" s="291">
        <v>8051</v>
      </c>
      <c r="V1179" s="291">
        <f t="shared" si="18"/>
        <v>0</v>
      </c>
      <c r="W1179" s="292">
        <v>0</v>
      </c>
      <c r="X1179" s="290">
        <v>54260</v>
      </c>
      <c r="Y1179" s="291">
        <v>0</v>
      </c>
      <c r="Z1179" s="289" t="s">
        <v>944</v>
      </c>
      <c r="AA1179" s="289"/>
      <c r="AB1179" s="289">
        <v>3663</v>
      </c>
      <c r="AC1179" s="289"/>
      <c r="AD1179" s="289" t="s">
        <v>1446</v>
      </c>
      <c r="AE1179" s="289" t="s">
        <v>410</v>
      </c>
      <c r="AF1179" s="290" t="s">
        <v>1447</v>
      </c>
      <c r="AG1179" s="289"/>
      <c r="AH1179" s="290" t="s">
        <v>1448</v>
      </c>
      <c r="AI1179" s="289">
        <v>0</v>
      </c>
      <c r="AJ1179" s="289">
        <v>0</v>
      </c>
    </row>
    <row r="1180" spans="2:36">
      <c r="B1180" s="290">
        <v>2111</v>
      </c>
      <c r="C1180" s="294">
        <v>54744</v>
      </c>
      <c r="D1180" s="290" t="s">
        <v>944</v>
      </c>
      <c r="E1180" s="289" t="s">
        <v>3344</v>
      </c>
      <c r="F1180" s="290">
        <v>427</v>
      </c>
      <c r="G1180" s="289"/>
      <c r="H1180" s="289">
        <v>0</v>
      </c>
      <c r="I1180" s="289"/>
      <c r="J1180" s="289">
        <v>0</v>
      </c>
      <c r="K1180" s="289" t="s">
        <v>3337</v>
      </c>
      <c r="L1180" s="289"/>
      <c r="M1180" s="289"/>
      <c r="N1180" s="293">
        <v>39443</v>
      </c>
      <c r="O1180" s="293">
        <v>39443</v>
      </c>
      <c r="P1180" s="289" t="s">
        <v>3345</v>
      </c>
      <c r="Q1180" s="290">
        <v>700</v>
      </c>
      <c r="R1180" s="290">
        <v>14050</v>
      </c>
      <c r="S1180" s="291">
        <v>25797.360000000001</v>
      </c>
      <c r="T1180" s="290">
        <v>14056</v>
      </c>
      <c r="U1180" s="291">
        <v>25797.360000000001</v>
      </c>
      <c r="V1180" s="291">
        <f t="shared" si="18"/>
        <v>0</v>
      </c>
      <c r="W1180" s="292">
        <v>0</v>
      </c>
      <c r="X1180" s="290">
        <v>54260</v>
      </c>
      <c r="Y1180" s="291">
        <v>0</v>
      </c>
      <c r="Z1180" s="289" t="s">
        <v>944</v>
      </c>
      <c r="AA1180" s="289"/>
      <c r="AB1180" s="289" t="s">
        <v>3346</v>
      </c>
      <c r="AC1180" s="289"/>
      <c r="AD1180" s="289" t="s">
        <v>1446</v>
      </c>
      <c r="AE1180" s="289" t="s">
        <v>410</v>
      </c>
      <c r="AF1180" s="290" t="s">
        <v>1447</v>
      </c>
      <c r="AG1180" s="289"/>
      <c r="AH1180" s="290" t="s">
        <v>1448</v>
      </c>
      <c r="AI1180" s="289">
        <v>0</v>
      </c>
      <c r="AJ1180" s="289">
        <v>0</v>
      </c>
    </row>
    <row r="1181" spans="2:36">
      <c r="B1181" s="290">
        <v>2111</v>
      </c>
      <c r="C1181" s="294">
        <v>54694</v>
      </c>
      <c r="D1181" s="290" t="s">
        <v>944</v>
      </c>
      <c r="E1181" s="289" t="s">
        <v>3347</v>
      </c>
      <c r="F1181" s="290">
        <v>10</v>
      </c>
      <c r="G1181" s="289"/>
      <c r="H1181" s="289">
        <v>0</v>
      </c>
      <c r="I1181" s="289"/>
      <c r="J1181" s="289">
        <v>0</v>
      </c>
      <c r="K1181" s="289" t="s">
        <v>2403</v>
      </c>
      <c r="L1181" s="289"/>
      <c r="M1181" s="289" t="s">
        <v>1665</v>
      </c>
      <c r="N1181" s="293">
        <v>39436</v>
      </c>
      <c r="O1181" s="293">
        <v>39436</v>
      </c>
      <c r="P1181" s="289" t="s">
        <v>3348</v>
      </c>
      <c r="Q1181" s="290">
        <v>1200</v>
      </c>
      <c r="R1181" s="290">
        <v>14050</v>
      </c>
      <c r="S1181" s="291">
        <v>4580.4799999999996</v>
      </c>
      <c r="T1181" s="290">
        <v>14056</v>
      </c>
      <c r="U1181" s="291">
        <v>4580.4799999999996</v>
      </c>
      <c r="V1181" s="291">
        <f t="shared" si="18"/>
        <v>0</v>
      </c>
      <c r="W1181" s="292">
        <v>0</v>
      </c>
      <c r="X1181" s="290">
        <v>54260</v>
      </c>
      <c r="Y1181" s="291">
        <v>0</v>
      </c>
      <c r="Z1181" s="289" t="s">
        <v>944</v>
      </c>
      <c r="AA1181" s="289"/>
      <c r="AB1181" s="289">
        <v>3650</v>
      </c>
      <c r="AC1181" s="289"/>
      <c r="AD1181" s="289" t="s">
        <v>1446</v>
      </c>
      <c r="AE1181" s="289" t="s">
        <v>410</v>
      </c>
      <c r="AF1181" s="290" t="s">
        <v>1447</v>
      </c>
      <c r="AG1181" s="289"/>
      <c r="AH1181" s="290" t="s">
        <v>1448</v>
      </c>
      <c r="AI1181" s="289">
        <v>0</v>
      </c>
      <c r="AJ1181" s="289">
        <v>0</v>
      </c>
    </row>
    <row r="1182" spans="2:36">
      <c r="B1182" s="290">
        <v>2111</v>
      </c>
      <c r="C1182" s="294">
        <v>54079</v>
      </c>
      <c r="D1182" s="290">
        <v>57130</v>
      </c>
      <c r="E1182" s="289" t="s">
        <v>3349</v>
      </c>
      <c r="F1182" s="290">
        <v>0</v>
      </c>
      <c r="G1182" s="289"/>
      <c r="H1182" s="289" t="s">
        <v>3254</v>
      </c>
      <c r="I1182" s="289"/>
      <c r="J1182" s="289">
        <v>2007</v>
      </c>
      <c r="K1182" s="289"/>
      <c r="L1182" s="289"/>
      <c r="M1182" s="289" t="s">
        <v>1746</v>
      </c>
      <c r="N1182" s="293">
        <v>39396</v>
      </c>
      <c r="O1182" s="293">
        <v>39396</v>
      </c>
      <c r="P1182" s="289" t="s">
        <v>3350</v>
      </c>
      <c r="Q1182" s="290">
        <v>1000</v>
      </c>
      <c r="R1182" s="290">
        <v>14040</v>
      </c>
      <c r="S1182" s="291">
        <v>61630.89</v>
      </c>
      <c r="T1182" s="290">
        <v>14046</v>
      </c>
      <c r="U1182" s="291">
        <v>61630.89</v>
      </c>
      <c r="V1182" s="291">
        <f t="shared" si="18"/>
        <v>0</v>
      </c>
      <c r="W1182" s="292">
        <v>0</v>
      </c>
      <c r="X1182" s="290">
        <v>51260</v>
      </c>
      <c r="Y1182" s="291">
        <v>0</v>
      </c>
      <c r="Z1182" s="289" t="s">
        <v>944</v>
      </c>
      <c r="AA1182" s="289">
        <v>0</v>
      </c>
      <c r="AB1182" s="289">
        <v>526228</v>
      </c>
      <c r="AC1182" s="289"/>
      <c r="AD1182" s="289" t="s">
        <v>1446</v>
      </c>
      <c r="AE1182" s="289" t="s">
        <v>410</v>
      </c>
      <c r="AF1182" s="290" t="s">
        <v>1447</v>
      </c>
      <c r="AG1182" s="289"/>
      <c r="AH1182" s="290" t="s">
        <v>1448</v>
      </c>
      <c r="AI1182" s="289">
        <v>0</v>
      </c>
      <c r="AJ1182" s="289">
        <v>0</v>
      </c>
    </row>
    <row r="1183" spans="2:36">
      <c r="B1183" s="290">
        <v>2111</v>
      </c>
      <c r="C1183" s="294">
        <v>53724</v>
      </c>
      <c r="D1183" s="290">
        <v>6680</v>
      </c>
      <c r="E1183" s="289" t="s">
        <v>3351</v>
      </c>
      <c r="F1183" s="290">
        <v>0</v>
      </c>
      <c r="G1183" s="289"/>
      <c r="H1183" s="289">
        <v>0</v>
      </c>
      <c r="I1183" s="289"/>
      <c r="J1183" s="289">
        <v>0</v>
      </c>
      <c r="K1183" s="289" t="s">
        <v>3352</v>
      </c>
      <c r="L1183" s="289"/>
      <c r="M1183" s="289"/>
      <c r="N1183" s="293">
        <v>39367</v>
      </c>
      <c r="O1183" s="293">
        <v>39367</v>
      </c>
      <c r="P1183" s="289" t="s">
        <v>3353</v>
      </c>
      <c r="Q1183" s="290">
        <v>500</v>
      </c>
      <c r="R1183" s="290">
        <v>14080</v>
      </c>
      <c r="S1183" s="291">
        <v>4068.5</v>
      </c>
      <c r="T1183" s="290">
        <v>14086</v>
      </c>
      <c r="U1183" s="291">
        <v>4068.5</v>
      </c>
      <c r="V1183" s="291">
        <f t="shared" si="18"/>
        <v>0</v>
      </c>
      <c r="W1183" s="292">
        <v>0</v>
      </c>
      <c r="X1183" s="290">
        <v>57260</v>
      </c>
      <c r="Y1183" s="291">
        <v>0</v>
      </c>
      <c r="Z1183" s="289" t="s">
        <v>944</v>
      </c>
      <c r="AA1183" s="289"/>
      <c r="AB1183" s="289" t="s">
        <v>3354</v>
      </c>
      <c r="AC1183" s="289"/>
      <c r="AD1183" s="289" t="s">
        <v>1446</v>
      </c>
      <c r="AE1183" s="289" t="s">
        <v>410</v>
      </c>
      <c r="AF1183" s="290" t="s">
        <v>1447</v>
      </c>
      <c r="AG1183" s="289"/>
      <c r="AH1183" s="290" t="s">
        <v>1448</v>
      </c>
      <c r="AI1183" s="289">
        <v>0</v>
      </c>
      <c r="AJ1183" s="289">
        <v>0</v>
      </c>
    </row>
    <row r="1184" spans="2:36">
      <c r="B1184" s="290">
        <v>2111</v>
      </c>
      <c r="C1184" s="294">
        <v>53367</v>
      </c>
      <c r="D1184" s="290" t="s">
        <v>944</v>
      </c>
      <c r="E1184" s="289" t="s">
        <v>593</v>
      </c>
      <c r="F1184" s="290">
        <v>486</v>
      </c>
      <c r="G1184" s="289"/>
      <c r="H1184" s="289">
        <v>0</v>
      </c>
      <c r="I1184" s="289"/>
      <c r="J1184" s="289">
        <v>0</v>
      </c>
      <c r="K1184" s="289" t="s">
        <v>2245</v>
      </c>
      <c r="L1184" s="289"/>
      <c r="M1184" s="289"/>
      <c r="N1184" s="293">
        <v>39378</v>
      </c>
      <c r="O1184" s="293">
        <v>39378</v>
      </c>
      <c r="P1184" s="289" t="s">
        <v>3355</v>
      </c>
      <c r="Q1184" s="290">
        <v>700</v>
      </c>
      <c r="R1184" s="290">
        <v>14050</v>
      </c>
      <c r="S1184" s="291">
        <v>28267.94</v>
      </c>
      <c r="T1184" s="290">
        <v>14056</v>
      </c>
      <c r="U1184" s="291">
        <v>28267.94</v>
      </c>
      <c r="V1184" s="291">
        <f t="shared" si="18"/>
        <v>0</v>
      </c>
      <c r="W1184" s="292">
        <v>0</v>
      </c>
      <c r="X1184" s="290">
        <v>54260</v>
      </c>
      <c r="Y1184" s="291">
        <v>0</v>
      </c>
      <c r="Z1184" s="289" t="s">
        <v>944</v>
      </c>
      <c r="AA1184" s="289"/>
      <c r="AB1184" s="289" t="s">
        <v>3356</v>
      </c>
      <c r="AC1184" s="289"/>
      <c r="AD1184" s="289" t="s">
        <v>1446</v>
      </c>
      <c r="AE1184" s="289" t="s">
        <v>410</v>
      </c>
      <c r="AF1184" s="290" t="s">
        <v>1447</v>
      </c>
      <c r="AG1184" s="289"/>
      <c r="AH1184" s="290" t="s">
        <v>1448</v>
      </c>
      <c r="AI1184" s="289">
        <v>0</v>
      </c>
      <c r="AJ1184" s="289">
        <v>0</v>
      </c>
    </row>
    <row r="1185" spans="2:36">
      <c r="B1185" s="290">
        <v>2111</v>
      </c>
      <c r="C1185" s="294">
        <v>53225</v>
      </c>
      <c r="D1185" s="290" t="s">
        <v>944</v>
      </c>
      <c r="E1185" s="289" t="s">
        <v>3357</v>
      </c>
      <c r="F1185" s="290">
        <v>0</v>
      </c>
      <c r="G1185" s="289"/>
      <c r="H1185" s="289" t="s">
        <v>3358</v>
      </c>
      <c r="I1185" s="289"/>
      <c r="J1185" s="289">
        <v>2008</v>
      </c>
      <c r="K1185" s="289" t="s">
        <v>751</v>
      </c>
      <c r="L1185" s="289" t="s">
        <v>3285</v>
      </c>
      <c r="M1185" s="289" t="s">
        <v>1575</v>
      </c>
      <c r="N1185" s="293">
        <v>39358</v>
      </c>
      <c r="O1185" s="293">
        <v>39358</v>
      </c>
      <c r="P1185" s="289" t="s">
        <v>3359</v>
      </c>
      <c r="Q1185" s="290">
        <v>700</v>
      </c>
      <c r="R1185" s="290">
        <v>14040</v>
      </c>
      <c r="S1185" s="291">
        <v>100917.53</v>
      </c>
      <c r="T1185" s="290">
        <v>14046</v>
      </c>
      <c r="U1185" s="291">
        <v>100917.53</v>
      </c>
      <c r="V1185" s="291">
        <f t="shared" si="18"/>
        <v>0</v>
      </c>
      <c r="W1185" s="292">
        <v>0</v>
      </c>
      <c r="X1185" s="290">
        <v>51260</v>
      </c>
      <c r="Y1185" s="291">
        <v>0</v>
      </c>
      <c r="Z1185" s="289" t="s">
        <v>944</v>
      </c>
      <c r="AA1185" s="289">
        <v>0</v>
      </c>
      <c r="AB1185" s="289">
        <v>5207</v>
      </c>
      <c r="AC1185" s="289" t="s">
        <v>367</v>
      </c>
      <c r="AD1185" s="289" t="s">
        <v>1446</v>
      </c>
      <c r="AE1185" s="289" t="s">
        <v>410</v>
      </c>
      <c r="AF1185" s="290" t="s">
        <v>1447</v>
      </c>
      <c r="AG1185" s="289"/>
      <c r="AH1185" s="290" t="s">
        <v>1448</v>
      </c>
      <c r="AI1185" s="289">
        <v>0</v>
      </c>
      <c r="AJ1185" s="289">
        <v>0</v>
      </c>
    </row>
    <row r="1186" spans="2:36">
      <c r="B1186" s="290">
        <v>2111</v>
      </c>
      <c r="C1186" s="294">
        <v>53224</v>
      </c>
      <c r="D1186" s="290">
        <v>6677</v>
      </c>
      <c r="E1186" s="289" t="s">
        <v>2603</v>
      </c>
      <c r="F1186" s="290">
        <v>0</v>
      </c>
      <c r="G1186" s="289"/>
      <c r="H1186" s="289"/>
      <c r="I1186" s="289"/>
      <c r="J1186" s="289">
        <v>0</v>
      </c>
      <c r="K1186" s="289"/>
      <c r="L1186" s="289"/>
      <c r="M1186" s="289"/>
      <c r="N1186" s="293">
        <v>39294</v>
      </c>
      <c r="O1186" s="293">
        <v>39294</v>
      </c>
      <c r="P1186" s="289" t="s">
        <v>3360</v>
      </c>
      <c r="Q1186" s="290">
        <v>1000</v>
      </c>
      <c r="R1186" s="290">
        <v>14080</v>
      </c>
      <c r="S1186" s="291">
        <v>33494.5</v>
      </c>
      <c r="T1186" s="290">
        <v>14086</v>
      </c>
      <c r="U1186" s="291">
        <v>33494.5</v>
      </c>
      <c r="V1186" s="291">
        <f t="shared" si="18"/>
        <v>0</v>
      </c>
      <c r="W1186" s="292">
        <v>0</v>
      </c>
      <c r="X1186" s="290">
        <v>57260</v>
      </c>
      <c r="Y1186" s="291">
        <v>0</v>
      </c>
      <c r="Z1186" s="289" t="s">
        <v>944</v>
      </c>
      <c r="AA1186" s="289">
        <v>0</v>
      </c>
      <c r="AB1186" s="289"/>
      <c r="AC1186" s="289"/>
      <c r="AD1186" s="289" t="s">
        <v>1446</v>
      </c>
      <c r="AE1186" s="289" t="s">
        <v>410</v>
      </c>
      <c r="AF1186" s="290" t="s">
        <v>1447</v>
      </c>
      <c r="AG1186" s="289"/>
      <c r="AH1186" s="290" t="s">
        <v>1448</v>
      </c>
      <c r="AI1186" s="289">
        <v>0</v>
      </c>
      <c r="AJ1186" s="289">
        <v>0</v>
      </c>
    </row>
    <row r="1187" spans="2:36">
      <c r="B1187" s="290">
        <v>2111</v>
      </c>
      <c r="C1187" s="294">
        <v>53209</v>
      </c>
      <c r="D1187" s="290" t="s">
        <v>944</v>
      </c>
      <c r="E1187" s="289" t="s">
        <v>593</v>
      </c>
      <c r="F1187" s="290">
        <v>486</v>
      </c>
      <c r="G1187" s="289"/>
      <c r="H1187" s="289">
        <v>0</v>
      </c>
      <c r="I1187" s="289"/>
      <c r="J1187" s="289">
        <v>0</v>
      </c>
      <c r="K1187" s="289" t="s">
        <v>2245</v>
      </c>
      <c r="L1187" s="289"/>
      <c r="M1187" s="289"/>
      <c r="N1187" s="293">
        <v>39353</v>
      </c>
      <c r="O1187" s="293">
        <v>39353</v>
      </c>
      <c r="P1187" s="289" t="s">
        <v>3355</v>
      </c>
      <c r="Q1187" s="290">
        <v>700</v>
      </c>
      <c r="R1187" s="290">
        <v>14050</v>
      </c>
      <c r="S1187" s="291">
        <v>27210.400000000001</v>
      </c>
      <c r="T1187" s="290">
        <v>14056</v>
      </c>
      <c r="U1187" s="291">
        <v>27210.400000000001</v>
      </c>
      <c r="V1187" s="291">
        <f t="shared" si="18"/>
        <v>0</v>
      </c>
      <c r="W1187" s="292">
        <v>0</v>
      </c>
      <c r="X1187" s="290">
        <v>54260</v>
      </c>
      <c r="Y1187" s="291">
        <v>0</v>
      </c>
      <c r="Z1187" s="289" t="s">
        <v>944</v>
      </c>
      <c r="AA1187" s="289"/>
      <c r="AB1187" s="289" t="s">
        <v>3361</v>
      </c>
      <c r="AC1187" s="289"/>
      <c r="AD1187" s="289" t="s">
        <v>1446</v>
      </c>
      <c r="AE1187" s="289" t="s">
        <v>410</v>
      </c>
      <c r="AF1187" s="290" t="s">
        <v>1447</v>
      </c>
      <c r="AG1187" s="289"/>
      <c r="AH1187" s="290" t="s">
        <v>1448</v>
      </c>
      <c r="AI1187" s="289">
        <v>0</v>
      </c>
      <c r="AJ1187" s="289">
        <v>0</v>
      </c>
    </row>
    <row r="1188" spans="2:36">
      <c r="B1188" s="290">
        <v>2111</v>
      </c>
      <c r="C1188" s="294">
        <v>53208</v>
      </c>
      <c r="D1188" s="290" t="s">
        <v>944</v>
      </c>
      <c r="E1188" s="289" t="s">
        <v>593</v>
      </c>
      <c r="F1188" s="290">
        <v>486</v>
      </c>
      <c r="G1188" s="289"/>
      <c r="H1188" s="289">
        <v>0</v>
      </c>
      <c r="I1188" s="289"/>
      <c r="J1188" s="289">
        <v>0</v>
      </c>
      <c r="K1188" s="289" t="s">
        <v>2245</v>
      </c>
      <c r="L1188" s="289"/>
      <c r="M1188" s="289"/>
      <c r="N1188" s="293">
        <v>39353</v>
      </c>
      <c r="O1188" s="293">
        <v>39353</v>
      </c>
      <c r="P1188" s="289" t="s">
        <v>3355</v>
      </c>
      <c r="Q1188" s="290">
        <v>700</v>
      </c>
      <c r="R1188" s="290">
        <v>14050</v>
      </c>
      <c r="S1188" s="291">
        <v>27210.400000000001</v>
      </c>
      <c r="T1188" s="290">
        <v>14056</v>
      </c>
      <c r="U1188" s="291">
        <v>27210.400000000001</v>
      </c>
      <c r="V1188" s="291">
        <f t="shared" si="18"/>
        <v>0</v>
      </c>
      <c r="W1188" s="292">
        <v>0</v>
      </c>
      <c r="X1188" s="290">
        <v>54260</v>
      </c>
      <c r="Y1188" s="291">
        <v>0</v>
      </c>
      <c r="Z1188" s="289" t="s">
        <v>944</v>
      </c>
      <c r="AA1188" s="289"/>
      <c r="AB1188" s="289" t="s">
        <v>3362</v>
      </c>
      <c r="AC1188" s="289"/>
      <c r="AD1188" s="289" t="s">
        <v>1446</v>
      </c>
      <c r="AE1188" s="289" t="s">
        <v>410</v>
      </c>
      <c r="AF1188" s="290" t="s">
        <v>1447</v>
      </c>
      <c r="AG1188" s="289"/>
      <c r="AH1188" s="290" t="s">
        <v>1448</v>
      </c>
      <c r="AI1188" s="289">
        <v>0</v>
      </c>
      <c r="AJ1188" s="289">
        <v>0</v>
      </c>
    </row>
    <row r="1189" spans="2:36">
      <c r="B1189" s="290">
        <v>2111</v>
      </c>
      <c r="C1189" s="294">
        <v>52692</v>
      </c>
      <c r="D1189" s="290" t="s">
        <v>944</v>
      </c>
      <c r="E1189" s="289" t="s">
        <v>3363</v>
      </c>
      <c r="F1189" s="290">
        <v>0</v>
      </c>
      <c r="G1189" s="289"/>
      <c r="H1189" s="289"/>
      <c r="I1189" s="289"/>
      <c r="J1189" s="289">
        <v>0</v>
      </c>
      <c r="K1189" s="289"/>
      <c r="L1189" s="289"/>
      <c r="M1189" s="289"/>
      <c r="N1189" s="293">
        <v>39264</v>
      </c>
      <c r="O1189" s="293">
        <v>39264</v>
      </c>
      <c r="P1189" s="289"/>
      <c r="Q1189" s="290">
        <v>1000</v>
      </c>
      <c r="R1189" s="290">
        <v>14010</v>
      </c>
      <c r="S1189" s="291">
        <v>869261.59</v>
      </c>
      <c r="T1189" s="290">
        <v>14016</v>
      </c>
      <c r="U1189" s="291">
        <v>869261.59</v>
      </c>
      <c r="V1189" s="291">
        <f t="shared" si="18"/>
        <v>0</v>
      </c>
      <c r="W1189" s="292">
        <v>0</v>
      </c>
      <c r="X1189" s="290">
        <v>57260</v>
      </c>
      <c r="Y1189" s="291">
        <v>0</v>
      </c>
      <c r="Z1189" s="289" t="s">
        <v>944</v>
      </c>
      <c r="AA1189" s="289">
        <v>0</v>
      </c>
      <c r="AB1189" s="289"/>
      <c r="AC1189" s="289"/>
      <c r="AD1189" s="289" t="s">
        <v>1446</v>
      </c>
      <c r="AE1189" s="289" t="s">
        <v>410</v>
      </c>
      <c r="AF1189" s="290" t="s">
        <v>1447</v>
      </c>
      <c r="AG1189" s="289"/>
      <c r="AH1189" s="290" t="s">
        <v>1448</v>
      </c>
      <c r="AI1189" s="289">
        <v>0</v>
      </c>
      <c r="AJ1189" s="289">
        <v>0</v>
      </c>
    </row>
    <row r="1190" spans="2:36">
      <c r="B1190" s="290">
        <v>2111</v>
      </c>
      <c r="C1190" s="294">
        <v>52691</v>
      </c>
      <c r="D1190" s="290">
        <v>6685</v>
      </c>
      <c r="E1190" s="289" t="s">
        <v>3364</v>
      </c>
      <c r="F1190" s="290">
        <v>0</v>
      </c>
      <c r="G1190" s="289"/>
      <c r="H1190" s="289"/>
      <c r="I1190" s="289"/>
      <c r="J1190" s="289">
        <v>0</v>
      </c>
      <c r="K1190" s="289"/>
      <c r="L1190" s="289"/>
      <c r="M1190" s="289"/>
      <c r="N1190" s="293">
        <v>39264</v>
      </c>
      <c r="O1190" s="293">
        <v>39264</v>
      </c>
      <c r="P1190" s="289"/>
      <c r="Q1190" s="290">
        <v>2000</v>
      </c>
      <c r="R1190" s="290">
        <v>14080</v>
      </c>
      <c r="S1190" s="291">
        <v>1462717.52</v>
      </c>
      <c r="T1190" s="290">
        <v>14086</v>
      </c>
      <c r="U1190" s="291">
        <v>1103132.8600000001</v>
      </c>
      <c r="V1190" s="291">
        <f t="shared" si="18"/>
        <v>359584.65999999992</v>
      </c>
      <c r="W1190" s="292">
        <v>42662.6</v>
      </c>
      <c r="X1190" s="290">
        <v>57260</v>
      </c>
      <c r="Y1190" s="291">
        <v>6094.66</v>
      </c>
      <c r="Z1190" s="289" t="s">
        <v>944</v>
      </c>
      <c r="AA1190" s="289">
        <v>0</v>
      </c>
      <c r="AB1190" s="289"/>
      <c r="AC1190" s="289"/>
      <c r="AD1190" s="289" t="s">
        <v>1446</v>
      </c>
      <c r="AE1190" s="289" t="s">
        <v>410</v>
      </c>
      <c r="AF1190" s="290" t="s">
        <v>1447</v>
      </c>
      <c r="AG1190" s="289"/>
      <c r="AH1190" s="290" t="s">
        <v>1448</v>
      </c>
      <c r="AI1190" s="289">
        <v>0</v>
      </c>
      <c r="AJ1190" s="289">
        <v>0</v>
      </c>
    </row>
    <row r="1191" spans="2:36">
      <c r="B1191" s="290">
        <v>2111</v>
      </c>
      <c r="C1191" s="294">
        <v>52506</v>
      </c>
      <c r="D1191" s="290">
        <v>6677</v>
      </c>
      <c r="E1191" s="289" t="s">
        <v>3365</v>
      </c>
      <c r="F1191" s="290">
        <v>0</v>
      </c>
      <c r="G1191" s="289"/>
      <c r="H1191" s="289"/>
      <c r="I1191" s="289"/>
      <c r="J1191" s="289">
        <v>0</v>
      </c>
      <c r="K1191" s="289"/>
      <c r="L1191" s="289"/>
      <c r="M1191" s="289"/>
      <c r="N1191" s="293">
        <v>39294</v>
      </c>
      <c r="O1191" s="293">
        <v>39294</v>
      </c>
      <c r="P1191" s="289" t="s">
        <v>3360</v>
      </c>
      <c r="Q1191" s="290">
        <v>1000</v>
      </c>
      <c r="R1191" s="290">
        <v>14080</v>
      </c>
      <c r="S1191" s="291">
        <v>3465.19</v>
      </c>
      <c r="T1191" s="290">
        <v>14086</v>
      </c>
      <c r="U1191" s="291">
        <v>3465.19</v>
      </c>
      <c r="V1191" s="291">
        <f t="shared" si="18"/>
        <v>0</v>
      </c>
      <c r="W1191" s="292">
        <v>0</v>
      </c>
      <c r="X1191" s="290">
        <v>57260</v>
      </c>
      <c r="Y1191" s="291">
        <v>0</v>
      </c>
      <c r="Z1191" s="289" t="s">
        <v>944</v>
      </c>
      <c r="AA1191" s="289">
        <v>0</v>
      </c>
      <c r="AB1191" s="289">
        <v>2659</v>
      </c>
      <c r="AC1191" s="289"/>
      <c r="AD1191" s="289" t="s">
        <v>1446</v>
      </c>
      <c r="AE1191" s="289" t="s">
        <v>410</v>
      </c>
      <c r="AF1191" s="290" t="s">
        <v>1447</v>
      </c>
      <c r="AG1191" s="289"/>
      <c r="AH1191" s="290" t="s">
        <v>1448</v>
      </c>
      <c r="AI1191" s="289">
        <v>0</v>
      </c>
      <c r="AJ1191" s="289">
        <v>0</v>
      </c>
    </row>
    <row r="1192" spans="2:36">
      <c r="B1192" s="290">
        <v>2111</v>
      </c>
      <c r="C1192" s="294">
        <v>52247</v>
      </c>
      <c r="D1192" s="290"/>
      <c r="E1192" s="289" t="s">
        <v>3366</v>
      </c>
      <c r="F1192" s="290">
        <v>0</v>
      </c>
      <c r="G1192" s="289"/>
      <c r="H1192" s="289"/>
      <c r="I1192" s="289"/>
      <c r="J1192" s="289">
        <v>0</v>
      </c>
      <c r="K1192" s="289"/>
      <c r="L1192" s="289"/>
      <c r="M1192" s="289"/>
      <c r="N1192" s="293">
        <v>37500</v>
      </c>
      <c r="O1192" s="293">
        <v>37500</v>
      </c>
      <c r="P1192" s="289" t="s">
        <v>3367</v>
      </c>
      <c r="Q1192" s="290">
        <v>500</v>
      </c>
      <c r="R1192" s="290">
        <v>14110</v>
      </c>
      <c r="S1192" s="291">
        <v>3000</v>
      </c>
      <c r="T1192" s="290">
        <v>14116</v>
      </c>
      <c r="U1192" s="291">
        <v>3000</v>
      </c>
      <c r="V1192" s="291">
        <f t="shared" si="18"/>
        <v>0</v>
      </c>
      <c r="W1192" s="292">
        <v>0</v>
      </c>
      <c r="X1192" s="290">
        <v>70260</v>
      </c>
      <c r="Y1192" s="291">
        <v>0</v>
      </c>
      <c r="Z1192" s="289" t="s">
        <v>12</v>
      </c>
      <c r="AA1192" s="289"/>
      <c r="AB1192" s="289"/>
      <c r="AC1192" s="289"/>
      <c r="AD1192" s="289" t="s">
        <v>1446</v>
      </c>
      <c r="AE1192" s="289" t="s">
        <v>410</v>
      </c>
      <c r="AF1192" s="290" t="s">
        <v>1447</v>
      </c>
      <c r="AG1192" s="295">
        <v>39325</v>
      </c>
      <c r="AH1192" s="290" t="s">
        <v>1448</v>
      </c>
      <c r="AI1192" s="289">
        <v>0</v>
      </c>
      <c r="AJ1192" s="289">
        <v>3000</v>
      </c>
    </row>
    <row r="1193" spans="2:36">
      <c r="B1193" s="290">
        <v>2111</v>
      </c>
      <c r="C1193" s="294">
        <v>52240</v>
      </c>
      <c r="D1193" s="290"/>
      <c r="E1193" s="289" t="s">
        <v>3366</v>
      </c>
      <c r="F1193" s="290">
        <v>0</v>
      </c>
      <c r="G1193" s="289"/>
      <c r="H1193" s="289"/>
      <c r="I1193" s="289"/>
      <c r="J1193" s="289">
        <v>0</v>
      </c>
      <c r="K1193" s="289"/>
      <c r="L1193" s="289"/>
      <c r="M1193" s="289"/>
      <c r="N1193" s="293">
        <v>37500</v>
      </c>
      <c r="O1193" s="293">
        <v>37500</v>
      </c>
      <c r="P1193" s="289" t="s">
        <v>3368</v>
      </c>
      <c r="Q1193" s="290">
        <v>500</v>
      </c>
      <c r="R1193" s="290">
        <v>14110</v>
      </c>
      <c r="S1193" s="291">
        <v>15000</v>
      </c>
      <c r="T1193" s="290">
        <v>14116</v>
      </c>
      <c r="U1193" s="291">
        <v>15000</v>
      </c>
      <c r="V1193" s="291">
        <f t="shared" si="18"/>
        <v>0</v>
      </c>
      <c r="W1193" s="292">
        <v>0</v>
      </c>
      <c r="X1193" s="290">
        <v>70260</v>
      </c>
      <c r="Y1193" s="291">
        <v>0</v>
      </c>
      <c r="Z1193" s="289" t="s">
        <v>12</v>
      </c>
      <c r="AA1193" s="289"/>
      <c r="AB1193" s="289"/>
      <c r="AC1193" s="289"/>
      <c r="AD1193" s="289" t="s">
        <v>1446</v>
      </c>
      <c r="AE1193" s="289" t="s">
        <v>410</v>
      </c>
      <c r="AF1193" s="290" t="s">
        <v>1447</v>
      </c>
      <c r="AG1193" s="295">
        <v>39325</v>
      </c>
      <c r="AH1193" s="290" t="s">
        <v>1448</v>
      </c>
      <c r="AI1193" s="289">
        <v>0</v>
      </c>
      <c r="AJ1193" s="289">
        <v>15000</v>
      </c>
    </row>
    <row r="1194" spans="2:36">
      <c r="B1194" s="290">
        <v>2111</v>
      </c>
      <c r="C1194" s="294">
        <v>52122</v>
      </c>
      <c r="D1194" s="290" t="s">
        <v>944</v>
      </c>
      <c r="E1194" s="289" t="s">
        <v>593</v>
      </c>
      <c r="F1194" s="290">
        <v>427</v>
      </c>
      <c r="G1194" s="289"/>
      <c r="H1194" s="289">
        <v>0</v>
      </c>
      <c r="I1194" s="289"/>
      <c r="J1194" s="289">
        <v>0</v>
      </c>
      <c r="K1194" s="289" t="s">
        <v>3369</v>
      </c>
      <c r="L1194" s="289"/>
      <c r="M1194" s="289"/>
      <c r="N1194" s="293">
        <v>39289</v>
      </c>
      <c r="O1194" s="293">
        <v>39289</v>
      </c>
      <c r="P1194" s="289" t="s">
        <v>3355</v>
      </c>
      <c r="Q1194" s="290">
        <v>700</v>
      </c>
      <c r="R1194" s="290">
        <v>14050</v>
      </c>
      <c r="S1194" s="291">
        <v>21898.65</v>
      </c>
      <c r="T1194" s="290">
        <v>14056</v>
      </c>
      <c r="U1194" s="291">
        <v>21898.65</v>
      </c>
      <c r="V1194" s="291">
        <f t="shared" si="18"/>
        <v>0</v>
      </c>
      <c r="W1194" s="292">
        <v>0</v>
      </c>
      <c r="X1194" s="290">
        <v>54260</v>
      </c>
      <c r="Y1194" s="291">
        <v>0</v>
      </c>
      <c r="Z1194" s="289" t="s">
        <v>944</v>
      </c>
      <c r="AA1194" s="289"/>
      <c r="AB1194" s="289" t="s">
        <v>3370</v>
      </c>
      <c r="AC1194" s="289"/>
      <c r="AD1194" s="289" t="s">
        <v>1446</v>
      </c>
      <c r="AE1194" s="289" t="s">
        <v>410</v>
      </c>
      <c r="AF1194" s="290" t="s">
        <v>1447</v>
      </c>
      <c r="AG1194" s="289"/>
      <c r="AH1194" s="290" t="s">
        <v>1448</v>
      </c>
      <c r="AI1194" s="289">
        <v>0</v>
      </c>
      <c r="AJ1194" s="289">
        <v>0</v>
      </c>
    </row>
    <row r="1195" spans="2:36">
      <c r="B1195" s="290">
        <v>2111</v>
      </c>
      <c r="C1195" s="294">
        <v>52121</v>
      </c>
      <c r="D1195" s="290" t="s">
        <v>944</v>
      </c>
      <c r="E1195" s="289" t="s">
        <v>682</v>
      </c>
      <c r="F1195" s="290">
        <v>35</v>
      </c>
      <c r="G1195" s="289"/>
      <c r="H1195" s="289">
        <v>0</v>
      </c>
      <c r="I1195" s="289"/>
      <c r="J1195" s="289">
        <v>0</v>
      </c>
      <c r="K1195" s="289" t="s">
        <v>2403</v>
      </c>
      <c r="L1195" s="289"/>
      <c r="M1195" s="289" t="s">
        <v>1659</v>
      </c>
      <c r="N1195" s="293">
        <v>39329</v>
      </c>
      <c r="O1195" s="293">
        <v>39329</v>
      </c>
      <c r="P1195" s="289" t="s">
        <v>3371</v>
      </c>
      <c r="Q1195" s="290">
        <v>1200</v>
      </c>
      <c r="R1195" s="290">
        <v>14050</v>
      </c>
      <c r="S1195" s="291">
        <v>16450.560000000001</v>
      </c>
      <c r="T1195" s="290">
        <v>14056</v>
      </c>
      <c r="U1195" s="291">
        <v>16450.560000000001</v>
      </c>
      <c r="V1195" s="291">
        <f t="shared" si="18"/>
        <v>0</v>
      </c>
      <c r="W1195" s="292">
        <v>0</v>
      </c>
      <c r="X1195" s="290">
        <v>54260</v>
      </c>
      <c r="Y1195" s="291">
        <v>0</v>
      </c>
      <c r="Z1195" s="289" t="s">
        <v>944</v>
      </c>
      <c r="AA1195" s="289"/>
      <c r="AB1195" s="289">
        <v>3515</v>
      </c>
      <c r="AC1195" s="289"/>
      <c r="AD1195" s="289" t="s">
        <v>1446</v>
      </c>
      <c r="AE1195" s="289" t="s">
        <v>410</v>
      </c>
      <c r="AF1195" s="290" t="s">
        <v>1447</v>
      </c>
      <c r="AG1195" s="289"/>
      <c r="AH1195" s="290" t="s">
        <v>1448</v>
      </c>
      <c r="AI1195" s="289">
        <v>0</v>
      </c>
      <c r="AJ1195" s="289">
        <v>0</v>
      </c>
    </row>
    <row r="1196" spans="2:36">
      <c r="B1196" s="290">
        <v>2111</v>
      </c>
      <c r="C1196" s="294">
        <v>52045</v>
      </c>
      <c r="D1196" s="290">
        <v>6677</v>
      </c>
      <c r="E1196" s="289" t="s">
        <v>3372</v>
      </c>
      <c r="F1196" s="290">
        <v>0</v>
      </c>
      <c r="G1196" s="289"/>
      <c r="H1196" s="289"/>
      <c r="I1196" s="289"/>
      <c r="J1196" s="289">
        <v>0</v>
      </c>
      <c r="K1196" s="289"/>
      <c r="L1196" s="289"/>
      <c r="M1196" s="289"/>
      <c r="N1196" s="293">
        <v>39294</v>
      </c>
      <c r="O1196" s="293">
        <v>39294</v>
      </c>
      <c r="P1196" s="289" t="s">
        <v>3360</v>
      </c>
      <c r="Q1196" s="290">
        <v>1000</v>
      </c>
      <c r="R1196" s="290">
        <v>14080</v>
      </c>
      <c r="S1196" s="291">
        <v>3564.49</v>
      </c>
      <c r="T1196" s="290">
        <v>14086</v>
      </c>
      <c r="U1196" s="291">
        <v>3564.49</v>
      </c>
      <c r="V1196" s="291">
        <f t="shared" si="18"/>
        <v>0</v>
      </c>
      <c r="W1196" s="292">
        <v>0</v>
      </c>
      <c r="X1196" s="290">
        <v>57260</v>
      </c>
      <c r="Y1196" s="291">
        <v>0</v>
      </c>
      <c r="Z1196" s="289" t="s">
        <v>944</v>
      </c>
      <c r="AA1196" s="289">
        <v>0</v>
      </c>
      <c r="AB1196" s="289" t="s">
        <v>3373</v>
      </c>
      <c r="AC1196" s="289"/>
      <c r="AD1196" s="289" t="s">
        <v>1446</v>
      </c>
      <c r="AE1196" s="289" t="s">
        <v>410</v>
      </c>
      <c r="AF1196" s="290" t="s">
        <v>1447</v>
      </c>
      <c r="AG1196" s="289"/>
      <c r="AH1196" s="290" t="s">
        <v>1448</v>
      </c>
      <c r="AI1196" s="289">
        <v>0</v>
      </c>
      <c r="AJ1196" s="289">
        <v>0</v>
      </c>
    </row>
    <row r="1197" spans="2:36">
      <c r="B1197" s="290">
        <v>2111</v>
      </c>
      <c r="C1197" s="294">
        <v>51546</v>
      </c>
      <c r="D1197" s="290">
        <v>6677</v>
      </c>
      <c r="E1197" s="289" t="s">
        <v>3374</v>
      </c>
      <c r="F1197" s="290">
        <v>0</v>
      </c>
      <c r="G1197" s="289"/>
      <c r="H1197" s="289"/>
      <c r="I1197" s="289"/>
      <c r="J1197" s="289">
        <v>0</v>
      </c>
      <c r="K1197" s="289"/>
      <c r="L1197" s="289"/>
      <c r="M1197" s="289"/>
      <c r="N1197" s="293">
        <v>39294</v>
      </c>
      <c r="O1197" s="293">
        <v>39294</v>
      </c>
      <c r="P1197" s="289" t="s">
        <v>3360</v>
      </c>
      <c r="Q1197" s="290">
        <v>1000</v>
      </c>
      <c r="R1197" s="290">
        <v>14080</v>
      </c>
      <c r="S1197" s="291">
        <v>28205.23</v>
      </c>
      <c r="T1197" s="290">
        <v>14086</v>
      </c>
      <c r="U1197" s="291">
        <v>28205.23</v>
      </c>
      <c r="V1197" s="291">
        <f t="shared" si="18"/>
        <v>0</v>
      </c>
      <c r="W1197" s="292">
        <v>0</v>
      </c>
      <c r="X1197" s="290">
        <v>57260</v>
      </c>
      <c r="Y1197" s="291">
        <v>0</v>
      </c>
      <c r="Z1197" s="289" t="s">
        <v>944</v>
      </c>
      <c r="AA1197" s="289">
        <v>0</v>
      </c>
      <c r="AB1197" s="289"/>
      <c r="AC1197" s="289"/>
      <c r="AD1197" s="289" t="s">
        <v>1446</v>
      </c>
      <c r="AE1197" s="289" t="s">
        <v>410</v>
      </c>
      <c r="AF1197" s="290" t="s">
        <v>1447</v>
      </c>
      <c r="AG1197" s="289"/>
      <c r="AH1197" s="290" t="s">
        <v>1448</v>
      </c>
      <c r="AI1197" s="289">
        <v>0</v>
      </c>
      <c r="AJ1197" s="289">
        <v>0</v>
      </c>
    </row>
    <row r="1198" spans="2:36">
      <c r="B1198" s="290">
        <v>2111</v>
      </c>
      <c r="C1198" s="294">
        <v>51497</v>
      </c>
      <c r="D1198" s="290" t="s">
        <v>944</v>
      </c>
      <c r="E1198" s="289" t="s">
        <v>3375</v>
      </c>
      <c r="F1198" s="290">
        <v>0</v>
      </c>
      <c r="G1198" s="289"/>
      <c r="H1198" s="289">
        <v>0</v>
      </c>
      <c r="I1198" s="289"/>
      <c r="J1198" s="289">
        <v>0</v>
      </c>
      <c r="K1198" s="289"/>
      <c r="L1198" s="289"/>
      <c r="M1198" s="289"/>
      <c r="N1198" s="293">
        <v>39285</v>
      </c>
      <c r="O1198" s="293">
        <v>39285</v>
      </c>
      <c r="P1198" s="289" t="s">
        <v>3376</v>
      </c>
      <c r="Q1198" s="290">
        <v>300</v>
      </c>
      <c r="R1198" s="290">
        <v>14110</v>
      </c>
      <c r="S1198" s="291">
        <v>1338.74</v>
      </c>
      <c r="T1198" s="290">
        <v>14116</v>
      </c>
      <c r="U1198" s="291">
        <v>1338.74</v>
      </c>
      <c r="V1198" s="291">
        <f t="shared" si="18"/>
        <v>0</v>
      </c>
      <c r="W1198" s="292">
        <v>0</v>
      </c>
      <c r="X1198" s="290">
        <v>70260</v>
      </c>
      <c r="Y1198" s="291">
        <v>0</v>
      </c>
      <c r="Z1198" s="289" t="s">
        <v>12</v>
      </c>
      <c r="AA1198" s="289"/>
      <c r="AB1198" s="289" t="s">
        <v>3377</v>
      </c>
      <c r="AC1198" s="289"/>
      <c r="AD1198" s="289" t="s">
        <v>1446</v>
      </c>
      <c r="AE1198" s="289" t="s">
        <v>410</v>
      </c>
      <c r="AF1198" s="290" t="s">
        <v>1447</v>
      </c>
      <c r="AG1198" s="289"/>
      <c r="AH1198" s="290" t="s">
        <v>1448</v>
      </c>
      <c r="AI1198" s="289">
        <v>0</v>
      </c>
      <c r="AJ1198" s="289">
        <v>0</v>
      </c>
    </row>
    <row r="1199" spans="2:36">
      <c r="B1199" s="290">
        <v>2111</v>
      </c>
      <c r="C1199" s="294">
        <v>51122</v>
      </c>
      <c r="D1199" s="290">
        <v>50359</v>
      </c>
      <c r="E1199" s="289" t="s">
        <v>3378</v>
      </c>
      <c r="F1199" s="290">
        <v>0</v>
      </c>
      <c r="G1199" s="289"/>
      <c r="H1199" s="289">
        <v>0</v>
      </c>
      <c r="I1199" s="289"/>
      <c r="J1199" s="289">
        <v>0</v>
      </c>
      <c r="K1199" s="289" t="s">
        <v>3379</v>
      </c>
      <c r="L1199" s="289"/>
      <c r="M1199" s="289"/>
      <c r="N1199" s="293">
        <v>39217</v>
      </c>
      <c r="O1199" s="293">
        <v>39217</v>
      </c>
      <c r="P1199" s="289" t="s">
        <v>3326</v>
      </c>
      <c r="Q1199" s="290">
        <v>300</v>
      </c>
      <c r="R1199" s="290">
        <v>14090</v>
      </c>
      <c r="S1199" s="291">
        <v>1872.72</v>
      </c>
      <c r="T1199" s="290">
        <v>14096</v>
      </c>
      <c r="U1199" s="291">
        <v>1872.72</v>
      </c>
      <c r="V1199" s="291">
        <f t="shared" si="18"/>
        <v>0</v>
      </c>
      <c r="W1199" s="292">
        <v>0</v>
      </c>
      <c r="X1199" s="290">
        <v>57260</v>
      </c>
      <c r="Y1199" s="291">
        <v>0</v>
      </c>
      <c r="Z1199" s="289" t="s">
        <v>944</v>
      </c>
      <c r="AA1199" s="289"/>
      <c r="AB1199" s="289" t="s">
        <v>3380</v>
      </c>
      <c r="AC1199" s="289"/>
      <c r="AD1199" s="289" t="s">
        <v>1446</v>
      </c>
      <c r="AE1199" s="289" t="s">
        <v>410</v>
      </c>
      <c r="AF1199" s="290" t="s">
        <v>1447</v>
      </c>
      <c r="AG1199" s="289"/>
      <c r="AH1199" s="290" t="s">
        <v>1448</v>
      </c>
      <c r="AI1199" s="289">
        <v>0</v>
      </c>
      <c r="AJ1199" s="289">
        <v>0</v>
      </c>
    </row>
    <row r="1200" spans="2:36">
      <c r="B1200" s="290">
        <v>2111</v>
      </c>
      <c r="C1200" s="294">
        <v>50490</v>
      </c>
      <c r="D1200" s="290" t="s">
        <v>944</v>
      </c>
      <c r="E1200" s="289" t="s">
        <v>696</v>
      </c>
      <c r="F1200" s="290">
        <v>5</v>
      </c>
      <c r="G1200" s="289"/>
      <c r="H1200" s="289">
        <v>0</v>
      </c>
      <c r="I1200" s="289"/>
      <c r="J1200" s="289">
        <v>0</v>
      </c>
      <c r="K1200" s="289" t="s">
        <v>2257</v>
      </c>
      <c r="L1200" s="289"/>
      <c r="M1200" s="289" t="s">
        <v>1662</v>
      </c>
      <c r="N1200" s="293">
        <v>39233</v>
      </c>
      <c r="O1200" s="293">
        <v>39233</v>
      </c>
      <c r="P1200" s="289" t="s">
        <v>3381</v>
      </c>
      <c r="Q1200" s="290">
        <v>1200</v>
      </c>
      <c r="R1200" s="290">
        <v>14050</v>
      </c>
      <c r="S1200" s="291">
        <v>4056.53</v>
      </c>
      <c r="T1200" s="290">
        <v>14056</v>
      </c>
      <c r="U1200" s="291">
        <v>4056.53</v>
      </c>
      <c r="V1200" s="291">
        <f t="shared" si="18"/>
        <v>0</v>
      </c>
      <c r="W1200" s="292">
        <v>0</v>
      </c>
      <c r="X1200" s="290">
        <v>54260</v>
      </c>
      <c r="Y1200" s="291">
        <v>0</v>
      </c>
      <c r="Z1200" s="289" t="s">
        <v>944</v>
      </c>
      <c r="AA1200" s="289"/>
      <c r="AB1200" s="289">
        <v>23710</v>
      </c>
      <c r="AC1200" s="289"/>
      <c r="AD1200" s="289" t="s">
        <v>1446</v>
      </c>
      <c r="AE1200" s="289" t="s">
        <v>410</v>
      </c>
      <c r="AF1200" s="290" t="s">
        <v>1447</v>
      </c>
      <c r="AG1200" s="289"/>
      <c r="AH1200" s="290" t="s">
        <v>1448</v>
      </c>
      <c r="AI1200" s="289">
        <v>0</v>
      </c>
      <c r="AJ1200" s="289">
        <v>0</v>
      </c>
    </row>
    <row r="1201" spans="2:36">
      <c r="B1201" s="290">
        <v>2111</v>
      </c>
      <c r="C1201" s="294">
        <v>50359</v>
      </c>
      <c r="D1201" s="290" t="s">
        <v>944</v>
      </c>
      <c r="E1201" s="289" t="s">
        <v>3378</v>
      </c>
      <c r="F1201" s="290">
        <v>0</v>
      </c>
      <c r="G1201" s="289"/>
      <c r="H1201" s="289">
        <v>0</v>
      </c>
      <c r="I1201" s="289"/>
      <c r="J1201" s="289">
        <v>0</v>
      </c>
      <c r="K1201" s="289" t="s">
        <v>3379</v>
      </c>
      <c r="L1201" s="289"/>
      <c r="M1201" s="289"/>
      <c r="N1201" s="293">
        <v>39217</v>
      </c>
      <c r="O1201" s="293">
        <v>39217</v>
      </c>
      <c r="P1201" s="289" t="s">
        <v>3326</v>
      </c>
      <c r="Q1201" s="290">
        <v>107</v>
      </c>
      <c r="R1201" s="290">
        <v>14090</v>
      </c>
      <c r="S1201" s="291">
        <v>1872.72</v>
      </c>
      <c r="T1201" s="290">
        <v>14096</v>
      </c>
      <c r="U1201" s="291">
        <v>1872.72</v>
      </c>
      <c r="V1201" s="291">
        <f t="shared" si="18"/>
        <v>0</v>
      </c>
      <c r="W1201" s="292">
        <v>0</v>
      </c>
      <c r="X1201" s="290">
        <v>57260</v>
      </c>
      <c r="Y1201" s="291">
        <v>0</v>
      </c>
      <c r="Z1201" s="289" t="s">
        <v>944</v>
      </c>
      <c r="AA1201" s="289"/>
      <c r="AB1201" s="289">
        <v>1128</v>
      </c>
      <c r="AC1201" s="289"/>
      <c r="AD1201" s="289" t="s">
        <v>1446</v>
      </c>
      <c r="AE1201" s="289" t="s">
        <v>410</v>
      </c>
      <c r="AF1201" s="290" t="s">
        <v>1447</v>
      </c>
      <c r="AG1201" s="289"/>
      <c r="AH1201" s="290" t="s">
        <v>1448</v>
      </c>
      <c r="AI1201" s="289">
        <v>0</v>
      </c>
      <c r="AJ1201" s="289">
        <v>0</v>
      </c>
    </row>
    <row r="1202" spans="2:36">
      <c r="B1202" s="290">
        <v>2111</v>
      </c>
      <c r="C1202" s="294">
        <v>50276</v>
      </c>
      <c r="D1202" s="290" t="s">
        <v>944</v>
      </c>
      <c r="E1202" s="289" t="s">
        <v>682</v>
      </c>
      <c r="F1202" s="290">
        <v>8</v>
      </c>
      <c r="G1202" s="289"/>
      <c r="H1202" s="289">
        <v>0</v>
      </c>
      <c r="I1202" s="289"/>
      <c r="J1202" s="289">
        <v>0</v>
      </c>
      <c r="K1202" s="289" t="s">
        <v>2257</v>
      </c>
      <c r="L1202" s="289"/>
      <c r="M1202" s="289" t="s">
        <v>1659</v>
      </c>
      <c r="N1202" s="293">
        <v>39220</v>
      </c>
      <c r="O1202" s="293">
        <v>39220</v>
      </c>
      <c r="P1202" s="289" t="s">
        <v>3382</v>
      </c>
      <c r="Q1202" s="290">
        <v>1200</v>
      </c>
      <c r="R1202" s="290">
        <v>14050</v>
      </c>
      <c r="S1202" s="291">
        <v>3789.72</v>
      </c>
      <c r="T1202" s="290">
        <v>14056</v>
      </c>
      <c r="U1202" s="291">
        <v>3789.72</v>
      </c>
      <c r="V1202" s="291">
        <f t="shared" si="18"/>
        <v>0</v>
      </c>
      <c r="W1202" s="292">
        <v>0</v>
      </c>
      <c r="X1202" s="290">
        <v>54260</v>
      </c>
      <c r="Y1202" s="291">
        <v>0</v>
      </c>
      <c r="Z1202" s="289" t="s">
        <v>944</v>
      </c>
      <c r="AA1202" s="289"/>
      <c r="AB1202" s="289">
        <v>23379</v>
      </c>
      <c r="AC1202" s="289"/>
      <c r="AD1202" s="289" t="s">
        <v>1446</v>
      </c>
      <c r="AE1202" s="289" t="s">
        <v>410</v>
      </c>
      <c r="AF1202" s="290" t="s">
        <v>1447</v>
      </c>
      <c r="AG1202" s="289"/>
      <c r="AH1202" s="290" t="s">
        <v>1448</v>
      </c>
      <c r="AI1202" s="289">
        <v>0</v>
      </c>
      <c r="AJ1202" s="289">
        <v>0</v>
      </c>
    </row>
    <row r="1203" spans="2:36">
      <c r="B1203" s="290">
        <v>2111</v>
      </c>
      <c r="C1203" s="294">
        <v>50275</v>
      </c>
      <c r="D1203" s="290" t="s">
        <v>944</v>
      </c>
      <c r="E1203" s="289" t="s">
        <v>682</v>
      </c>
      <c r="F1203" s="290">
        <v>12</v>
      </c>
      <c r="G1203" s="289"/>
      <c r="H1203" s="289">
        <v>0</v>
      </c>
      <c r="I1203" s="289"/>
      <c r="J1203" s="289">
        <v>0</v>
      </c>
      <c r="K1203" s="289" t="s">
        <v>2257</v>
      </c>
      <c r="L1203" s="289"/>
      <c r="M1203" s="289" t="s">
        <v>1659</v>
      </c>
      <c r="N1203" s="293">
        <v>39219</v>
      </c>
      <c r="O1203" s="293">
        <v>39219</v>
      </c>
      <c r="P1203" s="289" t="s">
        <v>3382</v>
      </c>
      <c r="Q1203" s="290">
        <v>1200</v>
      </c>
      <c r="R1203" s="290">
        <v>14050</v>
      </c>
      <c r="S1203" s="291">
        <v>5684.58</v>
      </c>
      <c r="T1203" s="290">
        <v>14056</v>
      </c>
      <c r="U1203" s="291">
        <v>5684.58</v>
      </c>
      <c r="V1203" s="291">
        <f t="shared" si="18"/>
        <v>0</v>
      </c>
      <c r="W1203" s="292">
        <v>0</v>
      </c>
      <c r="X1203" s="290">
        <v>54260</v>
      </c>
      <c r="Y1203" s="291">
        <v>0</v>
      </c>
      <c r="Z1203" s="289" t="s">
        <v>944</v>
      </c>
      <c r="AA1203" s="289"/>
      <c r="AB1203" s="289">
        <v>23332</v>
      </c>
      <c r="AC1203" s="289"/>
      <c r="AD1203" s="289" t="s">
        <v>1446</v>
      </c>
      <c r="AE1203" s="289" t="s">
        <v>410</v>
      </c>
      <c r="AF1203" s="290" t="s">
        <v>1447</v>
      </c>
      <c r="AG1203" s="289"/>
      <c r="AH1203" s="290" t="s">
        <v>1448</v>
      </c>
      <c r="AI1203" s="289">
        <v>0</v>
      </c>
      <c r="AJ1203" s="289">
        <v>0</v>
      </c>
    </row>
    <row r="1204" spans="2:36">
      <c r="B1204" s="290">
        <v>2111</v>
      </c>
      <c r="C1204" s="294">
        <v>50274</v>
      </c>
      <c r="D1204" s="290" t="s">
        <v>944</v>
      </c>
      <c r="E1204" s="289" t="s">
        <v>681</v>
      </c>
      <c r="F1204" s="290">
        <v>20</v>
      </c>
      <c r="G1204" s="289"/>
      <c r="H1204" s="289">
        <v>0</v>
      </c>
      <c r="I1204" s="289"/>
      <c r="J1204" s="289">
        <v>0</v>
      </c>
      <c r="K1204" s="289" t="s">
        <v>2257</v>
      </c>
      <c r="L1204" s="289"/>
      <c r="M1204" s="289" t="s">
        <v>1918</v>
      </c>
      <c r="N1204" s="293">
        <v>39219</v>
      </c>
      <c r="O1204" s="293">
        <v>39219</v>
      </c>
      <c r="P1204" s="289" t="s">
        <v>3383</v>
      </c>
      <c r="Q1204" s="290">
        <v>1200</v>
      </c>
      <c r="R1204" s="290">
        <v>14050</v>
      </c>
      <c r="S1204" s="291">
        <v>8820.9</v>
      </c>
      <c r="T1204" s="290">
        <v>14056</v>
      </c>
      <c r="U1204" s="291">
        <v>8820.9</v>
      </c>
      <c r="V1204" s="291">
        <f t="shared" si="18"/>
        <v>0</v>
      </c>
      <c r="W1204" s="292">
        <v>0</v>
      </c>
      <c r="X1204" s="290">
        <v>54260</v>
      </c>
      <c r="Y1204" s="291">
        <v>0</v>
      </c>
      <c r="Z1204" s="289" t="s">
        <v>944</v>
      </c>
      <c r="AA1204" s="289"/>
      <c r="AB1204" s="289">
        <v>23343</v>
      </c>
      <c r="AC1204" s="289"/>
      <c r="AD1204" s="289" t="s">
        <v>1446</v>
      </c>
      <c r="AE1204" s="289" t="s">
        <v>410</v>
      </c>
      <c r="AF1204" s="290" t="s">
        <v>1447</v>
      </c>
      <c r="AG1204" s="289"/>
      <c r="AH1204" s="290" t="s">
        <v>1448</v>
      </c>
      <c r="AI1204" s="289">
        <v>0</v>
      </c>
      <c r="AJ1204" s="289">
        <v>0</v>
      </c>
    </row>
    <row r="1205" spans="2:36">
      <c r="B1205" s="290">
        <v>2111</v>
      </c>
      <c r="C1205" s="294">
        <v>50150</v>
      </c>
      <c r="D1205" s="290" t="s">
        <v>944</v>
      </c>
      <c r="E1205" s="289" t="s">
        <v>593</v>
      </c>
      <c r="F1205" s="290">
        <v>486</v>
      </c>
      <c r="G1205" s="289"/>
      <c r="H1205" s="289">
        <v>0</v>
      </c>
      <c r="I1205" s="289"/>
      <c r="J1205" s="289">
        <v>0</v>
      </c>
      <c r="K1205" s="289" t="s">
        <v>2245</v>
      </c>
      <c r="L1205" s="289"/>
      <c r="M1205" s="289"/>
      <c r="N1205" s="293">
        <v>39216</v>
      </c>
      <c r="O1205" s="293">
        <v>39216</v>
      </c>
      <c r="P1205" s="289" t="s">
        <v>3384</v>
      </c>
      <c r="Q1205" s="290">
        <v>700</v>
      </c>
      <c r="R1205" s="290">
        <v>14050</v>
      </c>
      <c r="S1205" s="291">
        <v>26554.73</v>
      </c>
      <c r="T1205" s="290">
        <v>14056</v>
      </c>
      <c r="U1205" s="291">
        <v>26554.73</v>
      </c>
      <c r="V1205" s="291">
        <f t="shared" si="18"/>
        <v>0</v>
      </c>
      <c r="W1205" s="292">
        <v>0</v>
      </c>
      <c r="X1205" s="290">
        <v>54260</v>
      </c>
      <c r="Y1205" s="291">
        <v>0</v>
      </c>
      <c r="Z1205" s="289" t="s">
        <v>944</v>
      </c>
      <c r="AA1205" s="289"/>
      <c r="AB1205" s="289" t="s">
        <v>3385</v>
      </c>
      <c r="AC1205" s="289"/>
      <c r="AD1205" s="289" t="s">
        <v>1446</v>
      </c>
      <c r="AE1205" s="289" t="s">
        <v>410</v>
      </c>
      <c r="AF1205" s="290" t="s">
        <v>1447</v>
      </c>
      <c r="AG1205" s="289"/>
      <c r="AH1205" s="290" t="s">
        <v>1448</v>
      </c>
      <c r="AI1205" s="289">
        <v>0</v>
      </c>
      <c r="AJ1205" s="289">
        <v>0</v>
      </c>
    </row>
    <row r="1206" spans="2:36">
      <c r="B1206" s="290">
        <v>2111</v>
      </c>
      <c r="C1206" s="294">
        <v>50136</v>
      </c>
      <c r="D1206" s="290" t="s">
        <v>944</v>
      </c>
      <c r="E1206" s="289" t="s">
        <v>593</v>
      </c>
      <c r="F1206" s="290">
        <v>427</v>
      </c>
      <c r="G1206" s="289"/>
      <c r="H1206" s="289">
        <v>0</v>
      </c>
      <c r="I1206" s="289"/>
      <c r="J1206" s="289">
        <v>0</v>
      </c>
      <c r="K1206" s="289" t="s">
        <v>3369</v>
      </c>
      <c r="L1206" s="289"/>
      <c r="M1206" s="289"/>
      <c r="N1206" s="293">
        <v>39205</v>
      </c>
      <c r="O1206" s="293">
        <v>39205</v>
      </c>
      <c r="P1206" s="289" t="s">
        <v>3386</v>
      </c>
      <c r="Q1206" s="290">
        <v>700</v>
      </c>
      <c r="R1206" s="290">
        <v>14050</v>
      </c>
      <c r="S1206" s="291">
        <v>20171.91</v>
      </c>
      <c r="T1206" s="290">
        <v>14056</v>
      </c>
      <c r="U1206" s="291">
        <v>20171.91</v>
      </c>
      <c r="V1206" s="291">
        <f t="shared" si="18"/>
        <v>0</v>
      </c>
      <c r="W1206" s="292">
        <v>0</v>
      </c>
      <c r="X1206" s="290">
        <v>54260</v>
      </c>
      <c r="Y1206" s="291">
        <v>0</v>
      </c>
      <c r="Z1206" s="289" t="s">
        <v>944</v>
      </c>
      <c r="AA1206" s="289"/>
      <c r="AB1206" s="289" t="s">
        <v>3387</v>
      </c>
      <c r="AC1206" s="289"/>
      <c r="AD1206" s="289" t="s">
        <v>1446</v>
      </c>
      <c r="AE1206" s="289" t="s">
        <v>410</v>
      </c>
      <c r="AF1206" s="290" t="s">
        <v>1447</v>
      </c>
      <c r="AG1206" s="289"/>
      <c r="AH1206" s="290" t="s">
        <v>1448</v>
      </c>
      <c r="AI1206" s="289">
        <v>0</v>
      </c>
      <c r="AJ1206" s="289">
        <v>0</v>
      </c>
    </row>
    <row r="1207" spans="2:36">
      <c r="B1207" s="290">
        <v>2111</v>
      </c>
      <c r="C1207" s="294">
        <v>50135</v>
      </c>
      <c r="D1207" s="290" t="s">
        <v>944</v>
      </c>
      <c r="E1207" s="289" t="s">
        <v>593</v>
      </c>
      <c r="F1207" s="290">
        <v>427</v>
      </c>
      <c r="G1207" s="289"/>
      <c r="H1207" s="289">
        <v>0</v>
      </c>
      <c r="I1207" s="289"/>
      <c r="J1207" s="289">
        <v>0</v>
      </c>
      <c r="K1207" s="289" t="s">
        <v>3369</v>
      </c>
      <c r="L1207" s="289"/>
      <c r="M1207" s="289"/>
      <c r="N1207" s="293">
        <v>39203</v>
      </c>
      <c r="O1207" s="293">
        <v>39203</v>
      </c>
      <c r="P1207" s="289" t="s">
        <v>3386</v>
      </c>
      <c r="Q1207" s="290">
        <v>700</v>
      </c>
      <c r="R1207" s="290">
        <v>14050</v>
      </c>
      <c r="S1207" s="291">
        <v>23353.89</v>
      </c>
      <c r="T1207" s="290">
        <v>14056</v>
      </c>
      <c r="U1207" s="291">
        <v>23353.89</v>
      </c>
      <c r="V1207" s="291">
        <f t="shared" si="18"/>
        <v>0</v>
      </c>
      <c r="W1207" s="292">
        <v>0</v>
      </c>
      <c r="X1207" s="290">
        <v>54260</v>
      </c>
      <c r="Y1207" s="291">
        <v>0</v>
      </c>
      <c r="Z1207" s="289" t="s">
        <v>944</v>
      </c>
      <c r="AA1207" s="289"/>
      <c r="AB1207" s="289" t="s">
        <v>3388</v>
      </c>
      <c r="AC1207" s="289"/>
      <c r="AD1207" s="289" t="s">
        <v>1446</v>
      </c>
      <c r="AE1207" s="289" t="s">
        <v>410</v>
      </c>
      <c r="AF1207" s="290" t="s">
        <v>1447</v>
      </c>
      <c r="AG1207" s="289"/>
      <c r="AH1207" s="290" t="s">
        <v>1448</v>
      </c>
      <c r="AI1207" s="289">
        <v>0</v>
      </c>
      <c r="AJ1207" s="289">
        <v>0</v>
      </c>
    </row>
    <row r="1208" spans="2:36">
      <c r="B1208" s="290">
        <v>2111</v>
      </c>
      <c r="C1208" s="294">
        <v>50085</v>
      </c>
      <c r="D1208" s="290" t="s">
        <v>944</v>
      </c>
      <c r="E1208" s="289" t="s">
        <v>2431</v>
      </c>
      <c r="F1208" s="290">
        <v>300</v>
      </c>
      <c r="G1208" s="289"/>
      <c r="H1208" s="289">
        <v>0</v>
      </c>
      <c r="I1208" s="289"/>
      <c r="J1208" s="289">
        <v>0</v>
      </c>
      <c r="K1208" s="289" t="s">
        <v>2342</v>
      </c>
      <c r="L1208" s="289"/>
      <c r="M1208" s="289"/>
      <c r="N1208" s="293">
        <v>39083</v>
      </c>
      <c r="O1208" s="293">
        <v>39083</v>
      </c>
      <c r="P1208" s="289" t="s">
        <v>3389</v>
      </c>
      <c r="Q1208" s="290">
        <v>611</v>
      </c>
      <c r="R1208" s="290">
        <v>14050</v>
      </c>
      <c r="S1208" s="291">
        <v>18278.400000000001</v>
      </c>
      <c r="T1208" s="290">
        <v>14056</v>
      </c>
      <c r="U1208" s="291">
        <v>18278.400000000001</v>
      </c>
      <c r="V1208" s="291">
        <f t="shared" si="18"/>
        <v>0</v>
      </c>
      <c r="W1208" s="292">
        <v>0</v>
      </c>
      <c r="X1208" s="290">
        <v>54260</v>
      </c>
      <c r="Y1208" s="291">
        <v>0</v>
      </c>
      <c r="Z1208" s="289" t="s">
        <v>944</v>
      </c>
      <c r="AA1208" s="289"/>
      <c r="AB1208" s="289" t="s">
        <v>3390</v>
      </c>
      <c r="AC1208" s="289"/>
      <c r="AD1208" s="289" t="s">
        <v>1446</v>
      </c>
      <c r="AE1208" s="289" t="s">
        <v>410</v>
      </c>
      <c r="AF1208" s="290" t="s">
        <v>1447</v>
      </c>
      <c r="AG1208" s="289"/>
      <c r="AH1208" s="290" t="s">
        <v>1448</v>
      </c>
      <c r="AI1208" s="289">
        <v>0</v>
      </c>
      <c r="AJ1208" s="289">
        <v>0</v>
      </c>
    </row>
    <row r="1209" spans="2:36">
      <c r="B1209" s="290">
        <v>2111</v>
      </c>
      <c r="C1209" s="294">
        <v>49173</v>
      </c>
      <c r="D1209" s="290" t="s">
        <v>944</v>
      </c>
      <c r="E1209" s="289" t="s">
        <v>3391</v>
      </c>
      <c r="F1209" s="290">
        <v>0</v>
      </c>
      <c r="G1209" s="289"/>
      <c r="H1209" s="289">
        <v>0</v>
      </c>
      <c r="I1209" s="289"/>
      <c r="J1209" s="289">
        <v>0</v>
      </c>
      <c r="K1209" s="289" t="s">
        <v>2342</v>
      </c>
      <c r="L1209" s="289"/>
      <c r="M1209" s="289"/>
      <c r="N1209" s="293">
        <v>39169</v>
      </c>
      <c r="O1209" s="293">
        <v>39169</v>
      </c>
      <c r="P1209" s="289" t="s">
        <v>3392</v>
      </c>
      <c r="Q1209" s="290">
        <v>700</v>
      </c>
      <c r="R1209" s="290">
        <v>14050</v>
      </c>
      <c r="S1209" s="291">
        <v>1599.36</v>
      </c>
      <c r="T1209" s="290">
        <v>14056</v>
      </c>
      <c r="U1209" s="291">
        <v>1599.36</v>
      </c>
      <c r="V1209" s="291">
        <f t="shared" si="18"/>
        <v>0</v>
      </c>
      <c r="W1209" s="292">
        <v>0</v>
      </c>
      <c r="X1209" s="290">
        <v>54260</v>
      </c>
      <c r="Y1209" s="291">
        <v>0</v>
      </c>
      <c r="Z1209" s="289" t="s">
        <v>944</v>
      </c>
      <c r="AA1209" s="289"/>
      <c r="AB1209" s="289" t="s">
        <v>3393</v>
      </c>
      <c r="AC1209" s="289"/>
      <c r="AD1209" s="289" t="s">
        <v>1446</v>
      </c>
      <c r="AE1209" s="289" t="s">
        <v>410</v>
      </c>
      <c r="AF1209" s="290" t="s">
        <v>1447</v>
      </c>
      <c r="AG1209" s="289"/>
      <c r="AH1209" s="290" t="s">
        <v>1448</v>
      </c>
      <c r="AI1209" s="289">
        <v>0</v>
      </c>
      <c r="AJ1209" s="289">
        <v>0</v>
      </c>
    </row>
    <row r="1210" spans="2:36">
      <c r="B1210" s="290">
        <v>2111</v>
      </c>
      <c r="C1210" s="294">
        <v>49172</v>
      </c>
      <c r="D1210" s="290" t="s">
        <v>944</v>
      </c>
      <c r="E1210" s="289" t="s">
        <v>2431</v>
      </c>
      <c r="F1210" s="290">
        <v>588</v>
      </c>
      <c r="G1210" s="289"/>
      <c r="H1210" s="289">
        <v>0</v>
      </c>
      <c r="I1210" s="289"/>
      <c r="J1210" s="289">
        <v>0</v>
      </c>
      <c r="K1210" s="289" t="s">
        <v>2342</v>
      </c>
      <c r="L1210" s="289"/>
      <c r="M1210" s="289"/>
      <c r="N1210" s="293">
        <v>39168</v>
      </c>
      <c r="O1210" s="293">
        <v>39168</v>
      </c>
      <c r="P1210" s="289" t="s">
        <v>3392</v>
      </c>
      <c r="Q1210" s="290">
        <v>700</v>
      </c>
      <c r="R1210" s="290">
        <v>14050</v>
      </c>
      <c r="S1210" s="291">
        <v>33421.18</v>
      </c>
      <c r="T1210" s="290">
        <v>14056</v>
      </c>
      <c r="U1210" s="291">
        <v>33421.18</v>
      </c>
      <c r="V1210" s="291">
        <f t="shared" si="18"/>
        <v>0</v>
      </c>
      <c r="W1210" s="292">
        <v>0</v>
      </c>
      <c r="X1210" s="290">
        <v>54260</v>
      </c>
      <c r="Y1210" s="291">
        <v>0</v>
      </c>
      <c r="Z1210" s="289" t="s">
        <v>944</v>
      </c>
      <c r="AA1210" s="289"/>
      <c r="AB1210" s="289" t="s">
        <v>3394</v>
      </c>
      <c r="AC1210" s="289"/>
      <c r="AD1210" s="289" t="s">
        <v>1446</v>
      </c>
      <c r="AE1210" s="289" t="s">
        <v>410</v>
      </c>
      <c r="AF1210" s="290" t="s">
        <v>1447</v>
      </c>
      <c r="AG1210" s="289"/>
      <c r="AH1210" s="290" t="s">
        <v>1448</v>
      </c>
      <c r="AI1210" s="289">
        <v>0</v>
      </c>
      <c r="AJ1210" s="289">
        <v>0</v>
      </c>
    </row>
    <row r="1211" spans="2:36">
      <c r="B1211" s="290">
        <v>2111</v>
      </c>
      <c r="C1211" s="294">
        <v>49075</v>
      </c>
      <c r="D1211" s="290" t="s">
        <v>944</v>
      </c>
      <c r="E1211" s="289" t="s">
        <v>755</v>
      </c>
      <c r="F1211" s="290">
        <v>10</v>
      </c>
      <c r="G1211" s="289"/>
      <c r="H1211" s="289">
        <v>0</v>
      </c>
      <c r="I1211" s="289"/>
      <c r="J1211" s="289">
        <v>0</v>
      </c>
      <c r="K1211" s="289" t="s">
        <v>2403</v>
      </c>
      <c r="L1211" s="289"/>
      <c r="M1211" s="289" t="s">
        <v>1667</v>
      </c>
      <c r="N1211" s="293">
        <v>39163</v>
      </c>
      <c r="O1211" s="293">
        <v>39163</v>
      </c>
      <c r="P1211" s="289" t="s">
        <v>3395</v>
      </c>
      <c r="Q1211" s="290">
        <v>1200</v>
      </c>
      <c r="R1211" s="290">
        <v>14050</v>
      </c>
      <c r="S1211" s="291">
        <v>51408</v>
      </c>
      <c r="T1211" s="290">
        <v>14056</v>
      </c>
      <c r="U1211" s="291">
        <v>51408</v>
      </c>
      <c r="V1211" s="291">
        <f t="shared" si="18"/>
        <v>0</v>
      </c>
      <c r="W1211" s="292">
        <v>0</v>
      </c>
      <c r="X1211" s="290">
        <v>54260</v>
      </c>
      <c r="Y1211" s="291">
        <v>0</v>
      </c>
      <c r="Z1211" s="289" t="s">
        <v>944</v>
      </c>
      <c r="AA1211" s="289"/>
      <c r="AB1211" s="289">
        <v>3311</v>
      </c>
      <c r="AC1211" s="289"/>
      <c r="AD1211" s="289" t="s">
        <v>1446</v>
      </c>
      <c r="AE1211" s="289" t="s">
        <v>410</v>
      </c>
      <c r="AF1211" s="290" t="s">
        <v>1447</v>
      </c>
      <c r="AG1211" s="289"/>
      <c r="AH1211" s="290" t="s">
        <v>1448</v>
      </c>
      <c r="AI1211" s="289">
        <v>0</v>
      </c>
      <c r="AJ1211" s="289">
        <v>0</v>
      </c>
    </row>
    <row r="1212" spans="2:36">
      <c r="B1212" s="290">
        <v>2111</v>
      </c>
      <c r="C1212" s="294">
        <v>48905</v>
      </c>
      <c r="D1212" s="290" t="s">
        <v>944</v>
      </c>
      <c r="E1212" s="289" t="s">
        <v>2431</v>
      </c>
      <c r="F1212" s="290">
        <v>588</v>
      </c>
      <c r="G1212" s="289"/>
      <c r="H1212" s="289">
        <v>0</v>
      </c>
      <c r="I1212" s="289"/>
      <c r="J1212" s="289">
        <v>0</v>
      </c>
      <c r="K1212" s="289" t="s">
        <v>2342</v>
      </c>
      <c r="L1212" s="289"/>
      <c r="M1212" s="289"/>
      <c r="N1212" s="293">
        <v>39136</v>
      </c>
      <c r="O1212" s="293">
        <v>39136</v>
      </c>
      <c r="P1212" s="289" t="s">
        <v>3396</v>
      </c>
      <c r="Q1212" s="290">
        <v>700</v>
      </c>
      <c r="R1212" s="290">
        <v>14050</v>
      </c>
      <c r="S1212" s="291">
        <v>35020.54</v>
      </c>
      <c r="T1212" s="290">
        <v>14056</v>
      </c>
      <c r="U1212" s="291">
        <v>35020.54</v>
      </c>
      <c r="V1212" s="291">
        <f t="shared" si="18"/>
        <v>0</v>
      </c>
      <c r="W1212" s="292">
        <v>0</v>
      </c>
      <c r="X1212" s="290">
        <v>54260</v>
      </c>
      <c r="Y1212" s="291">
        <v>0</v>
      </c>
      <c r="Z1212" s="289" t="s">
        <v>944</v>
      </c>
      <c r="AA1212" s="289"/>
      <c r="AB1212" s="289" t="s">
        <v>3397</v>
      </c>
      <c r="AC1212" s="289"/>
      <c r="AD1212" s="289" t="s">
        <v>1446</v>
      </c>
      <c r="AE1212" s="289" t="s">
        <v>410</v>
      </c>
      <c r="AF1212" s="290" t="s">
        <v>1447</v>
      </c>
      <c r="AG1212" s="289"/>
      <c r="AH1212" s="290" t="s">
        <v>1448</v>
      </c>
      <c r="AI1212" s="289">
        <v>0</v>
      </c>
      <c r="AJ1212" s="289">
        <v>0</v>
      </c>
    </row>
    <row r="1213" spans="2:36">
      <c r="B1213" s="290">
        <v>2111</v>
      </c>
      <c r="C1213" s="294">
        <v>48345</v>
      </c>
      <c r="D1213" s="290" t="s">
        <v>944</v>
      </c>
      <c r="E1213" s="289" t="s">
        <v>3398</v>
      </c>
      <c r="F1213" s="290">
        <v>0</v>
      </c>
      <c r="G1213" s="289"/>
      <c r="H1213" s="289" t="s">
        <v>3399</v>
      </c>
      <c r="I1213" s="289"/>
      <c r="J1213" s="289">
        <v>2006</v>
      </c>
      <c r="K1213" s="289" t="s">
        <v>3400</v>
      </c>
      <c r="L1213" s="289" t="s">
        <v>2326</v>
      </c>
      <c r="M1213" s="289" t="s">
        <v>2021</v>
      </c>
      <c r="N1213" s="293">
        <v>38792</v>
      </c>
      <c r="O1213" s="293">
        <v>38792</v>
      </c>
      <c r="P1213" s="289" t="s">
        <v>3401</v>
      </c>
      <c r="Q1213" s="290">
        <v>500</v>
      </c>
      <c r="R1213" s="290">
        <v>14040</v>
      </c>
      <c r="S1213" s="291">
        <v>19775.939999999999</v>
      </c>
      <c r="T1213" s="290">
        <v>14046</v>
      </c>
      <c r="U1213" s="291">
        <v>19775.939999999999</v>
      </c>
      <c r="V1213" s="291">
        <f t="shared" si="18"/>
        <v>0</v>
      </c>
      <c r="W1213" s="292">
        <v>0</v>
      </c>
      <c r="X1213" s="290">
        <v>51260</v>
      </c>
      <c r="Y1213" s="291">
        <v>0</v>
      </c>
      <c r="Z1213" s="289" t="s">
        <v>12</v>
      </c>
      <c r="AA1213" s="289"/>
      <c r="AB1213" s="289">
        <v>143072</v>
      </c>
      <c r="AC1213" s="289">
        <v>5</v>
      </c>
      <c r="AD1213" s="289" t="s">
        <v>1446</v>
      </c>
      <c r="AE1213" s="289" t="s">
        <v>410</v>
      </c>
      <c r="AF1213" s="290" t="s">
        <v>1447</v>
      </c>
      <c r="AG1213" s="295">
        <v>39113</v>
      </c>
      <c r="AH1213" s="290" t="s">
        <v>1448</v>
      </c>
      <c r="AI1213" s="289">
        <v>0</v>
      </c>
      <c r="AJ1213" s="289">
        <v>3295.99</v>
      </c>
    </row>
    <row r="1214" spans="2:36">
      <c r="B1214" s="290">
        <v>2111</v>
      </c>
      <c r="C1214" s="294">
        <v>47682</v>
      </c>
      <c r="D1214" s="290">
        <v>45086</v>
      </c>
      <c r="E1214" s="289" t="s">
        <v>3402</v>
      </c>
      <c r="F1214" s="290">
        <v>0</v>
      </c>
      <c r="G1214" s="289"/>
      <c r="H1214" s="289">
        <v>0</v>
      </c>
      <c r="I1214" s="289"/>
      <c r="J1214" s="289">
        <v>0</v>
      </c>
      <c r="K1214" s="289"/>
      <c r="L1214" s="289"/>
      <c r="M1214" s="289"/>
      <c r="N1214" s="293">
        <v>39055</v>
      </c>
      <c r="O1214" s="293">
        <v>39055</v>
      </c>
      <c r="P1214" s="289" t="s">
        <v>3403</v>
      </c>
      <c r="Q1214" s="290">
        <v>108</v>
      </c>
      <c r="R1214" s="290">
        <v>14090</v>
      </c>
      <c r="S1214" s="291">
        <v>2496.96</v>
      </c>
      <c r="T1214" s="290">
        <v>14096</v>
      </c>
      <c r="U1214" s="291">
        <v>2496.96</v>
      </c>
      <c r="V1214" s="291">
        <f t="shared" si="18"/>
        <v>0</v>
      </c>
      <c r="W1214" s="292">
        <v>0</v>
      </c>
      <c r="X1214" s="290">
        <v>57260</v>
      </c>
      <c r="Y1214" s="291">
        <v>0</v>
      </c>
      <c r="Z1214" s="289" t="s">
        <v>12</v>
      </c>
      <c r="AA1214" s="289"/>
      <c r="AB1214" s="289">
        <v>10384</v>
      </c>
      <c r="AC1214" s="289"/>
      <c r="AD1214" s="289" t="s">
        <v>1446</v>
      </c>
      <c r="AE1214" s="289" t="s">
        <v>410</v>
      </c>
      <c r="AF1214" s="290" t="s">
        <v>1447</v>
      </c>
      <c r="AG1214" s="289"/>
      <c r="AH1214" s="290" t="s">
        <v>1448</v>
      </c>
      <c r="AI1214" s="289">
        <v>0</v>
      </c>
      <c r="AJ1214" s="289">
        <v>0</v>
      </c>
    </row>
    <row r="1215" spans="2:36">
      <c r="B1215" s="290">
        <v>2111</v>
      </c>
      <c r="C1215" s="294">
        <v>47425</v>
      </c>
      <c r="D1215" s="290">
        <v>6681</v>
      </c>
      <c r="E1215" s="289" t="s">
        <v>3404</v>
      </c>
      <c r="F1215" s="290">
        <v>0</v>
      </c>
      <c r="G1215" s="289"/>
      <c r="H1215" s="289">
        <v>0</v>
      </c>
      <c r="I1215" s="289"/>
      <c r="J1215" s="289">
        <v>0</v>
      </c>
      <c r="K1215" s="289" t="s">
        <v>3405</v>
      </c>
      <c r="L1215" s="289"/>
      <c r="M1215" s="289"/>
      <c r="N1215" s="293">
        <v>39060</v>
      </c>
      <c r="O1215" s="293">
        <v>39060</v>
      </c>
      <c r="P1215" s="289" t="s">
        <v>3406</v>
      </c>
      <c r="Q1215" s="290">
        <v>1000</v>
      </c>
      <c r="R1215" s="290">
        <v>14080</v>
      </c>
      <c r="S1215" s="291">
        <v>1632</v>
      </c>
      <c r="T1215" s="290">
        <v>14086</v>
      </c>
      <c r="U1215" s="291">
        <v>1632</v>
      </c>
      <c r="V1215" s="291">
        <f t="shared" si="18"/>
        <v>0</v>
      </c>
      <c r="W1215" s="292">
        <v>0</v>
      </c>
      <c r="X1215" s="290">
        <v>57260</v>
      </c>
      <c r="Y1215" s="291">
        <v>0</v>
      </c>
      <c r="Z1215" s="289" t="s">
        <v>944</v>
      </c>
      <c r="AA1215" s="289"/>
      <c r="AB1215" s="289">
        <v>5592</v>
      </c>
      <c r="AC1215" s="289"/>
      <c r="AD1215" s="289" t="s">
        <v>1446</v>
      </c>
      <c r="AE1215" s="289" t="s">
        <v>410</v>
      </c>
      <c r="AF1215" s="290" t="s">
        <v>1447</v>
      </c>
      <c r="AG1215" s="289"/>
      <c r="AH1215" s="290" t="s">
        <v>1448</v>
      </c>
      <c r="AI1215" s="289">
        <v>0</v>
      </c>
      <c r="AJ1215" s="289">
        <v>0</v>
      </c>
    </row>
    <row r="1216" spans="2:36">
      <c r="B1216" s="290">
        <v>2111</v>
      </c>
      <c r="C1216" s="294">
        <v>47399</v>
      </c>
      <c r="D1216" s="290" t="s">
        <v>944</v>
      </c>
      <c r="E1216" s="289" t="s">
        <v>682</v>
      </c>
      <c r="F1216" s="290">
        <v>15</v>
      </c>
      <c r="G1216" s="289"/>
      <c r="H1216" s="289">
        <v>0</v>
      </c>
      <c r="I1216" s="289"/>
      <c r="J1216" s="289">
        <v>0</v>
      </c>
      <c r="K1216" s="289" t="s">
        <v>2403</v>
      </c>
      <c r="L1216" s="289"/>
      <c r="M1216" s="289" t="s">
        <v>1659</v>
      </c>
      <c r="N1216" s="293">
        <v>39063</v>
      </c>
      <c r="O1216" s="293">
        <v>39063</v>
      </c>
      <c r="P1216" s="289" t="s">
        <v>3407</v>
      </c>
      <c r="Q1216" s="290">
        <v>1200</v>
      </c>
      <c r="R1216" s="290">
        <v>14050</v>
      </c>
      <c r="S1216" s="291">
        <v>7050.24</v>
      </c>
      <c r="T1216" s="290">
        <v>14056</v>
      </c>
      <c r="U1216" s="291">
        <v>7050.24</v>
      </c>
      <c r="V1216" s="291">
        <f t="shared" si="18"/>
        <v>0</v>
      </c>
      <c r="W1216" s="292">
        <v>0</v>
      </c>
      <c r="X1216" s="290">
        <v>54260</v>
      </c>
      <c r="Y1216" s="291">
        <v>0</v>
      </c>
      <c r="Z1216" s="289" t="s">
        <v>944</v>
      </c>
      <c r="AA1216" s="289"/>
      <c r="AB1216" s="289">
        <v>3200</v>
      </c>
      <c r="AC1216" s="289"/>
      <c r="AD1216" s="289" t="s">
        <v>1446</v>
      </c>
      <c r="AE1216" s="289" t="s">
        <v>410</v>
      </c>
      <c r="AF1216" s="290" t="s">
        <v>1447</v>
      </c>
      <c r="AG1216" s="289"/>
      <c r="AH1216" s="290" t="s">
        <v>1448</v>
      </c>
      <c r="AI1216" s="289">
        <v>0</v>
      </c>
      <c r="AJ1216" s="289">
        <v>0</v>
      </c>
    </row>
    <row r="1217" spans="2:36">
      <c r="B1217" s="290">
        <v>2111</v>
      </c>
      <c r="C1217" s="294">
        <v>47398</v>
      </c>
      <c r="D1217" s="290" t="s">
        <v>944</v>
      </c>
      <c r="E1217" s="289" t="s">
        <v>686</v>
      </c>
      <c r="F1217" s="290">
        <v>15</v>
      </c>
      <c r="G1217" s="289"/>
      <c r="H1217" s="289">
        <v>0</v>
      </c>
      <c r="I1217" s="289"/>
      <c r="J1217" s="289">
        <v>0</v>
      </c>
      <c r="K1217" s="289" t="s">
        <v>2403</v>
      </c>
      <c r="L1217" s="289"/>
      <c r="M1217" s="289" t="s">
        <v>1659</v>
      </c>
      <c r="N1217" s="293">
        <v>39063</v>
      </c>
      <c r="O1217" s="293">
        <v>39063</v>
      </c>
      <c r="P1217" s="289" t="s">
        <v>3408</v>
      </c>
      <c r="Q1217" s="290">
        <v>1200</v>
      </c>
      <c r="R1217" s="290">
        <v>14050</v>
      </c>
      <c r="S1217" s="291">
        <v>7539.84</v>
      </c>
      <c r="T1217" s="290">
        <v>14056</v>
      </c>
      <c r="U1217" s="291">
        <v>7539.84</v>
      </c>
      <c r="V1217" s="291">
        <f t="shared" si="18"/>
        <v>0</v>
      </c>
      <c r="W1217" s="292">
        <v>0</v>
      </c>
      <c r="X1217" s="290">
        <v>54260</v>
      </c>
      <c r="Y1217" s="291">
        <v>0</v>
      </c>
      <c r="Z1217" s="289" t="s">
        <v>944</v>
      </c>
      <c r="AA1217" s="289"/>
      <c r="AB1217" s="289">
        <v>3205</v>
      </c>
      <c r="AC1217" s="289"/>
      <c r="AD1217" s="289" t="s">
        <v>1446</v>
      </c>
      <c r="AE1217" s="289" t="s">
        <v>410</v>
      </c>
      <c r="AF1217" s="290" t="s">
        <v>1447</v>
      </c>
      <c r="AG1217" s="289"/>
      <c r="AH1217" s="290" t="s">
        <v>1448</v>
      </c>
      <c r="AI1217" s="289">
        <v>0</v>
      </c>
      <c r="AJ1217" s="289">
        <v>0</v>
      </c>
    </row>
    <row r="1218" spans="2:36">
      <c r="B1218" s="290">
        <v>2111</v>
      </c>
      <c r="C1218" s="294">
        <v>47397</v>
      </c>
      <c r="D1218" s="290" t="s">
        <v>944</v>
      </c>
      <c r="E1218" s="289" t="s">
        <v>2420</v>
      </c>
      <c r="F1218" s="290">
        <v>10</v>
      </c>
      <c r="G1218" s="289"/>
      <c r="H1218" s="289">
        <v>0</v>
      </c>
      <c r="I1218" s="289"/>
      <c r="J1218" s="289">
        <v>0</v>
      </c>
      <c r="K1218" s="289" t="s">
        <v>2403</v>
      </c>
      <c r="L1218" s="289"/>
      <c r="M1218" s="289" t="s">
        <v>1664</v>
      </c>
      <c r="N1218" s="293">
        <v>39063</v>
      </c>
      <c r="O1218" s="293">
        <v>39063</v>
      </c>
      <c r="P1218" s="289" t="s">
        <v>3409</v>
      </c>
      <c r="Q1218" s="290">
        <v>1200</v>
      </c>
      <c r="R1218" s="290">
        <v>14050</v>
      </c>
      <c r="S1218" s="291">
        <v>6299.52</v>
      </c>
      <c r="T1218" s="290">
        <v>14056</v>
      </c>
      <c r="U1218" s="291">
        <v>6299.52</v>
      </c>
      <c r="V1218" s="291">
        <f t="shared" si="18"/>
        <v>0</v>
      </c>
      <c r="W1218" s="292">
        <v>0</v>
      </c>
      <c r="X1218" s="290">
        <v>54260</v>
      </c>
      <c r="Y1218" s="291">
        <v>0</v>
      </c>
      <c r="Z1218" s="289" t="s">
        <v>944</v>
      </c>
      <c r="AA1218" s="289"/>
      <c r="AB1218" s="289">
        <v>3202</v>
      </c>
      <c r="AC1218" s="289"/>
      <c r="AD1218" s="289" t="s">
        <v>1446</v>
      </c>
      <c r="AE1218" s="289" t="s">
        <v>410</v>
      </c>
      <c r="AF1218" s="290" t="s">
        <v>1447</v>
      </c>
      <c r="AG1218" s="289"/>
      <c r="AH1218" s="290" t="s">
        <v>1448</v>
      </c>
      <c r="AI1218" s="289">
        <v>0</v>
      </c>
      <c r="AJ1218" s="289">
        <v>0</v>
      </c>
    </row>
    <row r="1219" spans="2:36">
      <c r="B1219" s="290">
        <v>2111</v>
      </c>
      <c r="C1219" s="294">
        <v>46677</v>
      </c>
      <c r="D1219" s="290" t="s">
        <v>944</v>
      </c>
      <c r="E1219" s="289" t="s">
        <v>3410</v>
      </c>
      <c r="F1219" s="290">
        <v>0</v>
      </c>
      <c r="G1219" s="289"/>
      <c r="H1219" s="289">
        <v>0</v>
      </c>
      <c r="I1219" s="289"/>
      <c r="J1219" s="289">
        <v>0</v>
      </c>
      <c r="K1219" s="289" t="s">
        <v>3411</v>
      </c>
      <c r="L1219" s="289"/>
      <c r="M1219" s="289"/>
      <c r="N1219" s="293">
        <v>39029</v>
      </c>
      <c r="O1219" s="293">
        <v>39029</v>
      </c>
      <c r="P1219" s="289" t="s">
        <v>3403</v>
      </c>
      <c r="Q1219" s="290">
        <v>110</v>
      </c>
      <c r="R1219" s="290">
        <v>14090</v>
      </c>
      <c r="S1219" s="291">
        <v>2496.96</v>
      </c>
      <c r="T1219" s="290">
        <v>14096</v>
      </c>
      <c r="U1219" s="291">
        <v>2496.96</v>
      </c>
      <c r="V1219" s="291">
        <f t="shared" si="18"/>
        <v>0</v>
      </c>
      <c r="W1219" s="292">
        <v>0</v>
      </c>
      <c r="X1219" s="290">
        <v>57260</v>
      </c>
      <c r="Y1219" s="291">
        <v>0</v>
      </c>
      <c r="Z1219" s="289" t="s">
        <v>944</v>
      </c>
      <c r="AA1219" s="289"/>
      <c r="AB1219" s="289" t="s">
        <v>3412</v>
      </c>
      <c r="AC1219" s="289"/>
      <c r="AD1219" s="289" t="s">
        <v>1446</v>
      </c>
      <c r="AE1219" s="289" t="s">
        <v>410</v>
      </c>
      <c r="AF1219" s="290" t="s">
        <v>1447</v>
      </c>
      <c r="AG1219" s="289"/>
      <c r="AH1219" s="290" t="s">
        <v>1448</v>
      </c>
      <c r="AI1219" s="289">
        <v>0</v>
      </c>
      <c r="AJ1219" s="289">
        <v>0</v>
      </c>
    </row>
    <row r="1220" spans="2:36">
      <c r="B1220" s="290">
        <v>2111</v>
      </c>
      <c r="C1220" s="294">
        <v>46610</v>
      </c>
      <c r="D1220" s="290" t="s">
        <v>944</v>
      </c>
      <c r="E1220" s="289" t="s">
        <v>3413</v>
      </c>
      <c r="F1220" s="290">
        <v>580</v>
      </c>
      <c r="G1220" s="289"/>
      <c r="H1220" s="289">
        <v>0</v>
      </c>
      <c r="I1220" s="289"/>
      <c r="J1220" s="289">
        <v>0</v>
      </c>
      <c r="K1220" s="289" t="s">
        <v>2342</v>
      </c>
      <c r="L1220" s="289"/>
      <c r="M1220" s="289"/>
      <c r="N1220" s="293">
        <v>39013</v>
      </c>
      <c r="O1220" s="293">
        <v>39013</v>
      </c>
      <c r="P1220" s="289" t="s">
        <v>3414</v>
      </c>
      <c r="Q1220" s="290">
        <v>700</v>
      </c>
      <c r="R1220" s="290">
        <v>14050</v>
      </c>
      <c r="S1220" s="291">
        <v>34359.040000000001</v>
      </c>
      <c r="T1220" s="290">
        <v>14056</v>
      </c>
      <c r="U1220" s="291">
        <v>34359.040000000001</v>
      </c>
      <c r="V1220" s="291">
        <f t="shared" si="18"/>
        <v>0</v>
      </c>
      <c r="W1220" s="292">
        <v>0</v>
      </c>
      <c r="X1220" s="290">
        <v>54260</v>
      </c>
      <c r="Y1220" s="291">
        <v>0</v>
      </c>
      <c r="Z1220" s="289" t="s">
        <v>944</v>
      </c>
      <c r="AA1220" s="289"/>
      <c r="AB1220" s="289" t="s">
        <v>3415</v>
      </c>
      <c r="AC1220" s="289"/>
      <c r="AD1220" s="289" t="s">
        <v>1446</v>
      </c>
      <c r="AE1220" s="289" t="s">
        <v>410</v>
      </c>
      <c r="AF1220" s="290" t="s">
        <v>1447</v>
      </c>
      <c r="AG1220" s="289"/>
      <c r="AH1220" s="290" t="s">
        <v>1448</v>
      </c>
      <c r="AI1220" s="289">
        <v>0</v>
      </c>
      <c r="AJ1220" s="289">
        <v>0</v>
      </c>
    </row>
    <row r="1221" spans="2:36">
      <c r="B1221" s="290">
        <v>2111</v>
      </c>
      <c r="C1221" s="294">
        <v>46588</v>
      </c>
      <c r="D1221" s="290">
        <v>6681</v>
      </c>
      <c r="E1221" s="289" t="s">
        <v>3416</v>
      </c>
      <c r="F1221" s="290">
        <v>0</v>
      </c>
      <c r="G1221" s="289"/>
      <c r="H1221" s="289">
        <v>0</v>
      </c>
      <c r="I1221" s="289"/>
      <c r="J1221" s="289">
        <v>0</v>
      </c>
      <c r="K1221" s="289" t="s">
        <v>3417</v>
      </c>
      <c r="L1221" s="289"/>
      <c r="M1221" s="289"/>
      <c r="N1221" s="293">
        <v>39003</v>
      </c>
      <c r="O1221" s="293">
        <v>39003</v>
      </c>
      <c r="P1221" s="289" t="s">
        <v>3406</v>
      </c>
      <c r="Q1221" s="290">
        <v>1000</v>
      </c>
      <c r="R1221" s="290">
        <v>14080</v>
      </c>
      <c r="S1221" s="291">
        <v>8129.63</v>
      </c>
      <c r="T1221" s="290">
        <v>14086</v>
      </c>
      <c r="U1221" s="291">
        <v>8129.63</v>
      </c>
      <c r="V1221" s="291">
        <f t="shared" si="18"/>
        <v>0</v>
      </c>
      <c r="W1221" s="292">
        <v>0</v>
      </c>
      <c r="X1221" s="290">
        <v>57260</v>
      </c>
      <c r="Y1221" s="291">
        <v>0</v>
      </c>
      <c r="Z1221" s="289" t="s">
        <v>944</v>
      </c>
      <c r="AA1221" s="289"/>
      <c r="AB1221" s="289">
        <v>30215</v>
      </c>
      <c r="AC1221" s="289"/>
      <c r="AD1221" s="289" t="s">
        <v>1446</v>
      </c>
      <c r="AE1221" s="289" t="s">
        <v>410</v>
      </c>
      <c r="AF1221" s="290" t="s">
        <v>1447</v>
      </c>
      <c r="AG1221" s="289"/>
      <c r="AH1221" s="290" t="s">
        <v>1448</v>
      </c>
      <c r="AI1221" s="289">
        <v>0</v>
      </c>
      <c r="AJ1221" s="289">
        <v>0</v>
      </c>
    </row>
    <row r="1222" spans="2:36">
      <c r="B1222" s="290">
        <v>2111</v>
      </c>
      <c r="C1222" s="294">
        <v>46261</v>
      </c>
      <c r="D1222" s="290" t="s">
        <v>944</v>
      </c>
      <c r="E1222" s="289" t="s">
        <v>3418</v>
      </c>
      <c r="F1222" s="290">
        <v>2</v>
      </c>
      <c r="G1222" s="289"/>
      <c r="H1222" s="289">
        <v>0</v>
      </c>
      <c r="I1222" s="289"/>
      <c r="J1222" s="289">
        <v>0</v>
      </c>
      <c r="K1222" s="289" t="s">
        <v>2257</v>
      </c>
      <c r="L1222" s="289"/>
      <c r="M1222" s="289" t="s">
        <v>1670</v>
      </c>
      <c r="N1222" s="293">
        <v>39010</v>
      </c>
      <c r="O1222" s="293">
        <v>39010</v>
      </c>
      <c r="P1222" s="289" t="s">
        <v>3419</v>
      </c>
      <c r="Q1222" s="290">
        <v>1200</v>
      </c>
      <c r="R1222" s="290">
        <v>14050</v>
      </c>
      <c r="S1222" s="291">
        <v>10053.120000000001</v>
      </c>
      <c r="T1222" s="290">
        <v>14056</v>
      </c>
      <c r="U1222" s="291">
        <v>10053.120000000001</v>
      </c>
      <c r="V1222" s="291">
        <f t="shared" si="18"/>
        <v>0</v>
      </c>
      <c r="W1222" s="292">
        <v>0</v>
      </c>
      <c r="X1222" s="290">
        <v>54260</v>
      </c>
      <c r="Y1222" s="291">
        <v>0</v>
      </c>
      <c r="Z1222" s="289" t="s">
        <v>944</v>
      </c>
      <c r="AA1222" s="289"/>
      <c r="AB1222" s="289">
        <v>16758</v>
      </c>
      <c r="AC1222" s="289"/>
      <c r="AD1222" s="289" t="s">
        <v>1446</v>
      </c>
      <c r="AE1222" s="289" t="s">
        <v>410</v>
      </c>
      <c r="AF1222" s="290" t="s">
        <v>1447</v>
      </c>
      <c r="AG1222" s="289"/>
      <c r="AH1222" s="290" t="s">
        <v>1448</v>
      </c>
      <c r="AI1222" s="289">
        <v>0</v>
      </c>
      <c r="AJ1222" s="289">
        <v>0</v>
      </c>
    </row>
    <row r="1223" spans="2:36">
      <c r="B1223" s="290">
        <v>2111</v>
      </c>
      <c r="C1223" s="294">
        <v>46260</v>
      </c>
      <c r="D1223" s="290" t="s">
        <v>944</v>
      </c>
      <c r="E1223" s="289" t="s">
        <v>681</v>
      </c>
      <c r="F1223" s="290">
        <v>10</v>
      </c>
      <c r="G1223" s="289"/>
      <c r="H1223" s="289">
        <v>0</v>
      </c>
      <c r="I1223" s="289"/>
      <c r="J1223" s="289">
        <v>0</v>
      </c>
      <c r="K1223" s="289" t="s">
        <v>2257</v>
      </c>
      <c r="L1223" s="289"/>
      <c r="M1223" s="289" t="s">
        <v>1918</v>
      </c>
      <c r="N1223" s="293">
        <v>39009</v>
      </c>
      <c r="O1223" s="293">
        <v>39009</v>
      </c>
      <c r="P1223" s="289" t="s">
        <v>3420</v>
      </c>
      <c r="Q1223" s="290">
        <v>1200</v>
      </c>
      <c r="R1223" s="290">
        <v>14050</v>
      </c>
      <c r="S1223" s="291">
        <v>4406.3999999999996</v>
      </c>
      <c r="T1223" s="290">
        <v>14056</v>
      </c>
      <c r="U1223" s="291">
        <v>4406.3999999999996</v>
      </c>
      <c r="V1223" s="291">
        <f t="shared" si="18"/>
        <v>0</v>
      </c>
      <c r="W1223" s="292">
        <v>0</v>
      </c>
      <c r="X1223" s="290">
        <v>54260</v>
      </c>
      <c r="Y1223" s="291">
        <v>0</v>
      </c>
      <c r="Z1223" s="289" t="s">
        <v>944</v>
      </c>
      <c r="AA1223" s="289"/>
      <c r="AB1223" s="289">
        <v>16728</v>
      </c>
      <c r="AC1223" s="289"/>
      <c r="AD1223" s="289" t="s">
        <v>1446</v>
      </c>
      <c r="AE1223" s="289" t="s">
        <v>410</v>
      </c>
      <c r="AF1223" s="290" t="s">
        <v>1447</v>
      </c>
      <c r="AG1223" s="289"/>
      <c r="AH1223" s="290" t="s">
        <v>1448</v>
      </c>
      <c r="AI1223" s="289">
        <v>0</v>
      </c>
      <c r="AJ1223" s="289">
        <v>0</v>
      </c>
    </row>
    <row r="1224" spans="2:36">
      <c r="B1224" s="290">
        <v>2111</v>
      </c>
      <c r="C1224" s="294">
        <v>46259</v>
      </c>
      <c r="D1224" s="290" t="s">
        <v>944</v>
      </c>
      <c r="E1224" s="289" t="s">
        <v>3418</v>
      </c>
      <c r="F1224" s="290">
        <v>3</v>
      </c>
      <c r="G1224" s="289"/>
      <c r="H1224" s="289">
        <v>0</v>
      </c>
      <c r="I1224" s="289"/>
      <c r="J1224" s="289">
        <v>0</v>
      </c>
      <c r="K1224" s="289" t="s">
        <v>2257</v>
      </c>
      <c r="L1224" s="289"/>
      <c r="M1224" s="289" t="s">
        <v>1670</v>
      </c>
      <c r="N1224" s="293">
        <v>39009</v>
      </c>
      <c r="O1224" s="293">
        <v>39009</v>
      </c>
      <c r="P1224" s="289" t="s">
        <v>3419</v>
      </c>
      <c r="Q1224" s="290">
        <v>1200</v>
      </c>
      <c r="R1224" s="290">
        <v>14050</v>
      </c>
      <c r="S1224" s="291">
        <v>15079.68</v>
      </c>
      <c r="T1224" s="290">
        <v>14056</v>
      </c>
      <c r="U1224" s="291">
        <v>15079.68</v>
      </c>
      <c r="V1224" s="291">
        <f t="shared" si="18"/>
        <v>0</v>
      </c>
      <c r="W1224" s="292">
        <v>0</v>
      </c>
      <c r="X1224" s="290">
        <v>54260</v>
      </c>
      <c r="Y1224" s="291">
        <v>0</v>
      </c>
      <c r="Z1224" s="289" t="s">
        <v>944</v>
      </c>
      <c r="AA1224" s="289"/>
      <c r="AB1224" s="289">
        <v>16729</v>
      </c>
      <c r="AC1224" s="289"/>
      <c r="AD1224" s="289" t="s">
        <v>1446</v>
      </c>
      <c r="AE1224" s="289" t="s">
        <v>410</v>
      </c>
      <c r="AF1224" s="290" t="s">
        <v>1447</v>
      </c>
      <c r="AG1224" s="289"/>
      <c r="AH1224" s="290" t="s">
        <v>1448</v>
      </c>
      <c r="AI1224" s="289">
        <v>0</v>
      </c>
      <c r="AJ1224" s="289">
        <v>0</v>
      </c>
    </row>
    <row r="1225" spans="2:36">
      <c r="B1225" s="290">
        <v>2111</v>
      </c>
      <c r="C1225" s="294">
        <v>46190</v>
      </c>
      <c r="D1225" s="290" t="s">
        <v>944</v>
      </c>
      <c r="E1225" s="289" t="s">
        <v>3421</v>
      </c>
      <c r="F1225" s="290">
        <v>427</v>
      </c>
      <c r="G1225" s="289"/>
      <c r="H1225" s="289">
        <v>0</v>
      </c>
      <c r="I1225" s="289"/>
      <c r="J1225" s="289">
        <v>0</v>
      </c>
      <c r="K1225" s="289" t="s">
        <v>3369</v>
      </c>
      <c r="L1225" s="289"/>
      <c r="M1225" s="289"/>
      <c r="N1225" s="293">
        <v>39001</v>
      </c>
      <c r="O1225" s="293">
        <v>39001</v>
      </c>
      <c r="P1225" s="289" t="s">
        <v>3422</v>
      </c>
      <c r="Q1225" s="290">
        <v>700</v>
      </c>
      <c r="R1225" s="290">
        <v>14050</v>
      </c>
      <c r="S1225" s="291">
        <v>23341.42</v>
      </c>
      <c r="T1225" s="290">
        <v>14056</v>
      </c>
      <c r="U1225" s="291">
        <v>23341.42</v>
      </c>
      <c r="V1225" s="291">
        <f t="shared" si="18"/>
        <v>0</v>
      </c>
      <c r="W1225" s="292">
        <v>0</v>
      </c>
      <c r="X1225" s="290">
        <v>54260</v>
      </c>
      <c r="Y1225" s="291">
        <v>0</v>
      </c>
      <c r="Z1225" s="289" t="s">
        <v>944</v>
      </c>
      <c r="AA1225" s="289"/>
      <c r="AB1225" s="289" t="s">
        <v>3423</v>
      </c>
      <c r="AC1225" s="289"/>
      <c r="AD1225" s="289" t="s">
        <v>1446</v>
      </c>
      <c r="AE1225" s="289" t="s">
        <v>410</v>
      </c>
      <c r="AF1225" s="290" t="s">
        <v>1447</v>
      </c>
      <c r="AG1225" s="289"/>
      <c r="AH1225" s="290" t="s">
        <v>1448</v>
      </c>
      <c r="AI1225" s="289">
        <v>0</v>
      </c>
      <c r="AJ1225" s="289">
        <v>0</v>
      </c>
    </row>
    <row r="1226" spans="2:36">
      <c r="B1226" s="290">
        <v>2111</v>
      </c>
      <c r="C1226" s="294">
        <v>46101</v>
      </c>
      <c r="D1226" s="290">
        <v>45086</v>
      </c>
      <c r="E1226" s="289" t="s">
        <v>3424</v>
      </c>
      <c r="F1226" s="290">
        <v>0</v>
      </c>
      <c r="G1226" s="289"/>
      <c r="H1226" s="289">
        <v>0</v>
      </c>
      <c r="I1226" s="289"/>
      <c r="J1226" s="289">
        <v>0</v>
      </c>
      <c r="K1226" s="289" t="s">
        <v>3425</v>
      </c>
      <c r="L1226" s="289"/>
      <c r="M1226" s="289"/>
      <c r="N1226" s="293">
        <v>38968</v>
      </c>
      <c r="O1226" s="293">
        <v>38968</v>
      </c>
      <c r="P1226" s="289" t="s">
        <v>3403</v>
      </c>
      <c r="Q1226" s="290">
        <v>200</v>
      </c>
      <c r="R1226" s="290">
        <v>14090</v>
      </c>
      <c r="S1226" s="291">
        <v>18641.509999999998</v>
      </c>
      <c r="T1226" s="290">
        <v>14096</v>
      </c>
      <c r="U1226" s="291">
        <v>18641.509999999998</v>
      </c>
      <c r="V1226" s="291">
        <f t="shared" si="18"/>
        <v>0</v>
      </c>
      <c r="W1226" s="292">
        <v>0</v>
      </c>
      <c r="X1226" s="290">
        <v>57260</v>
      </c>
      <c r="Y1226" s="291">
        <v>0</v>
      </c>
      <c r="Z1226" s="289" t="s">
        <v>944</v>
      </c>
      <c r="AA1226" s="289"/>
      <c r="AB1226" s="289">
        <v>12512</v>
      </c>
      <c r="AC1226" s="289"/>
      <c r="AD1226" s="289" t="s">
        <v>1446</v>
      </c>
      <c r="AE1226" s="289" t="s">
        <v>410</v>
      </c>
      <c r="AF1226" s="290" t="s">
        <v>1447</v>
      </c>
      <c r="AG1226" s="289"/>
      <c r="AH1226" s="290" t="s">
        <v>1448</v>
      </c>
      <c r="AI1226" s="289">
        <v>0</v>
      </c>
      <c r="AJ1226" s="289">
        <v>0</v>
      </c>
    </row>
    <row r="1227" spans="2:36">
      <c r="B1227" s="290">
        <v>2111</v>
      </c>
      <c r="C1227" s="294">
        <v>45287</v>
      </c>
      <c r="D1227" s="290" t="s">
        <v>944</v>
      </c>
      <c r="E1227" s="289" t="s">
        <v>696</v>
      </c>
      <c r="F1227" s="290">
        <v>10</v>
      </c>
      <c r="G1227" s="289"/>
      <c r="H1227" s="289">
        <v>0</v>
      </c>
      <c r="I1227" s="289"/>
      <c r="J1227" s="289">
        <v>0</v>
      </c>
      <c r="K1227" s="289" t="s">
        <v>2403</v>
      </c>
      <c r="L1227" s="289"/>
      <c r="M1227" s="289" t="s">
        <v>1662</v>
      </c>
      <c r="N1227" s="293">
        <v>38945</v>
      </c>
      <c r="O1227" s="293">
        <v>38945</v>
      </c>
      <c r="P1227" s="289" t="s">
        <v>3426</v>
      </c>
      <c r="Q1227" s="290">
        <v>1200</v>
      </c>
      <c r="R1227" s="290">
        <v>14050</v>
      </c>
      <c r="S1227" s="291">
        <v>8432</v>
      </c>
      <c r="T1227" s="290">
        <v>14056</v>
      </c>
      <c r="U1227" s="291">
        <v>8432</v>
      </c>
      <c r="V1227" s="291">
        <f t="shared" si="18"/>
        <v>0</v>
      </c>
      <c r="W1227" s="292">
        <v>0</v>
      </c>
      <c r="X1227" s="290">
        <v>54260</v>
      </c>
      <c r="Y1227" s="291">
        <v>0</v>
      </c>
      <c r="Z1227" s="289" t="s">
        <v>944</v>
      </c>
      <c r="AA1227" s="289"/>
      <c r="AB1227" s="289">
        <v>3083</v>
      </c>
      <c r="AC1227" s="289"/>
      <c r="AD1227" s="289" t="s">
        <v>1446</v>
      </c>
      <c r="AE1227" s="289" t="s">
        <v>410</v>
      </c>
      <c r="AF1227" s="290" t="s">
        <v>1447</v>
      </c>
      <c r="AG1227" s="289"/>
      <c r="AH1227" s="290" t="s">
        <v>1448</v>
      </c>
      <c r="AI1227" s="289">
        <v>0</v>
      </c>
      <c r="AJ1227" s="289">
        <v>0</v>
      </c>
    </row>
    <row r="1228" spans="2:36">
      <c r="B1228" s="290">
        <v>2111</v>
      </c>
      <c r="C1228" s="294">
        <v>45151</v>
      </c>
      <c r="D1228" s="290" t="s">
        <v>944</v>
      </c>
      <c r="E1228" s="289" t="s">
        <v>593</v>
      </c>
      <c r="F1228" s="290">
        <v>854</v>
      </c>
      <c r="G1228" s="289"/>
      <c r="H1228" s="289">
        <v>0</v>
      </c>
      <c r="I1228" s="289"/>
      <c r="J1228" s="289">
        <v>0</v>
      </c>
      <c r="K1228" s="289" t="s">
        <v>3369</v>
      </c>
      <c r="L1228" s="289"/>
      <c r="M1228" s="289"/>
      <c r="N1228" s="293">
        <v>38930</v>
      </c>
      <c r="O1228" s="293">
        <v>38930</v>
      </c>
      <c r="P1228" s="289" t="s">
        <v>3427</v>
      </c>
      <c r="Q1228" s="290">
        <v>700</v>
      </c>
      <c r="R1228" s="290">
        <v>14050</v>
      </c>
      <c r="S1228" s="291">
        <v>45629.59</v>
      </c>
      <c r="T1228" s="290">
        <v>14056</v>
      </c>
      <c r="U1228" s="291">
        <v>45629.59</v>
      </c>
      <c r="V1228" s="291">
        <f t="shared" si="18"/>
        <v>0</v>
      </c>
      <c r="W1228" s="292">
        <v>0</v>
      </c>
      <c r="X1228" s="290">
        <v>54260</v>
      </c>
      <c r="Y1228" s="291">
        <v>0</v>
      </c>
      <c r="Z1228" s="289" t="s">
        <v>944</v>
      </c>
      <c r="AA1228" s="289"/>
      <c r="AB1228" s="289" t="s">
        <v>3428</v>
      </c>
      <c r="AC1228" s="289"/>
      <c r="AD1228" s="289" t="s">
        <v>1446</v>
      </c>
      <c r="AE1228" s="289" t="s">
        <v>410</v>
      </c>
      <c r="AF1228" s="290" t="s">
        <v>1447</v>
      </c>
      <c r="AG1228" s="289"/>
      <c r="AH1228" s="290" t="s">
        <v>1448</v>
      </c>
      <c r="AI1228" s="289">
        <v>0</v>
      </c>
      <c r="AJ1228" s="289">
        <v>0</v>
      </c>
    </row>
    <row r="1229" spans="2:36">
      <c r="B1229" s="290">
        <v>2111</v>
      </c>
      <c r="C1229" s="294">
        <v>45086</v>
      </c>
      <c r="D1229" s="290" t="s">
        <v>944</v>
      </c>
      <c r="E1229" s="289" t="s">
        <v>3429</v>
      </c>
      <c r="F1229" s="290">
        <v>0</v>
      </c>
      <c r="G1229" s="289"/>
      <c r="H1229" s="289">
        <v>0</v>
      </c>
      <c r="I1229" s="289"/>
      <c r="J1229" s="289">
        <v>0</v>
      </c>
      <c r="K1229" s="289" t="s">
        <v>3425</v>
      </c>
      <c r="L1229" s="289"/>
      <c r="M1229" s="289"/>
      <c r="N1229" s="293">
        <v>38937</v>
      </c>
      <c r="O1229" s="293">
        <v>38937</v>
      </c>
      <c r="P1229" s="289" t="s">
        <v>3403</v>
      </c>
      <c r="Q1229" s="290">
        <v>201</v>
      </c>
      <c r="R1229" s="290">
        <v>14090</v>
      </c>
      <c r="S1229" s="291">
        <v>15109.06</v>
      </c>
      <c r="T1229" s="290">
        <v>14096</v>
      </c>
      <c r="U1229" s="291">
        <v>15109.06</v>
      </c>
      <c r="V1229" s="291">
        <f t="shared" si="18"/>
        <v>0</v>
      </c>
      <c r="W1229" s="292">
        <v>0</v>
      </c>
      <c r="X1229" s="290">
        <v>57260</v>
      </c>
      <c r="Y1229" s="291">
        <v>0</v>
      </c>
      <c r="Z1229" s="289" t="s">
        <v>944</v>
      </c>
      <c r="AA1229" s="289"/>
      <c r="AB1229" s="289" t="s">
        <v>3430</v>
      </c>
      <c r="AC1229" s="289"/>
      <c r="AD1229" s="289" t="s">
        <v>1446</v>
      </c>
      <c r="AE1229" s="289" t="s">
        <v>410</v>
      </c>
      <c r="AF1229" s="290" t="s">
        <v>1447</v>
      </c>
      <c r="AG1229" s="289"/>
      <c r="AH1229" s="290" t="s">
        <v>1448</v>
      </c>
      <c r="AI1229" s="289">
        <v>0</v>
      </c>
      <c r="AJ1229" s="289">
        <v>0</v>
      </c>
    </row>
    <row r="1230" spans="2:36">
      <c r="B1230" s="290">
        <v>2111</v>
      </c>
      <c r="C1230" s="294">
        <v>44896</v>
      </c>
      <c r="D1230" s="290" t="s">
        <v>944</v>
      </c>
      <c r="E1230" s="289" t="s">
        <v>3418</v>
      </c>
      <c r="F1230" s="290">
        <v>1</v>
      </c>
      <c r="G1230" s="289"/>
      <c r="H1230" s="289">
        <v>0</v>
      </c>
      <c r="I1230" s="289"/>
      <c r="J1230" s="289">
        <v>0</v>
      </c>
      <c r="K1230" s="289"/>
      <c r="L1230" s="289"/>
      <c r="M1230" s="289" t="s">
        <v>1670</v>
      </c>
      <c r="N1230" s="293">
        <v>38889</v>
      </c>
      <c r="O1230" s="293">
        <v>38889</v>
      </c>
      <c r="P1230" s="289" t="s">
        <v>3431</v>
      </c>
      <c r="Q1230" s="290">
        <v>1200</v>
      </c>
      <c r="R1230" s="290">
        <v>14050</v>
      </c>
      <c r="S1230" s="291">
        <v>2720</v>
      </c>
      <c r="T1230" s="290">
        <v>14056</v>
      </c>
      <c r="U1230" s="291">
        <v>2720</v>
      </c>
      <c r="V1230" s="291">
        <f t="shared" ref="V1230:V1293" si="19">S1230-U1230</f>
        <v>0</v>
      </c>
      <c r="W1230" s="292">
        <v>0</v>
      </c>
      <c r="X1230" s="290">
        <v>54260</v>
      </c>
      <c r="Y1230" s="291">
        <v>0</v>
      </c>
      <c r="Z1230" s="289" t="s">
        <v>12</v>
      </c>
      <c r="AA1230" s="289"/>
      <c r="AB1230" s="289">
        <v>32484</v>
      </c>
      <c r="AC1230" s="289"/>
      <c r="AD1230" s="289" t="s">
        <v>1446</v>
      </c>
      <c r="AE1230" s="289" t="s">
        <v>410</v>
      </c>
      <c r="AF1230" s="290" t="s">
        <v>1447</v>
      </c>
      <c r="AG1230" s="289"/>
      <c r="AH1230" s="290" t="s">
        <v>1448</v>
      </c>
      <c r="AI1230" s="289">
        <v>0</v>
      </c>
      <c r="AJ1230" s="289">
        <v>0</v>
      </c>
    </row>
    <row r="1231" spans="2:36">
      <c r="B1231" s="290">
        <v>2111</v>
      </c>
      <c r="C1231" s="294">
        <v>44884</v>
      </c>
      <c r="D1231" s="290">
        <v>0</v>
      </c>
      <c r="E1231" s="289" t="s">
        <v>3432</v>
      </c>
      <c r="F1231" s="290">
        <v>0</v>
      </c>
      <c r="G1231" s="289"/>
      <c r="H1231" s="289">
        <v>0</v>
      </c>
      <c r="I1231" s="289"/>
      <c r="J1231" s="289">
        <v>0</v>
      </c>
      <c r="K1231" s="289" t="s">
        <v>3433</v>
      </c>
      <c r="L1231" s="289"/>
      <c r="M1231" s="289"/>
      <c r="N1231" s="293">
        <v>38897</v>
      </c>
      <c r="O1231" s="293">
        <v>38897</v>
      </c>
      <c r="P1231" s="289" t="s">
        <v>3434</v>
      </c>
      <c r="Q1231" s="290">
        <v>500</v>
      </c>
      <c r="R1231" s="290">
        <v>14080</v>
      </c>
      <c r="S1231" s="291">
        <v>5578.4</v>
      </c>
      <c r="T1231" s="290">
        <v>14086</v>
      </c>
      <c r="U1231" s="291">
        <v>5578.4</v>
      </c>
      <c r="V1231" s="291">
        <f t="shared" si="19"/>
        <v>0</v>
      </c>
      <c r="W1231" s="292">
        <v>0</v>
      </c>
      <c r="X1231" s="290">
        <v>57260</v>
      </c>
      <c r="Y1231" s="291">
        <v>0</v>
      </c>
      <c r="Z1231" s="289" t="s">
        <v>944</v>
      </c>
      <c r="AA1231" s="289"/>
      <c r="AB1231" s="289" t="s">
        <v>3435</v>
      </c>
      <c r="AC1231" s="289"/>
      <c r="AD1231" s="289" t="s">
        <v>1446</v>
      </c>
      <c r="AE1231" s="289" t="s">
        <v>410</v>
      </c>
      <c r="AF1231" s="290" t="s">
        <v>1447</v>
      </c>
      <c r="AG1231" s="289"/>
      <c r="AH1231" s="290" t="s">
        <v>1448</v>
      </c>
      <c r="AI1231" s="289">
        <v>0</v>
      </c>
      <c r="AJ1231" s="289">
        <v>0</v>
      </c>
    </row>
    <row r="1232" spans="2:36">
      <c r="B1232" s="290">
        <v>2111</v>
      </c>
      <c r="C1232" s="294">
        <v>44646</v>
      </c>
      <c r="D1232" s="290" t="s">
        <v>944</v>
      </c>
      <c r="E1232" s="289" t="s">
        <v>2431</v>
      </c>
      <c r="F1232" s="290">
        <v>588</v>
      </c>
      <c r="G1232" s="289"/>
      <c r="H1232" s="289">
        <v>0</v>
      </c>
      <c r="I1232" s="289"/>
      <c r="J1232" s="289">
        <v>0</v>
      </c>
      <c r="K1232" s="289" t="s">
        <v>2342</v>
      </c>
      <c r="L1232" s="289"/>
      <c r="M1232" s="289"/>
      <c r="N1232" s="293">
        <v>38910</v>
      </c>
      <c r="O1232" s="293">
        <v>38910</v>
      </c>
      <c r="P1232" s="289" t="s">
        <v>3436</v>
      </c>
      <c r="Q1232" s="290">
        <v>700</v>
      </c>
      <c r="R1232" s="290">
        <v>14050</v>
      </c>
      <c r="S1232" s="291">
        <v>35666.82</v>
      </c>
      <c r="T1232" s="290">
        <v>14056</v>
      </c>
      <c r="U1232" s="291">
        <v>35666.82</v>
      </c>
      <c r="V1232" s="291">
        <f t="shared" si="19"/>
        <v>0</v>
      </c>
      <c r="W1232" s="292">
        <v>0</v>
      </c>
      <c r="X1232" s="290">
        <v>54260</v>
      </c>
      <c r="Y1232" s="291">
        <v>0</v>
      </c>
      <c r="Z1232" s="289" t="s">
        <v>944</v>
      </c>
      <c r="AA1232" s="289"/>
      <c r="AB1232" s="289" t="s">
        <v>3437</v>
      </c>
      <c r="AC1232" s="289"/>
      <c r="AD1232" s="289" t="s">
        <v>1446</v>
      </c>
      <c r="AE1232" s="289" t="s">
        <v>410</v>
      </c>
      <c r="AF1232" s="290" t="s">
        <v>1447</v>
      </c>
      <c r="AG1232" s="289"/>
      <c r="AH1232" s="290" t="s">
        <v>1448</v>
      </c>
      <c r="AI1232" s="289">
        <v>0</v>
      </c>
      <c r="AJ1232" s="289">
        <v>0</v>
      </c>
    </row>
    <row r="1233" spans="2:36">
      <c r="B1233" s="290">
        <v>2111</v>
      </c>
      <c r="C1233" s="294">
        <v>43885</v>
      </c>
      <c r="D1233" s="290" t="s">
        <v>944</v>
      </c>
      <c r="E1233" s="289" t="s">
        <v>2621</v>
      </c>
      <c r="F1233" s="290">
        <v>432</v>
      </c>
      <c r="G1233" s="289"/>
      <c r="H1233" s="289" t="s">
        <v>3438</v>
      </c>
      <c r="I1233" s="289"/>
      <c r="J1233" s="289">
        <v>1997</v>
      </c>
      <c r="K1233" s="289" t="s">
        <v>2578</v>
      </c>
      <c r="L1233" s="289" t="s">
        <v>2214</v>
      </c>
      <c r="M1233" s="289" t="s">
        <v>1495</v>
      </c>
      <c r="N1233" s="293">
        <v>35552</v>
      </c>
      <c r="O1233" s="293">
        <v>35552</v>
      </c>
      <c r="P1233" s="289"/>
      <c r="Q1233" s="290">
        <v>500</v>
      </c>
      <c r="R1233" s="290">
        <v>14050</v>
      </c>
      <c r="S1233" s="291">
        <v>22477.83</v>
      </c>
      <c r="T1233" s="290">
        <v>14056</v>
      </c>
      <c r="U1233" s="291">
        <v>22477.83</v>
      </c>
      <c r="V1233" s="291">
        <f t="shared" si="19"/>
        <v>0</v>
      </c>
      <c r="W1233" s="292">
        <v>0</v>
      </c>
      <c r="X1233" s="290">
        <v>54260</v>
      </c>
      <c r="Y1233" s="291">
        <v>0</v>
      </c>
      <c r="Z1233" s="289" t="s">
        <v>410</v>
      </c>
      <c r="AA1233" s="289" t="s">
        <v>3044</v>
      </c>
      <c r="AB1233" s="289"/>
      <c r="AC1233" s="289"/>
      <c r="AD1233" s="289" t="s">
        <v>1446</v>
      </c>
      <c r="AE1233" s="289" t="s">
        <v>410</v>
      </c>
      <c r="AF1233" s="290" t="s">
        <v>1447</v>
      </c>
      <c r="AG1233" s="295">
        <v>38868</v>
      </c>
      <c r="AH1233" s="290" t="s">
        <v>1448</v>
      </c>
      <c r="AI1233" s="289">
        <v>0</v>
      </c>
      <c r="AJ1233" s="289">
        <v>22477.83</v>
      </c>
    </row>
    <row r="1234" spans="2:36">
      <c r="B1234" s="290">
        <v>2111</v>
      </c>
      <c r="C1234" s="294">
        <v>43215</v>
      </c>
      <c r="D1234" s="290" t="s">
        <v>944</v>
      </c>
      <c r="E1234" s="289" t="s">
        <v>3439</v>
      </c>
      <c r="F1234" s="290">
        <v>3300</v>
      </c>
      <c r="G1234" s="289"/>
      <c r="H1234" s="289">
        <v>0</v>
      </c>
      <c r="I1234" s="289"/>
      <c r="J1234" s="289">
        <v>0</v>
      </c>
      <c r="K1234" s="289" t="s">
        <v>2342</v>
      </c>
      <c r="L1234" s="289"/>
      <c r="M1234" s="289"/>
      <c r="N1234" s="293">
        <v>38756</v>
      </c>
      <c r="O1234" s="293">
        <v>38756</v>
      </c>
      <c r="P1234" s="289" t="s">
        <v>3440</v>
      </c>
      <c r="Q1234" s="290">
        <v>700</v>
      </c>
      <c r="R1234" s="290">
        <v>14050</v>
      </c>
      <c r="S1234" s="291">
        <v>9873.6</v>
      </c>
      <c r="T1234" s="290">
        <v>14056</v>
      </c>
      <c r="U1234" s="291">
        <v>9873.6</v>
      </c>
      <c r="V1234" s="291">
        <f t="shared" si="19"/>
        <v>0</v>
      </c>
      <c r="W1234" s="292">
        <v>0</v>
      </c>
      <c r="X1234" s="290">
        <v>54260</v>
      </c>
      <c r="Y1234" s="291">
        <v>0</v>
      </c>
      <c r="Z1234" s="289" t="s">
        <v>944</v>
      </c>
      <c r="AA1234" s="289">
        <v>0</v>
      </c>
      <c r="AB1234" s="289" t="s">
        <v>3441</v>
      </c>
      <c r="AC1234" s="289"/>
      <c r="AD1234" s="289" t="s">
        <v>1446</v>
      </c>
      <c r="AE1234" s="289" t="s">
        <v>410</v>
      </c>
      <c r="AF1234" s="290" t="s">
        <v>1447</v>
      </c>
      <c r="AG1234" s="295">
        <v>38837</v>
      </c>
      <c r="AH1234" s="290" t="s">
        <v>1448</v>
      </c>
      <c r="AI1234" s="289">
        <v>0</v>
      </c>
      <c r="AJ1234" s="289">
        <v>352.63</v>
      </c>
    </row>
    <row r="1235" spans="2:36">
      <c r="B1235" s="290">
        <v>2111</v>
      </c>
      <c r="C1235" s="294">
        <v>43214</v>
      </c>
      <c r="D1235" s="290" t="s">
        <v>944</v>
      </c>
      <c r="E1235" s="289" t="s">
        <v>2431</v>
      </c>
      <c r="F1235" s="290">
        <v>91</v>
      </c>
      <c r="G1235" s="289"/>
      <c r="H1235" s="289">
        <v>0</v>
      </c>
      <c r="I1235" s="289"/>
      <c r="J1235" s="289">
        <v>0</v>
      </c>
      <c r="K1235" s="289" t="s">
        <v>2342</v>
      </c>
      <c r="L1235" s="289"/>
      <c r="M1235" s="289"/>
      <c r="N1235" s="293">
        <v>38747</v>
      </c>
      <c r="O1235" s="293">
        <v>38747</v>
      </c>
      <c r="P1235" s="289" t="s">
        <v>3440</v>
      </c>
      <c r="Q1235" s="290">
        <v>700</v>
      </c>
      <c r="R1235" s="290">
        <v>14050</v>
      </c>
      <c r="S1235" s="291">
        <v>7350.9</v>
      </c>
      <c r="T1235" s="290">
        <v>14056</v>
      </c>
      <c r="U1235" s="291">
        <v>7350.9</v>
      </c>
      <c r="V1235" s="291">
        <f t="shared" si="19"/>
        <v>0</v>
      </c>
      <c r="W1235" s="292">
        <v>0</v>
      </c>
      <c r="X1235" s="290">
        <v>54260</v>
      </c>
      <c r="Y1235" s="291">
        <v>0</v>
      </c>
      <c r="Z1235" s="289" t="s">
        <v>944</v>
      </c>
      <c r="AA1235" s="289">
        <v>0</v>
      </c>
      <c r="AB1235" s="289" t="s">
        <v>3442</v>
      </c>
      <c r="AC1235" s="289"/>
      <c r="AD1235" s="289" t="s">
        <v>1446</v>
      </c>
      <c r="AE1235" s="289" t="s">
        <v>410</v>
      </c>
      <c r="AF1235" s="290" t="s">
        <v>1447</v>
      </c>
      <c r="AG1235" s="295">
        <v>38837</v>
      </c>
      <c r="AH1235" s="290" t="s">
        <v>1448</v>
      </c>
      <c r="AI1235" s="289">
        <v>0</v>
      </c>
      <c r="AJ1235" s="289">
        <v>262.54000000000002</v>
      </c>
    </row>
    <row r="1236" spans="2:36">
      <c r="B1236" s="290">
        <v>2111</v>
      </c>
      <c r="C1236" s="294">
        <v>43213</v>
      </c>
      <c r="D1236" s="290" t="s">
        <v>944</v>
      </c>
      <c r="E1236" s="289" t="s">
        <v>3443</v>
      </c>
      <c r="F1236" s="290">
        <v>720</v>
      </c>
      <c r="G1236" s="289"/>
      <c r="H1236" s="289">
        <v>0</v>
      </c>
      <c r="I1236" s="289"/>
      <c r="J1236" s="289">
        <v>0</v>
      </c>
      <c r="K1236" s="289" t="s">
        <v>2342</v>
      </c>
      <c r="L1236" s="289"/>
      <c r="M1236" s="289"/>
      <c r="N1236" s="293">
        <v>38736</v>
      </c>
      <c r="O1236" s="293">
        <v>38736</v>
      </c>
      <c r="P1236" s="289" t="s">
        <v>3440</v>
      </c>
      <c r="Q1236" s="290">
        <v>700</v>
      </c>
      <c r="R1236" s="290">
        <v>14050</v>
      </c>
      <c r="S1236" s="291">
        <v>41441.919999999998</v>
      </c>
      <c r="T1236" s="290">
        <v>14056</v>
      </c>
      <c r="U1236" s="291">
        <v>41441.919999999998</v>
      </c>
      <c r="V1236" s="291">
        <f t="shared" si="19"/>
        <v>0</v>
      </c>
      <c r="W1236" s="292">
        <v>0</v>
      </c>
      <c r="X1236" s="290">
        <v>54260</v>
      </c>
      <c r="Y1236" s="291">
        <v>0</v>
      </c>
      <c r="Z1236" s="289" t="s">
        <v>944</v>
      </c>
      <c r="AA1236" s="289">
        <v>0</v>
      </c>
      <c r="AB1236" s="289" t="s">
        <v>3444</v>
      </c>
      <c r="AC1236" s="289"/>
      <c r="AD1236" s="289" t="s">
        <v>1446</v>
      </c>
      <c r="AE1236" s="289" t="s">
        <v>410</v>
      </c>
      <c r="AF1236" s="290" t="s">
        <v>1447</v>
      </c>
      <c r="AG1236" s="295">
        <v>38837</v>
      </c>
      <c r="AH1236" s="290" t="s">
        <v>1448</v>
      </c>
      <c r="AI1236" s="289">
        <v>0</v>
      </c>
      <c r="AJ1236" s="289">
        <v>1480.06</v>
      </c>
    </row>
    <row r="1237" spans="2:36">
      <c r="B1237" s="290">
        <v>2111</v>
      </c>
      <c r="C1237" s="294">
        <v>43212</v>
      </c>
      <c r="D1237" s="290" t="s">
        <v>944</v>
      </c>
      <c r="E1237" s="289" t="s">
        <v>3445</v>
      </c>
      <c r="F1237" s="290">
        <v>720</v>
      </c>
      <c r="G1237" s="289"/>
      <c r="H1237" s="289">
        <v>0</v>
      </c>
      <c r="I1237" s="289"/>
      <c r="J1237" s="289">
        <v>0</v>
      </c>
      <c r="K1237" s="289" t="s">
        <v>2342</v>
      </c>
      <c r="L1237" s="289"/>
      <c r="M1237" s="289"/>
      <c r="N1237" s="293">
        <v>38741</v>
      </c>
      <c r="O1237" s="293">
        <v>38741</v>
      </c>
      <c r="P1237" s="289" t="s">
        <v>3440</v>
      </c>
      <c r="Q1237" s="290">
        <v>700</v>
      </c>
      <c r="R1237" s="290">
        <v>14050</v>
      </c>
      <c r="S1237" s="291">
        <v>41441.919999999998</v>
      </c>
      <c r="T1237" s="290">
        <v>14056</v>
      </c>
      <c r="U1237" s="291">
        <v>41441.919999999998</v>
      </c>
      <c r="V1237" s="291">
        <f t="shared" si="19"/>
        <v>0</v>
      </c>
      <c r="W1237" s="292">
        <v>0</v>
      </c>
      <c r="X1237" s="290">
        <v>54260</v>
      </c>
      <c r="Y1237" s="291">
        <v>0</v>
      </c>
      <c r="Z1237" s="289" t="s">
        <v>944</v>
      </c>
      <c r="AA1237" s="289">
        <v>0</v>
      </c>
      <c r="AB1237" s="289" t="s">
        <v>3446</v>
      </c>
      <c r="AC1237" s="289"/>
      <c r="AD1237" s="289" t="s">
        <v>1446</v>
      </c>
      <c r="AE1237" s="289" t="s">
        <v>410</v>
      </c>
      <c r="AF1237" s="290" t="s">
        <v>1447</v>
      </c>
      <c r="AG1237" s="295">
        <v>38837</v>
      </c>
      <c r="AH1237" s="290" t="s">
        <v>1448</v>
      </c>
      <c r="AI1237" s="289">
        <v>0</v>
      </c>
      <c r="AJ1237" s="289">
        <v>1480.06</v>
      </c>
    </row>
    <row r="1238" spans="2:36">
      <c r="B1238" s="290">
        <v>2111</v>
      </c>
      <c r="C1238" s="294">
        <v>43211</v>
      </c>
      <c r="D1238" s="290" t="s">
        <v>944</v>
      </c>
      <c r="E1238" s="289" t="s">
        <v>3445</v>
      </c>
      <c r="F1238" s="290">
        <v>720</v>
      </c>
      <c r="G1238" s="289"/>
      <c r="H1238" s="289">
        <v>0</v>
      </c>
      <c r="I1238" s="289"/>
      <c r="J1238" s="289">
        <v>0</v>
      </c>
      <c r="K1238" s="289" t="s">
        <v>2342</v>
      </c>
      <c r="L1238" s="289"/>
      <c r="M1238" s="289"/>
      <c r="N1238" s="293">
        <v>38740</v>
      </c>
      <c r="O1238" s="293">
        <v>38740</v>
      </c>
      <c r="P1238" s="289" t="s">
        <v>3440</v>
      </c>
      <c r="Q1238" s="290">
        <v>700</v>
      </c>
      <c r="R1238" s="290">
        <v>14050</v>
      </c>
      <c r="S1238" s="291">
        <v>41441.919999999998</v>
      </c>
      <c r="T1238" s="290">
        <v>14056</v>
      </c>
      <c r="U1238" s="291">
        <v>41441.919999999998</v>
      </c>
      <c r="V1238" s="291">
        <f t="shared" si="19"/>
        <v>0</v>
      </c>
      <c r="W1238" s="292">
        <v>0</v>
      </c>
      <c r="X1238" s="290">
        <v>54260</v>
      </c>
      <c r="Y1238" s="291">
        <v>0</v>
      </c>
      <c r="Z1238" s="289" t="s">
        <v>944</v>
      </c>
      <c r="AA1238" s="289">
        <v>0</v>
      </c>
      <c r="AB1238" s="289" t="s">
        <v>3447</v>
      </c>
      <c r="AC1238" s="289"/>
      <c r="AD1238" s="289" t="s">
        <v>1446</v>
      </c>
      <c r="AE1238" s="289" t="s">
        <v>410</v>
      </c>
      <c r="AF1238" s="290" t="s">
        <v>1447</v>
      </c>
      <c r="AG1238" s="295">
        <v>38837</v>
      </c>
      <c r="AH1238" s="290" t="s">
        <v>1448</v>
      </c>
      <c r="AI1238" s="289">
        <v>0</v>
      </c>
      <c r="AJ1238" s="289">
        <v>1480.06</v>
      </c>
    </row>
    <row r="1239" spans="2:36">
      <c r="B1239" s="290">
        <v>2111</v>
      </c>
      <c r="C1239" s="294">
        <v>43210</v>
      </c>
      <c r="D1239" s="290" t="s">
        <v>944</v>
      </c>
      <c r="E1239" s="289" t="s">
        <v>3443</v>
      </c>
      <c r="F1239" s="290">
        <v>720</v>
      </c>
      <c r="G1239" s="289"/>
      <c r="H1239" s="289">
        <v>0</v>
      </c>
      <c r="I1239" s="289"/>
      <c r="J1239" s="289">
        <v>0</v>
      </c>
      <c r="K1239" s="289" t="s">
        <v>2342</v>
      </c>
      <c r="L1239" s="289"/>
      <c r="M1239" s="289"/>
      <c r="N1239" s="293">
        <v>38737</v>
      </c>
      <c r="O1239" s="293">
        <v>38737</v>
      </c>
      <c r="P1239" s="289" t="s">
        <v>3440</v>
      </c>
      <c r="Q1239" s="290">
        <v>700</v>
      </c>
      <c r="R1239" s="290">
        <v>14050</v>
      </c>
      <c r="S1239" s="291">
        <v>38554.18</v>
      </c>
      <c r="T1239" s="290">
        <v>14056</v>
      </c>
      <c r="U1239" s="291">
        <v>38554.18</v>
      </c>
      <c r="V1239" s="291">
        <f t="shared" si="19"/>
        <v>0</v>
      </c>
      <c r="W1239" s="292">
        <v>0</v>
      </c>
      <c r="X1239" s="290">
        <v>54260</v>
      </c>
      <c r="Y1239" s="291">
        <v>0</v>
      </c>
      <c r="Z1239" s="289" t="s">
        <v>944</v>
      </c>
      <c r="AA1239" s="289">
        <v>0</v>
      </c>
      <c r="AB1239" s="289" t="s">
        <v>3448</v>
      </c>
      <c r="AC1239" s="289"/>
      <c r="AD1239" s="289" t="s">
        <v>1446</v>
      </c>
      <c r="AE1239" s="289" t="s">
        <v>410</v>
      </c>
      <c r="AF1239" s="290" t="s">
        <v>1447</v>
      </c>
      <c r="AG1239" s="295">
        <v>38837</v>
      </c>
      <c r="AH1239" s="290" t="s">
        <v>1448</v>
      </c>
      <c r="AI1239" s="289">
        <v>0</v>
      </c>
      <c r="AJ1239" s="289">
        <v>1376.94</v>
      </c>
    </row>
    <row r="1240" spans="2:36">
      <c r="B1240" s="290">
        <v>2111</v>
      </c>
      <c r="C1240" s="294">
        <v>43209</v>
      </c>
      <c r="D1240" s="290" t="s">
        <v>944</v>
      </c>
      <c r="E1240" s="289" t="s">
        <v>3445</v>
      </c>
      <c r="F1240" s="290">
        <v>720</v>
      </c>
      <c r="G1240" s="289"/>
      <c r="H1240" s="289">
        <v>0</v>
      </c>
      <c r="I1240" s="289"/>
      <c r="J1240" s="289">
        <v>0</v>
      </c>
      <c r="K1240" s="289" t="s">
        <v>2342</v>
      </c>
      <c r="L1240" s="289"/>
      <c r="M1240" s="289"/>
      <c r="N1240" s="293">
        <v>38743</v>
      </c>
      <c r="O1240" s="293">
        <v>38743</v>
      </c>
      <c r="P1240" s="289" t="s">
        <v>3440</v>
      </c>
      <c r="Q1240" s="290">
        <v>700</v>
      </c>
      <c r="R1240" s="290">
        <v>14050</v>
      </c>
      <c r="S1240" s="291">
        <v>41226.32</v>
      </c>
      <c r="T1240" s="290">
        <v>14056</v>
      </c>
      <c r="U1240" s="291">
        <v>41226.32</v>
      </c>
      <c r="V1240" s="291">
        <f t="shared" si="19"/>
        <v>0</v>
      </c>
      <c r="W1240" s="292">
        <v>0</v>
      </c>
      <c r="X1240" s="290">
        <v>54260</v>
      </c>
      <c r="Y1240" s="291">
        <v>0</v>
      </c>
      <c r="Z1240" s="289" t="s">
        <v>944</v>
      </c>
      <c r="AA1240" s="289">
        <v>0</v>
      </c>
      <c r="AB1240" s="289" t="s">
        <v>3449</v>
      </c>
      <c r="AC1240" s="289"/>
      <c r="AD1240" s="289" t="s">
        <v>1446</v>
      </c>
      <c r="AE1240" s="289" t="s">
        <v>410</v>
      </c>
      <c r="AF1240" s="290" t="s">
        <v>1447</v>
      </c>
      <c r="AG1240" s="295">
        <v>38837</v>
      </c>
      <c r="AH1240" s="290" t="s">
        <v>1448</v>
      </c>
      <c r="AI1240" s="289">
        <v>0</v>
      </c>
      <c r="AJ1240" s="289">
        <v>1472.37</v>
      </c>
    </row>
    <row r="1241" spans="2:36">
      <c r="B1241" s="290">
        <v>2111</v>
      </c>
      <c r="C1241" s="294">
        <v>43208</v>
      </c>
      <c r="D1241" s="290" t="s">
        <v>944</v>
      </c>
      <c r="E1241" s="289" t="s">
        <v>3445</v>
      </c>
      <c r="F1241" s="290">
        <v>720</v>
      </c>
      <c r="G1241" s="289"/>
      <c r="H1241" s="289">
        <v>0</v>
      </c>
      <c r="I1241" s="289"/>
      <c r="J1241" s="289">
        <v>0</v>
      </c>
      <c r="K1241" s="289" t="s">
        <v>2342</v>
      </c>
      <c r="L1241" s="289"/>
      <c r="M1241" s="289"/>
      <c r="N1241" s="293">
        <v>38740</v>
      </c>
      <c r="O1241" s="293">
        <v>38740</v>
      </c>
      <c r="P1241" s="289" t="s">
        <v>3440</v>
      </c>
      <c r="Q1241" s="290">
        <v>700</v>
      </c>
      <c r="R1241" s="290">
        <v>14050</v>
      </c>
      <c r="S1241" s="291">
        <v>41226.32</v>
      </c>
      <c r="T1241" s="290">
        <v>14056</v>
      </c>
      <c r="U1241" s="291">
        <v>41226.32</v>
      </c>
      <c r="V1241" s="291">
        <f t="shared" si="19"/>
        <v>0</v>
      </c>
      <c r="W1241" s="292">
        <v>0</v>
      </c>
      <c r="X1241" s="290">
        <v>54260</v>
      </c>
      <c r="Y1241" s="291">
        <v>0</v>
      </c>
      <c r="Z1241" s="289" t="s">
        <v>944</v>
      </c>
      <c r="AA1241" s="289">
        <v>0</v>
      </c>
      <c r="AB1241" s="289" t="s">
        <v>3450</v>
      </c>
      <c r="AC1241" s="289"/>
      <c r="AD1241" s="289" t="s">
        <v>1446</v>
      </c>
      <c r="AE1241" s="289" t="s">
        <v>410</v>
      </c>
      <c r="AF1241" s="290" t="s">
        <v>1447</v>
      </c>
      <c r="AG1241" s="295">
        <v>38837</v>
      </c>
      <c r="AH1241" s="290" t="s">
        <v>1448</v>
      </c>
      <c r="AI1241" s="289">
        <v>0</v>
      </c>
      <c r="AJ1241" s="289">
        <v>1472.37</v>
      </c>
    </row>
    <row r="1242" spans="2:36">
      <c r="B1242" s="290">
        <v>2111</v>
      </c>
      <c r="C1242" s="294">
        <v>43207</v>
      </c>
      <c r="D1242" s="290" t="s">
        <v>944</v>
      </c>
      <c r="E1242" s="289" t="s">
        <v>3445</v>
      </c>
      <c r="F1242" s="290">
        <v>56</v>
      </c>
      <c r="G1242" s="289"/>
      <c r="H1242" s="289">
        <v>0</v>
      </c>
      <c r="I1242" s="289"/>
      <c r="J1242" s="289">
        <v>0</v>
      </c>
      <c r="K1242" s="289" t="s">
        <v>2342</v>
      </c>
      <c r="L1242" s="289"/>
      <c r="M1242" s="289"/>
      <c r="N1242" s="293">
        <v>38747</v>
      </c>
      <c r="O1242" s="293">
        <v>38747</v>
      </c>
      <c r="P1242" s="289" t="s">
        <v>3440</v>
      </c>
      <c r="Q1242" s="290">
        <v>700</v>
      </c>
      <c r="R1242" s="290">
        <v>14050</v>
      </c>
      <c r="S1242" s="291">
        <v>5344.08</v>
      </c>
      <c r="T1242" s="290">
        <v>14056</v>
      </c>
      <c r="U1242" s="291">
        <v>5344.08</v>
      </c>
      <c r="V1242" s="291">
        <f t="shared" si="19"/>
        <v>0</v>
      </c>
      <c r="W1242" s="292">
        <v>0</v>
      </c>
      <c r="X1242" s="290">
        <v>54260</v>
      </c>
      <c r="Y1242" s="291">
        <v>0</v>
      </c>
      <c r="Z1242" s="289" t="s">
        <v>944</v>
      </c>
      <c r="AA1242" s="289">
        <v>0</v>
      </c>
      <c r="AB1242" s="289" t="s">
        <v>3451</v>
      </c>
      <c r="AC1242" s="289"/>
      <c r="AD1242" s="289" t="s">
        <v>1446</v>
      </c>
      <c r="AE1242" s="289" t="s">
        <v>410</v>
      </c>
      <c r="AF1242" s="290" t="s">
        <v>1447</v>
      </c>
      <c r="AG1242" s="295">
        <v>38837</v>
      </c>
      <c r="AH1242" s="290" t="s">
        <v>1448</v>
      </c>
      <c r="AI1242" s="289">
        <v>0</v>
      </c>
      <c r="AJ1242" s="289">
        <v>190.86</v>
      </c>
    </row>
    <row r="1243" spans="2:36">
      <c r="B1243" s="290">
        <v>2111</v>
      </c>
      <c r="C1243" s="294">
        <v>43206</v>
      </c>
      <c r="D1243" s="290" t="s">
        <v>944</v>
      </c>
      <c r="E1243" s="289" t="s">
        <v>3445</v>
      </c>
      <c r="F1243" s="290">
        <v>720</v>
      </c>
      <c r="G1243" s="289"/>
      <c r="H1243" s="289">
        <v>0</v>
      </c>
      <c r="I1243" s="289"/>
      <c r="J1243" s="289">
        <v>0</v>
      </c>
      <c r="K1243" s="289" t="s">
        <v>2342</v>
      </c>
      <c r="L1243" s="289"/>
      <c r="M1243" s="289"/>
      <c r="N1243" s="293">
        <v>38742</v>
      </c>
      <c r="O1243" s="293">
        <v>38742</v>
      </c>
      <c r="P1243" s="289" t="s">
        <v>3440</v>
      </c>
      <c r="Q1243" s="290">
        <v>700</v>
      </c>
      <c r="R1243" s="290">
        <v>14050</v>
      </c>
      <c r="S1243" s="291">
        <v>41441.919999999998</v>
      </c>
      <c r="T1243" s="290">
        <v>14056</v>
      </c>
      <c r="U1243" s="291">
        <v>41441.919999999998</v>
      </c>
      <c r="V1243" s="291">
        <f t="shared" si="19"/>
        <v>0</v>
      </c>
      <c r="W1243" s="292">
        <v>0</v>
      </c>
      <c r="X1243" s="290">
        <v>54260</v>
      </c>
      <c r="Y1243" s="291">
        <v>0</v>
      </c>
      <c r="Z1243" s="289" t="s">
        <v>944</v>
      </c>
      <c r="AA1243" s="289">
        <v>0</v>
      </c>
      <c r="AB1243" s="289" t="s">
        <v>3452</v>
      </c>
      <c r="AC1243" s="289"/>
      <c r="AD1243" s="289" t="s">
        <v>1446</v>
      </c>
      <c r="AE1243" s="289" t="s">
        <v>410</v>
      </c>
      <c r="AF1243" s="290" t="s">
        <v>1447</v>
      </c>
      <c r="AG1243" s="295">
        <v>38837</v>
      </c>
      <c r="AH1243" s="290" t="s">
        <v>1448</v>
      </c>
      <c r="AI1243" s="289">
        <v>0</v>
      </c>
      <c r="AJ1243" s="289">
        <v>1480.06</v>
      </c>
    </row>
    <row r="1244" spans="2:36">
      <c r="B1244" s="290">
        <v>2111</v>
      </c>
      <c r="C1244" s="294">
        <v>43205</v>
      </c>
      <c r="D1244" s="290" t="s">
        <v>944</v>
      </c>
      <c r="E1244" s="289" t="s">
        <v>3453</v>
      </c>
      <c r="F1244" s="290">
        <v>0</v>
      </c>
      <c r="G1244" s="289"/>
      <c r="H1244" s="289">
        <v>0</v>
      </c>
      <c r="I1244" s="289"/>
      <c r="J1244" s="289">
        <v>0</v>
      </c>
      <c r="K1244" s="289" t="s">
        <v>2342</v>
      </c>
      <c r="L1244" s="289"/>
      <c r="M1244" s="289" t="s">
        <v>2428</v>
      </c>
      <c r="N1244" s="293">
        <v>38757</v>
      </c>
      <c r="O1244" s="293">
        <v>38757</v>
      </c>
      <c r="P1244" s="289" t="s">
        <v>3440</v>
      </c>
      <c r="Q1244" s="290">
        <v>700</v>
      </c>
      <c r="R1244" s="290">
        <v>14050</v>
      </c>
      <c r="S1244" s="291">
        <v>648.79999999999995</v>
      </c>
      <c r="T1244" s="290">
        <v>14056</v>
      </c>
      <c r="U1244" s="291">
        <v>648.79999999999995</v>
      </c>
      <c r="V1244" s="291">
        <f t="shared" si="19"/>
        <v>0</v>
      </c>
      <c r="W1244" s="292">
        <v>0</v>
      </c>
      <c r="X1244" s="290">
        <v>54260</v>
      </c>
      <c r="Y1244" s="291">
        <v>0</v>
      </c>
      <c r="Z1244" s="289" t="s">
        <v>944</v>
      </c>
      <c r="AA1244" s="289">
        <v>0</v>
      </c>
      <c r="AB1244" s="289" t="s">
        <v>3454</v>
      </c>
      <c r="AC1244" s="289"/>
      <c r="AD1244" s="289" t="s">
        <v>1446</v>
      </c>
      <c r="AE1244" s="289" t="s">
        <v>410</v>
      </c>
      <c r="AF1244" s="290" t="s">
        <v>1447</v>
      </c>
      <c r="AG1244" s="295">
        <v>38837</v>
      </c>
      <c r="AH1244" s="290" t="s">
        <v>1448</v>
      </c>
      <c r="AI1244" s="289">
        <v>0</v>
      </c>
      <c r="AJ1244" s="289">
        <v>23.17</v>
      </c>
    </row>
    <row r="1245" spans="2:36">
      <c r="B1245" s="290">
        <v>2111</v>
      </c>
      <c r="C1245" s="294">
        <v>43204</v>
      </c>
      <c r="D1245" s="290" t="s">
        <v>944</v>
      </c>
      <c r="E1245" s="289" t="s">
        <v>3445</v>
      </c>
      <c r="F1245" s="290">
        <v>720</v>
      </c>
      <c r="G1245" s="289"/>
      <c r="H1245" s="289">
        <v>0</v>
      </c>
      <c r="I1245" s="289"/>
      <c r="J1245" s="289">
        <v>0</v>
      </c>
      <c r="K1245" s="289" t="s">
        <v>2342</v>
      </c>
      <c r="L1245" s="289"/>
      <c r="M1245" s="289"/>
      <c r="N1245" s="293">
        <v>38737</v>
      </c>
      <c r="O1245" s="293">
        <v>38737</v>
      </c>
      <c r="P1245" s="289" t="s">
        <v>3440</v>
      </c>
      <c r="Q1245" s="290">
        <v>700</v>
      </c>
      <c r="R1245" s="290">
        <v>14050</v>
      </c>
      <c r="S1245" s="291">
        <v>41226.32</v>
      </c>
      <c r="T1245" s="290">
        <v>14056</v>
      </c>
      <c r="U1245" s="291">
        <v>41226.32</v>
      </c>
      <c r="V1245" s="291">
        <f t="shared" si="19"/>
        <v>0</v>
      </c>
      <c r="W1245" s="292">
        <v>0</v>
      </c>
      <c r="X1245" s="290">
        <v>54260</v>
      </c>
      <c r="Y1245" s="291">
        <v>0</v>
      </c>
      <c r="Z1245" s="289" t="s">
        <v>944</v>
      </c>
      <c r="AA1245" s="289">
        <v>0</v>
      </c>
      <c r="AB1245" s="289" t="s">
        <v>3455</v>
      </c>
      <c r="AC1245" s="289"/>
      <c r="AD1245" s="289" t="s">
        <v>1446</v>
      </c>
      <c r="AE1245" s="289" t="s">
        <v>410</v>
      </c>
      <c r="AF1245" s="290" t="s">
        <v>1447</v>
      </c>
      <c r="AG1245" s="295">
        <v>38837</v>
      </c>
      <c r="AH1245" s="290" t="s">
        <v>1448</v>
      </c>
      <c r="AI1245" s="289">
        <v>0</v>
      </c>
      <c r="AJ1245" s="289">
        <v>1472.37</v>
      </c>
    </row>
    <row r="1246" spans="2:36">
      <c r="B1246" s="290">
        <v>2111</v>
      </c>
      <c r="C1246" s="294">
        <v>43052</v>
      </c>
      <c r="D1246" s="290" t="s">
        <v>944</v>
      </c>
      <c r="E1246" s="289" t="s">
        <v>682</v>
      </c>
      <c r="F1246" s="290">
        <v>12</v>
      </c>
      <c r="G1246" s="289"/>
      <c r="H1246" s="289">
        <v>0</v>
      </c>
      <c r="I1246" s="289"/>
      <c r="J1246" s="289">
        <v>0</v>
      </c>
      <c r="K1246" s="289" t="s">
        <v>2257</v>
      </c>
      <c r="L1246" s="289"/>
      <c r="M1246" s="289" t="s">
        <v>1659</v>
      </c>
      <c r="N1246" s="293">
        <v>38835</v>
      </c>
      <c r="O1246" s="293">
        <v>38835</v>
      </c>
      <c r="P1246" s="289" t="s">
        <v>3456</v>
      </c>
      <c r="Q1246" s="290">
        <v>1200</v>
      </c>
      <c r="R1246" s="290">
        <v>14050</v>
      </c>
      <c r="S1246" s="291">
        <v>5679.36</v>
      </c>
      <c r="T1246" s="290">
        <v>14056</v>
      </c>
      <c r="U1246" s="291">
        <v>5679.36</v>
      </c>
      <c r="V1246" s="291">
        <f t="shared" si="19"/>
        <v>0</v>
      </c>
      <c r="W1246" s="292">
        <v>0</v>
      </c>
      <c r="X1246" s="290">
        <v>54260</v>
      </c>
      <c r="Y1246" s="291">
        <v>0</v>
      </c>
      <c r="Z1246" s="289" t="s">
        <v>944</v>
      </c>
      <c r="AA1246" s="289"/>
      <c r="AB1246" s="289">
        <v>10488</v>
      </c>
      <c r="AC1246" s="289"/>
      <c r="AD1246" s="289" t="s">
        <v>1446</v>
      </c>
      <c r="AE1246" s="289" t="s">
        <v>410</v>
      </c>
      <c r="AF1246" s="290" t="s">
        <v>1447</v>
      </c>
      <c r="AG1246" s="289"/>
      <c r="AH1246" s="290" t="s">
        <v>1448</v>
      </c>
      <c r="AI1246" s="289">
        <v>0</v>
      </c>
      <c r="AJ1246" s="289">
        <v>0</v>
      </c>
    </row>
    <row r="1247" spans="2:36">
      <c r="B1247" s="290">
        <v>2111</v>
      </c>
      <c r="C1247" s="294">
        <v>43051</v>
      </c>
      <c r="D1247" s="290" t="s">
        <v>944</v>
      </c>
      <c r="E1247" s="289" t="s">
        <v>682</v>
      </c>
      <c r="F1247" s="290">
        <v>13</v>
      </c>
      <c r="G1247" s="289"/>
      <c r="H1247" s="289">
        <v>0</v>
      </c>
      <c r="I1247" s="289"/>
      <c r="J1247" s="289">
        <v>0</v>
      </c>
      <c r="K1247" s="289" t="s">
        <v>2257</v>
      </c>
      <c r="L1247" s="289"/>
      <c r="M1247" s="289" t="s">
        <v>1659</v>
      </c>
      <c r="N1247" s="293">
        <v>38835</v>
      </c>
      <c r="O1247" s="293">
        <v>38835</v>
      </c>
      <c r="P1247" s="289" t="s">
        <v>3456</v>
      </c>
      <c r="Q1247" s="290">
        <v>1200</v>
      </c>
      <c r="R1247" s="290">
        <v>14050</v>
      </c>
      <c r="S1247" s="291">
        <v>6152.64</v>
      </c>
      <c r="T1247" s="290">
        <v>14056</v>
      </c>
      <c r="U1247" s="291">
        <v>6152.64</v>
      </c>
      <c r="V1247" s="291">
        <f t="shared" si="19"/>
        <v>0</v>
      </c>
      <c r="W1247" s="292">
        <v>0</v>
      </c>
      <c r="X1247" s="290">
        <v>54260</v>
      </c>
      <c r="Y1247" s="291">
        <v>0</v>
      </c>
      <c r="Z1247" s="289" t="s">
        <v>944</v>
      </c>
      <c r="AA1247" s="289"/>
      <c r="AB1247" s="289">
        <v>10487</v>
      </c>
      <c r="AC1247" s="289"/>
      <c r="AD1247" s="289" t="s">
        <v>1446</v>
      </c>
      <c r="AE1247" s="289" t="s">
        <v>410</v>
      </c>
      <c r="AF1247" s="290" t="s">
        <v>1447</v>
      </c>
      <c r="AG1247" s="289"/>
      <c r="AH1247" s="290" t="s">
        <v>1448</v>
      </c>
      <c r="AI1247" s="289">
        <v>0</v>
      </c>
      <c r="AJ1247" s="289">
        <v>0</v>
      </c>
    </row>
    <row r="1248" spans="2:36">
      <c r="B1248" s="290">
        <v>2111</v>
      </c>
      <c r="C1248" s="294">
        <v>43050</v>
      </c>
      <c r="D1248" s="290" t="s">
        <v>944</v>
      </c>
      <c r="E1248" s="289" t="s">
        <v>682</v>
      </c>
      <c r="F1248" s="290">
        <v>5</v>
      </c>
      <c r="G1248" s="289"/>
      <c r="H1248" s="289">
        <v>0</v>
      </c>
      <c r="I1248" s="289"/>
      <c r="J1248" s="289">
        <v>0</v>
      </c>
      <c r="K1248" s="289" t="s">
        <v>2257</v>
      </c>
      <c r="L1248" s="289"/>
      <c r="M1248" s="289" t="s">
        <v>1659</v>
      </c>
      <c r="N1248" s="293">
        <v>38835</v>
      </c>
      <c r="O1248" s="293">
        <v>38835</v>
      </c>
      <c r="P1248" s="289" t="s">
        <v>3456</v>
      </c>
      <c r="Q1248" s="290">
        <v>1200</v>
      </c>
      <c r="R1248" s="290">
        <v>14050</v>
      </c>
      <c r="S1248" s="291">
        <v>2366.4</v>
      </c>
      <c r="T1248" s="290">
        <v>14056</v>
      </c>
      <c r="U1248" s="291">
        <v>2366.4</v>
      </c>
      <c r="V1248" s="291">
        <f t="shared" si="19"/>
        <v>0</v>
      </c>
      <c r="W1248" s="292">
        <v>0</v>
      </c>
      <c r="X1248" s="290">
        <v>54260</v>
      </c>
      <c r="Y1248" s="291">
        <v>0</v>
      </c>
      <c r="Z1248" s="289" t="s">
        <v>944</v>
      </c>
      <c r="AA1248" s="289"/>
      <c r="AB1248" s="289">
        <v>10486</v>
      </c>
      <c r="AC1248" s="289"/>
      <c r="AD1248" s="289" t="s">
        <v>1446</v>
      </c>
      <c r="AE1248" s="289" t="s">
        <v>410</v>
      </c>
      <c r="AF1248" s="290" t="s">
        <v>1447</v>
      </c>
      <c r="AG1248" s="289"/>
      <c r="AH1248" s="290" t="s">
        <v>1448</v>
      </c>
      <c r="AI1248" s="289">
        <v>0</v>
      </c>
      <c r="AJ1248" s="289">
        <v>0</v>
      </c>
    </row>
    <row r="1249" spans="2:36">
      <c r="B1249" s="290">
        <v>2111</v>
      </c>
      <c r="C1249" s="294">
        <v>43049</v>
      </c>
      <c r="D1249" s="290" t="s">
        <v>944</v>
      </c>
      <c r="E1249" s="289" t="s">
        <v>682</v>
      </c>
      <c r="F1249" s="290">
        <v>5</v>
      </c>
      <c r="G1249" s="289"/>
      <c r="H1249" s="289">
        <v>0</v>
      </c>
      <c r="I1249" s="289"/>
      <c r="J1249" s="289">
        <v>0</v>
      </c>
      <c r="K1249" s="289" t="s">
        <v>2257</v>
      </c>
      <c r="L1249" s="289"/>
      <c r="M1249" s="289" t="s">
        <v>1659</v>
      </c>
      <c r="N1249" s="293">
        <v>38835</v>
      </c>
      <c r="O1249" s="293">
        <v>38835</v>
      </c>
      <c r="P1249" s="289" t="s">
        <v>3456</v>
      </c>
      <c r="Q1249" s="290">
        <v>1200</v>
      </c>
      <c r="R1249" s="290">
        <v>14050</v>
      </c>
      <c r="S1249" s="291">
        <v>2366.4</v>
      </c>
      <c r="T1249" s="290">
        <v>14056</v>
      </c>
      <c r="U1249" s="291">
        <v>2366.4</v>
      </c>
      <c r="V1249" s="291">
        <f t="shared" si="19"/>
        <v>0</v>
      </c>
      <c r="W1249" s="292">
        <v>0</v>
      </c>
      <c r="X1249" s="290">
        <v>54260</v>
      </c>
      <c r="Y1249" s="291">
        <v>0</v>
      </c>
      <c r="Z1249" s="289" t="s">
        <v>944</v>
      </c>
      <c r="AA1249" s="289"/>
      <c r="AB1249" s="289">
        <v>10489</v>
      </c>
      <c r="AC1249" s="289"/>
      <c r="AD1249" s="289" t="s">
        <v>1446</v>
      </c>
      <c r="AE1249" s="289" t="s">
        <v>410</v>
      </c>
      <c r="AF1249" s="290" t="s">
        <v>1447</v>
      </c>
      <c r="AG1249" s="289"/>
      <c r="AH1249" s="290" t="s">
        <v>1448</v>
      </c>
      <c r="AI1249" s="289">
        <v>0</v>
      </c>
      <c r="AJ1249" s="289">
        <v>0</v>
      </c>
    </row>
    <row r="1250" spans="2:36">
      <c r="B1250" s="290">
        <v>2111</v>
      </c>
      <c r="C1250" s="294">
        <v>43048</v>
      </c>
      <c r="D1250" s="290" t="s">
        <v>944</v>
      </c>
      <c r="E1250" s="289" t="s">
        <v>3457</v>
      </c>
      <c r="F1250" s="290">
        <v>1</v>
      </c>
      <c r="G1250" s="289"/>
      <c r="H1250" s="289">
        <v>0</v>
      </c>
      <c r="I1250" s="289"/>
      <c r="J1250" s="289">
        <v>0</v>
      </c>
      <c r="K1250" s="289" t="s">
        <v>2257</v>
      </c>
      <c r="L1250" s="289"/>
      <c r="M1250" s="289" t="s">
        <v>1667</v>
      </c>
      <c r="N1250" s="293">
        <v>38835</v>
      </c>
      <c r="O1250" s="293">
        <v>38835</v>
      </c>
      <c r="P1250" s="289" t="s">
        <v>3458</v>
      </c>
      <c r="Q1250" s="290">
        <v>1200</v>
      </c>
      <c r="R1250" s="290">
        <v>14050</v>
      </c>
      <c r="S1250" s="291">
        <v>4950.3999999999996</v>
      </c>
      <c r="T1250" s="290">
        <v>14056</v>
      </c>
      <c r="U1250" s="291">
        <v>4950.3999999999996</v>
      </c>
      <c r="V1250" s="291">
        <f t="shared" si="19"/>
        <v>0</v>
      </c>
      <c r="W1250" s="292">
        <v>0</v>
      </c>
      <c r="X1250" s="290">
        <v>54260</v>
      </c>
      <c r="Y1250" s="291">
        <v>0</v>
      </c>
      <c r="Z1250" s="289" t="s">
        <v>944</v>
      </c>
      <c r="AA1250" s="289"/>
      <c r="AB1250" s="289">
        <v>10534</v>
      </c>
      <c r="AC1250" s="289"/>
      <c r="AD1250" s="289" t="s">
        <v>1446</v>
      </c>
      <c r="AE1250" s="289" t="s">
        <v>410</v>
      </c>
      <c r="AF1250" s="290" t="s">
        <v>1447</v>
      </c>
      <c r="AG1250" s="289"/>
      <c r="AH1250" s="290" t="s">
        <v>1448</v>
      </c>
      <c r="AI1250" s="289">
        <v>0</v>
      </c>
      <c r="AJ1250" s="289">
        <v>0</v>
      </c>
    </row>
    <row r="1251" spans="2:36">
      <c r="B1251" s="290">
        <v>2111</v>
      </c>
      <c r="C1251" s="294">
        <v>43047</v>
      </c>
      <c r="D1251" s="290" t="s">
        <v>944</v>
      </c>
      <c r="E1251" s="289" t="s">
        <v>3457</v>
      </c>
      <c r="F1251" s="290">
        <v>2</v>
      </c>
      <c r="G1251" s="289"/>
      <c r="H1251" s="289">
        <v>0</v>
      </c>
      <c r="I1251" s="289"/>
      <c r="J1251" s="289">
        <v>0</v>
      </c>
      <c r="K1251" s="289" t="s">
        <v>2257</v>
      </c>
      <c r="L1251" s="289"/>
      <c r="M1251" s="289" t="s">
        <v>1667</v>
      </c>
      <c r="N1251" s="293">
        <v>38835</v>
      </c>
      <c r="O1251" s="293">
        <v>38835</v>
      </c>
      <c r="P1251" s="289" t="s">
        <v>3458</v>
      </c>
      <c r="Q1251" s="290">
        <v>1200</v>
      </c>
      <c r="R1251" s="290">
        <v>14050</v>
      </c>
      <c r="S1251" s="291">
        <v>9900.7999999999993</v>
      </c>
      <c r="T1251" s="290">
        <v>14056</v>
      </c>
      <c r="U1251" s="291">
        <v>9900.7999999999993</v>
      </c>
      <c r="V1251" s="291">
        <f t="shared" si="19"/>
        <v>0</v>
      </c>
      <c r="W1251" s="292">
        <v>0</v>
      </c>
      <c r="X1251" s="290">
        <v>54260</v>
      </c>
      <c r="Y1251" s="291">
        <v>0</v>
      </c>
      <c r="Z1251" s="289" t="s">
        <v>944</v>
      </c>
      <c r="AA1251" s="289"/>
      <c r="AB1251" s="289">
        <v>10533</v>
      </c>
      <c r="AC1251" s="289"/>
      <c r="AD1251" s="289" t="s">
        <v>1446</v>
      </c>
      <c r="AE1251" s="289" t="s">
        <v>410</v>
      </c>
      <c r="AF1251" s="290" t="s">
        <v>1447</v>
      </c>
      <c r="AG1251" s="289"/>
      <c r="AH1251" s="290" t="s">
        <v>1448</v>
      </c>
      <c r="AI1251" s="289">
        <v>0</v>
      </c>
      <c r="AJ1251" s="289">
        <v>0</v>
      </c>
    </row>
    <row r="1252" spans="2:36">
      <c r="B1252" s="290">
        <v>2111</v>
      </c>
      <c r="C1252" s="294">
        <v>43046</v>
      </c>
      <c r="D1252" s="290" t="s">
        <v>944</v>
      </c>
      <c r="E1252" s="289" t="s">
        <v>3457</v>
      </c>
      <c r="F1252" s="290">
        <v>2</v>
      </c>
      <c r="G1252" s="289"/>
      <c r="H1252" s="289">
        <v>0</v>
      </c>
      <c r="I1252" s="289"/>
      <c r="J1252" s="289">
        <v>0</v>
      </c>
      <c r="K1252" s="289" t="s">
        <v>2257</v>
      </c>
      <c r="L1252" s="289"/>
      <c r="M1252" s="289" t="s">
        <v>1667</v>
      </c>
      <c r="N1252" s="293">
        <v>38835</v>
      </c>
      <c r="O1252" s="293">
        <v>38835</v>
      </c>
      <c r="P1252" s="289" t="s">
        <v>3458</v>
      </c>
      <c r="Q1252" s="290">
        <v>1200</v>
      </c>
      <c r="R1252" s="290">
        <v>14050</v>
      </c>
      <c r="S1252" s="291">
        <v>9900.7999999999993</v>
      </c>
      <c r="T1252" s="290">
        <v>14056</v>
      </c>
      <c r="U1252" s="291">
        <v>9900.7999999999993</v>
      </c>
      <c r="V1252" s="291">
        <f t="shared" si="19"/>
        <v>0</v>
      </c>
      <c r="W1252" s="292">
        <v>0</v>
      </c>
      <c r="X1252" s="290">
        <v>54260</v>
      </c>
      <c r="Y1252" s="291">
        <v>0</v>
      </c>
      <c r="Z1252" s="289" t="s">
        <v>944</v>
      </c>
      <c r="AA1252" s="289"/>
      <c r="AB1252" s="289">
        <v>10532</v>
      </c>
      <c r="AC1252" s="289"/>
      <c r="AD1252" s="289" t="s">
        <v>1446</v>
      </c>
      <c r="AE1252" s="289" t="s">
        <v>410</v>
      </c>
      <c r="AF1252" s="290" t="s">
        <v>1447</v>
      </c>
      <c r="AG1252" s="289"/>
      <c r="AH1252" s="290" t="s">
        <v>1448</v>
      </c>
      <c r="AI1252" s="289">
        <v>0</v>
      </c>
      <c r="AJ1252" s="289">
        <v>0</v>
      </c>
    </row>
    <row r="1253" spans="2:36">
      <c r="B1253" s="290">
        <v>2111</v>
      </c>
      <c r="C1253" s="294">
        <v>42254</v>
      </c>
      <c r="D1253" s="290">
        <v>0</v>
      </c>
      <c r="E1253" s="289" t="s">
        <v>3459</v>
      </c>
      <c r="F1253" s="290">
        <v>0</v>
      </c>
      <c r="G1253" s="289"/>
      <c r="H1253" s="289">
        <v>0</v>
      </c>
      <c r="I1253" s="289"/>
      <c r="J1253" s="289">
        <v>0</v>
      </c>
      <c r="K1253" s="289" t="s">
        <v>3433</v>
      </c>
      <c r="L1253" s="289"/>
      <c r="M1253" s="289"/>
      <c r="N1253" s="293">
        <v>38718</v>
      </c>
      <c r="O1253" s="293">
        <v>38718</v>
      </c>
      <c r="P1253" s="289" t="s">
        <v>3434</v>
      </c>
      <c r="Q1253" s="290">
        <v>406</v>
      </c>
      <c r="R1253" s="290">
        <v>14080</v>
      </c>
      <c r="S1253" s="291">
        <v>2500</v>
      </c>
      <c r="T1253" s="290">
        <v>14086</v>
      </c>
      <c r="U1253" s="291">
        <v>2500</v>
      </c>
      <c r="V1253" s="291">
        <f t="shared" si="19"/>
        <v>0</v>
      </c>
      <c r="W1253" s="292">
        <v>0</v>
      </c>
      <c r="X1253" s="290">
        <v>57260</v>
      </c>
      <c r="Y1253" s="291">
        <v>0</v>
      </c>
      <c r="Z1253" s="289" t="s">
        <v>944</v>
      </c>
      <c r="AA1253" s="289"/>
      <c r="AB1253" s="289" t="s">
        <v>3460</v>
      </c>
      <c r="AC1253" s="289"/>
      <c r="AD1253" s="289" t="s">
        <v>1446</v>
      </c>
      <c r="AE1253" s="289" t="s">
        <v>410</v>
      </c>
      <c r="AF1253" s="290" t="s">
        <v>1447</v>
      </c>
      <c r="AG1253" s="289"/>
      <c r="AH1253" s="290" t="s">
        <v>1448</v>
      </c>
      <c r="AI1253" s="289">
        <v>0</v>
      </c>
      <c r="AJ1253" s="289">
        <v>0</v>
      </c>
    </row>
    <row r="1254" spans="2:36">
      <c r="B1254" s="290">
        <v>2111</v>
      </c>
      <c r="C1254" s="294">
        <v>42174</v>
      </c>
      <c r="D1254" s="290">
        <v>42173</v>
      </c>
      <c r="E1254" s="289" t="s">
        <v>3461</v>
      </c>
      <c r="F1254" s="290">
        <v>77</v>
      </c>
      <c r="G1254" s="289"/>
      <c r="H1254" s="289">
        <v>0</v>
      </c>
      <c r="I1254" s="289"/>
      <c r="J1254" s="289">
        <v>0</v>
      </c>
      <c r="K1254" s="289" t="s">
        <v>2342</v>
      </c>
      <c r="L1254" s="289"/>
      <c r="M1254" s="289" t="s">
        <v>2428</v>
      </c>
      <c r="N1254" s="293">
        <v>38744</v>
      </c>
      <c r="O1254" s="293">
        <v>38744</v>
      </c>
      <c r="P1254" s="289" t="s">
        <v>3462</v>
      </c>
      <c r="Q1254" s="290">
        <v>700</v>
      </c>
      <c r="R1254" s="290">
        <v>14050</v>
      </c>
      <c r="S1254" s="291">
        <v>167.55</v>
      </c>
      <c r="T1254" s="290">
        <v>14056</v>
      </c>
      <c r="U1254" s="291">
        <v>167.55</v>
      </c>
      <c r="V1254" s="291">
        <f t="shared" si="19"/>
        <v>0</v>
      </c>
      <c r="W1254" s="292">
        <v>0</v>
      </c>
      <c r="X1254" s="290">
        <v>54260</v>
      </c>
      <c r="Y1254" s="291">
        <v>0</v>
      </c>
      <c r="Z1254" s="289" t="s">
        <v>944</v>
      </c>
      <c r="AA1254" s="289"/>
      <c r="AB1254" s="289" t="s">
        <v>3463</v>
      </c>
      <c r="AC1254" s="289"/>
      <c r="AD1254" s="289" t="s">
        <v>1446</v>
      </c>
      <c r="AE1254" s="289" t="s">
        <v>410</v>
      </c>
      <c r="AF1254" s="290" t="s">
        <v>1447</v>
      </c>
      <c r="AG1254" s="289"/>
      <c r="AH1254" s="290" t="s">
        <v>1448</v>
      </c>
      <c r="AI1254" s="289">
        <v>0</v>
      </c>
      <c r="AJ1254" s="289">
        <v>0</v>
      </c>
    </row>
    <row r="1255" spans="2:36">
      <c r="B1255" s="290">
        <v>2111</v>
      </c>
      <c r="C1255" s="294">
        <v>42173</v>
      </c>
      <c r="D1255" s="290" t="s">
        <v>944</v>
      </c>
      <c r="E1255" s="289" t="s">
        <v>3464</v>
      </c>
      <c r="F1255" s="290">
        <v>720</v>
      </c>
      <c r="G1255" s="289"/>
      <c r="H1255" s="289">
        <v>0</v>
      </c>
      <c r="I1255" s="289"/>
      <c r="J1255" s="289">
        <v>0</v>
      </c>
      <c r="K1255" s="289" t="s">
        <v>2342</v>
      </c>
      <c r="L1255" s="289"/>
      <c r="M1255" s="289"/>
      <c r="N1255" s="293">
        <v>38744</v>
      </c>
      <c r="O1255" s="293">
        <v>38744</v>
      </c>
      <c r="P1255" s="289" t="s">
        <v>3462</v>
      </c>
      <c r="Q1255" s="290">
        <v>700</v>
      </c>
      <c r="R1255" s="290">
        <v>14050</v>
      </c>
      <c r="S1255" s="291">
        <v>41226.32</v>
      </c>
      <c r="T1255" s="290">
        <v>14056</v>
      </c>
      <c r="U1255" s="291">
        <v>41226.32</v>
      </c>
      <c r="V1255" s="291">
        <f t="shared" si="19"/>
        <v>0</v>
      </c>
      <c r="W1255" s="292">
        <v>0</v>
      </c>
      <c r="X1255" s="290">
        <v>54260</v>
      </c>
      <c r="Y1255" s="291">
        <v>0</v>
      </c>
      <c r="Z1255" s="289" t="s">
        <v>944</v>
      </c>
      <c r="AA1255" s="289"/>
      <c r="AB1255" s="289" t="s">
        <v>3465</v>
      </c>
      <c r="AC1255" s="289"/>
      <c r="AD1255" s="289" t="s">
        <v>1446</v>
      </c>
      <c r="AE1255" s="289" t="s">
        <v>410</v>
      </c>
      <c r="AF1255" s="290" t="s">
        <v>1447</v>
      </c>
      <c r="AG1255" s="289"/>
      <c r="AH1255" s="290" t="s">
        <v>1448</v>
      </c>
      <c r="AI1255" s="289">
        <v>0</v>
      </c>
      <c r="AJ1255" s="289">
        <v>0</v>
      </c>
    </row>
    <row r="1256" spans="2:36">
      <c r="B1256" s="290">
        <v>2111</v>
      </c>
      <c r="C1256" s="294">
        <v>41661</v>
      </c>
      <c r="D1256" s="290" t="s">
        <v>944</v>
      </c>
      <c r="E1256" s="289" t="s">
        <v>3466</v>
      </c>
      <c r="F1256" s="290">
        <v>854</v>
      </c>
      <c r="G1256" s="289"/>
      <c r="H1256" s="289">
        <v>0</v>
      </c>
      <c r="I1256" s="289"/>
      <c r="J1256" s="289">
        <v>0</v>
      </c>
      <c r="K1256" s="289" t="s">
        <v>3369</v>
      </c>
      <c r="L1256" s="289"/>
      <c r="M1256" s="289"/>
      <c r="N1256" s="293">
        <v>38782</v>
      </c>
      <c r="O1256" s="293">
        <v>38782</v>
      </c>
      <c r="P1256" s="289" t="s">
        <v>3467</v>
      </c>
      <c r="Q1256" s="290">
        <v>700</v>
      </c>
      <c r="R1256" s="290">
        <v>14050</v>
      </c>
      <c r="S1256" s="291">
        <v>47348.1</v>
      </c>
      <c r="T1256" s="290">
        <v>14056</v>
      </c>
      <c r="U1256" s="291">
        <v>47348.1</v>
      </c>
      <c r="V1256" s="291">
        <f t="shared" si="19"/>
        <v>0</v>
      </c>
      <c r="W1256" s="292">
        <v>0</v>
      </c>
      <c r="X1256" s="290">
        <v>54260</v>
      </c>
      <c r="Y1256" s="291">
        <v>0</v>
      </c>
      <c r="Z1256" s="289" t="s">
        <v>944</v>
      </c>
      <c r="AA1256" s="289"/>
      <c r="AB1256" s="289" t="s">
        <v>3468</v>
      </c>
      <c r="AC1256" s="289"/>
      <c r="AD1256" s="289" t="s">
        <v>1446</v>
      </c>
      <c r="AE1256" s="289" t="s">
        <v>410</v>
      </c>
      <c r="AF1256" s="290" t="s">
        <v>1447</v>
      </c>
      <c r="AG1256" s="289"/>
      <c r="AH1256" s="290" t="s">
        <v>1448</v>
      </c>
      <c r="AI1256" s="289">
        <v>0</v>
      </c>
      <c r="AJ1256" s="289">
        <v>0</v>
      </c>
    </row>
    <row r="1257" spans="2:36">
      <c r="B1257" s="290">
        <v>2111</v>
      </c>
      <c r="C1257" s="294">
        <v>41464</v>
      </c>
      <c r="D1257" s="290" t="s">
        <v>944</v>
      </c>
      <c r="E1257" s="289" t="s">
        <v>3469</v>
      </c>
      <c r="F1257" s="290">
        <v>10</v>
      </c>
      <c r="G1257" s="289"/>
      <c r="H1257" s="289">
        <v>0</v>
      </c>
      <c r="I1257" s="289"/>
      <c r="J1257" s="289">
        <v>0</v>
      </c>
      <c r="K1257" s="289" t="s">
        <v>2403</v>
      </c>
      <c r="L1257" s="289"/>
      <c r="M1257" s="289" t="s">
        <v>1659</v>
      </c>
      <c r="N1257" s="293">
        <v>38783</v>
      </c>
      <c r="O1257" s="293">
        <v>38783</v>
      </c>
      <c r="P1257" s="289" t="s">
        <v>3470</v>
      </c>
      <c r="Q1257" s="290">
        <v>1200</v>
      </c>
      <c r="R1257" s="290">
        <v>14050</v>
      </c>
      <c r="S1257" s="291">
        <v>4591.3599999999997</v>
      </c>
      <c r="T1257" s="290">
        <v>14056</v>
      </c>
      <c r="U1257" s="291">
        <v>4591.3599999999997</v>
      </c>
      <c r="V1257" s="291">
        <f t="shared" si="19"/>
        <v>0</v>
      </c>
      <c r="W1257" s="292">
        <v>0</v>
      </c>
      <c r="X1257" s="290">
        <v>54260</v>
      </c>
      <c r="Y1257" s="291">
        <v>0</v>
      </c>
      <c r="Z1257" s="289" t="s">
        <v>944</v>
      </c>
      <c r="AA1257" s="289">
        <v>0</v>
      </c>
      <c r="AB1257" s="289">
        <v>2817</v>
      </c>
      <c r="AC1257" s="289"/>
      <c r="AD1257" s="289" t="s">
        <v>1446</v>
      </c>
      <c r="AE1257" s="289" t="s">
        <v>410</v>
      </c>
      <c r="AF1257" s="290" t="s">
        <v>1447</v>
      </c>
      <c r="AG1257" s="289"/>
      <c r="AH1257" s="290" t="s">
        <v>1448</v>
      </c>
      <c r="AI1257" s="289">
        <v>0</v>
      </c>
      <c r="AJ1257" s="289">
        <v>0</v>
      </c>
    </row>
    <row r="1258" spans="2:36">
      <c r="B1258" s="290">
        <v>2111</v>
      </c>
      <c r="C1258" s="294">
        <v>41299</v>
      </c>
      <c r="D1258" s="290" t="s">
        <v>944</v>
      </c>
      <c r="E1258" s="289" t="s">
        <v>3445</v>
      </c>
      <c r="F1258" s="290">
        <v>713</v>
      </c>
      <c r="G1258" s="289"/>
      <c r="H1258" s="289">
        <v>0</v>
      </c>
      <c r="I1258" s="289"/>
      <c r="J1258" s="289">
        <v>0</v>
      </c>
      <c r="K1258" s="289" t="s">
        <v>2342</v>
      </c>
      <c r="L1258" s="289"/>
      <c r="M1258" s="289"/>
      <c r="N1258" s="293">
        <v>38745</v>
      </c>
      <c r="O1258" s="293">
        <v>38745</v>
      </c>
      <c r="P1258" s="289" t="s">
        <v>3462</v>
      </c>
      <c r="Q1258" s="290">
        <v>700</v>
      </c>
      <c r="R1258" s="290">
        <v>14050</v>
      </c>
      <c r="S1258" s="291">
        <v>41064.93</v>
      </c>
      <c r="T1258" s="290">
        <v>14056</v>
      </c>
      <c r="U1258" s="291">
        <v>41064.93</v>
      </c>
      <c r="V1258" s="291">
        <f t="shared" si="19"/>
        <v>0</v>
      </c>
      <c r="W1258" s="292">
        <v>0</v>
      </c>
      <c r="X1258" s="290">
        <v>54260</v>
      </c>
      <c r="Y1258" s="291">
        <v>0</v>
      </c>
      <c r="Z1258" s="289" t="s">
        <v>944</v>
      </c>
      <c r="AA1258" s="289">
        <v>0</v>
      </c>
      <c r="AB1258" s="289" t="s">
        <v>3471</v>
      </c>
      <c r="AC1258" s="289"/>
      <c r="AD1258" s="289" t="s">
        <v>1446</v>
      </c>
      <c r="AE1258" s="289" t="s">
        <v>410</v>
      </c>
      <c r="AF1258" s="290" t="s">
        <v>1447</v>
      </c>
      <c r="AG1258" s="289"/>
      <c r="AH1258" s="290" t="s">
        <v>1448</v>
      </c>
      <c r="AI1258" s="289">
        <v>0</v>
      </c>
      <c r="AJ1258" s="289">
        <v>0</v>
      </c>
    </row>
    <row r="1259" spans="2:36">
      <c r="B1259" s="290">
        <v>2111</v>
      </c>
      <c r="C1259" s="294">
        <v>41298</v>
      </c>
      <c r="D1259" s="290" t="s">
        <v>944</v>
      </c>
      <c r="E1259" s="289" t="s">
        <v>3445</v>
      </c>
      <c r="F1259" s="290">
        <v>720</v>
      </c>
      <c r="G1259" s="289"/>
      <c r="H1259" s="289">
        <v>0</v>
      </c>
      <c r="I1259" s="289"/>
      <c r="J1259" s="289">
        <v>0</v>
      </c>
      <c r="K1259" s="289" t="s">
        <v>2342</v>
      </c>
      <c r="L1259" s="289"/>
      <c r="M1259" s="289"/>
      <c r="N1259" s="293">
        <v>38745</v>
      </c>
      <c r="O1259" s="293">
        <v>38745</v>
      </c>
      <c r="P1259" s="289" t="s">
        <v>3462</v>
      </c>
      <c r="Q1259" s="290">
        <v>700</v>
      </c>
      <c r="R1259" s="290">
        <v>14050</v>
      </c>
      <c r="S1259" s="291">
        <v>41226.32</v>
      </c>
      <c r="T1259" s="290">
        <v>14056</v>
      </c>
      <c r="U1259" s="291">
        <v>41226.32</v>
      </c>
      <c r="V1259" s="291">
        <f t="shared" si="19"/>
        <v>0</v>
      </c>
      <c r="W1259" s="292">
        <v>0</v>
      </c>
      <c r="X1259" s="290">
        <v>54260</v>
      </c>
      <c r="Y1259" s="291">
        <v>0</v>
      </c>
      <c r="Z1259" s="289" t="s">
        <v>944</v>
      </c>
      <c r="AA1259" s="289">
        <v>0</v>
      </c>
      <c r="AB1259" s="289" t="s">
        <v>3472</v>
      </c>
      <c r="AC1259" s="289"/>
      <c r="AD1259" s="289" t="s">
        <v>1446</v>
      </c>
      <c r="AE1259" s="289" t="s">
        <v>410</v>
      </c>
      <c r="AF1259" s="290" t="s">
        <v>1447</v>
      </c>
      <c r="AG1259" s="289"/>
      <c r="AH1259" s="290" t="s">
        <v>1448</v>
      </c>
      <c r="AI1259" s="289">
        <v>0</v>
      </c>
      <c r="AJ1259" s="289">
        <v>0</v>
      </c>
    </row>
    <row r="1260" spans="2:36">
      <c r="B1260" s="290">
        <v>2111</v>
      </c>
      <c r="C1260" s="294">
        <v>41297</v>
      </c>
      <c r="D1260" s="290" t="s">
        <v>944</v>
      </c>
      <c r="E1260" s="289" t="s">
        <v>3445</v>
      </c>
      <c r="F1260" s="290">
        <v>720</v>
      </c>
      <c r="G1260" s="289"/>
      <c r="H1260" s="289">
        <v>0</v>
      </c>
      <c r="I1260" s="289"/>
      <c r="J1260" s="289">
        <v>0</v>
      </c>
      <c r="K1260" s="289" t="s">
        <v>2342</v>
      </c>
      <c r="L1260" s="289"/>
      <c r="M1260" s="289"/>
      <c r="N1260" s="293">
        <v>38745</v>
      </c>
      <c r="O1260" s="293">
        <v>38745</v>
      </c>
      <c r="P1260" s="289" t="s">
        <v>3462</v>
      </c>
      <c r="Q1260" s="290">
        <v>700</v>
      </c>
      <c r="R1260" s="290">
        <v>14050</v>
      </c>
      <c r="S1260" s="291">
        <v>41226.32</v>
      </c>
      <c r="T1260" s="290">
        <v>14056</v>
      </c>
      <c r="U1260" s="291">
        <v>41226.32</v>
      </c>
      <c r="V1260" s="291">
        <f t="shared" si="19"/>
        <v>0</v>
      </c>
      <c r="W1260" s="292">
        <v>0</v>
      </c>
      <c r="X1260" s="290">
        <v>54260</v>
      </c>
      <c r="Y1260" s="291">
        <v>0</v>
      </c>
      <c r="Z1260" s="289" t="s">
        <v>944</v>
      </c>
      <c r="AA1260" s="289">
        <v>0</v>
      </c>
      <c r="AB1260" s="289" t="s">
        <v>3473</v>
      </c>
      <c r="AC1260" s="289"/>
      <c r="AD1260" s="289" t="s">
        <v>1446</v>
      </c>
      <c r="AE1260" s="289" t="s">
        <v>410</v>
      </c>
      <c r="AF1260" s="290" t="s">
        <v>1447</v>
      </c>
      <c r="AG1260" s="289"/>
      <c r="AH1260" s="290" t="s">
        <v>1448</v>
      </c>
      <c r="AI1260" s="289">
        <v>0</v>
      </c>
      <c r="AJ1260" s="289">
        <v>0</v>
      </c>
    </row>
    <row r="1261" spans="2:36">
      <c r="B1261" s="290">
        <v>2111</v>
      </c>
      <c r="C1261" s="294">
        <v>41296</v>
      </c>
      <c r="D1261" s="290" t="s">
        <v>944</v>
      </c>
      <c r="E1261" s="289" t="s">
        <v>3439</v>
      </c>
      <c r="F1261" s="290">
        <v>776</v>
      </c>
      <c r="G1261" s="289"/>
      <c r="H1261" s="289">
        <v>0</v>
      </c>
      <c r="I1261" s="289"/>
      <c r="J1261" s="289">
        <v>0</v>
      </c>
      <c r="K1261" s="289" t="s">
        <v>2342</v>
      </c>
      <c r="L1261" s="289"/>
      <c r="M1261" s="289"/>
      <c r="N1261" s="293">
        <v>38764</v>
      </c>
      <c r="O1261" s="293">
        <v>38764</v>
      </c>
      <c r="P1261" s="289" t="s">
        <v>3462</v>
      </c>
      <c r="Q1261" s="290">
        <v>700</v>
      </c>
      <c r="R1261" s="290">
        <v>14050</v>
      </c>
      <c r="S1261" s="291">
        <v>2321.79</v>
      </c>
      <c r="T1261" s="290">
        <v>14056</v>
      </c>
      <c r="U1261" s="291">
        <v>2321.79</v>
      </c>
      <c r="V1261" s="291">
        <f t="shared" si="19"/>
        <v>0</v>
      </c>
      <c r="W1261" s="292">
        <v>0</v>
      </c>
      <c r="X1261" s="290">
        <v>54260</v>
      </c>
      <c r="Y1261" s="291">
        <v>0</v>
      </c>
      <c r="Z1261" s="289" t="s">
        <v>944</v>
      </c>
      <c r="AA1261" s="289">
        <v>0</v>
      </c>
      <c r="AB1261" s="289" t="s">
        <v>3474</v>
      </c>
      <c r="AC1261" s="289"/>
      <c r="AD1261" s="289" t="s">
        <v>1446</v>
      </c>
      <c r="AE1261" s="289" t="s">
        <v>410</v>
      </c>
      <c r="AF1261" s="290" t="s">
        <v>1447</v>
      </c>
      <c r="AG1261" s="289"/>
      <c r="AH1261" s="290" t="s">
        <v>1448</v>
      </c>
      <c r="AI1261" s="289">
        <v>0</v>
      </c>
      <c r="AJ1261" s="289">
        <v>0</v>
      </c>
    </row>
    <row r="1262" spans="2:36">
      <c r="B1262" s="290">
        <v>2111</v>
      </c>
      <c r="C1262" s="294">
        <v>41295</v>
      </c>
      <c r="D1262" s="290" t="s">
        <v>944</v>
      </c>
      <c r="E1262" s="289" t="s">
        <v>3439</v>
      </c>
      <c r="F1262" s="290">
        <v>2022</v>
      </c>
      <c r="G1262" s="289"/>
      <c r="H1262" s="289">
        <v>0</v>
      </c>
      <c r="I1262" s="289"/>
      <c r="J1262" s="289">
        <v>0</v>
      </c>
      <c r="K1262" s="289" t="s">
        <v>2342</v>
      </c>
      <c r="L1262" s="289"/>
      <c r="M1262" s="289"/>
      <c r="N1262" s="293">
        <v>38764</v>
      </c>
      <c r="O1262" s="293">
        <v>38764</v>
      </c>
      <c r="P1262" s="289" t="s">
        <v>3462</v>
      </c>
      <c r="Q1262" s="290">
        <v>700</v>
      </c>
      <c r="R1262" s="290">
        <v>14050</v>
      </c>
      <c r="S1262" s="291">
        <v>6049.93</v>
      </c>
      <c r="T1262" s="290">
        <v>14056</v>
      </c>
      <c r="U1262" s="291">
        <v>6049.93</v>
      </c>
      <c r="V1262" s="291">
        <f t="shared" si="19"/>
        <v>0</v>
      </c>
      <c r="W1262" s="292">
        <v>0</v>
      </c>
      <c r="X1262" s="290">
        <v>54260</v>
      </c>
      <c r="Y1262" s="291">
        <v>0</v>
      </c>
      <c r="Z1262" s="289" t="s">
        <v>944</v>
      </c>
      <c r="AA1262" s="289">
        <v>0</v>
      </c>
      <c r="AB1262" s="289" t="s">
        <v>3475</v>
      </c>
      <c r="AC1262" s="289"/>
      <c r="AD1262" s="289" t="s">
        <v>1446</v>
      </c>
      <c r="AE1262" s="289" t="s">
        <v>410</v>
      </c>
      <c r="AF1262" s="290" t="s">
        <v>1447</v>
      </c>
      <c r="AG1262" s="289"/>
      <c r="AH1262" s="290" t="s">
        <v>1448</v>
      </c>
      <c r="AI1262" s="289">
        <v>2</v>
      </c>
      <c r="AJ1262" s="289">
        <v>0</v>
      </c>
    </row>
    <row r="1263" spans="2:36">
      <c r="B1263" s="290">
        <v>2111</v>
      </c>
      <c r="C1263" s="294">
        <v>38627</v>
      </c>
      <c r="D1263" s="290" t="s">
        <v>944</v>
      </c>
      <c r="E1263" s="289" t="s">
        <v>3476</v>
      </c>
      <c r="F1263" s="290">
        <v>1</v>
      </c>
      <c r="G1263" s="289"/>
      <c r="H1263" s="289"/>
      <c r="I1263" s="289"/>
      <c r="J1263" s="289">
        <v>0</v>
      </c>
      <c r="K1263" s="289" t="s">
        <v>2462</v>
      </c>
      <c r="L1263" s="289"/>
      <c r="M1263" s="289" t="s">
        <v>1662</v>
      </c>
      <c r="N1263" s="293">
        <v>38656</v>
      </c>
      <c r="O1263" s="293">
        <v>38656</v>
      </c>
      <c r="P1263" s="289">
        <v>52111010</v>
      </c>
      <c r="Q1263" s="290">
        <v>1200</v>
      </c>
      <c r="R1263" s="290">
        <v>14050</v>
      </c>
      <c r="S1263" s="291">
        <v>848.64</v>
      </c>
      <c r="T1263" s="290">
        <v>14056</v>
      </c>
      <c r="U1263" s="291">
        <v>848.64</v>
      </c>
      <c r="V1263" s="291">
        <f t="shared" si="19"/>
        <v>0</v>
      </c>
      <c r="W1263" s="292">
        <v>0</v>
      </c>
      <c r="X1263" s="290">
        <v>54260</v>
      </c>
      <c r="Y1263" s="291">
        <v>0</v>
      </c>
      <c r="Z1263" s="289" t="s">
        <v>944</v>
      </c>
      <c r="AA1263" s="289">
        <v>0</v>
      </c>
      <c r="AB1263" s="289">
        <v>4492</v>
      </c>
      <c r="AC1263" s="289"/>
      <c r="AD1263" s="289" t="s">
        <v>1446</v>
      </c>
      <c r="AE1263" s="289" t="s">
        <v>410</v>
      </c>
      <c r="AF1263" s="290" t="s">
        <v>1447</v>
      </c>
      <c r="AG1263" s="289"/>
      <c r="AH1263" s="290" t="s">
        <v>1448</v>
      </c>
      <c r="AI1263" s="289">
        <v>0</v>
      </c>
      <c r="AJ1263" s="289">
        <v>0</v>
      </c>
    </row>
    <row r="1264" spans="2:36">
      <c r="B1264" s="290">
        <v>2111</v>
      </c>
      <c r="C1264" s="294">
        <v>38626</v>
      </c>
      <c r="D1264" s="290" t="s">
        <v>944</v>
      </c>
      <c r="E1264" s="289" t="s">
        <v>3476</v>
      </c>
      <c r="F1264" s="290">
        <v>6</v>
      </c>
      <c r="G1264" s="289"/>
      <c r="H1264" s="289"/>
      <c r="I1264" s="289"/>
      <c r="J1264" s="289">
        <v>0</v>
      </c>
      <c r="K1264" s="289" t="s">
        <v>2462</v>
      </c>
      <c r="L1264" s="289"/>
      <c r="M1264" s="289" t="s">
        <v>1662</v>
      </c>
      <c r="N1264" s="293">
        <v>38656</v>
      </c>
      <c r="O1264" s="293">
        <v>38656</v>
      </c>
      <c r="P1264" s="289">
        <v>52111010</v>
      </c>
      <c r="Q1264" s="290">
        <v>1200</v>
      </c>
      <c r="R1264" s="290">
        <v>14050</v>
      </c>
      <c r="S1264" s="291">
        <v>5091.84</v>
      </c>
      <c r="T1264" s="290">
        <v>14056</v>
      </c>
      <c r="U1264" s="291">
        <v>5091.84</v>
      </c>
      <c r="V1264" s="291">
        <f t="shared" si="19"/>
        <v>0</v>
      </c>
      <c r="W1264" s="292">
        <v>0</v>
      </c>
      <c r="X1264" s="290">
        <v>54260</v>
      </c>
      <c r="Y1264" s="291">
        <v>0</v>
      </c>
      <c r="Z1264" s="289" t="s">
        <v>944</v>
      </c>
      <c r="AA1264" s="289">
        <v>0</v>
      </c>
      <c r="AB1264" s="289">
        <v>4473</v>
      </c>
      <c r="AC1264" s="289"/>
      <c r="AD1264" s="289" t="s">
        <v>1446</v>
      </c>
      <c r="AE1264" s="289" t="s">
        <v>410</v>
      </c>
      <c r="AF1264" s="290" t="s">
        <v>1447</v>
      </c>
      <c r="AG1264" s="289"/>
      <c r="AH1264" s="290" t="s">
        <v>1448</v>
      </c>
      <c r="AI1264" s="289">
        <v>0</v>
      </c>
      <c r="AJ1264" s="289">
        <v>0</v>
      </c>
    </row>
    <row r="1265" spans="2:36">
      <c r="B1265" s="290">
        <v>2111</v>
      </c>
      <c r="C1265" s="294">
        <v>38625</v>
      </c>
      <c r="D1265" s="290" t="s">
        <v>944</v>
      </c>
      <c r="E1265" s="289" t="s">
        <v>3476</v>
      </c>
      <c r="F1265" s="290">
        <v>1</v>
      </c>
      <c r="G1265" s="289"/>
      <c r="H1265" s="289"/>
      <c r="I1265" s="289"/>
      <c r="J1265" s="289">
        <v>0</v>
      </c>
      <c r="K1265" s="289" t="s">
        <v>2462</v>
      </c>
      <c r="L1265" s="289"/>
      <c r="M1265" s="289" t="s">
        <v>1662</v>
      </c>
      <c r="N1265" s="293">
        <v>38656</v>
      </c>
      <c r="O1265" s="293">
        <v>38656</v>
      </c>
      <c r="P1265" s="289">
        <v>52111010</v>
      </c>
      <c r="Q1265" s="290">
        <v>1200</v>
      </c>
      <c r="R1265" s="290">
        <v>14050</v>
      </c>
      <c r="S1265" s="291">
        <v>848.64</v>
      </c>
      <c r="T1265" s="290">
        <v>14056</v>
      </c>
      <c r="U1265" s="291">
        <v>848.64</v>
      </c>
      <c r="V1265" s="291">
        <f t="shared" si="19"/>
        <v>0</v>
      </c>
      <c r="W1265" s="292">
        <v>0</v>
      </c>
      <c r="X1265" s="290">
        <v>54260</v>
      </c>
      <c r="Y1265" s="291">
        <v>0</v>
      </c>
      <c r="Z1265" s="289" t="s">
        <v>944</v>
      </c>
      <c r="AA1265" s="289">
        <v>0</v>
      </c>
      <c r="AB1265" s="289">
        <v>4493</v>
      </c>
      <c r="AC1265" s="289"/>
      <c r="AD1265" s="289" t="s">
        <v>1446</v>
      </c>
      <c r="AE1265" s="289" t="s">
        <v>410</v>
      </c>
      <c r="AF1265" s="290" t="s">
        <v>1447</v>
      </c>
      <c r="AG1265" s="289"/>
      <c r="AH1265" s="290" t="s">
        <v>1448</v>
      </c>
      <c r="AI1265" s="289">
        <v>0</v>
      </c>
      <c r="AJ1265" s="289">
        <v>0</v>
      </c>
    </row>
    <row r="1266" spans="2:36">
      <c r="B1266" s="290">
        <v>2111</v>
      </c>
      <c r="C1266" s="294">
        <v>37839</v>
      </c>
      <c r="D1266" s="290">
        <v>28522</v>
      </c>
      <c r="E1266" s="289" t="s">
        <v>3477</v>
      </c>
      <c r="F1266" s="290">
        <v>0</v>
      </c>
      <c r="G1266" s="289"/>
      <c r="H1266" s="289" t="s">
        <v>3478</v>
      </c>
      <c r="I1266" s="289"/>
      <c r="J1266" s="289">
        <v>2005</v>
      </c>
      <c r="K1266" s="289"/>
      <c r="L1266" s="289"/>
      <c r="M1266" s="289" t="s">
        <v>1467</v>
      </c>
      <c r="N1266" s="293">
        <v>38188</v>
      </c>
      <c r="O1266" s="293">
        <v>38188</v>
      </c>
      <c r="P1266" s="289">
        <v>42150001</v>
      </c>
      <c r="Q1266" s="290">
        <v>1000</v>
      </c>
      <c r="R1266" s="290">
        <v>14040</v>
      </c>
      <c r="S1266" s="291">
        <v>8595.5499999999993</v>
      </c>
      <c r="T1266" s="290">
        <v>14046</v>
      </c>
      <c r="U1266" s="291">
        <v>8595.5499999999993</v>
      </c>
      <c r="V1266" s="291">
        <f t="shared" si="19"/>
        <v>0</v>
      </c>
      <c r="W1266" s="292">
        <v>0</v>
      </c>
      <c r="X1266" s="290">
        <v>51260</v>
      </c>
      <c r="Y1266" s="291">
        <v>0</v>
      </c>
      <c r="Z1266" s="289" t="s">
        <v>944</v>
      </c>
      <c r="AA1266" s="289">
        <v>0</v>
      </c>
      <c r="AB1266" s="289">
        <v>2400703</v>
      </c>
      <c r="AC1266" s="289" t="s">
        <v>3479</v>
      </c>
      <c r="AD1266" s="289" t="s">
        <v>1446</v>
      </c>
      <c r="AE1266" s="289" t="s">
        <v>410</v>
      </c>
      <c r="AF1266" s="290" t="s">
        <v>1447</v>
      </c>
      <c r="AG1266" s="295">
        <v>38656</v>
      </c>
      <c r="AH1266" s="290" t="s">
        <v>1448</v>
      </c>
      <c r="AI1266" s="289">
        <v>0</v>
      </c>
      <c r="AJ1266" s="289">
        <v>1074.45</v>
      </c>
    </row>
    <row r="1267" spans="2:36">
      <c r="B1267" s="290">
        <v>2111</v>
      </c>
      <c r="C1267" s="294">
        <v>37663</v>
      </c>
      <c r="D1267" s="290" t="s">
        <v>944</v>
      </c>
      <c r="E1267" s="289" t="s">
        <v>3480</v>
      </c>
      <c r="F1267" s="290">
        <v>432</v>
      </c>
      <c r="G1267" s="289"/>
      <c r="H1267" s="289" t="s">
        <v>3481</v>
      </c>
      <c r="I1267" s="289"/>
      <c r="J1267" s="289">
        <v>0</v>
      </c>
      <c r="K1267" s="289" t="s">
        <v>2222</v>
      </c>
      <c r="L1267" s="289"/>
      <c r="M1267" s="289"/>
      <c r="N1267" s="293">
        <v>38638</v>
      </c>
      <c r="O1267" s="293">
        <v>38638</v>
      </c>
      <c r="P1267" s="289" t="s">
        <v>3482</v>
      </c>
      <c r="Q1267" s="290">
        <v>700</v>
      </c>
      <c r="R1267" s="290">
        <v>14050</v>
      </c>
      <c r="S1267" s="291">
        <v>21738.23</v>
      </c>
      <c r="T1267" s="290">
        <v>14056</v>
      </c>
      <c r="U1267" s="291">
        <v>21738.23</v>
      </c>
      <c r="V1267" s="291">
        <f t="shared" si="19"/>
        <v>0</v>
      </c>
      <c r="W1267" s="292">
        <v>0</v>
      </c>
      <c r="X1267" s="290">
        <v>54260</v>
      </c>
      <c r="Y1267" s="291">
        <v>0</v>
      </c>
      <c r="Z1267" s="289" t="s">
        <v>944</v>
      </c>
      <c r="AA1267" s="289">
        <v>0</v>
      </c>
      <c r="AB1267" s="289" t="s">
        <v>3483</v>
      </c>
      <c r="AC1267" s="289"/>
      <c r="AD1267" s="289" t="s">
        <v>1446</v>
      </c>
      <c r="AE1267" s="289" t="s">
        <v>410</v>
      </c>
      <c r="AF1267" s="290" t="s">
        <v>1447</v>
      </c>
      <c r="AG1267" s="289"/>
      <c r="AH1267" s="290" t="s">
        <v>1448</v>
      </c>
      <c r="AI1267" s="289">
        <v>0</v>
      </c>
      <c r="AJ1267" s="289">
        <v>0</v>
      </c>
    </row>
    <row r="1268" spans="2:36">
      <c r="B1268" s="290">
        <v>2111</v>
      </c>
      <c r="C1268" s="294">
        <v>37481</v>
      </c>
      <c r="D1268" s="290" t="s">
        <v>944</v>
      </c>
      <c r="E1268" s="289" t="s">
        <v>3484</v>
      </c>
      <c r="F1268" s="290">
        <v>5</v>
      </c>
      <c r="G1268" s="289"/>
      <c r="H1268" s="289"/>
      <c r="I1268" s="289"/>
      <c r="J1268" s="289">
        <v>0</v>
      </c>
      <c r="K1268" s="289" t="s">
        <v>2462</v>
      </c>
      <c r="L1268" s="289"/>
      <c r="M1268" s="289" t="s">
        <v>1918</v>
      </c>
      <c r="N1268" s="293">
        <v>38650</v>
      </c>
      <c r="O1268" s="293">
        <v>38650</v>
      </c>
      <c r="P1268" s="289">
        <v>52111017</v>
      </c>
      <c r="Q1268" s="290">
        <v>1200</v>
      </c>
      <c r="R1268" s="290">
        <v>14050</v>
      </c>
      <c r="S1268" s="291">
        <v>2148.8000000000002</v>
      </c>
      <c r="T1268" s="290">
        <v>14056</v>
      </c>
      <c r="U1268" s="291">
        <v>2148.8000000000002</v>
      </c>
      <c r="V1268" s="291">
        <f t="shared" si="19"/>
        <v>0</v>
      </c>
      <c r="W1268" s="292">
        <v>0</v>
      </c>
      <c r="X1268" s="290">
        <v>54260</v>
      </c>
      <c r="Y1268" s="291">
        <v>0</v>
      </c>
      <c r="Z1268" s="289" t="s">
        <v>944</v>
      </c>
      <c r="AA1268" s="289">
        <v>0</v>
      </c>
      <c r="AB1268" s="289">
        <v>4063</v>
      </c>
      <c r="AC1268" s="289"/>
      <c r="AD1268" s="289" t="s">
        <v>1446</v>
      </c>
      <c r="AE1268" s="289" t="s">
        <v>410</v>
      </c>
      <c r="AF1268" s="290" t="s">
        <v>1447</v>
      </c>
      <c r="AG1268" s="289"/>
      <c r="AH1268" s="290" t="s">
        <v>1448</v>
      </c>
      <c r="AI1268" s="289">
        <v>0</v>
      </c>
      <c r="AJ1268" s="289">
        <v>0</v>
      </c>
    </row>
    <row r="1269" spans="2:36">
      <c r="B1269" s="290">
        <v>2111</v>
      </c>
      <c r="C1269" s="294">
        <v>37480</v>
      </c>
      <c r="D1269" s="290" t="s">
        <v>944</v>
      </c>
      <c r="E1269" s="289" t="s">
        <v>3485</v>
      </c>
      <c r="F1269" s="290">
        <v>2</v>
      </c>
      <c r="G1269" s="289"/>
      <c r="H1269" s="289"/>
      <c r="I1269" s="289"/>
      <c r="J1269" s="289">
        <v>0</v>
      </c>
      <c r="K1269" s="289" t="s">
        <v>2462</v>
      </c>
      <c r="L1269" s="289"/>
      <c r="M1269" s="289" t="s">
        <v>1667</v>
      </c>
      <c r="N1269" s="293">
        <v>38625</v>
      </c>
      <c r="O1269" s="293">
        <v>38625</v>
      </c>
      <c r="P1269" s="289">
        <v>52111015</v>
      </c>
      <c r="Q1269" s="290">
        <v>1200</v>
      </c>
      <c r="R1269" s="290">
        <v>14050</v>
      </c>
      <c r="S1269" s="291">
        <v>10183.68</v>
      </c>
      <c r="T1269" s="290">
        <v>14056</v>
      </c>
      <c r="U1269" s="291">
        <v>10183.68</v>
      </c>
      <c r="V1269" s="291">
        <f t="shared" si="19"/>
        <v>0</v>
      </c>
      <c r="W1269" s="292">
        <v>0</v>
      </c>
      <c r="X1269" s="290">
        <v>54260</v>
      </c>
      <c r="Y1269" s="291">
        <v>0</v>
      </c>
      <c r="Z1269" s="289" t="s">
        <v>944</v>
      </c>
      <c r="AA1269" s="289">
        <v>0</v>
      </c>
      <c r="AB1269" s="289">
        <v>3367</v>
      </c>
      <c r="AC1269" s="289"/>
      <c r="AD1269" s="289" t="s">
        <v>1446</v>
      </c>
      <c r="AE1269" s="289" t="s">
        <v>410</v>
      </c>
      <c r="AF1269" s="290" t="s">
        <v>1447</v>
      </c>
      <c r="AG1269" s="289"/>
      <c r="AH1269" s="290" t="s">
        <v>1448</v>
      </c>
      <c r="AI1269" s="289">
        <v>0</v>
      </c>
      <c r="AJ1269" s="289">
        <v>0</v>
      </c>
    </row>
    <row r="1270" spans="2:36">
      <c r="B1270" s="290">
        <v>2111</v>
      </c>
      <c r="C1270" s="294">
        <v>37479</v>
      </c>
      <c r="D1270" s="290" t="s">
        <v>944</v>
      </c>
      <c r="E1270" s="289" t="s">
        <v>3486</v>
      </c>
      <c r="F1270" s="290">
        <v>3</v>
      </c>
      <c r="G1270" s="289"/>
      <c r="H1270" s="289"/>
      <c r="I1270" s="289"/>
      <c r="J1270" s="289">
        <v>0</v>
      </c>
      <c r="K1270" s="289" t="s">
        <v>2462</v>
      </c>
      <c r="L1270" s="289"/>
      <c r="M1270" s="289" t="s">
        <v>1667</v>
      </c>
      <c r="N1270" s="293">
        <v>38625</v>
      </c>
      <c r="O1270" s="293">
        <v>38625</v>
      </c>
      <c r="P1270" s="289">
        <v>52111015</v>
      </c>
      <c r="Q1270" s="290">
        <v>1200</v>
      </c>
      <c r="R1270" s="290">
        <v>14050</v>
      </c>
      <c r="S1270" s="291">
        <v>15275.52</v>
      </c>
      <c r="T1270" s="290">
        <v>14056</v>
      </c>
      <c r="U1270" s="291">
        <v>15275.52</v>
      </c>
      <c r="V1270" s="291">
        <f t="shared" si="19"/>
        <v>0</v>
      </c>
      <c r="W1270" s="292">
        <v>0</v>
      </c>
      <c r="X1270" s="290">
        <v>54260</v>
      </c>
      <c r="Y1270" s="291">
        <v>0</v>
      </c>
      <c r="Z1270" s="289" t="s">
        <v>944</v>
      </c>
      <c r="AA1270" s="289">
        <v>0</v>
      </c>
      <c r="AB1270" s="289">
        <v>3344</v>
      </c>
      <c r="AC1270" s="289"/>
      <c r="AD1270" s="289" t="s">
        <v>1446</v>
      </c>
      <c r="AE1270" s="289" t="s">
        <v>410</v>
      </c>
      <c r="AF1270" s="290" t="s">
        <v>1447</v>
      </c>
      <c r="AG1270" s="289"/>
      <c r="AH1270" s="290" t="s">
        <v>1448</v>
      </c>
      <c r="AI1270" s="289">
        <v>0</v>
      </c>
      <c r="AJ1270" s="289">
        <v>0</v>
      </c>
    </row>
    <row r="1271" spans="2:36">
      <c r="B1271" s="290">
        <v>2111</v>
      </c>
      <c r="C1271" s="294">
        <v>37258</v>
      </c>
      <c r="D1271" s="290">
        <v>17353</v>
      </c>
      <c r="E1271" s="289" t="s">
        <v>3487</v>
      </c>
      <c r="F1271" s="290">
        <v>0</v>
      </c>
      <c r="G1271" s="289"/>
      <c r="H1271" s="289"/>
      <c r="I1271" s="289"/>
      <c r="J1271" s="289">
        <v>0</v>
      </c>
      <c r="K1271" s="289" t="s">
        <v>2465</v>
      </c>
      <c r="L1271" s="289"/>
      <c r="M1271" s="289"/>
      <c r="N1271" s="293">
        <v>38518</v>
      </c>
      <c r="O1271" s="293">
        <v>38518</v>
      </c>
      <c r="P1271" s="289" t="s">
        <v>2466</v>
      </c>
      <c r="Q1271" s="290">
        <v>300</v>
      </c>
      <c r="R1271" s="290">
        <v>14110</v>
      </c>
      <c r="S1271" s="291">
        <v>434.57</v>
      </c>
      <c r="T1271" s="290">
        <v>14116</v>
      </c>
      <c r="U1271" s="291">
        <v>434.57</v>
      </c>
      <c r="V1271" s="291">
        <f t="shared" si="19"/>
        <v>0</v>
      </c>
      <c r="W1271" s="292">
        <v>0</v>
      </c>
      <c r="X1271" s="290">
        <v>70260</v>
      </c>
      <c r="Y1271" s="291">
        <v>0</v>
      </c>
      <c r="Z1271" s="289" t="s">
        <v>944</v>
      </c>
      <c r="AA1271" s="289">
        <v>0</v>
      </c>
      <c r="AB1271" s="289" t="s">
        <v>3488</v>
      </c>
      <c r="AC1271" s="289"/>
      <c r="AD1271" s="289" t="s">
        <v>1446</v>
      </c>
      <c r="AE1271" s="289" t="s">
        <v>410</v>
      </c>
      <c r="AF1271" s="290" t="s">
        <v>1447</v>
      </c>
      <c r="AG1271" s="289"/>
      <c r="AH1271" s="290" t="s">
        <v>1448</v>
      </c>
      <c r="AI1271" s="289">
        <v>0</v>
      </c>
      <c r="AJ1271" s="289">
        <v>0</v>
      </c>
    </row>
    <row r="1272" spans="2:36">
      <c r="B1272" s="290">
        <v>2111</v>
      </c>
      <c r="C1272" s="294">
        <v>37256</v>
      </c>
      <c r="D1272" s="290">
        <v>26946</v>
      </c>
      <c r="E1272" s="289" t="s">
        <v>3489</v>
      </c>
      <c r="F1272" s="290">
        <v>0</v>
      </c>
      <c r="G1272" s="289"/>
      <c r="H1272" s="289"/>
      <c r="I1272" s="289"/>
      <c r="J1272" s="289">
        <v>0</v>
      </c>
      <c r="K1272" s="289" t="s">
        <v>2465</v>
      </c>
      <c r="L1272" s="289"/>
      <c r="M1272" s="289"/>
      <c r="N1272" s="293">
        <v>38518</v>
      </c>
      <c r="O1272" s="293">
        <v>38518</v>
      </c>
      <c r="P1272" s="289" t="s">
        <v>2466</v>
      </c>
      <c r="Q1272" s="290">
        <v>300</v>
      </c>
      <c r="R1272" s="290">
        <v>14110</v>
      </c>
      <c r="S1272" s="291">
        <v>177.68</v>
      </c>
      <c r="T1272" s="290">
        <v>14116</v>
      </c>
      <c r="U1272" s="291">
        <v>177.68</v>
      </c>
      <c r="V1272" s="291">
        <f t="shared" si="19"/>
        <v>0</v>
      </c>
      <c r="W1272" s="292">
        <v>0</v>
      </c>
      <c r="X1272" s="290">
        <v>70260</v>
      </c>
      <c r="Y1272" s="291">
        <v>0</v>
      </c>
      <c r="Z1272" s="289" t="s">
        <v>944</v>
      </c>
      <c r="AA1272" s="289">
        <v>0</v>
      </c>
      <c r="AB1272" s="289" t="s">
        <v>3488</v>
      </c>
      <c r="AC1272" s="289"/>
      <c r="AD1272" s="289" t="s">
        <v>1446</v>
      </c>
      <c r="AE1272" s="289" t="s">
        <v>410</v>
      </c>
      <c r="AF1272" s="290" t="s">
        <v>1447</v>
      </c>
      <c r="AG1272" s="289"/>
      <c r="AH1272" s="290" t="s">
        <v>1448</v>
      </c>
      <c r="AI1272" s="289">
        <v>0</v>
      </c>
      <c r="AJ1272" s="289">
        <v>0</v>
      </c>
    </row>
    <row r="1273" spans="2:36">
      <c r="B1273" s="290">
        <v>2111</v>
      </c>
      <c r="C1273" s="294">
        <v>37255</v>
      </c>
      <c r="D1273" s="290">
        <v>24899</v>
      </c>
      <c r="E1273" s="289" t="s">
        <v>3490</v>
      </c>
      <c r="F1273" s="290">
        <v>0</v>
      </c>
      <c r="G1273" s="289"/>
      <c r="H1273" s="289"/>
      <c r="I1273" s="289"/>
      <c r="J1273" s="289">
        <v>0</v>
      </c>
      <c r="K1273" s="289" t="s">
        <v>2465</v>
      </c>
      <c r="L1273" s="289"/>
      <c r="M1273" s="289"/>
      <c r="N1273" s="293">
        <v>38518</v>
      </c>
      <c r="O1273" s="293">
        <v>38518</v>
      </c>
      <c r="P1273" s="289" t="s">
        <v>2466</v>
      </c>
      <c r="Q1273" s="290">
        <v>300</v>
      </c>
      <c r="R1273" s="290">
        <v>14110</v>
      </c>
      <c r="S1273" s="291">
        <v>310.88</v>
      </c>
      <c r="T1273" s="290">
        <v>14116</v>
      </c>
      <c r="U1273" s="291">
        <v>310.88</v>
      </c>
      <c r="V1273" s="291">
        <f t="shared" si="19"/>
        <v>0</v>
      </c>
      <c r="W1273" s="292">
        <v>0</v>
      </c>
      <c r="X1273" s="290">
        <v>70260</v>
      </c>
      <c r="Y1273" s="291">
        <v>0</v>
      </c>
      <c r="Z1273" s="289" t="s">
        <v>944</v>
      </c>
      <c r="AA1273" s="289">
        <v>0</v>
      </c>
      <c r="AB1273" s="289" t="s">
        <v>3488</v>
      </c>
      <c r="AC1273" s="289"/>
      <c r="AD1273" s="289" t="s">
        <v>1446</v>
      </c>
      <c r="AE1273" s="289" t="s">
        <v>410</v>
      </c>
      <c r="AF1273" s="290" t="s">
        <v>1447</v>
      </c>
      <c r="AG1273" s="289"/>
      <c r="AH1273" s="290" t="s">
        <v>1448</v>
      </c>
      <c r="AI1273" s="289">
        <v>0</v>
      </c>
      <c r="AJ1273" s="289">
        <v>0</v>
      </c>
    </row>
    <row r="1274" spans="2:36">
      <c r="B1274" s="290">
        <v>2111</v>
      </c>
      <c r="C1274" s="294">
        <v>37254</v>
      </c>
      <c r="D1274" s="290">
        <v>23391</v>
      </c>
      <c r="E1274" s="289" t="s">
        <v>3491</v>
      </c>
      <c r="F1274" s="290">
        <v>0</v>
      </c>
      <c r="G1274" s="289"/>
      <c r="H1274" s="289"/>
      <c r="I1274" s="289"/>
      <c r="J1274" s="289">
        <v>0</v>
      </c>
      <c r="K1274" s="289" t="s">
        <v>2465</v>
      </c>
      <c r="L1274" s="289"/>
      <c r="M1274" s="289"/>
      <c r="N1274" s="293">
        <v>38518</v>
      </c>
      <c r="O1274" s="293">
        <v>38518</v>
      </c>
      <c r="P1274" s="289" t="s">
        <v>2466</v>
      </c>
      <c r="Q1274" s="290">
        <v>300</v>
      </c>
      <c r="R1274" s="290">
        <v>14110</v>
      </c>
      <c r="S1274" s="291">
        <v>284.91000000000003</v>
      </c>
      <c r="T1274" s="290">
        <v>14116</v>
      </c>
      <c r="U1274" s="291">
        <v>284.91000000000003</v>
      </c>
      <c r="V1274" s="291">
        <f t="shared" si="19"/>
        <v>0</v>
      </c>
      <c r="W1274" s="292">
        <v>0</v>
      </c>
      <c r="X1274" s="290">
        <v>70260</v>
      </c>
      <c r="Y1274" s="291">
        <v>0</v>
      </c>
      <c r="Z1274" s="289" t="s">
        <v>944</v>
      </c>
      <c r="AA1274" s="289">
        <v>0</v>
      </c>
      <c r="AB1274" s="289" t="s">
        <v>3488</v>
      </c>
      <c r="AC1274" s="289"/>
      <c r="AD1274" s="289" t="s">
        <v>1446</v>
      </c>
      <c r="AE1274" s="289" t="s">
        <v>410</v>
      </c>
      <c r="AF1274" s="290" t="s">
        <v>1447</v>
      </c>
      <c r="AG1274" s="289"/>
      <c r="AH1274" s="290" t="s">
        <v>1448</v>
      </c>
      <c r="AI1274" s="289">
        <v>0</v>
      </c>
      <c r="AJ1274" s="289">
        <v>0</v>
      </c>
    </row>
    <row r="1275" spans="2:36">
      <c r="B1275" s="290">
        <v>2111</v>
      </c>
      <c r="C1275" s="294">
        <v>37253</v>
      </c>
      <c r="D1275" s="290">
        <v>23536</v>
      </c>
      <c r="E1275" s="289" t="s">
        <v>3492</v>
      </c>
      <c r="F1275" s="290">
        <v>0</v>
      </c>
      <c r="G1275" s="289"/>
      <c r="H1275" s="289"/>
      <c r="I1275" s="289"/>
      <c r="J1275" s="289">
        <v>0</v>
      </c>
      <c r="K1275" s="289" t="s">
        <v>2465</v>
      </c>
      <c r="L1275" s="289"/>
      <c r="M1275" s="289"/>
      <c r="N1275" s="293">
        <v>38518</v>
      </c>
      <c r="O1275" s="293">
        <v>38518</v>
      </c>
      <c r="P1275" s="289" t="s">
        <v>2466</v>
      </c>
      <c r="Q1275" s="290">
        <v>300</v>
      </c>
      <c r="R1275" s="290">
        <v>14110</v>
      </c>
      <c r="S1275" s="291">
        <v>424.36</v>
      </c>
      <c r="T1275" s="290">
        <v>14116</v>
      </c>
      <c r="U1275" s="291">
        <v>424.36</v>
      </c>
      <c r="V1275" s="291">
        <f t="shared" si="19"/>
        <v>0</v>
      </c>
      <c r="W1275" s="292">
        <v>0</v>
      </c>
      <c r="X1275" s="290">
        <v>70260</v>
      </c>
      <c r="Y1275" s="291">
        <v>0</v>
      </c>
      <c r="Z1275" s="289" t="s">
        <v>944</v>
      </c>
      <c r="AA1275" s="289">
        <v>0</v>
      </c>
      <c r="AB1275" s="289" t="s">
        <v>3488</v>
      </c>
      <c r="AC1275" s="289"/>
      <c r="AD1275" s="289" t="s">
        <v>1446</v>
      </c>
      <c r="AE1275" s="289" t="s">
        <v>410</v>
      </c>
      <c r="AF1275" s="290" t="s">
        <v>1447</v>
      </c>
      <c r="AG1275" s="289"/>
      <c r="AH1275" s="290" t="s">
        <v>1448</v>
      </c>
      <c r="AI1275" s="289">
        <v>0</v>
      </c>
      <c r="AJ1275" s="289">
        <v>0</v>
      </c>
    </row>
    <row r="1276" spans="2:36">
      <c r="B1276" s="290">
        <v>2111</v>
      </c>
      <c r="C1276" s="294">
        <v>37252</v>
      </c>
      <c r="D1276" s="290">
        <v>26944</v>
      </c>
      <c r="E1276" s="289" t="s">
        <v>3489</v>
      </c>
      <c r="F1276" s="290">
        <v>0</v>
      </c>
      <c r="G1276" s="289"/>
      <c r="H1276" s="289"/>
      <c r="I1276" s="289"/>
      <c r="J1276" s="289">
        <v>0</v>
      </c>
      <c r="K1276" s="289" t="s">
        <v>2465</v>
      </c>
      <c r="L1276" s="289"/>
      <c r="M1276" s="289"/>
      <c r="N1276" s="293">
        <v>38518</v>
      </c>
      <c r="O1276" s="293">
        <v>38518</v>
      </c>
      <c r="P1276" s="289" t="s">
        <v>2466</v>
      </c>
      <c r="Q1276" s="290">
        <v>300</v>
      </c>
      <c r="R1276" s="290">
        <v>14110</v>
      </c>
      <c r="S1276" s="291">
        <v>352.8</v>
      </c>
      <c r="T1276" s="290">
        <v>14116</v>
      </c>
      <c r="U1276" s="291">
        <v>352.8</v>
      </c>
      <c r="V1276" s="291">
        <f t="shared" si="19"/>
        <v>0</v>
      </c>
      <c r="W1276" s="292">
        <v>0</v>
      </c>
      <c r="X1276" s="290">
        <v>70260</v>
      </c>
      <c r="Y1276" s="291">
        <v>0</v>
      </c>
      <c r="Z1276" s="289" t="s">
        <v>944</v>
      </c>
      <c r="AA1276" s="289">
        <v>0</v>
      </c>
      <c r="AB1276" s="289" t="s">
        <v>3488</v>
      </c>
      <c r="AC1276" s="289"/>
      <c r="AD1276" s="289" t="s">
        <v>1446</v>
      </c>
      <c r="AE1276" s="289" t="s">
        <v>410</v>
      </c>
      <c r="AF1276" s="290" t="s">
        <v>1447</v>
      </c>
      <c r="AG1276" s="289"/>
      <c r="AH1276" s="290" t="s">
        <v>1448</v>
      </c>
      <c r="AI1276" s="289">
        <v>0</v>
      </c>
      <c r="AJ1276" s="289">
        <v>0</v>
      </c>
    </row>
    <row r="1277" spans="2:36">
      <c r="B1277" s="290">
        <v>2111</v>
      </c>
      <c r="C1277" s="294">
        <v>37251</v>
      </c>
      <c r="D1277" s="290">
        <v>26945</v>
      </c>
      <c r="E1277" s="289" t="s">
        <v>3489</v>
      </c>
      <c r="F1277" s="290">
        <v>0</v>
      </c>
      <c r="G1277" s="289"/>
      <c r="H1277" s="289"/>
      <c r="I1277" s="289"/>
      <c r="J1277" s="289">
        <v>0</v>
      </c>
      <c r="K1277" s="289" t="s">
        <v>2465</v>
      </c>
      <c r="L1277" s="289"/>
      <c r="M1277" s="289"/>
      <c r="N1277" s="293">
        <v>38518</v>
      </c>
      <c r="O1277" s="293">
        <v>38518</v>
      </c>
      <c r="P1277" s="289" t="s">
        <v>2466</v>
      </c>
      <c r="Q1277" s="290">
        <v>300</v>
      </c>
      <c r="R1277" s="290">
        <v>14110</v>
      </c>
      <c r="S1277" s="291">
        <v>352.8</v>
      </c>
      <c r="T1277" s="290">
        <v>14116</v>
      </c>
      <c r="U1277" s="291">
        <v>352.8</v>
      </c>
      <c r="V1277" s="291">
        <f t="shared" si="19"/>
        <v>0</v>
      </c>
      <c r="W1277" s="292">
        <v>0</v>
      </c>
      <c r="X1277" s="290">
        <v>70260</v>
      </c>
      <c r="Y1277" s="291">
        <v>0</v>
      </c>
      <c r="Z1277" s="289" t="s">
        <v>944</v>
      </c>
      <c r="AA1277" s="289">
        <v>0</v>
      </c>
      <c r="AB1277" s="289" t="s">
        <v>3493</v>
      </c>
      <c r="AC1277" s="289"/>
      <c r="AD1277" s="289" t="s">
        <v>1446</v>
      </c>
      <c r="AE1277" s="289" t="s">
        <v>410</v>
      </c>
      <c r="AF1277" s="290" t="s">
        <v>1447</v>
      </c>
      <c r="AG1277" s="289"/>
      <c r="AH1277" s="290" t="s">
        <v>1448</v>
      </c>
      <c r="AI1277" s="289">
        <v>0</v>
      </c>
      <c r="AJ1277" s="289">
        <v>0</v>
      </c>
    </row>
    <row r="1278" spans="2:36">
      <c r="B1278" s="290">
        <v>2111</v>
      </c>
      <c r="C1278" s="294">
        <v>37250</v>
      </c>
      <c r="D1278" s="290">
        <v>10766</v>
      </c>
      <c r="E1278" s="289" t="s">
        <v>3494</v>
      </c>
      <c r="F1278" s="290">
        <v>0</v>
      </c>
      <c r="G1278" s="289"/>
      <c r="H1278" s="289"/>
      <c r="I1278" s="289"/>
      <c r="J1278" s="289">
        <v>0</v>
      </c>
      <c r="K1278" s="289" t="s">
        <v>2465</v>
      </c>
      <c r="L1278" s="289"/>
      <c r="M1278" s="289"/>
      <c r="N1278" s="293">
        <v>38518</v>
      </c>
      <c r="O1278" s="293">
        <v>38518</v>
      </c>
      <c r="P1278" s="289" t="s">
        <v>2466</v>
      </c>
      <c r="Q1278" s="290">
        <v>300</v>
      </c>
      <c r="R1278" s="290">
        <v>14110</v>
      </c>
      <c r="S1278" s="291">
        <v>880.88</v>
      </c>
      <c r="T1278" s="290">
        <v>14116</v>
      </c>
      <c r="U1278" s="291">
        <v>880.88</v>
      </c>
      <c r="V1278" s="291">
        <f t="shared" si="19"/>
        <v>0</v>
      </c>
      <c r="W1278" s="292">
        <v>0</v>
      </c>
      <c r="X1278" s="290">
        <v>70260</v>
      </c>
      <c r="Y1278" s="291">
        <v>0</v>
      </c>
      <c r="Z1278" s="289" t="s">
        <v>944</v>
      </c>
      <c r="AA1278" s="289">
        <v>0</v>
      </c>
      <c r="AB1278" s="289" t="s">
        <v>3488</v>
      </c>
      <c r="AC1278" s="289"/>
      <c r="AD1278" s="289" t="s">
        <v>1446</v>
      </c>
      <c r="AE1278" s="289" t="s">
        <v>410</v>
      </c>
      <c r="AF1278" s="290" t="s">
        <v>1447</v>
      </c>
      <c r="AG1278" s="289"/>
      <c r="AH1278" s="290" t="s">
        <v>1448</v>
      </c>
      <c r="AI1278" s="289">
        <v>0</v>
      </c>
      <c r="AJ1278" s="289">
        <v>0</v>
      </c>
    </row>
    <row r="1279" spans="2:36">
      <c r="B1279" s="290">
        <v>2111</v>
      </c>
      <c r="C1279" s="294">
        <v>37249</v>
      </c>
      <c r="D1279" s="290">
        <v>24896</v>
      </c>
      <c r="E1279" s="289" t="s">
        <v>3495</v>
      </c>
      <c r="F1279" s="290">
        <v>0</v>
      </c>
      <c r="G1279" s="289"/>
      <c r="H1279" s="289"/>
      <c r="I1279" s="289"/>
      <c r="J1279" s="289">
        <v>0</v>
      </c>
      <c r="K1279" s="289" t="s">
        <v>2465</v>
      </c>
      <c r="L1279" s="289"/>
      <c r="M1279" s="289"/>
      <c r="N1279" s="293">
        <v>38518</v>
      </c>
      <c r="O1279" s="293">
        <v>38518</v>
      </c>
      <c r="P1279" s="289" t="s">
        <v>2466</v>
      </c>
      <c r="Q1279" s="290">
        <v>300</v>
      </c>
      <c r="R1279" s="290">
        <v>14110</v>
      </c>
      <c r="S1279" s="291">
        <v>299.24</v>
      </c>
      <c r="T1279" s="290">
        <v>14116</v>
      </c>
      <c r="U1279" s="291">
        <v>299.24</v>
      </c>
      <c r="V1279" s="291">
        <f t="shared" si="19"/>
        <v>0</v>
      </c>
      <c r="W1279" s="292">
        <v>0</v>
      </c>
      <c r="X1279" s="290">
        <v>70260</v>
      </c>
      <c r="Y1279" s="291">
        <v>0</v>
      </c>
      <c r="Z1279" s="289" t="s">
        <v>944</v>
      </c>
      <c r="AA1279" s="289">
        <v>0</v>
      </c>
      <c r="AB1279" s="289" t="s">
        <v>3488</v>
      </c>
      <c r="AC1279" s="289"/>
      <c r="AD1279" s="289" t="s">
        <v>1446</v>
      </c>
      <c r="AE1279" s="289" t="s">
        <v>410</v>
      </c>
      <c r="AF1279" s="290" t="s">
        <v>1447</v>
      </c>
      <c r="AG1279" s="289"/>
      <c r="AH1279" s="290" t="s">
        <v>1448</v>
      </c>
      <c r="AI1279" s="289">
        <v>0</v>
      </c>
      <c r="AJ1279" s="289">
        <v>0</v>
      </c>
    </row>
    <row r="1280" spans="2:36">
      <c r="B1280" s="290">
        <v>2111</v>
      </c>
      <c r="C1280" s="294">
        <v>37240</v>
      </c>
      <c r="D1280" s="290">
        <v>24894</v>
      </c>
      <c r="E1280" s="289" t="s">
        <v>3489</v>
      </c>
      <c r="F1280" s="290">
        <v>0</v>
      </c>
      <c r="G1280" s="289"/>
      <c r="H1280" s="289"/>
      <c r="I1280" s="289"/>
      <c r="J1280" s="289">
        <v>0</v>
      </c>
      <c r="K1280" s="289" t="s">
        <v>2465</v>
      </c>
      <c r="L1280" s="289"/>
      <c r="M1280" s="289"/>
      <c r="N1280" s="293">
        <v>38518</v>
      </c>
      <c r="O1280" s="293">
        <v>38518</v>
      </c>
      <c r="P1280" s="289" t="s">
        <v>2466</v>
      </c>
      <c r="Q1280" s="290">
        <v>300</v>
      </c>
      <c r="R1280" s="290">
        <v>14110</v>
      </c>
      <c r="S1280" s="291">
        <v>1789.2</v>
      </c>
      <c r="T1280" s="290">
        <v>14116</v>
      </c>
      <c r="U1280" s="291">
        <v>1789.2</v>
      </c>
      <c r="V1280" s="291">
        <f t="shared" si="19"/>
        <v>0</v>
      </c>
      <c r="W1280" s="292">
        <v>0</v>
      </c>
      <c r="X1280" s="290">
        <v>70260</v>
      </c>
      <c r="Y1280" s="291">
        <v>0</v>
      </c>
      <c r="Z1280" s="289" t="s">
        <v>944</v>
      </c>
      <c r="AA1280" s="289">
        <v>0</v>
      </c>
      <c r="AB1280" s="289" t="s">
        <v>2915</v>
      </c>
      <c r="AC1280" s="289"/>
      <c r="AD1280" s="289" t="s">
        <v>1446</v>
      </c>
      <c r="AE1280" s="289" t="s">
        <v>410</v>
      </c>
      <c r="AF1280" s="290" t="s">
        <v>1447</v>
      </c>
      <c r="AG1280" s="289"/>
      <c r="AH1280" s="290" t="s">
        <v>1448</v>
      </c>
      <c r="AI1280" s="289">
        <v>0</v>
      </c>
      <c r="AJ1280" s="289">
        <v>0</v>
      </c>
    </row>
    <row r="1281" spans="2:36">
      <c r="B1281" s="290">
        <v>2111</v>
      </c>
      <c r="C1281" s="294">
        <v>36399</v>
      </c>
      <c r="D1281" s="290" t="s">
        <v>944</v>
      </c>
      <c r="E1281" s="289" t="s">
        <v>530</v>
      </c>
      <c r="F1281" s="290">
        <v>52</v>
      </c>
      <c r="G1281" s="289"/>
      <c r="H1281" s="289"/>
      <c r="I1281" s="289"/>
      <c r="J1281" s="289">
        <v>0</v>
      </c>
      <c r="K1281" s="289" t="s">
        <v>3496</v>
      </c>
      <c r="L1281" s="289"/>
      <c r="M1281" s="289"/>
      <c r="N1281" s="293">
        <v>38593</v>
      </c>
      <c r="O1281" s="293">
        <v>38593</v>
      </c>
      <c r="P1281" s="289">
        <v>52111014</v>
      </c>
      <c r="Q1281" s="290">
        <v>700</v>
      </c>
      <c r="R1281" s="290">
        <v>14050</v>
      </c>
      <c r="S1281" s="291">
        <v>2540.39</v>
      </c>
      <c r="T1281" s="290">
        <v>14056</v>
      </c>
      <c r="U1281" s="291">
        <v>2540.39</v>
      </c>
      <c r="V1281" s="291">
        <f t="shared" si="19"/>
        <v>0</v>
      </c>
      <c r="W1281" s="292">
        <v>0</v>
      </c>
      <c r="X1281" s="290">
        <v>54260</v>
      </c>
      <c r="Y1281" s="291">
        <v>0</v>
      </c>
      <c r="Z1281" s="289" t="s">
        <v>944</v>
      </c>
      <c r="AA1281" s="289">
        <v>0</v>
      </c>
      <c r="AB1281" s="289" t="s">
        <v>3497</v>
      </c>
      <c r="AC1281" s="289"/>
      <c r="AD1281" s="289" t="s">
        <v>1446</v>
      </c>
      <c r="AE1281" s="289" t="s">
        <v>410</v>
      </c>
      <c r="AF1281" s="290" t="s">
        <v>1447</v>
      </c>
      <c r="AG1281" s="289"/>
      <c r="AH1281" s="290" t="s">
        <v>1448</v>
      </c>
      <c r="AI1281" s="289">
        <v>2</v>
      </c>
      <c r="AJ1281" s="289">
        <v>0</v>
      </c>
    </row>
    <row r="1282" spans="2:36">
      <c r="B1282" s="290">
        <v>2111</v>
      </c>
      <c r="C1282" s="294">
        <v>36398</v>
      </c>
      <c r="D1282" s="290" t="s">
        <v>944</v>
      </c>
      <c r="E1282" s="289" t="s">
        <v>3498</v>
      </c>
      <c r="F1282" s="290">
        <v>7</v>
      </c>
      <c r="G1282" s="289"/>
      <c r="H1282" s="289"/>
      <c r="I1282" s="289"/>
      <c r="J1282" s="289">
        <v>0</v>
      </c>
      <c r="K1282" s="289" t="s">
        <v>2462</v>
      </c>
      <c r="L1282" s="289"/>
      <c r="M1282" s="289" t="s">
        <v>1662</v>
      </c>
      <c r="N1282" s="293">
        <v>38560</v>
      </c>
      <c r="O1282" s="293">
        <v>38560</v>
      </c>
      <c r="P1282" s="289">
        <v>52111010</v>
      </c>
      <c r="Q1282" s="290">
        <v>1200</v>
      </c>
      <c r="R1282" s="290">
        <v>14050</v>
      </c>
      <c r="S1282" s="291">
        <v>5940.48</v>
      </c>
      <c r="T1282" s="290">
        <v>14056</v>
      </c>
      <c r="U1282" s="291">
        <v>5940.48</v>
      </c>
      <c r="V1282" s="291">
        <f t="shared" si="19"/>
        <v>0</v>
      </c>
      <c r="W1282" s="292">
        <v>0</v>
      </c>
      <c r="X1282" s="290">
        <v>54260</v>
      </c>
      <c r="Y1282" s="291">
        <v>0</v>
      </c>
      <c r="Z1282" s="289" t="s">
        <v>944</v>
      </c>
      <c r="AA1282" s="289">
        <v>0</v>
      </c>
      <c r="AB1282" s="289">
        <v>160067</v>
      </c>
      <c r="AC1282" s="289"/>
      <c r="AD1282" s="289" t="s">
        <v>1446</v>
      </c>
      <c r="AE1282" s="289" t="s">
        <v>410</v>
      </c>
      <c r="AF1282" s="290" t="s">
        <v>1447</v>
      </c>
      <c r="AG1282" s="289"/>
      <c r="AH1282" s="290" t="s">
        <v>1448</v>
      </c>
      <c r="AI1282" s="289">
        <v>0</v>
      </c>
      <c r="AJ1282" s="289">
        <v>0</v>
      </c>
    </row>
    <row r="1283" spans="2:36">
      <c r="B1283" s="290">
        <v>2111</v>
      </c>
      <c r="C1283" s="294">
        <v>35610</v>
      </c>
      <c r="D1283" s="290" t="s">
        <v>944</v>
      </c>
      <c r="E1283" s="289" t="s">
        <v>753</v>
      </c>
      <c r="F1283" s="290">
        <v>1</v>
      </c>
      <c r="G1283" s="289"/>
      <c r="H1283" s="289"/>
      <c r="I1283" s="289"/>
      <c r="J1283" s="289">
        <v>0</v>
      </c>
      <c r="K1283" s="289" t="s">
        <v>2474</v>
      </c>
      <c r="L1283" s="289"/>
      <c r="M1283" s="289" t="s">
        <v>3499</v>
      </c>
      <c r="N1283" s="293">
        <v>38558</v>
      </c>
      <c r="O1283" s="293">
        <v>38558</v>
      </c>
      <c r="P1283" s="289">
        <v>52111012</v>
      </c>
      <c r="Q1283" s="290">
        <v>1200</v>
      </c>
      <c r="R1283" s="290">
        <v>14050</v>
      </c>
      <c r="S1283" s="291">
        <v>5206.08</v>
      </c>
      <c r="T1283" s="290">
        <v>14056</v>
      </c>
      <c r="U1283" s="291">
        <v>5206.08</v>
      </c>
      <c r="V1283" s="291">
        <f t="shared" si="19"/>
        <v>0</v>
      </c>
      <c r="W1283" s="292">
        <v>0</v>
      </c>
      <c r="X1283" s="290">
        <v>54260</v>
      </c>
      <c r="Y1283" s="291">
        <v>0</v>
      </c>
      <c r="Z1283" s="289" t="s">
        <v>944</v>
      </c>
      <c r="AA1283" s="289">
        <v>0</v>
      </c>
      <c r="AB1283" s="289">
        <v>2541</v>
      </c>
      <c r="AC1283" s="289"/>
      <c r="AD1283" s="289" t="s">
        <v>1446</v>
      </c>
      <c r="AE1283" s="289" t="s">
        <v>410</v>
      </c>
      <c r="AF1283" s="290" t="s">
        <v>1447</v>
      </c>
      <c r="AG1283" s="289"/>
      <c r="AH1283" s="290" t="s">
        <v>1448</v>
      </c>
      <c r="AI1283" s="289">
        <v>2</v>
      </c>
      <c r="AJ1283" s="289">
        <v>0</v>
      </c>
    </row>
    <row r="1284" spans="2:36">
      <c r="B1284" s="290">
        <v>2111</v>
      </c>
      <c r="C1284" s="294">
        <v>35608</v>
      </c>
      <c r="D1284" s="290" t="s">
        <v>944</v>
      </c>
      <c r="E1284" s="289" t="s">
        <v>3500</v>
      </c>
      <c r="F1284" s="290">
        <v>1380</v>
      </c>
      <c r="G1284" s="289"/>
      <c r="H1284" s="289"/>
      <c r="I1284" s="289"/>
      <c r="J1284" s="289">
        <v>0</v>
      </c>
      <c r="K1284" s="289" t="s">
        <v>2454</v>
      </c>
      <c r="L1284" s="289"/>
      <c r="M1284" s="289" t="s">
        <v>2428</v>
      </c>
      <c r="N1284" s="293">
        <v>38481</v>
      </c>
      <c r="O1284" s="293">
        <v>38481</v>
      </c>
      <c r="P1284" s="289">
        <v>52111002</v>
      </c>
      <c r="Q1284" s="290">
        <v>700</v>
      </c>
      <c r="R1284" s="290">
        <v>14050</v>
      </c>
      <c r="S1284" s="291">
        <v>2627.52</v>
      </c>
      <c r="T1284" s="290">
        <v>14056</v>
      </c>
      <c r="U1284" s="291">
        <v>2627.52</v>
      </c>
      <c r="V1284" s="291">
        <f t="shared" si="19"/>
        <v>0</v>
      </c>
      <c r="W1284" s="292">
        <v>0</v>
      </c>
      <c r="X1284" s="290">
        <v>54260</v>
      </c>
      <c r="Y1284" s="291">
        <v>0</v>
      </c>
      <c r="Z1284" s="289" t="s">
        <v>944</v>
      </c>
      <c r="AA1284" s="289">
        <v>0</v>
      </c>
      <c r="AB1284" s="289" t="s">
        <v>3501</v>
      </c>
      <c r="AC1284" s="289"/>
      <c r="AD1284" s="289" t="s">
        <v>1446</v>
      </c>
      <c r="AE1284" s="289" t="s">
        <v>410</v>
      </c>
      <c r="AF1284" s="290" t="s">
        <v>1447</v>
      </c>
      <c r="AG1284" s="289"/>
      <c r="AH1284" s="290" t="s">
        <v>1448</v>
      </c>
      <c r="AI1284" s="289">
        <v>0</v>
      </c>
      <c r="AJ1284" s="289">
        <v>0</v>
      </c>
    </row>
    <row r="1285" spans="2:36">
      <c r="B1285" s="290">
        <v>2111</v>
      </c>
      <c r="C1285" s="294">
        <v>35607</v>
      </c>
      <c r="D1285" s="290" t="s">
        <v>944</v>
      </c>
      <c r="E1285" s="289" t="s">
        <v>3502</v>
      </c>
      <c r="F1285" s="290">
        <v>0</v>
      </c>
      <c r="G1285" s="289"/>
      <c r="H1285" s="289"/>
      <c r="I1285" s="289"/>
      <c r="J1285" s="289">
        <v>0</v>
      </c>
      <c r="K1285" s="289" t="s">
        <v>2454</v>
      </c>
      <c r="L1285" s="289"/>
      <c r="M1285" s="289" t="s">
        <v>2428</v>
      </c>
      <c r="N1285" s="293">
        <v>38572</v>
      </c>
      <c r="O1285" s="293">
        <v>38572</v>
      </c>
      <c r="P1285" s="289">
        <v>52111002</v>
      </c>
      <c r="Q1285" s="290">
        <v>700</v>
      </c>
      <c r="R1285" s="290">
        <v>14050</v>
      </c>
      <c r="S1285" s="291">
        <v>-1261.44</v>
      </c>
      <c r="T1285" s="290">
        <v>14056</v>
      </c>
      <c r="U1285" s="291">
        <v>-1261.44</v>
      </c>
      <c r="V1285" s="291">
        <f t="shared" si="19"/>
        <v>0</v>
      </c>
      <c r="W1285" s="292">
        <v>0</v>
      </c>
      <c r="X1285" s="290">
        <v>54260</v>
      </c>
      <c r="Y1285" s="291">
        <v>0</v>
      </c>
      <c r="Z1285" s="289" t="s">
        <v>944</v>
      </c>
      <c r="AA1285" s="289">
        <v>0</v>
      </c>
      <c r="AB1285" s="289" t="s">
        <v>3503</v>
      </c>
      <c r="AC1285" s="289"/>
      <c r="AD1285" s="289" t="s">
        <v>1446</v>
      </c>
      <c r="AE1285" s="289" t="s">
        <v>410</v>
      </c>
      <c r="AF1285" s="290" t="s">
        <v>1447</v>
      </c>
      <c r="AG1285" s="289"/>
      <c r="AH1285" s="290" t="s">
        <v>1448</v>
      </c>
      <c r="AI1285" s="289">
        <v>0</v>
      </c>
      <c r="AJ1285" s="289">
        <v>0</v>
      </c>
    </row>
    <row r="1286" spans="2:36">
      <c r="B1286" s="290">
        <v>2111</v>
      </c>
      <c r="C1286" s="294">
        <v>35606</v>
      </c>
      <c r="D1286" s="290" t="s">
        <v>944</v>
      </c>
      <c r="E1286" s="289" t="s">
        <v>2484</v>
      </c>
      <c r="F1286" s="290">
        <v>5153</v>
      </c>
      <c r="G1286" s="289"/>
      <c r="H1286" s="289"/>
      <c r="I1286" s="289"/>
      <c r="J1286" s="289">
        <v>0</v>
      </c>
      <c r="K1286" s="289" t="s">
        <v>2454</v>
      </c>
      <c r="L1286" s="289"/>
      <c r="M1286" s="289"/>
      <c r="N1286" s="293">
        <v>38495</v>
      </c>
      <c r="O1286" s="293">
        <v>38495</v>
      </c>
      <c r="P1286" s="289">
        <v>52111002</v>
      </c>
      <c r="Q1286" s="290">
        <v>700</v>
      </c>
      <c r="R1286" s="290">
        <v>14050</v>
      </c>
      <c r="S1286" s="291">
        <v>7008.08</v>
      </c>
      <c r="T1286" s="290">
        <v>14056</v>
      </c>
      <c r="U1286" s="291">
        <v>7008.08</v>
      </c>
      <c r="V1286" s="291">
        <f t="shared" si="19"/>
        <v>0</v>
      </c>
      <c r="W1286" s="292">
        <v>0</v>
      </c>
      <c r="X1286" s="290">
        <v>54260</v>
      </c>
      <c r="Y1286" s="291">
        <v>0</v>
      </c>
      <c r="Z1286" s="289" t="s">
        <v>944</v>
      </c>
      <c r="AA1286" s="289">
        <v>0</v>
      </c>
      <c r="AB1286" s="289" t="s">
        <v>3504</v>
      </c>
      <c r="AC1286" s="289"/>
      <c r="AD1286" s="289" t="s">
        <v>1446</v>
      </c>
      <c r="AE1286" s="289" t="s">
        <v>410</v>
      </c>
      <c r="AF1286" s="290" t="s">
        <v>1447</v>
      </c>
      <c r="AG1286" s="289"/>
      <c r="AH1286" s="290" t="s">
        <v>1448</v>
      </c>
      <c r="AI1286" s="289">
        <v>0</v>
      </c>
      <c r="AJ1286" s="289">
        <v>0</v>
      </c>
    </row>
    <row r="1287" spans="2:36">
      <c r="B1287" s="290">
        <v>2111</v>
      </c>
      <c r="C1287" s="294">
        <v>35605</v>
      </c>
      <c r="D1287" s="290" t="s">
        <v>944</v>
      </c>
      <c r="E1287" s="289" t="s">
        <v>3500</v>
      </c>
      <c r="F1287" s="290">
        <v>1175</v>
      </c>
      <c r="G1287" s="289"/>
      <c r="H1287" s="289"/>
      <c r="I1287" s="289"/>
      <c r="J1287" s="289">
        <v>0</v>
      </c>
      <c r="K1287" s="289" t="s">
        <v>2454</v>
      </c>
      <c r="L1287" s="289"/>
      <c r="M1287" s="289" t="s">
        <v>2428</v>
      </c>
      <c r="N1287" s="293">
        <v>38495</v>
      </c>
      <c r="O1287" s="293">
        <v>38495</v>
      </c>
      <c r="P1287" s="289">
        <v>52111002</v>
      </c>
      <c r="Q1287" s="290">
        <v>700</v>
      </c>
      <c r="R1287" s="290">
        <v>14050</v>
      </c>
      <c r="S1287" s="291">
        <v>2237.1999999999998</v>
      </c>
      <c r="T1287" s="290">
        <v>14056</v>
      </c>
      <c r="U1287" s="291">
        <v>2237.1999999999998</v>
      </c>
      <c r="V1287" s="291">
        <f t="shared" si="19"/>
        <v>0</v>
      </c>
      <c r="W1287" s="292">
        <v>0</v>
      </c>
      <c r="X1287" s="290">
        <v>54260</v>
      </c>
      <c r="Y1287" s="291">
        <v>0</v>
      </c>
      <c r="Z1287" s="289" t="s">
        <v>944</v>
      </c>
      <c r="AA1287" s="289">
        <v>0</v>
      </c>
      <c r="AB1287" s="289" t="s">
        <v>3505</v>
      </c>
      <c r="AC1287" s="289"/>
      <c r="AD1287" s="289" t="s">
        <v>1446</v>
      </c>
      <c r="AE1287" s="289" t="s">
        <v>410</v>
      </c>
      <c r="AF1287" s="290" t="s">
        <v>1447</v>
      </c>
      <c r="AG1287" s="289"/>
      <c r="AH1287" s="290" t="s">
        <v>1448</v>
      </c>
      <c r="AI1287" s="289">
        <v>0</v>
      </c>
      <c r="AJ1287" s="289">
        <v>0</v>
      </c>
    </row>
    <row r="1288" spans="2:36">
      <c r="B1288" s="290">
        <v>2111</v>
      </c>
      <c r="C1288" s="294">
        <v>35604</v>
      </c>
      <c r="D1288" s="290" t="s">
        <v>944</v>
      </c>
      <c r="E1288" s="289" t="s">
        <v>3500</v>
      </c>
      <c r="F1288" s="290">
        <v>2620</v>
      </c>
      <c r="G1288" s="289"/>
      <c r="H1288" s="289"/>
      <c r="I1288" s="289"/>
      <c r="J1288" s="289">
        <v>0</v>
      </c>
      <c r="K1288" s="289" t="s">
        <v>2454</v>
      </c>
      <c r="L1288" s="289"/>
      <c r="M1288" s="289"/>
      <c r="N1288" s="293">
        <v>38470</v>
      </c>
      <c r="O1288" s="293">
        <v>38470</v>
      </c>
      <c r="P1288" s="289">
        <v>52111002</v>
      </c>
      <c r="Q1288" s="290">
        <v>700</v>
      </c>
      <c r="R1288" s="290">
        <v>14050</v>
      </c>
      <c r="S1288" s="291">
        <v>4988.4799999999996</v>
      </c>
      <c r="T1288" s="290">
        <v>14056</v>
      </c>
      <c r="U1288" s="291">
        <v>4988.4799999999996</v>
      </c>
      <c r="V1288" s="291">
        <f t="shared" si="19"/>
        <v>0</v>
      </c>
      <c r="W1288" s="292">
        <v>0</v>
      </c>
      <c r="X1288" s="290">
        <v>54260</v>
      </c>
      <c r="Y1288" s="291">
        <v>0</v>
      </c>
      <c r="Z1288" s="289" t="s">
        <v>944</v>
      </c>
      <c r="AA1288" s="289">
        <v>0</v>
      </c>
      <c r="AB1288" s="289" t="s">
        <v>3506</v>
      </c>
      <c r="AC1288" s="289"/>
      <c r="AD1288" s="289" t="s">
        <v>1446</v>
      </c>
      <c r="AE1288" s="289" t="s">
        <v>410</v>
      </c>
      <c r="AF1288" s="290" t="s">
        <v>1447</v>
      </c>
      <c r="AG1288" s="289"/>
      <c r="AH1288" s="290" t="s">
        <v>1448</v>
      </c>
      <c r="AI1288" s="289">
        <v>0</v>
      </c>
      <c r="AJ1288" s="289">
        <v>0</v>
      </c>
    </row>
    <row r="1289" spans="2:36">
      <c r="B1289" s="290">
        <v>2111</v>
      </c>
      <c r="C1289" s="294">
        <v>35603</v>
      </c>
      <c r="D1289" s="290" t="s">
        <v>944</v>
      </c>
      <c r="E1289" s="289" t="s">
        <v>3500</v>
      </c>
      <c r="F1289" s="290">
        <v>3000</v>
      </c>
      <c r="G1289" s="289"/>
      <c r="H1289" s="289"/>
      <c r="I1289" s="289"/>
      <c r="J1289" s="289">
        <v>0</v>
      </c>
      <c r="K1289" s="289" t="s">
        <v>2454</v>
      </c>
      <c r="L1289" s="289"/>
      <c r="M1289" s="289" t="s">
        <v>2428</v>
      </c>
      <c r="N1289" s="293">
        <v>38485</v>
      </c>
      <c r="O1289" s="293">
        <v>38485</v>
      </c>
      <c r="P1289" s="289">
        <v>52111002</v>
      </c>
      <c r="Q1289" s="290">
        <v>700</v>
      </c>
      <c r="R1289" s="290">
        <v>14050</v>
      </c>
      <c r="S1289" s="291">
        <v>4080</v>
      </c>
      <c r="T1289" s="290">
        <v>14056</v>
      </c>
      <c r="U1289" s="291">
        <v>4080</v>
      </c>
      <c r="V1289" s="291">
        <f t="shared" si="19"/>
        <v>0</v>
      </c>
      <c r="W1289" s="292">
        <v>0</v>
      </c>
      <c r="X1289" s="290">
        <v>54260</v>
      </c>
      <c r="Y1289" s="291">
        <v>0</v>
      </c>
      <c r="Z1289" s="289" t="s">
        <v>944</v>
      </c>
      <c r="AA1289" s="289">
        <v>0</v>
      </c>
      <c r="AB1289" s="289" t="s">
        <v>3503</v>
      </c>
      <c r="AC1289" s="289"/>
      <c r="AD1289" s="289" t="s">
        <v>1446</v>
      </c>
      <c r="AE1289" s="289" t="s">
        <v>410</v>
      </c>
      <c r="AF1289" s="290" t="s">
        <v>1447</v>
      </c>
      <c r="AG1289" s="289"/>
      <c r="AH1289" s="290" t="s">
        <v>1448</v>
      </c>
      <c r="AI1289" s="289">
        <v>0</v>
      </c>
      <c r="AJ1289" s="289">
        <v>0</v>
      </c>
    </row>
    <row r="1290" spans="2:36">
      <c r="B1290" s="290">
        <v>2111</v>
      </c>
      <c r="C1290" s="294">
        <v>35602</v>
      </c>
      <c r="D1290" s="290" t="s">
        <v>944</v>
      </c>
      <c r="E1290" s="289" t="s">
        <v>3500</v>
      </c>
      <c r="F1290" s="290">
        <v>2325</v>
      </c>
      <c r="G1290" s="289"/>
      <c r="H1290" s="289"/>
      <c r="I1290" s="289"/>
      <c r="J1290" s="289">
        <v>0</v>
      </c>
      <c r="K1290" s="289" t="s">
        <v>2454</v>
      </c>
      <c r="L1290" s="289"/>
      <c r="M1290" s="289"/>
      <c r="N1290" s="293">
        <v>38481</v>
      </c>
      <c r="O1290" s="293">
        <v>38481</v>
      </c>
      <c r="P1290" s="289">
        <v>52111002</v>
      </c>
      <c r="Q1290" s="290">
        <v>700</v>
      </c>
      <c r="R1290" s="290">
        <v>14050</v>
      </c>
      <c r="S1290" s="291">
        <v>4426.8</v>
      </c>
      <c r="T1290" s="290">
        <v>14056</v>
      </c>
      <c r="U1290" s="291">
        <v>4426.8</v>
      </c>
      <c r="V1290" s="291">
        <f t="shared" si="19"/>
        <v>0</v>
      </c>
      <c r="W1290" s="292">
        <v>0</v>
      </c>
      <c r="X1290" s="290">
        <v>54260</v>
      </c>
      <c r="Y1290" s="291">
        <v>0</v>
      </c>
      <c r="Z1290" s="289" t="s">
        <v>944</v>
      </c>
      <c r="AA1290" s="289">
        <v>0</v>
      </c>
      <c r="AB1290" s="289" t="s">
        <v>3507</v>
      </c>
      <c r="AC1290" s="289"/>
      <c r="AD1290" s="289" t="s">
        <v>1446</v>
      </c>
      <c r="AE1290" s="289" t="s">
        <v>410</v>
      </c>
      <c r="AF1290" s="290" t="s">
        <v>1447</v>
      </c>
      <c r="AG1290" s="289"/>
      <c r="AH1290" s="290" t="s">
        <v>1448</v>
      </c>
      <c r="AI1290" s="289">
        <v>0</v>
      </c>
      <c r="AJ1290" s="289">
        <v>0</v>
      </c>
    </row>
    <row r="1291" spans="2:36">
      <c r="B1291" s="290">
        <v>2111</v>
      </c>
      <c r="C1291" s="294">
        <v>35601</v>
      </c>
      <c r="D1291" s="290" t="s">
        <v>944</v>
      </c>
      <c r="E1291" s="289" t="s">
        <v>3508</v>
      </c>
      <c r="F1291" s="290">
        <v>10470</v>
      </c>
      <c r="G1291" s="289"/>
      <c r="H1291" s="289"/>
      <c r="I1291" s="289"/>
      <c r="J1291" s="289">
        <v>0</v>
      </c>
      <c r="K1291" s="289" t="s">
        <v>2454</v>
      </c>
      <c r="L1291" s="289"/>
      <c r="M1291" s="289"/>
      <c r="N1291" s="293">
        <v>38485</v>
      </c>
      <c r="O1291" s="293">
        <v>38485</v>
      </c>
      <c r="P1291" s="289">
        <v>52111002</v>
      </c>
      <c r="Q1291" s="290">
        <v>700</v>
      </c>
      <c r="R1291" s="290">
        <v>14050</v>
      </c>
      <c r="S1291" s="291">
        <v>14239.2</v>
      </c>
      <c r="T1291" s="290">
        <v>14056</v>
      </c>
      <c r="U1291" s="291">
        <v>14239.2</v>
      </c>
      <c r="V1291" s="291">
        <f t="shared" si="19"/>
        <v>0</v>
      </c>
      <c r="W1291" s="292">
        <v>0</v>
      </c>
      <c r="X1291" s="290">
        <v>54260</v>
      </c>
      <c r="Y1291" s="291">
        <v>0</v>
      </c>
      <c r="Z1291" s="289" t="s">
        <v>944</v>
      </c>
      <c r="AA1291" s="289">
        <v>0</v>
      </c>
      <c r="AB1291" s="289" t="s">
        <v>3509</v>
      </c>
      <c r="AC1291" s="289"/>
      <c r="AD1291" s="289" t="s">
        <v>1446</v>
      </c>
      <c r="AE1291" s="289" t="s">
        <v>410</v>
      </c>
      <c r="AF1291" s="290" t="s">
        <v>1447</v>
      </c>
      <c r="AG1291" s="289"/>
      <c r="AH1291" s="290" t="s">
        <v>1448</v>
      </c>
      <c r="AI1291" s="289">
        <v>0</v>
      </c>
      <c r="AJ1291" s="289">
        <v>0</v>
      </c>
    </row>
    <row r="1292" spans="2:36">
      <c r="B1292" s="290">
        <v>2111</v>
      </c>
      <c r="C1292" s="294">
        <v>35210</v>
      </c>
      <c r="D1292" s="290"/>
      <c r="E1292" s="289" t="s">
        <v>3510</v>
      </c>
      <c r="F1292" s="290">
        <v>0</v>
      </c>
      <c r="G1292" s="289"/>
      <c r="H1292" s="289"/>
      <c r="I1292" s="289"/>
      <c r="J1292" s="289">
        <v>0</v>
      </c>
      <c r="K1292" s="289" t="s">
        <v>2471</v>
      </c>
      <c r="L1292" s="289"/>
      <c r="M1292" s="289"/>
      <c r="N1292" s="293">
        <v>38531</v>
      </c>
      <c r="O1292" s="293">
        <v>38531</v>
      </c>
      <c r="P1292" s="289">
        <v>52111003</v>
      </c>
      <c r="Q1292" s="290">
        <v>1000</v>
      </c>
      <c r="R1292" s="290">
        <v>14070</v>
      </c>
      <c r="S1292" s="291">
        <v>8268.9699999999993</v>
      </c>
      <c r="T1292" s="290">
        <v>14076</v>
      </c>
      <c r="U1292" s="291">
        <v>8268.9699999999993</v>
      </c>
      <c r="V1292" s="291">
        <f t="shared" si="19"/>
        <v>0</v>
      </c>
      <c r="W1292" s="292">
        <v>0</v>
      </c>
      <c r="X1292" s="290">
        <v>51260</v>
      </c>
      <c r="Y1292" s="291">
        <v>0</v>
      </c>
      <c r="Z1292" s="289" t="s">
        <v>944</v>
      </c>
      <c r="AA1292" s="289">
        <v>0</v>
      </c>
      <c r="AB1292" s="289">
        <v>21993</v>
      </c>
      <c r="AC1292" s="289"/>
      <c r="AD1292" s="289" t="s">
        <v>1446</v>
      </c>
      <c r="AE1292" s="289" t="s">
        <v>410</v>
      </c>
      <c r="AF1292" s="290" t="s">
        <v>1447</v>
      </c>
      <c r="AG1292" s="289"/>
      <c r="AH1292" s="290" t="s">
        <v>1448</v>
      </c>
      <c r="AI1292" s="289">
        <v>0</v>
      </c>
      <c r="AJ1292" s="289">
        <v>0</v>
      </c>
    </row>
    <row r="1293" spans="2:36">
      <c r="B1293" s="290">
        <v>2111</v>
      </c>
      <c r="C1293" s="294">
        <v>35105</v>
      </c>
      <c r="D1293" s="290" t="s">
        <v>944</v>
      </c>
      <c r="E1293" s="289" t="s">
        <v>3511</v>
      </c>
      <c r="F1293" s="290">
        <v>28</v>
      </c>
      <c r="G1293" s="289"/>
      <c r="H1293" s="289"/>
      <c r="I1293" s="289"/>
      <c r="J1293" s="289">
        <v>0</v>
      </c>
      <c r="K1293" s="289" t="s">
        <v>2462</v>
      </c>
      <c r="L1293" s="289"/>
      <c r="M1293" s="289" t="s">
        <v>1659</v>
      </c>
      <c r="N1293" s="293">
        <v>38533</v>
      </c>
      <c r="O1293" s="293">
        <v>38533</v>
      </c>
      <c r="P1293" s="289">
        <v>52111008</v>
      </c>
      <c r="Q1293" s="290">
        <v>1200</v>
      </c>
      <c r="R1293" s="290">
        <v>14050</v>
      </c>
      <c r="S1293" s="291">
        <v>12855.81</v>
      </c>
      <c r="T1293" s="290">
        <v>14056</v>
      </c>
      <c r="U1293" s="291">
        <v>12855.81</v>
      </c>
      <c r="V1293" s="291">
        <f t="shared" si="19"/>
        <v>0</v>
      </c>
      <c r="W1293" s="292">
        <v>0</v>
      </c>
      <c r="X1293" s="290">
        <v>54260</v>
      </c>
      <c r="Y1293" s="291">
        <v>0</v>
      </c>
      <c r="Z1293" s="289" t="s">
        <v>944</v>
      </c>
      <c r="AA1293" s="289">
        <v>0</v>
      </c>
      <c r="AB1293" s="289">
        <v>159316</v>
      </c>
      <c r="AC1293" s="289"/>
      <c r="AD1293" s="289" t="s">
        <v>1446</v>
      </c>
      <c r="AE1293" s="289" t="s">
        <v>410</v>
      </c>
      <c r="AF1293" s="290" t="s">
        <v>1447</v>
      </c>
      <c r="AG1293" s="289"/>
      <c r="AH1293" s="290" t="s">
        <v>1448</v>
      </c>
      <c r="AI1293" s="289">
        <v>0</v>
      </c>
      <c r="AJ1293" s="289">
        <v>0</v>
      </c>
    </row>
    <row r="1294" spans="2:36">
      <c r="B1294" s="290">
        <v>2111</v>
      </c>
      <c r="C1294" s="294">
        <v>34689</v>
      </c>
      <c r="D1294" s="290" t="s">
        <v>944</v>
      </c>
      <c r="E1294" s="289" t="s">
        <v>2484</v>
      </c>
      <c r="F1294" s="290">
        <v>720</v>
      </c>
      <c r="G1294" s="289"/>
      <c r="H1294" s="289" t="s">
        <v>3512</v>
      </c>
      <c r="I1294" s="289"/>
      <c r="J1294" s="289">
        <v>0</v>
      </c>
      <c r="K1294" s="289" t="s">
        <v>2454</v>
      </c>
      <c r="L1294" s="289"/>
      <c r="M1294" s="289"/>
      <c r="N1294" s="293">
        <v>38406</v>
      </c>
      <c r="O1294" s="293">
        <v>38406</v>
      </c>
      <c r="P1294" s="289">
        <v>52111002</v>
      </c>
      <c r="Q1294" s="290">
        <v>700</v>
      </c>
      <c r="R1294" s="290">
        <v>14050</v>
      </c>
      <c r="S1294" s="291">
        <v>1588.48</v>
      </c>
      <c r="T1294" s="290">
        <v>14056</v>
      </c>
      <c r="U1294" s="291">
        <v>1588.48</v>
      </c>
      <c r="V1294" s="291">
        <f t="shared" ref="V1294:V1357" si="20">S1294-U1294</f>
        <v>0</v>
      </c>
      <c r="W1294" s="292">
        <v>0</v>
      </c>
      <c r="X1294" s="290">
        <v>54260</v>
      </c>
      <c r="Y1294" s="291">
        <v>0</v>
      </c>
      <c r="Z1294" s="289" t="s">
        <v>944</v>
      </c>
      <c r="AA1294" s="289">
        <v>0</v>
      </c>
      <c r="AB1294" s="289" t="s">
        <v>3513</v>
      </c>
      <c r="AC1294" s="289"/>
      <c r="AD1294" s="289" t="s">
        <v>1446</v>
      </c>
      <c r="AE1294" s="289" t="s">
        <v>410</v>
      </c>
      <c r="AF1294" s="290" t="s">
        <v>1447</v>
      </c>
      <c r="AG1294" s="289"/>
      <c r="AH1294" s="290" t="s">
        <v>1448</v>
      </c>
      <c r="AI1294" s="289">
        <v>0</v>
      </c>
      <c r="AJ1294" s="289">
        <v>0</v>
      </c>
    </row>
    <row r="1295" spans="2:36">
      <c r="B1295" s="290">
        <v>2111</v>
      </c>
      <c r="C1295" s="294">
        <v>34611</v>
      </c>
      <c r="D1295" s="290"/>
      <c r="E1295" s="289" t="s">
        <v>3514</v>
      </c>
      <c r="F1295" s="290">
        <v>0</v>
      </c>
      <c r="G1295" s="289"/>
      <c r="H1295" s="289"/>
      <c r="I1295" s="289"/>
      <c r="J1295" s="289">
        <v>0</v>
      </c>
      <c r="K1295" s="289" t="s">
        <v>3515</v>
      </c>
      <c r="L1295" s="289"/>
      <c r="M1295" s="289"/>
      <c r="N1295" s="293">
        <v>38499</v>
      </c>
      <c r="O1295" s="293">
        <v>38499</v>
      </c>
      <c r="P1295" s="289" t="s">
        <v>3516</v>
      </c>
      <c r="Q1295" s="290">
        <v>300</v>
      </c>
      <c r="R1295" s="290">
        <v>14110</v>
      </c>
      <c r="S1295" s="291">
        <v>850</v>
      </c>
      <c r="T1295" s="290">
        <v>14116</v>
      </c>
      <c r="U1295" s="291">
        <v>850</v>
      </c>
      <c r="V1295" s="291">
        <f t="shared" si="20"/>
        <v>0</v>
      </c>
      <c r="W1295" s="292">
        <v>0</v>
      </c>
      <c r="X1295" s="290">
        <v>70260</v>
      </c>
      <c r="Y1295" s="291">
        <v>0</v>
      </c>
      <c r="Z1295" s="289" t="s">
        <v>944</v>
      </c>
      <c r="AA1295" s="289">
        <v>0</v>
      </c>
      <c r="AB1295" s="289">
        <v>7938</v>
      </c>
      <c r="AC1295" s="289"/>
      <c r="AD1295" s="289" t="s">
        <v>1446</v>
      </c>
      <c r="AE1295" s="289" t="s">
        <v>410</v>
      </c>
      <c r="AF1295" s="290" t="s">
        <v>1447</v>
      </c>
      <c r="AG1295" s="289"/>
      <c r="AH1295" s="290" t="s">
        <v>1448</v>
      </c>
      <c r="AI1295" s="289">
        <v>0</v>
      </c>
      <c r="AJ1295" s="289">
        <v>0</v>
      </c>
    </row>
    <row r="1296" spans="2:36">
      <c r="B1296" s="290">
        <v>2111</v>
      </c>
      <c r="C1296" s="294">
        <v>34376</v>
      </c>
      <c r="D1296" s="290" t="s">
        <v>944</v>
      </c>
      <c r="E1296" s="289" t="s">
        <v>3517</v>
      </c>
      <c r="F1296" s="290">
        <v>960</v>
      </c>
      <c r="G1296" s="289"/>
      <c r="H1296" s="289" t="s">
        <v>3518</v>
      </c>
      <c r="I1296" s="289"/>
      <c r="J1296" s="289">
        <v>0</v>
      </c>
      <c r="K1296" s="289" t="s">
        <v>2454</v>
      </c>
      <c r="L1296" s="289"/>
      <c r="M1296" s="289"/>
      <c r="N1296" s="293">
        <v>38413</v>
      </c>
      <c r="O1296" s="293">
        <v>38413</v>
      </c>
      <c r="P1296" s="289">
        <v>52111002</v>
      </c>
      <c r="Q1296" s="290">
        <v>700</v>
      </c>
      <c r="R1296" s="290">
        <v>14050</v>
      </c>
      <c r="S1296" s="291">
        <v>33945.599999999999</v>
      </c>
      <c r="T1296" s="290">
        <v>14056</v>
      </c>
      <c r="U1296" s="291">
        <v>33945.599999999999</v>
      </c>
      <c r="V1296" s="291">
        <f t="shared" si="20"/>
        <v>0</v>
      </c>
      <c r="W1296" s="292">
        <v>0</v>
      </c>
      <c r="X1296" s="290">
        <v>54260</v>
      </c>
      <c r="Y1296" s="291">
        <v>0</v>
      </c>
      <c r="Z1296" s="289" t="s">
        <v>944</v>
      </c>
      <c r="AA1296" s="289">
        <v>0</v>
      </c>
      <c r="AB1296" s="289" t="s">
        <v>3519</v>
      </c>
      <c r="AC1296" s="289"/>
      <c r="AD1296" s="289" t="s">
        <v>1446</v>
      </c>
      <c r="AE1296" s="289" t="s">
        <v>410</v>
      </c>
      <c r="AF1296" s="290" t="s">
        <v>1447</v>
      </c>
      <c r="AG1296" s="289"/>
      <c r="AH1296" s="290" t="s">
        <v>1448</v>
      </c>
      <c r="AI1296" s="289">
        <v>0</v>
      </c>
      <c r="AJ1296" s="289">
        <v>0</v>
      </c>
    </row>
    <row r="1297" spans="2:36">
      <c r="B1297" s="290">
        <v>2111</v>
      </c>
      <c r="C1297" s="294">
        <v>34375</v>
      </c>
      <c r="D1297" s="290" t="s">
        <v>944</v>
      </c>
      <c r="E1297" s="289" t="s">
        <v>3517</v>
      </c>
      <c r="F1297" s="290">
        <v>40</v>
      </c>
      <c r="G1297" s="289"/>
      <c r="H1297" s="289" t="s">
        <v>3520</v>
      </c>
      <c r="I1297" s="289"/>
      <c r="J1297" s="289">
        <v>0</v>
      </c>
      <c r="K1297" s="289" t="s">
        <v>2454</v>
      </c>
      <c r="L1297" s="289"/>
      <c r="M1297" s="289"/>
      <c r="N1297" s="293">
        <v>38421</v>
      </c>
      <c r="O1297" s="293">
        <v>38421</v>
      </c>
      <c r="P1297" s="289">
        <v>52111002</v>
      </c>
      <c r="Q1297" s="290">
        <v>700</v>
      </c>
      <c r="R1297" s="290">
        <v>14050</v>
      </c>
      <c r="S1297" s="291">
        <v>1414.4</v>
      </c>
      <c r="T1297" s="290">
        <v>14056</v>
      </c>
      <c r="U1297" s="291">
        <v>1414.4</v>
      </c>
      <c r="V1297" s="291">
        <f t="shared" si="20"/>
        <v>0</v>
      </c>
      <c r="W1297" s="292">
        <v>0</v>
      </c>
      <c r="X1297" s="290">
        <v>54260</v>
      </c>
      <c r="Y1297" s="291">
        <v>0</v>
      </c>
      <c r="Z1297" s="289" t="s">
        <v>944</v>
      </c>
      <c r="AA1297" s="289">
        <v>0</v>
      </c>
      <c r="AB1297" s="289" t="s">
        <v>3521</v>
      </c>
      <c r="AC1297" s="289"/>
      <c r="AD1297" s="289" t="s">
        <v>1446</v>
      </c>
      <c r="AE1297" s="289" t="s">
        <v>410</v>
      </c>
      <c r="AF1297" s="290" t="s">
        <v>1447</v>
      </c>
      <c r="AG1297" s="289"/>
      <c r="AH1297" s="290" t="s">
        <v>1448</v>
      </c>
      <c r="AI1297" s="289">
        <v>0</v>
      </c>
      <c r="AJ1297" s="289">
        <v>0</v>
      </c>
    </row>
    <row r="1298" spans="2:36">
      <c r="B1298" s="290">
        <v>2111</v>
      </c>
      <c r="C1298" s="294">
        <v>34374</v>
      </c>
      <c r="D1298" s="290" t="s">
        <v>944</v>
      </c>
      <c r="E1298" s="289" t="s">
        <v>2484</v>
      </c>
      <c r="F1298" s="290">
        <v>100</v>
      </c>
      <c r="G1298" s="289"/>
      <c r="H1298" s="289" t="s">
        <v>3522</v>
      </c>
      <c r="I1298" s="289"/>
      <c r="J1298" s="289">
        <v>0</v>
      </c>
      <c r="K1298" s="289" t="s">
        <v>2454</v>
      </c>
      <c r="L1298" s="289"/>
      <c r="M1298" s="289"/>
      <c r="N1298" s="293">
        <v>38434</v>
      </c>
      <c r="O1298" s="293">
        <v>38434</v>
      </c>
      <c r="P1298" s="289">
        <v>52111002</v>
      </c>
      <c r="Q1298" s="290">
        <v>700</v>
      </c>
      <c r="R1298" s="290">
        <v>14050</v>
      </c>
      <c r="S1298" s="291">
        <v>3971.2</v>
      </c>
      <c r="T1298" s="290">
        <v>14056</v>
      </c>
      <c r="U1298" s="291">
        <v>3971.2</v>
      </c>
      <c r="V1298" s="291">
        <f t="shared" si="20"/>
        <v>0</v>
      </c>
      <c r="W1298" s="292">
        <v>0</v>
      </c>
      <c r="X1298" s="290">
        <v>54260</v>
      </c>
      <c r="Y1298" s="291">
        <v>0</v>
      </c>
      <c r="Z1298" s="289" t="s">
        <v>944</v>
      </c>
      <c r="AA1298" s="289">
        <v>0</v>
      </c>
      <c r="AB1298" s="289" t="s">
        <v>3523</v>
      </c>
      <c r="AC1298" s="289"/>
      <c r="AD1298" s="289" t="s">
        <v>1446</v>
      </c>
      <c r="AE1298" s="289" t="s">
        <v>410</v>
      </c>
      <c r="AF1298" s="290" t="s">
        <v>1447</v>
      </c>
      <c r="AG1298" s="289"/>
      <c r="AH1298" s="290" t="s">
        <v>1448</v>
      </c>
      <c r="AI1298" s="289">
        <v>0</v>
      </c>
      <c r="AJ1298" s="289">
        <v>0</v>
      </c>
    </row>
    <row r="1299" spans="2:36">
      <c r="B1299" s="290">
        <v>2111</v>
      </c>
      <c r="C1299" s="294">
        <v>34373</v>
      </c>
      <c r="D1299" s="290" t="s">
        <v>944</v>
      </c>
      <c r="E1299" s="289" t="s">
        <v>2484</v>
      </c>
      <c r="F1299" s="290">
        <v>720</v>
      </c>
      <c r="G1299" s="289"/>
      <c r="H1299" s="289" t="s">
        <v>3524</v>
      </c>
      <c r="I1299" s="289"/>
      <c r="J1299" s="289">
        <v>0</v>
      </c>
      <c r="K1299" s="289" t="s">
        <v>2454</v>
      </c>
      <c r="L1299" s="289"/>
      <c r="M1299" s="289"/>
      <c r="N1299" s="293">
        <v>38432</v>
      </c>
      <c r="O1299" s="293">
        <v>38432</v>
      </c>
      <c r="P1299" s="289">
        <v>52111002</v>
      </c>
      <c r="Q1299" s="290">
        <v>700</v>
      </c>
      <c r="R1299" s="290">
        <v>14050</v>
      </c>
      <c r="S1299" s="291">
        <v>28592.639999999999</v>
      </c>
      <c r="T1299" s="290">
        <v>14056</v>
      </c>
      <c r="U1299" s="291">
        <v>28592.639999999999</v>
      </c>
      <c r="V1299" s="291">
        <f t="shared" si="20"/>
        <v>0</v>
      </c>
      <c r="W1299" s="292">
        <v>0</v>
      </c>
      <c r="X1299" s="290">
        <v>54260</v>
      </c>
      <c r="Y1299" s="291">
        <v>0</v>
      </c>
      <c r="Z1299" s="289" t="s">
        <v>944</v>
      </c>
      <c r="AA1299" s="289">
        <v>0</v>
      </c>
      <c r="AB1299" s="289" t="s">
        <v>3525</v>
      </c>
      <c r="AC1299" s="289"/>
      <c r="AD1299" s="289" t="s">
        <v>1446</v>
      </c>
      <c r="AE1299" s="289" t="s">
        <v>410</v>
      </c>
      <c r="AF1299" s="290" t="s">
        <v>1447</v>
      </c>
      <c r="AG1299" s="289"/>
      <c r="AH1299" s="290" t="s">
        <v>1448</v>
      </c>
      <c r="AI1299" s="289">
        <v>0</v>
      </c>
      <c r="AJ1299" s="289">
        <v>0</v>
      </c>
    </row>
    <row r="1300" spans="2:36">
      <c r="B1300" s="290">
        <v>2111</v>
      </c>
      <c r="C1300" s="294">
        <v>34372</v>
      </c>
      <c r="D1300" s="290" t="s">
        <v>944</v>
      </c>
      <c r="E1300" s="289" t="s">
        <v>2484</v>
      </c>
      <c r="F1300" s="290">
        <v>620</v>
      </c>
      <c r="G1300" s="289"/>
      <c r="H1300" s="289" t="s">
        <v>3526</v>
      </c>
      <c r="I1300" s="289"/>
      <c r="J1300" s="289">
        <v>0</v>
      </c>
      <c r="K1300" s="289" t="s">
        <v>2454</v>
      </c>
      <c r="L1300" s="289"/>
      <c r="M1300" s="289"/>
      <c r="N1300" s="293">
        <v>38476</v>
      </c>
      <c r="O1300" s="293">
        <v>38476</v>
      </c>
      <c r="P1300" s="289">
        <v>52111002</v>
      </c>
      <c r="Q1300" s="290">
        <v>700</v>
      </c>
      <c r="R1300" s="290">
        <v>14050</v>
      </c>
      <c r="S1300" s="291">
        <v>24621.439999999999</v>
      </c>
      <c r="T1300" s="290">
        <v>14056</v>
      </c>
      <c r="U1300" s="291">
        <v>24621.439999999999</v>
      </c>
      <c r="V1300" s="291">
        <f t="shared" si="20"/>
        <v>0</v>
      </c>
      <c r="W1300" s="292">
        <v>0</v>
      </c>
      <c r="X1300" s="290">
        <v>54260</v>
      </c>
      <c r="Y1300" s="291">
        <v>0</v>
      </c>
      <c r="Z1300" s="289" t="s">
        <v>944</v>
      </c>
      <c r="AA1300" s="289">
        <v>0</v>
      </c>
      <c r="AB1300" s="289" t="s">
        <v>3527</v>
      </c>
      <c r="AC1300" s="289"/>
      <c r="AD1300" s="289" t="s">
        <v>1446</v>
      </c>
      <c r="AE1300" s="289" t="s">
        <v>410</v>
      </c>
      <c r="AF1300" s="290" t="s">
        <v>1447</v>
      </c>
      <c r="AG1300" s="289"/>
      <c r="AH1300" s="290" t="s">
        <v>1448</v>
      </c>
      <c r="AI1300" s="289">
        <v>0</v>
      </c>
      <c r="AJ1300" s="289">
        <v>0</v>
      </c>
    </row>
    <row r="1301" spans="2:36">
      <c r="B1301" s="290">
        <v>2111</v>
      </c>
      <c r="C1301" s="294">
        <v>34371</v>
      </c>
      <c r="D1301" s="290" t="s">
        <v>944</v>
      </c>
      <c r="E1301" s="289" t="s">
        <v>2484</v>
      </c>
      <c r="F1301" s="290">
        <v>720</v>
      </c>
      <c r="G1301" s="289"/>
      <c r="H1301" s="289" t="s">
        <v>3528</v>
      </c>
      <c r="I1301" s="289"/>
      <c r="J1301" s="289">
        <v>0</v>
      </c>
      <c r="K1301" s="289" t="s">
        <v>2454</v>
      </c>
      <c r="L1301" s="289"/>
      <c r="M1301" s="289"/>
      <c r="N1301" s="293">
        <v>38475</v>
      </c>
      <c r="O1301" s="293">
        <v>38475</v>
      </c>
      <c r="P1301" s="289">
        <v>52111002</v>
      </c>
      <c r="Q1301" s="290">
        <v>700</v>
      </c>
      <c r="R1301" s="290">
        <v>14050</v>
      </c>
      <c r="S1301" s="291">
        <v>28592.639999999999</v>
      </c>
      <c r="T1301" s="290">
        <v>14056</v>
      </c>
      <c r="U1301" s="291">
        <v>28592.639999999999</v>
      </c>
      <c r="V1301" s="291">
        <f t="shared" si="20"/>
        <v>0</v>
      </c>
      <c r="W1301" s="292">
        <v>0</v>
      </c>
      <c r="X1301" s="290">
        <v>54260</v>
      </c>
      <c r="Y1301" s="291">
        <v>0</v>
      </c>
      <c r="Z1301" s="289" t="s">
        <v>944</v>
      </c>
      <c r="AA1301" s="289">
        <v>0</v>
      </c>
      <c r="AB1301" s="289" t="s">
        <v>3529</v>
      </c>
      <c r="AC1301" s="289"/>
      <c r="AD1301" s="289" t="s">
        <v>1446</v>
      </c>
      <c r="AE1301" s="289" t="s">
        <v>410</v>
      </c>
      <c r="AF1301" s="290" t="s">
        <v>1447</v>
      </c>
      <c r="AG1301" s="289"/>
      <c r="AH1301" s="290" t="s">
        <v>1448</v>
      </c>
      <c r="AI1301" s="289">
        <v>0</v>
      </c>
      <c r="AJ1301" s="289">
        <v>0</v>
      </c>
    </row>
    <row r="1302" spans="2:36">
      <c r="B1302" s="290">
        <v>2111</v>
      </c>
      <c r="C1302" s="294">
        <v>34370</v>
      </c>
      <c r="D1302" s="290" t="s">
        <v>944</v>
      </c>
      <c r="E1302" s="289" t="s">
        <v>2484</v>
      </c>
      <c r="F1302" s="290">
        <v>720</v>
      </c>
      <c r="G1302" s="289"/>
      <c r="H1302" s="289" t="s">
        <v>3530</v>
      </c>
      <c r="I1302" s="289"/>
      <c r="J1302" s="289">
        <v>0</v>
      </c>
      <c r="K1302" s="289" t="s">
        <v>2454</v>
      </c>
      <c r="L1302" s="289"/>
      <c r="M1302" s="289"/>
      <c r="N1302" s="293">
        <v>38425</v>
      </c>
      <c r="O1302" s="293">
        <v>38425</v>
      </c>
      <c r="P1302" s="289">
        <v>52111002</v>
      </c>
      <c r="Q1302" s="290">
        <v>700</v>
      </c>
      <c r="R1302" s="290">
        <v>14050</v>
      </c>
      <c r="S1302" s="291">
        <v>28592.639999999999</v>
      </c>
      <c r="T1302" s="290">
        <v>14056</v>
      </c>
      <c r="U1302" s="291">
        <v>28592.639999999999</v>
      </c>
      <c r="V1302" s="291">
        <f t="shared" si="20"/>
        <v>0</v>
      </c>
      <c r="W1302" s="292">
        <v>0</v>
      </c>
      <c r="X1302" s="290">
        <v>54260</v>
      </c>
      <c r="Y1302" s="291">
        <v>0</v>
      </c>
      <c r="Z1302" s="289" t="s">
        <v>944</v>
      </c>
      <c r="AA1302" s="289">
        <v>0</v>
      </c>
      <c r="AB1302" s="289" t="s">
        <v>3531</v>
      </c>
      <c r="AC1302" s="289"/>
      <c r="AD1302" s="289" t="s">
        <v>1446</v>
      </c>
      <c r="AE1302" s="289" t="s">
        <v>410</v>
      </c>
      <c r="AF1302" s="290" t="s">
        <v>1447</v>
      </c>
      <c r="AG1302" s="289"/>
      <c r="AH1302" s="290" t="s">
        <v>1448</v>
      </c>
      <c r="AI1302" s="289">
        <v>0</v>
      </c>
      <c r="AJ1302" s="289">
        <v>0</v>
      </c>
    </row>
    <row r="1303" spans="2:36">
      <c r="B1303" s="290">
        <v>2111</v>
      </c>
      <c r="C1303" s="294">
        <v>34369</v>
      </c>
      <c r="D1303" s="290" t="s">
        <v>944</v>
      </c>
      <c r="E1303" s="289" t="s">
        <v>2484</v>
      </c>
      <c r="F1303" s="290">
        <v>720</v>
      </c>
      <c r="G1303" s="289"/>
      <c r="H1303" s="289" t="s">
        <v>3532</v>
      </c>
      <c r="I1303" s="289"/>
      <c r="J1303" s="289">
        <v>0</v>
      </c>
      <c r="K1303" s="289" t="s">
        <v>2454</v>
      </c>
      <c r="L1303" s="289"/>
      <c r="M1303" s="289"/>
      <c r="N1303" s="293">
        <v>38422</v>
      </c>
      <c r="O1303" s="293">
        <v>38422</v>
      </c>
      <c r="P1303" s="289">
        <v>52111002</v>
      </c>
      <c r="Q1303" s="290">
        <v>700</v>
      </c>
      <c r="R1303" s="290">
        <v>14050</v>
      </c>
      <c r="S1303" s="291">
        <v>28592.639999999999</v>
      </c>
      <c r="T1303" s="290">
        <v>14056</v>
      </c>
      <c r="U1303" s="291">
        <v>28592.639999999999</v>
      </c>
      <c r="V1303" s="291">
        <f t="shared" si="20"/>
        <v>0</v>
      </c>
      <c r="W1303" s="292">
        <v>0</v>
      </c>
      <c r="X1303" s="290">
        <v>54260</v>
      </c>
      <c r="Y1303" s="291">
        <v>0</v>
      </c>
      <c r="Z1303" s="289" t="s">
        <v>944</v>
      </c>
      <c r="AA1303" s="289">
        <v>0</v>
      </c>
      <c r="AB1303" s="289" t="s">
        <v>3533</v>
      </c>
      <c r="AC1303" s="289"/>
      <c r="AD1303" s="289" t="s">
        <v>1446</v>
      </c>
      <c r="AE1303" s="289" t="s">
        <v>410</v>
      </c>
      <c r="AF1303" s="290" t="s">
        <v>1447</v>
      </c>
      <c r="AG1303" s="289"/>
      <c r="AH1303" s="290" t="s">
        <v>1448</v>
      </c>
      <c r="AI1303" s="289">
        <v>0</v>
      </c>
      <c r="AJ1303" s="289">
        <v>0</v>
      </c>
    </row>
    <row r="1304" spans="2:36">
      <c r="B1304" s="290">
        <v>2111</v>
      </c>
      <c r="C1304" s="294">
        <v>34368</v>
      </c>
      <c r="D1304" s="290" t="s">
        <v>944</v>
      </c>
      <c r="E1304" s="289" t="s">
        <v>2484</v>
      </c>
      <c r="F1304" s="290">
        <v>720</v>
      </c>
      <c r="G1304" s="289"/>
      <c r="H1304" s="289" t="s">
        <v>3534</v>
      </c>
      <c r="I1304" s="289"/>
      <c r="J1304" s="289">
        <v>0</v>
      </c>
      <c r="K1304" s="289" t="s">
        <v>2454</v>
      </c>
      <c r="L1304" s="289"/>
      <c r="M1304" s="289"/>
      <c r="N1304" s="293">
        <v>38471</v>
      </c>
      <c r="O1304" s="293">
        <v>38471</v>
      </c>
      <c r="P1304" s="289">
        <v>52111002</v>
      </c>
      <c r="Q1304" s="290">
        <v>700</v>
      </c>
      <c r="R1304" s="290">
        <v>14050</v>
      </c>
      <c r="S1304" s="291">
        <v>28592.639999999999</v>
      </c>
      <c r="T1304" s="290">
        <v>14056</v>
      </c>
      <c r="U1304" s="291">
        <v>28592.639999999999</v>
      </c>
      <c r="V1304" s="291">
        <f t="shared" si="20"/>
        <v>0</v>
      </c>
      <c r="W1304" s="292">
        <v>0</v>
      </c>
      <c r="X1304" s="290">
        <v>54260</v>
      </c>
      <c r="Y1304" s="291">
        <v>0</v>
      </c>
      <c r="Z1304" s="289" t="s">
        <v>944</v>
      </c>
      <c r="AA1304" s="289">
        <v>0</v>
      </c>
      <c r="AB1304" s="289" t="s">
        <v>3535</v>
      </c>
      <c r="AC1304" s="289"/>
      <c r="AD1304" s="289" t="s">
        <v>1446</v>
      </c>
      <c r="AE1304" s="289" t="s">
        <v>410</v>
      </c>
      <c r="AF1304" s="290" t="s">
        <v>1447</v>
      </c>
      <c r="AG1304" s="289"/>
      <c r="AH1304" s="290" t="s">
        <v>1448</v>
      </c>
      <c r="AI1304" s="289">
        <v>0</v>
      </c>
      <c r="AJ1304" s="289">
        <v>0</v>
      </c>
    </row>
    <row r="1305" spans="2:36">
      <c r="B1305" s="290">
        <v>2111</v>
      </c>
      <c r="C1305" s="294">
        <v>34367</v>
      </c>
      <c r="D1305" s="290" t="s">
        <v>944</v>
      </c>
      <c r="E1305" s="289" t="s">
        <v>2484</v>
      </c>
      <c r="F1305" s="290">
        <v>720</v>
      </c>
      <c r="G1305" s="289"/>
      <c r="H1305" s="289" t="s">
        <v>3536</v>
      </c>
      <c r="I1305" s="289"/>
      <c r="J1305" s="289">
        <v>0</v>
      </c>
      <c r="K1305" s="289" t="s">
        <v>2454</v>
      </c>
      <c r="L1305" s="289"/>
      <c r="M1305" s="289"/>
      <c r="N1305" s="293">
        <v>38471</v>
      </c>
      <c r="O1305" s="293">
        <v>38471</v>
      </c>
      <c r="P1305" s="289">
        <v>52111002</v>
      </c>
      <c r="Q1305" s="290">
        <v>700</v>
      </c>
      <c r="R1305" s="290">
        <v>14050</v>
      </c>
      <c r="S1305" s="291">
        <v>28592.639999999999</v>
      </c>
      <c r="T1305" s="290">
        <v>14056</v>
      </c>
      <c r="U1305" s="291">
        <v>28592.639999999999</v>
      </c>
      <c r="V1305" s="291">
        <f t="shared" si="20"/>
        <v>0</v>
      </c>
      <c r="W1305" s="292">
        <v>0</v>
      </c>
      <c r="X1305" s="290">
        <v>54260</v>
      </c>
      <c r="Y1305" s="291">
        <v>0</v>
      </c>
      <c r="Z1305" s="289" t="s">
        <v>944</v>
      </c>
      <c r="AA1305" s="289">
        <v>0</v>
      </c>
      <c r="AB1305" s="289" t="s">
        <v>3537</v>
      </c>
      <c r="AC1305" s="289"/>
      <c r="AD1305" s="289" t="s">
        <v>1446</v>
      </c>
      <c r="AE1305" s="289" t="s">
        <v>410</v>
      </c>
      <c r="AF1305" s="290" t="s">
        <v>1447</v>
      </c>
      <c r="AG1305" s="289"/>
      <c r="AH1305" s="290" t="s">
        <v>1448</v>
      </c>
      <c r="AI1305" s="289">
        <v>0</v>
      </c>
      <c r="AJ1305" s="289">
        <v>0</v>
      </c>
    </row>
    <row r="1306" spans="2:36">
      <c r="B1306" s="290">
        <v>2111</v>
      </c>
      <c r="C1306" s="294">
        <v>34366</v>
      </c>
      <c r="D1306" s="290" t="s">
        <v>944</v>
      </c>
      <c r="E1306" s="289" t="s">
        <v>2484</v>
      </c>
      <c r="F1306" s="290">
        <v>720</v>
      </c>
      <c r="G1306" s="289"/>
      <c r="H1306" s="289" t="s">
        <v>3538</v>
      </c>
      <c r="I1306" s="289"/>
      <c r="J1306" s="289">
        <v>0</v>
      </c>
      <c r="K1306" s="289" t="s">
        <v>2454</v>
      </c>
      <c r="L1306" s="289"/>
      <c r="M1306" s="289"/>
      <c r="N1306" s="293">
        <v>38474</v>
      </c>
      <c r="O1306" s="293">
        <v>38474</v>
      </c>
      <c r="P1306" s="289">
        <v>52111002</v>
      </c>
      <c r="Q1306" s="290">
        <v>700</v>
      </c>
      <c r="R1306" s="290">
        <v>14050</v>
      </c>
      <c r="S1306" s="291">
        <v>28592.639999999999</v>
      </c>
      <c r="T1306" s="290">
        <v>14056</v>
      </c>
      <c r="U1306" s="291">
        <v>28592.639999999999</v>
      </c>
      <c r="V1306" s="291">
        <f t="shared" si="20"/>
        <v>0</v>
      </c>
      <c r="W1306" s="292">
        <v>0</v>
      </c>
      <c r="X1306" s="290">
        <v>54260</v>
      </c>
      <c r="Y1306" s="291">
        <v>0</v>
      </c>
      <c r="Z1306" s="289" t="s">
        <v>944</v>
      </c>
      <c r="AA1306" s="289">
        <v>0</v>
      </c>
      <c r="AB1306" s="289" t="s">
        <v>3539</v>
      </c>
      <c r="AC1306" s="289"/>
      <c r="AD1306" s="289" t="s">
        <v>1446</v>
      </c>
      <c r="AE1306" s="289" t="s">
        <v>410</v>
      </c>
      <c r="AF1306" s="290" t="s">
        <v>1447</v>
      </c>
      <c r="AG1306" s="289"/>
      <c r="AH1306" s="290" t="s">
        <v>1448</v>
      </c>
      <c r="AI1306" s="289">
        <v>0</v>
      </c>
      <c r="AJ1306" s="289">
        <v>0</v>
      </c>
    </row>
    <row r="1307" spans="2:36">
      <c r="B1307" s="290">
        <v>2111</v>
      </c>
      <c r="C1307" s="294">
        <v>34365</v>
      </c>
      <c r="D1307" s="290" t="s">
        <v>944</v>
      </c>
      <c r="E1307" s="289" t="s">
        <v>2484</v>
      </c>
      <c r="F1307" s="290">
        <v>720</v>
      </c>
      <c r="G1307" s="289"/>
      <c r="H1307" s="289" t="s">
        <v>3540</v>
      </c>
      <c r="I1307" s="289"/>
      <c r="J1307" s="289">
        <v>0</v>
      </c>
      <c r="K1307" s="289" t="s">
        <v>2454</v>
      </c>
      <c r="L1307" s="289"/>
      <c r="M1307" s="289"/>
      <c r="N1307" s="293">
        <v>38432</v>
      </c>
      <c r="O1307" s="293">
        <v>38432</v>
      </c>
      <c r="P1307" s="289">
        <v>52111002</v>
      </c>
      <c r="Q1307" s="290">
        <v>700</v>
      </c>
      <c r="R1307" s="290">
        <v>14050</v>
      </c>
      <c r="S1307" s="291">
        <v>28592.639999999999</v>
      </c>
      <c r="T1307" s="290">
        <v>14056</v>
      </c>
      <c r="U1307" s="291">
        <v>28592.639999999999</v>
      </c>
      <c r="V1307" s="291">
        <f t="shared" si="20"/>
        <v>0</v>
      </c>
      <c r="W1307" s="292">
        <v>0</v>
      </c>
      <c r="X1307" s="290">
        <v>54260</v>
      </c>
      <c r="Y1307" s="291">
        <v>0</v>
      </c>
      <c r="Z1307" s="289" t="s">
        <v>944</v>
      </c>
      <c r="AA1307" s="289">
        <v>0</v>
      </c>
      <c r="AB1307" s="289" t="s">
        <v>3541</v>
      </c>
      <c r="AC1307" s="289"/>
      <c r="AD1307" s="289" t="s">
        <v>1446</v>
      </c>
      <c r="AE1307" s="289" t="s">
        <v>410</v>
      </c>
      <c r="AF1307" s="290" t="s">
        <v>1447</v>
      </c>
      <c r="AG1307" s="289"/>
      <c r="AH1307" s="290" t="s">
        <v>1448</v>
      </c>
      <c r="AI1307" s="289">
        <v>0</v>
      </c>
      <c r="AJ1307" s="289">
        <v>0</v>
      </c>
    </row>
    <row r="1308" spans="2:36">
      <c r="B1308" s="290">
        <v>2111</v>
      </c>
      <c r="C1308" s="294">
        <v>34364</v>
      </c>
      <c r="D1308" s="290" t="s">
        <v>944</v>
      </c>
      <c r="E1308" s="289" t="s">
        <v>2484</v>
      </c>
      <c r="F1308" s="290">
        <v>720</v>
      </c>
      <c r="G1308" s="289"/>
      <c r="H1308" s="289" t="s">
        <v>3542</v>
      </c>
      <c r="I1308" s="289"/>
      <c r="J1308" s="289">
        <v>0</v>
      </c>
      <c r="K1308" s="289" t="s">
        <v>2454</v>
      </c>
      <c r="L1308" s="289"/>
      <c r="M1308" s="289"/>
      <c r="N1308" s="293">
        <v>38429</v>
      </c>
      <c r="O1308" s="293">
        <v>38429</v>
      </c>
      <c r="P1308" s="289">
        <v>52111002</v>
      </c>
      <c r="Q1308" s="290">
        <v>700</v>
      </c>
      <c r="R1308" s="290">
        <v>14050</v>
      </c>
      <c r="S1308" s="291">
        <v>28592.639999999999</v>
      </c>
      <c r="T1308" s="290">
        <v>14056</v>
      </c>
      <c r="U1308" s="291">
        <v>28592.639999999999</v>
      </c>
      <c r="V1308" s="291">
        <f t="shared" si="20"/>
        <v>0</v>
      </c>
      <c r="W1308" s="292">
        <v>0</v>
      </c>
      <c r="X1308" s="290">
        <v>54260</v>
      </c>
      <c r="Y1308" s="291">
        <v>0</v>
      </c>
      <c r="Z1308" s="289" t="s">
        <v>944</v>
      </c>
      <c r="AA1308" s="289">
        <v>0</v>
      </c>
      <c r="AB1308" s="289" t="s">
        <v>3543</v>
      </c>
      <c r="AC1308" s="289"/>
      <c r="AD1308" s="289" t="s">
        <v>1446</v>
      </c>
      <c r="AE1308" s="289" t="s">
        <v>410</v>
      </c>
      <c r="AF1308" s="290" t="s">
        <v>1447</v>
      </c>
      <c r="AG1308" s="289"/>
      <c r="AH1308" s="290" t="s">
        <v>1448</v>
      </c>
      <c r="AI1308" s="289">
        <v>0</v>
      </c>
      <c r="AJ1308" s="289">
        <v>0</v>
      </c>
    </row>
    <row r="1309" spans="2:36">
      <c r="B1309" s="290">
        <v>2111</v>
      </c>
      <c r="C1309" s="294">
        <v>34363</v>
      </c>
      <c r="D1309" s="290" t="s">
        <v>944</v>
      </c>
      <c r="E1309" s="289" t="s">
        <v>2484</v>
      </c>
      <c r="F1309" s="290">
        <v>720</v>
      </c>
      <c r="G1309" s="289"/>
      <c r="H1309" s="289" t="s">
        <v>3544</v>
      </c>
      <c r="I1309" s="289"/>
      <c r="J1309" s="289">
        <v>0</v>
      </c>
      <c r="K1309" s="289" t="s">
        <v>2454</v>
      </c>
      <c r="L1309" s="289"/>
      <c r="M1309" s="289"/>
      <c r="N1309" s="293">
        <v>38428</v>
      </c>
      <c r="O1309" s="293">
        <v>38428</v>
      </c>
      <c r="P1309" s="289">
        <v>52111002</v>
      </c>
      <c r="Q1309" s="290">
        <v>700</v>
      </c>
      <c r="R1309" s="290">
        <v>14050</v>
      </c>
      <c r="S1309" s="291">
        <v>28592.639999999999</v>
      </c>
      <c r="T1309" s="290">
        <v>14056</v>
      </c>
      <c r="U1309" s="291">
        <v>28592.639999999999</v>
      </c>
      <c r="V1309" s="291">
        <f t="shared" si="20"/>
        <v>0</v>
      </c>
      <c r="W1309" s="292">
        <v>0</v>
      </c>
      <c r="X1309" s="290">
        <v>54260</v>
      </c>
      <c r="Y1309" s="291">
        <v>0</v>
      </c>
      <c r="Z1309" s="289" t="s">
        <v>944</v>
      </c>
      <c r="AA1309" s="289">
        <v>0</v>
      </c>
      <c r="AB1309" s="289" t="s">
        <v>3545</v>
      </c>
      <c r="AC1309" s="289"/>
      <c r="AD1309" s="289" t="s">
        <v>1446</v>
      </c>
      <c r="AE1309" s="289" t="s">
        <v>410</v>
      </c>
      <c r="AF1309" s="290" t="s">
        <v>1447</v>
      </c>
      <c r="AG1309" s="289"/>
      <c r="AH1309" s="290" t="s">
        <v>1448</v>
      </c>
      <c r="AI1309" s="289">
        <v>0</v>
      </c>
      <c r="AJ1309" s="289">
        <v>0</v>
      </c>
    </row>
    <row r="1310" spans="2:36">
      <c r="B1310" s="290">
        <v>2111</v>
      </c>
      <c r="C1310" s="294">
        <v>34362</v>
      </c>
      <c r="D1310" s="290" t="s">
        <v>944</v>
      </c>
      <c r="E1310" s="289" t="s">
        <v>2484</v>
      </c>
      <c r="F1310" s="290">
        <v>720</v>
      </c>
      <c r="G1310" s="289"/>
      <c r="H1310" s="289" t="s">
        <v>3546</v>
      </c>
      <c r="I1310" s="289"/>
      <c r="J1310" s="289">
        <v>0</v>
      </c>
      <c r="K1310" s="289" t="s">
        <v>2454</v>
      </c>
      <c r="L1310" s="289"/>
      <c r="M1310" s="289"/>
      <c r="N1310" s="293">
        <v>38433</v>
      </c>
      <c r="O1310" s="293">
        <v>38433</v>
      </c>
      <c r="P1310" s="289">
        <v>52111002</v>
      </c>
      <c r="Q1310" s="290">
        <v>700</v>
      </c>
      <c r="R1310" s="290">
        <v>14050</v>
      </c>
      <c r="S1310" s="291">
        <v>28592.639999999999</v>
      </c>
      <c r="T1310" s="290">
        <v>14056</v>
      </c>
      <c r="U1310" s="291">
        <v>28592.639999999999</v>
      </c>
      <c r="V1310" s="291">
        <f t="shared" si="20"/>
        <v>0</v>
      </c>
      <c r="W1310" s="292">
        <v>0</v>
      </c>
      <c r="X1310" s="290">
        <v>54260</v>
      </c>
      <c r="Y1310" s="291">
        <v>0</v>
      </c>
      <c r="Z1310" s="289" t="s">
        <v>944</v>
      </c>
      <c r="AA1310" s="289">
        <v>0</v>
      </c>
      <c r="AB1310" s="289" t="s">
        <v>3547</v>
      </c>
      <c r="AC1310" s="289"/>
      <c r="AD1310" s="289" t="s">
        <v>1446</v>
      </c>
      <c r="AE1310" s="289" t="s">
        <v>410</v>
      </c>
      <c r="AF1310" s="290" t="s">
        <v>1447</v>
      </c>
      <c r="AG1310" s="289"/>
      <c r="AH1310" s="290" t="s">
        <v>1448</v>
      </c>
      <c r="AI1310" s="289">
        <v>0</v>
      </c>
      <c r="AJ1310" s="289">
        <v>0</v>
      </c>
    </row>
    <row r="1311" spans="2:36">
      <c r="B1311" s="290">
        <v>2111</v>
      </c>
      <c r="C1311" s="294">
        <v>34361</v>
      </c>
      <c r="D1311" s="290" t="s">
        <v>944</v>
      </c>
      <c r="E1311" s="289" t="s">
        <v>2484</v>
      </c>
      <c r="F1311" s="290">
        <v>720</v>
      </c>
      <c r="G1311" s="289"/>
      <c r="H1311" s="289" t="s">
        <v>3548</v>
      </c>
      <c r="I1311" s="289"/>
      <c r="J1311" s="289">
        <v>0</v>
      </c>
      <c r="K1311" s="289" t="s">
        <v>2454</v>
      </c>
      <c r="L1311" s="289"/>
      <c r="M1311" s="289"/>
      <c r="N1311" s="293">
        <v>38429</v>
      </c>
      <c r="O1311" s="293">
        <v>38429</v>
      </c>
      <c r="P1311" s="289">
        <v>52111002</v>
      </c>
      <c r="Q1311" s="290">
        <v>700</v>
      </c>
      <c r="R1311" s="290">
        <v>14050</v>
      </c>
      <c r="S1311" s="291">
        <v>28592.639999999999</v>
      </c>
      <c r="T1311" s="290">
        <v>14056</v>
      </c>
      <c r="U1311" s="291">
        <v>28592.639999999999</v>
      </c>
      <c r="V1311" s="291">
        <f t="shared" si="20"/>
        <v>0</v>
      </c>
      <c r="W1311" s="292">
        <v>0</v>
      </c>
      <c r="X1311" s="290">
        <v>54260</v>
      </c>
      <c r="Y1311" s="291">
        <v>0</v>
      </c>
      <c r="Z1311" s="289" t="s">
        <v>944</v>
      </c>
      <c r="AA1311" s="289">
        <v>0</v>
      </c>
      <c r="AB1311" s="289" t="s">
        <v>3549</v>
      </c>
      <c r="AC1311" s="289"/>
      <c r="AD1311" s="289" t="s">
        <v>1446</v>
      </c>
      <c r="AE1311" s="289" t="s">
        <v>410</v>
      </c>
      <c r="AF1311" s="290" t="s">
        <v>1447</v>
      </c>
      <c r="AG1311" s="289"/>
      <c r="AH1311" s="290" t="s">
        <v>1448</v>
      </c>
      <c r="AI1311" s="289">
        <v>0</v>
      </c>
      <c r="AJ1311" s="289">
        <v>0</v>
      </c>
    </row>
    <row r="1312" spans="2:36">
      <c r="B1312" s="290">
        <v>2111</v>
      </c>
      <c r="C1312" s="294">
        <v>34360</v>
      </c>
      <c r="D1312" s="290" t="s">
        <v>944</v>
      </c>
      <c r="E1312" s="289" t="s">
        <v>2484</v>
      </c>
      <c r="F1312" s="290">
        <v>720</v>
      </c>
      <c r="G1312" s="289"/>
      <c r="H1312" s="289" t="s">
        <v>3550</v>
      </c>
      <c r="I1312" s="289"/>
      <c r="J1312" s="289">
        <v>0</v>
      </c>
      <c r="K1312" s="289" t="s">
        <v>2454</v>
      </c>
      <c r="L1312" s="289"/>
      <c r="M1312" s="289"/>
      <c r="N1312" s="293">
        <v>38429</v>
      </c>
      <c r="O1312" s="293">
        <v>38429</v>
      </c>
      <c r="P1312" s="289">
        <v>52111002</v>
      </c>
      <c r="Q1312" s="290">
        <v>700</v>
      </c>
      <c r="R1312" s="290">
        <v>14050</v>
      </c>
      <c r="S1312" s="291">
        <v>28592.639999999999</v>
      </c>
      <c r="T1312" s="290">
        <v>14056</v>
      </c>
      <c r="U1312" s="291">
        <v>28592.639999999999</v>
      </c>
      <c r="V1312" s="291">
        <f t="shared" si="20"/>
        <v>0</v>
      </c>
      <c r="W1312" s="292">
        <v>0</v>
      </c>
      <c r="X1312" s="290">
        <v>54260</v>
      </c>
      <c r="Y1312" s="291">
        <v>0</v>
      </c>
      <c r="Z1312" s="289" t="s">
        <v>944</v>
      </c>
      <c r="AA1312" s="289">
        <v>0</v>
      </c>
      <c r="AB1312" s="289" t="s">
        <v>3551</v>
      </c>
      <c r="AC1312" s="289"/>
      <c r="AD1312" s="289" t="s">
        <v>1446</v>
      </c>
      <c r="AE1312" s="289" t="s">
        <v>410</v>
      </c>
      <c r="AF1312" s="290" t="s">
        <v>1447</v>
      </c>
      <c r="AG1312" s="289"/>
      <c r="AH1312" s="290" t="s">
        <v>1448</v>
      </c>
      <c r="AI1312" s="289">
        <v>0</v>
      </c>
      <c r="AJ1312" s="289">
        <v>0</v>
      </c>
    </row>
    <row r="1313" spans="2:36">
      <c r="B1313" s="290">
        <v>2111</v>
      </c>
      <c r="C1313" s="294">
        <v>34359</v>
      </c>
      <c r="D1313" s="290" t="s">
        <v>944</v>
      </c>
      <c r="E1313" s="289" t="s">
        <v>2484</v>
      </c>
      <c r="F1313" s="290">
        <v>720</v>
      </c>
      <c r="G1313" s="289"/>
      <c r="H1313" s="289" t="s">
        <v>3552</v>
      </c>
      <c r="I1313" s="289"/>
      <c r="J1313" s="289">
        <v>0</v>
      </c>
      <c r="K1313" s="289" t="s">
        <v>2454</v>
      </c>
      <c r="L1313" s="289"/>
      <c r="M1313" s="289"/>
      <c r="N1313" s="293">
        <v>38427</v>
      </c>
      <c r="O1313" s="293">
        <v>38427</v>
      </c>
      <c r="P1313" s="289">
        <v>52111002</v>
      </c>
      <c r="Q1313" s="290">
        <v>700</v>
      </c>
      <c r="R1313" s="290">
        <v>14050</v>
      </c>
      <c r="S1313" s="291">
        <v>28592.639999999999</v>
      </c>
      <c r="T1313" s="290">
        <v>14056</v>
      </c>
      <c r="U1313" s="291">
        <v>28592.639999999999</v>
      </c>
      <c r="V1313" s="291">
        <f t="shared" si="20"/>
        <v>0</v>
      </c>
      <c r="W1313" s="292">
        <v>0</v>
      </c>
      <c r="X1313" s="290">
        <v>54260</v>
      </c>
      <c r="Y1313" s="291">
        <v>0</v>
      </c>
      <c r="Z1313" s="289" t="s">
        <v>944</v>
      </c>
      <c r="AA1313" s="289">
        <v>0</v>
      </c>
      <c r="AB1313" s="289" t="s">
        <v>3553</v>
      </c>
      <c r="AC1313" s="289"/>
      <c r="AD1313" s="289" t="s">
        <v>1446</v>
      </c>
      <c r="AE1313" s="289" t="s">
        <v>410</v>
      </c>
      <c r="AF1313" s="290" t="s">
        <v>1447</v>
      </c>
      <c r="AG1313" s="289"/>
      <c r="AH1313" s="290" t="s">
        <v>1448</v>
      </c>
      <c r="AI1313" s="289">
        <v>0</v>
      </c>
      <c r="AJ1313" s="289">
        <v>0</v>
      </c>
    </row>
    <row r="1314" spans="2:36">
      <c r="B1314" s="290">
        <v>2111</v>
      </c>
      <c r="C1314" s="294">
        <v>34358</v>
      </c>
      <c r="D1314" s="290" t="s">
        <v>944</v>
      </c>
      <c r="E1314" s="289" t="s">
        <v>2484</v>
      </c>
      <c r="F1314" s="290">
        <v>720</v>
      </c>
      <c r="G1314" s="289"/>
      <c r="H1314" s="289" t="s">
        <v>3554</v>
      </c>
      <c r="I1314" s="289"/>
      <c r="J1314" s="289">
        <v>0</v>
      </c>
      <c r="K1314" s="289" t="s">
        <v>2454</v>
      </c>
      <c r="L1314" s="289"/>
      <c r="M1314" s="289"/>
      <c r="N1314" s="293">
        <v>38427</v>
      </c>
      <c r="O1314" s="293">
        <v>38427</v>
      </c>
      <c r="P1314" s="289">
        <v>52111002</v>
      </c>
      <c r="Q1314" s="290">
        <v>700</v>
      </c>
      <c r="R1314" s="290">
        <v>14050</v>
      </c>
      <c r="S1314" s="291">
        <v>28592.639999999999</v>
      </c>
      <c r="T1314" s="290">
        <v>14056</v>
      </c>
      <c r="U1314" s="291">
        <v>28592.639999999999</v>
      </c>
      <c r="V1314" s="291">
        <f t="shared" si="20"/>
        <v>0</v>
      </c>
      <c r="W1314" s="292">
        <v>0</v>
      </c>
      <c r="X1314" s="290">
        <v>54260</v>
      </c>
      <c r="Y1314" s="291">
        <v>0</v>
      </c>
      <c r="Z1314" s="289" t="s">
        <v>944</v>
      </c>
      <c r="AA1314" s="289">
        <v>0</v>
      </c>
      <c r="AB1314" s="289" t="s">
        <v>3555</v>
      </c>
      <c r="AC1314" s="289"/>
      <c r="AD1314" s="289" t="s">
        <v>1446</v>
      </c>
      <c r="AE1314" s="289" t="s">
        <v>410</v>
      </c>
      <c r="AF1314" s="290" t="s">
        <v>1447</v>
      </c>
      <c r="AG1314" s="289"/>
      <c r="AH1314" s="290" t="s">
        <v>1448</v>
      </c>
      <c r="AI1314" s="289">
        <v>0</v>
      </c>
      <c r="AJ1314" s="289">
        <v>0</v>
      </c>
    </row>
    <row r="1315" spans="2:36">
      <c r="B1315" s="290">
        <v>2111</v>
      </c>
      <c r="C1315" s="294">
        <v>34357</v>
      </c>
      <c r="D1315" s="290" t="s">
        <v>944</v>
      </c>
      <c r="E1315" s="289" t="s">
        <v>2484</v>
      </c>
      <c r="F1315" s="290">
        <v>660</v>
      </c>
      <c r="G1315" s="289"/>
      <c r="H1315" s="289" t="s">
        <v>3556</v>
      </c>
      <c r="I1315" s="289"/>
      <c r="J1315" s="289">
        <v>0</v>
      </c>
      <c r="K1315" s="289" t="s">
        <v>2454</v>
      </c>
      <c r="L1315" s="289"/>
      <c r="M1315" s="289"/>
      <c r="N1315" s="293">
        <v>38394</v>
      </c>
      <c r="O1315" s="293">
        <v>38394</v>
      </c>
      <c r="P1315" s="289">
        <v>52111002</v>
      </c>
      <c r="Q1315" s="290">
        <v>700</v>
      </c>
      <c r="R1315" s="290">
        <v>14050</v>
      </c>
      <c r="S1315" s="291">
        <v>26209.919999999998</v>
      </c>
      <c r="T1315" s="290">
        <v>14056</v>
      </c>
      <c r="U1315" s="291">
        <v>26209.919999999998</v>
      </c>
      <c r="V1315" s="291">
        <f t="shared" si="20"/>
        <v>0</v>
      </c>
      <c r="W1315" s="292">
        <v>0</v>
      </c>
      <c r="X1315" s="290">
        <v>54260</v>
      </c>
      <c r="Y1315" s="291">
        <v>0</v>
      </c>
      <c r="Z1315" s="289" t="s">
        <v>944</v>
      </c>
      <c r="AA1315" s="289">
        <v>0</v>
      </c>
      <c r="AB1315" s="289" t="s">
        <v>3557</v>
      </c>
      <c r="AC1315" s="289"/>
      <c r="AD1315" s="289" t="s">
        <v>1446</v>
      </c>
      <c r="AE1315" s="289" t="s">
        <v>410</v>
      </c>
      <c r="AF1315" s="290" t="s">
        <v>1447</v>
      </c>
      <c r="AG1315" s="289"/>
      <c r="AH1315" s="290" t="s">
        <v>1448</v>
      </c>
      <c r="AI1315" s="289">
        <v>0</v>
      </c>
      <c r="AJ1315" s="289">
        <v>0</v>
      </c>
    </row>
    <row r="1316" spans="2:36">
      <c r="B1316" s="290">
        <v>2111</v>
      </c>
      <c r="C1316" s="294">
        <v>34356</v>
      </c>
      <c r="D1316" s="290" t="s">
        <v>944</v>
      </c>
      <c r="E1316" s="289" t="s">
        <v>2484</v>
      </c>
      <c r="F1316" s="290">
        <v>660</v>
      </c>
      <c r="G1316" s="289"/>
      <c r="H1316" s="289" t="s">
        <v>3558</v>
      </c>
      <c r="I1316" s="289"/>
      <c r="J1316" s="289">
        <v>0</v>
      </c>
      <c r="K1316" s="289" t="s">
        <v>2454</v>
      </c>
      <c r="L1316" s="289"/>
      <c r="M1316" s="289"/>
      <c r="N1316" s="293">
        <v>38394</v>
      </c>
      <c r="O1316" s="293">
        <v>38394</v>
      </c>
      <c r="P1316" s="289">
        <v>52111002</v>
      </c>
      <c r="Q1316" s="290">
        <v>700</v>
      </c>
      <c r="R1316" s="290">
        <v>14050</v>
      </c>
      <c r="S1316" s="291">
        <v>26209.919999999998</v>
      </c>
      <c r="T1316" s="290">
        <v>14056</v>
      </c>
      <c r="U1316" s="291">
        <v>26209.919999999998</v>
      </c>
      <c r="V1316" s="291">
        <f t="shared" si="20"/>
        <v>0</v>
      </c>
      <c r="W1316" s="292">
        <v>0</v>
      </c>
      <c r="X1316" s="290">
        <v>54260</v>
      </c>
      <c r="Y1316" s="291">
        <v>0</v>
      </c>
      <c r="Z1316" s="289" t="s">
        <v>944</v>
      </c>
      <c r="AA1316" s="289">
        <v>0</v>
      </c>
      <c r="AB1316" s="289" t="s">
        <v>3559</v>
      </c>
      <c r="AC1316" s="289"/>
      <c r="AD1316" s="289" t="s">
        <v>1446</v>
      </c>
      <c r="AE1316" s="289" t="s">
        <v>410</v>
      </c>
      <c r="AF1316" s="290" t="s">
        <v>1447</v>
      </c>
      <c r="AG1316" s="289"/>
      <c r="AH1316" s="290" t="s">
        <v>1448</v>
      </c>
      <c r="AI1316" s="289">
        <v>0</v>
      </c>
      <c r="AJ1316" s="289">
        <v>0</v>
      </c>
    </row>
    <row r="1317" spans="2:36">
      <c r="B1317" s="290">
        <v>2111</v>
      </c>
      <c r="C1317" s="294">
        <v>34355</v>
      </c>
      <c r="D1317" s="290" t="s">
        <v>944</v>
      </c>
      <c r="E1317" s="289" t="s">
        <v>2484</v>
      </c>
      <c r="F1317" s="290">
        <v>660</v>
      </c>
      <c r="G1317" s="289"/>
      <c r="H1317" s="289" t="s">
        <v>3560</v>
      </c>
      <c r="I1317" s="289"/>
      <c r="J1317" s="289">
        <v>0</v>
      </c>
      <c r="K1317" s="289" t="s">
        <v>2454</v>
      </c>
      <c r="L1317" s="289"/>
      <c r="M1317" s="289"/>
      <c r="N1317" s="293">
        <v>38397</v>
      </c>
      <c r="O1317" s="293">
        <v>38397</v>
      </c>
      <c r="P1317" s="289">
        <v>52111002</v>
      </c>
      <c r="Q1317" s="290">
        <v>700</v>
      </c>
      <c r="R1317" s="290">
        <v>14050</v>
      </c>
      <c r="S1317" s="291">
        <v>26209.919999999998</v>
      </c>
      <c r="T1317" s="290">
        <v>14056</v>
      </c>
      <c r="U1317" s="291">
        <v>26209.919999999998</v>
      </c>
      <c r="V1317" s="291">
        <f t="shared" si="20"/>
        <v>0</v>
      </c>
      <c r="W1317" s="292">
        <v>0</v>
      </c>
      <c r="X1317" s="290">
        <v>54260</v>
      </c>
      <c r="Y1317" s="291">
        <v>0</v>
      </c>
      <c r="Z1317" s="289" t="s">
        <v>944</v>
      </c>
      <c r="AA1317" s="289">
        <v>0</v>
      </c>
      <c r="AB1317" s="289" t="s">
        <v>3561</v>
      </c>
      <c r="AC1317" s="289"/>
      <c r="AD1317" s="289" t="s">
        <v>1446</v>
      </c>
      <c r="AE1317" s="289" t="s">
        <v>410</v>
      </c>
      <c r="AF1317" s="290" t="s">
        <v>1447</v>
      </c>
      <c r="AG1317" s="289"/>
      <c r="AH1317" s="290" t="s">
        <v>1448</v>
      </c>
      <c r="AI1317" s="289">
        <v>0</v>
      </c>
      <c r="AJ1317" s="289">
        <v>0</v>
      </c>
    </row>
    <row r="1318" spans="2:36">
      <c r="B1318" s="290">
        <v>2111</v>
      </c>
      <c r="C1318" s="294">
        <v>32737</v>
      </c>
      <c r="D1318" s="290" t="s">
        <v>944</v>
      </c>
      <c r="E1318" s="289" t="s">
        <v>3562</v>
      </c>
      <c r="F1318" s="290">
        <v>432</v>
      </c>
      <c r="G1318" s="289"/>
      <c r="H1318" s="289" t="s">
        <v>3563</v>
      </c>
      <c r="I1318" s="289"/>
      <c r="J1318" s="289">
        <v>0</v>
      </c>
      <c r="K1318" s="289" t="s">
        <v>2222</v>
      </c>
      <c r="L1318" s="289"/>
      <c r="M1318" s="289"/>
      <c r="N1318" s="293">
        <v>38439</v>
      </c>
      <c r="O1318" s="293">
        <v>38439</v>
      </c>
      <c r="P1318" s="289">
        <v>52111004</v>
      </c>
      <c r="Q1318" s="290">
        <v>700</v>
      </c>
      <c r="R1318" s="290">
        <v>14050</v>
      </c>
      <c r="S1318" s="291">
        <v>19270.66</v>
      </c>
      <c r="T1318" s="290">
        <v>14056</v>
      </c>
      <c r="U1318" s="291">
        <v>19270.66</v>
      </c>
      <c r="V1318" s="291">
        <f t="shared" si="20"/>
        <v>0</v>
      </c>
      <c r="W1318" s="292">
        <v>0</v>
      </c>
      <c r="X1318" s="290">
        <v>54260</v>
      </c>
      <c r="Y1318" s="291">
        <v>0</v>
      </c>
      <c r="Z1318" s="289" t="s">
        <v>944</v>
      </c>
      <c r="AA1318" s="289">
        <v>0</v>
      </c>
      <c r="AB1318" s="289" t="s">
        <v>3564</v>
      </c>
      <c r="AC1318" s="289"/>
      <c r="AD1318" s="289" t="s">
        <v>1446</v>
      </c>
      <c r="AE1318" s="289" t="s">
        <v>410</v>
      </c>
      <c r="AF1318" s="290" t="s">
        <v>1447</v>
      </c>
      <c r="AG1318" s="289"/>
      <c r="AH1318" s="290" t="s">
        <v>1448</v>
      </c>
      <c r="AI1318" s="289">
        <v>0</v>
      </c>
      <c r="AJ1318" s="289">
        <v>0</v>
      </c>
    </row>
    <row r="1319" spans="2:36">
      <c r="B1319" s="290">
        <v>2111</v>
      </c>
      <c r="C1319" s="294">
        <v>32736</v>
      </c>
      <c r="D1319" s="290" t="s">
        <v>944</v>
      </c>
      <c r="E1319" s="289" t="s">
        <v>3562</v>
      </c>
      <c r="F1319" s="290">
        <v>432</v>
      </c>
      <c r="G1319" s="289"/>
      <c r="H1319" s="289" t="s">
        <v>3565</v>
      </c>
      <c r="I1319" s="289"/>
      <c r="J1319" s="289">
        <v>0</v>
      </c>
      <c r="K1319" s="289" t="s">
        <v>2222</v>
      </c>
      <c r="L1319" s="289"/>
      <c r="M1319" s="289"/>
      <c r="N1319" s="293">
        <v>38439</v>
      </c>
      <c r="O1319" s="293">
        <v>38439</v>
      </c>
      <c r="P1319" s="289">
        <v>52111004</v>
      </c>
      <c r="Q1319" s="290">
        <v>700</v>
      </c>
      <c r="R1319" s="290">
        <v>14050</v>
      </c>
      <c r="S1319" s="291">
        <v>19270.66</v>
      </c>
      <c r="T1319" s="290">
        <v>14056</v>
      </c>
      <c r="U1319" s="291">
        <v>19270.66</v>
      </c>
      <c r="V1319" s="291">
        <f t="shared" si="20"/>
        <v>0</v>
      </c>
      <c r="W1319" s="292">
        <v>0</v>
      </c>
      <c r="X1319" s="290">
        <v>54260</v>
      </c>
      <c r="Y1319" s="291">
        <v>0</v>
      </c>
      <c r="Z1319" s="289" t="s">
        <v>944</v>
      </c>
      <c r="AA1319" s="289">
        <v>0</v>
      </c>
      <c r="AB1319" s="289" t="s">
        <v>3566</v>
      </c>
      <c r="AC1319" s="289"/>
      <c r="AD1319" s="289" t="s">
        <v>1446</v>
      </c>
      <c r="AE1319" s="289" t="s">
        <v>410</v>
      </c>
      <c r="AF1319" s="290" t="s">
        <v>1447</v>
      </c>
      <c r="AG1319" s="289"/>
      <c r="AH1319" s="290" t="s">
        <v>1448</v>
      </c>
      <c r="AI1319" s="289">
        <v>0</v>
      </c>
      <c r="AJ1319" s="289">
        <v>0</v>
      </c>
    </row>
    <row r="1320" spans="2:36">
      <c r="B1320" s="290">
        <v>2111</v>
      </c>
      <c r="C1320" s="294">
        <v>32735</v>
      </c>
      <c r="D1320" s="290" t="s">
        <v>944</v>
      </c>
      <c r="E1320" s="289" t="s">
        <v>3567</v>
      </c>
      <c r="F1320" s="290">
        <v>12</v>
      </c>
      <c r="G1320" s="289"/>
      <c r="H1320" s="289"/>
      <c r="I1320" s="289"/>
      <c r="J1320" s="289">
        <v>0</v>
      </c>
      <c r="K1320" s="289" t="s">
        <v>2474</v>
      </c>
      <c r="L1320" s="289"/>
      <c r="M1320" s="289" t="s">
        <v>1918</v>
      </c>
      <c r="N1320" s="293">
        <v>38439</v>
      </c>
      <c r="O1320" s="293">
        <v>38439</v>
      </c>
      <c r="P1320" s="289">
        <v>52111005</v>
      </c>
      <c r="Q1320" s="290">
        <v>1200</v>
      </c>
      <c r="R1320" s="290">
        <v>14050</v>
      </c>
      <c r="S1320" s="291">
        <v>5379.07</v>
      </c>
      <c r="T1320" s="290">
        <v>14056</v>
      </c>
      <c r="U1320" s="291">
        <v>5379.07</v>
      </c>
      <c r="V1320" s="291">
        <f t="shared" si="20"/>
        <v>0</v>
      </c>
      <c r="W1320" s="292">
        <v>0</v>
      </c>
      <c r="X1320" s="290">
        <v>54260</v>
      </c>
      <c r="Y1320" s="291">
        <v>0</v>
      </c>
      <c r="Z1320" s="289" t="s">
        <v>944</v>
      </c>
      <c r="AA1320" s="289">
        <v>0</v>
      </c>
      <c r="AB1320" s="289">
        <v>2400</v>
      </c>
      <c r="AC1320" s="289"/>
      <c r="AD1320" s="289" t="s">
        <v>1446</v>
      </c>
      <c r="AE1320" s="289" t="s">
        <v>410</v>
      </c>
      <c r="AF1320" s="290" t="s">
        <v>1447</v>
      </c>
      <c r="AG1320" s="289"/>
      <c r="AH1320" s="290" t="s">
        <v>1448</v>
      </c>
      <c r="AI1320" s="289">
        <v>0</v>
      </c>
      <c r="AJ1320" s="289">
        <v>0</v>
      </c>
    </row>
    <row r="1321" spans="2:36">
      <c r="B1321" s="290">
        <v>2111</v>
      </c>
      <c r="C1321" s="294">
        <v>32653</v>
      </c>
      <c r="D1321" s="290">
        <v>30478</v>
      </c>
      <c r="E1321" s="289" t="s">
        <v>3568</v>
      </c>
      <c r="F1321" s="290">
        <v>0</v>
      </c>
      <c r="G1321" s="289"/>
      <c r="H1321" s="289" t="s">
        <v>3569</v>
      </c>
      <c r="I1321" s="289"/>
      <c r="J1321" s="289">
        <v>2003</v>
      </c>
      <c r="K1321" s="289"/>
      <c r="L1321" s="289"/>
      <c r="M1321" s="289" t="s">
        <v>1467</v>
      </c>
      <c r="N1321" s="293">
        <v>38435</v>
      </c>
      <c r="O1321" s="293">
        <v>38435</v>
      </c>
      <c r="P1321" s="289" t="s">
        <v>3570</v>
      </c>
      <c r="Q1321" s="290">
        <v>1000</v>
      </c>
      <c r="R1321" s="290">
        <v>14040</v>
      </c>
      <c r="S1321" s="291">
        <v>3036</v>
      </c>
      <c r="T1321" s="290">
        <v>14046</v>
      </c>
      <c r="U1321" s="291">
        <v>3036</v>
      </c>
      <c r="V1321" s="291">
        <f t="shared" si="20"/>
        <v>0</v>
      </c>
      <c r="W1321" s="292">
        <v>0</v>
      </c>
      <c r="X1321" s="290">
        <v>51260</v>
      </c>
      <c r="Y1321" s="291">
        <v>0</v>
      </c>
      <c r="Z1321" s="289" t="s">
        <v>944</v>
      </c>
      <c r="AA1321" s="289">
        <v>0</v>
      </c>
      <c r="AB1321" s="296">
        <v>879079</v>
      </c>
      <c r="AC1321" s="289"/>
      <c r="AD1321" s="289" t="s">
        <v>1446</v>
      </c>
      <c r="AE1321" s="289" t="s">
        <v>410</v>
      </c>
      <c r="AF1321" s="290" t="s">
        <v>1447</v>
      </c>
      <c r="AG1321" s="289"/>
      <c r="AH1321" s="290" t="s">
        <v>1448</v>
      </c>
      <c r="AI1321" s="289">
        <v>0</v>
      </c>
      <c r="AJ1321" s="289">
        <v>0</v>
      </c>
    </row>
    <row r="1322" spans="2:36">
      <c r="B1322" s="290">
        <v>2111</v>
      </c>
      <c r="C1322" s="294">
        <v>32652</v>
      </c>
      <c r="D1322" s="290">
        <v>30477</v>
      </c>
      <c r="E1322" s="289" t="s">
        <v>3568</v>
      </c>
      <c r="F1322" s="290">
        <v>0</v>
      </c>
      <c r="G1322" s="289"/>
      <c r="H1322" s="289" t="s">
        <v>3571</v>
      </c>
      <c r="I1322" s="289"/>
      <c r="J1322" s="289">
        <v>2003</v>
      </c>
      <c r="K1322" s="289"/>
      <c r="L1322" s="289"/>
      <c r="M1322" s="289" t="s">
        <v>1467</v>
      </c>
      <c r="N1322" s="293">
        <v>38435</v>
      </c>
      <c r="O1322" s="293">
        <v>38435</v>
      </c>
      <c r="P1322" s="289" t="s">
        <v>3572</v>
      </c>
      <c r="Q1322" s="290">
        <v>1000</v>
      </c>
      <c r="R1322" s="290">
        <v>14040</v>
      </c>
      <c r="S1322" s="291">
        <v>3124</v>
      </c>
      <c r="T1322" s="290">
        <v>14046</v>
      </c>
      <c r="U1322" s="291">
        <v>3124</v>
      </c>
      <c r="V1322" s="291">
        <f t="shared" si="20"/>
        <v>0</v>
      </c>
      <c r="W1322" s="292">
        <v>0</v>
      </c>
      <c r="X1322" s="290">
        <v>51260</v>
      </c>
      <c r="Y1322" s="291">
        <v>0</v>
      </c>
      <c r="Z1322" s="289" t="s">
        <v>944</v>
      </c>
      <c r="AA1322" s="289">
        <v>0</v>
      </c>
      <c r="AB1322" s="296">
        <v>878714</v>
      </c>
      <c r="AC1322" s="289"/>
      <c r="AD1322" s="289" t="s">
        <v>1446</v>
      </c>
      <c r="AE1322" s="289" t="s">
        <v>410</v>
      </c>
      <c r="AF1322" s="290" t="s">
        <v>1447</v>
      </c>
      <c r="AG1322" s="289"/>
      <c r="AH1322" s="290" t="s">
        <v>1448</v>
      </c>
      <c r="AI1322" s="289">
        <v>0</v>
      </c>
      <c r="AJ1322" s="289">
        <v>0</v>
      </c>
    </row>
    <row r="1323" spans="2:36">
      <c r="B1323" s="290">
        <v>2111</v>
      </c>
      <c r="C1323" s="294">
        <v>32126</v>
      </c>
      <c r="D1323" s="290"/>
      <c r="E1323" s="289" t="s">
        <v>3573</v>
      </c>
      <c r="F1323" s="290">
        <v>0</v>
      </c>
      <c r="G1323" s="289"/>
      <c r="H1323" s="289" t="s">
        <v>3574</v>
      </c>
      <c r="I1323" s="289"/>
      <c r="J1323" s="289">
        <v>0</v>
      </c>
      <c r="K1323" s="289" t="s">
        <v>2550</v>
      </c>
      <c r="L1323" s="289"/>
      <c r="M1323" s="289"/>
      <c r="N1323" s="293">
        <v>38412</v>
      </c>
      <c r="O1323" s="293">
        <v>38412</v>
      </c>
      <c r="P1323" s="289" t="s">
        <v>3575</v>
      </c>
      <c r="Q1323" s="290">
        <v>300</v>
      </c>
      <c r="R1323" s="290">
        <v>14110</v>
      </c>
      <c r="S1323" s="291">
        <v>2085</v>
      </c>
      <c r="T1323" s="290">
        <v>14116</v>
      </c>
      <c r="U1323" s="291">
        <v>2085</v>
      </c>
      <c r="V1323" s="291">
        <f t="shared" si="20"/>
        <v>0</v>
      </c>
      <c r="W1323" s="292">
        <v>0</v>
      </c>
      <c r="X1323" s="290">
        <v>70260</v>
      </c>
      <c r="Y1323" s="291">
        <v>0</v>
      </c>
      <c r="Z1323" s="289" t="s">
        <v>944</v>
      </c>
      <c r="AA1323" s="289">
        <v>0</v>
      </c>
      <c r="AB1323" s="289">
        <v>328658</v>
      </c>
      <c r="AC1323" s="289"/>
      <c r="AD1323" s="289" t="s">
        <v>1446</v>
      </c>
      <c r="AE1323" s="289" t="s">
        <v>410</v>
      </c>
      <c r="AF1323" s="290" t="s">
        <v>1447</v>
      </c>
      <c r="AG1323" s="289"/>
      <c r="AH1323" s="290" t="s">
        <v>1448</v>
      </c>
      <c r="AI1323" s="289">
        <v>0</v>
      </c>
      <c r="AJ1323" s="289">
        <v>0</v>
      </c>
    </row>
    <row r="1324" spans="2:36">
      <c r="B1324" s="290">
        <v>2111</v>
      </c>
      <c r="C1324" s="294">
        <v>31918</v>
      </c>
      <c r="D1324" s="290" t="s">
        <v>944</v>
      </c>
      <c r="E1324" s="289" t="s">
        <v>2484</v>
      </c>
      <c r="F1324" s="290">
        <v>660</v>
      </c>
      <c r="G1324" s="289"/>
      <c r="H1324" s="289" t="s">
        <v>3576</v>
      </c>
      <c r="I1324" s="289"/>
      <c r="J1324" s="289">
        <v>0</v>
      </c>
      <c r="K1324" s="289" t="s">
        <v>2454</v>
      </c>
      <c r="L1324" s="289"/>
      <c r="M1324" s="289"/>
      <c r="N1324" s="293">
        <v>38386</v>
      </c>
      <c r="O1324" s="293">
        <v>38386</v>
      </c>
      <c r="P1324" s="289">
        <v>52111002</v>
      </c>
      <c r="Q1324" s="290">
        <v>700</v>
      </c>
      <c r="R1324" s="290">
        <v>14050</v>
      </c>
      <c r="S1324" s="291">
        <v>26209.919999999998</v>
      </c>
      <c r="T1324" s="290">
        <v>14056</v>
      </c>
      <c r="U1324" s="291">
        <v>26209.919999999998</v>
      </c>
      <c r="V1324" s="291">
        <f t="shared" si="20"/>
        <v>0</v>
      </c>
      <c r="W1324" s="292">
        <v>0</v>
      </c>
      <c r="X1324" s="290">
        <v>54260</v>
      </c>
      <c r="Y1324" s="291">
        <v>0</v>
      </c>
      <c r="Z1324" s="289" t="s">
        <v>944</v>
      </c>
      <c r="AA1324" s="289">
        <v>0</v>
      </c>
      <c r="AB1324" s="289" t="s">
        <v>3577</v>
      </c>
      <c r="AC1324" s="289"/>
      <c r="AD1324" s="289" t="s">
        <v>1446</v>
      </c>
      <c r="AE1324" s="289" t="s">
        <v>410</v>
      </c>
      <c r="AF1324" s="290" t="s">
        <v>1447</v>
      </c>
      <c r="AG1324" s="289"/>
      <c r="AH1324" s="290" t="s">
        <v>1448</v>
      </c>
      <c r="AI1324" s="289">
        <v>0</v>
      </c>
      <c r="AJ1324" s="289">
        <v>0</v>
      </c>
    </row>
    <row r="1325" spans="2:36">
      <c r="B1325" s="290">
        <v>2111</v>
      </c>
      <c r="C1325" s="294">
        <v>31917</v>
      </c>
      <c r="D1325" s="290" t="s">
        <v>944</v>
      </c>
      <c r="E1325" s="289" t="s">
        <v>2484</v>
      </c>
      <c r="F1325" s="290">
        <v>660</v>
      </c>
      <c r="G1325" s="289"/>
      <c r="H1325" s="289" t="s">
        <v>3578</v>
      </c>
      <c r="I1325" s="289"/>
      <c r="J1325" s="289">
        <v>0</v>
      </c>
      <c r="K1325" s="289" t="s">
        <v>2454</v>
      </c>
      <c r="L1325" s="289"/>
      <c r="M1325" s="289"/>
      <c r="N1325" s="293">
        <v>38386</v>
      </c>
      <c r="O1325" s="293">
        <v>38386</v>
      </c>
      <c r="P1325" s="289">
        <v>52111002</v>
      </c>
      <c r="Q1325" s="290">
        <v>700</v>
      </c>
      <c r="R1325" s="290">
        <v>14050</v>
      </c>
      <c r="S1325" s="291">
        <v>26209.919999999998</v>
      </c>
      <c r="T1325" s="290">
        <v>14056</v>
      </c>
      <c r="U1325" s="291">
        <v>26209.919999999998</v>
      </c>
      <c r="V1325" s="291">
        <f t="shared" si="20"/>
        <v>0</v>
      </c>
      <c r="W1325" s="292">
        <v>0</v>
      </c>
      <c r="X1325" s="290">
        <v>54260</v>
      </c>
      <c r="Y1325" s="291">
        <v>0</v>
      </c>
      <c r="Z1325" s="289" t="s">
        <v>944</v>
      </c>
      <c r="AA1325" s="289">
        <v>0</v>
      </c>
      <c r="AB1325" s="289" t="s">
        <v>3579</v>
      </c>
      <c r="AC1325" s="289"/>
      <c r="AD1325" s="289" t="s">
        <v>1446</v>
      </c>
      <c r="AE1325" s="289" t="s">
        <v>410</v>
      </c>
      <c r="AF1325" s="290" t="s">
        <v>1447</v>
      </c>
      <c r="AG1325" s="289"/>
      <c r="AH1325" s="290" t="s">
        <v>1448</v>
      </c>
      <c r="AI1325" s="289">
        <v>0</v>
      </c>
      <c r="AJ1325" s="289">
        <v>0</v>
      </c>
    </row>
    <row r="1326" spans="2:36">
      <c r="B1326" s="290">
        <v>2111</v>
      </c>
      <c r="C1326" s="294">
        <v>31916</v>
      </c>
      <c r="D1326" s="290" t="s">
        <v>944</v>
      </c>
      <c r="E1326" s="289" t="s">
        <v>2484</v>
      </c>
      <c r="F1326" s="290">
        <v>660</v>
      </c>
      <c r="G1326" s="289"/>
      <c r="H1326" s="289" t="s">
        <v>3580</v>
      </c>
      <c r="I1326" s="289"/>
      <c r="J1326" s="289">
        <v>0</v>
      </c>
      <c r="K1326" s="289" t="s">
        <v>2454</v>
      </c>
      <c r="L1326" s="289"/>
      <c r="M1326" s="289"/>
      <c r="N1326" s="293">
        <v>38387</v>
      </c>
      <c r="O1326" s="293">
        <v>38387</v>
      </c>
      <c r="P1326" s="289">
        <v>52111002</v>
      </c>
      <c r="Q1326" s="290">
        <v>700</v>
      </c>
      <c r="R1326" s="290">
        <v>14050</v>
      </c>
      <c r="S1326" s="291">
        <v>26209.919999999998</v>
      </c>
      <c r="T1326" s="290">
        <v>14056</v>
      </c>
      <c r="U1326" s="291">
        <v>26209.919999999998</v>
      </c>
      <c r="V1326" s="291">
        <f t="shared" si="20"/>
        <v>0</v>
      </c>
      <c r="W1326" s="292">
        <v>0</v>
      </c>
      <c r="X1326" s="290">
        <v>54260</v>
      </c>
      <c r="Y1326" s="291">
        <v>0</v>
      </c>
      <c r="Z1326" s="289" t="s">
        <v>944</v>
      </c>
      <c r="AA1326" s="289">
        <v>0</v>
      </c>
      <c r="AB1326" s="289" t="s">
        <v>3581</v>
      </c>
      <c r="AC1326" s="289"/>
      <c r="AD1326" s="289" t="s">
        <v>1446</v>
      </c>
      <c r="AE1326" s="289" t="s">
        <v>410</v>
      </c>
      <c r="AF1326" s="290" t="s">
        <v>1447</v>
      </c>
      <c r="AG1326" s="289"/>
      <c r="AH1326" s="290" t="s">
        <v>1448</v>
      </c>
      <c r="AI1326" s="289">
        <v>0</v>
      </c>
      <c r="AJ1326" s="289">
        <v>0</v>
      </c>
    </row>
    <row r="1327" spans="2:36">
      <c r="B1327" s="290">
        <v>2111</v>
      </c>
      <c r="C1327" s="294">
        <v>31915</v>
      </c>
      <c r="D1327" s="290" t="s">
        <v>944</v>
      </c>
      <c r="E1327" s="289" t="s">
        <v>2484</v>
      </c>
      <c r="F1327" s="290">
        <v>660</v>
      </c>
      <c r="G1327" s="289"/>
      <c r="H1327" s="289" t="s">
        <v>3582</v>
      </c>
      <c r="I1327" s="289"/>
      <c r="J1327" s="289">
        <v>0</v>
      </c>
      <c r="K1327" s="289" t="s">
        <v>2454</v>
      </c>
      <c r="L1327" s="289"/>
      <c r="M1327" s="289"/>
      <c r="N1327" s="293">
        <v>38387</v>
      </c>
      <c r="O1327" s="293">
        <v>38387</v>
      </c>
      <c r="P1327" s="289">
        <v>52111002</v>
      </c>
      <c r="Q1327" s="290">
        <v>700</v>
      </c>
      <c r="R1327" s="290">
        <v>14050</v>
      </c>
      <c r="S1327" s="291">
        <v>26209.919999999998</v>
      </c>
      <c r="T1327" s="290">
        <v>14056</v>
      </c>
      <c r="U1327" s="291">
        <v>26209.919999999998</v>
      </c>
      <c r="V1327" s="291">
        <f t="shared" si="20"/>
        <v>0</v>
      </c>
      <c r="W1327" s="292">
        <v>0</v>
      </c>
      <c r="X1327" s="290">
        <v>54260</v>
      </c>
      <c r="Y1327" s="291">
        <v>0</v>
      </c>
      <c r="Z1327" s="289" t="s">
        <v>944</v>
      </c>
      <c r="AA1327" s="289">
        <v>0</v>
      </c>
      <c r="AB1327" s="289" t="s">
        <v>3583</v>
      </c>
      <c r="AC1327" s="289"/>
      <c r="AD1327" s="289" t="s">
        <v>1446</v>
      </c>
      <c r="AE1327" s="289" t="s">
        <v>410</v>
      </c>
      <c r="AF1327" s="290" t="s">
        <v>1447</v>
      </c>
      <c r="AG1327" s="289"/>
      <c r="AH1327" s="290" t="s">
        <v>1448</v>
      </c>
      <c r="AI1327" s="289">
        <v>0</v>
      </c>
      <c r="AJ1327" s="289">
        <v>0</v>
      </c>
    </row>
    <row r="1328" spans="2:36">
      <c r="B1328" s="290">
        <v>2111</v>
      </c>
      <c r="C1328" s="294">
        <v>31914</v>
      </c>
      <c r="D1328" s="290" t="s">
        <v>944</v>
      </c>
      <c r="E1328" s="289" t="s">
        <v>2484</v>
      </c>
      <c r="F1328" s="290">
        <v>660</v>
      </c>
      <c r="G1328" s="289"/>
      <c r="H1328" s="289" t="s">
        <v>3584</v>
      </c>
      <c r="I1328" s="289"/>
      <c r="J1328" s="289">
        <v>0</v>
      </c>
      <c r="K1328" s="289" t="s">
        <v>2454</v>
      </c>
      <c r="L1328" s="289"/>
      <c r="M1328" s="289"/>
      <c r="N1328" s="293">
        <v>38391</v>
      </c>
      <c r="O1328" s="293">
        <v>38391</v>
      </c>
      <c r="P1328" s="289">
        <v>52111002</v>
      </c>
      <c r="Q1328" s="290">
        <v>700</v>
      </c>
      <c r="R1328" s="290">
        <v>14050</v>
      </c>
      <c r="S1328" s="291">
        <v>26209.919999999998</v>
      </c>
      <c r="T1328" s="290">
        <v>14056</v>
      </c>
      <c r="U1328" s="291">
        <v>26209.919999999998</v>
      </c>
      <c r="V1328" s="291">
        <f t="shared" si="20"/>
        <v>0</v>
      </c>
      <c r="W1328" s="292">
        <v>0</v>
      </c>
      <c r="X1328" s="290">
        <v>54260</v>
      </c>
      <c r="Y1328" s="291">
        <v>0</v>
      </c>
      <c r="Z1328" s="289" t="s">
        <v>944</v>
      </c>
      <c r="AA1328" s="289">
        <v>0</v>
      </c>
      <c r="AB1328" s="289" t="s">
        <v>3585</v>
      </c>
      <c r="AC1328" s="289"/>
      <c r="AD1328" s="289" t="s">
        <v>1446</v>
      </c>
      <c r="AE1328" s="289" t="s">
        <v>410</v>
      </c>
      <c r="AF1328" s="290" t="s">
        <v>1447</v>
      </c>
      <c r="AG1328" s="289"/>
      <c r="AH1328" s="290" t="s">
        <v>1448</v>
      </c>
      <c r="AI1328" s="289">
        <v>0</v>
      </c>
      <c r="AJ1328" s="289">
        <v>0</v>
      </c>
    </row>
    <row r="1329" spans="2:36">
      <c r="B1329" s="290">
        <v>2111</v>
      </c>
      <c r="C1329" s="294">
        <v>31913</v>
      </c>
      <c r="D1329" s="290" t="s">
        <v>944</v>
      </c>
      <c r="E1329" s="289" t="s">
        <v>2484</v>
      </c>
      <c r="F1329" s="290">
        <v>660</v>
      </c>
      <c r="G1329" s="289"/>
      <c r="H1329" s="289" t="s">
        <v>3586</v>
      </c>
      <c r="I1329" s="289"/>
      <c r="J1329" s="289">
        <v>0</v>
      </c>
      <c r="K1329" s="289" t="s">
        <v>2454</v>
      </c>
      <c r="L1329" s="289"/>
      <c r="M1329" s="289"/>
      <c r="N1329" s="293">
        <v>38391</v>
      </c>
      <c r="O1329" s="293">
        <v>38391</v>
      </c>
      <c r="P1329" s="289">
        <v>52111002</v>
      </c>
      <c r="Q1329" s="290">
        <v>700</v>
      </c>
      <c r="R1329" s="290">
        <v>14050</v>
      </c>
      <c r="S1329" s="291">
        <v>26209.919999999998</v>
      </c>
      <c r="T1329" s="290">
        <v>14056</v>
      </c>
      <c r="U1329" s="291">
        <v>26209.919999999998</v>
      </c>
      <c r="V1329" s="291">
        <f t="shared" si="20"/>
        <v>0</v>
      </c>
      <c r="W1329" s="292">
        <v>0</v>
      </c>
      <c r="X1329" s="290">
        <v>54260</v>
      </c>
      <c r="Y1329" s="291">
        <v>0</v>
      </c>
      <c r="Z1329" s="289" t="s">
        <v>944</v>
      </c>
      <c r="AA1329" s="289">
        <v>0</v>
      </c>
      <c r="AB1329" s="289" t="s">
        <v>3587</v>
      </c>
      <c r="AC1329" s="289"/>
      <c r="AD1329" s="289" t="s">
        <v>1446</v>
      </c>
      <c r="AE1329" s="289" t="s">
        <v>410</v>
      </c>
      <c r="AF1329" s="290" t="s">
        <v>1447</v>
      </c>
      <c r="AG1329" s="289"/>
      <c r="AH1329" s="290" t="s">
        <v>1448</v>
      </c>
      <c r="AI1329" s="289">
        <v>0</v>
      </c>
      <c r="AJ1329" s="289">
        <v>0</v>
      </c>
    </row>
    <row r="1330" spans="2:36">
      <c r="B1330" s="290">
        <v>2111</v>
      </c>
      <c r="C1330" s="294">
        <v>31912</v>
      </c>
      <c r="D1330" s="290" t="s">
        <v>944</v>
      </c>
      <c r="E1330" s="289" t="s">
        <v>2484</v>
      </c>
      <c r="F1330" s="290">
        <v>660</v>
      </c>
      <c r="G1330" s="289"/>
      <c r="H1330" s="289" t="s">
        <v>3588</v>
      </c>
      <c r="I1330" s="289"/>
      <c r="J1330" s="289">
        <v>0</v>
      </c>
      <c r="K1330" s="289" t="s">
        <v>2454</v>
      </c>
      <c r="L1330" s="289"/>
      <c r="M1330" s="289"/>
      <c r="N1330" s="293">
        <v>38390</v>
      </c>
      <c r="O1330" s="293">
        <v>38390</v>
      </c>
      <c r="P1330" s="289">
        <v>52111002</v>
      </c>
      <c r="Q1330" s="290">
        <v>700</v>
      </c>
      <c r="R1330" s="290">
        <v>14050</v>
      </c>
      <c r="S1330" s="291">
        <v>26209.919999999998</v>
      </c>
      <c r="T1330" s="290">
        <v>14056</v>
      </c>
      <c r="U1330" s="291">
        <v>26209.919999999998</v>
      </c>
      <c r="V1330" s="291">
        <f t="shared" si="20"/>
        <v>0</v>
      </c>
      <c r="W1330" s="292">
        <v>0</v>
      </c>
      <c r="X1330" s="290">
        <v>54260</v>
      </c>
      <c r="Y1330" s="291">
        <v>0</v>
      </c>
      <c r="Z1330" s="289" t="s">
        <v>944</v>
      </c>
      <c r="AA1330" s="289">
        <v>0</v>
      </c>
      <c r="AB1330" s="289" t="s">
        <v>3589</v>
      </c>
      <c r="AC1330" s="289"/>
      <c r="AD1330" s="289" t="s">
        <v>1446</v>
      </c>
      <c r="AE1330" s="289" t="s">
        <v>410</v>
      </c>
      <c r="AF1330" s="290" t="s">
        <v>1447</v>
      </c>
      <c r="AG1330" s="289"/>
      <c r="AH1330" s="290" t="s">
        <v>1448</v>
      </c>
      <c r="AI1330" s="289">
        <v>0</v>
      </c>
      <c r="AJ1330" s="289">
        <v>0</v>
      </c>
    </row>
    <row r="1331" spans="2:36">
      <c r="B1331" s="290">
        <v>2111</v>
      </c>
      <c r="C1331" s="294">
        <v>31911</v>
      </c>
      <c r="D1331" s="290" t="s">
        <v>944</v>
      </c>
      <c r="E1331" s="289" t="s">
        <v>2484</v>
      </c>
      <c r="F1331" s="290">
        <v>660</v>
      </c>
      <c r="G1331" s="289"/>
      <c r="H1331" s="289" t="s">
        <v>3590</v>
      </c>
      <c r="I1331" s="289"/>
      <c r="J1331" s="289">
        <v>0</v>
      </c>
      <c r="K1331" s="289" t="s">
        <v>2454</v>
      </c>
      <c r="L1331" s="289"/>
      <c r="M1331" s="289"/>
      <c r="N1331" s="293">
        <v>38392</v>
      </c>
      <c r="O1331" s="293">
        <v>38392</v>
      </c>
      <c r="P1331" s="289">
        <v>52111002</v>
      </c>
      <c r="Q1331" s="290">
        <v>700</v>
      </c>
      <c r="R1331" s="290">
        <v>14050</v>
      </c>
      <c r="S1331" s="291">
        <v>26209.919999999998</v>
      </c>
      <c r="T1331" s="290">
        <v>14056</v>
      </c>
      <c r="U1331" s="291">
        <v>26209.919999999998</v>
      </c>
      <c r="V1331" s="291">
        <f t="shared" si="20"/>
        <v>0</v>
      </c>
      <c r="W1331" s="292">
        <v>0</v>
      </c>
      <c r="X1331" s="290">
        <v>54260</v>
      </c>
      <c r="Y1331" s="291">
        <v>0</v>
      </c>
      <c r="Z1331" s="289" t="s">
        <v>944</v>
      </c>
      <c r="AA1331" s="289">
        <v>0</v>
      </c>
      <c r="AB1331" s="289" t="s">
        <v>3591</v>
      </c>
      <c r="AC1331" s="289"/>
      <c r="AD1331" s="289" t="s">
        <v>1446</v>
      </c>
      <c r="AE1331" s="289" t="s">
        <v>410</v>
      </c>
      <c r="AF1331" s="290" t="s">
        <v>1447</v>
      </c>
      <c r="AG1331" s="289"/>
      <c r="AH1331" s="290" t="s">
        <v>1448</v>
      </c>
      <c r="AI1331" s="289">
        <v>0</v>
      </c>
      <c r="AJ1331" s="289">
        <v>0</v>
      </c>
    </row>
    <row r="1332" spans="2:36">
      <c r="B1332" s="290">
        <v>2111</v>
      </c>
      <c r="C1332" s="294">
        <v>31406</v>
      </c>
      <c r="D1332" s="290" t="s">
        <v>944</v>
      </c>
      <c r="E1332" s="289" t="s">
        <v>2484</v>
      </c>
      <c r="F1332" s="290">
        <v>660</v>
      </c>
      <c r="G1332" s="289"/>
      <c r="H1332" s="289" t="s">
        <v>3592</v>
      </c>
      <c r="I1332" s="289"/>
      <c r="J1332" s="289">
        <v>0</v>
      </c>
      <c r="K1332" s="289" t="s">
        <v>2454</v>
      </c>
      <c r="L1332" s="289"/>
      <c r="M1332" s="289"/>
      <c r="N1332" s="293">
        <v>38364</v>
      </c>
      <c r="O1332" s="293">
        <v>38364</v>
      </c>
      <c r="P1332" s="289">
        <v>52111002</v>
      </c>
      <c r="Q1332" s="290">
        <v>700</v>
      </c>
      <c r="R1332" s="290">
        <v>14050</v>
      </c>
      <c r="S1332" s="291">
        <v>26209.919999999998</v>
      </c>
      <c r="T1332" s="290">
        <v>14056</v>
      </c>
      <c r="U1332" s="291">
        <v>26209.919999999998</v>
      </c>
      <c r="V1332" s="291">
        <f t="shared" si="20"/>
        <v>0</v>
      </c>
      <c r="W1332" s="292">
        <v>0</v>
      </c>
      <c r="X1332" s="290">
        <v>54260</v>
      </c>
      <c r="Y1332" s="291">
        <v>0</v>
      </c>
      <c r="Z1332" s="289" t="s">
        <v>944</v>
      </c>
      <c r="AA1332" s="289">
        <v>0</v>
      </c>
      <c r="AB1332" s="289" t="s">
        <v>3593</v>
      </c>
      <c r="AC1332" s="289"/>
      <c r="AD1332" s="289" t="s">
        <v>1446</v>
      </c>
      <c r="AE1332" s="289" t="s">
        <v>410</v>
      </c>
      <c r="AF1332" s="290" t="s">
        <v>1447</v>
      </c>
      <c r="AG1332" s="289"/>
      <c r="AH1332" s="290" t="s">
        <v>1448</v>
      </c>
      <c r="AI1332" s="289">
        <v>0</v>
      </c>
      <c r="AJ1332" s="289">
        <v>0</v>
      </c>
    </row>
    <row r="1333" spans="2:36">
      <c r="B1333" s="290">
        <v>2111</v>
      </c>
      <c r="C1333" s="294">
        <v>31405</v>
      </c>
      <c r="D1333" s="290" t="s">
        <v>944</v>
      </c>
      <c r="E1333" s="289" t="s">
        <v>2484</v>
      </c>
      <c r="F1333" s="290">
        <v>660</v>
      </c>
      <c r="G1333" s="289"/>
      <c r="H1333" s="289" t="s">
        <v>3594</v>
      </c>
      <c r="I1333" s="289"/>
      <c r="J1333" s="289">
        <v>0</v>
      </c>
      <c r="K1333" s="289" t="s">
        <v>2454</v>
      </c>
      <c r="L1333" s="289"/>
      <c r="M1333" s="289"/>
      <c r="N1333" s="293">
        <v>38364</v>
      </c>
      <c r="O1333" s="293">
        <v>38364</v>
      </c>
      <c r="P1333" s="289">
        <v>52111002</v>
      </c>
      <c r="Q1333" s="290">
        <v>700</v>
      </c>
      <c r="R1333" s="290">
        <v>14050</v>
      </c>
      <c r="S1333" s="291">
        <v>26209.919999999998</v>
      </c>
      <c r="T1333" s="290">
        <v>14056</v>
      </c>
      <c r="U1333" s="291">
        <v>26209.919999999998</v>
      </c>
      <c r="V1333" s="291">
        <f t="shared" si="20"/>
        <v>0</v>
      </c>
      <c r="W1333" s="292">
        <v>0</v>
      </c>
      <c r="X1333" s="290">
        <v>54260</v>
      </c>
      <c r="Y1333" s="291">
        <v>0</v>
      </c>
      <c r="Z1333" s="289" t="s">
        <v>944</v>
      </c>
      <c r="AA1333" s="289">
        <v>0</v>
      </c>
      <c r="AB1333" s="289" t="s">
        <v>3595</v>
      </c>
      <c r="AC1333" s="289"/>
      <c r="AD1333" s="289" t="s">
        <v>1446</v>
      </c>
      <c r="AE1333" s="289" t="s">
        <v>410</v>
      </c>
      <c r="AF1333" s="290" t="s">
        <v>1447</v>
      </c>
      <c r="AG1333" s="289"/>
      <c r="AH1333" s="290" t="s">
        <v>1448</v>
      </c>
      <c r="AI1333" s="289">
        <v>0</v>
      </c>
      <c r="AJ1333" s="289">
        <v>0</v>
      </c>
    </row>
    <row r="1334" spans="2:36">
      <c r="B1334" s="290">
        <v>2111</v>
      </c>
      <c r="C1334" s="294">
        <v>31404</v>
      </c>
      <c r="D1334" s="290" t="s">
        <v>944</v>
      </c>
      <c r="E1334" s="289" t="s">
        <v>2484</v>
      </c>
      <c r="F1334" s="290">
        <v>660</v>
      </c>
      <c r="G1334" s="289"/>
      <c r="H1334" s="289" t="s">
        <v>3596</v>
      </c>
      <c r="I1334" s="289"/>
      <c r="J1334" s="289">
        <v>0</v>
      </c>
      <c r="K1334" s="289" t="s">
        <v>2454</v>
      </c>
      <c r="L1334" s="289"/>
      <c r="M1334" s="289"/>
      <c r="N1334" s="293">
        <v>38370</v>
      </c>
      <c r="O1334" s="293">
        <v>38370</v>
      </c>
      <c r="P1334" s="289">
        <v>52111002</v>
      </c>
      <c r="Q1334" s="290">
        <v>700</v>
      </c>
      <c r="R1334" s="290">
        <v>14050</v>
      </c>
      <c r="S1334" s="291">
        <v>26209.919999999998</v>
      </c>
      <c r="T1334" s="290">
        <v>14056</v>
      </c>
      <c r="U1334" s="291">
        <v>26209.919999999998</v>
      </c>
      <c r="V1334" s="291">
        <f t="shared" si="20"/>
        <v>0</v>
      </c>
      <c r="W1334" s="292">
        <v>0</v>
      </c>
      <c r="X1334" s="290">
        <v>54260</v>
      </c>
      <c r="Y1334" s="291">
        <v>0</v>
      </c>
      <c r="Z1334" s="289" t="s">
        <v>944</v>
      </c>
      <c r="AA1334" s="289">
        <v>0</v>
      </c>
      <c r="AB1334" s="289" t="s">
        <v>3597</v>
      </c>
      <c r="AC1334" s="289"/>
      <c r="AD1334" s="289" t="s">
        <v>1446</v>
      </c>
      <c r="AE1334" s="289" t="s">
        <v>410</v>
      </c>
      <c r="AF1334" s="290" t="s">
        <v>1447</v>
      </c>
      <c r="AG1334" s="289"/>
      <c r="AH1334" s="290" t="s">
        <v>1448</v>
      </c>
      <c r="AI1334" s="289">
        <v>0</v>
      </c>
      <c r="AJ1334" s="289">
        <v>0</v>
      </c>
    </row>
    <row r="1335" spans="2:36">
      <c r="B1335" s="290">
        <v>2111</v>
      </c>
      <c r="C1335" s="294">
        <v>31403</v>
      </c>
      <c r="D1335" s="290" t="s">
        <v>944</v>
      </c>
      <c r="E1335" s="289" t="s">
        <v>2484</v>
      </c>
      <c r="F1335" s="290">
        <v>660</v>
      </c>
      <c r="G1335" s="289"/>
      <c r="H1335" s="289" t="s">
        <v>3598</v>
      </c>
      <c r="I1335" s="289"/>
      <c r="J1335" s="289">
        <v>0</v>
      </c>
      <c r="K1335" s="289" t="s">
        <v>2454</v>
      </c>
      <c r="L1335" s="289"/>
      <c r="M1335" s="289"/>
      <c r="N1335" s="293">
        <v>38369</v>
      </c>
      <c r="O1335" s="293">
        <v>38369</v>
      </c>
      <c r="P1335" s="289">
        <v>52111002</v>
      </c>
      <c r="Q1335" s="290">
        <v>700</v>
      </c>
      <c r="R1335" s="290">
        <v>14050</v>
      </c>
      <c r="S1335" s="291">
        <v>26209.919999999998</v>
      </c>
      <c r="T1335" s="290">
        <v>14056</v>
      </c>
      <c r="U1335" s="291">
        <v>26209.919999999998</v>
      </c>
      <c r="V1335" s="291">
        <f t="shared" si="20"/>
        <v>0</v>
      </c>
      <c r="W1335" s="292">
        <v>0</v>
      </c>
      <c r="X1335" s="290">
        <v>54260</v>
      </c>
      <c r="Y1335" s="291">
        <v>0</v>
      </c>
      <c r="Z1335" s="289" t="s">
        <v>944</v>
      </c>
      <c r="AA1335" s="289">
        <v>0</v>
      </c>
      <c r="AB1335" s="289" t="s">
        <v>3599</v>
      </c>
      <c r="AC1335" s="289"/>
      <c r="AD1335" s="289" t="s">
        <v>1446</v>
      </c>
      <c r="AE1335" s="289" t="s">
        <v>410</v>
      </c>
      <c r="AF1335" s="290" t="s">
        <v>1447</v>
      </c>
      <c r="AG1335" s="289"/>
      <c r="AH1335" s="290" t="s">
        <v>1448</v>
      </c>
      <c r="AI1335" s="289">
        <v>0</v>
      </c>
      <c r="AJ1335" s="289">
        <v>0</v>
      </c>
    </row>
    <row r="1336" spans="2:36">
      <c r="B1336" s="290">
        <v>2111</v>
      </c>
      <c r="C1336" s="294">
        <v>31402</v>
      </c>
      <c r="D1336" s="290" t="s">
        <v>944</v>
      </c>
      <c r="E1336" s="289" t="s">
        <v>2484</v>
      </c>
      <c r="F1336" s="290">
        <v>660</v>
      </c>
      <c r="G1336" s="289"/>
      <c r="H1336" s="289" t="s">
        <v>3600</v>
      </c>
      <c r="I1336" s="289"/>
      <c r="J1336" s="289">
        <v>0</v>
      </c>
      <c r="K1336" s="289" t="s">
        <v>2454</v>
      </c>
      <c r="L1336" s="289"/>
      <c r="M1336" s="289"/>
      <c r="N1336" s="293">
        <v>38369</v>
      </c>
      <c r="O1336" s="293">
        <v>38369</v>
      </c>
      <c r="P1336" s="289">
        <v>52111002</v>
      </c>
      <c r="Q1336" s="290">
        <v>700</v>
      </c>
      <c r="R1336" s="290">
        <v>14050</v>
      </c>
      <c r="S1336" s="291">
        <v>26209.919999999998</v>
      </c>
      <c r="T1336" s="290">
        <v>14056</v>
      </c>
      <c r="U1336" s="291">
        <v>26209.919999999998</v>
      </c>
      <c r="V1336" s="291">
        <f t="shared" si="20"/>
        <v>0</v>
      </c>
      <c r="W1336" s="292">
        <v>0</v>
      </c>
      <c r="X1336" s="290">
        <v>54260</v>
      </c>
      <c r="Y1336" s="291">
        <v>0</v>
      </c>
      <c r="Z1336" s="289" t="s">
        <v>944</v>
      </c>
      <c r="AA1336" s="289">
        <v>0</v>
      </c>
      <c r="AB1336" s="289" t="s">
        <v>3601</v>
      </c>
      <c r="AC1336" s="289"/>
      <c r="AD1336" s="289" t="s">
        <v>1446</v>
      </c>
      <c r="AE1336" s="289" t="s">
        <v>410</v>
      </c>
      <c r="AF1336" s="290" t="s">
        <v>1447</v>
      </c>
      <c r="AG1336" s="289"/>
      <c r="AH1336" s="290" t="s">
        <v>1448</v>
      </c>
      <c r="AI1336" s="289">
        <v>0</v>
      </c>
      <c r="AJ1336" s="289">
        <v>0</v>
      </c>
    </row>
    <row r="1337" spans="2:36">
      <c r="B1337" s="290">
        <v>2111</v>
      </c>
      <c r="C1337" s="294">
        <v>31401</v>
      </c>
      <c r="D1337" s="290" t="s">
        <v>944</v>
      </c>
      <c r="E1337" s="289" t="s">
        <v>2484</v>
      </c>
      <c r="F1337" s="290">
        <v>660</v>
      </c>
      <c r="G1337" s="289"/>
      <c r="H1337" s="289" t="s">
        <v>3602</v>
      </c>
      <c r="I1337" s="289"/>
      <c r="J1337" s="289">
        <v>0</v>
      </c>
      <c r="K1337" s="289" t="s">
        <v>2454</v>
      </c>
      <c r="L1337" s="289"/>
      <c r="M1337" s="289"/>
      <c r="N1337" s="293">
        <v>38370</v>
      </c>
      <c r="O1337" s="293">
        <v>38370</v>
      </c>
      <c r="P1337" s="289">
        <v>52111002</v>
      </c>
      <c r="Q1337" s="290">
        <v>700</v>
      </c>
      <c r="R1337" s="290">
        <v>14050</v>
      </c>
      <c r="S1337" s="291">
        <v>26209.919999999998</v>
      </c>
      <c r="T1337" s="290">
        <v>14056</v>
      </c>
      <c r="U1337" s="291">
        <v>26209.919999999998</v>
      </c>
      <c r="V1337" s="291">
        <f t="shared" si="20"/>
        <v>0</v>
      </c>
      <c r="W1337" s="292">
        <v>0</v>
      </c>
      <c r="X1337" s="290">
        <v>54260</v>
      </c>
      <c r="Y1337" s="291">
        <v>0</v>
      </c>
      <c r="Z1337" s="289" t="s">
        <v>944</v>
      </c>
      <c r="AA1337" s="289">
        <v>0</v>
      </c>
      <c r="AB1337" s="289" t="s">
        <v>3603</v>
      </c>
      <c r="AC1337" s="289"/>
      <c r="AD1337" s="289" t="s">
        <v>1446</v>
      </c>
      <c r="AE1337" s="289" t="s">
        <v>410</v>
      </c>
      <c r="AF1337" s="290" t="s">
        <v>1447</v>
      </c>
      <c r="AG1337" s="289"/>
      <c r="AH1337" s="290" t="s">
        <v>1448</v>
      </c>
      <c r="AI1337" s="289">
        <v>0</v>
      </c>
      <c r="AJ1337" s="289">
        <v>0</v>
      </c>
    </row>
    <row r="1338" spans="2:36">
      <c r="B1338" s="290">
        <v>2111</v>
      </c>
      <c r="C1338" s="294">
        <v>31400</v>
      </c>
      <c r="D1338" s="290" t="s">
        <v>944</v>
      </c>
      <c r="E1338" s="289" t="s">
        <v>2484</v>
      </c>
      <c r="F1338" s="290">
        <v>660</v>
      </c>
      <c r="G1338" s="289"/>
      <c r="H1338" s="289" t="s">
        <v>3604</v>
      </c>
      <c r="I1338" s="289"/>
      <c r="J1338" s="289">
        <v>0</v>
      </c>
      <c r="K1338" s="289" t="s">
        <v>2454</v>
      </c>
      <c r="L1338" s="289"/>
      <c r="M1338" s="289"/>
      <c r="N1338" s="293">
        <v>38366</v>
      </c>
      <c r="O1338" s="293">
        <v>38366</v>
      </c>
      <c r="P1338" s="289">
        <v>52111002</v>
      </c>
      <c r="Q1338" s="290">
        <v>700</v>
      </c>
      <c r="R1338" s="290">
        <v>14050</v>
      </c>
      <c r="S1338" s="291">
        <v>26209.919999999998</v>
      </c>
      <c r="T1338" s="290">
        <v>14056</v>
      </c>
      <c r="U1338" s="291">
        <v>26209.919999999998</v>
      </c>
      <c r="V1338" s="291">
        <f t="shared" si="20"/>
        <v>0</v>
      </c>
      <c r="W1338" s="292">
        <v>0</v>
      </c>
      <c r="X1338" s="290">
        <v>54260</v>
      </c>
      <c r="Y1338" s="291">
        <v>0</v>
      </c>
      <c r="Z1338" s="289" t="s">
        <v>944</v>
      </c>
      <c r="AA1338" s="289">
        <v>0</v>
      </c>
      <c r="AB1338" s="289" t="s">
        <v>3605</v>
      </c>
      <c r="AC1338" s="289"/>
      <c r="AD1338" s="289" t="s">
        <v>1446</v>
      </c>
      <c r="AE1338" s="289" t="s">
        <v>410</v>
      </c>
      <c r="AF1338" s="290" t="s">
        <v>1447</v>
      </c>
      <c r="AG1338" s="289"/>
      <c r="AH1338" s="290" t="s">
        <v>1448</v>
      </c>
      <c r="AI1338" s="289">
        <v>0</v>
      </c>
      <c r="AJ1338" s="289">
        <v>0</v>
      </c>
    </row>
    <row r="1339" spans="2:36">
      <c r="B1339" s="290">
        <v>2111</v>
      </c>
      <c r="C1339" s="294">
        <v>31399</v>
      </c>
      <c r="D1339" s="290" t="s">
        <v>944</v>
      </c>
      <c r="E1339" s="289" t="s">
        <v>2484</v>
      </c>
      <c r="F1339" s="290">
        <v>660</v>
      </c>
      <c r="G1339" s="289"/>
      <c r="H1339" s="289" t="s">
        <v>3606</v>
      </c>
      <c r="I1339" s="289"/>
      <c r="J1339" s="289">
        <v>0</v>
      </c>
      <c r="K1339" s="289" t="s">
        <v>2454</v>
      </c>
      <c r="L1339" s="289"/>
      <c r="M1339" s="289"/>
      <c r="N1339" s="293">
        <v>38365</v>
      </c>
      <c r="O1339" s="293">
        <v>38365</v>
      </c>
      <c r="P1339" s="289">
        <v>52111002</v>
      </c>
      <c r="Q1339" s="290">
        <v>700</v>
      </c>
      <c r="R1339" s="290">
        <v>14050</v>
      </c>
      <c r="S1339" s="291">
        <v>26209.919999999998</v>
      </c>
      <c r="T1339" s="290">
        <v>14056</v>
      </c>
      <c r="U1339" s="291">
        <v>26209.919999999998</v>
      </c>
      <c r="V1339" s="291">
        <f t="shared" si="20"/>
        <v>0</v>
      </c>
      <c r="W1339" s="292">
        <v>0</v>
      </c>
      <c r="X1339" s="290">
        <v>54260</v>
      </c>
      <c r="Y1339" s="291">
        <v>0</v>
      </c>
      <c r="Z1339" s="289" t="s">
        <v>944</v>
      </c>
      <c r="AA1339" s="289">
        <v>0</v>
      </c>
      <c r="AB1339" s="289" t="s">
        <v>3607</v>
      </c>
      <c r="AC1339" s="289"/>
      <c r="AD1339" s="289" t="s">
        <v>1446</v>
      </c>
      <c r="AE1339" s="289" t="s">
        <v>410</v>
      </c>
      <c r="AF1339" s="290" t="s">
        <v>1447</v>
      </c>
      <c r="AG1339" s="289"/>
      <c r="AH1339" s="290" t="s">
        <v>1448</v>
      </c>
      <c r="AI1339" s="289">
        <v>0</v>
      </c>
      <c r="AJ1339" s="289">
        <v>0</v>
      </c>
    </row>
    <row r="1340" spans="2:36">
      <c r="B1340" s="290">
        <v>2111</v>
      </c>
      <c r="C1340" s="294">
        <v>31398</v>
      </c>
      <c r="D1340" s="290" t="s">
        <v>944</v>
      </c>
      <c r="E1340" s="289" t="s">
        <v>2484</v>
      </c>
      <c r="F1340" s="290">
        <v>20</v>
      </c>
      <c r="G1340" s="289"/>
      <c r="H1340" s="289" t="s">
        <v>3608</v>
      </c>
      <c r="I1340" s="289"/>
      <c r="J1340" s="289">
        <v>0</v>
      </c>
      <c r="K1340" s="289" t="s">
        <v>2454</v>
      </c>
      <c r="L1340" s="289"/>
      <c r="M1340" s="289"/>
      <c r="N1340" s="293">
        <v>38378</v>
      </c>
      <c r="O1340" s="293">
        <v>38378</v>
      </c>
      <c r="P1340" s="289">
        <v>52111002</v>
      </c>
      <c r="Q1340" s="290">
        <v>700</v>
      </c>
      <c r="R1340" s="290">
        <v>14050</v>
      </c>
      <c r="S1340" s="291">
        <v>794.24</v>
      </c>
      <c r="T1340" s="290">
        <v>14056</v>
      </c>
      <c r="U1340" s="291">
        <v>794.24</v>
      </c>
      <c r="V1340" s="291">
        <f t="shared" si="20"/>
        <v>0</v>
      </c>
      <c r="W1340" s="292">
        <v>0</v>
      </c>
      <c r="X1340" s="290">
        <v>54260</v>
      </c>
      <c r="Y1340" s="291">
        <v>0</v>
      </c>
      <c r="Z1340" s="289" t="s">
        <v>944</v>
      </c>
      <c r="AA1340" s="289">
        <v>0</v>
      </c>
      <c r="AB1340" s="289" t="s">
        <v>3609</v>
      </c>
      <c r="AC1340" s="289"/>
      <c r="AD1340" s="289" t="s">
        <v>1446</v>
      </c>
      <c r="AE1340" s="289" t="s">
        <v>410</v>
      </c>
      <c r="AF1340" s="290" t="s">
        <v>1447</v>
      </c>
      <c r="AG1340" s="289"/>
      <c r="AH1340" s="290" t="s">
        <v>1448</v>
      </c>
      <c r="AI1340" s="289">
        <v>0</v>
      </c>
      <c r="AJ1340" s="289">
        <v>0</v>
      </c>
    </row>
    <row r="1341" spans="2:36">
      <c r="B1341" s="290">
        <v>2111</v>
      </c>
      <c r="C1341" s="294">
        <v>31397</v>
      </c>
      <c r="D1341" s="290" t="s">
        <v>944</v>
      </c>
      <c r="E1341" s="289" t="s">
        <v>2484</v>
      </c>
      <c r="F1341" s="290">
        <v>660</v>
      </c>
      <c r="G1341" s="289"/>
      <c r="H1341" s="289" t="s">
        <v>3610</v>
      </c>
      <c r="I1341" s="289"/>
      <c r="J1341" s="289">
        <v>0</v>
      </c>
      <c r="K1341" s="289" t="s">
        <v>2454</v>
      </c>
      <c r="L1341" s="289"/>
      <c r="M1341" s="289"/>
      <c r="N1341" s="293">
        <v>38393</v>
      </c>
      <c r="O1341" s="293">
        <v>38393</v>
      </c>
      <c r="P1341" s="289">
        <v>52111002</v>
      </c>
      <c r="Q1341" s="290">
        <v>700</v>
      </c>
      <c r="R1341" s="290">
        <v>14050</v>
      </c>
      <c r="S1341" s="291">
        <v>26209.919999999998</v>
      </c>
      <c r="T1341" s="290">
        <v>14056</v>
      </c>
      <c r="U1341" s="291">
        <v>26209.919999999998</v>
      </c>
      <c r="V1341" s="291">
        <f t="shared" si="20"/>
        <v>0</v>
      </c>
      <c r="W1341" s="292">
        <v>0</v>
      </c>
      <c r="X1341" s="290">
        <v>54260</v>
      </c>
      <c r="Y1341" s="291">
        <v>0</v>
      </c>
      <c r="Z1341" s="289" t="s">
        <v>944</v>
      </c>
      <c r="AA1341" s="289">
        <v>0</v>
      </c>
      <c r="AB1341" s="289" t="s">
        <v>3611</v>
      </c>
      <c r="AC1341" s="289"/>
      <c r="AD1341" s="289" t="s">
        <v>1446</v>
      </c>
      <c r="AE1341" s="289" t="s">
        <v>410</v>
      </c>
      <c r="AF1341" s="290" t="s">
        <v>1447</v>
      </c>
      <c r="AG1341" s="289"/>
      <c r="AH1341" s="290" t="s">
        <v>1448</v>
      </c>
      <c r="AI1341" s="289">
        <v>0</v>
      </c>
      <c r="AJ1341" s="289">
        <v>0</v>
      </c>
    </row>
    <row r="1342" spans="2:36">
      <c r="B1342" s="290">
        <v>2111</v>
      </c>
      <c r="C1342" s="294">
        <v>31396</v>
      </c>
      <c r="D1342" s="290" t="s">
        <v>944</v>
      </c>
      <c r="E1342" s="289" t="s">
        <v>2484</v>
      </c>
      <c r="F1342" s="290">
        <v>660</v>
      </c>
      <c r="G1342" s="289"/>
      <c r="H1342" s="289" t="s">
        <v>3612</v>
      </c>
      <c r="I1342" s="289"/>
      <c r="J1342" s="289">
        <v>0</v>
      </c>
      <c r="K1342" s="289" t="s">
        <v>2454</v>
      </c>
      <c r="L1342" s="289"/>
      <c r="M1342" s="289"/>
      <c r="N1342" s="293">
        <v>38393</v>
      </c>
      <c r="O1342" s="293">
        <v>38393</v>
      </c>
      <c r="P1342" s="289">
        <v>52111002</v>
      </c>
      <c r="Q1342" s="290">
        <v>700</v>
      </c>
      <c r="R1342" s="290">
        <v>14050</v>
      </c>
      <c r="S1342" s="291">
        <v>26209.919999999998</v>
      </c>
      <c r="T1342" s="290">
        <v>14056</v>
      </c>
      <c r="U1342" s="291">
        <v>26209.919999999998</v>
      </c>
      <c r="V1342" s="291">
        <f t="shared" si="20"/>
        <v>0</v>
      </c>
      <c r="W1342" s="292">
        <v>0</v>
      </c>
      <c r="X1342" s="290">
        <v>54260</v>
      </c>
      <c r="Y1342" s="291">
        <v>0</v>
      </c>
      <c r="Z1342" s="289" t="s">
        <v>944</v>
      </c>
      <c r="AA1342" s="289">
        <v>0</v>
      </c>
      <c r="AB1342" s="289" t="s">
        <v>3613</v>
      </c>
      <c r="AC1342" s="289"/>
      <c r="AD1342" s="289" t="s">
        <v>1446</v>
      </c>
      <c r="AE1342" s="289" t="s">
        <v>410</v>
      </c>
      <c r="AF1342" s="290" t="s">
        <v>1447</v>
      </c>
      <c r="AG1342" s="289"/>
      <c r="AH1342" s="290" t="s">
        <v>1448</v>
      </c>
      <c r="AI1342" s="289">
        <v>0</v>
      </c>
      <c r="AJ1342" s="289">
        <v>0</v>
      </c>
    </row>
    <row r="1343" spans="2:36">
      <c r="B1343" s="290">
        <v>2111</v>
      </c>
      <c r="C1343" s="294">
        <v>31395</v>
      </c>
      <c r="D1343" s="290" t="s">
        <v>944</v>
      </c>
      <c r="E1343" s="289" t="s">
        <v>2484</v>
      </c>
      <c r="F1343" s="290">
        <v>660</v>
      </c>
      <c r="G1343" s="289"/>
      <c r="H1343" s="289" t="s">
        <v>3614</v>
      </c>
      <c r="I1343" s="289"/>
      <c r="J1343" s="289">
        <v>0</v>
      </c>
      <c r="K1343" s="289" t="s">
        <v>2454</v>
      </c>
      <c r="L1343" s="289"/>
      <c r="M1343" s="289"/>
      <c r="N1343" s="293">
        <v>38393</v>
      </c>
      <c r="O1343" s="293">
        <v>38393</v>
      </c>
      <c r="P1343" s="289">
        <v>52111002</v>
      </c>
      <c r="Q1343" s="290">
        <v>700</v>
      </c>
      <c r="R1343" s="290">
        <v>14050</v>
      </c>
      <c r="S1343" s="291">
        <v>26209.919999999998</v>
      </c>
      <c r="T1343" s="290">
        <v>14056</v>
      </c>
      <c r="U1343" s="291">
        <v>26209.919999999998</v>
      </c>
      <c r="V1343" s="291">
        <f t="shared" si="20"/>
        <v>0</v>
      </c>
      <c r="W1343" s="292">
        <v>0</v>
      </c>
      <c r="X1343" s="290">
        <v>54260</v>
      </c>
      <c r="Y1343" s="291">
        <v>0</v>
      </c>
      <c r="Z1343" s="289" t="s">
        <v>944</v>
      </c>
      <c r="AA1343" s="289">
        <v>0</v>
      </c>
      <c r="AB1343" s="289" t="s">
        <v>3615</v>
      </c>
      <c r="AC1343" s="289"/>
      <c r="AD1343" s="289" t="s">
        <v>1446</v>
      </c>
      <c r="AE1343" s="289" t="s">
        <v>410</v>
      </c>
      <c r="AF1343" s="290" t="s">
        <v>1447</v>
      </c>
      <c r="AG1343" s="289"/>
      <c r="AH1343" s="290" t="s">
        <v>1448</v>
      </c>
      <c r="AI1343" s="289">
        <v>0</v>
      </c>
      <c r="AJ1343" s="289">
        <v>0</v>
      </c>
    </row>
    <row r="1344" spans="2:36">
      <c r="B1344" s="290">
        <v>2111</v>
      </c>
      <c r="C1344" s="294">
        <v>30500</v>
      </c>
      <c r="D1344" s="290"/>
      <c r="E1344" s="289" t="s">
        <v>3616</v>
      </c>
      <c r="F1344" s="290">
        <v>0</v>
      </c>
      <c r="G1344" s="289"/>
      <c r="H1344" s="289" t="s">
        <v>3617</v>
      </c>
      <c r="I1344" s="289"/>
      <c r="J1344" s="289">
        <v>0</v>
      </c>
      <c r="K1344" s="289" t="s">
        <v>2550</v>
      </c>
      <c r="L1344" s="289"/>
      <c r="M1344" s="289"/>
      <c r="N1344" s="293">
        <v>38358</v>
      </c>
      <c r="O1344" s="293">
        <v>38358</v>
      </c>
      <c r="P1344" s="289" t="s">
        <v>3618</v>
      </c>
      <c r="Q1344" s="290">
        <v>300</v>
      </c>
      <c r="R1344" s="290">
        <v>14110</v>
      </c>
      <c r="S1344" s="291">
        <v>2508</v>
      </c>
      <c r="T1344" s="290">
        <v>14116</v>
      </c>
      <c r="U1344" s="291">
        <v>2508</v>
      </c>
      <c r="V1344" s="291">
        <f t="shared" si="20"/>
        <v>0</v>
      </c>
      <c r="W1344" s="292">
        <v>0</v>
      </c>
      <c r="X1344" s="290">
        <v>70260</v>
      </c>
      <c r="Y1344" s="291">
        <v>0</v>
      </c>
      <c r="Z1344" s="289" t="s">
        <v>944</v>
      </c>
      <c r="AA1344" s="289">
        <v>0</v>
      </c>
      <c r="AB1344" s="289">
        <v>327145</v>
      </c>
      <c r="AC1344" s="289"/>
      <c r="AD1344" s="289" t="s">
        <v>1446</v>
      </c>
      <c r="AE1344" s="289" t="s">
        <v>410</v>
      </c>
      <c r="AF1344" s="290" t="s">
        <v>1447</v>
      </c>
      <c r="AG1344" s="289"/>
      <c r="AH1344" s="290" t="s">
        <v>1448</v>
      </c>
      <c r="AI1344" s="289">
        <v>0</v>
      </c>
      <c r="AJ1344" s="289">
        <v>0</v>
      </c>
    </row>
    <row r="1345" spans="2:36">
      <c r="B1345" s="290">
        <v>2111</v>
      </c>
      <c r="C1345" s="294">
        <v>30478</v>
      </c>
      <c r="D1345" s="290" t="s">
        <v>944</v>
      </c>
      <c r="E1345" s="289" t="s">
        <v>3619</v>
      </c>
      <c r="F1345" s="290">
        <v>0</v>
      </c>
      <c r="G1345" s="289"/>
      <c r="H1345" s="289" t="s">
        <v>3620</v>
      </c>
      <c r="I1345" s="289"/>
      <c r="J1345" s="289">
        <v>2003</v>
      </c>
      <c r="K1345" s="289" t="s">
        <v>3621</v>
      </c>
      <c r="L1345" s="289" t="s">
        <v>3622</v>
      </c>
      <c r="M1345" s="289" t="s">
        <v>2077</v>
      </c>
      <c r="N1345" s="293">
        <v>38362</v>
      </c>
      <c r="O1345" s="293">
        <v>38362</v>
      </c>
      <c r="P1345" s="289" t="s">
        <v>3570</v>
      </c>
      <c r="Q1345" s="290">
        <v>1000</v>
      </c>
      <c r="R1345" s="290">
        <v>14040</v>
      </c>
      <c r="S1345" s="291">
        <v>35500</v>
      </c>
      <c r="T1345" s="290">
        <v>14046</v>
      </c>
      <c r="U1345" s="291">
        <v>35500</v>
      </c>
      <c r="V1345" s="291">
        <f t="shared" si="20"/>
        <v>0</v>
      </c>
      <c r="W1345" s="292">
        <v>0</v>
      </c>
      <c r="X1345" s="290">
        <v>51260</v>
      </c>
      <c r="Y1345" s="291">
        <v>0</v>
      </c>
      <c r="Z1345" s="289" t="s">
        <v>944</v>
      </c>
      <c r="AA1345" s="289">
        <v>0</v>
      </c>
      <c r="AB1345" s="289" t="s">
        <v>3623</v>
      </c>
      <c r="AC1345" s="289" t="s">
        <v>356</v>
      </c>
      <c r="AD1345" s="289" t="s">
        <v>1446</v>
      </c>
      <c r="AE1345" s="289" t="s">
        <v>410</v>
      </c>
      <c r="AF1345" s="290" t="s">
        <v>1447</v>
      </c>
      <c r="AG1345" s="289"/>
      <c r="AH1345" s="290" t="s">
        <v>1448</v>
      </c>
      <c r="AI1345" s="289">
        <v>0</v>
      </c>
      <c r="AJ1345" s="289">
        <v>0</v>
      </c>
    </row>
    <row r="1346" spans="2:36">
      <c r="B1346" s="290">
        <v>2111</v>
      </c>
      <c r="C1346" s="294">
        <v>30477</v>
      </c>
      <c r="D1346" s="290" t="s">
        <v>944</v>
      </c>
      <c r="E1346" s="289" t="s">
        <v>3619</v>
      </c>
      <c r="F1346" s="290">
        <v>0</v>
      </c>
      <c r="G1346" s="289"/>
      <c r="H1346" s="289" t="s">
        <v>3624</v>
      </c>
      <c r="I1346" s="289"/>
      <c r="J1346" s="289">
        <v>2003</v>
      </c>
      <c r="K1346" s="289" t="s">
        <v>3621</v>
      </c>
      <c r="L1346" s="289" t="s">
        <v>3622</v>
      </c>
      <c r="M1346" s="289" t="s">
        <v>2077</v>
      </c>
      <c r="N1346" s="293">
        <v>38362</v>
      </c>
      <c r="O1346" s="293">
        <v>38362</v>
      </c>
      <c r="P1346" s="289" t="s">
        <v>3572</v>
      </c>
      <c r="Q1346" s="290">
        <v>1000</v>
      </c>
      <c r="R1346" s="290">
        <v>14040</v>
      </c>
      <c r="S1346" s="291">
        <v>34500</v>
      </c>
      <c r="T1346" s="290">
        <v>14046</v>
      </c>
      <c r="U1346" s="291">
        <v>34500</v>
      </c>
      <c r="V1346" s="291">
        <f t="shared" si="20"/>
        <v>0</v>
      </c>
      <c r="W1346" s="292">
        <v>0</v>
      </c>
      <c r="X1346" s="290">
        <v>51260</v>
      </c>
      <c r="Y1346" s="291">
        <v>0</v>
      </c>
      <c r="Z1346" s="289" t="s">
        <v>944</v>
      </c>
      <c r="AA1346" s="289">
        <v>0</v>
      </c>
      <c r="AB1346" s="289" t="s">
        <v>3625</v>
      </c>
      <c r="AC1346" s="289" t="s">
        <v>355</v>
      </c>
      <c r="AD1346" s="289" t="s">
        <v>1446</v>
      </c>
      <c r="AE1346" s="289" t="s">
        <v>410</v>
      </c>
      <c r="AF1346" s="290" t="s">
        <v>3626</v>
      </c>
      <c r="AG1346" s="295">
        <v>38564</v>
      </c>
      <c r="AH1346" s="290" t="s">
        <v>1448</v>
      </c>
      <c r="AI1346" s="289">
        <v>0</v>
      </c>
      <c r="AJ1346" s="289">
        <v>2020.83</v>
      </c>
    </row>
    <row r="1347" spans="2:36">
      <c r="B1347" s="290">
        <v>2111</v>
      </c>
      <c r="C1347" s="294">
        <v>30295</v>
      </c>
      <c r="D1347" s="290"/>
      <c r="E1347" s="289" t="s">
        <v>2875</v>
      </c>
      <c r="F1347" s="290">
        <v>0</v>
      </c>
      <c r="G1347" s="289"/>
      <c r="H1347" s="289"/>
      <c r="I1347" s="289"/>
      <c r="J1347" s="289">
        <v>0</v>
      </c>
      <c r="K1347" s="289" t="s">
        <v>3515</v>
      </c>
      <c r="L1347" s="289"/>
      <c r="M1347" s="289"/>
      <c r="N1347" s="293">
        <v>38260</v>
      </c>
      <c r="O1347" s="293">
        <v>38260</v>
      </c>
      <c r="P1347" s="289" t="s">
        <v>3627</v>
      </c>
      <c r="Q1347" s="290">
        <v>300</v>
      </c>
      <c r="R1347" s="290">
        <v>14110</v>
      </c>
      <c r="S1347" s="291">
        <v>5285</v>
      </c>
      <c r="T1347" s="290">
        <v>14116</v>
      </c>
      <c r="U1347" s="291">
        <v>5285</v>
      </c>
      <c r="V1347" s="291">
        <f t="shared" si="20"/>
        <v>0</v>
      </c>
      <c r="W1347" s="292">
        <v>0</v>
      </c>
      <c r="X1347" s="290">
        <v>70260</v>
      </c>
      <c r="Y1347" s="291">
        <v>0</v>
      </c>
      <c r="Z1347" s="289" t="s">
        <v>944</v>
      </c>
      <c r="AA1347" s="289">
        <v>0</v>
      </c>
      <c r="AB1347" s="289"/>
      <c r="AC1347" s="289"/>
      <c r="AD1347" s="289" t="s">
        <v>1446</v>
      </c>
      <c r="AE1347" s="289" t="s">
        <v>410</v>
      </c>
      <c r="AF1347" s="290" t="s">
        <v>1447</v>
      </c>
      <c r="AG1347" s="289"/>
      <c r="AH1347" s="290" t="s">
        <v>1448</v>
      </c>
      <c r="AI1347" s="289">
        <v>0</v>
      </c>
      <c r="AJ1347" s="289">
        <v>0</v>
      </c>
    </row>
    <row r="1348" spans="2:36">
      <c r="B1348" s="290">
        <v>2111</v>
      </c>
      <c r="C1348" s="294">
        <v>29758</v>
      </c>
      <c r="D1348" s="290" t="s">
        <v>944</v>
      </c>
      <c r="E1348" s="289" t="s">
        <v>3628</v>
      </c>
      <c r="F1348" s="290">
        <v>432</v>
      </c>
      <c r="G1348" s="289"/>
      <c r="H1348" s="289" t="s">
        <v>3629</v>
      </c>
      <c r="I1348" s="289"/>
      <c r="J1348" s="289">
        <v>0</v>
      </c>
      <c r="K1348" s="289" t="s">
        <v>2222</v>
      </c>
      <c r="L1348" s="289"/>
      <c r="M1348" s="289"/>
      <c r="N1348" s="293">
        <v>38343</v>
      </c>
      <c r="O1348" s="293">
        <v>38343</v>
      </c>
      <c r="P1348" s="289" t="s">
        <v>3630</v>
      </c>
      <c r="Q1348" s="290">
        <v>700</v>
      </c>
      <c r="R1348" s="290">
        <v>14050</v>
      </c>
      <c r="S1348" s="291">
        <v>18330.63</v>
      </c>
      <c r="T1348" s="290">
        <v>14056</v>
      </c>
      <c r="U1348" s="291">
        <v>18330.63</v>
      </c>
      <c r="V1348" s="291">
        <f t="shared" si="20"/>
        <v>0</v>
      </c>
      <c r="W1348" s="292">
        <v>0</v>
      </c>
      <c r="X1348" s="290">
        <v>54260</v>
      </c>
      <c r="Y1348" s="291">
        <v>0</v>
      </c>
      <c r="Z1348" s="289" t="s">
        <v>944</v>
      </c>
      <c r="AA1348" s="289">
        <v>0</v>
      </c>
      <c r="AB1348" s="289" t="s">
        <v>3631</v>
      </c>
      <c r="AC1348" s="289"/>
      <c r="AD1348" s="289" t="s">
        <v>1446</v>
      </c>
      <c r="AE1348" s="289" t="s">
        <v>410</v>
      </c>
      <c r="AF1348" s="290" t="s">
        <v>1447</v>
      </c>
      <c r="AG1348" s="289"/>
      <c r="AH1348" s="290" t="s">
        <v>1448</v>
      </c>
      <c r="AI1348" s="289">
        <v>0</v>
      </c>
      <c r="AJ1348" s="289">
        <v>0</v>
      </c>
    </row>
    <row r="1349" spans="2:36">
      <c r="B1349" s="290">
        <v>2111</v>
      </c>
      <c r="C1349" s="294">
        <v>28926</v>
      </c>
      <c r="D1349" s="290" t="s">
        <v>944</v>
      </c>
      <c r="E1349" s="289" t="s">
        <v>3632</v>
      </c>
      <c r="F1349" s="290">
        <v>2</v>
      </c>
      <c r="G1349" s="289"/>
      <c r="H1349" s="289"/>
      <c r="I1349" s="289"/>
      <c r="J1349" s="289">
        <v>0</v>
      </c>
      <c r="K1349" s="289" t="s">
        <v>3633</v>
      </c>
      <c r="L1349" s="289"/>
      <c r="M1349" s="289" t="s">
        <v>1662</v>
      </c>
      <c r="N1349" s="293">
        <v>38295</v>
      </c>
      <c r="O1349" s="293">
        <v>38295</v>
      </c>
      <c r="P1349" s="289">
        <v>42111013</v>
      </c>
      <c r="Q1349" s="290">
        <v>1200</v>
      </c>
      <c r="R1349" s="290">
        <v>14050</v>
      </c>
      <c r="S1349" s="291">
        <v>1608.06</v>
      </c>
      <c r="T1349" s="290">
        <v>14056</v>
      </c>
      <c r="U1349" s="291">
        <v>1608.06</v>
      </c>
      <c r="V1349" s="291">
        <f t="shared" si="20"/>
        <v>0</v>
      </c>
      <c r="W1349" s="292">
        <v>0</v>
      </c>
      <c r="X1349" s="290">
        <v>54260</v>
      </c>
      <c r="Y1349" s="291">
        <v>0</v>
      </c>
      <c r="Z1349" s="289" t="s">
        <v>944</v>
      </c>
      <c r="AA1349" s="289">
        <v>0</v>
      </c>
      <c r="AB1349" s="289">
        <v>2264</v>
      </c>
      <c r="AC1349" s="289"/>
      <c r="AD1349" s="289" t="s">
        <v>1446</v>
      </c>
      <c r="AE1349" s="289" t="s">
        <v>410</v>
      </c>
      <c r="AF1349" s="290" t="s">
        <v>1447</v>
      </c>
      <c r="AG1349" s="289"/>
      <c r="AH1349" s="290" t="s">
        <v>1448</v>
      </c>
      <c r="AI1349" s="289">
        <v>8</v>
      </c>
      <c r="AJ1349" s="289">
        <v>0</v>
      </c>
    </row>
    <row r="1350" spans="2:36">
      <c r="B1350" s="290">
        <v>2111</v>
      </c>
      <c r="C1350" s="294">
        <v>28522</v>
      </c>
      <c r="D1350" s="290" t="s">
        <v>944</v>
      </c>
      <c r="E1350" s="289" t="s">
        <v>3634</v>
      </c>
      <c r="F1350" s="290">
        <v>0</v>
      </c>
      <c r="G1350" s="289"/>
      <c r="H1350" s="289" t="s">
        <v>3635</v>
      </c>
      <c r="I1350" s="289"/>
      <c r="J1350" s="289">
        <v>2005</v>
      </c>
      <c r="K1350" s="289" t="s">
        <v>2315</v>
      </c>
      <c r="L1350" s="289" t="s">
        <v>2316</v>
      </c>
      <c r="M1350" s="289" t="s">
        <v>3636</v>
      </c>
      <c r="N1350" s="293">
        <v>38139</v>
      </c>
      <c r="O1350" s="293">
        <v>38139</v>
      </c>
      <c r="P1350" s="289">
        <v>42150001</v>
      </c>
      <c r="Q1350" s="290">
        <v>1000</v>
      </c>
      <c r="R1350" s="290">
        <v>14040</v>
      </c>
      <c r="S1350" s="291">
        <v>58641.25</v>
      </c>
      <c r="T1350" s="290">
        <v>14046</v>
      </c>
      <c r="U1350" s="291">
        <v>58641.25</v>
      </c>
      <c r="V1350" s="291">
        <f t="shared" si="20"/>
        <v>0</v>
      </c>
      <c r="W1350" s="292">
        <v>0</v>
      </c>
      <c r="X1350" s="290">
        <v>51260</v>
      </c>
      <c r="Y1350" s="291">
        <v>0</v>
      </c>
      <c r="Z1350" s="289" t="s">
        <v>944</v>
      </c>
      <c r="AA1350" s="289">
        <v>0</v>
      </c>
      <c r="AB1350" s="289">
        <v>849858</v>
      </c>
      <c r="AC1350" s="289" t="s">
        <v>3637</v>
      </c>
      <c r="AD1350" s="289" t="s">
        <v>1446</v>
      </c>
      <c r="AE1350" s="289" t="s">
        <v>410</v>
      </c>
      <c r="AF1350" s="290" t="s">
        <v>1447</v>
      </c>
      <c r="AG1350" s="295">
        <v>38321</v>
      </c>
      <c r="AH1350" s="290" t="s">
        <v>1448</v>
      </c>
      <c r="AI1350" s="289">
        <v>0</v>
      </c>
      <c r="AJ1350" s="289">
        <v>2932.06</v>
      </c>
    </row>
    <row r="1351" spans="2:36">
      <c r="B1351" s="290">
        <v>2111</v>
      </c>
      <c r="C1351" s="294">
        <v>27467</v>
      </c>
      <c r="D1351" s="290" t="s">
        <v>944</v>
      </c>
      <c r="E1351" s="289" t="s">
        <v>3638</v>
      </c>
      <c r="F1351" s="290">
        <v>12</v>
      </c>
      <c r="G1351" s="289"/>
      <c r="H1351" s="289"/>
      <c r="I1351" s="289"/>
      <c r="J1351" s="289">
        <v>0</v>
      </c>
      <c r="K1351" s="289" t="s">
        <v>3639</v>
      </c>
      <c r="L1351" s="289"/>
      <c r="M1351" s="289" t="s">
        <v>1659</v>
      </c>
      <c r="N1351" s="293">
        <v>38225</v>
      </c>
      <c r="O1351" s="293">
        <v>38225</v>
      </c>
      <c r="P1351" s="289">
        <v>42111006</v>
      </c>
      <c r="Q1351" s="290">
        <v>1200</v>
      </c>
      <c r="R1351" s="290">
        <v>14050</v>
      </c>
      <c r="S1351" s="291">
        <v>7259.14</v>
      </c>
      <c r="T1351" s="290">
        <v>14056</v>
      </c>
      <c r="U1351" s="291">
        <v>7259.14</v>
      </c>
      <c r="V1351" s="291">
        <f t="shared" si="20"/>
        <v>0</v>
      </c>
      <c r="W1351" s="292">
        <v>0</v>
      </c>
      <c r="X1351" s="290">
        <v>54260</v>
      </c>
      <c r="Y1351" s="291">
        <v>0</v>
      </c>
      <c r="Z1351" s="289" t="s">
        <v>944</v>
      </c>
      <c r="AA1351" s="289">
        <v>0</v>
      </c>
      <c r="AB1351" s="289">
        <v>150908</v>
      </c>
      <c r="AC1351" s="289"/>
      <c r="AD1351" s="289" t="s">
        <v>1446</v>
      </c>
      <c r="AE1351" s="289" t="s">
        <v>410</v>
      </c>
      <c r="AF1351" s="290" t="s">
        <v>1447</v>
      </c>
      <c r="AG1351" s="289"/>
      <c r="AH1351" s="290" t="s">
        <v>1448</v>
      </c>
      <c r="AI1351" s="289">
        <v>0</v>
      </c>
      <c r="AJ1351" s="289">
        <v>0</v>
      </c>
    </row>
    <row r="1352" spans="2:36">
      <c r="B1352" s="290">
        <v>2111</v>
      </c>
      <c r="C1352" s="294">
        <v>26946</v>
      </c>
      <c r="D1352" s="290"/>
      <c r="E1352" s="289" t="s">
        <v>3640</v>
      </c>
      <c r="F1352" s="290">
        <v>0</v>
      </c>
      <c r="G1352" s="289"/>
      <c r="H1352" s="289"/>
      <c r="I1352" s="289"/>
      <c r="J1352" s="289">
        <v>0</v>
      </c>
      <c r="K1352" s="289" t="s">
        <v>3515</v>
      </c>
      <c r="L1352" s="289"/>
      <c r="M1352" s="289"/>
      <c r="N1352" s="293">
        <v>38149</v>
      </c>
      <c r="O1352" s="293">
        <v>38149</v>
      </c>
      <c r="P1352" s="289" t="s">
        <v>3627</v>
      </c>
      <c r="Q1352" s="290">
        <v>300</v>
      </c>
      <c r="R1352" s="290">
        <v>14110</v>
      </c>
      <c r="S1352" s="291">
        <v>2115.35</v>
      </c>
      <c r="T1352" s="290">
        <v>14116</v>
      </c>
      <c r="U1352" s="291">
        <v>2115.35</v>
      </c>
      <c r="V1352" s="291">
        <f t="shared" si="20"/>
        <v>0</v>
      </c>
      <c r="W1352" s="292">
        <v>0</v>
      </c>
      <c r="X1352" s="290">
        <v>70260</v>
      </c>
      <c r="Y1352" s="291">
        <v>0</v>
      </c>
      <c r="Z1352" s="289" t="s">
        <v>944</v>
      </c>
      <c r="AA1352" s="289">
        <v>0</v>
      </c>
      <c r="AB1352" s="289">
        <v>7173</v>
      </c>
      <c r="AC1352" s="289"/>
      <c r="AD1352" s="289" t="s">
        <v>1446</v>
      </c>
      <c r="AE1352" s="289" t="s">
        <v>410</v>
      </c>
      <c r="AF1352" s="290" t="s">
        <v>1447</v>
      </c>
      <c r="AG1352" s="289"/>
      <c r="AH1352" s="290" t="s">
        <v>1448</v>
      </c>
      <c r="AI1352" s="289">
        <v>0</v>
      </c>
      <c r="AJ1352" s="289">
        <v>0</v>
      </c>
    </row>
    <row r="1353" spans="2:36">
      <c r="B1353" s="290">
        <v>2111</v>
      </c>
      <c r="C1353" s="294">
        <v>26945</v>
      </c>
      <c r="D1353" s="290"/>
      <c r="E1353" s="289" t="s">
        <v>3641</v>
      </c>
      <c r="F1353" s="290">
        <v>0</v>
      </c>
      <c r="G1353" s="289"/>
      <c r="H1353" s="289"/>
      <c r="I1353" s="289"/>
      <c r="J1353" s="289">
        <v>0</v>
      </c>
      <c r="K1353" s="289" t="s">
        <v>3515</v>
      </c>
      <c r="L1353" s="289"/>
      <c r="M1353" s="289"/>
      <c r="N1353" s="293">
        <v>38149</v>
      </c>
      <c r="O1353" s="293">
        <v>38149</v>
      </c>
      <c r="P1353" s="289" t="s">
        <v>3627</v>
      </c>
      <c r="Q1353" s="290">
        <v>300</v>
      </c>
      <c r="R1353" s="290">
        <v>14110</v>
      </c>
      <c r="S1353" s="291">
        <v>4200</v>
      </c>
      <c r="T1353" s="290">
        <v>14116</v>
      </c>
      <c r="U1353" s="291">
        <v>4200</v>
      </c>
      <c r="V1353" s="291">
        <f t="shared" si="20"/>
        <v>0</v>
      </c>
      <c r="W1353" s="292">
        <v>0</v>
      </c>
      <c r="X1353" s="290">
        <v>70260</v>
      </c>
      <c r="Y1353" s="291">
        <v>0</v>
      </c>
      <c r="Z1353" s="289" t="s">
        <v>944</v>
      </c>
      <c r="AA1353" s="289">
        <v>0</v>
      </c>
      <c r="AB1353" s="289">
        <v>7172</v>
      </c>
      <c r="AC1353" s="289"/>
      <c r="AD1353" s="289" t="s">
        <v>1446</v>
      </c>
      <c r="AE1353" s="289" t="s">
        <v>410</v>
      </c>
      <c r="AF1353" s="290" t="s">
        <v>1447</v>
      </c>
      <c r="AG1353" s="289"/>
      <c r="AH1353" s="290" t="s">
        <v>1448</v>
      </c>
      <c r="AI1353" s="289">
        <v>0</v>
      </c>
      <c r="AJ1353" s="289">
        <v>0</v>
      </c>
    </row>
    <row r="1354" spans="2:36">
      <c r="B1354" s="290">
        <v>2111</v>
      </c>
      <c r="C1354" s="294">
        <v>26944</v>
      </c>
      <c r="D1354" s="290"/>
      <c r="E1354" s="289" t="s">
        <v>3642</v>
      </c>
      <c r="F1354" s="290">
        <v>0</v>
      </c>
      <c r="G1354" s="289"/>
      <c r="H1354" s="289"/>
      <c r="I1354" s="289"/>
      <c r="J1354" s="289">
        <v>0</v>
      </c>
      <c r="K1354" s="289" t="s">
        <v>3515</v>
      </c>
      <c r="L1354" s="289"/>
      <c r="M1354" s="289"/>
      <c r="N1354" s="293">
        <v>38149</v>
      </c>
      <c r="O1354" s="293">
        <v>38149</v>
      </c>
      <c r="P1354" s="289" t="s">
        <v>3627</v>
      </c>
      <c r="Q1354" s="290">
        <v>300</v>
      </c>
      <c r="R1354" s="290">
        <v>14110</v>
      </c>
      <c r="S1354" s="291">
        <v>4200</v>
      </c>
      <c r="T1354" s="290">
        <v>14116</v>
      </c>
      <c r="U1354" s="291">
        <v>4200</v>
      </c>
      <c r="V1354" s="291">
        <f t="shared" si="20"/>
        <v>0</v>
      </c>
      <c r="W1354" s="292">
        <v>0</v>
      </c>
      <c r="X1354" s="290">
        <v>70260</v>
      </c>
      <c r="Y1354" s="291">
        <v>0</v>
      </c>
      <c r="Z1354" s="289" t="s">
        <v>944</v>
      </c>
      <c r="AA1354" s="289">
        <v>0</v>
      </c>
      <c r="AB1354" s="289">
        <v>7171</v>
      </c>
      <c r="AC1354" s="289"/>
      <c r="AD1354" s="289" t="s">
        <v>1446</v>
      </c>
      <c r="AE1354" s="289" t="s">
        <v>410</v>
      </c>
      <c r="AF1354" s="290" t="s">
        <v>1447</v>
      </c>
      <c r="AG1354" s="289"/>
      <c r="AH1354" s="290" t="s">
        <v>1448</v>
      </c>
      <c r="AI1354" s="289">
        <v>0</v>
      </c>
      <c r="AJ1354" s="289">
        <v>0</v>
      </c>
    </row>
    <row r="1355" spans="2:36">
      <c r="B1355" s="290">
        <v>2111</v>
      </c>
      <c r="C1355" s="294">
        <v>26812</v>
      </c>
      <c r="D1355" s="290" t="s">
        <v>944</v>
      </c>
      <c r="E1355" s="289" t="s">
        <v>3643</v>
      </c>
      <c r="F1355" s="290">
        <v>3</v>
      </c>
      <c r="G1355" s="289"/>
      <c r="H1355" s="289"/>
      <c r="I1355" s="289"/>
      <c r="J1355" s="289">
        <v>0</v>
      </c>
      <c r="K1355" s="289" t="s">
        <v>3644</v>
      </c>
      <c r="L1355" s="289"/>
      <c r="M1355" s="289" t="s">
        <v>1664</v>
      </c>
      <c r="N1355" s="293">
        <v>38196</v>
      </c>
      <c r="O1355" s="293">
        <v>38196</v>
      </c>
      <c r="P1355" s="289">
        <v>42111006</v>
      </c>
      <c r="Q1355" s="290">
        <v>1200</v>
      </c>
      <c r="R1355" s="290">
        <v>14050</v>
      </c>
      <c r="S1355" s="291">
        <v>1870.27</v>
      </c>
      <c r="T1355" s="290">
        <v>14056</v>
      </c>
      <c r="U1355" s="291">
        <v>1870.27</v>
      </c>
      <c r="V1355" s="291">
        <f t="shared" si="20"/>
        <v>0</v>
      </c>
      <c r="W1355" s="292">
        <v>0</v>
      </c>
      <c r="X1355" s="290">
        <v>54260</v>
      </c>
      <c r="Y1355" s="291">
        <v>0</v>
      </c>
      <c r="Z1355" s="289" t="s">
        <v>944</v>
      </c>
      <c r="AA1355" s="289">
        <v>0</v>
      </c>
      <c r="AB1355" s="289">
        <v>150126</v>
      </c>
      <c r="AC1355" s="289"/>
      <c r="AD1355" s="289" t="s">
        <v>1446</v>
      </c>
      <c r="AE1355" s="289" t="s">
        <v>410</v>
      </c>
      <c r="AF1355" s="290" t="s">
        <v>1447</v>
      </c>
      <c r="AG1355" s="289"/>
      <c r="AH1355" s="290" t="s">
        <v>1448</v>
      </c>
      <c r="AI1355" s="289">
        <v>0</v>
      </c>
      <c r="AJ1355" s="289">
        <v>0</v>
      </c>
    </row>
    <row r="1356" spans="2:36">
      <c r="B1356" s="290">
        <v>2111</v>
      </c>
      <c r="C1356" s="294">
        <v>26298</v>
      </c>
      <c r="D1356" s="290" t="s">
        <v>944</v>
      </c>
      <c r="E1356" s="289" t="s">
        <v>3645</v>
      </c>
      <c r="F1356" s="290">
        <v>432</v>
      </c>
      <c r="G1356" s="289"/>
      <c r="H1356" s="289" t="s">
        <v>3646</v>
      </c>
      <c r="I1356" s="289"/>
      <c r="J1356" s="289">
        <v>0</v>
      </c>
      <c r="K1356" s="289" t="s">
        <v>2222</v>
      </c>
      <c r="L1356" s="289"/>
      <c r="M1356" s="289"/>
      <c r="N1356" s="293">
        <v>38170</v>
      </c>
      <c r="O1356" s="293">
        <v>38170</v>
      </c>
      <c r="P1356" s="289">
        <v>42111008</v>
      </c>
      <c r="Q1356" s="290">
        <v>700</v>
      </c>
      <c r="R1356" s="290">
        <v>14050</v>
      </c>
      <c r="S1356" s="291">
        <v>18213.12</v>
      </c>
      <c r="T1356" s="290">
        <v>14056</v>
      </c>
      <c r="U1356" s="291">
        <v>18213.12</v>
      </c>
      <c r="V1356" s="291">
        <f t="shared" si="20"/>
        <v>0</v>
      </c>
      <c r="W1356" s="292">
        <v>0</v>
      </c>
      <c r="X1356" s="290">
        <v>54260</v>
      </c>
      <c r="Y1356" s="291">
        <v>0</v>
      </c>
      <c r="Z1356" s="289" t="s">
        <v>944</v>
      </c>
      <c r="AA1356" s="289">
        <v>0</v>
      </c>
      <c r="AB1356" s="289" t="s">
        <v>3647</v>
      </c>
      <c r="AC1356" s="289"/>
      <c r="AD1356" s="289" t="s">
        <v>1446</v>
      </c>
      <c r="AE1356" s="289" t="s">
        <v>410</v>
      </c>
      <c r="AF1356" s="290" t="s">
        <v>1447</v>
      </c>
      <c r="AG1356" s="289"/>
      <c r="AH1356" s="290" t="s">
        <v>1448</v>
      </c>
      <c r="AI1356" s="289">
        <v>0</v>
      </c>
      <c r="AJ1356" s="289">
        <v>0</v>
      </c>
    </row>
    <row r="1357" spans="2:36">
      <c r="B1357" s="290">
        <v>2111</v>
      </c>
      <c r="C1357" s="294">
        <v>25766</v>
      </c>
      <c r="D1357" s="290">
        <v>25019</v>
      </c>
      <c r="E1357" s="289" t="s">
        <v>3648</v>
      </c>
      <c r="F1357" s="290">
        <v>0</v>
      </c>
      <c r="G1357" s="289"/>
      <c r="H1357" s="289" t="s">
        <v>3649</v>
      </c>
      <c r="I1357" s="289"/>
      <c r="J1357" s="289">
        <v>2004</v>
      </c>
      <c r="K1357" s="289"/>
      <c r="L1357" s="289"/>
      <c r="M1357" s="289" t="s">
        <v>1467</v>
      </c>
      <c r="N1357" s="293">
        <v>38107</v>
      </c>
      <c r="O1357" s="293">
        <v>38107</v>
      </c>
      <c r="P1357" s="289">
        <v>42111003</v>
      </c>
      <c r="Q1357" s="290">
        <v>1000</v>
      </c>
      <c r="R1357" s="290">
        <v>14040</v>
      </c>
      <c r="S1357" s="291">
        <v>32990.49</v>
      </c>
      <c r="T1357" s="290">
        <v>14046</v>
      </c>
      <c r="U1357" s="291">
        <v>32990.49</v>
      </c>
      <c r="V1357" s="291">
        <f t="shared" si="20"/>
        <v>0</v>
      </c>
      <c r="W1357" s="292">
        <v>0</v>
      </c>
      <c r="X1357" s="290">
        <v>51260</v>
      </c>
      <c r="Y1357" s="291">
        <v>0</v>
      </c>
      <c r="Z1357" s="289" t="s">
        <v>944</v>
      </c>
      <c r="AA1357" s="289">
        <v>0</v>
      </c>
      <c r="AB1357" s="289">
        <v>2400383</v>
      </c>
      <c r="AC1357" s="289"/>
      <c r="AD1357" s="289" t="s">
        <v>1446</v>
      </c>
      <c r="AE1357" s="289" t="s">
        <v>410</v>
      </c>
      <c r="AF1357" s="290" t="s">
        <v>1447</v>
      </c>
      <c r="AG1357" s="289"/>
      <c r="AH1357" s="290" t="s">
        <v>1448</v>
      </c>
      <c r="AI1357" s="289">
        <v>0</v>
      </c>
      <c r="AJ1357" s="289">
        <v>0</v>
      </c>
    </row>
    <row r="1358" spans="2:36">
      <c r="B1358" s="290">
        <v>2111</v>
      </c>
      <c r="C1358" s="294">
        <v>25765</v>
      </c>
      <c r="D1358" s="290">
        <v>25020</v>
      </c>
      <c r="E1358" s="289" t="s">
        <v>3648</v>
      </c>
      <c r="F1358" s="290">
        <v>0</v>
      </c>
      <c r="G1358" s="289"/>
      <c r="H1358" s="289" t="s">
        <v>3650</v>
      </c>
      <c r="I1358" s="289"/>
      <c r="J1358" s="289">
        <v>2004</v>
      </c>
      <c r="K1358" s="289"/>
      <c r="L1358" s="289"/>
      <c r="M1358" s="289" t="s">
        <v>1467</v>
      </c>
      <c r="N1358" s="293">
        <v>38107</v>
      </c>
      <c r="O1358" s="293">
        <v>38107</v>
      </c>
      <c r="P1358" s="289">
        <v>42111003</v>
      </c>
      <c r="Q1358" s="290">
        <v>1000</v>
      </c>
      <c r="R1358" s="290">
        <v>14040</v>
      </c>
      <c r="S1358" s="291">
        <v>32990.49</v>
      </c>
      <c r="T1358" s="290">
        <v>14046</v>
      </c>
      <c r="U1358" s="291">
        <v>32990.49</v>
      </c>
      <c r="V1358" s="291">
        <f t="shared" ref="V1358:V1421" si="21">S1358-U1358</f>
        <v>0</v>
      </c>
      <c r="W1358" s="292">
        <v>0</v>
      </c>
      <c r="X1358" s="290">
        <v>51260</v>
      </c>
      <c r="Y1358" s="291">
        <v>0</v>
      </c>
      <c r="Z1358" s="289" t="s">
        <v>944</v>
      </c>
      <c r="AA1358" s="289">
        <v>0</v>
      </c>
      <c r="AB1358" s="289">
        <v>2400382</v>
      </c>
      <c r="AC1358" s="289"/>
      <c r="AD1358" s="289" t="s">
        <v>1446</v>
      </c>
      <c r="AE1358" s="289" t="s">
        <v>410</v>
      </c>
      <c r="AF1358" s="290" t="s">
        <v>1447</v>
      </c>
      <c r="AG1358" s="289"/>
      <c r="AH1358" s="290" t="s">
        <v>1448</v>
      </c>
      <c r="AI1358" s="289">
        <v>0</v>
      </c>
      <c r="AJ1358" s="289">
        <v>0</v>
      </c>
    </row>
    <row r="1359" spans="2:36">
      <c r="B1359" s="290">
        <v>2111</v>
      </c>
      <c r="C1359" s="294">
        <v>25363</v>
      </c>
      <c r="D1359" s="290" t="s">
        <v>944</v>
      </c>
      <c r="E1359" s="289" t="s">
        <v>3651</v>
      </c>
      <c r="F1359" s="290">
        <v>0</v>
      </c>
      <c r="G1359" s="289"/>
      <c r="H1359" s="289" t="s">
        <v>3652</v>
      </c>
      <c r="I1359" s="289"/>
      <c r="J1359" s="289">
        <v>2005</v>
      </c>
      <c r="K1359" s="289" t="s">
        <v>2315</v>
      </c>
      <c r="L1359" s="289" t="s">
        <v>2316</v>
      </c>
      <c r="M1359" s="289" t="s">
        <v>1907</v>
      </c>
      <c r="N1359" s="293">
        <v>38133</v>
      </c>
      <c r="O1359" s="293">
        <v>38133</v>
      </c>
      <c r="P1359" s="289">
        <v>42111005</v>
      </c>
      <c r="Q1359" s="290">
        <v>1000</v>
      </c>
      <c r="R1359" s="290">
        <v>14040</v>
      </c>
      <c r="S1359" s="291">
        <v>86270.65</v>
      </c>
      <c r="T1359" s="290">
        <v>14046</v>
      </c>
      <c r="U1359" s="291">
        <v>86270.65</v>
      </c>
      <c r="V1359" s="291">
        <f t="shared" si="21"/>
        <v>0</v>
      </c>
      <c r="W1359" s="292">
        <v>0</v>
      </c>
      <c r="X1359" s="290">
        <v>51260</v>
      </c>
      <c r="Y1359" s="291">
        <v>0</v>
      </c>
      <c r="Z1359" s="289" t="s">
        <v>944</v>
      </c>
      <c r="AA1359" s="289">
        <v>0</v>
      </c>
      <c r="AB1359" s="289">
        <v>849859</v>
      </c>
      <c r="AC1359" s="289">
        <v>408</v>
      </c>
      <c r="AD1359" s="289" t="s">
        <v>1446</v>
      </c>
      <c r="AE1359" s="289" t="s">
        <v>410</v>
      </c>
      <c r="AF1359" s="290" t="s">
        <v>1447</v>
      </c>
      <c r="AG1359" s="289"/>
      <c r="AH1359" s="290" t="s">
        <v>1448</v>
      </c>
      <c r="AI1359" s="289">
        <v>0</v>
      </c>
      <c r="AJ1359" s="289">
        <v>0</v>
      </c>
    </row>
    <row r="1360" spans="2:36">
      <c r="B1360" s="290">
        <v>2111</v>
      </c>
      <c r="C1360" s="294">
        <v>25362</v>
      </c>
      <c r="D1360" s="290" t="s">
        <v>944</v>
      </c>
      <c r="E1360" s="289" t="s">
        <v>3653</v>
      </c>
      <c r="F1360" s="290">
        <v>0</v>
      </c>
      <c r="G1360" s="289"/>
      <c r="H1360" s="289" t="s">
        <v>3654</v>
      </c>
      <c r="I1360" s="289"/>
      <c r="J1360" s="289">
        <v>2004</v>
      </c>
      <c r="K1360" s="289" t="s">
        <v>1483</v>
      </c>
      <c r="L1360" s="289" t="s">
        <v>2316</v>
      </c>
      <c r="M1360" s="289" t="s">
        <v>1467</v>
      </c>
      <c r="N1360" s="293">
        <v>38156</v>
      </c>
      <c r="O1360" s="293">
        <v>38156</v>
      </c>
      <c r="P1360" s="289">
        <v>42111005</v>
      </c>
      <c r="Q1360" s="290">
        <v>1000</v>
      </c>
      <c r="R1360" s="290">
        <v>14040</v>
      </c>
      <c r="S1360" s="291">
        <v>32990.49</v>
      </c>
      <c r="T1360" s="290">
        <v>14046</v>
      </c>
      <c r="U1360" s="291">
        <v>32990.49</v>
      </c>
      <c r="V1360" s="291">
        <f t="shared" si="21"/>
        <v>0</v>
      </c>
      <c r="W1360" s="292">
        <v>0</v>
      </c>
      <c r="X1360" s="290">
        <v>51260</v>
      </c>
      <c r="Y1360" s="291">
        <v>0</v>
      </c>
      <c r="Z1360" s="289" t="s">
        <v>944</v>
      </c>
      <c r="AA1360" s="289">
        <v>0</v>
      </c>
      <c r="AB1360" s="289">
        <v>2400561</v>
      </c>
      <c r="AC1360" s="289"/>
      <c r="AD1360" s="289" t="s">
        <v>1446</v>
      </c>
      <c r="AE1360" s="289" t="s">
        <v>410</v>
      </c>
      <c r="AF1360" s="290" t="s">
        <v>1447</v>
      </c>
      <c r="AG1360" s="289"/>
      <c r="AH1360" s="290" t="s">
        <v>1448</v>
      </c>
      <c r="AI1360" s="289">
        <v>0</v>
      </c>
      <c r="AJ1360" s="289">
        <v>0</v>
      </c>
    </row>
    <row r="1361" spans="2:36">
      <c r="B1361" s="290">
        <v>2111</v>
      </c>
      <c r="C1361" s="294">
        <v>25020</v>
      </c>
      <c r="D1361" s="290" t="s">
        <v>944</v>
      </c>
      <c r="E1361" s="289" t="s">
        <v>3655</v>
      </c>
      <c r="F1361" s="290">
        <v>0</v>
      </c>
      <c r="G1361" s="289"/>
      <c r="H1361" s="289" t="s">
        <v>3650</v>
      </c>
      <c r="I1361" s="289"/>
      <c r="J1361" s="289">
        <v>2005</v>
      </c>
      <c r="K1361" s="289" t="s">
        <v>2315</v>
      </c>
      <c r="L1361" s="289" t="s">
        <v>2316</v>
      </c>
      <c r="M1361" s="289" t="s">
        <v>1907</v>
      </c>
      <c r="N1361" s="293">
        <v>38089</v>
      </c>
      <c r="O1361" s="293">
        <v>38089</v>
      </c>
      <c r="P1361" s="289">
        <v>42111003</v>
      </c>
      <c r="Q1361" s="290">
        <v>1000</v>
      </c>
      <c r="R1361" s="290">
        <v>14040</v>
      </c>
      <c r="S1361" s="291">
        <v>86998.71</v>
      </c>
      <c r="T1361" s="290">
        <v>14046</v>
      </c>
      <c r="U1361" s="291">
        <v>86998.71</v>
      </c>
      <c r="V1361" s="291">
        <f t="shared" si="21"/>
        <v>0</v>
      </c>
      <c r="W1361" s="292">
        <v>0</v>
      </c>
      <c r="X1361" s="290">
        <v>51260</v>
      </c>
      <c r="Y1361" s="291">
        <v>0</v>
      </c>
      <c r="Z1361" s="289" t="s">
        <v>944</v>
      </c>
      <c r="AA1361" s="289">
        <v>0</v>
      </c>
      <c r="AB1361" s="289">
        <v>842219</v>
      </c>
      <c r="AC1361" s="289">
        <v>406</v>
      </c>
      <c r="AD1361" s="289" t="s">
        <v>1446</v>
      </c>
      <c r="AE1361" s="289" t="s">
        <v>410</v>
      </c>
      <c r="AF1361" s="290" t="s">
        <v>1447</v>
      </c>
      <c r="AG1361" s="289"/>
      <c r="AH1361" s="290" t="s">
        <v>1448</v>
      </c>
      <c r="AI1361" s="289">
        <v>0</v>
      </c>
      <c r="AJ1361" s="289">
        <v>0</v>
      </c>
    </row>
    <row r="1362" spans="2:36">
      <c r="B1362" s="290">
        <v>2111</v>
      </c>
      <c r="C1362" s="294">
        <v>25019</v>
      </c>
      <c r="D1362" s="290" t="s">
        <v>944</v>
      </c>
      <c r="E1362" s="289" t="s">
        <v>3655</v>
      </c>
      <c r="F1362" s="290">
        <v>0</v>
      </c>
      <c r="G1362" s="289"/>
      <c r="H1362" s="289" t="s">
        <v>3649</v>
      </c>
      <c r="I1362" s="289"/>
      <c r="J1362" s="289">
        <v>2005</v>
      </c>
      <c r="K1362" s="289" t="s">
        <v>2315</v>
      </c>
      <c r="L1362" s="289" t="s">
        <v>2316</v>
      </c>
      <c r="M1362" s="289" t="s">
        <v>1907</v>
      </c>
      <c r="N1362" s="293">
        <v>38089</v>
      </c>
      <c r="O1362" s="293">
        <v>38089</v>
      </c>
      <c r="P1362" s="289">
        <v>42111003</v>
      </c>
      <c r="Q1362" s="290">
        <v>1000</v>
      </c>
      <c r="R1362" s="290">
        <v>14040</v>
      </c>
      <c r="S1362" s="291">
        <v>86998.71</v>
      </c>
      <c r="T1362" s="290">
        <v>14046</v>
      </c>
      <c r="U1362" s="291">
        <v>86998.71</v>
      </c>
      <c r="V1362" s="291">
        <f t="shared" si="21"/>
        <v>0</v>
      </c>
      <c r="W1362" s="292">
        <v>0</v>
      </c>
      <c r="X1362" s="290">
        <v>51260</v>
      </c>
      <c r="Y1362" s="291">
        <v>0</v>
      </c>
      <c r="Z1362" s="289" t="s">
        <v>944</v>
      </c>
      <c r="AA1362" s="289">
        <v>0</v>
      </c>
      <c r="AB1362" s="289">
        <v>842218</v>
      </c>
      <c r="AC1362" s="289">
        <v>407</v>
      </c>
      <c r="AD1362" s="289" t="s">
        <v>1446</v>
      </c>
      <c r="AE1362" s="289" t="s">
        <v>410</v>
      </c>
      <c r="AF1362" s="290" t="s">
        <v>1447</v>
      </c>
      <c r="AG1362" s="289"/>
      <c r="AH1362" s="290" t="s">
        <v>1448</v>
      </c>
      <c r="AI1362" s="289">
        <v>0</v>
      </c>
      <c r="AJ1362" s="289">
        <v>0</v>
      </c>
    </row>
    <row r="1363" spans="2:36">
      <c r="B1363" s="290">
        <v>2111</v>
      </c>
      <c r="C1363" s="294">
        <v>24899</v>
      </c>
      <c r="D1363" s="290"/>
      <c r="E1363" s="289" t="s">
        <v>3656</v>
      </c>
      <c r="F1363" s="290">
        <v>0</v>
      </c>
      <c r="G1363" s="289"/>
      <c r="H1363" s="289"/>
      <c r="I1363" s="289"/>
      <c r="J1363" s="289">
        <v>0</v>
      </c>
      <c r="K1363" s="289" t="s">
        <v>2550</v>
      </c>
      <c r="L1363" s="289"/>
      <c r="M1363" s="289"/>
      <c r="N1363" s="293">
        <v>38069</v>
      </c>
      <c r="O1363" s="293">
        <v>38069</v>
      </c>
      <c r="P1363" s="289" t="s">
        <v>3627</v>
      </c>
      <c r="Q1363" s="290">
        <v>300</v>
      </c>
      <c r="R1363" s="290">
        <v>14110</v>
      </c>
      <c r="S1363" s="291">
        <v>3701</v>
      </c>
      <c r="T1363" s="290">
        <v>14116</v>
      </c>
      <c r="U1363" s="291">
        <v>3701</v>
      </c>
      <c r="V1363" s="291">
        <f t="shared" si="21"/>
        <v>0</v>
      </c>
      <c r="W1363" s="292">
        <v>0</v>
      </c>
      <c r="X1363" s="290">
        <v>70260</v>
      </c>
      <c r="Y1363" s="291">
        <v>0</v>
      </c>
      <c r="Z1363" s="289" t="s">
        <v>944</v>
      </c>
      <c r="AA1363" s="289">
        <v>0</v>
      </c>
      <c r="AB1363" s="289">
        <v>319010</v>
      </c>
      <c r="AC1363" s="289"/>
      <c r="AD1363" s="289" t="s">
        <v>1446</v>
      </c>
      <c r="AE1363" s="289" t="s">
        <v>410</v>
      </c>
      <c r="AF1363" s="290" t="s">
        <v>1447</v>
      </c>
      <c r="AG1363" s="289"/>
      <c r="AH1363" s="290" t="s">
        <v>1448</v>
      </c>
      <c r="AI1363" s="289">
        <v>0</v>
      </c>
      <c r="AJ1363" s="289">
        <v>0</v>
      </c>
    </row>
    <row r="1364" spans="2:36">
      <c r="B1364" s="290">
        <v>2111</v>
      </c>
      <c r="C1364" s="294">
        <v>24898</v>
      </c>
      <c r="D1364" s="290"/>
      <c r="E1364" s="289" t="s">
        <v>3657</v>
      </c>
      <c r="F1364" s="290">
        <v>0</v>
      </c>
      <c r="G1364" s="289"/>
      <c r="H1364" s="289"/>
      <c r="I1364" s="289"/>
      <c r="J1364" s="289">
        <v>0</v>
      </c>
      <c r="K1364" s="289" t="s">
        <v>2550</v>
      </c>
      <c r="L1364" s="289"/>
      <c r="M1364" s="289"/>
      <c r="N1364" s="293">
        <v>38061</v>
      </c>
      <c r="O1364" s="293">
        <v>38061</v>
      </c>
      <c r="P1364" s="289" t="s">
        <v>3627</v>
      </c>
      <c r="Q1364" s="290">
        <v>300</v>
      </c>
      <c r="R1364" s="290">
        <v>14110</v>
      </c>
      <c r="S1364" s="291">
        <v>1709.45</v>
      </c>
      <c r="T1364" s="290">
        <v>14116</v>
      </c>
      <c r="U1364" s="291">
        <v>1709.45</v>
      </c>
      <c r="V1364" s="291">
        <f t="shared" si="21"/>
        <v>0</v>
      </c>
      <c r="W1364" s="292">
        <v>0</v>
      </c>
      <c r="X1364" s="290">
        <v>70260</v>
      </c>
      <c r="Y1364" s="291">
        <v>0</v>
      </c>
      <c r="Z1364" s="289" t="s">
        <v>944</v>
      </c>
      <c r="AA1364" s="289">
        <v>0</v>
      </c>
      <c r="AB1364" s="289">
        <v>318679</v>
      </c>
      <c r="AC1364" s="289"/>
      <c r="AD1364" s="289" t="s">
        <v>1446</v>
      </c>
      <c r="AE1364" s="289" t="s">
        <v>410</v>
      </c>
      <c r="AF1364" s="290" t="s">
        <v>1447</v>
      </c>
      <c r="AG1364" s="289"/>
      <c r="AH1364" s="290" t="s">
        <v>1448</v>
      </c>
      <c r="AI1364" s="289">
        <v>0</v>
      </c>
      <c r="AJ1364" s="289">
        <v>0</v>
      </c>
    </row>
    <row r="1365" spans="2:36">
      <c r="B1365" s="290">
        <v>2111</v>
      </c>
      <c r="C1365" s="294">
        <v>24897</v>
      </c>
      <c r="D1365" s="290"/>
      <c r="E1365" s="289" t="s">
        <v>3657</v>
      </c>
      <c r="F1365" s="290">
        <v>0</v>
      </c>
      <c r="G1365" s="289"/>
      <c r="H1365" s="289"/>
      <c r="I1365" s="289"/>
      <c r="J1365" s="289">
        <v>0</v>
      </c>
      <c r="K1365" s="289" t="s">
        <v>2550</v>
      </c>
      <c r="L1365" s="289"/>
      <c r="M1365" s="289"/>
      <c r="N1365" s="293">
        <v>38051</v>
      </c>
      <c r="O1365" s="293">
        <v>38051</v>
      </c>
      <c r="P1365" s="289" t="s">
        <v>3627</v>
      </c>
      <c r="Q1365" s="290">
        <v>300</v>
      </c>
      <c r="R1365" s="290">
        <v>14110</v>
      </c>
      <c r="S1365" s="291">
        <v>1867</v>
      </c>
      <c r="T1365" s="290">
        <v>14116</v>
      </c>
      <c r="U1365" s="291">
        <v>1867</v>
      </c>
      <c r="V1365" s="291">
        <f t="shared" si="21"/>
        <v>0</v>
      </c>
      <c r="W1365" s="292">
        <v>0</v>
      </c>
      <c r="X1365" s="290">
        <v>70260</v>
      </c>
      <c r="Y1365" s="291">
        <v>0</v>
      </c>
      <c r="Z1365" s="289" t="s">
        <v>944</v>
      </c>
      <c r="AA1365" s="289">
        <v>0</v>
      </c>
      <c r="AB1365" s="289">
        <v>318448</v>
      </c>
      <c r="AC1365" s="289"/>
      <c r="AD1365" s="289" t="s">
        <v>1446</v>
      </c>
      <c r="AE1365" s="289" t="s">
        <v>410</v>
      </c>
      <c r="AF1365" s="290" t="s">
        <v>1447</v>
      </c>
      <c r="AG1365" s="289"/>
      <c r="AH1365" s="290" t="s">
        <v>1448</v>
      </c>
      <c r="AI1365" s="289">
        <v>0</v>
      </c>
      <c r="AJ1365" s="289">
        <v>0</v>
      </c>
    </row>
    <row r="1366" spans="2:36">
      <c r="B1366" s="290">
        <v>2111</v>
      </c>
      <c r="C1366" s="294">
        <v>24896</v>
      </c>
      <c r="D1366" s="290"/>
      <c r="E1366" s="289" t="s">
        <v>3657</v>
      </c>
      <c r="F1366" s="290">
        <v>0</v>
      </c>
      <c r="G1366" s="289"/>
      <c r="H1366" s="289"/>
      <c r="I1366" s="289"/>
      <c r="J1366" s="289">
        <v>0</v>
      </c>
      <c r="K1366" s="289" t="s">
        <v>2550</v>
      </c>
      <c r="L1366" s="289"/>
      <c r="M1366" s="289"/>
      <c r="N1366" s="293">
        <v>38042</v>
      </c>
      <c r="O1366" s="293">
        <v>38042</v>
      </c>
      <c r="P1366" s="289" t="s">
        <v>3627</v>
      </c>
      <c r="Q1366" s="290">
        <v>300</v>
      </c>
      <c r="R1366" s="290">
        <v>14110</v>
      </c>
      <c r="S1366" s="291">
        <v>3562.41</v>
      </c>
      <c r="T1366" s="290">
        <v>14116</v>
      </c>
      <c r="U1366" s="291">
        <v>3562.41</v>
      </c>
      <c r="V1366" s="291">
        <f t="shared" si="21"/>
        <v>0</v>
      </c>
      <c r="W1366" s="292">
        <v>0</v>
      </c>
      <c r="X1366" s="290">
        <v>70260</v>
      </c>
      <c r="Y1366" s="291">
        <v>0</v>
      </c>
      <c r="Z1366" s="289" t="s">
        <v>944</v>
      </c>
      <c r="AA1366" s="289">
        <v>0</v>
      </c>
      <c r="AB1366" s="289">
        <v>318163</v>
      </c>
      <c r="AC1366" s="289"/>
      <c r="AD1366" s="289" t="s">
        <v>1446</v>
      </c>
      <c r="AE1366" s="289" t="s">
        <v>410</v>
      </c>
      <c r="AF1366" s="290" t="s">
        <v>1447</v>
      </c>
      <c r="AG1366" s="289"/>
      <c r="AH1366" s="290" t="s">
        <v>1448</v>
      </c>
      <c r="AI1366" s="289">
        <v>0</v>
      </c>
      <c r="AJ1366" s="289">
        <v>0</v>
      </c>
    </row>
    <row r="1367" spans="2:36">
      <c r="B1367" s="290">
        <v>2111</v>
      </c>
      <c r="C1367" s="294">
        <v>24895</v>
      </c>
      <c r="D1367" s="290"/>
      <c r="E1367" s="289" t="s">
        <v>3657</v>
      </c>
      <c r="F1367" s="290">
        <v>0</v>
      </c>
      <c r="G1367" s="289"/>
      <c r="H1367" s="289"/>
      <c r="I1367" s="289"/>
      <c r="J1367" s="289">
        <v>0</v>
      </c>
      <c r="K1367" s="289" t="s">
        <v>3658</v>
      </c>
      <c r="L1367" s="289"/>
      <c r="M1367" s="289"/>
      <c r="N1367" s="293">
        <v>38068</v>
      </c>
      <c r="O1367" s="293">
        <v>38068</v>
      </c>
      <c r="P1367" s="289" t="s">
        <v>3627</v>
      </c>
      <c r="Q1367" s="290">
        <v>300</v>
      </c>
      <c r="R1367" s="290">
        <v>14110</v>
      </c>
      <c r="S1367" s="291">
        <v>1287.6099999999999</v>
      </c>
      <c r="T1367" s="290">
        <v>14116</v>
      </c>
      <c r="U1367" s="291">
        <v>1287.6099999999999</v>
      </c>
      <c r="V1367" s="291">
        <f t="shared" si="21"/>
        <v>0</v>
      </c>
      <c r="W1367" s="292">
        <v>0</v>
      </c>
      <c r="X1367" s="290">
        <v>70260</v>
      </c>
      <c r="Y1367" s="291">
        <v>0</v>
      </c>
      <c r="Z1367" s="289" t="s">
        <v>944</v>
      </c>
      <c r="AA1367" s="289">
        <v>0</v>
      </c>
      <c r="AB1367" s="289">
        <v>2377</v>
      </c>
      <c r="AC1367" s="289"/>
      <c r="AD1367" s="289" t="s">
        <v>1446</v>
      </c>
      <c r="AE1367" s="289" t="s">
        <v>410</v>
      </c>
      <c r="AF1367" s="290" t="s">
        <v>1447</v>
      </c>
      <c r="AG1367" s="289"/>
      <c r="AH1367" s="290" t="s">
        <v>1448</v>
      </c>
      <c r="AI1367" s="289">
        <v>0</v>
      </c>
      <c r="AJ1367" s="289">
        <v>0</v>
      </c>
    </row>
    <row r="1368" spans="2:36">
      <c r="B1368" s="290">
        <v>2111</v>
      </c>
      <c r="C1368" s="294">
        <v>24894</v>
      </c>
      <c r="D1368" s="290"/>
      <c r="E1368" s="289" t="s">
        <v>3657</v>
      </c>
      <c r="F1368" s="290">
        <v>0</v>
      </c>
      <c r="G1368" s="289"/>
      <c r="H1368" s="289"/>
      <c r="I1368" s="289"/>
      <c r="J1368" s="289">
        <v>0</v>
      </c>
      <c r="K1368" s="289" t="s">
        <v>3515</v>
      </c>
      <c r="L1368" s="289"/>
      <c r="M1368" s="289"/>
      <c r="N1368" s="293">
        <v>38077</v>
      </c>
      <c r="O1368" s="293">
        <v>38077</v>
      </c>
      <c r="P1368" s="289" t="s">
        <v>3627</v>
      </c>
      <c r="Q1368" s="290">
        <v>300</v>
      </c>
      <c r="R1368" s="290">
        <v>14110</v>
      </c>
      <c r="S1368" s="291">
        <v>21300</v>
      </c>
      <c r="T1368" s="290">
        <v>14116</v>
      </c>
      <c r="U1368" s="291">
        <v>21300</v>
      </c>
      <c r="V1368" s="291">
        <f t="shared" si="21"/>
        <v>0</v>
      </c>
      <c r="W1368" s="292">
        <v>0</v>
      </c>
      <c r="X1368" s="290">
        <v>70260</v>
      </c>
      <c r="Y1368" s="291">
        <v>0</v>
      </c>
      <c r="Z1368" s="289" t="s">
        <v>944</v>
      </c>
      <c r="AA1368" s="289">
        <v>0</v>
      </c>
      <c r="AB1368" s="289">
        <v>7027</v>
      </c>
      <c r="AC1368" s="289"/>
      <c r="AD1368" s="289" t="s">
        <v>1446</v>
      </c>
      <c r="AE1368" s="289" t="s">
        <v>410</v>
      </c>
      <c r="AF1368" s="290" t="s">
        <v>1447</v>
      </c>
      <c r="AG1368" s="289"/>
      <c r="AH1368" s="290" t="s">
        <v>1448</v>
      </c>
      <c r="AI1368" s="289">
        <v>0</v>
      </c>
      <c r="AJ1368" s="289">
        <v>0</v>
      </c>
    </row>
    <row r="1369" spans="2:36">
      <c r="B1369" s="290">
        <v>2111</v>
      </c>
      <c r="C1369" s="294">
        <v>24185</v>
      </c>
      <c r="D1369" s="290"/>
      <c r="E1369" s="289" t="s">
        <v>3659</v>
      </c>
      <c r="F1369" s="290">
        <v>0</v>
      </c>
      <c r="G1369" s="289"/>
      <c r="H1369" s="289"/>
      <c r="I1369" s="289"/>
      <c r="J1369" s="289">
        <v>0</v>
      </c>
      <c r="K1369" s="289" t="s">
        <v>3660</v>
      </c>
      <c r="L1369" s="289"/>
      <c r="M1369" s="289"/>
      <c r="N1369" s="293">
        <v>38019</v>
      </c>
      <c r="O1369" s="293">
        <v>38019</v>
      </c>
      <c r="P1369" s="289" t="s">
        <v>3661</v>
      </c>
      <c r="Q1369" s="290">
        <v>500</v>
      </c>
      <c r="R1369" s="290">
        <v>14080</v>
      </c>
      <c r="S1369" s="291">
        <v>5190.8500000000004</v>
      </c>
      <c r="T1369" s="290">
        <v>14086</v>
      </c>
      <c r="U1369" s="291">
        <v>5190.8500000000004</v>
      </c>
      <c r="V1369" s="291">
        <f t="shared" si="21"/>
        <v>0</v>
      </c>
      <c r="W1369" s="292">
        <v>0</v>
      </c>
      <c r="X1369" s="290">
        <v>57260</v>
      </c>
      <c r="Y1369" s="291">
        <v>0</v>
      </c>
      <c r="Z1369" s="289" t="s">
        <v>410</v>
      </c>
      <c r="AA1369" s="289">
        <v>0</v>
      </c>
      <c r="AB1369" s="289" t="s">
        <v>3662</v>
      </c>
      <c r="AC1369" s="289"/>
      <c r="AD1369" s="289" t="s">
        <v>1446</v>
      </c>
      <c r="AE1369" s="289" t="s">
        <v>410</v>
      </c>
      <c r="AF1369" s="290" t="s">
        <v>1447</v>
      </c>
      <c r="AG1369" s="289"/>
      <c r="AH1369" s="290" t="s">
        <v>1448</v>
      </c>
      <c r="AI1369" s="289">
        <v>0</v>
      </c>
      <c r="AJ1369" s="289">
        <v>0</v>
      </c>
    </row>
    <row r="1370" spans="2:36">
      <c r="B1370" s="290">
        <v>2111</v>
      </c>
      <c r="C1370" s="294">
        <v>23479</v>
      </c>
      <c r="D1370" s="290"/>
      <c r="E1370" s="289" t="s">
        <v>3663</v>
      </c>
      <c r="F1370" s="290">
        <v>0</v>
      </c>
      <c r="G1370" s="289"/>
      <c r="H1370" s="289"/>
      <c r="I1370" s="289"/>
      <c r="J1370" s="289">
        <v>0</v>
      </c>
      <c r="K1370" s="289" t="s">
        <v>3664</v>
      </c>
      <c r="L1370" s="289"/>
      <c r="M1370" s="289"/>
      <c r="N1370" s="293">
        <v>37999</v>
      </c>
      <c r="O1370" s="293">
        <v>37999</v>
      </c>
      <c r="P1370" s="289" t="s">
        <v>3665</v>
      </c>
      <c r="Q1370" s="290">
        <v>2000</v>
      </c>
      <c r="R1370" s="290">
        <v>14080</v>
      </c>
      <c r="S1370" s="291">
        <v>5000</v>
      </c>
      <c r="T1370" s="290">
        <v>14086</v>
      </c>
      <c r="U1370" s="291">
        <v>4645.83</v>
      </c>
      <c r="V1370" s="291">
        <f t="shared" si="21"/>
        <v>354.17000000000007</v>
      </c>
      <c r="W1370" s="292">
        <v>145.83000000000001</v>
      </c>
      <c r="X1370" s="290">
        <v>57260</v>
      </c>
      <c r="Y1370" s="291">
        <v>20.83</v>
      </c>
      <c r="Z1370" s="289" t="s">
        <v>944</v>
      </c>
      <c r="AA1370" s="289"/>
      <c r="AB1370" s="289" t="s">
        <v>3666</v>
      </c>
      <c r="AC1370" s="289"/>
      <c r="AD1370" s="289" t="s">
        <v>1446</v>
      </c>
      <c r="AE1370" s="289" t="s">
        <v>410</v>
      </c>
      <c r="AF1370" s="290" t="s">
        <v>1447</v>
      </c>
      <c r="AG1370" s="289"/>
      <c r="AH1370" s="290" t="s">
        <v>1448</v>
      </c>
      <c r="AI1370" s="289">
        <v>0</v>
      </c>
      <c r="AJ1370" s="289">
        <v>0</v>
      </c>
    </row>
    <row r="1371" spans="2:36">
      <c r="B1371" s="290">
        <v>2111</v>
      </c>
      <c r="C1371" s="294">
        <v>23476</v>
      </c>
      <c r="D1371" s="290"/>
      <c r="E1371" s="289" t="s">
        <v>3667</v>
      </c>
      <c r="F1371" s="290">
        <v>0</v>
      </c>
      <c r="G1371" s="289"/>
      <c r="H1371" s="289"/>
      <c r="I1371" s="289"/>
      <c r="J1371" s="289">
        <v>0</v>
      </c>
      <c r="K1371" s="289" t="s">
        <v>3668</v>
      </c>
      <c r="L1371" s="289"/>
      <c r="M1371" s="289"/>
      <c r="N1371" s="293">
        <v>38017</v>
      </c>
      <c r="O1371" s="293">
        <v>38017</v>
      </c>
      <c r="P1371" s="289" t="s">
        <v>3669</v>
      </c>
      <c r="Q1371" s="290">
        <v>2000</v>
      </c>
      <c r="R1371" s="290">
        <v>14080</v>
      </c>
      <c r="S1371" s="291">
        <v>15000</v>
      </c>
      <c r="T1371" s="290">
        <v>14086</v>
      </c>
      <c r="U1371" s="291">
        <v>13875.16</v>
      </c>
      <c r="V1371" s="291">
        <f t="shared" si="21"/>
        <v>1124.8400000000001</v>
      </c>
      <c r="W1371" s="292">
        <v>437.5</v>
      </c>
      <c r="X1371" s="290">
        <v>57260</v>
      </c>
      <c r="Y1371" s="291">
        <v>62.5</v>
      </c>
      <c r="Z1371" s="289" t="s">
        <v>944</v>
      </c>
      <c r="AA1371" s="289"/>
      <c r="AB1371" s="289" t="s">
        <v>3670</v>
      </c>
      <c r="AC1371" s="289"/>
      <c r="AD1371" s="289" t="s">
        <v>1446</v>
      </c>
      <c r="AE1371" s="289" t="s">
        <v>410</v>
      </c>
      <c r="AF1371" s="290" t="s">
        <v>1447</v>
      </c>
      <c r="AG1371" s="289"/>
      <c r="AH1371" s="290" t="s">
        <v>1448</v>
      </c>
      <c r="AI1371" s="289">
        <v>0</v>
      </c>
      <c r="AJ1371" s="289">
        <v>0</v>
      </c>
    </row>
    <row r="1372" spans="2:36">
      <c r="B1372" s="290">
        <v>2111</v>
      </c>
      <c r="C1372" s="294">
        <v>22937</v>
      </c>
      <c r="D1372" s="290" t="s">
        <v>944</v>
      </c>
      <c r="E1372" s="289" t="s">
        <v>3671</v>
      </c>
      <c r="F1372" s="290">
        <v>10</v>
      </c>
      <c r="G1372" s="289"/>
      <c r="H1372" s="289"/>
      <c r="I1372" s="289"/>
      <c r="J1372" s="289">
        <v>0</v>
      </c>
      <c r="K1372" s="289" t="s">
        <v>2539</v>
      </c>
      <c r="L1372" s="289"/>
      <c r="M1372" s="289" t="s">
        <v>1665</v>
      </c>
      <c r="N1372" s="293">
        <v>37986</v>
      </c>
      <c r="O1372" s="293">
        <v>37986</v>
      </c>
      <c r="P1372" s="289" t="s">
        <v>3672</v>
      </c>
      <c r="Q1372" s="290">
        <v>1200</v>
      </c>
      <c r="R1372" s="290">
        <v>14050</v>
      </c>
      <c r="S1372" s="291">
        <v>3452.58</v>
      </c>
      <c r="T1372" s="290">
        <v>14056</v>
      </c>
      <c r="U1372" s="291">
        <v>3452.58</v>
      </c>
      <c r="V1372" s="291">
        <f t="shared" si="21"/>
        <v>0</v>
      </c>
      <c r="W1372" s="292">
        <v>0</v>
      </c>
      <c r="X1372" s="290">
        <v>54260</v>
      </c>
      <c r="Y1372" s="291">
        <v>0</v>
      </c>
      <c r="Z1372" s="289" t="s">
        <v>944</v>
      </c>
      <c r="AA1372" s="289"/>
      <c r="AB1372" s="289">
        <v>1901</v>
      </c>
      <c r="AC1372" s="289"/>
      <c r="AD1372" s="289" t="s">
        <v>1446</v>
      </c>
      <c r="AE1372" s="289" t="s">
        <v>410</v>
      </c>
      <c r="AF1372" s="290" t="s">
        <v>1447</v>
      </c>
      <c r="AG1372" s="289"/>
      <c r="AH1372" s="290" t="s">
        <v>1448</v>
      </c>
      <c r="AI1372" s="289">
        <v>0</v>
      </c>
      <c r="AJ1372" s="289">
        <v>0</v>
      </c>
    </row>
    <row r="1373" spans="2:36">
      <c r="B1373" s="290">
        <v>2111</v>
      </c>
      <c r="C1373" s="294">
        <v>22936</v>
      </c>
      <c r="D1373" s="290" t="s">
        <v>944</v>
      </c>
      <c r="E1373" s="289" t="s">
        <v>3157</v>
      </c>
      <c r="F1373" s="290">
        <v>12</v>
      </c>
      <c r="G1373" s="289"/>
      <c r="H1373" s="289"/>
      <c r="I1373" s="289"/>
      <c r="J1373" s="289">
        <v>0</v>
      </c>
      <c r="K1373" s="289" t="s">
        <v>2539</v>
      </c>
      <c r="L1373" s="289"/>
      <c r="M1373" s="289" t="s">
        <v>1659</v>
      </c>
      <c r="N1373" s="293">
        <v>37986</v>
      </c>
      <c r="O1373" s="293">
        <v>37986</v>
      </c>
      <c r="P1373" s="289" t="s">
        <v>3673</v>
      </c>
      <c r="Q1373" s="290">
        <v>1200</v>
      </c>
      <c r="R1373" s="290">
        <v>14050</v>
      </c>
      <c r="S1373" s="291">
        <v>4454.2700000000004</v>
      </c>
      <c r="T1373" s="290">
        <v>14056</v>
      </c>
      <c r="U1373" s="291">
        <v>4454.2700000000004</v>
      </c>
      <c r="V1373" s="291">
        <f t="shared" si="21"/>
        <v>0</v>
      </c>
      <c r="W1373" s="292">
        <v>0</v>
      </c>
      <c r="X1373" s="290">
        <v>54260</v>
      </c>
      <c r="Y1373" s="291">
        <v>0</v>
      </c>
      <c r="Z1373" s="289" t="s">
        <v>944</v>
      </c>
      <c r="AA1373" s="289"/>
      <c r="AB1373" s="289">
        <v>1901</v>
      </c>
      <c r="AC1373" s="289"/>
      <c r="AD1373" s="289" t="s">
        <v>1446</v>
      </c>
      <c r="AE1373" s="289" t="s">
        <v>410</v>
      </c>
      <c r="AF1373" s="290" t="s">
        <v>1447</v>
      </c>
      <c r="AG1373" s="289"/>
      <c r="AH1373" s="290" t="s">
        <v>1448</v>
      </c>
      <c r="AI1373" s="289">
        <v>2</v>
      </c>
      <c r="AJ1373" s="289">
        <v>0</v>
      </c>
    </row>
    <row r="1374" spans="2:36">
      <c r="B1374" s="290">
        <v>2111</v>
      </c>
      <c r="C1374" s="294">
        <v>22935</v>
      </c>
      <c r="D1374" s="290" t="s">
        <v>944</v>
      </c>
      <c r="E1374" s="289" t="s">
        <v>3674</v>
      </c>
      <c r="F1374" s="290">
        <v>10</v>
      </c>
      <c r="G1374" s="289"/>
      <c r="H1374" s="289"/>
      <c r="I1374" s="289"/>
      <c r="J1374" s="289">
        <v>0</v>
      </c>
      <c r="K1374" s="289" t="s">
        <v>2539</v>
      </c>
      <c r="L1374" s="289"/>
      <c r="M1374" s="289" t="s">
        <v>1664</v>
      </c>
      <c r="N1374" s="293">
        <v>37986</v>
      </c>
      <c r="O1374" s="293">
        <v>37986</v>
      </c>
      <c r="P1374" s="289" t="s">
        <v>3675</v>
      </c>
      <c r="Q1374" s="290">
        <v>1200</v>
      </c>
      <c r="R1374" s="290">
        <v>14050</v>
      </c>
      <c r="S1374" s="291">
        <v>4769.07</v>
      </c>
      <c r="T1374" s="290">
        <v>14056</v>
      </c>
      <c r="U1374" s="291">
        <v>4769.07</v>
      </c>
      <c r="V1374" s="291">
        <f t="shared" si="21"/>
        <v>0</v>
      </c>
      <c r="W1374" s="292">
        <v>0</v>
      </c>
      <c r="X1374" s="290">
        <v>54260</v>
      </c>
      <c r="Y1374" s="291">
        <v>0</v>
      </c>
      <c r="Z1374" s="289" t="s">
        <v>944</v>
      </c>
      <c r="AA1374" s="289"/>
      <c r="AB1374" s="289">
        <v>1901</v>
      </c>
      <c r="AC1374" s="289"/>
      <c r="AD1374" s="289" t="s">
        <v>1446</v>
      </c>
      <c r="AE1374" s="289" t="s">
        <v>410</v>
      </c>
      <c r="AF1374" s="290" t="s">
        <v>1447</v>
      </c>
      <c r="AG1374" s="289"/>
      <c r="AH1374" s="290" t="s">
        <v>1448</v>
      </c>
      <c r="AI1374" s="289">
        <v>0</v>
      </c>
      <c r="AJ1374" s="289">
        <v>0</v>
      </c>
    </row>
    <row r="1375" spans="2:36">
      <c r="B1375" s="290">
        <v>2111</v>
      </c>
      <c r="C1375" s="294">
        <v>22869</v>
      </c>
      <c r="D1375" s="290"/>
      <c r="E1375" s="289" t="s">
        <v>3676</v>
      </c>
      <c r="F1375" s="290">
        <v>0</v>
      </c>
      <c r="G1375" s="289"/>
      <c r="H1375" s="289"/>
      <c r="I1375" s="289"/>
      <c r="J1375" s="289">
        <v>0</v>
      </c>
      <c r="K1375" s="289"/>
      <c r="L1375" s="289"/>
      <c r="M1375" s="289"/>
      <c r="N1375" s="293">
        <v>37986</v>
      </c>
      <c r="O1375" s="293">
        <v>37986</v>
      </c>
      <c r="P1375" s="289" t="s">
        <v>3677</v>
      </c>
      <c r="Q1375" s="290">
        <v>2000</v>
      </c>
      <c r="R1375" s="290">
        <v>14080</v>
      </c>
      <c r="S1375" s="291">
        <v>2768.8</v>
      </c>
      <c r="T1375" s="290">
        <v>14086</v>
      </c>
      <c r="U1375" s="291">
        <v>2572.6799999999998</v>
      </c>
      <c r="V1375" s="291">
        <f t="shared" si="21"/>
        <v>196.12000000000035</v>
      </c>
      <c r="W1375" s="292">
        <v>80.760000000000005</v>
      </c>
      <c r="X1375" s="290">
        <v>57260</v>
      </c>
      <c r="Y1375" s="291">
        <v>11.54</v>
      </c>
      <c r="Z1375" s="289" t="s">
        <v>944</v>
      </c>
      <c r="AA1375" s="289"/>
      <c r="AB1375" s="289" t="s">
        <v>3678</v>
      </c>
      <c r="AC1375" s="289"/>
      <c r="AD1375" s="289" t="s">
        <v>1446</v>
      </c>
      <c r="AE1375" s="289" t="s">
        <v>410</v>
      </c>
      <c r="AF1375" s="290" t="s">
        <v>1447</v>
      </c>
      <c r="AG1375" s="289"/>
      <c r="AH1375" s="290" t="s">
        <v>1448</v>
      </c>
      <c r="AI1375" s="289">
        <v>0</v>
      </c>
      <c r="AJ1375" s="289">
        <v>0</v>
      </c>
    </row>
    <row r="1376" spans="2:36">
      <c r="B1376" s="290">
        <v>2111</v>
      </c>
      <c r="C1376" s="294">
        <v>22817</v>
      </c>
      <c r="D1376" s="290"/>
      <c r="E1376" s="289" t="s">
        <v>3679</v>
      </c>
      <c r="F1376" s="290">
        <v>0</v>
      </c>
      <c r="G1376" s="289"/>
      <c r="H1376" s="289"/>
      <c r="I1376" s="289"/>
      <c r="J1376" s="289">
        <v>0</v>
      </c>
      <c r="K1376" s="289"/>
      <c r="L1376" s="289"/>
      <c r="M1376" s="289"/>
      <c r="N1376" s="293">
        <v>37986</v>
      </c>
      <c r="O1376" s="293">
        <v>37986</v>
      </c>
      <c r="P1376" s="289" t="s">
        <v>3680</v>
      </c>
      <c r="Q1376" s="290">
        <v>2000</v>
      </c>
      <c r="R1376" s="290">
        <v>14080</v>
      </c>
      <c r="S1376" s="291">
        <v>5830</v>
      </c>
      <c r="T1376" s="290">
        <v>14086</v>
      </c>
      <c r="U1376" s="291">
        <v>5417.04</v>
      </c>
      <c r="V1376" s="291">
        <f t="shared" si="21"/>
        <v>412.96000000000004</v>
      </c>
      <c r="W1376" s="292">
        <v>170.04</v>
      </c>
      <c r="X1376" s="290">
        <v>57260</v>
      </c>
      <c r="Y1376" s="291">
        <v>24.29</v>
      </c>
      <c r="Z1376" s="289" t="s">
        <v>944</v>
      </c>
      <c r="AA1376" s="289"/>
      <c r="AB1376" s="289"/>
      <c r="AC1376" s="289"/>
      <c r="AD1376" s="289" t="s">
        <v>1446</v>
      </c>
      <c r="AE1376" s="289" t="s">
        <v>410</v>
      </c>
      <c r="AF1376" s="290" t="s">
        <v>1447</v>
      </c>
      <c r="AG1376" s="289"/>
      <c r="AH1376" s="290" t="s">
        <v>1448</v>
      </c>
      <c r="AI1376" s="289">
        <v>0</v>
      </c>
      <c r="AJ1376" s="289">
        <v>0</v>
      </c>
    </row>
    <row r="1377" spans="2:36">
      <c r="B1377" s="290">
        <v>2111</v>
      </c>
      <c r="C1377" s="294">
        <v>22540</v>
      </c>
      <c r="D1377" s="290"/>
      <c r="E1377" s="289" t="s">
        <v>3679</v>
      </c>
      <c r="F1377" s="290">
        <v>0</v>
      </c>
      <c r="G1377" s="289"/>
      <c r="H1377" s="289"/>
      <c r="I1377" s="289"/>
      <c r="J1377" s="289">
        <v>0</v>
      </c>
      <c r="K1377" s="289"/>
      <c r="L1377" s="289"/>
      <c r="M1377" s="289"/>
      <c r="N1377" s="293">
        <v>37986</v>
      </c>
      <c r="O1377" s="293">
        <v>37986</v>
      </c>
      <c r="P1377" s="289" t="s">
        <v>3681</v>
      </c>
      <c r="Q1377" s="290">
        <v>2000</v>
      </c>
      <c r="R1377" s="290">
        <v>14080</v>
      </c>
      <c r="S1377" s="291">
        <v>5830</v>
      </c>
      <c r="T1377" s="290">
        <v>14086</v>
      </c>
      <c r="U1377" s="291">
        <v>5417.04</v>
      </c>
      <c r="V1377" s="291">
        <f t="shared" si="21"/>
        <v>412.96000000000004</v>
      </c>
      <c r="W1377" s="292">
        <v>170.04</v>
      </c>
      <c r="X1377" s="290">
        <v>57260</v>
      </c>
      <c r="Y1377" s="291">
        <v>24.29</v>
      </c>
      <c r="Z1377" s="289" t="s">
        <v>944</v>
      </c>
      <c r="AA1377" s="289"/>
      <c r="AB1377" s="289"/>
      <c r="AC1377" s="289"/>
      <c r="AD1377" s="289" t="s">
        <v>1446</v>
      </c>
      <c r="AE1377" s="289" t="s">
        <v>410</v>
      </c>
      <c r="AF1377" s="290" t="s">
        <v>1447</v>
      </c>
      <c r="AG1377" s="289"/>
      <c r="AH1377" s="290" t="s">
        <v>1448</v>
      </c>
      <c r="AI1377" s="289">
        <v>0</v>
      </c>
      <c r="AJ1377" s="289">
        <v>0</v>
      </c>
    </row>
    <row r="1378" spans="2:36">
      <c r="B1378" s="290">
        <v>2111</v>
      </c>
      <c r="C1378" s="294">
        <v>22314</v>
      </c>
      <c r="D1378" s="290"/>
      <c r="E1378" s="289" t="s">
        <v>3679</v>
      </c>
      <c r="F1378" s="290">
        <v>0</v>
      </c>
      <c r="G1378" s="289"/>
      <c r="H1378" s="289"/>
      <c r="I1378" s="289"/>
      <c r="J1378" s="289">
        <v>0</v>
      </c>
      <c r="K1378" s="289"/>
      <c r="L1378" s="289"/>
      <c r="M1378" s="289"/>
      <c r="N1378" s="293">
        <v>37986</v>
      </c>
      <c r="O1378" s="293">
        <v>37986</v>
      </c>
      <c r="P1378" s="289" t="s">
        <v>3681</v>
      </c>
      <c r="Q1378" s="290">
        <v>700</v>
      </c>
      <c r="R1378" s="290">
        <v>14080</v>
      </c>
      <c r="S1378" s="291">
        <v>5830</v>
      </c>
      <c r="T1378" s="290">
        <v>14086</v>
      </c>
      <c r="U1378" s="291">
        <v>5830</v>
      </c>
      <c r="V1378" s="291">
        <f t="shared" si="21"/>
        <v>0</v>
      </c>
      <c r="W1378" s="292">
        <v>0</v>
      </c>
      <c r="X1378" s="290">
        <v>57260</v>
      </c>
      <c r="Y1378" s="291">
        <v>0</v>
      </c>
      <c r="Z1378" s="289" t="s">
        <v>944</v>
      </c>
      <c r="AA1378" s="289"/>
      <c r="AB1378" s="289"/>
      <c r="AC1378" s="289"/>
      <c r="AD1378" s="289" t="s">
        <v>1446</v>
      </c>
      <c r="AE1378" s="289" t="s">
        <v>410</v>
      </c>
      <c r="AF1378" s="290" t="s">
        <v>1447</v>
      </c>
      <c r="AG1378" s="289"/>
      <c r="AH1378" s="290" t="s">
        <v>1448</v>
      </c>
      <c r="AI1378" s="289">
        <v>0</v>
      </c>
      <c r="AJ1378" s="289">
        <v>0</v>
      </c>
    </row>
    <row r="1379" spans="2:36">
      <c r="B1379" s="290">
        <v>2111</v>
      </c>
      <c r="C1379" s="294">
        <v>21064</v>
      </c>
      <c r="D1379" s="290"/>
      <c r="E1379" s="289" t="s">
        <v>3679</v>
      </c>
      <c r="F1379" s="290">
        <v>0</v>
      </c>
      <c r="G1379" s="289"/>
      <c r="H1379" s="289"/>
      <c r="I1379" s="289"/>
      <c r="J1379" s="289">
        <v>0</v>
      </c>
      <c r="K1379" s="289"/>
      <c r="L1379" s="289"/>
      <c r="M1379" s="289"/>
      <c r="N1379" s="293">
        <v>37894</v>
      </c>
      <c r="O1379" s="293">
        <v>37894</v>
      </c>
      <c r="P1379" s="289" t="s">
        <v>3681</v>
      </c>
      <c r="Q1379" s="290">
        <v>2000</v>
      </c>
      <c r="R1379" s="290">
        <v>14080</v>
      </c>
      <c r="S1379" s="291">
        <v>5830</v>
      </c>
      <c r="T1379" s="290">
        <v>14086</v>
      </c>
      <c r="U1379" s="291">
        <v>5480.74</v>
      </c>
      <c r="V1379" s="291">
        <f t="shared" si="21"/>
        <v>349.26000000000022</v>
      </c>
      <c r="W1379" s="292">
        <v>188.06</v>
      </c>
      <c r="X1379" s="290">
        <v>57260</v>
      </c>
      <c r="Y1379" s="291">
        <v>26.86</v>
      </c>
      <c r="Z1379" s="289" t="s">
        <v>12</v>
      </c>
      <c r="AA1379" s="289"/>
      <c r="AB1379" s="289"/>
      <c r="AC1379" s="289"/>
      <c r="AD1379" s="289" t="s">
        <v>1446</v>
      </c>
      <c r="AE1379" s="289" t="s">
        <v>410</v>
      </c>
      <c r="AF1379" s="290" t="s">
        <v>3626</v>
      </c>
      <c r="AG1379" s="295">
        <v>38564</v>
      </c>
      <c r="AH1379" s="290" t="s">
        <v>1448</v>
      </c>
      <c r="AI1379" s="289">
        <v>0</v>
      </c>
      <c r="AJ1379" s="289">
        <v>0</v>
      </c>
    </row>
    <row r="1380" spans="2:36">
      <c r="B1380" s="290">
        <v>2111</v>
      </c>
      <c r="C1380" s="294">
        <v>20883</v>
      </c>
      <c r="D1380" s="290" t="s">
        <v>944</v>
      </c>
      <c r="E1380" s="289" t="s">
        <v>3682</v>
      </c>
      <c r="F1380" s="290">
        <v>6</v>
      </c>
      <c r="G1380" s="289"/>
      <c r="H1380" s="289"/>
      <c r="I1380" s="289"/>
      <c r="J1380" s="289">
        <v>0</v>
      </c>
      <c r="K1380" s="289" t="s">
        <v>2539</v>
      </c>
      <c r="L1380" s="289"/>
      <c r="M1380" s="289" t="s">
        <v>1667</v>
      </c>
      <c r="N1380" s="293">
        <v>37864</v>
      </c>
      <c r="O1380" s="293">
        <v>37864</v>
      </c>
      <c r="P1380" s="289" t="s">
        <v>3683</v>
      </c>
      <c r="Q1380" s="290">
        <v>1200</v>
      </c>
      <c r="R1380" s="290">
        <v>14050</v>
      </c>
      <c r="S1380" s="291">
        <v>20816.64</v>
      </c>
      <c r="T1380" s="290">
        <v>14056</v>
      </c>
      <c r="U1380" s="291">
        <v>20816.64</v>
      </c>
      <c r="V1380" s="291">
        <f t="shared" si="21"/>
        <v>0</v>
      </c>
      <c r="W1380" s="292">
        <v>0</v>
      </c>
      <c r="X1380" s="290">
        <v>54260</v>
      </c>
      <c r="Y1380" s="291">
        <v>0</v>
      </c>
      <c r="Z1380" s="289" t="s">
        <v>944</v>
      </c>
      <c r="AA1380" s="289"/>
      <c r="AB1380" s="289">
        <v>1787</v>
      </c>
      <c r="AC1380" s="289"/>
      <c r="AD1380" s="289" t="s">
        <v>1446</v>
      </c>
      <c r="AE1380" s="289" t="s">
        <v>410</v>
      </c>
      <c r="AF1380" s="290" t="s">
        <v>1447</v>
      </c>
      <c r="AG1380" s="289"/>
      <c r="AH1380" s="290" t="s">
        <v>1448</v>
      </c>
      <c r="AI1380" s="289">
        <v>0</v>
      </c>
      <c r="AJ1380" s="289">
        <v>0</v>
      </c>
    </row>
    <row r="1381" spans="2:36">
      <c r="B1381" s="290">
        <v>2111</v>
      </c>
      <c r="C1381" s="294">
        <v>20646</v>
      </c>
      <c r="D1381" s="290"/>
      <c r="E1381" s="289" t="s">
        <v>3684</v>
      </c>
      <c r="F1381" s="290">
        <v>0</v>
      </c>
      <c r="G1381" s="289"/>
      <c r="H1381" s="289"/>
      <c r="I1381" s="289"/>
      <c r="J1381" s="289">
        <v>0</v>
      </c>
      <c r="K1381" s="289" t="s">
        <v>3685</v>
      </c>
      <c r="L1381" s="289"/>
      <c r="M1381" s="289"/>
      <c r="N1381" s="293">
        <v>37864</v>
      </c>
      <c r="O1381" s="293">
        <v>37864</v>
      </c>
      <c r="P1381" s="289" t="s">
        <v>3681</v>
      </c>
      <c r="Q1381" s="290">
        <v>2000</v>
      </c>
      <c r="R1381" s="290">
        <v>14080</v>
      </c>
      <c r="S1381" s="291">
        <v>2810.49</v>
      </c>
      <c r="T1381" s="290">
        <v>14086</v>
      </c>
      <c r="U1381" s="291">
        <v>2658.37</v>
      </c>
      <c r="V1381" s="291">
        <f t="shared" si="21"/>
        <v>152.11999999999989</v>
      </c>
      <c r="W1381" s="292">
        <v>81.98</v>
      </c>
      <c r="X1381" s="290">
        <v>57260</v>
      </c>
      <c r="Y1381" s="291">
        <v>11.71</v>
      </c>
      <c r="Z1381" s="289" t="s">
        <v>944</v>
      </c>
      <c r="AA1381" s="289"/>
      <c r="AB1381" s="289"/>
      <c r="AC1381" s="289"/>
      <c r="AD1381" s="289" t="s">
        <v>1446</v>
      </c>
      <c r="AE1381" s="289" t="s">
        <v>410</v>
      </c>
      <c r="AF1381" s="290" t="s">
        <v>1447</v>
      </c>
      <c r="AG1381" s="289"/>
      <c r="AH1381" s="290" t="s">
        <v>1448</v>
      </c>
      <c r="AI1381" s="289">
        <v>0</v>
      </c>
      <c r="AJ1381" s="289">
        <v>0</v>
      </c>
    </row>
    <row r="1382" spans="2:36">
      <c r="B1382" s="290">
        <v>2111</v>
      </c>
      <c r="C1382" s="294">
        <v>20545</v>
      </c>
      <c r="D1382" s="290"/>
      <c r="E1382" s="289" t="s">
        <v>3686</v>
      </c>
      <c r="F1382" s="290">
        <v>0</v>
      </c>
      <c r="G1382" s="289"/>
      <c r="H1382" s="289"/>
      <c r="I1382" s="289"/>
      <c r="J1382" s="289">
        <v>0</v>
      </c>
      <c r="K1382" s="289" t="s">
        <v>3685</v>
      </c>
      <c r="L1382" s="289"/>
      <c r="M1382" s="289"/>
      <c r="N1382" s="293">
        <v>37833</v>
      </c>
      <c r="O1382" s="293">
        <v>37833</v>
      </c>
      <c r="P1382" s="289" t="s">
        <v>3681</v>
      </c>
      <c r="Q1382" s="290">
        <v>2000</v>
      </c>
      <c r="R1382" s="290">
        <v>14080</v>
      </c>
      <c r="S1382" s="291">
        <v>5830</v>
      </c>
      <c r="T1382" s="290">
        <v>14086</v>
      </c>
      <c r="U1382" s="291">
        <v>5531.72</v>
      </c>
      <c r="V1382" s="291">
        <f t="shared" si="21"/>
        <v>298.27999999999975</v>
      </c>
      <c r="W1382" s="292">
        <v>189.81</v>
      </c>
      <c r="X1382" s="290">
        <v>57260</v>
      </c>
      <c r="Y1382" s="291">
        <v>27.11</v>
      </c>
      <c r="Z1382" s="289" t="s">
        <v>944</v>
      </c>
      <c r="AA1382" s="289"/>
      <c r="AB1382" s="289"/>
      <c r="AC1382" s="289"/>
      <c r="AD1382" s="289" t="s">
        <v>1446</v>
      </c>
      <c r="AE1382" s="289" t="s">
        <v>410</v>
      </c>
      <c r="AF1382" s="290" t="s">
        <v>3626</v>
      </c>
      <c r="AG1382" s="295">
        <v>38564</v>
      </c>
      <c r="AH1382" s="290" t="s">
        <v>1448</v>
      </c>
      <c r="AI1382" s="289">
        <v>0</v>
      </c>
      <c r="AJ1382" s="289">
        <v>0</v>
      </c>
    </row>
    <row r="1383" spans="2:36">
      <c r="B1383" s="290">
        <v>2111</v>
      </c>
      <c r="C1383" s="294">
        <v>20544</v>
      </c>
      <c r="D1383" s="290"/>
      <c r="E1383" s="289" t="s">
        <v>3686</v>
      </c>
      <c r="F1383" s="290">
        <v>0</v>
      </c>
      <c r="G1383" s="289"/>
      <c r="H1383" s="289"/>
      <c r="I1383" s="289"/>
      <c r="J1383" s="289">
        <v>0</v>
      </c>
      <c r="K1383" s="289" t="s">
        <v>3685</v>
      </c>
      <c r="L1383" s="289"/>
      <c r="M1383" s="289"/>
      <c r="N1383" s="293">
        <v>37802</v>
      </c>
      <c r="O1383" s="293">
        <v>37802</v>
      </c>
      <c r="P1383" s="289" t="s">
        <v>3681</v>
      </c>
      <c r="Q1383" s="290">
        <v>2000</v>
      </c>
      <c r="R1383" s="290">
        <v>14080</v>
      </c>
      <c r="S1383" s="291">
        <v>5830</v>
      </c>
      <c r="T1383" s="290">
        <v>14086</v>
      </c>
      <c r="U1383" s="291">
        <v>5557.57</v>
      </c>
      <c r="V1383" s="291">
        <f t="shared" si="21"/>
        <v>272.43000000000029</v>
      </c>
      <c r="W1383" s="292">
        <v>190.7</v>
      </c>
      <c r="X1383" s="290">
        <v>57260</v>
      </c>
      <c r="Y1383" s="291">
        <v>27.24</v>
      </c>
      <c r="Z1383" s="289" t="s">
        <v>944</v>
      </c>
      <c r="AA1383" s="289"/>
      <c r="AB1383" s="289"/>
      <c r="AC1383" s="289"/>
      <c r="AD1383" s="289" t="s">
        <v>1446</v>
      </c>
      <c r="AE1383" s="289" t="s">
        <v>410</v>
      </c>
      <c r="AF1383" s="290" t="s">
        <v>3626</v>
      </c>
      <c r="AG1383" s="295">
        <v>38564</v>
      </c>
      <c r="AH1383" s="290" t="s">
        <v>1448</v>
      </c>
      <c r="AI1383" s="289">
        <v>0</v>
      </c>
      <c r="AJ1383" s="289">
        <v>0</v>
      </c>
    </row>
    <row r="1384" spans="2:36">
      <c r="B1384" s="290">
        <v>2111</v>
      </c>
      <c r="C1384" s="294">
        <v>19974</v>
      </c>
      <c r="D1384" s="290"/>
      <c r="E1384" s="289" t="s">
        <v>3687</v>
      </c>
      <c r="F1384" s="290">
        <v>0</v>
      </c>
      <c r="G1384" s="289"/>
      <c r="H1384" s="289"/>
      <c r="I1384" s="289"/>
      <c r="J1384" s="289">
        <v>0</v>
      </c>
      <c r="K1384" s="289" t="s">
        <v>3688</v>
      </c>
      <c r="L1384" s="289"/>
      <c r="M1384" s="289"/>
      <c r="N1384" s="293">
        <v>37802</v>
      </c>
      <c r="O1384" s="293">
        <v>37802</v>
      </c>
      <c r="P1384" s="289" t="s">
        <v>3681</v>
      </c>
      <c r="Q1384" s="290">
        <v>2000</v>
      </c>
      <c r="R1384" s="290">
        <v>14080</v>
      </c>
      <c r="S1384" s="291">
        <v>3443</v>
      </c>
      <c r="T1384" s="290">
        <v>14086</v>
      </c>
      <c r="U1384" s="291">
        <v>3285.25</v>
      </c>
      <c r="V1384" s="291">
        <f t="shared" si="21"/>
        <v>157.75</v>
      </c>
      <c r="W1384" s="292">
        <v>100.42</v>
      </c>
      <c r="X1384" s="290">
        <v>57260</v>
      </c>
      <c r="Y1384" s="291">
        <v>14.34</v>
      </c>
      <c r="Z1384" s="289" t="s">
        <v>944</v>
      </c>
      <c r="AA1384" s="289"/>
      <c r="AB1384" s="289" t="s">
        <v>3689</v>
      </c>
      <c r="AC1384" s="289"/>
      <c r="AD1384" s="289" t="s">
        <v>1446</v>
      </c>
      <c r="AE1384" s="289" t="s">
        <v>410</v>
      </c>
      <c r="AF1384" s="290" t="s">
        <v>1447</v>
      </c>
      <c r="AG1384" s="289"/>
      <c r="AH1384" s="290" t="s">
        <v>1448</v>
      </c>
      <c r="AI1384" s="289">
        <v>0</v>
      </c>
      <c r="AJ1384" s="289">
        <v>0</v>
      </c>
    </row>
    <row r="1385" spans="2:36">
      <c r="B1385" s="290">
        <v>2111</v>
      </c>
      <c r="C1385" s="294">
        <v>19960</v>
      </c>
      <c r="D1385" s="290" t="s">
        <v>944</v>
      </c>
      <c r="E1385" s="289" t="s">
        <v>3690</v>
      </c>
      <c r="F1385" s="290">
        <v>1296</v>
      </c>
      <c r="G1385" s="289"/>
      <c r="H1385" s="289" t="s">
        <v>3691</v>
      </c>
      <c r="I1385" s="289"/>
      <c r="J1385" s="289">
        <v>0</v>
      </c>
      <c r="K1385" s="289" t="s">
        <v>2560</v>
      </c>
      <c r="L1385" s="289"/>
      <c r="M1385" s="289"/>
      <c r="N1385" s="293">
        <v>37802</v>
      </c>
      <c r="O1385" s="293">
        <v>37802</v>
      </c>
      <c r="P1385" s="289" t="s">
        <v>3692</v>
      </c>
      <c r="Q1385" s="290">
        <v>700</v>
      </c>
      <c r="R1385" s="290">
        <v>14050</v>
      </c>
      <c r="S1385" s="291">
        <v>58417.83</v>
      </c>
      <c r="T1385" s="290">
        <v>14056</v>
      </c>
      <c r="U1385" s="291">
        <v>58417.83</v>
      </c>
      <c r="V1385" s="291">
        <f t="shared" si="21"/>
        <v>0</v>
      </c>
      <c r="W1385" s="292">
        <v>0</v>
      </c>
      <c r="X1385" s="290">
        <v>54260</v>
      </c>
      <c r="Y1385" s="291">
        <v>0</v>
      </c>
      <c r="Z1385" s="289" t="s">
        <v>944</v>
      </c>
      <c r="AA1385" s="289"/>
      <c r="AB1385" s="289"/>
      <c r="AC1385" s="289"/>
      <c r="AD1385" s="289" t="s">
        <v>1446</v>
      </c>
      <c r="AE1385" s="289" t="s">
        <v>410</v>
      </c>
      <c r="AF1385" s="290" t="s">
        <v>1447</v>
      </c>
      <c r="AG1385" s="289"/>
      <c r="AH1385" s="290" t="s">
        <v>1448</v>
      </c>
      <c r="AI1385" s="289">
        <v>0</v>
      </c>
      <c r="AJ1385" s="289">
        <v>0</v>
      </c>
    </row>
    <row r="1386" spans="2:36">
      <c r="B1386" s="290">
        <v>2111</v>
      </c>
      <c r="C1386" s="294">
        <v>19647</v>
      </c>
      <c r="D1386" s="290" t="s">
        <v>944</v>
      </c>
      <c r="E1386" s="289" t="s">
        <v>1277</v>
      </c>
      <c r="F1386" s="290">
        <v>0</v>
      </c>
      <c r="G1386" s="289"/>
      <c r="H1386" s="289" t="s">
        <v>3693</v>
      </c>
      <c r="I1386" s="289"/>
      <c r="J1386" s="289">
        <v>2003</v>
      </c>
      <c r="K1386" s="289" t="s">
        <v>2378</v>
      </c>
      <c r="L1386" s="289" t="s">
        <v>1522</v>
      </c>
      <c r="M1386" s="289" t="s">
        <v>1746</v>
      </c>
      <c r="N1386" s="293">
        <v>37712</v>
      </c>
      <c r="O1386" s="293">
        <v>37652</v>
      </c>
      <c r="P1386" s="289" t="s">
        <v>3694</v>
      </c>
      <c r="Q1386" s="290">
        <v>1000</v>
      </c>
      <c r="R1386" s="290">
        <v>14040</v>
      </c>
      <c r="S1386" s="291">
        <v>123452.02</v>
      </c>
      <c r="T1386" s="290">
        <v>14046</v>
      </c>
      <c r="U1386" s="291">
        <v>123452.02</v>
      </c>
      <c r="V1386" s="291">
        <f t="shared" si="21"/>
        <v>0</v>
      </c>
      <c r="W1386" s="292">
        <v>0</v>
      </c>
      <c r="X1386" s="290">
        <v>51260</v>
      </c>
      <c r="Y1386" s="291">
        <v>0</v>
      </c>
      <c r="Z1386" s="289" t="s">
        <v>944</v>
      </c>
      <c r="AA1386" s="289"/>
      <c r="AB1386" s="289">
        <v>342451</v>
      </c>
      <c r="AC1386" s="289">
        <v>606</v>
      </c>
      <c r="AD1386" s="289" t="s">
        <v>1446</v>
      </c>
      <c r="AE1386" s="289" t="s">
        <v>410</v>
      </c>
      <c r="AF1386" s="290" t="s">
        <v>1447</v>
      </c>
      <c r="AG1386" s="289"/>
      <c r="AH1386" s="290" t="s">
        <v>1448</v>
      </c>
      <c r="AI1386" s="289">
        <v>0</v>
      </c>
      <c r="AJ1386" s="289">
        <v>0</v>
      </c>
    </row>
    <row r="1387" spans="2:36">
      <c r="B1387" s="290">
        <v>2111</v>
      </c>
      <c r="C1387" s="294">
        <v>19427</v>
      </c>
      <c r="D1387" s="290"/>
      <c r="E1387" s="289" t="s">
        <v>3695</v>
      </c>
      <c r="F1387" s="290">
        <v>0</v>
      </c>
      <c r="G1387" s="289"/>
      <c r="H1387" s="289"/>
      <c r="I1387" s="289"/>
      <c r="J1387" s="289">
        <v>0</v>
      </c>
      <c r="K1387" s="289" t="s">
        <v>3696</v>
      </c>
      <c r="L1387" s="289"/>
      <c r="M1387" s="289"/>
      <c r="N1387" s="293">
        <v>37772</v>
      </c>
      <c r="O1387" s="293">
        <v>37772</v>
      </c>
      <c r="P1387" s="289" t="s">
        <v>3681</v>
      </c>
      <c r="Q1387" s="290">
        <v>2000</v>
      </c>
      <c r="R1387" s="290">
        <v>14080</v>
      </c>
      <c r="S1387" s="291">
        <v>2955.23</v>
      </c>
      <c r="T1387" s="290">
        <v>14086</v>
      </c>
      <c r="U1387" s="291">
        <v>2831.9</v>
      </c>
      <c r="V1387" s="291">
        <f t="shared" si="21"/>
        <v>123.32999999999993</v>
      </c>
      <c r="W1387" s="292">
        <v>86.19</v>
      </c>
      <c r="X1387" s="290">
        <v>57260</v>
      </c>
      <c r="Y1387" s="291">
        <v>12.31</v>
      </c>
      <c r="Z1387" s="289" t="s">
        <v>944</v>
      </c>
      <c r="AA1387" s="289"/>
      <c r="AB1387" s="289">
        <v>5173</v>
      </c>
      <c r="AC1387" s="289"/>
      <c r="AD1387" s="289" t="s">
        <v>1446</v>
      </c>
      <c r="AE1387" s="289" t="s">
        <v>410</v>
      </c>
      <c r="AF1387" s="290" t="s">
        <v>1447</v>
      </c>
      <c r="AG1387" s="289"/>
      <c r="AH1387" s="290" t="s">
        <v>1448</v>
      </c>
      <c r="AI1387" s="289">
        <v>0</v>
      </c>
      <c r="AJ1387" s="289">
        <v>0</v>
      </c>
    </row>
    <row r="1388" spans="2:36">
      <c r="B1388" s="290">
        <v>2111</v>
      </c>
      <c r="C1388" s="294">
        <v>19426</v>
      </c>
      <c r="D1388" s="290"/>
      <c r="E1388" s="289" t="s">
        <v>3697</v>
      </c>
      <c r="F1388" s="290">
        <v>0</v>
      </c>
      <c r="G1388" s="289"/>
      <c r="H1388" s="289"/>
      <c r="I1388" s="289"/>
      <c r="J1388" s="289">
        <v>0</v>
      </c>
      <c r="K1388" s="289" t="s">
        <v>3698</v>
      </c>
      <c r="L1388" s="289"/>
      <c r="M1388" s="289"/>
      <c r="N1388" s="293">
        <v>37756</v>
      </c>
      <c r="O1388" s="293">
        <v>37756</v>
      </c>
      <c r="P1388" s="289" t="s">
        <v>3681</v>
      </c>
      <c r="Q1388" s="290">
        <v>2000</v>
      </c>
      <c r="R1388" s="290">
        <v>14080</v>
      </c>
      <c r="S1388" s="291">
        <v>40733.519999999997</v>
      </c>
      <c r="T1388" s="290">
        <v>14086</v>
      </c>
      <c r="U1388" s="291">
        <v>39206.080000000002</v>
      </c>
      <c r="V1388" s="291">
        <f t="shared" si="21"/>
        <v>1527.4399999999951</v>
      </c>
      <c r="W1388" s="292">
        <v>1188.06</v>
      </c>
      <c r="X1388" s="290">
        <v>57260</v>
      </c>
      <c r="Y1388" s="291">
        <v>169.72</v>
      </c>
      <c r="Z1388" s="289" t="s">
        <v>944</v>
      </c>
      <c r="AA1388" s="289"/>
      <c r="AB1388" s="289"/>
      <c r="AC1388" s="289"/>
      <c r="AD1388" s="289" t="s">
        <v>1446</v>
      </c>
      <c r="AE1388" s="289" t="s">
        <v>410</v>
      </c>
      <c r="AF1388" s="290" t="s">
        <v>1447</v>
      </c>
      <c r="AG1388" s="289"/>
      <c r="AH1388" s="290" t="s">
        <v>1448</v>
      </c>
      <c r="AI1388" s="289">
        <v>0</v>
      </c>
      <c r="AJ1388" s="289">
        <v>0</v>
      </c>
    </row>
    <row r="1389" spans="2:36">
      <c r="B1389" s="290">
        <v>2111</v>
      </c>
      <c r="C1389" s="294">
        <v>19280</v>
      </c>
      <c r="D1389" s="290"/>
      <c r="E1389" s="289" t="s">
        <v>3699</v>
      </c>
      <c r="F1389" s="290">
        <v>0</v>
      </c>
      <c r="G1389" s="289"/>
      <c r="H1389" s="289"/>
      <c r="I1389" s="289"/>
      <c r="J1389" s="289">
        <v>0</v>
      </c>
      <c r="K1389" s="289" t="s">
        <v>3688</v>
      </c>
      <c r="L1389" s="289"/>
      <c r="M1389" s="289"/>
      <c r="N1389" s="293">
        <v>37741</v>
      </c>
      <c r="O1389" s="293">
        <v>37741</v>
      </c>
      <c r="P1389" s="289" t="s">
        <v>3681</v>
      </c>
      <c r="Q1389" s="290">
        <v>2000</v>
      </c>
      <c r="R1389" s="290">
        <v>14080</v>
      </c>
      <c r="S1389" s="291">
        <v>4000</v>
      </c>
      <c r="T1389" s="290">
        <v>14086</v>
      </c>
      <c r="U1389" s="291">
        <v>3850.01</v>
      </c>
      <c r="V1389" s="291">
        <f t="shared" si="21"/>
        <v>149.98999999999978</v>
      </c>
      <c r="W1389" s="292">
        <v>116.67</v>
      </c>
      <c r="X1389" s="290">
        <v>57260</v>
      </c>
      <c r="Y1389" s="291">
        <v>16.670000000000002</v>
      </c>
      <c r="Z1389" s="289" t="s">
        <v>944</v>
      </c>
      <c r="AA1389" s="289"/>
      <c r="AB1389" s="289" t="s">
        <v>3700</v>
      </c>
      <c r="AC1389" s="289"/>
      <c r="AD1389" s="289" t="s">
        <v>1446</v>
      </c>
      <c r="AE1389" s="289" t="s">
        <v>410</v>
      </c>
      <c r="AF1389" s="290" t="s">
        <v>1447</v>
      </c>
      <c r="AG1389" s="289"/>
      <c r="AH1389" s="290" t="s">
        <v>1448</v>
      </c>
      <c r="AI1389" s="289">
        <v>0</v>
      </c>
      <c r="AJ1389" s="289">
        <v>0</v>
      </c>
    </row>
    <row r="1390" spans="2:36">
      <c r="B1390" s="290">
        <v>2111</v>
      </c>
      <c r="C1390" s="294">
        <v>19270</v>
      </c>
      <c r="D1390" s="290" t="s">
        <v>944</v>
      </c>
      <c r="E1390" s="289" t="s">
        <v>2535</v>
      </c>
      <c r="F1390" s="290">
        <v>768</v>
      </c>
      <c r="G1390" s="289"/>
      <c r="H1390" s="289" t="s">
        <v>3701</v>
      </c>
      <c r="I1390" s="289"/>
      <c r="J1390" s="289">
        <v>0</v>
      </c>
      <c r="K1390" s="289" t="s">
        <v>2546</v>
      </c>
      <c r="L1390" s="289"/>
      <c r="M1390" s="289"/>
      <c r="N1390" s="293">
        <v>37711</v>
      </c>
      <c r="O1390" s="293">
        <v>37711</v>
      </c>
      <c r="P1390" s="289" t="s">
        <v>3702</v>
      </c>
      <c r="Q1390" s="290">
        <v>700</v>
      </c>
      <c r="R1390" s="290">
        <v>14050</v>
      </c>
      <c r="S1390" s="291">
        <v>33423.360000000001</v>
      </c>
      <c r="T1390" s="290">
        <v>14056</v>
      </c>
      <c r="U1390" s="291">
        <v>33423.360000000001</v>
      </c>
      <c r="V1390" s="291">
        <f t="shared" si="21"/>
        <v>0</v>
      </c>
      <c r="W1390" s="292">
        <v>0</v>
      </c>
      <c r="X1390" s="290">
        <v>54260</v>
      </c>
      <c r="Y1390" s="291">
        <v>0</v>
      </c>
      <c r="Z1390" s="289" t="s">
        <v>944</v>
      </c>
      <c r="AA1390" s="289"/>
      <c r="AB1390" s="289" t="s">
        <v>3703</v>
      </c>
      <c r="AC1390" s="289"/>
      <c r="AD1390" s="289" t="s">
        <v>1446</v>
      </c>
      <c r="AE1390" s="289" t="s">
        <v>410</v>
      </c>
      <c r="AF1390" s="290" t="s">
        <v>1447</v>
      </c>
      <c r="AG1390" s="289"/>
      <c r="AH1390" s="290" t="s">
        <v>1448</v>
      </c>
      <c r="AI1390" s="289">
        <v>0</v>
      </c>
      <c r="AJ1390" s="289">
        <v>0</v>
      </c>
    </row>
    <row r="1391" spans="2:36">
      <c r="B1391" s="290">
        <v>2111</v>
      </c>
      <c r="C1391" s="294">
        <v>19228</v>
      </c>
      <c r="D1391" s="290"/>
      <c r="E1391" s="289" t="s">
        <v>3704</v>
      </c>
      <c r="F1391" s="290">
        <v>0</v>
      </c>
      <c r="G1391" s="289"/>
      <c r="H1391" s="289"/>
      <c r="I1391" s="289"/>
      <c r="J1391" s="289">
        <v>0</v>
      </c>
      <c r="K1391" s="289" t="s">
        <v>3705</v>
      </c>
      <c r="L1391" s="289"/>
      <c r="M1391" s="289"/>
      <c r="N1391" s="293">
        <v>37741</v>
      </c>
      <c r="O1391" s="293">
        <v>37741</v>
      </c>
      <c r="P1391" s="289" t="s">
        <v>3706</v>
      </c>
      <c r="Q1391" s="290">
        <v>0</v>
      </c>
      <c r="R1391" s="290">
        <v>14000</v>
      </c>
      <c r="S1391" s="291">
        <v>178988.17</v>
      </c>
      <c r="T1391" s="290">
        <v>14016</v>
      </c>
      <c r="U1391" s="291">
        <v>0</v>
      </c>
      <c r="V1391" s="291">
        <f t="shared" si="21"/>
        <v>178988.17</v>
      </c>
      <c r="W1391" s="292">
        <v>0</v>
      </c>
      <c r="X1391" s="290">
        <v>57260</v>
      </c>
      <c r="Y1391" s="291">
        <v>0</v>
      </c>
      <c r="Z1391" s="289" t="s">
        <v>944</v>
      </c>
      <c r="AA1391" s="289"/>
      <c r="AB1391" s="289"/>
      <c r="AC1391" s="289"/>
      <c r="AD1391" s="289" t="s">
        <v>1446</v>
      </c>
      <c r="AE1391" s="289" t="s">
        <v>410</v>
      </c>
      <c r="AF1391" s="290" t="s">
        <v>1660</v>
      </c>
      <c r="AG1391" s="289"/>
      <c r="AH1391" s="290" t="s">
        <v>1448</v>
      </c>
      <c r="AI1391" s="289">
        <v>0</v>
      </c>
      <c r="AJ1391" s="289">
        <v>0</v>
      </c>
    </row>
    <row r="1392" spans="2:36">
      <c r="B1392" s="290">
        <v>2111</v>
      </c>
      <c r="C1392" s="294">
        <v>19079</v>
      </c>
      <c r="D1392" s="290"/>
      <c r="E1392" s="289" t="s">
        <v>3707</v>
      </c>
      <c r="F1392" s="290">
        <v>0</v>
      </c>
      <c r="G1392" s="289"/>
      <c r="H1392" s="289"/>
      <c r="I1392" s="289"/>
      <c r="J1392" s="289">
        <v>0</v>
      </c>
      <c r="K1392" s="289" t="s">
        <v>3696</v>
      </c>
      <c r="L1392" s="289"/>
      <c r="M1392" s="289"/>
      <c r="N1392" s="293">
        <v>37741</v>
      </c>
      <c r="O1392" s="293">
        <v>37741</v>
      </c>
      <c r="P1392" s="289" t="s">
        <v>3708</v>
      </c>
      <c r="Q1392" s="290">
        <v>2000</v>
      </c>
      <c r="R1392" s="290">
        <v>14080</v>
      </c>
      <c r="S1392" s="291">
        <v>3000</v>
      </c>
      <c r="T1392" s="290">
        <v>14086</v>
      </c>
      <c r="U1392" s="291">
        <v>2887.59</v>
      </c>
      <c r="V1392" s="291">
        <f t="shared" si="21"/>
        <v>112.40999999999985</v>
      </c>
      <c r="W1392" s="292">
        <v>87.5</v>
      </c>
      <c r="X1392" s="290">
        <v>57260</v>
      </c>
      <c r="Y1392" s="291">
        <v>12.5</v>
      </c>
      <c r="Z1392" s="289" t="s">
        <v>944</v>
      </c>
      <c r="AA1392" s="289"/>
      <c r="AB1392" s="289" t="s">
        <v>3700</v>
      </c>
      <c r="AC1392" s="289"/>
      <c r="AD1392" s="289" t="s">
        <v>1446</v>
      </c>
      <c r="AE1392" s="289" t="s">
        <v>410</v>
      </c>
      <c r="AF1392" s="290" t="s">
        <v>1447</v>
      </c>
      <c r="AG1392" s="289"/>
      <c r="AH1392" s="290" t="s">
        <v>1448</v>
      </c>
      <c r="AI1392" s="289">
        <v>0</v>
      </c>
      <c r="AJ1392" s="289">
        <v>0</v>
      </c>
    </row>
    <row r="1393" spans="2:36">
      <c r="B1393" s="290">
        <v>2111</v>
      </c>
      <c r="C1393" s="294">
        <v>18963</v>
      </c>
      <c r="D1393" s="290"/>
      <c r="E1393" s="289" t="s">
        <v>3709</v>
      </c>
      <c r="F1393" s="290">
        <v>0</v>
      </c>
      <c r="G1393" s="289"/>
      <c r="H1393" s="289"/>
      <c r="I1393" s="289"/>
      <c r="J1393" s="289">
        <v>0</v>
      </c>
      <c r="K1393" s="289"/>
      <c r="L1393" s="289"/>
      <c r="M1393" s="289"/>
      <c r="N1393" s="293">
        <v>37681</v>
      </c>
      <c r="O1393" s="293">
        <v>37681</v>
      </c>
      <c r="P1393" s="289" t="s">
        <v>3681</v>
      </c>
      <c r="Q1393" s="290">
        <v>2000</v>
      </c>
      <c r="R1393" s="290">
        <v>14080</v>
      </c>
      <c r="S1393" s="291">
        <v>2099.2800000000002</v>
      </c>
      <c r="T1393" s="290">
        <v>14086</v>
      </c>
      <c r="U1393" s="291">
        <v>2037.98</v>
      </c>
      <c r="V1393" s="291">
        <f t="shared" si="21"/>
        <v>61.300000000000182</v>
      </c>
      <c r="W1393" s="292">
        <v>61.23</v>
      </c>
      <c r="X1393" s="290">
        <v>57260</v>
      </c>
      <c r="Y1393" s="291">
        <v>8.75</v>
      </c>
      <c r="Z1393" s="289" t="s">
        <v>944</v>
      </c>
      <c r="AA1393" s="289"/>
      <c r="AB1393" s="289"/>
      <c r="AC1393" s="289"/>
      <c r="AD1393" s="289" t="s">
        <v>1446</v>
      </c>
      <c r="AE1393" s="289" t="s">
        <v>410</v>
      </c>
      <c r="AF1393" s="290" t="s">
        <v>1447</v>
      </c>
      <c r="AG1393" s="289"/>
      <c r="AH1393" s="290" t="s">
        <v>1448</v>
      </c>
      <c r="AI1393" s="289">
        <v>0</v>
      </c>
      <c r="AJ1393" s="289">
        <v>0</v>
      </c>
    </row>
    <row r="1394" spans="2:36">
      <c r="B1394" s="290">
        <v>2111</v>
      </c>
      <c r="C1394" s="294">
        <v>18953</v>
      </c>
      <c r="D1394" s="290" t="s">
        <v>944</v>
      </c>
      <c r="E1394" s="289" t="s">
        <v>3710</v>
      </c>
      <c r="F1394" s="290">
        <v>384</v>
      </c>
      <c r="G1394" s="289"/>
      <c r="H1394" s="289" t="s">
        <v>3711</v>
      </c>
      <c r="I1394" s="289"/>
      <c r="J1394" s="289">
        <v>0</v>
      </c>
      <c r="K1394" s="289" t="s">
        <v>2546</v>
      </c>
      <c r="L1394" s="289"/>
      <c r="M1394" s="289"/>
      <c r="N1394" s="293">
        <v>37641</v>
      </c>
      <c r="O1394" s="293">
        <v>37641</v>
      </c>
      <c r="P1394" s="289" t="s">
        <v>3712</v>
      </c>
      <c r="Q1394" s="290">
        <v>700</v>
      </c>
      <c r="R1394" s="290">
        <v>14050</v>
      </c>
      <c r="S1394" s="291">
        <v>17146.400000000001</v>
      </c>
      <c r="T1394" s="290">
        <v>14056</v>
      </c>
      <c r="U1394" s="291">
        <v>17146.400000000001</v>
      </c>
      <c r="V1394" s="291">
        <f t="shared" si="21"/>
        <v>0</v>
      </c>
      <c r="W1394" s="292">
        <v>0</v>
      </c>
      <c r="X1394" s="290">
        <v>54260</v>
      </c>
      <c r="Y1394" s="291">
        <v>0</v>
      </c>
      <c r="Z1394" s="289" t="s">
        <v>944</v>
      </c>
      <c r="AA1394" s="289"/>
      <c r="AB1394" s="289" t="s">
        <v>3713</v>
      </c>
      <c r="AC1394" s="289"/>
      <c r="AD1394" s="289" t="s">
        <v>1446</v>
      </c>
      <c r="AE1394" s="289" t="s">
        <v>410</v>
      </c>
      <c r="AF1394" s="290" t="s">
        <v>1447</v>
      </c>
      <c r="AG1394" s="289"/>
      <c r="AH1394" s="290" t="s">
        <v>1448</v>
      </c>
      <c r="AI1394" s="289">
        <v>0</v>
      </c>
      <c r="AJ1394" s="289">
        <v>0</v>
      </c>
    </row>
    <row r="1395" spans="2:36">
      <c r="B1395" s="290">
        <v>2111</v>
      </c>
      <c r="C1395" s="294">
        <v>18434</v>
      </c>
      <c r="D1395" s="290"/>
      <c r="E1395" s="289" t="s">
        <v>3714</v>
      </c>
      <c r="F1395" s="290">
        <v>0</v>
      </c>
      <c r="G1395" s="289"/>
      <c r="H1395" s="289"/>
      <c r="I1395" s="289"/>
      <c r="J1395" s="289">
        <v>0</v>
      </c>
      <c r="K1395" s="289"/>
      <c r="L1395" s="289"/>
      <c r="M1395" s="289"/>
      <c r="N1395" s="293">
        <v>38260</v>
      </c>
      <c r="O1395" s="293">
        <v>37622</v>
      </c>
      <c r="P1395" s="289" t="s">
        <v>3715</v>
      </c>
      <c r="Q1395" s="290">
        <v>1000</v>
      </c>
      <c r="R1395" s="290">
        <v>14010</v>
      </c>
      <c r="S1395" s="291">
        <v>4548.99</v>
      </c>
      <c r="T1395" s="290">
        <v>14016</v>
      </c>
      <c r="U1395" s="291">
        <v>4548.99</v>
      </c>
      <c r="V1395" s="291">
        <f t="shared" si="21"/>
        <v>0</v>
      </c>
      <c r="W1395" s="292">
        <v>0</v>
      </c>
      <c r="X1395" s="290">
        <v>57260</v>
      </c>
      <c r="Y1395" s="291">
        <v>0</v>
      </c>
      <c r="Z1395" s="289" t="s">
        <v>944</v>
      </c>
      <c r="AA1395" s="289"/>
      <c r="AB1395" s="289"/>
      <c r="AC1395" s="289"/>
      <c r="AD1395" s="289" t="s">
        <v>1446</v>
      </c>
      <c r="AE1395" s="289" t="s">
        <v>410</v>
      </c>
      <c r="AF1395" s="290" t="s">
        <v>3626</v>
      </c>
      <c r="AG1395" s="295">
        <v>39082</v>
      </c>
      <c r="AH1395" s="290" t="s">
        <v>1448</v>
      </c>
      <c r="AI1395" s="289">
        <v>0</v>
      </c>
      <c r="AJ1395" s="289">
        <v>997.44</v>
      </c>
    </row>
    <row r="1396" spans="2:36">
      <c r="B1396" s="290">
        <v>2111</v>
      </c>
      <c r="C1396" s="294">
        <v>17900</v>
      </c>
      <c r="D1396" s="290" t="s">
        <v>944</v>
      </c>
      <c r="E1396" s="289" t="s">
        <v>3716</v>
      </c>
      <c r="F1396" s="290">
        <v>1</v>
      </c>
      <c r="G1396" s="289"/>
      <c r="H1396" s="289"/>
      <c r="I1396" s="289"/>
      <c r="J1396" s="289">
        <v>0</v>
      </c>
      <c r="K1396" s="289" t="s">
        <v>2539</v>
      </c>
      <c r="L1396" s="289"/>
      <c r="M1396" s="289" t="s">
        <v>1659</v>
      </c>
      <c r="N1396" s="293">
        <v>37621</v>
      </c>
      <c r="O1396" s="293">
        <v>37621</v>
      </c>
      <c r="P1396" s="289" t="s">
        <v>3717</v>
      </c>
      <c r="Q1396" s="290">
        <v>1200</v>
      </c>
      <c r="R1396" s="290">
        <v>14050</v>
      </c>
      <c r="S1396" s="291">
        <v>345.03</v>
      </c>
      <c r="T1396" s="290">
        <v>14056</v>
      </c>
      <c r="U1396" s="291">
        <v>345.03</v>
      </c>
      <c r="V1396" s="291">
        <f t="shared" si="21"/>
        <v>0</v>
      </c>
      <c r="W1396" s="292">
        <v>0</v>
      </c>
      <c r="X1396" s="290">
        <v>54260</v>
      </c>
      <c r="Y1396" s="291">
        <v>0</v>
      </c>
      <c r="Z1396" s="289" t="s">
        <v>944</v>
      </c>
      <c r="AA1396" s="289"/>
      <c r="AB1396" s="289">
        <v>1494</v>
      </c>
      <c r="AC1396" s="289"/>
      <c r="AD1396" s="289" t="s">
        <v>1446</v>
      </c>
      <c r="AE1396" s="289" t="s">
        <v>410</v>
      </c>
      <c r="AF1396" s="290" t="s">
        <v>1447</v>
      </c>
      <c r="AG1396" s="289"/>
      <c r="AH1396" s="290" t="s">
        <v>1448</v>
      </c>
      <c r="AI1396" s="289">
        <v>2</v>
      </c>
      <c r="AJ1396" s="289">
        <v>0</v>
      </c>
    </row>
    <row r="1397" spans="2:36">
      <c r="B1397" s="290">
        <v>2111</v>
      </c>
      <c r="C1397" s="294">
        <v>17899</v>
      </c>
      <c r="D1397" s="290" t="s">
        <v>944</v>
      </c>
      <c r="E1397" s="289" t="s">
        <v>3718</v>
      </c>
      <c r="F1397" s="290">
        <v>15</v>
      </c>
      <c r="G1397" s="289"/>
      <c r="H1397" s="289"/>
      <c r="I1397" s="289"/>
      <c r="J1397" s="289">
        <v>0</v>
      </c>
      <c r="K1397" s="289" t="s">
        <v>2539</v>
      </c>
      <c r="L1397" s="289"/>
      <c r="M1397" s="289" t="s">
        <v>1665</v>
      </c>
      <c r="N1397" s="293">
        <v>37621</v>
      </c>
      <c r="O1397" s="293">
        <v>37621</v>
      </c>
      <c r="P1397" s="289" t="s">
        <v>3717</v>
      </c>
      <c r="Q1397" s="290">
        <v>1200</v>
      </c>
      <c r="R1397" s="290">
        <v>14050</v>
      </c>
      <c r="S1397" s="291">
        <v>4849.95</v>
      </c>
      <c r="T1397" s="290">
        <v>14056</v>
      </c>
      <c r="U1397" s="291">
        <v>4849.95</v>
      </c>
      <c r="V1397" s="291">
        <f t="shared" si="21"/>
        <v>0</v>
      </c>
      <c r="W1397" s="292">
        <v>0</v>
      </c>
      <c r="X1397" s="290">
        <v>54260</v>
      </c>
      <c r="Y1397" s="291">
        <v>0</v>
      </c>
      <c r="Z1397" s="289" t="s">
        <v>944</v>
      </c>
      <c r="AA1397" s="289"/>
      <c r="AB1397" s="289">
        <v>1494</v>
      </c>
      <c r="AC1397" s="289"/>
      <c r="AD1397" s="289" t="s">
        <v>1446</v>
      </c>
      <c r="AE1397" s="289" t="s">
        <v>410</v>
      </c>
      <c r="AF1397" s="290" t="s">
        <v>1447</v>
      </c>
      <c r="AG1397" s="289"/>
      <c r="AH1397" s="290" t="s">
        <v>1448</v>
      </c>
      <c r="AI1397" s="289">
        <v>0</v>
      </c>
      <c r="AJ1397" s="289">
        <v>0</v>
      </c>
    </row>
    <row r="1398" spans="2:36">
      <c r="B1398" s="290">
        <v>2111</v>
      </c>
      <c r="C1398" s="294">
        <v>17898</v>
      </c>
      <c r="D1398" s="290" t="s">
        <v>944</v>
      </c>
      <c r="E1398" s="289" t="s">
        <v>2574</v>
      </c>
      <c r="F1398" s="290">
        <v>15</v>
      </c>
      <c r="G1398" s="289"/>
      <c r="H1398" s="289"/>
      <c r="I1398" s="289"/>
      <c r="J1398" s="289">
        <v>0</v>
      </c>
      <c r="K1398" s="289" t="s">
        <v>2539</v>
      </c>
      <c r="L1398" s="289"/>
      <c r="M1398" s="289" t="s">
        <v>1918</v>
      </c>
      <c r="N1398" s="293">
        <v>37621</v>
      </c>
      <c r="O1398" s="293">
        <v>37621</v>
      </c>
      <c r="P1398" s="289" t="s">
        <v>3717</v>
      </c>
      <c r="Q1398" s="290">
        <v>1200</v>
      </c>
      <c r="R1398" s="290">
        <v>14050</v>
      </c>
      <c r="S1398" s="291">
        <v>4540.7299999999996</v>
      </c>
      <c r="T1398" s="290">
        <v>14056</v>
      </c>
      <c r="U1398" s="291">
        <v>4540.7299999999996</v>
      </c>
      <c r="V1398" s="291">
        <f t="shared" si="21"/>
        <v>0</v>
      </c>
      <c r="W1398" s="292">
        <v>0</v>
      </c>
      <c r="X1398" s="290">
        <v>54260</v>
      </c>
      <c r="Y1398" s="291">
        <v>0</v>
      </c>
      <c r="Z1398" s="289" t="s">
        <v>944</v>
      </c>
      <c r="AA1398" s="289"/>
      <c r="AB1398" s="289">
        <v>1494</v>
      </c>
      <c r="AC1398" s="289"/>
      <c r="AD1398" s="289" t="s">
        <v>1446</v>
      </c>
      <c r="AE1398" s="289" t="s">
        <v>410</v>
      </c>
      <c r="AF1398" s="290" t="s">
        <v>1447</v>
      </c>
      <c r="AG1398" s="289"/>
      <c r="AH1398" s="290" t="s">
        <v>1448</v>
      </c>
      <c r="AI1398" s="289">
        <v>0</v>
      </c>
      <c r="AJ1398" s="289">
        <v>0</v>
      </c>
    </row>
    <row r="1399" spans="2:36">
      <c r="B1399" s="290">
        <v>2111</v>
      </c>
      <c r="C1399" s="294">
        <v>17353</v>
      </c>
      <c r="D1399" s="290"/>
      <c r="E1399" s="289" t="s">
        <v>3719</v>
      </c>
      <c r="F1399" s="290">
        <v>0</v>
      </c>
      <c r="G1399" s="289"/>
      <c r="H1399" s="289" t="s">
        <v>3720</v>
      </c>
      <c r="I1399" s="289"/>
      <c r="J1399" s="289">
        <v>0</v>
      </c>
      <c r="K1399" s="289" t="s">
        <v>2550</v>
      </c>
      <c r="L1399" s="289"/>
      <c r="M1399" s="289"/>
      <c r="N1399" s="293">
        <v>37522</v>
      </c>
      <c r="O1399" s="293">
        <v>37522</v>
      </c>
      <c r="P1399" s="289" t="s">
        <v>3721</v>
      </c>
      <c r="Q1399" s="290">
        <v>500</v>
      </c>
      <c r="R1399" s="290">
        <v>14110</v>
      </c>
      <c r="S1399" s="291">
        <v>5173.42</v>
      </c>
      <c r="T1399" s="290">
        <v>14116</v>
      </c>
      <c r="U1399" s="291">
        <v>5173.42</v>
      </c>
      <c r="V1399" s="291">
        <f t="shared" si="21"/>
        <v>0</v>
      </c>
      <c r="W1399" s="292">
        <v>0</v>
      </c>
      <c r="X1399" s="290">
        <v>70260</v>
      </c>
      <c r="Y1399" s="291">
        <v>0</v>
      </c>
      <c r="Z1399" s="289" t="s">
        <v>944</v>
      </c>
      <c r="AA1399" s="289"/>
      <c r="AB1399" s="289">
        <v>302181</v>
      </c>
      <c r="AC1399" s="289"/>
      <c r="AD1399" s="289" t="s">
        <v>1446</v>
      </c>
      <c r="AE1399" s="289" t="s">
        <v>410</v>
      </c>
      <c r="AF1399" s="290" t="s">
        <v>1447</v>
      </c>
      <c r="AG1399" s="289"/>
      <c r="AH1399" s="290" t="s">
        <v>1448</v>
      </c>
      <c r="AI1399" s="289">
        <v>0</v>
      </c>
      <c r="AJ1399" s="289">
        <v>0</v>
      </c>
    </row>
    <row r="1400" spans="2:36">
      <c r="B1400" s="290">
        <v>2111</v>
      </c>
      <c r="C1400" s="294">
        <v>16546</v>
      </c>
      <c r="D1400" s="290" t="s">
        <v>944</v>
      </c>
      <c r="E1400" s="289" t="s">
        <v>3722</v>
      </c>
      <c r="F1400" s="290">
        <v>384</v>
      </c>
      <c r="G1400" s="289"/>
      <c r="H1400" s="289" t="s">
        <v>3723</v>
      </c>
      <c r="I1400" s="289"/>
      <c r="J1400" s="289">
        <v>0</v>
      </c>
      <c r="K1400" s="289" t="s">
        <v>2589</v>
      </c>
      <c r="L1400" s="289"/>
      <c r="M1400" s="289"/>
      <c r="N1400" s="293">
        <v>37466</v>
      </c>
      <c r="O1400" s="293">
        <v>37466</v>
      </c>
      <c r="P1400" s="289" t="s">
        <v>3724</v>
      </c>
      <c r="Q1400" s="290">
        <v>700</v>
      </c>
      <c r="R1400" s="290">
        <v>14050</v>
      </c>
      <c r="S1400" s="291">
        <v>19621.41</v>
      </c>
      <c r="T1400" s="290">
        <v>14056</v>
      </c>
      <c r="U1400" s="291">
        <v>19621.41</v>
      </c>
      <c r="V1400" s="291">
        <f t="shared" si="21"/>
        <v>0</v>
      </c>
      <c r="W1400" s="292">
        <v>0</v>
      </c>
      <c r="X1400" s="290">
        <v>54260</v>
      </c>
      <c r="Y1400" s="291">
        <v>0</v>
      </c>
      <c r="Z1400" s="289" t="s">
        <v>944</v>
      </c>
      <c r="AA1400" s="289"/>
      <c r="AB1400" s="289" t="s">
        <v>3725</v>
      </c>
      <c r="AC1400" s="289"/>
      <c r="AD1400" s="289" t="s">
        <v>1446</v>
      </c>
      <c r="AE1400" s="289" t="s">
        <v>410</v>
      </c>
      <c r="AF1400" s="290" t="s">
        <v>1447</v>
      </c>
      <c r="AG1400" s="289"/>
      <c r="AH1400" s="290" t="s">
        <v>1448</v>
      </c>
      <c r="AI1400" s="289">
        <v>0</v>
      </c>
      <c r="AJ1400" s="289">
        <v>0</v>
      </c>
    </row>
    <row r="1401" spans="2:36">
      <c r="B1401" s="290">
        <v>2111</v>
      </c>
      <c r="C1401" s="294">
        <v>16544</v>
      </c>
      <c r="D1401" s="290" t="s">
        <v>944</v>
      </c>
      <c r="E1401" s="289" t="s">
        <v>752</v>
      </c>
      <c r="F1401" s="290">
        <v>3</v>
      </c>
      <c r="G1401" s="289"/>
      <c r="H1401" s="289" t="s">
        <v>3726</v>
      </c>
      <c r="I1401" s="289"/>
      <c r="J1401" s="289">
        <v>0</v>
      </c>
      <c r="K1401" s="289" t="s">
        <v>2125</v>
      </c>
      <c r="L1401" s="289"/>
      <c r="M1401" s="289" t="s">
        <v>1667</v>
      </c>
      <c r="N1401" s="293">
        <v>37452</v>
      </c>
      <c r="O1401" s="293">
        <v>37452</v>
      </c>
      <c r="P1401" s="289" t="s">
        <v>3727</v>
      </c>
      <c r="Q1401" s="290">
        <v>1200</v>
      </c>
      <c r="R1401" s="290">
        <v>14050</v>
      </c>
      <c r="S1401" s="291">
        <v>10118.4</v>
      </c>
      <c r="T1401" s="290">
        <v>14056</v>
      </c>
      <c r="U1401" s="291">
        <v>10118.4</v>
      </c>
      <c r="V1401" s="291">
        <f t="shared" si="21"/>
        <v>0</v>
      </c>
      <c r="W1401" s="292">
        <v>0</v>
      </c>
      <c r="X1401" s="290">
        <v>54260</v>
      </c>
      <c r="Y1401" s="291">
        <v>0</v>
      </c>
      <c r="Z1401" s="289" t="s">
        <v>944</v>
      </c>
      <c r="AA1401" s="289"/>
      <c r="AB1401" s="289">
        <v>131787</v>
      </c>
      <c r="AC1401" s="289"/>
      <c r="AD1401" s="289" t="s">
        <v>1446</v>
      </c>
      <c r="AE1401" s="289" t="s">
        <v>410</v>
      </c>
      <c r="AF1401" s="290" t="s">
        <v>1447</v>
      </c>
      <c r="AG1401" s="289"/>
      <c r="AH1401" s="290" t="s">
        <v>1448</v>
      </c>
      <c r="AI1401" s="289">
        <v>0</v>
      </c>
      <c r="AJ1401" s="289">
        <v>0</v>
      </c>
    </row>
    <row r="1402" spans="2:36">
      <c r="B1402" s="290">
        <v>2111</v>
      </c>
      <c r="C1402" s="294">
        <v>16111</v>
      </c>
      <c r="D1402" s="290"/>
      <c r="E1402" s="289" t="s">
        <v>3728</v>
      </c>
      <c r="F1402" s="290">
        <v>0</v>
      </c>
      <c r="G1402" s="289"/>
      <c r="H1402" s="289"/>
      <c r="I1402" s="289"/>
      <c r="J1402" s="289">
        <v>0</v>
      </c>
      <c r="K1402" s="289" t="s">
        <v>3729</v>
      </c>
      <c r="L1402" s="289"/>
      <c r="M1402" s="289"/>
      <c r="N1402" s="293">
        <v>37414</v>
      </c>
      <c r="O1402" s="293">
        <v>37414</v>
      </c>
      <c r="P1402" s="289" t="s">
        <v>3730</v>
      </c>
      <c r="Q1402" s="290">
        <v>1000</v>
      </c>
      <c r="R1402" s="290">
        <v>14080</v>
      </c>
      <c r="S1402" s="291">
        <v>22862.04</v>
      </c>
      <c r="T1402" s="290">
        <v>14086</v>
      </c>
      <c r="U1402" s="291">
        <v>22862.04</v>
      </c>
      <c r="V1402" s="291">
        <f t="shared" si="21"/>
        <v>0</v>
      </c>
      <c r="W1402" s="292">
        <v>0</v>
      </c>
      <c r="X1402" s="290">
        <v>57260</v>
      </c>
      <c r="Y1402" s="291">
        <v>0</v>
      </c>
      <c r="Z1402" s="289" t="s">
        <v>944</v>
      </c>
      <c r="AA1402" s="289"/>
      <c r="AB1402" s="289">
        <v>3970</v>
      </c>
      <c r="AC1402" s="289"/>
      <c r="AD1402" s="289" t="s">
        <v>1446</v>
      </c>
      <c r="AE1402" s="289" t="s">
        <v>410</v>
      </c>
      <c r="AF1402" s="290" t="s">
        <v>1447</v>
      </c>
      <c r="AG1402" s="289"/>
      <c r="AH1402" s="290" t="s">
        <v>1448</v>
      </c>
      <c r="AI1402" s="289">
        <v>0</v>
      </c>
      <c r="AJ1402" s="289">
        <v>0</v>
      </c>
    </row>
    <row r="1403" spans="2:36">
      <c r="B1403" s="290">
        <v>2111</v>
      </c>
      <c r="C1403" s="294">
        <v>16100</v>
      </c>
      <c r="D1403" s="290" t="s">
        <v>944</v>
      </c>
      <c r="E1403" s="289" t="s">
        <v>3731</v>
      </c>
      <c r="F1403" s="290">
        <v>864</v>
      </c>
      <c r="G1403" s="289"/>
      <c r="H1403" s="289" t="s">
        <v>3732</v>
      </c>
      <c r="I1403" s="289"/>
      <c r="J1403" s="289">
        <v>0</v>
      </c>
      <c r="K1403" s="289" t="s">
        <v>2560</v>
      </c>
      <c r="L1403" s="289"/>
      <c r="M1403" s="289"/>
      <c r="N1403" s="293">
        <v>37308</v>
      </c>
      <c r="O1403" s="293">
        <v>37308</v>
      </c>
      <c r="P1403" s="289" t="s">
        <v>3733</v>
      </c>
      <c r="Q1403" s="290">
        <v>700</v>
      </c>
      <c r="R1403" s="290">
        <v>14050</v>
      </c>
      <c r="S1403" s="291">
        <v>39988.76</v>
      </c>
      <c r="T1403" s="290">
        <v>14056</v>
      </c>
      <c r="U1403" s="291">
        <v>39988.76</v>
      </c>
      <c r="V1403" s="291">
        <f t="shared" si="21"/>
        <v>0</v>
      </c>
      <c r="W1403" s="292">
        <v>0</v>
      </c>
      <c r="X1403" s="290">
        <v>54260</v>
      </c>
      <c r="Y1403" s="291">
        <v>0</v>
      </c>
      <c r="Z1403" s="289" t="s">
        <v>944</v>
      </c>
      <c r="AA1403" s="289"/>
      <c r="AB1403" s="289" t="s">
        <v>3734</v>
      </c>
      <c r="AC1403" s="289"/>
      <c r="AD1403" s="289" t="s">
        <v>1446</v>
      </c>
      <c r="AE1403" s="289" t="s">
        <v>410</v>
      </c>
      <c r="AF1403" s="290" t="s">
        <v>1447</v>
      </c>
      <c r="AG1403" s="289"/>
      <c r="AH1403" s="290" t="s">
        <v>1448</v>
      </c>
      <c r="AI1403" s="289">
        <v>0</v>
      </c>
      <c r="AJ1403" s="289">
        <v>0</v>
      </c>
    </row>
    <row r="1404" spans="2:36">
      <c r="B1404" s="290">
        <v>2111</v>
      </c>
      <c r="C1404" s="294">
        <v>16080</v>
      </c>
      <c r="D1404" s="290" t="s">
        <v>944</v>
      </c>
      <c r="E1404" s="289" t="s">
        <v>2557</v>
      </c>
      <c r="F1404" s="290">
        <v>10</v>
      </c>
      <c r="G1404" s="289"/>
      <c r="H1404" s="289"/>
      <c r="I1404" s="289"/>
      <c r="J1404" s="289">
        <v>0</v>
      </c>
      <c r="K1404" s="289" t="s">
        <v>2125</v>
      </c>
      <c r="L1404" s="289"/>
      <c r="M1404" s="289" t="s">
        <v>1918</v>
      </c>
      <c r="N1404" s="293">
        <v>37436</v>
      </c>
      <c r="O1404" s="293">
        <v>37436</v>
      </c>
      <c r="P1404" s="289" t="s">
        <v>3735</v>
      </c>
      <c r="Q1404" s="290">
        <v>1200</v>
      </c>
      <c r="R1404" s="290">
        <v>14050</v>
      </c>
      <c r="S1404" s="291">
        <v>3073.6</v>
      </c>
      <c r="T1404" s="290">
        <v>14056</v>
      </c>
      <c r="U1404" s="291">
        <v>3073.6</v>
      </c>
      <c r="V1404" s="291">
        <f t="shared" si="21"/>
        <v>0</v>
      </c>
      <c r="W1404" s="292">
        <v>0</v>
      </c>
      <c r="X1404" s="290">
        <v>54260</v>
      </c>
      <c r="Y1404" s="291">
        <v>0</v>
      </c>
      <c r="Z1404" s="289" t="s">
        <v>944</v>
      </c>
      <c r="AA1404" s="289"/>
      <c r="AB1404" s="289"/>
      <c r="AC1404" s="289"/>
      <c r="AD1404" s="289" t="s">
        <v>1446</v>
      </c>
      <c r="AE1404" s="289" t="s">
        <v>410</v>
      </c>
      <c r="AF1404" s="290" t="s">
        <v>1447</v>
      </c>
      <c r="AG1404" s="289"/>
      <c r="AH1404" s="290" t="s">
        <v>1448</v>
      </c>
      <c r="AI1404" s="289">
        <v>0</v>
      </c>
      <c r="AJ1404" s="289">
        <v>0</v>
      </c>
    </row>
    <row r="1405" spans="2:36">
      <c r="B1405" s="290">
        <v>2111</v>
      </c>
      <c r="C1405" s="294">
        <v>15442</v>
      </c>
      <c r="D1405" s="290"/>
      <c r="E1405" s="289" t="s">
        <v>3736</v>
      </c>
      <c r="F1405" s="290">
        <v>0</v>
      </c>
      <c r="G1405" s="289"/>
      <c r="H1405" s="289" t="s">
        <v>3737</v>
      </c>
      <c r="I1405" s="289"/>
      <c r="J1405" s="289">
        <v>0</v>
      </c>
      <c r="K1405" s="289" t="s">
        <v>2550</v>
      </c>
      <c r="L1405" s="289"/>
      <c r="M1405" s="289"/>
      <c r="N1405" s="293">
        <v>37434</v>
      </c>
      <c r="O1405" s="293">
        <v>37434</v>
      </c>
      <c r="P1405" s="289" t="s">
        <v>3738</v>
      </c>
      <c r="Q1405" s="290">
        <v>500</v>
      </c>
      <c r="R1405" s="290">
        <v>14110</v>
      </c>
      <c r="S1405" s="291">
        <v>659.75</v>
      </c>
      <c r="T1405" s="290">
        <v>14116</v>
      </c>
      <c r="U1405" s="291">
        <v>659.75</v>
      </c>
      <c r="V1405" s="291">
        <f t="shared" si="21"/>
        <v>0</v>
      </c>
      <c r="W1405" s="292">
        <v>0</v>
      </c>
      <c r="X1405" s="290">
        <v>70260</v>
      </c>
      <c r="Y1405" s="291">
        <v>0</v>
      </c>
      <c r="Z1405" s="289" t="s">
        <v>944</v>
      </c>
      <c r="AA1405" s="289"/>
      <c r="AB1405" s="289">
        <v>299072</v>
      </c>
      <c r="AC1405" s="289"/>
      <c r="AD1405" s="289" t="s">
        <v>1446</v>
      </c>
      <c r="AE1405" s="289" t="s">
        <v>410</v>
      </c>
      <c r="AF1405" s="290" t="s">
        <v>1447</v>
      </c>
      <c r="AG1405" s="289"/>
      <c r="AH1405" s="290" t="s">
        <v>1448</v>
      </c>
      <c r="AI1405" s="289">
        <v>0</v>
      </c>
      <c r="AJ1405" s="289">
        <v>0</v>
      </c>
    </row>
    <row r="1406" spans="2:36">
      <c r="B1406" s="290">
        <v>2111</v>
      </c>
      <c r="C1406" s="294">
        <v>15130</v>
      </c>
      <c r="D1406" s="290" t="s">
        <v>944</v>
      </c>
      <c r="E1406" s="289" t="s">
        <v>3739</v>
      </c>
      <c r="F1406" s="290">
        <v>0</v>
      </c>
      <c r="G1406" s="289"/>
      <c r="H1406" s="289">
        <v>200214010004</v>
      </c>
      <c r="I1406" s="289"/>
      <c r="J1406" s="289">
        <v>2002</v>
      </c>
      <c r="K1406" s="289" t="s">
        <v>3740</v>
      </c>
      <c r="L1406" s="289" t="s">
        <v>2214</v>
      </c>
      <c r="M1406" s="289"/>
      <c r="N1406" s="293">
        <v>37364</v>
      </c>
      <c r="O1406" s="293">
        <v>37364</v>
      </c>
      <c r="P1406" s="289">
        <v>22140005</v>
      </c>
      <c r="Q1406" s="290">
        <v>300</v>
      </c>
      <c r="R1406" s="290">
        <v>14070</v>
      </c>
      <c r="S1406" s="291">
        <v>6348.86</v>
      </c>
      <c r="T1406" s="290">
        <v>14076</v>
      </c>
      <c r="U1406" s="291">
        <v>6348.86</v>
      </c>
      <c r="V1406" s="291">
        <f t="shared" si="21"/>
        <v>0</v>
      </c>
      <c r="W1406" s="292">
        <v>0</v>
      </c>
      <c r="X1406" s="290">
        <v>51260</v>
      </c>
      <c r="Y1406" s="291">
        <v>0</v>
      </c>
      <c r="Z1406" s="289" t="s">
        <v>944</v>
      </c>
      <c r="AA1406" s="289"/>
      <c r="AB1406" s="289"/>
      <c r="AC1406" s="289"/>
      <c r="AD1406" s="289" t="s">
        <v>1446</v>
      </c>
      <c r="AE1406" s="289" t="s">
        <v>410</v>
      </c>
      <c r="AF1406" s="290" t="s">
        <v>1447</v>
      </c>
      <c r="AG1406" s="289"/>
      <c r="AH1406" s="290" t="s">
        <v>1448</v>
      </c>
      <c r="AI1406" s="289">
        <v>0</v>
      </c>
      <c r="AJ1406" s="289">
        <v>0</v>
      </c>
    </row>
    <row r="1407" spans="2:36">
      <c r="B1407" s="290">
        <v>2111</v>
      </c>
      <c r="C1407" s="294">
        <v>14734</v>
      </c>
      <c r="D1407" s="290" t="s">
        <v>944</v>
      </c>
      <c r="E1407" s="289" t="s">
        <v>3741</v>
      </c>
      <c r="F1407" s="290">
        <v>432</v>
      </c>
      <c r="G1407" s="289"/>
      <c r="H1407" s="289" t="s">
        <v>3742</v>
      </c>
      <c r="I1407" s="289"/>
      <c r="J1407" s="289">
        <v>0</v>
      </c>
      <c r="K1407" s="289" t="s">
        <v>2560</v>
      </c>
      <c r="L1407" s="289"/>
      <c r="M1407" s="289"/>
      <c r="N1407" s="293">
        <v>37349</v>
      </c>
      <c r="O1407" s="293">
        <v>37349</v>
      </c>
      <c r="P1407" s="289" t="s">
        <v>3743</v>
      </c>
      <c r="Q1407" s="290">
        <v>700</v>
      </c>
      <c r="R1407" s="290">
        <v>14050</v>
      </c>
      <c r="S1407" s="291">
        <v>19284.79</v>
      </c>
      <c r="T1407" s="290">
        <v>14056</v>
      </c>
      <c r="U1407" s="291">
        <v>19284.79</v>
      </c>
      <c r="V1407" s="291">
        <f t="shared" si="21"/>
        <v>0</v>
      </c>
      <c r="W1407" s="292">
        <v>0</v>
      </c>
      <c r="X1407" s="290">
        <v>54260</v>
      </c>
      <c r="Y1407" s="291">
        <v>0</v>
      </c>
      <c r="Z1407" s="289" t="s">
        <v>944</v>
      </c>
      <c r="AA1407" s="289"/>
      <c r="AB1407" s="289" t="s">
        <v>3744</v>
      </c>
      <c r="AC1407" s="289"/>
      <c r="AD1407" s="289" t="s">
        <v>1446</v>
      </c>
      <c r="AE1407" s="289" t="s">
        <v>410</v>
      </c>
      <c r="AF1407" s="290" t="s">
        <v>1447</v>
      </c>
      <c r="AG1407" s="289"/>
      <c r="AH1407" s="290" t="s">
        <v>1448</v>
      </c>
      <c r="AI1407" s="289">
        <v>0</v>
      </c>
      <c r="AJ1407" s="289">
        <v>0</v>
      </c>
    </row>
    <row r="1408" spans="2:36">
      <c r="B1408" s="290">
        <v>2111</v>
      </c>
      <c r="C1408" s="294">
        <v>14431</v>
      </c>
      <c r="D1408" s="290"/>
      <c r="E1408" s="289" t="s">
        <v>3745</v>
      </c>
      <c r="F1408" s="290">
        <v>0</v>
      </c>
      <c r="G1408" s="289"/>
      <c r="H1408" s="289" t="s">
        <v>3746</v>
      </c>
      <c r="I1408" s="289"/>
      <c r="J1408" s="289">
        <v>0</v>
      </c>
      <c r="K1408" s="289" t="s">
        <v>2954</v>
      </c>
      <c r="L1408" s="289"/>
      <c r="M1408" s="289"/>
      <c r="N1408" s="293">
        <v>37312</v>
      </c>
      <c r="O1408" s="293">
        <v>37312</v>
      </c>
      <c r="P1408" s="289" t="s">
        <v>3747</v>
      </c>
      <c r="Q1408" s="290">
        <v>300</v>
      </c>
      <c r="R1408" s="290">
        <v>14110</v>
      </c>
      <c r="S1408" s="291">
        <v>449.84</v>
      </c>
      <c r="T1408" s="290">
        <v>14116</v>
      </c>
      <c r="U1408" s="291">
        <v>449.84</v>
      </c>
      <c r="V1408" s="291">
        <f t="shared" si="21"/>
        <v>0</v>
      </c>
      <c r="W1408" s="292">
        <v>0</v>
      </c>
      <c r="X1408" s="290">
        <v>70260</v>
      </c>
      <c r="Y1408" s="291">
        <v>0</v>
      </c>
      <c r="Z1408" s="289" t="s">
        <v>944</v>
      </c>
      <c r="AA1408" s="289"/>
      <c r="AB1408" s="289">
        <v>170858</v>
      </c>
      <c r="AC1408" s="289"/>
      <c r="AD1408" s="289" t="s">
        <v>1446</v>
      </c>
      <c r="AE1408" s="289" t="s">
        <v>410</v>
      </c>
      <c r="AF1408" s="290" t="s">
        <v>1447</v>
      </c>
      <c r="AG1408" s="289"/>
      <c r="AH1408" s="290" t="s">
        <v>1448</v>
      </c>
      <c r="AI1408" s="289">
        <v>0</v>
      </c>
      <c r="AJ1408" s="289">
        <v>0</v>
      </c>
    </row>
    <row r="1409" spans="2:36">
      <c r="B1409" s="290">
        <v>2111</v>
      </c>
      <c r="C1409" s="294">
        <v>14430</v>
      </c>
      <c r="D1409" s="290"/>
      <c r="E1409" s="289" t="s">
        <v>3748</v>
      </c>
      <c r="F1409" s="290">
        <v>0</v>
      </c>
      <c r="G1409" s="289"/>
      <c r="H1409" s="289" t="s">
        <v>3749</v>
      </c>
      <c r="I1409" s="289"/>
      <c r="J1409" s="289">
        <v>0</v>
      </c>
      <c r="K1409" s="289" t="s">
        <v>2550</v>
      </c>
      <c r="L1409" s="289"/>
      <c r="M1409" s="289"/>
      <c r="N1409" s="293">
        <v>37357</v>
      </c>
      <c r="O1409" s="293">
        <v>37357</v>
      </c>
      <c r="P1409" s="289" t="s">
        <v>3747</v>
      </c>
      <c r="Q1409" s="290">
        <v>300</v>
      </c>
      <c r="R1409" s="290">
        <v>14110</v>
      </c>
      <c r="S1409" s="291">
        <v>195.11</v>
      </c>
      <c r="T1409" s="290">
        <v>14116</v>
      </c>
      <c r="U1409" s="291">
        <v>195.11</v>
      </c>
      <c r="V1409" s="291">
        <f t="shared" si="21"/>
        <v>0</v>
      </c>
      <c r="W1409" s="292">
        <v>0</v>
      </c>
      <c r="X1409" s="290">
        <v>70260</v>
      </c>
      <c r="Y1409" s="291">
        <v>0</v>
      </c>
      <c r="Z1409" s="289" t="s">
        <v>944</v>
      </c>
      <c r="AA1409" s="289"/>
      <c r="AB1409" s="289">
        <v>295992</v>
      </c>
      <c r="AC1409" s="289"/>
      <c r="AD1409" s="289" t="s">
        <v>1446</v>
      </c>
      <c r="AE1409" s="289" t="s">
        <v>410</v>
      </c>
      <c r="AF1409" s="290" t="s">
        <v>1447</v>
      </c>
      <c r="AG1409" s="289"/>
      <c r="AH1409" s="290" t="s">
        <v>1448</v>
      </c>
      <c r="AI1409" s="289">
        <v>0</v>
      </c>
      <c r="AJ1409" s="289">
        <v>0</v>
      </c>
    </row>
    <row r="1410" spans="2:36">
      <c r="B1410" s="290">
        <v>2111</v>
      </c>
      <c r="C1410" s="294">
        <v>13281</v>
      </c>
      <c r="D1410" s="290" t="s">
        <v>944</v>
      </c>
      <c r="E1410" s="289" t="s">
        <v>2574</v>
      </c>
      <c r="F1410" s="290">
        <v>5</v>
      </c>
      <c r="G1410" s="289"/>
      <c r="H1410" s="289"/>
      <c r="I1410" s="289"/>
      <c r="J1410" s="289">
        <v>0</v>
      </c>
      <c r="K1410" s="289" t="s">
        <v>2125</v>
      </c>
      <c r="L1410" s="289"/>
      <c r="M1410" s="289" t="s">
        <v>1918</v>
      </c>
      <c r="N1410" s="293">
        <v>37257</v>
      </c>
      <c r="O1410" s="293">
        <v>37257</v>
      </c>
      <c r="P1410" s="289" t="s">
        <v>3750</v>
      </c>
      <c r="Q1410" s="290">
        <v>1200</v>
      </c>
      <c r="R1410" s="290">
        <v>14050</v>
      </c>
      <c r="S1410" s="291">
        <v>1599.36</v>
      </c>
      <c r="T1410" s="290">
        <v>14056</v>
      </c>
      <c r="U1410" s="291">
        <v>1599.36</v>
      </c>
      <c r="V1410" s="291">
        <f t="shared" si="21"/>
        <v>0</v>
      </c>
      <c r="W1410" s="292">
        <v>0</v>
      </c>
      <c r="X1410" s="290">
        <v>54260</v>
      </c>
      <c r="Y1410" s="291">
        <v>0</v>
      </c>
      <c r="Z1410" s="289" t="s">
        <v>944</v>
      </c>
      <c r="AA1410" s="289"/>
      <c r="AB1410" s="289">
        <v>124790</v>
      </c>
      <c r="AC1410" s="289"/>
      <c r="AD1410" s="289" t="s">
        <v>1446</v>
      </c>
      <c r="AE1410" s="289" t="s">
        <v>410</v>
      </c>
      <c r="AF1410" s="290" t="s">
        <v>1447</v>
      </c>
      <c r="AG1410" s="289"/>
      <c r="AH1410" s="290" t="s">
        <v>1448</v>
      </c>
      <c r="AI1410" s="289">
        <v>0</v>
      </c>
      <c r="AJ1410" s="289">
        <v>0</v>
      </c>
    </row>
    <row r="1411" spans="2:36">
      <c r="B1411" s="290">
        <v>2111</v>
      </c>
      <c r="C1411" s="294">
        <v>12580</v>
      </c>
      <c r="D1411" s="290"/>
      <c r="E1411" s="289" t="s">
        <v>3751</v>
      </c>
      <c r="F1411" s="290">
        <v>0</v>
      </c>
      <c r="G1411" s="289"/>
      <c r="H1411" s="289" t="s">
        <v>3752</v>
      </c>
      <c r="I1411" s="289"/>
      <c r="J1411" s="289">
        <v>0</v>
      </c>
      <c r="K1411" s="289" t="s">
        <v>3753</v>
      </c>
      <c r="L1411" s="289"/>
      <c r="M1411" s="289"/>
      <c r="N1411" s="293">
        <v>37256</v>
      </c>
      <c r="O1411" s="293">
        <v>37256</v>
      </c>
      <c r="P1411" s="289" t="s">
        <v>3754</v>
      </c>
      <c r="Q1411" s="290">
        <v>500</v>
      </c>
      <c r="R1411" s="290">
        <v>14110</v>
      </c>
      <c r="S1411" s="291">
        <v>1224.95</v>
      </c>
      <c r="T1411" s="290">
        <v>14116</v>
      </c>
      <c r="U1411" s="291">
        <v>1224.95</v>
      </c>
      <c r="V1411" s="291">
        <f t="shared" si="21"/>
        <v>0</v>
      </c>
      <c r="W1411" s="292">
        <v>0</v>
      </c>
      <c r="X1411" s="290">
        <v>70260</v>
      </c>
      <c r="Y1411" s="291">
        <v>0</v>
      </c>
      <c r="Z1411" s="289" t="s">
        <v>944</v>
      </c>
      <c r="AA1411" s="289"/>
      <c r="AB1411" s="289">
        <v>9499001</v>
      </c>
      <c r="AC1411" s="289"/>
      <c r="AD1411" s="289" t="s">
        <v>1446</v>
      </c>
      <c r="AE1411" s="289" t="s">
        <v>410</v>
      </c>
      <c r="AF1411" s="290" t="s">
        <v>1447</v>
      </c>
      <c r="AG1411" s="289"/>
      <c r="AH1411" s="290" t="s">
        <v>1448</v>
      </c>
      <c r="AI1411" s="289">
        <v>0</v>
      </c>
      <c r="AJ1411" s="289">
        <v>0</v>
      </c>
    </row>
    <row r="1412" spans="2:36">
      <c r="B1412" s="290">
        <v>2111</v>
      </c>
      <c r="C1412" s="294">
        <v>12540</v>
      </c>
      <c r="D1412" s="290"/>
      <c r="E1412" s="289" t="s">
        <v>3755</v>
      </c>
      <c r="F1412" s="290">
        <v>0</v>
      </c>
      <c r="G1412" s="289"/>
      <c r="H1412" s="289" t="s">
        <v>3756</v>
      </c>
      <c r="I1412" s="289"/>
      <c r="J1412" s="289">
        <v>0</v>
      </c>
      <c r="K1412" s="289" t="s">
        <v>2954</v>
      </c>
      <c r="L1412" s="289"/>
      <c r="M1412" s="289"/>
      <c r="N1412" s="293">
        <v>37256</v>
      </c>
      <c r="O1412" s="293">
        <v>37256</v>
      </c>
      <c r="P1412" s="289" t="s">
        <v>3754</v>
      </c>
      <c r="Q1412" s="290">
        <v>500</v>
      </c>
      <c r="R1412" s="290">
        <v>14110</v>
      </c>
      <c r="S1412" s="291">
        <v>24089.53</v>
      </c>
      <c r="T1412" s="290">
        <v>14116</v>
      </c>
      <c r="U1412" s="291">
        <v>24089.53</v>
      </c>
      <c r="V1412" s="291">
        <f t="shared" si="21"/>
        <v>0</v>
      </c>
      <c r="W1412" s="292">
        <v>0</v>
      </c>
      <c r="X1412" s="290">
        <v>70260</v>
      </c>
      <c r="Y1412" s="291">
        <v>0</v>
      </c>
      <c r="Z1412" s="289" t="s">
        <v>944</v>
      </c>
      <c r="AA1412" s="289"/>
      <c r="AB1412" s="289"/>
      <c r="AC1412" s="289"/>
      <c r="AD1412" s="289" t="s">
        <v>1446</v>
      </c>
      <c r="AE1412" s="289" t="s">
        <v>410</v>
      </c>
      <c r="AF1412" s="290" t="s">
        <v>1447</v>
      </c>
      <c r="AG1412" s="289"/>
      <c r="AH1412" s="290" t="s">
        <v>1448</v>
      </c>
      <c r="AI1412" s="289">
        <v>0</v>
      </c>
      <c r="AJ1412" s="289">
        <v>0</v>
      </c>
    </row>
    <row r="1413" spans="2:36">
      <c r="B1413" s="290">
        <v>2111</v>
      </c>
      <c r="C1413" s="294">
        <v>12337</v>
      </c>
      <c r="D1413" s="290" t="s">
        <v>944</v>
      </c>
      <c r="E1413" s="289" t="s">
        <v>3757</v>
      </c>
      <c r="F1413" s="290">
        <v>0</v>
      </c>
      <c r="G1413" s="289"/>
      <c r="H1413" s="289" t="s">
        <v>3758</v>
      </c>
      <c r="I1413" s="289"/>
      <c r="J1413" s="289">
        <v>2001</v>
      </c>
      <c r="K1413" s="289" t="s">
        <v>3759</v>
      </c>
      <c r="L1413" s="289" t="s">
        <v>2214</v>
      </c>
      <c r="M1413" s="289" t="s">
        <v>1467</v>
      </c>
      <c r="N1413" s="293">
        <v>37226</v>
      </c>
      <c r="O1413" s="293">
        <v>37196</v>
      </c>
      <c r="P1413" s="289" t="s">
        <v>3760</v>
      </c>
      <c r="Q1413" s="290">
        <v>300</v>
      </c>
      <c r="R1413" s="290">
        <v>14040</v>
      </c>
      <c r="S1413" s="291">
        <v>9139.2000000000007</v>
      </c>
      <c r="T1413" s="290">
        <v>14046</v>
      </c>
      <c r="U1413" s="291">
        <v>9139.2000000000007</v>
      </c>
      <c r="V1413" s="291">
        <f t="shared" si="21"/>
        <v>0</v>
      </c>
      <c r="W1413" s="292">
        <v>0</v>
      </c>
      <c r="X1413" s="290">
        <v>51260</v>
      </c>
      <c r="Y1413" s="291">
        <v>0</v>
      </c>
      <c r="Z1413" s="289" t="s">
        <v>12</v>
      </c>
      <c r="AA1413" s="289"/>
      <c r="AB1413" s="289"/>
      <c r="AC1413" s="289"/>
      <c r="AD1413" s="289" t="s">
        <v>1446</v>
      </c>
      <c r="AE1413" s="289" t="s">
        <v>410</v>
      </c>
      <c r="AF1413" s="290" t="s">
        <v>1447</v>
      </c>
      <c r="AG1413" s="289"/>
      <c r="AH1413" s="290" t="s">
        <v>1448</v>
      </c>
      <c r="AI1413" s="289">
        <v>0</v>
      </c>
      <c r="AJ1413" s="289">
        <v>0</v>
      </c>
    </row>
    <row r="1414" spans="2:36">
      <c r="B1414" s="290">
        <v>2111</v>
      </c>
      <c r="C1414" s="294">
        <v>11505</v>
      </c>
      <c r="D1414" s="290" t="s">
        <v>944</v>
      </c>
      <c r="E1414" s="289" t="s">
        <v>3761</v>
      </c>
      <c r="F1414" s="290">
        <v>432</v>
      </c>
      <c r="G1414" s="289"/>
      <c r="H1414" s="289" t="s">
        <v>3762</v>
      </c>
      <c r="I1414" s="289"/>
      <c r="J1414" s="289">
        <v>0</v>
      </c>
      <c r="K1414" s="289" t="s">
        <v>2582</v>
      </c>
      <c r="L1414" s="289"/>
      <c r="M1414" s="289"/>
      <c r="N1414" s="293">
        <v>37120</v>
      </c>
      <c r="O1414" s="293">
        <v>37120</v>
      </c>
      <c r="P1414" s="289" t="s">
        <v>3763</v>
      </c>
      <c r="Q1414" s="290">
        <v>700</v>
      </c>
      <c r="R1414" s="290">
        <v>14050</v>
      </c>
      <c r="S1414" s="291">
        <v>18514.439999999999</v>
      </c>
      <c r="T1414" s="290">
        <v>14056</v>
      </c>
      <c r="U1414" s="291">
        <v>18514.439999999999</v>
      </c>
      <c r="V1414" s="291">
        <f t="shared" si="21"/>
        <v>0</v>
      </c>
      <c r="W1414" s="292">
        <v>0</v>
      </c>
      <c r="X1414" s="290">
        <v>54260</v>
      </c>
      <c r="Y1414" s="291">
        <v>0</v>
      </c>
      <c r="Z1414" s="289" t="s">
        <v>944</v>
      </c>
      <c r="AA1414" s="289"/>
      <c r="AB1414" s="289" t="s">
        <v>3764</v>
      </c>
      <c r="AC1414" s="289"/>
      <c r="AD1414" s="289" t="s">
        <v>1446</v>
      </c>
      <c r="AE1414" s="289" t="s">
        <v>410</v>
      </c>
      <c r="AF1414" s="290" t="s">
        <v>1447</v>
      </c>
      <c r="AG1414" s="289"/>
      <c r="AH1414" s="290" t="s">
        <v>1448</v>
      </c>
      <c r="AI1414" s="289">
        <v>0</v>
      </c>
      <c r="AJ1414" s="289">
        <v>0</v>
      </c>
    </row>
    <row r="1415" spans="2:36">
      <c r="B1415" s="290">
        <v>2111</v>
      </c>
      <c r="C1415" s="294">
        <v>11411</v>
      </c>
      <c r="D1415" s="290" t="s">
        <v>944</v>
      </c>
      <c r="E1415" s="289" t="s">
        <v>3765</v>
      </c>
      <c r="F1415" s="290">
        <v>10</v>
      </c>
      <c r="G1415" s="289"/>
      <c r="H1415" s="289"/>
      <c r="I1415" s="289"/>
      <c r="J1415" s="289">
        <v>0</v>
      </c>
      <c r="K1415" s="289" t="s">
        <v>2125</v>
      </c>
      <c r="L1415" s="289"/>
      <c r="M1415" s="289" t="s">
        <v>2428</v>
      </c>
      <c r="N1415" s="293">
        <v>37028</v>
      </c>
      <c r="O1415" s="293">
        <v>37028</v>
      </c>
      <c r="P1415" s="289" t="s">
        <v>3766</v>
      </c>
      <c r="Q1415" s="290">
        <v>1200</v>
      </c>
      <c r="R1415" s="290">
        <v>14050</v>
      </c>
      <c r="S1415" s="291">
        <v>464.1</v>
      </c>
      <c r="T1415" s="290">
        <v>14056</v>
      </c>
      <c r="U1415" s="291">
        <v>464.1</v>
      </c>
      <c r="V1415" s="291">
        <f t="shared" si="21"/>
        <v>0</v>
      </c>
      <c r="W1415" s="292">
        <v>0</v>
      </c>
      <c r="X1415" s="290">
        <v>54260</v>
      </c>
      <c r="Y1415" s="291">
        <v>0</v>
      </c>
      <c r="Z1415" s="289" t="s">
        <v>944</v>
      </c>
      <c r="AA1415" s="289"/>
      <c r="AB1415" s="289">
        <v>121888</v>
      </c>
      <c r="AC1415" s="289"/>
      <c r="AD1415" s="289" t="s">
        <v>1446</v>
      </c>
      <c r="AE1415" s="289" t="s">
        <v>410</v>
      </c>
      <c r="AF1415" s="290" t="s">
        <v>1447</v>
      </c>
      <c r="AG1415" s="289"/>
      <c r="AH1415" s="290" t="s">
        <v>1448</v>
      </c>
      <c r="AI1415" s="289">
        <v>0</v>
      </c>
      <c r="AJ1415" s="289">
        <v>0</v>
      </c>
    </row>
    <row r="1416" spans="2:36">
      <c r="B1416" s="290">
        <v>2111</v>
      </c>
      <c r="C1416" s="294">
        <v>11410</v>
      </c>
      <c r="D1416" s="290" t="s">
        <v>944</v>
      </c>
      <c r="E1416" s="289" t="s">
        <v>3767</v>
      </c>
      <c r="F1416" s="290">
        <v>5</v>
      </c>
      <c r="G1416" s="289"/>
      <c r="H1416" s="289"/>
      <c r="I1416" s="289"/>
      <c r="J1416" s="289">
        <v>0</v>
      </c>
      <c r="K1416" s="289" t="s">
        <v>2125</v>
      </c>
      <c r="L1416" s="289"/>
      <c r="M1416" s="289" t="s">
        <v>2428</v>
      </c>
      <c r="N1416" s="293">
        <v>37027</v>
      </c>
      <c r="O1416" s="293">
        <v>37027</v>
      </c>
      <c r="P1416" s="289" t="s">
        <v>3768</v>
      </c>
      <c r="Q1416" s="290">
        <v>1200</v>
      </c>
      <c r="R1416" s="290">
        <v>14050</v>
      </c>
      <c r="S1416" s="291">
        <v>29.25</v>
      </c>
      <c r="T1416" s="290">
        <v>14056</v>
      </c>
      <c r="U1416" s="291">
        <v>29.25</v>
      </c>
      <c r="V1416" s="291">
        <f t="shared" si="21"/>
        <v>0</v>
      </c>
      <c r="W1416" s="292">
        <v>0</v>
      </c>
      <c r="X1416" s="290">
        <v>54260</v>
      </c>
      <c r="Y1416" s="291">
        <v>0</v>
      </c>
      <c r="Z1416" s="289" t="s">
        <v>944</v>
      </c>
      <c r="AA1416" s="289"/>
      <c r="AB1416" s="289">
        <v>121889</v>
      </c>
      <c r="AC1416" s="289"/>
      <c r="AD1416" s="289" t="s">
        <v>1446</v>
      </c>
      <c r="AE1416" s="289" t="s">
        <v>410</v>
      </c>
      <c r="AF1416" s="290" t="s">
        <v>1447</v>
      </c>
      <c r="AG1416" s="289"/>
      <c r="AH1416" s="290" t="s">
        <v>1448</v>
      </c>
      <c r="AI1416" s="289">
        <v>0</v>
      </c>
      <c r="AJ1416" s="289">
        <v>0</v>
      </c>
    </row>
    <row r="1417" spans="2:36">
      <c r="B1417" s="290">
        <v>2111</v>
      </c>
      <c r="C1417" s="294">
        <v>11409</v>
      </c>
      <c r="D1417" s="290" t="s">
        <v>944</v>
      </c>
      <c r="E1417" s="289" t="s">
        <v>3769</v>
      </c>
      <c r="F1417" s="290">
        <v>12</v>
      </c>
      <c r="G1417" s="289"/>
      <c r="H1417" s="289"/>
      <c r="I1417" s="289"/>
      <c r="J1417" s="289">
        <v>0</v>
      </c>
      <c r="K1417" s="289" t="s">
        <v>2125</v>
      </c>
      <c r="L1417" s="289"/>
      <c r="M1417" s="289" t="s">
        <v>2428</v>
      </c>
      <c r="N1417" s="293">
        <v>37026</v>
      </c>
      <c r="O1417" s="293">
        <v>37026</v>
      </c>
      <c r="P1417" s="289" t="s">
        <v>3770</v>
      </c>
      <c r="Q1417" s="290">
        <v>1200</v>
      </c>
      <c r="R1417" s="290">
        <v>14050</v>
      </c>
      <c r="S1417" s="291">
        <v>54.91</v>
      </c>
      <c r="T1417" s="290">
        <v>14056</v>
      </c>
      <c r="U1417" s="291">
        <v>54.91</v>
      </c>
      <c r="V1417" s="291">
        <f t="shared" si="21"/>
        <v>0</v>
      </c>
      <c r="W1417" s="292">
        <v>0</v>
      </c>
      <c r="X1417" s="290">
        <v>54260</v>
      </c>
      <c r="Y1417" s="291">
        <v>0</v>
      </c>
      <c r="Z1417" s="289" t="s">
        <v>944</v>
      </c>
      <c r="AA1417" s="289"/>
      <c r="AB1417" s="289">
        <v>121890</v>
      </c>
      <c r="AC1417" s="289"/>
      <c r="AD1417" s="289" t="s">
        <v>1446</v>
      </c>
      <c r="AE1417" s="289" t="s">
        <v>410</v>
      </c>
      <c r="AF1417" s="290" t="s">
        <v>1447</v>
      </c>
      <c r="AG1417" s="289"/>
      <c r="AH1417" s="290" t="s">
        <v>1448</v>
      </c>
      <c r="AI1417" s="289">
        <v>0</v>
      </c>
      <c r="AJ1417" s="289">
        <v>0</v>
      </c>
    </row>
    <row r="1418" spans="2:36">
      <c r="B1418" s="290">
        <v>2111</v>
      </c>
      <c r="C1418" s="294">
        <v>11294</v>
      </c>
      <c r="D1418" s="290"/>
      <c r="E1418" s="289" t="s">
        <v>3771</v>
      </c>
      <c r="F1418" s="290">
        <v>0</v>
      </c>
      <c r="G1418" s="289"/>
      <c r="H1418" s="289" t="s">
        <v>3772</v>
      </c>
      <c r="I1418" s="289"/>
      <c r="J1418" s="289">
        <v>0</v>
      </c>
      <c r="K1418" s="289" t="s">
        <v>3753</v>
      </c>
      <c r="L1418" s="289"/>
      <c r="M1418" s="289"/>
      <c r="N1418" s="293">
        <v>37117</v>
      </c>
      <c r="O1418" s="293">
        <v>37117</v>
      </c>
      <c r="P1418" s="289" t="s">
        <v>3754</v>
      </c>
      <c r="Q1418" s="290">
        <v>500</v>
      </c>
      <c r="R1418" s="290">
        <v>14110</v>
      </c>
      <c r="S1418" s="291">
        <v>4376.91</v>
      </c>
      <c r="T1418" s="290">
        <v>14116</v>
      </c>
      <c r="U1418" s="291">
        <v>4376.91</v>
      </c>
      <c r="V1418" s="291">
        <f t="shared" si="21"/>
        <v>0</v>
      </c>
      <c r="W1418" s="292">
        <v>0</v>
      </c>
      <c r="X1418" s="290">
        <v>70260</v>
      </c>
      <c r="Y1418" s="291">
        <v>0</v>
      </c>
      <c r="Z1418" s="289" t="s">
        <v>944</v>
      </c>
      <c r="AA1418" s="289"/>
      <c r="AB1418" s="289">
        <v>9090001</v>
      </c>
      <c r="AC1418" s="289"/>
      <c r="AD1418" s="289" t="s">
        <v>1446</v>
      </c>
      <c r="AE1418" s="289" t="s">
        <v>410</v>
      </c>
      <c r="AF1418" s="290" t="s">
        <v>1447</v>
      </c>
      <c r="AG1418" s="289"/>
      <c r="AH1418" s="290" t="s">
        <v>1448</v>
      </c>
      <c r="AI1418" s="289">
        <v>0</v>
      </c>
      <c r="AJ1418" s="289">
        <v>0</v>
      </c>
    </row>
    <row r="1419" spans="2:36">
      <c r="B1419" s="290">
        <v>2111</v>
      </c>
      <c r="C1419" s="294">
        <v>11293</v>
      </c>
      <c r="D1419" s="290"/>
      <c r="E1419" s="289" t="s">
        <v>3773</v>
      </c>
      <c r="F1419" s="290">
        <v>0</v>
      </c>
      <c r="G1419" s="289"/>
      <c r="H1419" s="289"/>
      <c r="I1419" s="289"/>
      <c r="J1419" s="289">
        <v>0</v>
      </c>
      <c r="K1419" s="289" t="s">
        <v>2954</v>
      </c>
      <c r="L1419" s="289"/>
      <c r="M1419" s="289"/>
      <c r="N1419" s="293">
        <v>37086</v>
      </c>
      <c r="O1419" s="293">
        <v>37086</v>
      </c>
      <c r="P1419" s="289" t="s">
        <v>3774</v>
      </c>
      <c r="Q1419" s="290">
        <v>300</v>
      </c>
      <c r="R1419" s="290">
        <v>14110</v>
      </c>
      <c r="S1419" s="291">
        <v>158.82</v>
      </c>
      <c r="T1419" s="290">
        <v>14116</v>
      </c>
      <c r="U1419" s="291">
        <v>158.82</v>
      </c>
      <c r="V1419" s="291">
        <f t="shared" si="21"/>
        <v>0</v>
      </c>
      <c r="W1419" s="292">
        <v>0</v>
      </c>
      <c r="X1419" s="290">
        <v>70260</v>
      </c>
      <c r="Y1419" s="291">
        <v>0</v>
      </c>
      <c r="Z1419" s="289" t="s">
        <v>944</v>
      </c>
      <c r="AA1419" s="289"/>
      <c r="AB1419" s="289">
        <v>8698018</v>
      </c>
      <c r="AC1419" s="289"/>
      <c r="AD1419" s="289" t="s">
        <v>1446</v>
      </c>
      <c r="AE1419" s="289" t="s">
        <v>410</v>
      </c>
      <c r="AF1419" s="290" t="s">
        <v>1447</v>
      </c>
      <c r="AG1419" s="289"/>
      <c r="AH1419" s="290" t="s">
        <v>1448</v>
      </c>
      <c r="AI1419" s="289">
        <v>0</v>
      </c>
      <c r="AJ1419" s="289">
        <v>0</v>
      </c>
    </row>
    <row r="1420" spans="2:36">
      <c r="B1420" s="290">
        <v>2111</v>
      </c>
      <c r="C1420" s="294">
        <v>11280</v>
      </c>
      <c r="D1420" s="290" t="s">
        <v>944</v>
      </c>
      <c r="E1420" s="289" t="s">
        <v>3775</v>
      </c>
      <c r="F1420" s="290">
        <v>1296</v>
      </c>
      <c r="G1420" s="289"/>
      <c r="H1420" s="289" t="s">
        <v>3776</v>
      </c>
      <c r="I1420" s="289"/>
      <c r="J1420" s="289">
        <v>0</v>
      </c>
      <c r="K1420" s="289" t="s">
        <v>2560</v>
      </c>
      <c r="L1420" s="289"/>
      <c r="M1420" s="289"/>
      <c r="N1420" s="293">
        <v>37057</v>
      </c>
      <c r="O1420" s="293">
        <v>37057</v>
      </c>
      <c r="P1420" s="289" t="s">
        <v>3777</v>
      </c>
      <c r="Q1420" s="290">
        <v>700</v>
      </c>
      <c r="R1420" s="290">
        <v>14050</v>
      </c>
      <c r="S1420" s="291">
        <v>55543.32</v>
      </c>
      <c r="T1420" s="290">
        <v>14056</v>
      </c>
      <c r="U1420" s="291">
        <v>55543.32</v>
      </c>
      <c r="V1420" s="291">
        <f t="shared" si="21"/>
        <v>0</v>
      </c>
      <c r="W1420" s="292">
        <v>0</v>
      </c>
      <c r="X1420" s="290">
        <v>54260</v>
      </c>
      <c r="Y1420" s="291">
        <v>0</v>
      </c>
      <c r="Z1420" s="289" t="s">
        <v>944</v>
      </c>
      <c r="AA1420" s="289"/>
      <c r="AB1420" s="289" t="s">
        <v>3764</v>
      </c>
      <c r="AC1420" s="289"/>
      <c r="AD1420" s="289" t="s">
        <v>1446</v>
      </c>
      <c r="AE1420" s="289" t="s">
        <v>410</v>
      </c>
      <c r="AF1420" s="290" t="s">
        <v>1447</v>
      </c>
      <c r="AG1420" s="289"/>
      <c r="AH1420" s="290" t="s">
        <v>1448</v>
      </c>
      <c r="AI1420" s="289">
        <v>0</v>
      </c>
      <c r="AJ1420" s="289">
        <v>0</v>
      </c>
    </row>
    <row r="1421" spans="2:36">
      <c r="B1421" s="290">
        <v>2111</v>
      </c>
      <c r="C1421" s="294">
        <v>11279</v>
      </c>
      <c r="D1421" s="290" t="s">
        <v>944</v>
      </c>
      <c r="E1421" s="289" t="s">
        <v>2570</v>
      </c>
      <c r="F1421" s="290">
        <v>7</v>
      </c>
      <c r="G1421" s="289"/>
      <c r="H1421" s="289"/>
      <c r="I1421" s="289"/>
      <c r="J1421" s="289">
        <v>0</v>
      </c>
      <c r="K1421" s="289" t="s">
        <v>2125</v>
      </c>
      <c r="L1421" s="289"/>
      <c r="M1421" s="289" t="s">
        <v>1664</v>
      </c>
      <c r="N1421" s="293">
        <v>37110</v>
      </c>
      <c r="O1421" s="293">
        <v>37110</v>
      </c>
      <c r="P1421" s="289" t="s">
        <v>3750</v>
      </c>
      <c r="Q1421" s="290">
        <v>1200</v>
      </c>
      <c r="R1421" s="290">
        <v>14050</v>
      </c>
      <c r="S1421" s="291">
        <v>3417.75</v>
      </c>
      <c r="T1421" s="290">
        <v>14056</v>
      </c>
      <c r="U1421" s="291">
        <v>3417.75</v>
      </c>
      <c r="V1421" s="291">
        <f t="shared" si="21"/>
        <v>0</v>
      </c>
      <c r="W1421" s="292">
        <v>0</v>
      </c>
      <c r="X1421" s="290">
        <v>54260</v>
      </c>
      <c r="Y1421" s="291">
        <v>0</v>
      </c>
      <c r="Z1421" s="289" t="s">
        <v>944</v>
      </c>
      <c r="AA1421" s="289"/>
      <c r="AB1421" s="289">
        <v>124304</v>
      </c>
      <c r="AC1421" s="289"/>
      <c r="AD1421" s="289" t="s">
        <v>1446</v>
      </c>
      <c r="AE1421" s="289" t="s">
        <v>410</v>
      </c>
      <c r="AF1421" s="290" t="s">
        <v>1447</v>
      </c>
      <c r="AG1421" s="289"/>
      <c r="AH1421" s="290" t="s">
        <v>1448</v>
      </c>
      <c r="AI1421" s="289">
        <v>0</v>
      </c>
      <c r="AJ1421" s="289">
        <v>0</v>
      </c>
    </row>
    <row r="1422" spans="2:36">
      <c r="B1422" s="290">
        <v>2111</v>
      </c>
      <c r="C1422" s="294">
        <v>11258</v>
      </c>
      <c r="D1422" s="290" t="s">
        <v>944</v>
      </c>
      <c r="E1422" s="289" t="s">
        <v>3778</v>
      </c>
      <c r="F1422" s="290">
        <v>0</v>
      </c>
      <c r="G1422" s="289"/>
      <c r="H1422" s="289">
        <v>713217</v>
      </c>
      <c r="I1422" s="289"/>
      <c r="J1422" s="289">
        <v>2001</v>
      </c>
      <c r="K1422" s="289" t="s">
        <v>3779</v>
      </c>
      <c r="L1422" s="289" t="s">
        <v>2214</v>
      </c>
      <c r="M1422" s="289" t="s">
        <v>1467</v>
      </c>
      <c r="N1422" s="293">
        <v>36972</v>
      </c>
      <c r="O1422" s="293">
        <v>36972</v>
      </c>
      <c r="P1422" s="289" t="s">
        <v>3780</v>
      </c>
      <c r="Q1422" s="290">
        <v>1000</v>
      </c>
      <c r="R1422" s="290">
        <v>14040</v>
      </c>
      <c r="S1422" s="291">
        <v>3209.43</v>
      </c>
      <c r="T1422" s="290">
        <v>14046</v>
      </c>
      <c r="U1422" s="291">
        <v>3209.43</v>
      </c>
      <c r="V1422" s="291">
        <f t="shared" ref="V1422:V1485" si="22">S1422-U1422</f>
        <v>0</v>
      </c>
      <c r="W1422" s="292">
        <v>0</v>
      </c>
      <c r="X1422" s="290">
        <v>51260</v>
      </c>
      <c r="Y1422" s="291">
        <v>0</v>
      </c>
      <c r="Z1422" s="289" t="s">
        <v>944</v>
      </c>
      <c r="AA1422" s="289"/>
      <c r="AB1422" s="289">
        <v>51409</v>
      </c>
      <c r="AC1422" s="289"/>
      <c r="AD1422" s="289" t="s">
        <v>1446</v>
      </c>
      <c r="AE1422" s="289" t="s">
        <v>410</v>
      </c>
      <c r="AF1422" s="290" t="s">
        <v>1447</v>
      </c>
      <c r="AG1422" s="289"/>
      <c r="AH1422" s="290" t="s">
        <v>1448</v>
      </c>
      <c r="AI1422" s="289">
        <v>0</v>
      </c>
      <c r="AJ1422" s="289">
        <v>0</v>
      </c>
    </row>
    <row r="1423" spans="2:36">
      <c r="B1423" s="290">
        <v>2111</v>
      </c>
      <c r="C1423" s="294">
        <v>11252</v>
      </c>
      <c r="D1423" s="290"/>
      <c r="E1423" s="289" t="s">
        <v>3781</v>
      </c>
      <c r="F1423" s="290">
        <v>0</v>
      </c>
      <c r="G1423" s="289"/>
      <c r="H1423" s="289"/>
      <c r="I1423" s="289"/>
      <c r="J1423" s="289">
        <v>0</v>
      </c>
      <c r="K1423" s="289" t="s">
        <v>3782</v>
      </c>
      <c r="L1423" s="289"/>
      <c r="M1423" s="289"/>
      <c r="N1423" s="293">
        <v>37085</v>
      </c>
      <c r="O1423" s="293">
        <v>37085</v>
      </c>
      <c r="P1423" s="289" t="s">
        <v>3783</v>
      </c>
      <c r="Q1423" s="290">
        <v>500</v>
      </c>
      <c r="R1423" s="290">
        <v>14100</v>
      </c>
      <c r="S1423" s="291">
        <v>4232.59</v>
      </c>
      <c r="T1423" s="290">
        <v>14106</v>
      </c>
      <c r="U1423" s="291">
        <v>4232.59</v>
      </c>
      <c r="V1423" s="291">
        <f t="shared" si="22"/>
        <v>0</v>
      </c>
      <c r="W1423" s="292">
        <v>0</v>
      </c>
      <c r="X1423" s="290">
        <v>70260</v>
      </c>
      <c r="Y1423" s="291">
        <v>0</v>
      </c>
      <c r="Z1423" s="289" t="s">
        <v>944</v>
      </c>
      <c r="AA1423" s="289"/>
      <c r="AB1423" s="289">
        <v>31227</v>
      </c>
      <c r="AC1423" s="289"/>
      <c r="AD1423" s="289" t="s">
        <v>1446</v>
      </c>
      <c r="AE1423" s="289" t="s">
        <v>410</v>
      </c>
      <c r="AF1423" s="290" t="s">
        <v>1447</v>
      </c>
      <c r="AG1423" s="289"/>
      <c r="AH1423" s="290" t="s">
        <v>1448</v>
      </c>
      <c r="AI1423" s="289">
        <v>0</v>
      </c>
      <c r="AJ1423" s="289">
        <v>0</v>
      </c>
    </row>
    <row r="1424" spans="2:36">
      <c r="B1424" s="290">
        <v>2111</v>
      </c>
      <c r="C1424" s="294">
        <v>10829</v>
      </c>
      <c r="D1424" s="290" t="s">
        <v>944</v>
      </c>
      <c r="E1424" s="289" t="s">
        <v>2576</v>
      </c>
      <c r="F1424" s="290">
        <v>0</v>
      </c>
      <c r="G1424" s="289"/>
      <c r="H1424" s="289" t="s">
        <v>3438</v>
      </c>
      <c r="I1424" s="289"/>
      <c r="J1424" s="289">
        <v>2001</v>
      </c>
      <c r="K1424" s="289" t="s">
        <v>2578</v>
      </c>
      <c r="L1424" s="289" t="s">
        <v>2214</v>
      </c>
      <c r="M1424" s="289" t="s">
        <v>1467</v>
      </c>
      <c r="N1424" s="293">
        <v>37072</v>
      </c>
      <c r="O1424" s="293">
        <v>37072</v>
      </c>
      <c r="P1424" s="289" t="s">
        <v>3784</v>
      </c>
      <c r="Q1424" s="290">
        <v>300</v>
      </c>
      <c r="R1424" s="290">
        <v>14040</v>
      </c>
      <c r="S1424" s="291">
        <v>26077</v>
      </c>
      <c r="T1424" s="290">
        <v>14046</v>
      </c>
      <c r="U1424" s="291">
        <v>26077</v>
      </c>
      <c r="V1424" s="291">
        <f t="shared" si="22"/>
        <v>0</v>
      </c>
      <c r="W1424" s="292">
        <v>0</v>
      </c>
      <c r="X1424" s="290">
        <v>51260</v>
      </c>
      <c r="Y1424" s="291">
        <v>0</v>
      </c>
      <c r="Z1424" s="289" t="s">
        <v>12</v>
      </c>
      <c r="AA1424" s="289"/>
      <c r="AB1424" s="289"/>
      <c r="AC1424" s="289"/>
      <c r="AD1424" s="289" t="s">
        <v>1446</v>
      </c>
      <c r="AE1424" s="289" t="s">
        <v>410</v>
      </c>
      <c r="AF1424" s="290" t="s">
        <v>1447</v>
      </c>
      <c r="AG1424" s="289"/>
      <c r="AH1424" s="290" t="s">
        <v>1448</v>
      </c>
      <c r="AI1424" s="289">
        <v>0</v>
      </c>
      <c r="AJ1424" s="289">
        <v>0</v>
      </c>
    </row>
    <row r="1425" spans="2:36">
      <c r="B1425" s="290">
        <v>2111</v>
      </c>
      <c r="C1425" s="294">
        <v>10766</v>
      </c>
      <c r="D1425" s="290"/>
      <c r="E1425" s="289" t="s">
        <v>3785</v>
      </c>
      <c r="F1425" s="290">
        <v>0</v>
      </c>
      <c r="G1425" s="289"/>
      <c r="H1425" s="289"/>
      <c r="I1425" s="289"/>
      <c r="J1425" s="289">
        <v>0</v>
      </c>
      <c r="K1425" s="289" t="s">
        <v>3786</v>
      </c>
      <c r="L1425" s="289"/>
      <c r="M1425" s="289"/>
      <c r="N1425" s="293">
        <v>37060</v>
      </c>
      <c r="O1425" s="293">
        <v>37060</v>
      </c>
      <c r="P1425" s="289" t="s">
        <v>3774</v>
      </c>
      <c r="Q1425" s="290">
        <v>300</v>
      </c>
      <c r="R1425" s="290">
        <v>14110</v>
      </c>
      <c r="S1425" s="291">
        <v>2718.75</v>
      </c>
      <c r="T1425" s="290">
        <v>14116</v>
      </c>
      <c r="U1425" s="291">
        <v>2718.75</v>
      </c>
      <c r="V1425" s="291">
        <f t="shared" si="22"/>
        <v>0</v>
      </c>
      <c r="W1425" s="292">
        <v>0</v>
      </c>
      <c r="X1425" s="290">
        <v>70260</v>
      </c>
      <c r="Y1425" s="291">
        <v>0</v>
      </c>
      <c r="Z1425" s="289" t="s">
        <v>944</v>
      </c>
      <c r="AA1425" s="289"/>
      <c r="AB1425" s="289">
        <v>22650</v>
      </c>
      <c r="AC1425" s="289"/>
      <c r="AD1425" s="289" t="s">
        <v>1446</v>
      </c>
      <c r="AE1425" s="289" t="s">
        <v>410</v>
      </c>
      <c r="AF1425" s="290" t="s">
        <v>1447</v>
      </c>
      <c r="AG1425" s="289"/>
      <c r="AH1425" s="290" t="s">
        <v>1448</v>
      </c>
      <c r="AI1425" s="289">
        <v>0</v>
      </c>
      <c r="AJ1425" s="289">
        <v>0</v>
      </c>
    </row>
    <row r="1426" spans="2:36">
      <c r="B1426" s="290">
        <v>2111</v>
      </c>
      <c r="C1426" s="294">
        <v>10753</v>
      </c>
      <c r="D1426" s="290" t="s">
        <v>944</v>
      </c>
      <c r="E1426" s="289" t="s">
        <v>3787</v>
      </c>
      <c r="F1426" s="290">
        <v>10</v>
      </c>
      <c r="G1426" s="289"/>
      <c r="H1426" s="289" t="s">
        <v>3788</v>
      </c>
      <c r="I1426" s="289"/>
      <c r="J1426" s="289">
        <v>0</v>
      </c>
      <c r="K1426" s="289" t="s">
        <v>2592</v>
      </c>
      <c r="L1426" s="289"/>
      <c r="M1426" s="289" t="s">
        <v>1918</v>
      </c>
      <c r="N1426" s="293">
        <v>37035</v>
      </c>
      <c r="O1426" s="293">
        <v>37035</v>
      </c>
      <c r="P1426" s="289" t="s">
        <v>3789</v>
      </c>
      <c r="Q1426" s="290">
        <v>1200</v>
      </c>
      <c r="R1426" s="290">
        <v>14050</v>
      </c>
      <c r="S1426" s="291">
        <v>3078.58</v>
      </c>
      <c r="T1426" s="290">
        <v>14056</v>
      </c>
      <c r="U1426" s="291">
        <v>3078.58</v>
      </c>
      <c r="V1426" s="291">
        <f t="shared" si="22"/>
        <v>0</v>
      </c>
      <c r="W1426" s="292">
        <v>0</v>
      </c>
      <c r="X1426" s="290">
        <v>54260</v>
      </c>
      <c r="Y1426" s="291">
        <v>0</v>
      </c>
      <c r="Z1426" s="289" t="s">
        <v>944</v>
      </c>
      <c r="AA1426" s="289"/>
      <c r="AB1426" s="289">
        <v>37383</v>
      </c>
      <c r="AC1426" s="289"/>
      <c r="AD1426" s="289" t="s">
        <v>1446</v>
      </c>
      <c r="AE1426" s="289" t="s">
        <v>410</v>
      </c>
      <c r="AF1426" s="290" t="s">
        <v>1447</v>
      </c>
      <c r="AG1426" s="289"/>
      <c r="AH1426" s="290" t="s">
        <v>1448</v>
      </c>
      <c r="AI1426" s="289">
        <v>0</v>
      </c>
      <c r="AJ1426" s="289">
        <v>0</v>
      </c>
    </row>
    <row r="1427" spans="2:36">
      <c r="B1427" s="290">
        <v>2111</v>
      </c>
      <c r="C1427" s="294">
        <v>10752</v>
      </c>
      <c r="D1427" s="290" t="s">
        <v>944</v>
      </c>
      <c r="E1427" s="289" t="s">
        <v>3790</v>
      </c>
      <c r="F1427" s="290">
        <v>4</v>
      </c>
      <c r="G1427" s="289"/>
      <c r="H1427" s="289"/>
      <c r="I1427" s="289"/>
      <c r="J1427" s="289">
        <v>0</v>
      </c>
      <c r="K1427" s="289" t="s">
        <v>2462</v>
      </c>
      <c r="L1427" s="289"/>
      <c r="M1427" s="289" t="s">
        <v>1664</v>
      </c>
      <c r="N1427" s="293">
        <v>37027</v>
      </c>
      <c r="O1427" s="293">
        <v>37027</v>
      </c>
      <c r="P1427" s="289" t="s">
        <v>3768</v>
      </c>
      <c r="Q1427" s="290">
        <v>1200</v>
      </c>
      <c r="R1427" s="290">
        <v>14050</v>
      </c>
      <c r="S1427" s="291">
        <v>1935</v>
      </c>
      <c r="T1427" s="290">
        <v>14056</v>
      </c>
      <c r="U1427" s="291">
        <v>1935</v>
      </c>
      <c r="V1427" s="291">
        <f t="shared" si="22"/>
        <v>0</v>
      </c>
      <c r="W1427" s="292">
        <v>0</v>
      </c>
      <c r="X1427" s="290">
        <v>54260</v>
      </c>
      <c r="Y1427" s="291">
        <v>0</v>
      </c>
      <c r="Z1427" s="289" t="s">
        <v>944</v>
      </c>
      <c r="AA1427" s="289"/>
      <c r="AB1427" s="289">
        <v>121889</v>
      </c>
      <c r="AC1427" s="289"/>
      <c r="AD1427" s="289" t="s">
        <v>1446</v>
      </c>
      <c r="AE1427" s="289" t="s">
        <v>410</v>
      </c>
      <c r="AF1427" s="290" t="s">
        <v>1447</v>
      </c>
      <c r="AG1427" s="289"/>
      <c r="AH1427" s="290" t="s">
        <v>1448</v>
      </c>
      <c r="AI1427" s="289">
        <v>2</v>
      </c>
      <c r="AJ1427" s="289">
        <v>0</v>
      </c>
    </row>
    <row r="1428" spans="2:36">
      <c r="B1428" s="290">
        <v>2111</v>
      </c>
      <c r="C1428" s="294">
        <v>10751</v>
      </c>
      <c r="D1428" s="290" t="s">
        <v>944</v>
      </c>
      <c r="E1428" s="289" t="s">
        <v>3791</v>
      </c>
      <c r="F1428" s="290">
        <v>1</v>
      </c>
      <c r="G1428" s="289"/>
      <c r="H1428" s="289"/>
      <c r="I1428" s="289"/>
      <c r="J1428" s="289">
        <v>0</v>
      </c>
      <c r="K1428" s="289" t="s">
        <v>2462</v>
      </c>
      <c r="L1428" s="289"/>
      <c r="M1428" s="289" t="s">
        <v>1659</v>
      </c>
      <c r="N1428" s="293">
        <v>37026</v>
      </c>
      <c r="O1428" s="293">
        <v>37026</v>
      </c>
      <c r="P1428" s="289" t="s">
        <v>3770</v>
      </c>
      <c r="Q1428" s="290">
        <v>1200</v>
      </c>
      <c r="R1428" s="290">
        <v>14050</v>
      </c>
      <c r="S1428" s="291">
        <v>378.4</v>
      </c>
      <c r="T1428" s="290">
        <v>14056</v>
      </c>
      <c r="U1428" s="291">
        <v>378.4</v>
      </c>
      <c r="V1428" s="291">
        <f t="shared" si="22"/>
        <v>0</v>
      </c>
      <c r="W1428" s="292">
        <v>0</v>
      </c>
      <c r="X1428" s="290">
        <v>54260</v>
      </c>
      <c r="Y1428" s="291">
        <v>0</v>
      </c>
      <c r="Z1428" s="289" t="s">
        <v>944</v>
      </c>
      <c r="AA1428" s="289"/>
      <c r="AB1428" s="289">
        <v>121890</v>
      </c>
      <c r="AC1428" s="289"/>
      <c r="AD1428" s="289" t="s">
        <v>1446</v>
      </c>
      <c r="AE1428" s="289" t="s">
        <v>410</v>
      </c>
      <c r="AF1428" s="290" t="s">
        <v>1447</v>
      </c>
      <c r="AG1428" s="295">
        <v>44681</v>
      </c>
      <c r="AH1428" s="290" t="s">
        <v>1448</v>
      </c>
      <c r="AI1428" s="289">
        <v>2</v>
      </c>
      <c r="AJ1428" s="289">
        <v>378.4</v>
      </c>
    </row>
    <row r="1429" spans="2:36">
      <c r="B1429" s="290">
        <v>2111</v>
      </c>
      <c r="C1429" s="294">
        <v>10750</v>
      </c>
      <c r="D1429" s="290" t="s">
        <v>944</v>
      </c>
      <c r="E1429" s="289" t="s">
        <v>3792</v>
      </c>
      <c r="F1429" s="290">
        <v>10</v>
      </c>
      <c r="G1429" s="289"/>
      <c r="H1429" s="289"/>
      <c r="I1429" s="289"/>
      <c r="J1429" s="289">
        <v>0</v>
      </c>
      <c r="K1429" s="289" t="s">
        <v>2462</v>
      </c>
      <c r="L1429" s="289"/>
      <c r="M1429" s="289" t="s">
        <v>1667</v>
      </c>
      <c r="N1429" s="293">
        <v>37028</v>
      </c>
      <c r="O1429" s="293">
        <v>37028</v>
      </c>
      <c r="P1429" s="289" t="s">
        <v>3766</v>
      </c>
      <c r="Q1429" s="290">
        <v>1200</v>
      </c>
      <c r="R1429" s="290">
        <v>14050</v>
      </c>
      <c r="S1429" s="291">
        <v>38377.5</v>
      </c>
      <c r="T1429" s="290">
        <v>14056</v>
      </c>
      <c r="U1429" s="291">
        <v>38377.5</v>
      </c>
      <c r="V1429" s="291">
        <f t="shared" si="22"/>
        <v>0</v>
      </c>
      <c r="W1429" s="292">
        <v>0</v>
      </c>
      <c r="X1429" s="290">
        <v>54260</v>
      </c>
      <c r="Y1429" s="291">
        <v>0</v>
      </c>
      <c r="Z1429" s="289" t="s">
        <v>944</v>
      </c>
      <c r="AA1429" s="289"/>
      <c r="AB1429" s="289">
        <v>121888</v>
      </c>
      <c r="AC1429" s="289"/>
      <c r="AD1429" s="289" t="s">
        <v>1446</v>
      </c>
      <c r="AE1429" s="289" t="s">
        <v>410</v>
      </c>
      <c r="AF1429" s="290" t="s">
        <v>1447</v>
      </c>
      <c r="AG1429" s="289"/>
      <c r="AH1429" s="290" t="s">
        <v>1448</v>
      </c>
      <c r="AI1429" s="289">
        <v>0</v>
      </c>
      <c r="AJ1429" s="289">
        <v>0</v>
      </c>
    </row>
    <row r="1430" spans="2:36">
      <c r="B1430" s="290">
        <v>2111</v>
      </c>
      <c r="C1430" s="294">
        <v>10323</v>
      </c>
      <c r="D1430" s="290" t="s">
        <v>944</v>
      </c>
      <c r="E1430" s="289" t="s">
        <v>3793</v>
      </c>
      <c r="F1430" s="290">
        <v>10</v>
      </c>
      <c r="G1430" s="289"/>
      <c r="H1430" s="289" t="s">
        <v>3794</v>
      </c>
      <c r="I1430" s="289"/>
      <c r="J1430" s="289">
        <v>0</v>
      </c>
      <c r="K1430" s="289" t="s">
        <v>3795</v>
      </c>
      <c r="L1430" s="289"/>
      <c r="M1430" s="289" t="s">
        <v>1665</v>
      </c>
      <c r="N1430" s="293">
        <v>36943</v>
      </c>
      <c r="O1430" s="293">
        <v>36943</v>
      </c>
      <c r="P1430" s="289">
        <v>12132001</v>
      </c>
      <c r="Q1430" s="290">
        <v>1200</v>
      </c>
      <c r="R1430" s="290">
        <v>14050</v>
      </c>
      <c r="S1430" s="291">
        <v>3091.98</v>
      </c>
      <c r="T1430" s="290">
        <v>14056</v>
      </c>
      <c r="U1430" s="291">
        <v>3091.98</v>
      </c>
      <c r="V1430" s="291">
        <f t="shared" si="22"/>
        <v>0</v>
      </c>
      <c r="W1430" s="292">
        <v>0</v>
      </c>
      <c r="X1430" s="290">
        <v>54260</v>
      </c>
      <c r="Y1430" s="291">
        <v>0</v>
      </c>
      <c r="Z1430" s="289" t="s">
        <v>944</v>
      </c>
      <c r="AA1430" s="289"/>
      <c r="AB1430" s="289">
        <v>36955</v>
      </c>
      <c r="AC1430" s="289"/>
      <c r="AD1430" s="289" t="s">
        <v>1446</v>
      </c>
      <c r="AE1430" s="289" t="s">
        <v>410</v>
      </c>
      <c r="AF1430" s="290" t="s">
        <v>1447</v>
      </c>
      <c r="AG1430" s="289"/>
      <c r="AH1430" s="290" t="s">
        <v>1448</v>
      </c>
      <c r="AI1430" s="289">
        <v>0</v>
      </c>
      <c r="AJ1430" s="289">
        <v>0</v>
      </c>
    </row>
    <row r="1431" spans="2:36">
      <c r="B1431" s="290">
        <v>2111</v>
      </c>
      <c r="C1431" s="294">
        <v>10322</v>
      </c>
      <c r="D1431" s="290" t="s">
        <v>944</v>
      </c>
      <c r="E1431" s="289" t="s">
        <v>3796</v>
      </c>
      <c r="F1431" s="290">
        <v>10</v>
      </c>
      <c r="G1431" s="289"/>
      <c r="H1431" s="289" t="s">
        <v>3797</v>
      </c>
      <c r="I1431" s="289"/>
      <c r="J1431" s="289">
        <v>0</v>
      </c>
      <c r="K1431" s="289" t="s">
        <v>2592</v>
      </c>
      <c r="L1431" s="289"/>
      <c r="M1431" s="289" t="s">
        <v>1918</v>
      </c>
      <c r="N1431" s="293">
        <v>36943</v>
      </c>
      <c r="O1431" s="293">
        <v>36948</v>
      </c>
      <c r="P1431" s="289">
        <v>12132001</v>
      </c>
      <c r="Q1431" s="290">
        <v>1200</v>
      </c>
      <c r="R1431" s="290">
        <v>14050</v>
      </c>
      <c r="S1431" s="291">
        <v>3003.33</v>
      </c>
      <c r="T1431" s="290">
        <v>14056</v>
      </c>
      <c r="U1431" s="291">
        <v>3003.33</v>
      </c>
      <c r="V1431" s="291">
        <f t="shared" si="22"/>
        <v>0</v>
      </c>
      <c r="W1431" s="292">
        <v>0</v>
      </c>
      <c r="X1431" s="290">
        <v>54260</v>
      </c>
      <c r="Y1431" s="291">
        <v>0</v>
      </c>
      <c r="Z1431" s="289" t="s">
        <v>944</v>
      </c>
      <c r="AA1431" s="289"/>
      <c r="AB1431" s="289">
        <v>36955</v>
      </c>
      <c r="AC1431" s="289"/>
      <c r="AD1431" s="289" t="s">
        <v>1446</v>
      </c>
      <c r="AE1431" s="289" t="s">
        <v>410</v>
      </c>
      <c r="AF1431" s="290" t="s">
        <v>1447</v>
      </c>
      <c r="AG1431" s="289"/>
      <c r="AH1431" s="290" t="s">
        <v>1448</v>
      </c>
      <c r="AI1431" s="289">
        <v>0</v>
      </c>
      <c r="AJ1431" s="289">
        <v>0</v>
      </c>
    </row>
    <row r="1432" spans="2:36">
      <c r="B1432" s="290">
        <v>2111</v>
      </c>
      <c r="C1432" s="294">
        <v>9971</v>
      </c>
      <c r="D1432" s="290"/>
      <c r="E1432" s="289" t="s">
        <v>3798</v>
      </c>
      <c r="F1432" s="290">
        <v>0</v>
      </c>
      <c r="G1432" s="289"/>
      <c r="H1432" s="289"/>
      <c r="I1432" s="289"/>
      <c r="J1432" s="289">
        <v>0</v>
      </c>
      <c r="K1432" s="289" t="s">
        <v>3799</v>
      </c>
      <c r="L1432" s="289"/>
      <c r="M1432" s="289"/>
      <c r="N1432" s="293">
        <v>36916</v>
      </c>
      <c r="O1432" s="293">
        <v>36916</v>
      </c>
      <c r="P1432" s="289" t="s">
        <v>3800</v>
      </c>
      <c r="Q1432" s="290">
        <v>1500</v>
      </c>
      <c r="R1432" s="290">
        <v>14080</v>
      </c>
      <c r="S1432" s="291">
        <v>8108.27</v>
      </c>
      <c r="T1432" s="290">
        <v>14086</v>
      </c>
      <c r="U1432" s="291">
        <v>8108.27</v>
      </c>
      <c r="V1432" s="291">
        <f t="shared" si="22"/>
        <v>0</v>
      </c>
      <c r="W1432" s="292">
        <v>0</v>
      </c>
      <c r="X1432" s="290">
        <v>57260</v>
      </c>
      <c r="Y1432" s="291">
        <v>0</v>
      </c>
      <c r="Z1432" s="289" t="s">
        <v>944</v>
      </c>
      <c r="AA1432" s="289"/>
      <c r="AB1432" s="289"/>
      <c r="AC1432" s="289"/>
      <c r="AD1432" s="289" t="s">
        <v>1446</v>
      </c>
      <c r="AE1432" s="289" t="s">
        <v>410</v>
      </c>
      <c r="AF1432" s="290" t="s">
        <v>1447</v>
      </c>
      <c r="AG1432" s="289"/>
      <c r="AH1432" s="290" t="s">
        <v>1448</v>
      </c>
      <c r="AI1432" s="289">
        <v>0</v>
      </c>
      <c r="AJ1432" s="289">
        <v>0</v>
      </c>
    </row>
    <row r="1433" spans="2:36">
      <c r="B1433" s="290">
        <v>2111</v>
      </c>
      <c r="C1433" s="294">
        <v>9537</v>
      </c>
      <c r="D1433" s="290" t="s">
        <v>944</v>
      </c>
      <c r="E1433" s="289" t="s">
        <v>3048</v>
      </c>
      <c r="F1433" s="290">
        <v>0</v>
      </c>
      <c r="G1433" s="289"/>
      <c r="H1433" s="289" t="s">
        <v>3801</v>
      </c>
      <c r="I1433" s="289"/>
      <c r="J1433" s="289">
        <v>1996</v>
      </c>
      <c r="K1433" s="289" t="s">
        <v>3802</v>
      </c>
      <c r="L1433" s="289" t="s">
        <v>2214</v>
      </c>
      <c r="M1433" s="289" t="s">
        <v>1591</v>
      </c>
      <c r="N1433" s="293">
        <v>36100</v>
      </c>
      <c r="O1433" s="293">
        <v>36100</v>
      </c>
      <c r="P1433" s="289"/>
      <c r="Q1433" s="290">
        <v>800</v>
      </c>
      <c r="R1433" s="290">
        <v>14030</v>
      </c>
      <c r="S1433" s="291">
        <v>52500</v>
      </c>
      <c r="T1433" s="290">
        <v>14036</v>
      </c>
      <c r="U1433" s="291">
        <v>52500</v>
      </c>
      <c r="V1433" s="291">
        <f t="shared" si="22"/>
        <v>0</v>
      </c>
      <c r="W1433" s="292">
        <v>0</v>
      </c>
      <c r="X1433" s="290">
        <v>51260</v>
      </c>
      <c r="Y1433" s="291">
        <v>0</v>
      </c>
      <c r="Z1433" s="289" t="s">
        <v>410</v>
      </c>
      <c r="AA1433" s="289" t="s">
        <v>3803</v>
      </c>
      <c r="AB1433" s="289"/>
      <c r="AC1433" s="289">
        <v>168</v>
      </c>
      <c r="AD1433" s="289" t="s">
        <v>1446</v>
      </c>
      <c r="AE1433" s="289" t="s">
        <v>410</v>
      </c>
      <c r="AF1433" s="290" t="s">
        <v>1447</v>
      </c>
      <c r="AG1433" s="295">
        <v>36860</v>
      </c>
      <c r="AH1433" s="290" t="s">
        <v>1448</v>
      </c>
      <c r="AI1433" s="289">
        <v>0</v>
      </c>
      <c r="AJ1433" s="289">
        <v>13671.87</v>
      </c>
    </row>
    <row r="1434" spans="2:36">
      <c r="B1434" s="290">
        <v>2111</v>
      </c>
      <c r="C1434" s="294">
        <v>9536</v>
      </c>
      <c r="D1434" s="290" t="s">
        <v>944</v>
      </c>
      <c r="E1434" s="289" t="s">
        <v>3048</v>
      </c>
      <c r="F1434" s="290">
        <v>0</v>
      </c>
      <c r="G1434" s="289"/>
      <c r="H1434" s="289" t="s">
        <v>3804</v>
      </c>
      <c r="I1434" s="289"/>
      <c r="J1434" s="289">
        <v>1996</v>
      </c>
      <c r="K1434" s="289" t="s">
        <v>3805</v>
      </c>
      <c r="L1434" s="289" t="s">
        <v>2214</v>
      </c>
      <c r="M1434" s="289" t="s">
        <v>1591</v>
      </c>
      <c r="N1434" s="293">
        <v>36100</v>
      </c>
      <c r="O1434" s="293">
        <v>36100</v>
      </c>
      <c r="P1434" s="289"/>
      <c r="Q1434" s="290">
        <v>800</v>
      </c>
      <c r="R1434" s="290">
        <v>14030</v>
      </c>
      <c r="S1434" s="291">
        <v>52500</v>
      </c>
      <c r="T1434" s="290">
        <v>14036</v>
      </c>
      <c r="U1434" s="291">
        <v>52500</v>
      </c>
      <c r="V1434" s="291">
        <f t="shared" si="22"/>
        <v>0</v>
      </c>
      <c r="W1434" s="292">
        <v>0</v>
      </c>
      <c r="X1434" s="290">
        <v>51260</v>
      </c>
      <c r="Y1434" s="291">
        <v>0</v>
      </c>
      <c r="Z1434" s="289" t="s">
        <v>410</v>
      </c>
      <c r="AA1434" s="289" t="s">
        <v>3803</v>
      </c>
      <c r="AB1434" s="289"/>
      <c r="AC1434" s="289">
        <v>169</v>
      </c>
      <c r="AD1434" s="289" t="s">
        <v>1446</v>
      </c>
      <c r="AE1434" s="289" t="s">
        <v>410</v>
      </c>
      <c r="AF1434" s="290" t="s">
        <v>1447</v>
      </c>
      <c r="AG1434" s="295">
        <v>36860</v>
      </c>
      <c r="AH1434" s="290" t="s">
        <v>1448</v>
      </c>
      <c r="AI1434" s="289">
        <v>0</v>
      </c>
      <c r="AJ1434" s="289">
        <v>13671.87</v>
      </c>
    </row>
    <row r="1435" spans="2:36">
      <c r="B1435" s="290">
        <v>2111</v>
      </c>
      <c r="C1435" s="294">
        <v>9464</v>
      </c>
      <c r="D1435" s="290"/>
      <c r="E1435" s="289" t="s">
        <v>3806</v>
      </c>
      <c r="F1435" s="290">
        <v>0</v>
      </c>
      <c r="G1435" s="289"/>
      <c r="H1435" s="289"/>
      <c r="I1435" s="289"/>
      <c r="J1435" s="289">
        <v>0</v>
      </c>
      <c r="K1435" s="289"/>
      <c r="L1435" s="289"/>
      <c r="M1435" s="289"/>
      <c r="N1435" s="293">
        <v>36831</v>
      </c>
      <c r="O1435" s="293">
        <v>36831</v>
      </c>
      <c r="P1435" s="289"/>
      <c r="Q1435" s="290">
        <v>0</v>
      </c>
      <c r="R1435" s="290">
        <v>14000</v>
      </c>
      <c r="S1435" s="291">
        <v>2855.89</v>
      </c>
      <c r="T1435" s="290">
        <v>14016</v>
      </c>
      <c r="U1435" s="291">
        <v>0</v>
      </c>
      <c r="V1435" s="291">
        <f t="shared" si="22"/>
        <v>2855.89</v>
      </c>
      <c r="W1435" s="292">
        <v>0</v>
      </c>
      <c r="X1435" s="290">
        <v>57260</v>
      </c>
      <c r="Y1435" s="291">
        <v>0</v>
      </c>
      <c r="Z1435" s="289" t="s">
        <v>944</v>
      </c>
      <c r="AA1435" s="289"/>
      <c r="AB1435" s="289"/>
      <c r="AC1435" s="289"/>
      <c r="AD1435" s="289" t="s">
        <v>1446</v>
      </c>
      <c r="AE1435" s="289" t="s">
        <v>410</v>
      </c>
      <c r="AF1435" s="290" t="s">
        <v>1660</v>
      </c>
      <c r="AG1435" s="289"/>
      <c r="AH1435" s="290" t="s">
        <v>1448</v>
      </c>
      <c r="AI1435" s="289">
        <v>0</v>
      </c>
      <c r="AJ1435" s="289">
        <v>0</v>
      </c>
    </row>
    <row r="1436" spans="2:36">
      <c r="B1436" s="290">
        <v>2111</v>
      </c>
      <c r="C1436" s="294">
        <v>9326</v>
      </c>
      <c r="D1436" s="290"/>
      <c r="E1436" s="289" t="s">
        <v>3807</v>
      </c>
      <c r="F1436" s="290">
        <v>0</v>
      </c>
      <c r="G1436" s="289"/>
      <c r="H1436" s="289"/>
      <c r="I1436" s="289"/>
      <c r="J1436" s="289">
        <v>0</v>
      </c>
      <c r="K1436" s="289"/>
      <c r="L1436" s="289"/>
      <c r="M1436" s="289"/>
      <c r="N1436" s="293">
        <v>36800</v>
      </c>
      <c r="O1436" s="293">
        <v>36800</v>
      </c>
      <c r="P1436" s="289"/>
      <c r="Q1436" s="290">
        <v>0</v>
      </c>
      <c r="R1436" s="290">
        <v>14000</v>
      </c>
      <c r="S1436" s="291">
        <v>5696.8</v>
      </c>
      <c r="T1436" s="290">
        <v>14016</v>
      </c>
      <c r="U1436" s="291">
        <v>0</v>
      </c>
      <c r="V1436" s="291">
        <f t="shared" si="22"/>
        <v>5696.8</v>
      </c>
      <c r="W1436" s="292">
        <v>0</v>
      </c>
      <c r="X1436" s="290">
        <v>57260</v>
      </c>
      <c r="Y1436" s="291">
        <v>0</v>
      </c>
      <c r="Z1436" s="289" t="s">
        <v>944</v>
      </c>
      <c r="AA1436" s="289"/>
      <c r="AB1436" s="289"/>
      <c r="AC1436" s="289"/>
      <c r="AD1436" s="289" t="s">
        <v>1446</v>
      </c>
      <c r="AE1436" s="289" t="s">
        <v>410</v>
      </c>
      <c r="AF1436" s="290" t="s">
        <v>1660</v>
      </c>
      <c r="AG1436" s="289"/>
      <c r="AH1436" s="290" t="s">
        <v>1448</v>
      </c>
      <c r="AI1436" s="289">
        <v>0</v>
      </c>
      <c r="AJ1436" s="289">
        <v>0</v>
      </c>
    </row>
    <row r="1437" spans="2:36">
      <c r="B1437" s="290">
        <v>2111</v>
      </c>
      <c r="C1437" s="294">
        <v>8868</v>
      </c>
      <c r="D1437" s="290"/>
      <c r="E1437" s="289" t="s">
        <v>3808</v>
      </c>
      <c r="F1437" s="290">
        <v>0</v>
      </c>
      <c r="G1437" s="289"/>
      <c r="H1437" s="289"/>
      <c r="I1437" s="289"/>
      <c r="J1437" s="289">
        <v>0</v>
      </c>
      <c r="K1437" s="289"/>
      <c r="L1437" s="289"/>
      <c r="M1437" s="289"/>
      <c r="N1437" s="293">
        <v>36770</v>
      </c>
      <c r="O1437" s="293">
        <v>36770</v>
      </c>
      <c r="P1437" s="289"/>
      <c r="Q1437" s="290">
        <v>0</v>
      </c>
      <c r="R1437" s="290">
        <v>14000</v>
      </c>
      <c r="S1437" s="291">
        <v>16450</v>
      </c>
      <c r="T1437" s="290">
        <v>14016</v>
      </c>
      <c r="U1437" s="291">
        <v>0</v>
      </c>
      <c r="V1437" s="291">
        <f t="shared" si="22"/>
        <v>16450</v>
      </c>
      <c r="W1437" s="292">
        <v>0</v>
      </c>
      <c r="X1437" s="290">
        <v>57260</v>
      </c>
      <c r="Y1437" s="291">
        <v>0</v>
      </c>
      <c r="Z1437" s="289" t="s">
        <v>944</v>
      </c>
      <c r="AA1437" s="289"/>
      <c r="AB1437" s="289"/>
      <c r="AC1437" s="289"/>
      <c r="AD1437" s="289" t="s">
        <v>1446</v>
      </c>
      <c r="AE1437" s="289" t="s">
        <v>410</v>
      </c>
      <c r="AF1437" s="290" t="s">
        <v>1660</v>
      </c>
      <c r="AG1437" s="289"/>
      <c r="AH1437" s="290" t="s">
        <v>1448</v>
      </c>
      <c r="AI1437" s="289">
        <v>0</v>
      </c>
      <c r="AJ1437" s="289">
        <v>0</v>
      </c>
    </row>
    <row r="1438" spans="2:36">
      <c r="B1438" s="290">
        <v>2111</v>
      </c>
      <c r="C1438" s="294">
        <v>8788</v>
      </c>
      <c r="D1438" s="290" t="s">
        <v>944</v>
      </c>
      <c r="E1438" s="289" t="s">
        <v>2580</v>
      </c>
      <c r="F1438" s="290">
        <v>432</v>
      </c>
      <c r="G1438" s="289"/>
      <c r="H1438" s="289" t="s">
        <v>3809</v>
      </c>
      <c r="I1438" s="289"/>
      <c r="J1438" s="289">
        <v>0</v>
      </c>
      <c r="K1438" s="289" t="s">
        <v>2560</v>
      </c>
      <c r="L1438" s="289"/>
      <c r="M1438" s="289"/>
      <c r="N1438" s="293">
        <v>36794</v>
      </c>
      <c r="O1438" s="293">
        <v>36794</v>
      </c>
      <c r="P1438" s="289" t="s">
        <v>3810</v>
      </c>
      <c r="Q1438" s="290">
        <v>700</v>
      </c>
      <c r="R1438" s="290">
        <v>14050</v>
      </c>
      <c r="S1438" s="291">
        <v>19902.240000000002</v>
      </c>
      <c r="T1438" s="290">
        <v>14056</v>
      </c>
      <c r="U1438" s="291">
        <v>19902.240000000002</v>
      </c>
      <c r="V1438" s="291">
        <f t="shared" si="22"/>
        <v>0</v>
      </c>
      <c r="W1438" s="292">
        <v>0</v>
      </c>
      <c r="X1438" s="290">
        <v>54260</v>
      </c>
      <c r="Y1438" s="291">
        <v>0</v>
      </c>
      <c r="Z1438" s="289" t="s">
        <v>944</v>
      </c>
      <c r="AA1438" s="289"/>
      <c r="AB1438" s="289"/>
      <c r="AC1438" s="289"/>
      <c r="AD1438" s="289" t="s">
        <v>1446</v>
      </c>
      <c r="AE1438" s="289" t="s">
        <v>410</v>
      </c>
      <c r="AF1438" s="290" t="s">
        <v>1447</v>
      </c>
      <c r="AG1438" s="289"/>
      <c r="AH1438" s="290" t="s">
        <v>1448</v>
      </c>
      <c r="AI1438" s="289">
        <v>0</v>
      </c>
      <c r="AJ1438" s="289">
        <v>0</v>
      </c>
    </row>
    <row r="1439" spans="2:36">
      <c r="B1439" s="290">
        <v>2111</v>
      </c>
      <c r="C1439" s="294">
        <v>8262</v>
      </c>
      <c r="D1439" s="290"/>
      <c r="E1439" s="289" t="s">
        <v>3811</v>
      </c>
      <c r="F1439" s="290">
        <v>0</v>
      </c>
      <c r="G1439" s="289"/>
      <c r="H1439" s="289"/>
      <c r="I1439" s="289"/>
      <c r="J1439" s="289">
        <v>0</v>
      </c>
      <c r="K1439" s="289" t="s">
        <v>3070</v>
      </c>
      <c r="L1439" s="289"/>
      <c r="M1439" s="289"/>
      <c r="N1439" s="293">
        <v>36714</v>
      </c>
      <c r="O1439" s="293">
        <v>36714</v>
      </c>
      <c r="P1439" s="289" t="s">
        <v>3812</v>
      </c>
      <c r="Q1439" s="290">
        <v>2000</v>
      </c>
      <c r="R1439" s="290">
        <v>14080</v>
      </c>
      <c r="S1439" s="291">
        <v>5273.66</v>
      </c>
      <c r="T1439" s="290">
        <v>14086</v>
      </c>
      <c r="U1439" s="291">
        <v>5273.66</v>
      </c>
      <c r="V1439" s="291">
        <f t="shared" si="22"/>
        <v>0</v>
      </c>
      <c r="W1439" s="292">
        <v>0</v>
      </c>
      <c r="X1439" s="290">
        <v>57260</v>
      </c>
      <c r="Y1439" s="291">
        <v>0</v>
      </c>
      <c r="Z1439" s="289" t="s">
        <v>944</v>
      </c>
      <c r="AA1439" s="289"/>
      <c r="AB1439" s="289"/>
      <c r="AC1439" s="289"/>
      <c r="AD1439" s="289" t="s">
        <v>1446</v>
      </c>
      <c r="AE1439" s="289" t="s">
        <v>410</v>
      </c>
      <c r="AF1439" s="290" t="s">
        <v>1447</v>
      </c>
      <c r="AG1439" s="289"/>
      <c r="AH1439" s="290" t="s">
        <v>1448</v>
      </c>
      <c r="AI1439" s="289">
        <v>0</v>
      </c>
      <c r="AJ1439" s="289">
        <v>0</v>
      </c>
    </row>
    <row r="1440" spans="2:36">
      <c r="B1440" s="290">
        <v>2111</v>
      </c>
      <c r="C1440" s="294">
        <v>8170</v>
      </c>
      <c r="D1440" s="290"/>
      <c r="E1440" s="289" t="s">
        <v>3813</v>
      </c>
      <c r="F1440" s="290">
        <v>0</v>
      </c>
      <c r="G1440" s="289"/>
      <c r="H1440" s="289" t="s">
        <v>3814</v>
      </c>
      <c r="I1440" s="289"/>
      <c r="J1440" s="289">
        <v>0</v>
      </c>
      <c r="K1440" s="289" t="s">
        <v>3815</v>
      </c>
      <c r="L1440" s="289"/>
      <c r="M1440" s="289"/>
      <c r="N1440" s="293">
        <v>36342</v>
      </c>
      <c r="O1440" s="293">
        <v>36342</v>
      </c>
      <c r="P1440" s="289" t="s">
        <v>3816</v>
      </c>
      <c r="Q1440" s="290">
        <v>700</v>
      </c>
      <c r="R1440" s="290">
        <v>14100</v>
      </c>
      <c r="S1440" s="291">
        <v>1007.04</v>
      </c>
      <c r="T1440" s="290">
        <v>14106</v>
      </c>
      <c r="U1440" s="291">
        <v>1007.04</v>
      </c>
      <c r="V1440" s="291">
        <f t="shared" si="22"/>
        <v>0</v>
      </c>
      <c r="W1440" s="292">
        <v>0</v>
      </c>
      <c r="X1440" s="290">
        <v>70260</v>
      </c>
      <c r="Y1440" s="291">
        <v>0</v>
      </c>
      <c r="Z1440" s="289" t="s">
        <v>944</v>
      </c>
      <c r="AA1440" s="289"/>
      <c r="AB1440" s="289"/>
      <c r="AC1440" s="289"/>
      <c r="AD1440" s="289" t="s">
        <v>1446</v>
      </c>
      <c r="AE1440" s="289" t="s">
        <v>410</v>
      </c>
      <c r="AF1440" s="290" t="s">
        <v>1447</v>
      </c>
      <c r="AG1440" s="289"/>
      <c r="AH1440" s="290" t="s">
        <v>1448</v>
      </c>
      <c r="AI1440" s="289">
        <v>0</v>
      </c>
      <c r="AJ1440" s="289">
        <v>0</v>
      </c>
    </row>
    <row r="1441" spans="2:36">
      <c r="B1441" s="290">
        <v>2111</v>
      </c>
      <c r="C1441" s="294">
        <v>8141</v>
      </c>
      <c r="D1441" s="290" t="s">
        <v>944</v>
      </c>
      <c r="E1441" s="289" t="s">
        <v>2535</v>
      </c>
      <c r="F1441" s="290">
        <v>431</v>
      </c>
      <c r="G1441" s="289"/>
      <c r="H1441" s="289"/>
      <c r="I1441" s="289"/>
      <c r="J1441" s="289">
        <v>0</v>
      </c>
      <c r="K1441" s="289" t="s">
        <v>2222</v>
      </c>
      <c r="L1441" s="289"/>
      <c r="M1441" s="289"/>
      <c r="N1441" s="293">
        <v>36673</v>
      </c>
      <c r="O1441" s="293">
        <v>36673</v>
      </c>
      <c r="P1441" s="289" t="s">
        <v>3817</v>
      </c>
      <c r="Q1441" s="290">
        <v>1000</v>
      </c>
      <c r="R1441" s="290">
        <v>14050</v>
      </c>
      <c r="S1441" s="291">
        <v>20412.259999999998</v>
      </c>
      <c r="T1441" s="290">
        <v>14056</v>
      </c>
      <c r="U1441" s="291">
        <v>20412.259999999998</v>
      </c>
      <c r="V1441" s="291">
        <f t="shared" si="22"/>
        <v>0</v>
      </c>
      <c r="W1441" s="292">
        <v>0</v>
      </c>
      <c r="X1441" s="290">
        <v>54260</v>
      </c>
      <c r="Y1441" s="291">
        <v>0</v>
      </c>
      <c r="Z1441" s="289" t="s">
        <v>944</v>
      </c>
      <c r="AA1441" s="289"/>
      <c r="AB1441" s="289"/>
      <c r="AC1441" s="289"/>
      <c r="AD1441" s="289" t="s">
        <v>1446</v>
      </c>
      <c r="AE1441" s="289" t="s">
        <v>410</v>
      </c>
      <c r="AF1441" s="290" t="s">
        <v>1447</v>
      </c>
      <c r="AG1441" s="289"/>
      <c r="AH1441" s="290" t="s">
        <v>1448</v>
      </c>
      <c r="AI1441" s="289">
        <v>0</v>
      </c>
      <c r="AJ1441" s="289">
        <v>0</v>
      </c>
    </row>
    <row r="1442" spans="2:36">
      <c r="B1442" s="290">
        <v>2111</v>
      </c>
      <c r="C1442" s="294">
        <v>8016</v>
      </c>
      <c r="D1442" s="290" t="s">
        <v>944</v>
      </c>
      <c r="E1442" s="289" t="s">
        <v>692</v>
      </c>
      <c r="F1442" s="290">
        <v>12</v>
      </c>
      <c r="G1442" s="289"/>
      <c r="H1442" s="289" t="s">
        <v>3818</v>
      </c>
      <c r="I1442" s="289"/>
      <c r="J1442" s="289">
        <v>0</v>
      </c>
      <c r="K1442" s="289" t="s">
        <v>3819</v>
      </c>
      <c r="L1442" s="289"/>
      <c r="M1442" s="289" t="s">
        <v>1665</v>
      </c>
      <c r="N1442" s="293">
        <v>36685</v>
      </c>
      <c r="O1442" s="293">
        <v>36685</v>
      </c>
      <c r="P1442" s="289" t="s">
        <v>3820</v>
      </c>
      <c r="Q1442" s="290">
        <v>1200</v>
      </c>
      <c r="R1442" s="290">
        <v>14050</v>
      </c>
      <c r="S1442" s="291">
        <v>3403.69</v>
      </c>
      <c r="T1442" s="290">
        <v>14056</v>
      </c>
      <c r="U1442" s="291">
        <v>3403.69</v>
      </c>
      <c r="V1442" s="291">
        <f t="shared" si="22"/>
        <v>0</v>
      </c>
      <c r="W1442" s="292">
        <v>0</v>
      </c>
      <c r="X1442" s="290">
        <v>54260</v>
      </c>
      <c r="Y1442" s="291">
        <v>0</v>
      </c>
      <c r="Z1442" s="289" t="s">
        <v>944</v>
      </c>
      <c r="AA1442" s="289"/>
      <c r="AB1442" s="289"/>
      <c r="AC1442" s="289"/>
      <c r="AD1442" s="289" t="s">
        <v>1446</v>
      </c>
      <c r="AE1442" s="289" t="s">
        <v>410</v>
      </c>
      <c r="AF1442" s="290" t="s">
        <v>1447</v>
      </c>
      <c r="AG1442" s="289"/>
      <c r="AH1442" s="290" t="s">
        <v>1448</v>
      </c>
      <c r="AI1442" s="289">
        <v>6</v>
      </c>
      <c r="AJ1442" s="289">
        <v>0</v>
      </c>
    </row>
    <row r="1443" spans="2:36">
      <c r="B1443" s="290">
        <v>2111</v>
      </c>
      <c r="C1443" s="294">
        <v>8015</v>
      </c>
      <c r="D1443" s="290" t="s">
        <v>944</v>
      </c>
      <c r="E1443" s="289" t="s">
        <v>3821</v>
      </c>
      <c r="F1443" s="290">
        <v>10</v>
      </c>
      <c r="G1443" s="289"/>
      <c r="H1443" s="289" t="s">
        <v>3822</v>
      </c>
      <c r="I1443" s="289"/>
      <c r="J1443" s="289">
        <v>0</v>
      </c>
      <c r="K1443" s="289" t="s">
        <v>3819</v>
      </c>
      <c r="L1443" s="289"/>
      <c r="M1443" s="289" t="s">
        <v>1667</v>
      </c>
      <c r="N1443" s="293">
        <v>36685</v>
      </c>
      <c r="O1443" s="293">
        <v>36685</v>
      </c>
      <c r="P1443" s="289" t="s">
        <v>3820</v>
      </c>
      <c r="Q1443" s="290">
        <v>1200</v>
      </c>
      <c r="R1443" s="290">
        <v>14050</v>
      </c>
      <c r="S1443" s="291">
        <v>40685.279999999999</v>
      </c>
      <c r="T1443" s="290">
        <v>14056</v>
      </c>
      <c r="U1443" s="291">
        <v>40685.279999999999</v>
      </c>
      <c r="V1443" s="291">
        <f t="shared" si="22"/>
        <v>0</v>
      </c>
      <c r="W1443" s="292">
        <v>0</v>
      </c>
      <c r="X1443" s="290">
        <v>54260</v>
      </c>
      <c r="Y1443" s="291">
        <v>0</v>
      </c>
      <c r="Z1443" s="289" t="s">
        <v>944</v>
      </c>
      <c r="AA1443" s="289"/>
      <c r="AB1443" s="289"/>
      <c r="AC1443" s="289"/>
      <c r="AD1443" s="289" t="s">
        <v>1446</v>
      </c>
      <c r="AE1443" s="289" t="s">
        <v>410</v>
      </c>
      <c r="AF1443" s="290" t="s">
        <v>1447</v>
      </c>
      <c r="AG1443" s="289"/>
      <c r="AH1443" s="290" t="s">
        <v>1448</v>
      </c>
      <c r="AI1443" s="289">
        <v>0</v>
      </c>
      <c r="AJ1443" s="289">
        <v>0</v>
      </c>
    </row>
    <row r="1444" spans="2:36">
      <c r="B1444" s="290">
        <v>2111</v>
      </c>
      <c r="C1444" s="294">
        <v>6771</v>
      </c>
      <c r="D1444" s="290"/>
      <c r="E1444" s="289" t="s">
        <v>3823</v>
      </c>
      <c r="F1444" s="290">
        <v>0</v>
      </c>
      <c r="G1444" s="289"/>
      <c r="H1444" s="289"/>
      <c r="I1444" s="289"/>
      <c r="J1444" s="289">
        <v>0</v>
      </c>
      <c r="K1444" s="289" t="s">
        <v>2954</v>
      </c>
      <c r="L1444" s="289"/>
      <c r="M1444" s="289"/>
      <c r="N1444" s="293">
        <v>36526</v>
      </c>
      <c r="O1444" s="293">
        <v>36526</v>
      </c>
      <c r="P1444" s="289"/>
      <c r="Q1444" s="290">
        <v>500</v>
      </c>
      <c r="R1444" s="290">
        <v>14110</v>
      </c>
      <c r="S1444" s="291">
        <v>1372.02</v>
      </c>
      <c r="T1444" s="290">
        <v>14116</v>
      </c>
      <c r="U1444" s="291">
        <v>1372.02</v>
      </c>
      <c r="V1444" s="291">
        <f t="shared" si="22"/>
        <v>0</v>
      </c>
      <c r="W1444" s="292">
        <v>0</v>
      </c>
      <c r="X1444" s="290">
        <v>70260</v>
      </c>
      <c r="Y1444" s="291">
        <v>0</v>
      </c>
      <c r="Z1444" s="289" t="s">
        <v>944</v>
      </c>
      <c r="AA1444" s="289" t="s">
        <v>3044</v>
      </c>
      <c r="AB1444" s="289"/>
      <c r="AC1444" s="289"/>
      <c r="AD1444" s="289" t="s">
        <v>1446</v>
      </c>
      <c r="AE1444" s="289" t="s">
        <v>410</v>
      </c>
      <c r="AF1444" s="290" t="s">
        <v>1447</v>
      </c>
      <c r="AG1444" s="289"/>
      <c r="AH1444" s="290" t="s">
        <v>1448</v>
      </c>
      <c r="AI1444" s="289">
        <v>0</v>
      </c>
      <c r="AJ1444" s="289">
        <v>0</v>
      </c>
    </row>
    <row r="1445" spans="2:36">
      <c r="B1445" s="290">
        <v>2111</v>
      </c>
      <c r="C1445" s="294">
        <v>6768</v>
      </c>
      <c r="D1445" s="290"/>
      <c r="E1445" s="289" t="s">
        <v>3824</v>
      </c>
      <c r="F1445" s="290">
        <v>0</v>
      </c>
      <c r="G1445" s="289"/>
      <c r="H1445" s="289"/>
      <c r="I1445" s="289"/>
      <c r="J1445" s="289">
        <v>0</v>
      </c>
      <c r="K1445" s="289" t="s">
        <v>2954</v>
      </c>
      <c r="L1445" s="289"/>
      <c r="M1445" s="289"/>
      <c r="N1445" s="293">
        <v>36326</v>
      </c>
      <c r="O1445" s="293">
        <v>36326</v>
      </c>
      <c r="P1445" s="289"/>
      <c r="Q1445" s="290">
        <v>300</v>
      </c>
      <c r="R1445" s="290">
        <v>14110</v>
      </c>
      <c r="S1445" s="291">
        <v>552.84</v>
      </c>
      <c r="T1445" s="290">
        <v>14116</v>
      </c>
      <c r="U1445" s="291">
        <v>552.84</v>
      </c>
      <c r="V1445" s="291">
        <f t="shared" si="22"/>
        <v>0</v>
      </c>
      <c r="W1445" s="292">
        <v>0</v>
      </c>
      <c r="X1445" s="290">
        <v>70257</v>
      </c>
      <c r="Y1445" s="291">
        <v>0</v>
      </c>
      <c r="Z1445" s="289" t="s">
        <v>944</v>
      </c>
      <c r="AA1445" s="289" t="s">
        <v>3044</v>
      </c>
      <c r="AB1445" s="289"/>
      <c r="AC1445" s="289"/>
      <c r="AD1445" s="289" t="s">
        <v>1446</v>
      </c>
      <c r="AE1445" s="289" t="s">
        <v>410</v>
      </c>
      <c r="AF1445" s="290" t="s">
        <v>1447</v>
      </c>
      <c r="AG1445" s="289"/>
      <c r="AH1445" s="290" t="s">
        <v>1448</v>
      </c>
      <c r="AI1445" s="289">
        <v>0</v>
      </c>
      <c r="AJ1445" s="289">
        <v>0</v>
      </c>
    </row>
    <row r="1446" spans="2:36">
      <c r="B1446" s="290">
        <v>2111</v>
      </c>
      <c r="C1446" s="294">
        <v>6765</v>
      </c>
      <c r="D1446" s="290"/>
      <c r="E1446" s="289" t="s">
        <v>3825</v>
      </c>
      <c r="F1446" s="290">
        <v>0</v>
      </c>
      <c r="G1446" s="289"/>
      <c r="H1446" s="289"/>
      <c r="I1446" s="289"/>
      <c r="J1446" s="289">
        <v>0</v>
      </c>
      <c r="K1446" s="289" t="s">
        <v>2954</v>
      </c>
      <c r="L1446" s="289"/>
      <c r="M1446" s="289"/>
      <c r="N1446" s="293">
        <v>36321</v>
      </c>
      <c r="O1446" s="293">
        <v>36321</v>
      </c>
      <c r="P1446" s="289" t="s">
        <v>3826</v>
      </c>
      <c r="Q1446" s="290">
        <v>300</v>
      </c>
      <c r="R1446" s="290">
        <v>14110</v>
      </c>
      <c r="S1446" s="291">
        <v>864.05</v>
      </c>
      <c r="T1446" s="290">
        <v>14116</v>
      </c>
      <c r="U1446" s="291">
        <v>864.05</v>
      </c>
      <c r="V1446" s="291">
        <f t="shared" si="22"/>
        <v>0</v>
      </c>
      <c r="W1446" s="292">
        <v>0</v>
      </c>
      <c r="X1446" s="290">
        <v>70257</v>
      </c>
      <c r="Y1446" s="291">
        <v>0</v>
      </c>
      <c r="Z1446" s="289" t="s">
        <v>944</v>
      </c>
      <c r="AA1446" s="289" t="s">
        <v>3044</v>
      </c>
      <c r="AB1446" s="289"/>
      <c r="AC1446" s="289"/>
      <c r="AD1446" s="289" t="s">
        <v>1446</v>
      </c>
      <c r="AE1446" s="289" t="s">
        <v>410</v>
      </c>
      <c r="AF1446" s="290" t="s">
        <v>1447</v>
      </c>
      <c r="AG1446" s="289"/>
      <c r="AH1446" s="290" t="s">
        <v>1448</v>
      </c>
      <c r="AI1446" s="289">
        <v>0</v>
      </c>
      <c r="AJ1446" s="289">
        <v>0</v>
      </c>
    </row>
    <row r="1447" spans="2:36">
      <c r="B1447" s="290">
        <v>2111</v>
      </c>
      <c r="C1447" s="294">
        <v>6762</v>
      </c>
      <c r="D1447" s="290"/>
      <c r="E1447" s="289" t="s">
        <v>3827</v>
      </c>
      <c r="F1447" s="290">
        <v>0</v>
      </c>
      <c r="G1447" s="289"/>
      <c r="H1447" s="289"/>
      <c r="I1447" s="289"/>
      <c r="J1447" s="289">
        <v>0</v>
      </c>
      <c r="K1447" s="289" t="s">
        <v>2954</v>
      </c>
      <c r="L1447" s="289"/>
      <c r="M1447" s="289"/>
      <c r="N1447" s="293">
        <v>36299</v>
      </c>
      <c r="O1447" s="293">
        <v>36299</v>
      </c>
      <c r="P1447" s="289" t="s">
        <v>3828</v>
      </c>
      <c r="Q1447" s="290">
        <v>300</v>
      </c>
      <c r="R1447" s="290">
        <v>14110</v>
      </c>
      <c r="S1447" s="291">
        <v>413.56</v>
      </c>
      <c r="T1447" s="290">
        <v>14116</v>
      </c>
      <c r="U1447" s="291">
        <v>413.56</v>
      </c>
      <c r="V1447" s="291">
        <f t="shared" si="22"/>
        <v>0</v>
      </c>
      <c r="W1447" s="292">
        <v>0</v>
      </c>
      <c r="X1447" s="290">
        <v>70257</v>
      </c>
      <c r="Y1447" s="291">
        <v>0</v>
      </c>
      <c r="Z1447" s="289" t="s">
        <v>944</v>
      </c>
      <c r="AA1447" s="289" t="s">
        <v>3044</v>
      </c>
      <c r="AB1447" s="289"/>
      <c r="AC1447" s="289"/>
      <c r="AD1447" s="289" t="s">
        <v>1446</v>
      </c>
      <c r="AE1447" s="289" t="s">
        <v>410</v>
      </c>
      <c r="AF1447" s="290" t="s">
        <v>1447</v>
      </c>
      <c r="AG1447" s="289"/>
      <c r="AH1447" s="290" t="s">
        <v>1448</v>
      </c>
      <c r="AI1447" s="289">
        <v>0</v>
      </c>
      <c r="AJ1447" s="289">
        <v>0</v>
      </c>
    </row>
    <row r="1448" spans="2:36">
      <c r="B1448" s="290">
        <v>2111</v>
      </c>
      <c r="C1448" s="294">
        <v>6761</v>
      </c>
      <c r="D1448" s="290"/>
      <c r="E1448" s="289" t="s">
        <v>3829</v>
      </c>
      <c r="F1448" s="290">
        <v>0</v>
      </c>
      <c r="G1448" s="289"/>
      <c r="H1448" s="289" t="s">
        <v>3830</v>
      </c>
      <c r="I1448" s="289"/>
      <c r="J1448" s="289">
        <v>0</v>
      </c>
      <c r="K1448" s="289" t="s">
        <v>2954</v>
      </c>
      <c r="L1448" s="289"/>
      <c r="M1448" s="289"/>
      <c r="N1448" s="293">
        <v>36299</v>
      </c>
      <c r="O1448" s="293">
        <v>36299</v>
      </c>
      <c r="P1448" s="289" t="s">
        <v>3828</v>
      </c>
      <c r="Q1448" s="290">
        <v>500</v>
      </c>
      <c r="R1448" s="290">
        <v>14110</v>
      </c>
      <c r="S1448" s="291">
        <v>1572.89</v>
      </c>
      <c r="T1448" s="290">
        <v>14116</v>
      </c>
      <c r="U1448" s="291">
        <v>1572.89</v>
      </c>
      <c r="V1448" s="291">
        <f t="shared" si="22"/>
        <v>0</v>
      </c>
      <c r="W1448" s="292">
        <v>0</v>
      </c>
      <c r="X1448" s="290">
        <v>70260</v>
      </c>
      <c r="Y1448" s="291">
        <v>0</v>
      </c>
      <c r="Z1448" s="289" t="s">
        <v>944</v>
      </c>
      <c r="AA1448" s="289" t="s">
        <v>3044</v>
      </c>
      <c r="AB1448" s="289"/>
      <c r="AC1448" s="289"/>
      <c r="AD1448" s="289" t="s">
        <v>1446</v>
      </c>
      <c r="AE1448" s="289" t="s">
        <v>410</v>
      </c>
      <c r="AF1448" s="290" t="s">
        <v>1447</v>
      </c>
      <c r="AG1448" s="289"/>
      <c r="AH1448" s="290" t="s">
        <v>1448</v>
      </c>
      <c r="AI1448" s="289">
        <v>0</v>
      </c>
      <c r="AJ1448" s="289">
        <v>0</v>
      </c>
    </row>
    <row r="1449" spans="2:36">
      <c r="B1449" s="290">
        <v>2111</v>
      </c>
      <c r="C1449" s="294">
        <v>6759</v>
      </c>
      <c r="D1449" s="290"/>
      <c r="E1449" s="289" t="s">
        <v>3831</v>
      </c>
      <c r="F1449" s="290">
        <v>0</v>
      </c>
      <c r="G1449" s="289"/>
      <c r="H1449" s="289"/>
      <c r="I1449" s="289"/>
      <c r="J1449" s="289">
        <v>0</v>
      </c>
      <c r="K1449" s="289" t="s">
        <v>2954</v>
      </c>
      <c r="L1449" s="289"/>
      <c r="M1449" s="289"/>
      <c r="N1449" s="293">
        <v>36299</v>
      </c>
      <c r="O1449" s="293">
        <v>36299</v>
      </c>
      <c r="P1449" s="289" t="s">
        <v>3828</v>
      </c>
      <c r="Q1449" s="290">
        <v>500</v>
      </c>
      <c r="R1449" s="290">
        <v>14110</v>
      </c>
      <c r="S1449" s="291">
        <v>455.27</v>
      </c>
      <c r="T1449" s="290">
        <v>14116</v>
      </c>
      <c r="U1449" s="291">
        <v>455.27</v>
      </c>
      <c r="V1449" s="291">
        <f t="shared" si="22"/>
        <v>0</v>
      </c>
      <c r="W1449" s="292">
        <v>0</v>
      </c>
      <c r="X1449" s="290">
        <v>70260</v>
      </c>
      <c r="Y1449" s="291">
        <v>0</v>
      </c>
      <c r="Z1449" s="289" t="s">
        <v>944</v>
      </c>
      <c r="AA1449" s="289" t="s">
        <v>3044</v>
      </c>
      <c r="AB1449" s="289"/>
      <c r="AC1449" s="289"/>
      <c r="AD1449" s="289" t="s">
        <v>1446</v>
      </c>
      <c r="AE1449" s="289" t="s">
        <v>410</v>
      </c>
      <c r="AF1449" s="290" t="s">
        <v>1447</v>
      </c>
      <c r="AG1449" s="289"/>
      <c r="AH1449" s="290" t="s">
        <v>1448</v>
      </c>
      <c r="AI1449" s="289">
        <v>0</v>
      </c>
      <c r="AJ1449" s="289">
        <v>0</v>
      </c>
    </row>
    <row r="1450" spans="2:36">
      <c r="B1450" s="290">
        <v>2111</v>
      </c>
      <c r="C1450" s="294">
        <v>6758</v>
      </c>
      <c r="D1450" s="290"/>
      <c r="E1450" s="289" t="s">
        <v>3832</v>
      </c>
      <c r="F1450" s="290">
        <v>0</v>
      </c>
      <c r="G1450" s="289"/>
      <c r="H1450" s="289"/>
      <c r="I1450" s="289"/>
      <c r="J1450" s="289">
        <v>0</v>
      </c>
      <c r="K1450" s="289" t="s">
        <v>2954</v>
      </c>
      <c r="L1450" s="289"/>
      <c r="M1450" s="289"/>
      <c r="N1450" s="293">
        <v>36299</v>
      </c>
      <c r="O1450" s="293">
        <v>36299</v>
      </c>
      <c r="P1450" s="289" t="s">
        <v>3828</v>
      </c>
      <c r="Q1450" s="290">
        <v>500</v>
      </c>
      <c r="R1450" s="290">
        <v>14110</v>
      </c>
      <c r="S1450" s="291">
        <v>2260.63</v>
      </c>
      <c r="T1450" s="290">
        <v>14116</v>
      </c>
      <c r="U1450" s="291">
        <v>2260.63</v>
      </c>
      <c r="V1450" s="291">
        <f t="shared" si="22"/>
        <v>0</v>
      </c>
      <c r="W1450" s="292">
        <v>0</v>
      </c>
      <c r="X1450" s="290">
        <v>70260</v>
      </c>
      <c r="Y1450" s="291">
        <v>0</v>
      </c>
      <c r="Z1450" s="289" t="s">
        <v>944</v>
      </c>
      <c r="AA1450" s="289" t="s">
        <v>3044</v>
      </c>
      <c r="AB1450" s="289"/>
      <c r="AC1450" s="289"/>
      <c r="AD1450" s="289" t="s">
        <v>1446</v>
      </c>
      <c r="AE1450" s="289" t="s">
        <v>410</v>
      </c>
      <c r="AF1450" s="290" t="s">
        <v>1447</v>
      </c>
      <c r="AG1450" s="289"/>
      <c r="AH1450" s="290" t="s">
        <v>1448</v>
      </c>
      <c r="AI1450" s="289">
        <v>0</v>
      </c>
      <c r="AJ1450" s="289">
        <v>0</v>
      </c>
    </row>
    <row r="1451" spans="2:36">
      <c r="B1451" s="290">
        <v>2111</v>
      </c>
      <c r="C1451" s="294">
        <v>6751</v>
      </c>
      <c r="D1451" s="290"/>
      <c r="E1451" s="289" t="s">
        <v>3833</v>
      </c>
      <c r="F1451" s="290">
        <v>0</v>
      </c>
      <c r="G1451" s="289"/>
      <c r="H1451" s="289"/>
      <c r="I1451" s="289"/>
      <c r="J1451" s="289">
        <v>0</v>
      </c>
      <c r="K1451" s="289" t="s">
        <v>2954</v>
      </c>
      <c r="L1451" s="289"/>
      <c r="M1451" s="289"/>
      <c r="N1451" s="293">
        <v>36296</v>
      </c>
      <c r="O1451" s="293">
        <v>36296</v>
      </c>
      <c r="P1451" s="289" t="s">
        <v>3828</v>
      </c>
      <c r="Q1451" s="290">
        <v>300</v>
      </c>
      <c r="R1451" s="290">
        <v>14110</v>
      </c>
      <c r="S1451" s="291">
        <v>789.64</v>
      </c>
      <c r="T1451" s="290">
        <v>14116</v>
      </c>
      <c r="U1451" s="291">
        <v>789.64</v>
      </c>
      <c r="V1451" s="291">
        <f t="shared" si="22"/>
        <v>0</v>
      </c>
      <c r="W1451" s="292">
        <v>0</v>
      </c>
      <c r="X1451" s="290">
        <v>70257</v>
      </c>
      <c r="Y1451" s="291">
        <v>0</v>
      </c>
      <c r="Z1451" s="289" t="s">
        <v>2542</v>
      </c>
      <c r="AA1451" s="289" t="s">
        <v>3044</v>
      </c>
      <c r="AB1451" s="289"/>
      <c r="AC1451" s="289"/>
      <c r="AD1451" s="289" t="s">
        <v>1446</v>
      </c>
      <c r="AE1451" s="289" t="s">
        <v>410</v>
      </c>
      <c r="AF1451" s="290" t="s">
        <v>1447</v>
      </c>
      <c r="AG1451" s="289"/>
      <c r="AH1451" s="290" t="s">
        <v>1448</v>
      </c>
      <c r="AI1451" s="289">
        <v>0</v>
      </c>
      <c r="AJ1451" s="289">
        <v>0</v>
      </c>
    </row>
    <row r="1452" spans="2:36">
      <c r="B1452" s="290">
        <v>2111</v>
      </c>
      <c r="C1452" s="294">
        <v>6750</v>
      </c>
      <c r="D1452" s="290"/>
      <c r="E1452" s="289" t="s">
        <v>3834</v>
      </c>
      <c r="F1452" s="290">
        <v>0</v>
      </c>
      <c r="G1452" s="289"/>
      <c r="H1452" s="289" t="s">
        <v>3835</v>
      </c>
      <c r="I1452" s="289"/>
      <c r="J1452" s="289">
        <v>0</v>
      </c>
      <c r="K1452" s="289" t="s">
        <v>2954</v>
      </c>
      <c r="L1452" s="289"/>
      <c r="M1452" s="289"/>
      <c r="N1452" s="293">
        <v>36296</v>
      </c>
      <c r="O1452" s="293">
        <v>36296</v>
      </c>
      <c r="P1452" s="289" t="s">
        <v>3828</v>
      </c>
      <c r="Q1452" s="290">
        <v>500</v>
      </c>
      <c r="R1452" s="290">
        <v>14110</v>
      </c>
      <c r="S1452" s="291">
        <v>1779.93</v>
      </c>
      <c r="T1452" s="290">
        <v>14116</v>
      </c>
      <c r="U1452" s="291">
        <v>1779.93</v>
      </c>
      <c r="V1452" s="291">
        <f t="shared" si="22"/>
        <v>0</v>
      </c>
      <c r="W1452" s="292">
        <v>0</v>
      </c>
      <c r="X1452" s="290">
        <v>70260</v>
      </c>
      <c r="Y1452" s="291">
        <v>0</v>
      </c>
      <c r="Z1452" s="289" t="s">
        <v>2542</v>
      </c>
      <c r="AA1452" s="289" t="s">
        <v>3044</v>
      </c>
      <c r="AB1452" s="289"/>
      <c r="AC1452" s="289"/>
      <c r="AD1452" s="289" t="s">
        <v>1446</v>
      </c>
      <c r="AE1452" s="289" t="s">
        <v>410</v>
      </c>
      <c r="AF1452" s="290" t="s">
        <v>1447</v>
      </c>
      <c r="AG1452" s="289"/>
      <c r="AH1452" s="290" t="s">
        <v>1448</v>
      </c>
      <c r="AI1452" s="289">
        <v>0</v>
      </c>
      <c r="AJ1452" s="289">
        <v>0</v>
      </c>
    </row>
    <row r="1453" spans="2:36">
      <c r="B1453" s="290">
        <v>2111</v>
      </c>
      <c r="C1453" s="294">
        <v>6749</v>
      </c>
      <c r="D1453" s="290"/>
      <c r="E1453" s="289" t="s">
        <v>3836</v>
      </c>
      <c r="F1453" s="290">
        <v>0</v>
      </c>
      <c r="G1453" s="289"/>
      <c r="H1453" s="289" t="s">
        <v>3837</v>
      </c>
      <c r="I1453" s="289"/>
      <c r="J1453" s="289">
        <v>0</v>
      </c>
      <c r="K1453" s="289" t="s">
        <v>3815</v>
      </c>
      <c r="L1453" s="289"/>
      <c r="M1453" s="289"/>
      <c r="N1453" s="293">
        <v>36342</v>
      </c>
      <c r="O1453" s="293">
        <v>36342</v>
      </c>
      <c r="P1453" s="289" t="s">
        <v>3816</v>
      </c>
      <c r="Q1453" s="290">
        <v>700</v>
      </c>
      <c r="R1453" s="290">
        <v>14100</v>
      </c>
      <c r="S1453" s="291">
        <v>2329.52</v>
      </c>
      <c r="T1453" s="290">
        <v>14106</v>
      </c>
      <c r="U1453" s="291">
        <v>2329.52</v>
      </c>
      <c r="V1453" s="291">
        <f t="shared" si="22"/>
        <v>0</v>
      </c>
      <c r="W1453" s="292">
        <v>0</v>
      </c>
      <c r="X1453" s="290">
        <v>70260</v>
      </c>
      <c r="Y1453" s="291">
        <v>0</v>
      </c>
      <c r="Z1453" s="289" t="s">
        <v>2542</v>
      </c>
      <c r="AA1453" s="289" t="s">
        <v>3044</v>
      </c>
      <c r="AB1453" s="289"/>
      <c r="AC1453" s="289"/>
      <c r="AD1453" s="289" t="s">
        <v>1446</v>
      </c>
      <c r="AE1453" s="289" t="s">
        <v>410</v>
      </c>
      <c r="AF1453" s="290" t="s">
        <v>1447</v>
      </c>
      <c r="AG1453" s="289"/>
      <c r="AH1453" s="290" t="s">
        <v>1448</v>
      </c>
      <c r="AI1453" s="289">
        <v>0</v>
      </c>
      <c r="AJ1453" s="289">
        <v>0</v>
      </c>
    </row>
    <row r="1454" spans="2:36">
      <c r="B1454" s="290">
        <v>2111</v>
      </c>
      <c r="C1454" s="294">
        <v>6748</v>
      </c>
      <c r="D1454" s="290"/>
      <c r="E1454" s="289" t="s">
        <v>3838</v>
      </c>
      <c r="F1454" s="290">
        <v>0</v>
      </c>
      <c r="G1454" s="289"/>
      <c r="H1454" s="289" t="s">
        <v>3839</v>
      </c>
      <c r="I1454" s="289"/>
      <c r="J1454" s="289">
        <v>0</v>
      </c>
      <c r="K1454" s="289" t="s">
        <v>3815</v>
      </c>
      <c r="L1454" s="289"/>
      <c r="M1454" s="289"/>
      <c r="N1454" s="293">
        <v>36342</v>
      </c>
      <c r="O1454" s="293">
        <v>36342</v>
      </c>
      <c r="P1454" s="289" t="s">
        <v>3816</v>
      </c>
      <c r="Q1454" s="290">
        <v>700</v>
      </c>
      <c r="R1454" s="290">
        <v>14100</v>
      </c>
      <c r="S1454" s="291">
        <v>7544.64</v>
      </c>
      <c r="T1454" s="290">
        <v>14106</v>
      </c>
      <c r="U1454" s="291">
        <v>7544.64</v>
      </c>
      <c r="V1454" s="291">
        <f t="shared" si="22"/>
        <v>0</v>
      </c>
      <c r="W1454" s="292">
        <v>0</v>
      </c>
      <c r="X1454" s="290">
        <v>70260</v>
      </c>
      <c r="Y1454" s="291">
        <v>0</v>
      </c>
      <c r="Z1454" s="289" t="s">
        <v>2542</v>
      </c>
      <c r="AA1454" s="289" t="s">
        <v>3044</v>
      </c>
      <c r="AB1454" s="289"/>
      <c r="AC1454" s="289"/>
      <c r="AD1454" s="289" t="s">
        <v>1446</v>
      </c>
      <c r="AE1454" s="289" t="s">
        <v>410</v>
      </c>
      <c r="AF1454" s="290" t="s">
        <v>1447</v>
      </c>
      <c r="AG1454" s="289"/>
      <c r="AH1454" s="290" t="s">
        <v>1448</v>
      </c>
      <c r="AI1454" s="289">
        <v>0</v>
      </c>
      <c r="AJ1454" s="289">
        <v>0</v>
      </c>
    </row>
    <row r="1455" spans="2:36">
      <c r="B1455" s="290">
        <v>2111</v>
      </c>
      <c r="C1455" s="294">
        <v>6747</v>
      </c>
      <c r="D1455" s="290"/>
      <c r="E1455" s="289" t="s">
        <v>3840</v>
      </c>
      <c r="F1455" s="290">
        <v>0</v>
      </c>
      <c r="G1455" s="289"/>
      <c r="H1455" s="289" t="s">
        <v>3841</v>
      </c>
      <c r="I1455" s="289"/>
      <c r="J1455" s="289">
        <v>0</v>
      </c>
      <c r="K1455" s="289" t="s">
        <v>3815</v>
      </c>
      <c r="L1455" s="289"/>
      <c r="M1455" s="289"/>
      <c r="N1455" s="293">
        <v>36342</v>
      </c>
      <c r="O1455" s="293">
        <v>36342</v>
      </c>
      <c r="P1455" s="289" t="s">
        <v>3816</v>
      </c>
      <c r="Q1455" s="290">
        <v>700</v>
      </c>
      <c r="R1455" s="290">
        <v>14100</v>
      </c>
      <c r="S1455" s="291">
        <v>2439</v>
      </c>
      <c r="T1455" s="290">
        <v>14106</v>
      </c>
      <c r="U1455" s="291">
        <v>2439</v>
      </c>
      <c r="V1455" s="291">
        <f t="shared" si="22"/>
        <v>0</v>
      </c>
      <c r="W1455" s="292">
        <v>0</v>
      </c>
      <c r="X1455" s="290">
        <v>70260</v>
      </c>
      <c r="Y1455" s="291">
        <v>0</v>
      </c>
      <c r="Z1455" s="289" t="s">
        <v>2542</v>
      </c>
      <c r="AA1455" s="289" t="s">
        <v>3044</v>
      </c>
      <c r="AB1455" s="289"/>
      <c r="AC1455" s="289"/>
      <c r="AD1455" s="289" t="s">
        <v>1446</v>
      </c>
      <c r="AE1455" s="289" t="s">
        <v>410</v>
      </c>
      <c r="AF1455" s="290" t="s">
        <v>1447</v>
      </c>
      <c r="AG1455" s="289"/>
      <c r="AH1455" s="290" t="s">
        <v>1448</v>
      </c>
      <c r="AI1455" s="289">
        <v>0</v>
      </c>
      <c r="AJ1455" s="289">
        <v>0</v>
      </c>
    </row>
    <row r="1456" spans="2:36">
      <c r="B1456" s="290">
        <v>2111</v>
      </c>
      <c r="C1456" s="294">
        <v>6746</v>
      </c>
      <c r="D1456" s="290"/>
      <c r="E1456" s="289" t="s">
        <v>3842</v>
      </c>
      <c r="F1456" s="290">
        <v>0</v>
      </c>
      <c r="G1456" s="289"/>
      <c r="H1456" s="289" t="s">
        <v>3843</v>
      </c>
      <c r="I1456" s="289"/>
      <c r="J1456" s="289">
        <v>0</v>
      </c>
      <c r="K1456" s="289" t="s">
        <v>3815</v>
      </c>
      <c r="L1456" s="289"/>
      <c r="M1456" s="289"/>
      <c r="N1456" s="293">
        <v>36342</v>
      </c>
      <c r="O1456" s="293">
        <v>36342</v>
      </c>
      <c r="P1456" s="289" t="s">
        <v>3816</v>
      </c>
      <c r="Q1456" s="290">
        <v>700</v>
      </c>
      <c r="R1456" s="290">
        <v>14100</v>
      </c>
      <c r="S1456" s="291">
        <v>1007.04</v>
      </c>
      <c r="T1456" s="290">
        <v>14106</v>
      </c>
      <c r="U1456" s="291">
        <v>1007.04</v>
      </c>
      <c r="V1456" s="291">
        <f t="shared" si="22"/>
        <v>0</v>
      </c>
      <c r="W1456" s="292">
        <v>0</v>
      </c>
      <c r="X1456" s="290">
        <v>70260</v>
      </c>
      <c r="Y1456" s="291">
        <v>0</v>
      </c>
      <c r="Z1456" s="289" t="s">
        <v>944</v>
      </c>
      <c r="AA1456" s="289"/>
      <c r="AB1456" s="289"/>
      <c r="AC1456" s="289"/>
      <c r="AD1456" s="289" t="s">
        <v>1446</v>
      </c>
      <c r="AE1456" s="289" t="s">
        <v>410</v>
      </c>
      <c r="AF1456" s="290" t="s">
        <v>1447</v>
      </c>
      <c r="AG1456" s="289"/>
      <c r="AH1456" s="290" t="s">
        <v>1448</v>
      </c>
      <c r="AI1456" s="289">
        <v>0</v>
      </c>
      <c r="AJ1456" s="289">
        <v>0</v>
      </c>
    </row>
    <row r="1457" spans="2:36">
      <c r="B1457" s="290">
        <v>2111</v>
      </c>
      <c r="C1457" s="294">
        <v>6744</v>
      </c>
      <c r="D1457" s="290"/>
      <c r="E1457" s="289" t="s">
        <v>3844</v>
      </c>
      <c r="F1457" s="290">
        <v>0</v>
      </c>
      <c r="G1457" s="289"/>
      <c r="H1457" s="289" t="s">
        <v>3845</v>
      </c>
      <c r="I1457" s="289"/>
      <c r="J1457" s="289">
        <v>0</v>
      </c>
      <c r="K1457" s="289" t="s">
        <v>3815</v>
      </c>
      <c r="L1457" s="289"/>
      <c r="M1457" s="289"/>
      <c r="N1457" s="293">
        <v>36342</v>
      </c>
      <c r="O1457" s="293">
        <v>36342</v>
      </c>
      <c r="P1457" s="289" t="s">
        <v>3816</v>
      </c>
      <c r="Q1457" s="290">
        <v>700</v>
      </c>
      <c r="R1457" s="290">
        <v>14100</v>
      </c>
      <c r="S1457" s="291">
        <v>2190.77</v>
      </c>
      <c r="T1457" s="290">
        <v>14106</v>
      </c>
      <c r="U1457" s="291">
        <v>2190.77</v>
      </c>
      <c r="V1457" s="291">
        <f t="shared" si="22"/>
        <v>0</v>
      </c>
      <c r="W1457" s="292">
        <v>0</v>
      </c>
      <c r="X1457" s="290">
        <v>70260</v>
      </c>
      <c r="Y1457" s="291">
        <v>0</v>
      </c>
      <c r="Z1457" s="289" t="s">
        <v>2542</v>
      </c>
      <c r="AA1457" s="289"/>
      <c r="AB1457" s="289"/>
      <c r="AC1457" s="289"/>
      <c r="AD1457" s="289" t="s">
        <v>1446</v>
      </c>
      <c r="AE1457" s="289" t="s">
        <v>410</v>
      </c>
      <c r="AF1457" s="290" t="s">
        <v>1447</v>
      </c>
      <c r="AG1457" s="289"/>
      <c r="AH1457" s="290" t="s">
        <v>1448</v>
      </c>
      <c r="AI1457" s="289">
        <v>0</v>
      </c>
      <c r="AJ1457" s="289">
        <v>0</v>
      </c>
    </row>
    <row r="1458" spans="2:36">
      <c r="B1458" s="290">
        <v>2111</v>
      </c>
      <c r="C1458" s="294">
        <v>6743</v>
      </c>
      <c r="D1458" s="290"/>
      <c r="E1458" s="289" t="s">
        <v>3846</v>
      </c>
      <c r="F1458" s="290">
        <v>0</v>
      </c>
      <c r="G1458" s="289"/>
      <c r="H1458" s="289"/>
      <c r="I1458" s="289"/>
      <c r="J1458" s="289">
        <v>0</v>
      </c>
      <c r="K1458" s="289" t="s">
        <v>3847</v>
      </c>
      <c r="L1458" s="289"/>
      <c r="M1458" s="289"/>
      <c r="N1458" s="293">
        <v>36315</v>
      </c>
      <c r="O1458" s="293">
        <v>36315</v>
      </c>
      <c r="P1458" s="289" t="s">
        <v>3848</v>
      </c>
      <c r="Q1458" s="290">
        <v>500</v>
      </c>
      <c r="R1458" s="290">
        <v>14100</v>
      </c>
      <c r="S1458" s="291">
        <v>4598.5</v>
      </c>
      <c r="T1458" s="290">
        <v>14106</v>
      </c>
      <c r="U1458" s="291">
        <v>4598.5</v>
      </c>
      <c r="V1458" s="291">
        <f t="shared" si="22"/>
        <v>0</v>
      </c>
      <c r="W1458" s="292">
        <v>0</v>
      </c>
      <c r="X1458" s="290">
        <v>70260</v>
      </c>
      <c r="Y1458" s="291">
        <v>0</v>
      </c>
      <c r="Z1458" s="289" t="s">
        <v>944</v>
      </c>
      <c r="AA1458" s="289"/>
      <c r="AB1458" s="289"/>
      <c r="AC1458" s="289"/>
      <c r="AD1458" s="289" t="s">
        <v>1446</v>
      </c>
      <c r="AE1458" s="289" t="s">
        <v>410</v>
      </c>
      <c r="AF1458" s="290" t="s">
        <v>1447</v>
      </c>
      <c r="AG1458" s="289"/>
      <c r="AH1458" s="290" t="s">
        <v>1448</v>
      </c>
      <c r="AI1458" s="289">
        <v>0</v>
      </c>
      <c r="AJ1458" s="289">
        <v>0</v>
      </c>
    </row>
    <row r="1459" spans="2:36">
      <c r="B1459" s="290">
        <v>2111</v>
      </c>
      <c r="C1459" s="294">
        <v>6742</v>
      </c>
      <c r="D1459" s="290"/>
      <c r="E1459" s="289" t="s">
        <v>3849</v>
      </c>
      <c r="F1459" s="290">
        <v>0</v>
      </c>
      <c r="G1459" s="289"/>
      <c r="H1459" s="289"/>
      <c r="I1459" s="289"/>
      <c r="J1459" s="289">
        <v>0</v>
      </c>
      <c r="K1459" s="289" t="s">
        <v>3850</v>
      </c>
      <c r="L1459" s="289"/>
      <c r="M1459" s="289"/>
      <c r="N1459" s="293">
        <v>36341</v>
      </c>
      <c r="O1459" s="293">
        <v>36341</v>
      </c>
      <c r="P1459" s="289"/>
      <c r="Q1459" s="290">
        <v>700</v>
      </c>
      <c r="R1459" s="290">
        <v>14100</v>
      </c>
      <c r="S1459" s="291">
        <v>18132.259999999998</v>
      </c>
      <c r="T1459" s="290">
        <v>14106</v>
      </c>
      <c r="U1459" s="291">
        <v>18132.259999999998</v>
      </c>
      <c r="V1459" s="291">
        <f t="shared" si="22"/>
        <v>0</v>
      </c>
      <c r="W1459" s="292">
        <v>0</v>
      </c>
      <c r="X1459" s="290">
        <v>51260</v>
      </c>
      <c r="Y1459" s="291">
        <v>0</v>
      </c>
      <c r="Z1459" s="289" t="s">
        <v>2542</v>
      </c>
      <c r="AA1459" s="289" t="s">
        <v>3044</v>
      </c>
      <c r="AB1459" s="289"/>
      <c r="AC1459" s="289"/>
      <c r="AD1459" s="289" t="s">
        <v>1446</v>
      </c>
      <c r="AE1459" s="289" t="s">
        <v>410</v>
      </c>
      <c r="AF1459" s="290" t="s">
        <v>1447</v>
      </c>
      <c r="AG1459" s="289"/>
      <c r="AH1459" s="290" t="s">
        <v>1448</v>
      </c>
      <c r="AI1459" s="289">
        <v>0</v>
      </c>
      <c r="AJ1459" s="289">
        <v>0</v>
      </c>
    </row>
    <row r="1460" spans="2:36">
      <c r="B1460" s="290">
        <v>2111</v>
      </c>
      <c r="C1460" s="294">
        <v>6741</v>
      </c>
      <c r="D1460" s="290"/>
      <c r="E1460" s="289" t="s">
        <v>3851</v>
      </c>
      <c r="F1460" s="290">
        <v>0</v>
      </c>
      <c r="G1460" s="289"/>
      <c r="H1460" s="289"/>
      <c r="I1460" s="289"/>
      <c r="J1460" s="289">
        <v>0</v>
      </c>
      <c r="K1460" s="289"/>
      <c r="L1460" s="289"/>
      <c r="M1460" s="289"/>
      <c r="N1460" s="293">
        <v>36222</v>
      </c>
      <c r="O1460" s="293">
        <v>36222</v>
      </c>
      <c r="P1460" s="289"/>
      <c r="Q1460" s="290">
        <v>500</v>
      </c>
      <c r="R1460" s="290">
        <v>14100</v>
      </c>
      <c r="S1460" s="291">
        <v>5201.67</v>
      </c>
      <c r="T1460" s="290">
        <v>14106</v>
      </c>
      <c r="U1460" s="291">
        <v>5201.67</v>
      </c>
      <c r="V1460" s="291">
        <f t="shared" si="22"/>
        <v>0</v>
      </c>
      <c r="W1460" s="292">
        <v>0</v>
      </c>
      <c r="X1460" s="290">
        <v>70260</v>
      </c>
      <c r="Y1460" s="291">
        <v>0</v>
      </c>
      <c r="Z1460" s="289" t="s">
        <v>2542</v>
      </c>
      <c r="AA1460" s="289" t="s">
        <v>3044</v>
      </c>
      <c r="AB1460" s="289"/>
      <c r="AC1460" s="289"/>
      <c r="AD1460" s="289" t="s">
        <v>1446</v>
      </c>
      <c r="AE1460" s="289" t="s">
        <v>410</v>
      </c>
      <c r="AF1460" s="290" t="s">
        <v>1447</v>
      </c>
      <c r="AG1460" s="289"/>
      <c r="AH1460" s="290" t="s">
        <v>1448</v>
      </c>
      <c r="AI1460" s="289">
        <v>0</v>
      </c>
      <c r="AJ1460" s="289">
        <v>0</v>
      </c>
    </row>
    <row r="1461" spans="2:36">
      <c r="B1461" s="290">
        <v>2111</v>
      </c>
      <c r="C1461" s="294">
        <v>6739</v>
      </c>
      <c r="D1461" s="290"/>
      <c r="E1461" s="289" t="s">
        <v>218</v>
      </c>
      <c r="F1461" s="290">
        <v>0</v>
      </c>
      <c r="G1461" s="289"/>
      <c r="H1461" s="289"/>
      <c r="I1461" s="289"/>
      <c r="J1461" s="289">
        <v>0</v>
      </c>
      <c r="K1461" s="289"/>
      <c r="L1461" s="289"/>
      <c r="M1461" s="289"/>
      <c r="N1461" s="293">
        <v>36526</v>
      </c>
      <c r="O1461" s="293">
        <v>36526</v>
      </c>
      <c r="P1461" s="289"/>
      <c r="Q1461" s="290">
        <v>2000</v>
      </c>
      <c r="R1461" s="290">
        <v>14080</v>
      </c>
      <c r="S1461" s="291">
        <v>16198.88</v>
      </c>
      <c r="T1461" s="290">
        <v>14086</v>
      </c>
      <c r="U1461" s="291">
        <v>16198.88</v>
      </c>
      <c r="V1461" s="291">
        <f t="shared" si="22"/>
        <v>0</v>
      </c>
      <c r="W1461" s="292">
        <v>0</v>
      </c>
      <c r="X1461" s="290">
        <v>57260</v>
      </c>
      <c r="Y1461" s="291">
        <v>0</v>
      </c>
      <c r="Z1461" s="289" t="s">
        <v>2542</v>
      </c>
      <c r="AA1461" s="289" t="s">
        <v>3044</v>
      </c>
      <c r="AB1461" s="289"/>
      <c r="AC1461" s="289"/>
      <c r="AD1461" s="289" t="s">
        <v>1446</v>
      </c>
      <c r="AE1461" s="289" t="s">
        <v>410</v>
      </c>
      <c r="AF1461" s="290" t="s">
        <v>1447</v>
      </c>
      <c r="AG1461" s="289"/>
      <c r="AH1461" s="290" t="s">
        <v>1448</v>
      </c>
      <c r="AI1461" s="289">
        <v>0</v>
      </c>
      <c r="AJ1461" s="289">
        <v>0</v>
      </c>
    </row>
    <row r="1462" spans="2:36">
      <c r="B1462" s="290">
        <v>2111</v>
      </c>
      <c r="C1462" s="294">
        <v>6737</v>
      </c>
      <c r="D1462" s="290" t="s">
        <v>944</v>
      </c>
      <c r="E1462" s="289" t="s">
        <v>3852</v>
      </c>
      <c r="F1462" s="290">
        <v>0</v>
      </c>
      <c r="G1462" s="289"/>
      <c r="H1462" s="289"/>
      <c r="I1462" s="289"/>
      <c r="J1462" s="289">
        <v>1999</v>
      </c>
      <c r="K1462" s="289" t="s">
        <v>2578</v>
      </c>
      <c r="L1462" s="289" t="s">
        <v>2214</v>
      </c>
      <c r="M1462" s="289"/>
      <c r="N1462" s="293">
        <v>36525</v>
      </c>
      <c r="O1462" s="293">
        <v>36525</v>
      </c>
      <c r="P1462" s="289"/>
      <c r="Q1462" s="290">
        <v>700</v>
      </c>
      <c r="R1462" s="290">
        <v>14070</v>
      </c>
      <c r="S1462" s="291">
        <v>2618.94</v>
      </c>
      <c r="T1462" s="290">
        <v>14076</v>
      </c>
      <c r="U1462" s="291">
        <v>2618.94</v>
      </c>
      <c r="V1462" s="291">
        <f t="shared" si="22"/>
        <v>0</v>
      </c>
      <c r="W1462" s="292">
        <v>0</v>
      </c>
      <c r="X1462" s="290">
        <v>51260</v>
      </c>
      <c r="Y1462" s="291">
        <v>0</v>
      </c>
      <c r="Z1462" s="289" t="s">
        <v>2542</v>
      </c>
      <c r="AA1462" s="289" t="s">
        <v>3044</v>
      </c>
      <c r="AB1462" s="289"/>
      <c r="AC1462" s="289"/>
      <c r="AD1462" s="289" t="s">
        <v>1446</v>
      </c>
      <c r="AE1462" s="289" t="s">
        <v>410</v>
      </c>
      <c r="AF1462" s="290" t="s">
        <v>1447</v>
      </c>
      <c r="AG1462" s="289"/>
      <c r="AH1462" s="290" t="s">
        <v>1448</v>
      </c>
      <c r="AI1462" s="289">
        <v>0</v>
      </c>
      <c r="AJ1462" s="289">
        <v>0</v>
      </c>
    </row>
    <row r="1463" spans="2:36">
      <c r="B1463" s="290">
        <v>2111</v>
      </c>
      <c r="C1463" s="294">
        <v>6736</v>
      </c>
      <c r="D1463" s="290" t="s">
        <v>944</v>
      </c>
      <c r="E1463" s="289" t="s">
        <v>2622</v>
      </c>
      <c r="F1463" s="290">
        <v>432</v>
      </c>
      <c r="G1463" s="289"/>
      <c r="H1463" s="289" t="s">
        <v>3853</v>
      </c>
      <c r="I1463" s="289"/>
      <c r="J1463" s="289">
        <v>0</v>
      </c>
      <c r="K1463" s="289" t="s">
        <v>2225</v>
      </c>
      <c r="L1463" s="289"/>
      <c r="M1463" s="289"/>
      <c r="N1463" s="293">
        <v>36642</v>
      </c>
      <c r="O1463" s="293">
        <v>36642</v>
      </c>
      <c r="P1463" s="289" t="s">
        <v>3817</v>
      </c>
      <c r="Q1463" s="290">
        <v>700</v>
      </c>
      <c r="R1463" s="290">
        <v>14050</v>
      </c>
      <c r="S1463" s="291">
        <v>21392.74</v>
      </c>
      <c r="T1463" s="290">
        <v>14056</v>
      </c>
      <c r="U1463" s="291">
        <v>21392.74</v>
      </c>
      <c r="V1463" s="291">
        <f t="shared" si="22"/>
        <v>0</v>
      </c>
      <c r="W1463" s="292">
        <v>0</v>
      </c>
      <c r="X1463" s="290">
        <v>54260</v>
      </c>
      <c r="Y1463" s="291">
        <v>0</v>
      </c>
      <c r="Z1463" s="289" t="s">
        <v>2542</v>
      </c>
      <c r="AA1463" s="289" t="s">
        <v>3044</v>
      </c>
      <c r="AB1463" s="289"/>
      <c r="AC1463" s="289"/>
      <c r="AD1463" s="289" t="s">
        <v>1446</v>
      </c>
      <c r="AE1463" s="289" t="s">
        <v>410</v>
      </c>
      <c r="AF1463" s="290" t="s">
        <v>1447</v>
      </c>
      <c r="AG1463" s="289"/>
      <c r="AH1463" s="290" t="s">
        <v>1448</v>
      </c>
      <c r="AI1463" s="289">
        <v>0</v>
      </c>
      <c r="AJ1463" s="289">
        <v>0</v>
      </c>
    </row>
    <row r="1464" spans="2:36">
      <c r="B1464" s="290">
        <v>2111</v>
      </c>
      <c r="C1464" s="294">
        <v>6734</v>
      </c>
      <c r="D1464" s="290" t="s">
        <v>944</v>
      </c>
      <c r="E1464" s="289" t="s">
        <v>3854</v>
      </c>
      <c r="F1464" s="290">
        <v>432</v>
      </c>
      <c r="G1464" s="289"/>
      <c r="H1464" s="289" t="s">
        <v>3853</v>
      </c>
      <c r="I1464" s="289"/>
      <c r="J1464" s="289">
        <v>0</v>
      </c>
      <c r="K1464" s="289" t="s">
        <v>2560</v>
      </c>
      <c r="L1464" s="289"/>
      <c r="M1464" s="289"/>
      <c r="N1464" s="293">
        <v>36581</v>
      </c>
      <c r="O1464" s="293">
        <v>36581</v>
      </c>
      <c r="P1464" s="289" t="s">
        <v>3855</v>
      </c>
      <c r="Q1464" s="290">
        <v>700</v>
      </c>
      <c r="R1464" s="290">
        <v>14050</v>
      </c>
      <c r="S1464" s="291">
        <v>19902.240000000002</v>
      </c>
      <c r="T1464" s="290">
        <v>14056</v>
      </c>
      <c r="U1464" s="291">
        <v>19902.240000000002</v>
      </c>
      <c r="V1464" s="291">
        <f t="shared" si="22"/>
        <v>0</v>
      </c>
      <c r="W1464" s="292">
        <v>0</v>
      </c>
      <c r="X1464" s="290">
        <v>54260</v>
      </c>
      <c r="Y1464" s="291">
        <v>0</v>
      </c>
      <c r="Z1464" s="289" t="s">
        <v>2542</v>
      </c>
      <c r="AA1464" s="289" t="s">
        <v>3044</v>
      </c>
      <c r="AB1464" s="289"/>
      <c r="AC1464" s="289"/>
      <c r="AD1464" s="289" t="s">
        <v>1446</v>
      </c>
      <c r="AE1464" s="289" t="s">
        <v>410</v>
      </c>
      <c r="AF1464" s="290" t="s">
        <v>1447</v>
      </c>
      <c r="AG1464" s="289"/>
      <c r="AH1464" s="290" t="s">
        <v>1448</v>
      </c>
      <c r="AI1464" s="289">
        <v>0</v>
      </c>
      <c r="AJ1464" s="289">
        <v>0</v>
      </c>
    </row>
    <row r="1465" spans="2:36">
      <c r="B1465" s="290">
        <v>2111</v>
      </c>
      <c r="C1465" s="294">
        <v>6733</v>
      </c>
      <c r="D1465" s="290" t="s">
        <v>944</v>
      </c>
      <c r="E1465" s="289" t="s">
        <v>3856</v>
      </c>
      <c r="F1465" s="290">
        <v>0</v>
      </c>
      <c r="G1465" s="289"/>
      <c r="H1465" s="289"/>
      <c r="I1465" s="289"/>
      <c r="J1465" s="289">
        <v>0</v>
      </c>
      <c r="K1465" s="289" t="s">
        <v>3857</v>
      </c>
      <c r="L1465" s="289"/>
      <c r="M1465" s="289" t="s">
        <v>2428</v>
      </c>
      <c r="N1465" s="293">
        <v>36587</v>
      </c>
      <c r="O1465" s="293">
        <v>36587</v>
      </c>
      <c r="P1465" s="289">
        <v>219</v>
      </c>
      <c r="Q1465" s="290">
        <v>1200</v>
      </c>
      <c r="R1465" s="290">
        <v>14050</v>
      </c>
      <c r="S1465" s="291">
        <v>1903.5</v>
      </c>
      <c r="T1465" s="290">
        <v>14056</v>
      </c>
      <c r="U1465" s="291">
        <v>1903.5</v>
      </c>
      <c r="V1465" s="291">
        <f t="shared" si="22"/>
        <v>0</v>
      </c>
      <c r="W1465" s="292">
        <v>0</v>
      </c>
      <c r="X1465" s="290">
        <v>54260</v>
      </c>
      <c r="Y1465" s="291">
        <v>0</v>
      </c>
      <c r="Z1465" s="289" t="s">
        <v>2542</v>
      </c>
      <c r="AA1465" s="289" t="s">
        <v>3044</v>
      </c>
      <c r="AB1465" s="289"/>
      <c r="AC1465" s="289"/>
      <c r="AD1465" s="289" t="s">
        <v>1446</v>
      </c>
      <c r="AE1465" s="289" t="s">
        <v>410</v>
      </c>
      <c r="AF1465" s="290" t="s">
        <v>1447</v>
      </c>
      <c r="AG1465" s="289"/>
      <c r="AH1465" s="290" t="s">
        <v>1448</v>
      </c>
      <c r="AI1465" s="289">
        <v>0</v>
      </c>
      <c r="AJ1465" s="289">
        <v>0</v>
      </c>
    </row>
    <row r="1466" spans="2:36">
      <c r="B1466" s="290">
        <v>2111</v>
      </c>
      <c r="C1466" s="294">
        <v>6732</v>
      </c>
      <c r="D1466" s="290" t="s">
        <v>944</v>
      </c>
      <c r="E1466" s="289" t="s">
        <v>3858</v>
      </c>
      <c r="F1466" s="290">
        <v>10</v>
      </c>
      <c r="G1466" s="289"/>
      <c r="H1466" s="289" t="s">
        <v>3859</v>
      </c>
      <c r="I1466" s="289"/>
      <c r="J1466" s="289">
        <v>0</v>
      </c>
      <c r="K1466" s="289" t="s">
        <v>3857</v>
      </c>
      <c r="L1466" s="289"/>
      <c r="M1466" s="289" t="s">
        <v>1667</v>
      </c>
      <c r="N1466" s="293">
        <v>36570</v>
      </c>
      <c r="O1466" s="293">
        <v>36570</v>
      </c>
      <c r="P1466" s="289">
        <v>219</v>
      </c>
      <c r="Q1466" s="290">
        <v>1200</v>
      </c>
      <c r="R1466" s="290">
        <v>14050</v>
      </c>
      <c r="S1466" s="291">
        <v>39024</v>
      </c>
      <c r="T1466" s="290">
        <v>14056</v>
      </c>
      <c r="U1466" s="291">
        <v>39024</v>
      </c>
      <c r="V1466" s="291">
        <f t="shared" si="22"/>
        <v>0</v>
      </c>
      <c r="W1466" s="292">
        <v>0</v>
      </c>
      <c r="X1466" s="290">
        <v>54260</v>
      </c>
      <c r="Y1466" s="291">
        <v>0</v>
      </c>
      <c r="Z1466" s="289" t="s">
        <v>2542</v>
      </c>
      <c r="AA1466" s="289" t="s">
        <v>3044</v>
      </c>
      <c r="AB1466" s="289"/>
      <c r="AC1466" s="289"/>
      <c r="AD1466" s="289" t="s">
        <v>1446</v>
      </c>
      <c r="AE1466" s="289" t="s">
        <v>410</v>
      </c>
      <c r="AF1466" s="290" t="s">
        <v>1447</v>
      </c>
      <c r="AG1466" s="289"/>
      <c r="AH1466" s="290" t="s">
        <v>1448</v>
      </c>
      <c r="AI1466" s="289">
        <v>0</v>
      </c>
      <c r="AJ1466" s="289">
        <v>0</v>
      </c>
    </row>
    <row r="1467" spans="2:36">
      <c r="B1467" s="290">
        <v>2111</v>
      </c>
      <c r="C1467" s="294">
        <v>6730</v>
      </c>
      <c r="D1467" s="290" t="s">
        <v>944</v>
      </c>
      <c r="E1467" s="289" t="s">
        <v>3860</v>
      </c>
      <c r="F1467" s="290">
        <v>12</v>
      </c>
      <c r="G1467" s="289"/>
      <c r="H1467" s="289" t="s">
        <v>3861</v>
      </c>
      <c r="I1467" s="289"/>
      <c r="J1467" s="289">
        <v>0</v>
      </c>
      <c r="K1467" s="289" t="s">
        <v>2609</v>
      </c>
      <c r="L1467" s="289"/>
      <c r="M1467" s="289" t="s">
        <v>1918</v>
      </c>
      <c r="N1467" s="293">
        <v>36587</v>
      </c>
      <c r="O1467" s="293">
        <v>36587</v>
      </c>
      <c r="P1467" s="289">
        <v>219</v>
      </c>
      <c r="Q1467" s="290">
        <v>1200</v>
      </c>
      <c r="R1467" s="290">
        <v>14050</v>
      </c>
      <c r="S1467" s="291">
        <v>3215.83</v>
      </c>
      <c r="T1467" s="290">
        <v>14056</v>
      </c>
      <c r="U1467" s="291">
        <v>3215.83</v>
      </c>
      <c r="V1467" s="291">
        <f t="shared" si="22"/>
        <v>0</v>
      </c>
      <c r="W1467" s="292">
        <v>0</v>
      </c>
      <c r="X1467" s="290">
        <v>54260</v>
      </c>
      <c r="Y1467" s="291">
        <v>0</v>
      </c>
      <c r="Z1467" s="289" t="s">
        <v>2542</v>
      </c>
      <c r="AA1467" s="289" t="s">
        <v>3044</v>
      </c>
      <c r="AB1467" s="289"/>
      <c r="AC1467" s="289"/>
      <c r="AD1467" s="289" t="s">
        <v>1446</v>
      </c>
      <c r="AE1467" s="289" t="s">
        <v>410</v>
      </c>
      <c r="AF1467" s="290" t="s">
        <v>1447</v>
      </c>
      <c r="AG1467" s="289"/>
      <c r="AH1467" s="290" t="s">
        <v>1448</v>
      </c>
      <c r="AI1467" s="289">
        <v>0</v>
      </c>
      <c r="AJ1467" s="289">
        <v>0</v>
      </c>
    </row>
    <row r="1468" spans="2:36">
      <c r="B1468" s="290">
        <v>2111</v>
      </c>
      <c r="C1468" s="294">
        <v>6728</v>
      </c>
      <c r="D1468" s="290" t="s">
        <v>944</v>
      </c>
      <c r="E1468" s="289" t="s">
        <v>3862</v>
      </c>
      <c r="F1468" s="290">
        <v>272</v>
      </c>
      <c r="G1468" s="289"/>
      <c r="H1468" s="289"/>
      <c r="I1468" s="289"/>
      <c r="J1468" s="289">
        <v>0</v>
      </c>
      <c r="K1468" s="289" t="s">
        <v>3863</v>
      </c>
      <c r="L1468" s="289"/>
      <c r="M1468" s="289"/>
      <c r="N1468" s="293">
        <v>36525</v>
      </c>
      <c r="O1468" s="293">
        <v>36525</v>
      </c>
      <c r="P1468" s="289" t="s">
        <v>3864</v>
      </c>
      <c r="Q1468" s="290">
        <v>700</v>
      </c>
      <c r="R1468" s="290">
        <v>14050</v>
      </c>
      <c r="S1468" s="291">
        <v>10866.4</v>
      </c>
      <c r="T1468" s="290">
        <v>14056</v>
      </c>
      <c r="U1468" s="291">
        <v>10866.4</v>
      </c>
      <c r="V1468" s="291">
        <f t="shared" si="22"/>
        <v>0</v>
      </c>
      <c r="W1468" s="292">
        <v>0</v>
      </c>
      <c r="X1468" s="290">
        <v>54260</v>
      </c>
      <c r="Y1468" s="291">
        <v>0</v>
      </c>
      <c r="Z1468" s="289" t="s">
        <v>2542</v>
      </c>
      <c r="AA1468" s="289" t="s">
        <v>3044</v>
      </c>
      <c r="AB1468" s="289"/>
      <c r="AC1468" s="289"/>
      <c r="AD1468" s="289" t="s">
        <v>1446</v>
      </c>
      <c r="AE1468" s="289" t="s">
        <v>410</v>
      </c>
      <c r="AF1468" s="290" t="s">
        <v>1447</v>
      </c>
      <c r="AG1468" s="289"/>
      <c r="AH1468" s="290" t="s">
        <v>1448</v>
      </c>
      <c r="AI1468" s="289">
        <v>0</v>
      </c>
      <c r="AJ1468" s="289">
        <v>0</v>
      </c>
    </row>
    <row r="1469" spans="2:36">
      <c r="B1469" s="290">
        <v>2111</v>
      </c>
      <c r="C1469" s="294">
        <v>6726</v>
      </c>
      <c r="D1469" s="290" t="s">
        <v>944</v>
      </c>
      <c r="E1469" s="289" t="s">
        <v>3865</v>
      </c>
      <c r="F1469" s="290">
        <v>432</v>
      </c>
      <c r="G1469" s="289"/>
      <c r="H1469" s="289"/>
      <c r="I1469" s="289"/>
      <c r="J1469" s="289">
        <v>0</v>
      </c>
      <c r="K1469" s="289" t="s">
        <v>2560</v>
      </c>
      <c r="L1469" s="289"/>
      <c r="M1469" s="289"/>
      <c r="N1469" s="293">
        <v>36373</v>
      </c>
      <c r="O1469" s="293">
        <v>36373</v>
      </c>
      <c r="P1469" s="289" t="s">
        <v>3866</v>
      </c>
      <c r="Q1469" s="290">
        <v>700</v>
      </c>
      <c r="R1469" s="290">
        <v>14050</v>
      </c>
      <c r="S1469" s="291">
        <v>19902.240000000002</v>
      </c>
      <c r="T1469" s="290">
        <v>14056</v>
      </c>
      <c r="U1469" s="291">
        <v>19902.240000000002</v>
      </c>
      <c r="V1469" s="291">
        <f t="shared" si="22"/>
        <v>0</v>
      </c>
      <c r="W1469" s="292">
        <v>0</v>
      </c>
      <c r="X1469" s="290">
        <v>54260</v>
      </c>
      <c r="Y1469" s="291">
        <v>0</v>
      </c>
      <c r="Z1469" s="289" t="s">
        <v>2542</v>
      </c>
      <c r="AA1469" s="289" t="s">
        <v>3044</v>
      </c>
      <c r="AB1469" s="289"/>
      <c r="AC1469" s="289"/>
      <c r="AD1469" s="289" t="s">
        <v>1446</v>
      </c>
      <c r="AE1469" s="289" t="s">
        <v>410</v>
      </c>
      <c r="AF1469" s="290" t="s">
        <v>1447</v>
      </c>
      <c r="AG1469" s="289"/>
      <c r="AH1469" s="290" t="s">
        <v>1448</v>
      </c>
      <c r="AI1469" s="289">
        <v>0</v>
      </c>
      <c r="AJ1469" s="289">
        <v>0</v>
      </c>
    </row>
    <row r="1470" spans="2:36">
      <c r="B1470" s="290">
        <v>2111</v>
      </c>
      <c r="C1470" s="294">
        <v>6725</v>
      </c>
      <c r="D1470" s="290" t="s">
        <v>944</v>
      </c>
      <c r="E1470" s="289" t="s">
        <v>3867</v>
      </c>
      <c r="F1470" s="290">
        <v>432</v>
      </c>
      <c r="G1470" s="289"/>
      <c r="H1470" s="289" t="s">
        <v>3868</v>
      </c>
      <c r="I1470" s="289"/>
      <c r="J1470" s="289">
        <v>0</v>
      </c>
      <c r="K1470" s="289" t="s">
        <v>2560</v>
      </c>
      <c r="L1470" s="289"/>
      <c r="M1470" s="289"/>
      <c r="N1470" s="293">
        <v>36340</v>
      </c>
      <c r="O1470" s="293">
        <v>36340</v>
      </c>
      <c r="P1470" s="289"/>
      <c r="Q1470" s="290">
        <v>700</v>
      </c>
      <c r="R1470" s="290">
        <v>14050</v>
      </c>
      <c r="S1470" s="291">
        <v>20370.53</v>
      </c>
      <c r="T1470" s="290">
        <v>14056</v>
      </c>
      <c r="U1470" s="291">
        <v>20370.53</v>
      </c>
      <c r="V1470" s="291">
        <f t="shared" si="22"/>
        <v>0</v>
      </c>
      <c r="W1470" s="292">
        <v>0</v>
      </c>
      <c r="X1470" s="290">
        <v>54260</v>
      </c>
      <c r="Y1470" s="291">
        <v>0</v>
      </c>
      <c r="Z1470" s="289" t="s">
        <v>2542</v>
      </c>
      <c r="AA1470" s="289" t="s">
        <v>3044</v>
      </c>
      <c r="AB1470" s="289"/>
      <c r="AC1470" s="289"/>
      <c r="AD1470" s="289" t="s">
        <v>1446</v>
      </c>
      <c r="AE1470" s="289" t="s">
        <v>410</v>
      </c>
      <c r="AF1470" s="290" t="s">
        <v>1447</v>
      </c>
      <c r="AG1470" s="289"/>
      <c r="AH1470" s="290" t="s">
        <v>1448</v>
      </c>
      <c r="AI1470" s="289">
        <v>0</v>
      </c>
      <c r="AJ1470" s="289">
        <v>0</v>
      </c>
    </row>
    <row r="1471" spans="2:36">
      <c r="B1471" s="290">
        <v>2111</v>
      </c>
      <c r="C1471" s="294">
        <v>6724</v>
      </c>
      <c r="D1471" s="290" t="s">
        <v>944</v>
      </c>
      <c r="E1471" s="289" t="s">
        <v>3869</v>
      </c>
      <c r="F1471" s="290">
        <v>76</v>
      </c>
      <c r="G1471" s="289"/>
      <c r="H1471" s="289" t="s">
        <v>3870</v>
      </c>
      <c r="I1471" s="289"/>
      <c r="J1471" s="289">
        <v>0</v>
      </c>
      <c r="K1471" s="289" t="s">
        <v>2560</v>
      </c>
      <c r="L1471" s="289"/>
      <c r="M1471" s="289"/>
      <c r="N1471" s="293">
        <v>36291</v>
      </c>
      <c r="O1471" s="293">
        <v>36291</v>
      </c>
      <c r="P1471" s="289" t="s">
        <v>3871</v>
      </c>
      <c r="Q1471" s="290">
        <v>700</v>
      </c>
      <c r="R1471" s="290">
        <v>14050</v>
      </c>
      <c r="S1471" s="291">
        <v>3583.18</v>
      </c>
      <c r="T1471" s="290">
        <v>14056</v>
      </c>
      <c r="U1471" s="291">
        <v>3583.18</v>
      </c>
      <c r="V1471" s="291">
        <f t="shared" si="22"/>
        <v>0</v>
      </c>
      <c r="W1471" s="292">
        <v>0</v>
      </c>
      <c r="X1471" s="290">
        <v>54260</v>
      </c>
      <c r="Y1471" s="291">
        <v>0</v>
      </c>
      <c r="Z1471" s="289" t="s">
        <v>2542</v>
      </c>
      <c r="AA1471" s="289" t="s">
        <v>3044</v>
      </c>
      <c r="AB1471" s="289"/>
      <c r="AC1471" s="289"/>
      <c r="AD1471" s="289" t="s">
        <v>1446</v>
      </c>
      <c r="AE1471" s="289" t="s">
        <v>410</v>
      </c>
      <c r="AF1471" s="290" t="s">
        <v>1447</v>
      </c>
      <c r="AG1471" s="289"/>
      <c r="AH1471" s="290" t="s">
        <v>1448</v>
      </c>
      <c r="AI1471" s="289">
        <v>2</v>
      </c>
      <c r="AJ1471" s="289">
        <v>0</v>
      </c>
    </row>
    <row r="1472" spans="2:36">
      <c r="B1472" s="290">
        <v>2111</v>
      </c>
      <c r="C1472" s="294">
        <v>6723</v>
      </c>
      <c r="D1472" s="290" t="s">
        <v>944</v>
      </c>
      <c r="E1472" s="289" t="s">
        <v>3869</v>
      </c>
      <c r="F1472" s="290">
        <v>864</v>
      </c>
      <c r="G1472" s="289"/>
      <c r="H1472" s="289" t="s">
        <v>3872</v>
      </c>
      <c r="I1472" s="289"/>
      <c r="J1472" s="289">
        <v>0</v>
      </c>
      <c r="K1472" s="289" t="s">
        <v>2560</v>
      </c>
      <c r="L1472" s="289"/>
      <c r="M1472" s="289"/>
      <c r="N1472" s="293">
        <v>36279</v>
      </c>
      <c r="O1472" s="293">
        <v>36279</v>
      </c>
      <c r="P1472" s="289" t="s">
        <v>3871</v>
      </c>
      <c r="Q1472" s="290">
        <v>700</v>
      </c>
      <c r="R1472" s="290">
        <v>14050</v>
      </c>
      <c r="S1472" s="291">
        <v>40741.06</v>
      </c>
      <c r="T1472" s="290">
        <v>14056</v>
      </c>
      <c r="U1472" s="291">
        <v>40741.06</v>
      </c>
      <c r="V1472" s="291">
        <f t="shared" si="22"/>
        <v>0</v>
      </c>
      <c r="W1472" s="292">
        <v>0</v>
      </c>
      <c r="X1472" s="290">
        <v>54260</v>
      </c>
      <c r="Y1472" s="291">
        <v>0</v>
      </c>
      <c r="Z1472" s="289" t="s">
        <v>2542</v>
      </c>
      <c r="AA1472" s="289" t="s">
        <v>3044</v>
      </c>
      <c r="AB1472" s="289"/>
      <c r="AC1472" s="289"/>
      <c r="AD1472" s="289" t="s">
        <v>1446</v>
      </c>
      <c r="AE1472" s="289" t="s">
        <v>410</v>
      </c>
      <c r="AF1472" s="290" t="s">
        <v>1447</v>
      </c>
      <c r="AG1472" s="289"/>
      <c r="AH1472" s="290" t="s">
        <v>1448</v>
      </c>
      <c r="AI1472" s="289">
        <v>0</v>
      </c>
      <c r="AJ1472" s="289">
        <v>0</v>
      </c>
    </row>
    <row r="1473" spans="2:36">
      <c r="B1473" s="290">
        <v>2111</v>
      </c>
      <c r="C1473" s="294">
        <v>6719</v>
      </c>
      <c r="D1473" s="290">
        <v>9536</v>
      </c>
      <c r="E1473" s="289" t="s">
        <v>3873</v>
      </c>
      <c r="F1473" s="290">
        <v>0</v>
      </c>
      <c r="G1473" s="289"/>
      <c r="H1473" s="289" t="s">
        <v>3874</v>
      </c>
      <c r="I1473" s="289"/>
      <c r="J1473" s="289">
        <v>1999</v>
      </c>
      <c r="K1473" s="289"/>
      <c r="L1473" s="289"/>
      <c r="M1473" s="289" t="s">
        <v>3875</v>
      </c>
      <c r="N1473" s="293">
        <v>36556</v>
      </c>
      <c r="O1473" s="293">
        <v>36556</v>
      </c>
      <c r="P1473" s="289" t="s">
        <v>3876</v>
      </c>
      <c r="Q1473" s="290">
        <v>500</v>
      </c>
      <c r="R1473" s="290">
        <v>14040</v>
      </c>
      <c r="S1473" s="291">
        <v>7094.84</v>
      </c>
      <c r="T1473" s="290">
        <v>14046</v>
      </c>
      <c r="U1473" s="291">
        <v>7094.84</v>
      </c>
      <c r="V1473" s="291">
        <f t="shared" si="22"/>
        <v>0</v>
      </c>
      <c r="W1473" s="292">
        <v>0</v>
      </c>
      <c r="X1473" s="290">
        <v>51260</v>
      </c>
      <c r="Y1473" s="291">
        <v>0</v>
      </c>
      <c r="Z1473" s="289" t="s">
        <v>2542</v>
      </c>
      <c r="AA1473" s="289" t="s">
        <v>3044</v>
      </c>
      <c r="AB1473" s="289"/>
      <c r="AC1473" s="289"/>
      <c r="AD1473" s="289" t="s">
        <v>1446</v>
      </c>
      <c r="AE1473" s="289" t="s">
        <v>410</v>
      </c>
      <c r="AF1473" s="290" t="s">
        <v>1447</v>
      </c>
      <c r="AG1473" s="289"/>
      <c r="AH1473" s="290" t="s">
        <v>1448</v>
      </c>
      <c r="AI1473" s="289">
        <v>0</v>
      </c>
      <c r="AJ1473" s="289">
        <v>0</v>
      </c>
    </row>
    <row r="1474" spans="2:36">
      <c r="B1474" s="290">
        <v>2111</v>
      </c>
      <c r="C1474" s="294">
        <v>6718</v>
      </c>
      <c r="D1474" s="290">
        <v>9537</v>
      </c>
      <c r="E1474" s="289" t="s">
        <v>3877</v>
      </c>
      <c r="F1474" s="290">
        <v>0</v>
      </c>
      <c r="G1474" s="289"/>
      <c r="H1474" s="289" t="s">
        <v>3878</v>
      </c>
      <c r="I1474" s="289"/>
      <c r="J1474" s="289">
        <v>1999</v>
      </c>
      <c r="K1474" s="289"/>
      <c r="L1474" s="289"/>
      <c r="M1474" s="289" t="s">
        <v>1591</v>
      </c>
      <c r="N1474" s="293">
        <v>36556</v>
      </c>
      <c r="O1474" s="293">
        <v>36556</v>
      </c>
      <c r="P1474" s="289" t="s">
        <v>3876</v>
      </c>
      <c r="Q1474" s="290">
        <v>500</v>
      </c>
      <c r="R1474" s="290">
        <v>14040</v>
      </c>
      <c r="S1474" s="291">
        <v>7094.84</v>
      </c>
      <c r="T1474" s="290">
        <v>14046</v>
      </c>
      <c r="U1474" s="291">
        <v>7094.84</v>
      </c>
      <c r="V1474" s="291">
        <f t="shared" si="22"/>
        <v>0</v>
      </c>
      <c r="W1474" s="292">
        <v>0</v>
      </c>
      <c r="X1474" s="290">
        <v>51260</v>
      </c>
      <c r="Y1474" s="291">
        <v>0</v>
      </c>
      <c r="Z1474" s="289" t="s">
        <v>2542</v>
      </c>
      <c r="AA1474" s="289" t="s">
        <v>3044</v>
      </c>
      <c r="AB1474" s="289"/>
      <c r="AC1474" s="289"/>
      <c r="AD1474" s="289" t="s">
        <v>1446</v>
      </c>
      <c r="AE1474" s="289" t="s">
        <v>410</v>
      </c>
      <c r="AF1474" s="290" t="s">
        <v>1447</v>
      </c>
      <c r="AG1474" s="289"/>
      <c r="AH1474" s="290" t="s">
        <v>1448</v>
      </c>
      <c r="AI1474" s="289">
        <v>0</v>
      </c>
      <c r="AJ1474" s="289">
        <v>0</v>
      </c>
    </row>
    <row r="1475" spans="2:36">
      <c r="B1475" s="290">
        <v>2111</v>
      </c>
      <c r="C1475" s="294">
        <v>6717</v>
      </c>
      <c r="D1475" s="290" t="s">
        <v>944</v>
      </c>
      <c r="E1475" s="289" t="s">
        <v>3879</v>
      </c>
      <c r="F1475" s="290">
        <v>0</v>
      </c>
      <c r="G1475" s="289"/>
      <c r="H1475" s="289" t="s">
        <v>3438</v>
      </c>
      <c r="I1475" s="289"/>
      <c r="J1475" s="289">
        <v>1981</v>
      </c>
      <c r="K1475" s="289" t="s">
        <v>3880</v>
      </c>
      <c r="L1475" s="289" t="s">
        <v>2214</v>
      </c>
      <c r="M1475" s="289" t="s">
        <v>1467</v>
      </c>
      <c r="N1475" s="293">
        <v>36342</v>
      </c>
      <c r="O1475" s="293">
        <v>36342</v>
      </c>
      <c r="P1475" s="289" t="s">
        <v>3881</v>
      </c>
      <c r="Q1475" s="290">
        <v>500</v>
      </c>
      <c r="R1475" s="290">
        <v>14040</v>
      </c>
      <c r="S1475" s="291">
        <v>11910.19</v>
      </c>
      <c r="T1475" s="290">
        <v>14046</v>
      </c>
      <c r="U1475" s="291">
        <v>11910.19</v>
      </c>
      <c r="V1475" s="291">
        <f t="shared" si="22"/>
        <v>0</v>
      </c>
      <c r="W1475" s="292">
        <v>0</v>
      </c>
      <c r="X1475" s="290">
        <v>51260</v>
      </c>
      <c r="Y1475" s="291">
        <v>0</v>
      </c>
      <c r="Z1475" s="289" t="s">
        <v>944</v>
      </c>
      <c r="AA1475" s="289" t="s">
        <v>3044</v>
      </c>
      <c r="AB1475" s="289"/>
      <c r="AC1475" s="289">
        <v>64</v>
      </c>
      <c r="AD1475" s="289" t="s">
        <v>1446</v>
      </c>
      <c r="AE1475" s="289" t="s">
        <v>410</v>
      </c>
      <c r="AF1475" s="290" t="s">
        <v>1447</v>
      </c>
      <c r="AG1475" s="289"/>
      <c r="AH1475" s="290" t="s">
        <v>1448</v>
      </c>
      <c r="AI1475" s="289">
        <v>0</v>
      </c>
      <c r="AJ1475" s="289">
        <v>0</v>
      </c>
    </row>
    <row r="1476" spans="2:36">
      <c r="B1476" s="290">
        <v>2111</v>
      </c>
      <c r="C1476" s="294">
        <v>6714</v>
      </c>
      <c r="D1476" s="290"/>
      <c r="E1476" s="289" t="s">
        <v>3882</v>
      </c>
      <c r="F1476" s="290">
        <v>0</v>
      </c>
      <c r="G1476" s="289"/>
      <c r="H1476" s="289"/>
      <c r="I1476" s="289"/>
      <c r="J1476" s="289">
        <v>0</v>
      </c>
      <c r="K1476" s="289"/>
      <c r="L1476" s="289"/>
      <c r="M1476" s="289"/>
      <c r="N1476" s="293">
        <v>25964</v>
      </c>
      <c r="O1476" s="293">
        <v>25964</v>
      </c>
      <c r="P1476" s="289"/>
      <c r="Q1476" s="290">
        <v>4000</v>
      </c>
      <c r="R1476" s="290">
        <v>15260</v>
      </c>
      <c r="S1476" s="291">
        <v>61091</v>
      </c>
      <c r="T1476" s="290">
        <v>15266</v>
      </c>
      <c r="U1476" s="291">
        <v>48745.68</v>
      </c>
      <c r="V1476" s="291">
        <f t="shared" si="22"/>
        <v>12345.32</v>
      </c>
      <c r="W1476" s="292">
        <v>0</v>
      </c>
      <c r="X1476" s="290">
        <v>70264</v>
      </c>
      <c r="Y1476" s="291">
        <v>0</v>
      </c>
      <c r="Z1476" s="289" t="s">
        <v>410</v>
      </c>
      <c r="AA1476" s="289" t="s">
        <v>3044</v>
      </c>
      <c r="AB1476" s="289"/>
      <c r="AC1476" s="289"/>
      <c r="AD1476" s="289" t="s">
        <v>1446</v>
      </c>
      <c r="AE1476" s="289" t="s">
        <v>410</v>
      </c>
      <c r="AF1476" s="290" t="s">
        <v>3883</v>
      </c>
      <c r="AG1476" s="295">
        <v>37621</v>
      </c>
      <c r="AH1476" s="290" t="s">
        <v>1448</v>
      </c>
      <c r="AI1476" s="289">
        <v>0</v>
      </c>
      <c r="AJ1476" s="289">
        <v>48745.68</v>
      </c>
    </row>
    <row r="1477" spans="2:36">
      <c r="B1477" s="290">
        <v>2111</v>
      </c>
      <c r="C1477" s="294">
        <v>6713</v>
      </c>
      <c r="D1477" s="290"/>
      <c r="E1477" s="289" t="s">
        <v>3884</v>
      </c>
      <c r="F1477" s="290">
        <v>0</v>
      </c>
      <c r="G1477" s="289"/>
      <c r="H1477" s="289"/>
      <c r="I1477" s="289"/>
      <c r="J1477" s="289">
        <v>0</v>
      </c>
      <c r="K1477" s="289"/>
      <c r="L1477" s="289"/>
      <c r="M1477" s="289"/>
      <c r="N1477" s="293">
        <v>25964</v>
      </c>
      <c r="O1477" s="293">
        <v>25964</v>
      </c>
      <c r="P1477" s="289"/>
      <c r="Q1477" s="290">
        <v>0</v>
      </c>
      <c r="R1477" s="290">
        <v>15110</v>
      </c>
      <c r="S1477" s="291">
        <v>7860</v>
      </c>
      <c r="T1477" s="290">
        <v>15120</v>
      </c>
      <c r="U1477" s="291">
        <v>6075.13</v>
      </c>
      <c r="V1477" s="291">
        <f t="shared" si="22"/>
        <v>1784.87</v>
      </c>
      <c r="W1477" s="292">
        <v>0</v>
      </c>
      <c r="X1477" s="290">
        <v>70264</v>
      </c>
      <c r="Y1477" s="291">
        <v>0</v>
      </c>
      <c r="Z1477" s="289" t="s">
        <v>410</v>
      </c>
      <c r="AA1477" s="289" t="s">
        <v>3044</v>
      </c>
      <c r="AB1477" s="289"/>
      <c r="AC1477" s="289"/>
      <c r="AD1477" s="289" t="s">
        <v>1446</v>
      </c>
      <c r="AE1477" s="289" t="s">
        <v>410</v>
      </c>
      <c r="AF1477" s="290" t="s">
        <v>1660</v>
      </c>
      <c r="AG1477" s="295">
        <v>37256</v>
      </c>
      <c r="AH1477" s="290" t="s">
        <v>1448</v>
      </c>
      <c r="AI1477" s="289">
        <v>0</v>
      </c>
      <c r="AJ1477" s="289">
        <v>6075.13</v>
      </c>
    </row>
    <row r="1478" spans="2:36">
      <c r="B1478" s="290">
        <v>2111</v>
      </c>
      <c r="C1478" s="294">
        <v>6708</v>
      </c>
      <c r="D1478" s="290"/>
      <c r="E1478" s="289" t="s">
        <v>3885</v>
      </c>
      <c r="F1478" s="290">
        <v>0</v>
      </c>
      <c r="G1478" s="289"/>
      <c r="H1478" s="289"/>
      <c r="I1478" s="289"/>
      <c r="J1478" s="289">
        <v>0</v>
      </c>
      <c r="K1478" s="289"/>
      <c r="L1478" s="289"/>
      <c r="M1478" s="289"/>
      <c r="N1478" s="293">
        <v>34236</v>
      </c>
      <c r="O1478" s="293">
        <v>34236</v>
      </c>
      <c r="P1478" s="289"/>
      <c r="Q1478" s="290">
        <v>300</v>
      </c>
      <c r="R1478" s="290">
        <v>14100</v>
      </c>
      <c r="S1478" s="291">
        <v>1389.22</v>
      </c>
      <c r="T1478" s="290">
        <v>14106</v>
      </c>
      <c r="U1478" s="291">
        <v>1389.22</v>
      </c>
      <c r="V1478" s="291">
        <f t="shared" si="22"/>
        <v>0</v>
      </c>
      <c r="W1478" s="292">
        <v>0</v>
      </c>
      <c r="X1478" s="290">
        <v>70257</v>
      </c>
      <c r="Y1478" s="291">
        <v>0</v>
      </c>
      <c r="Z1478" s="289" t="s">
        <v>410</v>
      </c>
      <c r="AA1478" s="289" t="s">
        <v>3044</v>
      </c>
      <c r="AB1478" s="289"/>
      <c r="AC1478" s="289"/>
      <c r="AD1478" s="289" t="s">
        <v>1446</v>
      </c>
      <c r="AE1478" s="289" t="s">
        <v>410</v>
      </c>
      <c r="AF1478" s="290" t="s">
        <v>1447</v>
      </c>
      <c r="AG1478" s="289"/>
      <c r="AH1478" s="290" t="s">
        <v>1448</v>
      </c>
      <c r="AI1478" s="289">
        <v>0</v>
      </c>
      <c r="AJ1478" s="289">
        <v>0</v>
      </c>
    </row>
    <row r="1479" spans="2:36">
      <c r="B1479" s="290">
        <v>2111</v>
      </c>
      <c r="C1479" s="294">
        <v>6705</v>
      </c>
      <c r="D1479" s="290"/>
      <c r="E1479" s="289" t="s">
        <v>3886</v>
      </c>
      <c r="F1479" s="290">
        <v>0</v>
      </c>
      <c r="G1479" s="289"/>
      <c r="H1479" s="289"/>
      <c r="I1479" s="289"/>
      <c r="J1479" s="289">
        <v>0</v>
      </c>
      <c r="K1479" s="289"/>
      <c r="L1479" s="289"/>
      <c r="M1479" s="289"/>
      <c r="N1479" s="293">
        <v>33035</v>
      </c>
      <c r="O1479" s="293">
        <v>33035</v>
      </c>
      <c r="P1479" s="289"/>
      <c r="Q1479" s="290">
        <v>500</v>
      </c>
      <c r="R1479" s="290">
        <v>14100</v>
      </c>
      <c r="S1479" s="291">
        <v>1057.6500000000001</v>
      </c>
      <c r="T1479" s="290">
        <v>14106</v>
      </c>
      <c r="U1479" s="291">
        <v>1057.6500000000001</v>
      </c>
      <c r="V1479" s="291">
        <f t="shared" si="22"/>
        <v>0</v>
      </c>
      <c r="W1479" s="292">
        <v>0</v>
      </c>
      <c r="X1479" s="290">
        <v>70257</v>
      </c>
      <c r="Y1479" s="291">
        <v>0</v>
      </c>
      <c r="Z1479" s="289" t="s">
        <v>410</v>
      </c>
      <c r="AA1479" s="289" t="s">
        <v>3044</v>
      </c>
      <c r="AB1479" s="289"/>
      <c r="AC1479" s="289"/>
      <c r="AD1479" s="289" t="s">
        <v>1446</v>
      </c>
      <c r="AE1479" s="289" t="s">
        <v>410</v>
      </c>
      <c r="AF1479" s="290" t="s">
        <v>1447</v>
      </c>
      <c r="AG1479" s="289"/>
      <c r="AH1479" s="290" t="s">
        <v>1448</v>
      </c>
      <c r="AI1479" s="289">
        <v>0</v>
      </c>
      <c r="AJ1479" s="289">
        <v>0</v>
      </c>
    </row>
    <row r="1480" spans="2:36">
      <c r="B1480" s="290">
        <v>2111</v>
      </c>
      <c r="C1480" s="294">
        <v>6704</v>
      </c>
      <c r="D1480" s="290"/>
      <c r="E1480" s="289" t="s">
        <v>3887</v>
      </c>
      <c r="F1480" s="290">
        <v>0</v>
      </c>
      <c r="G1480" s="289"/>
      <c r="H1480" s="289"/>
      <c r="I1480" s="289"/>
      <c r="J1480" s="289">
        <v>0</v>
      </c>
      <c r="K1480" s="289"/>
      <c r="L1480" s="289"/>
      <c r="M1480" s="289"/>
      <c r="N1480" s="293">
        <v>32972</v>
      </c>
      <c r="O1480" s="293">
        <v>32972</v>
      </c>
      <c r="P1480" s="289"/>
      <c r="Q1480" s="290">
        <v>500</v>
      </c>
      <c r="R1480" s="290">
        <v>14100</v>
      </c>
      <c r="S1480" s="291">
        <v>1250</v>
      </c>
      <c r="T1480" s="290">
        <v>14106</v>
      </c>
      <c r="U1480" s="291">
        <v>1250</v>
      </c>
      <c r="V1480" s="291">
        <f t="shared" si="22"/>
        <v>0</v>
      </c>
      <c r="W1480" s="292">
        <v>0</v>
      </c>
      <c r="X1480" s="290">
        <v>70257</v>
      </c>
      <c r="Y1480" s="291">
        <v>0</v>
      </c>
      <c r="Z1480" s="289" t="s">
        <v>410</v>
      </c>
      <c r="AA1480" s="289" t="s">
        <v>3044</v>
      </c>
      <c r="AB1480" s="289"/>
      <c r="AC1480" s="289"/>
      <c r="AD1480" s="289" t="s">
        <v>1446</v>
      </c>
      <c r="AE1480" s="289" t="s">
        <v>410</v>
      </c>
      <c r="AF1480" s="290" t="s">
        <v>1447</v>
      </c>
      <c r="AG1480" s="289"/>
      <c r="AH1480" s="290" t="s">
        <v>1448</v>
      </c>
      <c r="AI1480" s="289">
        <v>0</v>
      </c>
      <c r="AJ1480" s="289">
        <v>0</v>
      </c>
    </row>
    <row r="1481" spans="2:36">
      <c r="B1481" s="290">
        <v>2111</v>
      </c>
      <c r="C1481" s="294">
        <v>6699</v>
      </c>
      <c r="D1481" s="290"/>
      <c r="E1481" s="289" t="s">
        <v>3888</v>
      </c>
      <c r="F1481" s="290">
        <v>0</v>
      </c>
      <c r="G1481" s="289"/>
      <c r="H1481" s="289"/>
      <c r="I1481" s="289"/>
      <c r="J1481" s="289">
        <v>0</v>
      </c>
      <c r="K1481" s="289"/>
      <c r="L1481" s="289"/>
      <c r="M1481" s="289"/>
      <c r="N1481" s="293">
        <v>32072</v>
      </c>
      <c r="O1481" s="293">
        <v>32072</v>
      </c>
      <c r="P1481" s="289"/>
      <c r="Q1481" s="290">
        <v>500</v>
      </c>
      <c r="R1481" s="290">
        <v>14100</v>
      </c>
      <c r="S1481" s="291">
        <v>333.92</v>
      </c>
      <c r="T1481" s="290">
        <v>14106</v>
      </c>
      <c r="U1481" s="291">
        <v>333.92</v>
      </c>
      <c r="V1481" s="291">
        <f t="shared" si="22"/>
        <v>0</v>
      </c>
      <c r="W1481" s="292">
        <v>0</v>
      </c>
      <c r="X1481" s="290">
        <v>70257</v>
      </c>
      <c r="Y1481" s="291">
        <v>0</v>
      </c>
      <c r="Z1481" s="289" t="s">
        <v>410</v>
      </c>
      <c r="AA1481" s="289" t="s">
        <v>3044</v>
      </c>
      <c r="AB1481" s="289"/>
      <c r="AC1481" s="289"/>
      <c r="AD1481" s="289" t="s">
        <v>1446</v>
      </c>
      <c r="AE1481" s="289" t="s">
        <v>410</v>
      </c>
      <c r="AF1481" s="290" t="s">
        <v>1447</v>
      </c>
      <c r="AG1481" s="289"/>
      <c r="AH1481" s="290" t="s">
        <v>1448</v>
      </c>
      <c r="AI1481" s="289">
        <v>0</v>
      </c>
      <c r="AJ1481" s="289">
        <v>0</v>
      </c>
    </row>
    <row r="1482" spans="2:36">
      <c r="B1482" s="290">
        <v>2111</v>
      </c>
      <c r="C1482" s="294">
        <v>6698</v>
      </c>
      <c r="D1482" s="290"/>
      <c r="E1482" s="289" t="s">
        <v>3889</v>
      </c>
      <c r="F1482" s="290">
        <v>0</v>
      </c>
      <c r="G1482" s="289"/>
      <c r="H1482" s="289"/>
      <c r="I1482" s="289"/>
      <c r="J1482" s="289">
        <v>0</v>
      </c>
      <c r="K1482" s="289"/>
      <c r="L1482" s="289"/>
      <c r="M1482" s="289"/>
      <c r="N1482" s="293">
        <v>31848</v>
      </c>
      <c r="O1482" s="293">
        <v>31848</v>
      </c>
      <c r="P1482" s="289"/>
      <c r="Q1482" s="290">
        <v>500</v>
      </c>
      <c r="R1482" s="290">
        <v>14100</v>
      </c>
      <c r="S1482" s="291">
        <v>473.8</v>
      </c>
      <c r="T1482" s="290">
        <v>14106</v>
      </c>
      <c r="U1482" s="291">
        <v>473.8</v>
      </c>
      <c r="V1482" s="291">
        <f t="shared" si="22"/>
        <v>0</v>
      </c>
      <c r="W1482" s="292">
        <v>0</v>
      </c>
      <c r="X1482" s="290">
        <v>70257</v>
      </c>
      <c r="Y1482" s="291">
        <v>0</v>
      </c>
      <c r="Z1482" s="289" t="s">
        <v>410</v>
      </c>
      <c r="AA1482" s="289" t="s">
        <v>3044</v>
      </c>
      <c r="AB1482" s="289"/>
      <c r="AC1482" s="289"/>
      <c r="AD1482" s="289" t="s">
        <v>1446</v>
      </c>
      <c r="AE1482" s="289" t="s">
        <v>410</v>
      </c>
      <c r="AF1482" s="290" t="s">
        <v>1447</v>
      </c>
      <c r="AG1482" s="289"/>
      <c r="AH1482" s="290" t="s">
        <v>1448</v>
      </c>
      <c r="AI1482" s="289">
        <v>0</v>
      </c>
      <c r="AJ1482" s="289">
        <v>0</v>
      </c>
    </row>
    <row r="1483" spans="2:36">
      <c r="B1483" s="290">
        <v>2111</v>
      </c>
      <c r="C1483" s="294">
        <v>6696</v>
      </c>
      <c r="D1483" s="290"/>
      <c r="E1483" s="289" t="s">
        <v>3890</v>
      </c>
      <c r="F1483" s="290">
        <v>0</v>
      </c>
      <c r="G1483" s="289"/>
      <c r="H1483" s="289"/>
      <c r="I1483" s="289"/>
      <c r="J1483" s="289">
        <v>0</v>
      </c>
      <c r="K1483" s="289"/>
      <c r="L1483" s="289"/>
      <c r="M1483" s="289"/>
      <c r="N1483" s="293">
        <v>31433</v>
      </c>
      <c r="O1483" s="293">
        <v>31433</v>
      </c>
      <c r="P1483" s="289"/>
      <c r="Q1483" s="290">
        <v>500</v>
      </c>
      <c r="R1483" s="290">
        <v>14100</v>
      </c>
      <c r="S1483" s="291">
        <v>1762</v>
      </c>
      <c r="T1483" s="290">
        <v>14106</v>
      </c>
      <c r="U1483" s="291">
        <v>1762</v>
      </c>
      <c r="V1483" s="291">
        <f t="shared" si="22"/>
        <v>0</v>
      </c>
      <c r="W1483" s="292">
        <v>0</v>
      </c>
      <c r="X1483" s="290">
        <v>70257</v>
      </c>
      <c r="Y1483" s="291">
        <v>0</v>
      </c>
      <c r="Z1483" s="289" t="s">
        <v>410</v>
      </c>
      <c r="AA1483" s="289" t="s">
        <v>3044</v>
      </c>
      <c r="AB1483" s="289"/>
      <c r="AC1483" s="289"/>
      <c r="AD1483" s="289" t="s">
        <v>1446</v>
      </c>
      <c r="AE1483" s="289" t="s">
        <v>410</v>
      </c>
      <c r="AF1483" s="290" t="s">
        <v>1447</v>
      </c>
      <c r="AG1483" s="289"/>
      <c r="AH1483" s="290" t="s">
        <v>1448</v>
      </c>
      <c r="AI1483" s="289">
        <v>0</v>
      </c>
      <c r="AJ1483" s="289">
        <v>0</v>
      </c>
    </row>
    <row r="1484" spans="2:36">
      <c r="B1484" s="290">
        <v>2111</v>
      </c>
      <c r="C1484" s="294">
        <v>6695</v>
      </c>
      <c r="D1484" s="290"/>
      <c r="E1484" s="289" t="s">
        <v>3891</v>
      </c>
      <c r="F1484" s="290">
        <v>0</v>
      </c>
      <c r="G1484" s="289"/>
      <c r="H1484" s="289"/>
      <c r="I1484" s="289"/>
      <c r="J1484" s="289">
        <v>0</v>
      </c>
      <c r="K1484" s="289"/>
      <c r="L1484" s="289"/>
      <c r="M1484" s="289"/>
      <c r="N1484" s="293">
        <v>29799</v>
      </c>
      <c r="O1484" s="293">
        <v>29799</v>
      </c>
      <c r="P1484" s="289"/>
      <c r="Q1484" s="290">
        <v>300</v>
      </c>
      <c r="R1484" s="290">
        <v>14100</v>
      </c>
      <c r="S1484" s="291">
        <v>6828</v>
      </c>
      <c r="T1484" s="290">
        <v>14106</v>
      </c>
      <c r="U1484" s="291">
        <v>6828</v>
      </c>
      <c r="V1484" s="291">
        <f t="shared" si="22"/>
        <v>0</v>
      </c>
      <c r="W1484" s="292">
        <v>0</v>
      </c>
      <c r="X1484" s="290">
        <v>70257</v>
      </c>
      <c r="Y1484" s="291">
        <v>0</v>
      </c>
      <c r="Z1484" s="289" t="s">
        <v>410</v>
      </c>
      <c r="AA1484" s="289" t="s">
        <v>3044</v>
      </c>
      <c r="AB1484" s="289"/>
      <c r="AC1484" s="289"/>
      <c r="AD1484" s="289" t="s">
        <v>1446</v>
      </c>
      <c r="AE1484" s="289" t="s">
        <v>410</v>
      </c>
      <c r="AF1484" s="290" t="s">
        <v>1447</v>
      </c>
      <c r="AG1484" s="289"/>
      <c r="AH1484" s="290" t="s">
        <v>1448</v>
      </c>
      <c r="AI1484" s="289">
        <v>0</v>
      </c>
      <c r="AJ1484" s="289">
        <v>0</v>
      </c>
    </row>
    <row r="1485" spans="2:36">
      <c r="B1485" s="290">
        <v>2111</v>
      </c>
      <c r="C1485" s="294">
        <v>6692</v>
      </c>
      <c r="D1485" s="290"/>
      <c r="E1485" s="289" t="s">
        <v>3892</v>
      </c>
      <c r="F1485" s="290">
        <v>0</v>
      </c>
      <c r="G1485" s="289"/>
      <c r="H1485" s="289"/>
      <c r="I1485" s="289"/>
      <c r="J1485" s="289">
        <v>0</v>
      </c>
      <c r="K1485" s="289"/>
      <c r="L1485" s="289"/>
      <c r="M1485" s="289"/>
      <c r="N1485" s="293">
        <v>30603</v>
      </c>
      <c r="O1485" s="293">
        <v>30603</v>
      </c>
      <c r="P1485" s="289"/>
      <c r="Q1485" s="290">
        <v>500</v>
      </c>
      <c r="R1485" s="290">
        <v>14100</v>
      </c>
      <c r="S1485" s="291">
        <v>919</v>
      </c>
      <c r="T1485" s="290">
        <v>14106</v>
      </c>
      <c r="U1485" s="291">
        <v>919</v>
      </c>
      <c r="V1485" s="291">
        <f t="shared" si="22"/>
        <v>0</v>
      </c>
      <c r="W1485" s="292">
        <v>0</v>
      </c>
      <c r="X1485" s="290">
        <v>70257</v>
      </c>
      <c r="Y1485" s="291">
        <v>0</v>
      </c>
      <c r="Z1485" s="289" t="s">
        <v>410</v>
      </c>
      <c r="AA1485" s="289" t="s">
        <v>3044</v>
      </c>
      <c r="AB1485" s="289"/>
      <c r="AC1485" s="289"/>
      <c r="AD1485" s="289" t="s">
        <v>1446</v>
      </c>
      <c r="AE1485" s="289" t="s">
        <v>410</v>
      </c>
      <c r="AF1485" s="290" t="s">
        <v>1447</v>
      </c>
      <c r="AG1485" s="289"/>
      <c r="AH1485" s="290" t="s">
        <v>1448</v>
      </c>
      <c r="AI1485" s="289">
        <v>0</v>
      </c>
      <c r="AJ1485" s="289">
        <v>0</v>
      </c>
    </row>
    <row r="1486" spans="2:36">
      <c r="B1486" s="290">
        <v>2111</v>
      </c>
      <c r="C1486" s="294">
        <v>6691</v>
      </c>
      <c r="D1486" s="290"/>
      <c r="E1486" s="289" t="s">
        <v>3889</v>
      </c>
      <c r="F1486" s="290">
        <v>0</v>
      </c>
      <c r="G1486" s="289"/>
      <c r="H1486" s="289"/>
      <c r="I1486" s="289"/>
      <c r="J1486" s="289">
        <v>0</v>
      </c>
      <c r="K1486" s="289"/>
      <c r="L1486" s="289"/>
      <c r="M1486" s="289"/>
      <c r="N1486" s="293">
        <v>30335</v>
      </c>
      <c r="O1486" s="293">
        <v>30335</v>
      </c>
      <c r="P1486" s="289"/>
      <c r="Q1486" s="290">
        <v>500</v>
      </c>
      <c r="R1486" s="290">
        <v>14100</v>
      </c>
      <c r="S1486" s="291">
        <v>507</v>
      </c>
      <c r="T1486" s="290">
        <v>14106</v>
      </c>
      <c r="U1486" s="291">
        <v>507</v>
      </c>
      <c r="V1486" s="291">
        <f t="shared" ref="V1486:V1549" si="23">S1486-U1486</f>
        <v>0</v>
      </c>
      <c r="W1486" s="292">
        <v>0</v>
      </c>
      <c r="X1486" s="290">
        <v>70257</v>
      </c>
      <c r="Y1486" s="291">
        <v>0</v>
      </c>
      <c r="Z1486" s="289" t="s">
        <v>410</v>
      </c>
      <c r="AA1486" s="289" t="s">
        <v>3044</v>
      </c>
      <c r="AB1486" s="289"/>
      <c r="AC1486" s="289"/>
      <c r="AD1486" s="289" t="s">
        <v>1446</v>
      </c>
      <c r="AE1486" s="289" t="s">
        <v>410</v>
      </c>
      <c r="AF1486" s="290" t="s">
        <v>1447</v>
      </c>
      <c r="AG1486" s="289"/>
      <c r="AH1486" s="290" t="s">
        <v>1448</v>
      </c>
      <c r="AI1486" s="289">
        <v>0</v>
      </c>
      <c r="AJ1486" s="289">
        <v>0</v>
      </c>
    </row>
    <row r="1487" spans="2:36">
      <c r="B1487" s="290">
        <v>2111</v>
      </c>
      <c r="C1487" s="294">
        <v>6690</v>
      </c>
      <c r="D1487" s="290"/>
      <c r="E1487" s="289" t="s">
        <v>3893</v>
      </c>
      <c r="F1487" s="290">
        <v>0</v>
      </c>
      <c r="G1487" s="289"/>
      <c r="H1487" s="289"/>
      <c r="I1487" s="289"/>
      <c r="J1487" s="289">
        <v>0</v>
      </c>
      <c r="K1487" s="289"/>
      <c r="L1487" s="289"/>
      <c r="M1487" s="289"/>
      <c r="N1487" s="293">
        <v>30220</v>
      </c>
      <c r="O1487" s="293">
        <v>30220</v>
      </c>
      <c r="P1487" s="289"/>
      <c r="Q1487" s="290">
        <v>500</v>
      </c>
      <c r="R1487" s="290">
        <v>14100</v>
      </c>
      <c r="S1487" s="291">
        <v>1785</v>
      </c>
      <c r="T1487" s="290">
        <v>14106</v>
      </c>
      <c r="U1487" s="291">
        <v>1785</v>
      </c>
      <c r="V1487" s="291">
        <f t="shared" si="23"/>
        <v>0</v>
      </c>
      <c r="W1487" s="292">
        <v>0</v>
      </c>
      <c r="X1487" s="290">
        <v>70257</v>
      </c>
      <c r="Y1487" s="291">
        <v>0</v>
      </c>
      <c r="Z1487" s="289" t="s">
        <v>410</v>
      </c>
      <c r="AA1487" s="289" t="s">
        <v>3044</v>
      </c>
      <c r="AB1487" s="289"/>
      <c r="AC1487" s="289"/>
      <c r="AD1487" s="289" t="s">
        <v>1446</v>
      </c>
      <c r="AE1487" s="289" t="s">
        <v>410</v>
      </c>
      <c r="AF1487" s="290" t="s">
        <v>1447</v>
      </c>
      <c r="AG1487" s="289"/>
      <c r="AH1487" s="290" t="s">
        <v>1448</v>
      </c>
      <c r="AI1487" s="289">
        <v>0</v>
      </c>
      <c r="AJ1487" s="289">
        <v>0</v>
      </c>
    </row>
    <row r="1488" spans="2:36">
      <c r="B1488" s="290">
        <v>2111</v>
      </c>
      <c r="C1488" s="294">
        <v>6689</v>
      </c>
      <c r="D1488" s="290"/>
      <c r="E1488" s="289" t="s">
        <v>3894</v>
      </c>
      <c r="F1488" s="290">
        <v>0</v>
      </c>
      <c r="G1488" s="289"/>
      <c r="H1488" s="289"/>
      <c r="I1488" s="289"/>
      <c r="J1488" s="289">
        <v>0</v>
      </c>
      <c r="K1488" s="289"/>
      <c r="L1488" s="289"/>
      <c r="M1488" s="289"/>
      <c r="N1488" s="293">
        <v>29768</v>
      </c>
      <c r="O1488" s="293">
        <v>29768</v>
      </c>
      <c r="P1488" s="289"/>
      <c r="Q1488" s="290">
        <v>500</v>
      </c>
      <c r="R1488" s="290">
        <v>14100</v>
      </c>
      <c r="S1488" s="291">
        <v>485</v>
      </c>
      <c r="T1488" s="290">
        <v>14106</v>
      </c>
      <c r="U1488" s="291">
        <v>485</v>
      </c>
      <c r="V1488" s="291">
        <f t="shared" si="23"/>
        <v>0</v>
      </c>
      <c r="W1488" s="292">
        <v>0</v>
      </c>
      <c r="X1488" s="290">
        <v>70257</v>
      </c>
      <c r="Y1488" s="291">
        <v>0</v>
      </c>
      <c r="Z1488" s="289" t="s">
        <v>410</v>
      </c>
      <c r="AA1488" s="289" t="s">
        <v>3044</v>
      </c>
      <c r="AB1488" s="289"/>
      <c r="AC1488" s="289"/>
      <c r="AD1488" s="289" t="s">
        <v>1446</v>
      </c>
      <c r="AE1488" s="289" t="s">
        <v>410</v>
      </c>
      <c r="AF1488" s="290" t="s">
        <v>1447</v>
      </c>
      <c r="AG1488" s="289"/>
      <c r="AH1488" s="290" t="s">
        <v>1448</v>
      </c>
      <c r="AI1488" s="289">
        <v>0</v>
      </c>
      <c r="AJ1488" s="289">
        <v>0</v>
      </c>
    </row>
    <row r="1489" spans="2:36">
      <c r="B1489" s="290">
        <v>2111</v>
      </c>
      <c r="C1489" s="294">
        <v>6688</v>
      </c>
      <c r="D1489" s="290"/>
      <c r="E1489" s="289" t="s">
        <v>3895</v>
      </c>
      <c r="F1489" s="290">
        <v>0</v>
      </c>
      <c r="G1489" s="289"/>
      <c r="H1489" s="289"/>
      <c r="I1489" s="289"/>
      <c r="J1489" s="289">
        <v>0</v>
      </c>
      <c r="K1489" s="289"/>
      <c r="L1489" s="289"/>
      <c r="M1489" s="289"/>
      <c r="N1489" s="293">
        <v>29587</v>
      </c>
      <c r="O1489" s="293">
        <v>29587</v>
      </c>
      <c r="P1489" s="289"/>
      <c r="Q1489" s="290">
        <v>100</v>
      </c>
      <c r="R1489" s="290">
        <v>14100</v>
      </c>
      <c r="S1489" s="291">
        <v>3190.25</v>
      </c>
      <c r="T1489" s="290">
        <v>14106</v>
      </c>
      <c r="U1489" s="291">
        <v>3190.25</v>
      </c>
      <c r="V1489" s="291">
        <f t="shared" si="23"/>
        <v>0</v>
      </c>
      <c r="W1489" s="292">
        <v>0</v>
      </c>
      <c r="X1489" s="290">
        <v>70257</v>
      </c>
      <c r="Y1489" s="291">
        <v>0</v>
      </c>
      <c r="Z1489" s="289" t="s">
        <v>410</v>
      </c>
      <c r="AA1489" s="289" t="s">
        <v>3044</v>
      </c>
      <c r="AB1489" s="289"/>
      <c r="AC1489" s="289"/>
      <c r="AD1489" s="289" t="s">
        <v>1446</v>
      </c>
      <c r="AE1489" s="289" t="s">
        <v>410</v>
      </c>
      <c r="AF1489" s="290" t="s">
        <v>1447</v>
      </c>
      <c r="AG1489" s="289"/>
      <c r="AH1489" s="290" t="s">
        <v>1448</v>
      </c>
      <c r="AI1489" s="289">
        <v>0</v>
      </c>
      <c r="AJ1489" s="289">
        <v>0</v>
      </c>
    </row>
    <row r="1490" spans="2:36">
      <c r="B1490" s="290">
        <v>2111</v>
      </c>
      <c r="C1490" s="294">
        <v>6687</v>
      </c>
      <c r="D1490" s="290"/>
      <c r="E1490" s="289" t="s">
        <v>3896</v>
      </c>
      <c r="F1490" s="290">
        <v>0</v>
      </c>
      <c r="G1490" s="289"/>
      <c r="H1490" s="289"/>
      <c r="I1490" s="289"/>
      <c r="J1490" s="289">
        <v>0</v>
      </c>
      <c r="K1490" s="289"/>
      <c r="L1490" s="289"/>
      <c r="M1490" s="289"/>
      <c r="N1490" s="293">
        <v>31777</v>
      </c>
      <c r="O1490" s="293">
        <v>31777</v>
      </c>
      <c r="P1490" s="289"/>
      <c r="Q1490" s="290">
        <v>2000</v>
      </c>
      <c r="R1490" s="290">
        <v>14080</v>
      </c>
      <c r="S1490" s="291">
        <v>2888.33</v>
      </c>
      <c r="T1490" s="290">
        <v>14086</v>
      </c>
      <c r="U1490" s="291">
        <v>2888.33</v>
      </c>
      <c r="V1490" s="291">
        <f t="shared" si="23"/>
        <v>0</v>
      </c>
      <c r="W1490" s="292">
        <v>0</v>
      </c>
      <c r="X1490" s="290">
        <v>57260</v>
      </c>
      <c r="Y1490" s="291">
        <v>0</v>
      </c>
      <c r="Z1490" s="289" t="s">
        <v>410</v>
      </c>
      <c r="AA1490" s="289" t="s">
        <v>3044</v>
      </c>
      <c r="AB1490" s="289"/>
      <c r="AC1490" s="289"/>
      <c r="AD1490" s="289" t="s">
        <v>1446</v>
      </c>
      <c r="AE1490" s="289" t="s">
        <v>410</v>
      </c>
      <c r="AF1490" s="290" t="s">
        <v>1447</v>
      </c>
      <c r="AG1490" s="289"/>
      <c r="AH1490" s="290" t="s">
        <v>1448</v>
      </c>
      <c r="AI1490" s="289">
        <v>0</v>
      </c>
      <c r="AJ1490" s="289">
        <v>0</v>
      </c>
    </row>
    <row r="1491" spans="2:36">
      <c r="B1491" s="290">
        <v>2111</v>
      </c>
      <c r="C1491" s="294">
        <v>6685</v>
      </c>
      <c r="D1491" s="290"/>
      <c r="E1491" s="289" t="s">
        <v>3897</v>
      </c>
      <c r="F1491" s="290">
        <v>0</v>
      </c>
      <c r="G1491" s="289"/>
      <c r="H1491" s="289"/>
      <c r="I1491" s="289"/>
      <c r="J1491" s="289">
        <v>0</v>
      </c>
      <c r="K1491" s="289"/>
      <c r="L1491" s="289"/>
      <c r="M1491" s="289"/>
      <c r="N1491" s="293">
        <v>34968</v>
      </c>
      <c r="O1491" s="293">
        <v>34968</v>
      </c>
      <c r="P1491" s="289"/>
      <c r="Q1491" s="290">
        <v>2000</v>
      </c>
      <c r="R1491" s="290">
        <v>14080</v>
      </c>
      <c r="S1491" s="291">
        <v>107850</v>
      </c>
      <c r="T1491" s="290">
        <v>14086</v>
      </c>
      <c r="U1491" s="291">
        <v>107850</v>
      </c>
      <c r="V1491" s="291">
        <f t="shared" si="23"/>
        <v>0</v>
      </c>
      <c r="W1491" s="292">
        <v>0</v>
      </c>
      <c r="X1491" s="290">
        <v>57260</v>
      </c>
      <c r="Y1491" s="291">
        <v>0</v>
      </c>
      <c r="Z1491" s="289" t="s">
        <v>410</v>
      </c>
      <c r="AA1491" s="289" t="s">
        <v>3044</v>
      </c>
      <c r="AB1491" s="289"/>
      <c r="AC1491" s="289"/>
      <c r="AD1491" s="289" t="s">
        <v>1446</v>
      </c>
      <c r="AE1491" s="289" t="s">
        <v>410</v>
      </c>
      <c r="AF1491" s="290" t="s">
        <v>1447</v>
      </c>
      <c r="AG1491" s="289"/>
      <c r="AH1491" s="290" t="s">
        <v>1448</v>
      </c>
      <c r="AI1491" s="289">
        <v>0</v>
      </c>
      <c r="AJ1491" s="289">
        <v>0</v>
      </c>
    </row>
    <row r="1492" spans="2:36">
      <c r="B1492" s="290">
        <v>2111</v>
      </c>
      <c r="C1492" s="294">
        <v>6684</v>
      </c>
      <c r="D1492" s="290"/>
      <c r="E1492" s="289" t="s">
        <v>3898</v>
      </c>
      <c r="F1492" s="290">
        <v>0</v>
      </c>
      <c r="G1492" s="289"/>
      <c r="H1492" s="289"/>
      <c r="I1492" s="289"/>
      <c r="J1492" s="289">
        <v>0</v>
      </c>
      <c r="K1492" s="289"/>
      <c r="L1492" s="289"/>
      <c r="M1492" s="289"/>
      <c r="N1492" s="293">
        <v>34403</v>
      </c>
      <c r="O1492" s="293">
        <v>34403</v>
      </c>
      <c r="P1492" s="289"/>
      <c r="Q1492" s="290">
        <v>2000</v>
      </c>
      <c r="R1492" s="290">
        <v>14080</v>
      </c>
      <c r="S1492" s="291">
        <v>76426.509999999995</v>
      </c>
      <c r="T1492" s="290">
        <v>14086</v>
      </c>
      <c r="U1492" s="291">
        <v>76426.509999999995</v>
      </c>
      <c r="V1492" s="291">
        <f t="shared" si="23"/>
        <v>0</v>
      </c>
      <c r="W1492" s="292">
        <v>0</v>
      </c>
      <c r="X1492" s="290">
        <v>57260</v>
      </c>
      <c r="Y1492" s="291">
        <v>0</v>
      </c>
      <c r="Z1492" s="289" t="s">
        <v>410</v>
      </c>
      <c r="AA1492" s="289" t="s">
        <v>3044</v>
      </c>
      <c r="AB1492" s="289"/>
      <c r="AC1492" s="289"/>
      <c r="AD1492" s="289" t="s">
        <v>1446</v>
      </c>
      <c r="AE1492" s="289" t="s">
        <v>410</v>
      </c>
      <c r="AF1492" s="290" t="s">
        <v>1447</v>
      </c>
      <c r="AG1492" s="289"/>
      <c r="AH1492" s="290" t="s">
        <v>1448</v>
      </c>
      <c r="AI1492" s="289">
        <v>0</v>
      </c>
      <c r="AJ1492" s="289">
        <v>0</v>
      </c>
    </row>
    <row r="1493" spans="2:36">
      <c r="B1493" s="290">
        <v>2111</v>
      </c>
      <c r="C1493" s="294">
        <v>6683</v>
      </c>
      <c r="D1493" s="290"/>
      <c r="E1493" s="289" t="s">
        <v>3898</v>
      </c>
      <c r="F1493" s="290">
        <v>0</v>
      </c>
      <c r="G1493" s="289"/>
      <c r="H1493" s="289"/>
      <c r="I1493" s="289"/>
      <c r="J1493" s="289">
        <v>0</v>
      </c>
      <c r="K1493" s="289"/>
      <c r="L1493" s="289"/>
      <c r="M1493" s="289"/>
      <c r="N1493" s="293">
        <v>34323</v>
      </c>
      <c r="O1493" s="293">
        <v>34323</v>
      </c>
      <c r="P1493" s="289"/>
      <c r="Q1493" s="290">
        <v>2000</v>
      </c>
      <c r="R1493" s="290">
        <v>14080</v>
      </c>
      <c r="S1493" s="291">
        <v>67459.83</v>
      </c>
      <c r="T1493" s="290">
        <v>14086</v>
      </c>
      <c r="U1493" s="291">
        <v>67459.83</v>
      </c>
      <c r="V1493" s="291">
        <f t="shared" si="23"/>
        <v>0</v>
      </c>
      <c r="W1493" s="292">
        <v>0</v>
      </c>
      <c r="X1493" s="290">
        <v>57260</v>
      </c>
      <c r="Y1493" s="291">
        <v>0</v>
      </c>
      <c r="Z1493" s="289" t="s">
        <v>410</v>
      </c>
      <c r="AA1493" s="289" t="s">
        <v>3044</v>
      </c>
      <c r="AB1493" s="289"/>
      <c r="AC1493" s="289"/>
      <c r="AD1493" s="289" t="s">
        <v>1446</v>
      </c>
      <c r="AE1493" s="289" t="s">
        <v>410</v>
      </c>
      <c r="AF1493" s="290" t="s">
        <v>1447</v>
      </c>
      <c r="AG1493" s="289"/>
      <c r="AH1493" s="290" t="s">
        <v>1448</v>
      </c>
      <c r="AI1493" s="289">
        <v>0</v>
      </c>
      <c r="AJ1493" s="289">
        <v>0</v>
      </c>
    </row>
    <row r="1494" spans="2:36">
      <c r="B1494" s="290">
        <v>2111</v>
      </c>
      <c r="C1494" s="294">
        <v>6682</v>
      </c>
      <c r="D1494" s="290"/>
      <c r="E1494" s="289" t="s">
        <v>3899</v>
      </c>
      <c r="F1494" s="290">
        <v>0</v>
      </c>
      <c r="G1494" s="289"/>
      <c r="H1494" s="289"/>
      <c r="I1494" s="289"/>
      <c r="J1494" s="289">
        <v>0</v>
      </c>
      <c r="K1494" s="289"/>
      <c r="L1494" s="289"/>
      <c r="M1494" s="289"/>
      <c r="N1494" s="293">
        <v>34288</v>
      </c>
      <c r="O1494" s="293">
        <v>34288</v>
      </c>
      <c r="P1494" s="289"/>
      <c r="Q1494" s="290">
        <v>2000</v>
      </c>
      <c r="R1494" s="290">
        <v>14080</v>
      </c>
      <c r="S1494" s="291">
        <v>26211.87</v>
      </c>
      <c r="T1494" s="290">
        <v>14086</v>
      </c>
      <c r="U1494" s="291">
        <v>26211.87</v>
      </c>
      <c r="V1494" s="291">
        <f t="shared" si="23"/>
        <v>0</v>
      </c>
      <c r="W1494" s="292">
        <v>0</v>
      </c>
      <c r="X1494" s="290">
        <v>57260</v>
      </c>
      <c r="Y1494" s="291">
        <v>0</v>
      </c>
      <c r="Z1494" s="289" t="s">
        <v>410</v>
      </c>
      <c r="AA1494" s="289" t="s">
        <v>3044</v>
      </c>
      <c r="AB1494" s="289"/>
      <c r="AC1494" s="289"/>
      <c r="AD1494" s="289" t="s">
        <v>1446</v>
      </c>
      <c r="AE1494" s="289" t="s">
        <v>410</v>
      </c>
      <c r="AF1494" s="290" t="s">
        <v>1447</v>
      </c>
      <c r="AG1494" s="289"/>
      <c r="AH1494" s="290" t="s">
        <v>1448</v>
      </c>
      <c r="AI1494" s="289">
        <v>0</v>
      </c>
      <c r="AJ1494" s="289">
        <v>0</v>
      </c>
    </row>
    <row r="1495" spans="2:36">
      <c r="B1495" s="290">
        <v>2111</v>
      </c>
      <c r="C1495" s="294">
        <v>6681</v>
      </c>
      <c r="D1495" s="290"/>
      <c r="E1495" s="289" t="s">
        <v>3900</v>
      </c>
      <c r="F1495" s="290">
        <v>0</v>
      </c>
      <c r="G1495" s="289"/>
      <c r="H1495" s="289"/>
      <c r="I1495" s="289"/>
      <c r="J1495" s="289">
        <v>0</v>
      </c>
      <c r="K1495" s="289"/>
      <c r="L1495" s="289"/>
      <c r="M1495" s="289"/>
      <c r="N1495" s="293">
        <v>34257</v>
      </c>
      <c r="O1495" s="293">
        <v>34257</v>
      </c>
      <c r="P1495" s="289"/>
      <c r="Q1495" s="290">
        <v>2000</v>
      </c>
      <c r="R1495" s="290">
        <v>14080</v>
      </c>
      <c r="S1495" s="291">
        <v>20700</v>
      </c>
      <c r="T1495" s="290">
        <v>14086</v>
      </c>
      <c r="U1495" s="291">
        <v>20700</v>
      </c>
      <c r="V1495" s="291">
        <f t="shared" si="23"/>
        <v>0</v>
      </c>
      <c r="W1495" s="292">
        <v>0</v>
      </c>
      <c r="X1495" s="290">
        <v>57260</v>
      </c>
      <c r="Y1495" s="291">
        <v>0</v>
      </c>
      <c r="Z1495" s="289" t="s">
        <v>410</v>
      </c>
      <c r="AA1495" s="289" t="s">
        <v>3044</v>
      </c>
      <c r="AB1495" s="289"/>
      <c r="AC1495" s="289"/>
      <c r="AD1495" s="289" t="s">
        <v>1446</v>
      </c>
      <c r="AE1495" s="289" t="s">
        <v>410</v>
      </c>
      <c r="AF1495" s="290" t="s">
        <v>1447</v>
      </c>
      <c r="AG1495" s="289"/>
      <c r="AH1495" s="290" t="s">
        <v>1448</v>
      </c>
      <c r="AI1495" s="289">
        <v>0</v>
      </c>
      <c r="AJ1495" s="289">
        <v>0</v>
      </c>
    </row>
    <row r="1496" spans="2:36">
      <c r="B1496" s="290">
        <v>2111</v>
      </c>
      <c r="C1496" s="294">
        <v>6680</v>
      </c>
      <c r="D1496" s="290"/>
      <c r="E1496" s="289" t="s">
        <v>3901</v>
      </c>
      <c r="F1496" s="290">
        <v>0</v>
      </c>
      <c r="G1496" s="289"/>
      <c r="H1496" s="289"/>
      <c r="I1496" s="289"/>
      <c r="J1496" s="289">
        <v>0</v>
      </c>
      <c r="K1496" s="289"/>
      <c r="L1496" s="289"/>
      <c r="M1496" s="289"/>
      <c r="N1496" s="293">
        <v>33979</v>
      </c>
      <c r="O1496" s="293">
        <v>33979</v>
      </c>
      <c r="P1496" s="289"/>
      <c r="Q1496" s="290">
        <v>2000</v>
      </c>
      <c r="R1496" s="290">
        <v>14080</v>
      </c>
      <c r="S1496" s="291">
        <v>45000</v>
      </c>
      <c r="T1496" s="290">
        <v>14086</v>
      </c>
      <c r="U1496" s="291">
        <v>45000</v>
      </c>
      <c r="V1496" s="291">
        <f t="shared" si="23"/>
        <v>0</v>
      </c>
      <c r="W1496" s="292">
        <v>0</v>
      </c>
      <c r="X1496" s="290">
        <v>57260</v>
      </c>
      <c r="Y1496" s="291">
        <v>0</v>
      </c>
      <c r="Z1496" s="289" t="s">
        <v>410</v>
      </c>
      <c r="AA1496" s="289" t="s">
        <v>3044</v>
      </c>
      <c r="AB1496" s="289"/>
      <c r="AC1496" s="289"/>
      <c r="AD1496" s="289" t="s">
        <v>1446</v>
      </c>
      <c r="AE1496" s="289" t="s">
        <v>410</v>
      </c>
      <c r="AF1496" s="290" t="s">
        <v>1447</v>
      </c>
      <c r="AG1496" s="289"/>
      <c r="AH1496" s="290" t="s">
        <v>1448</v>
      </c>
      <c r="AI1496" s="289">
        <v>0</v>
      </c>
      <c r="AJ1496" s="289">
        <v>0</v>
      </c>
    </row>
    <row r="1497" spans="2:36">
      <c r="B1497" s="290">
        <v>2111</v>
      </c>
      <c r="C1497" s="294">
        <v>6679</v>
      </c>
      <c r="D1497" s="290"/>
      <c r="E1497" s="289" t="s">
        <v>3902</v>
      </c>
      <c r="F1497" s="290">
        <v>0</v>
      </c>
      <c r="G1497" s="289"/>
      <c r="H1497" s="289"/>
      <c r="I1497" s="289"/>
      <c r="J1497" s="289">
        <v>0</v>
      </c>
      <c r="K1497" s="289"/>
      <c r="L1497" s="289"/>
      <c r="M1497" s="289"/>
      <c r="N1497" s="293">
        <v>32852</v>
      </c>
      <c r="O1497" s="293">
        <v>32852</v>
      </c>
      <c r="P1497" s="289"/>
      <c r="Q1497" s="290">
        <v>2000</v>
      </c>
      <c r="R1497" s="290">
        <v>14080</v>
      </c>
      <c r="S1497" s="291">
        <v>85260</v>
      </c>
      <c r="T1497" s="290">
        <v>14086</v>
      </c>
      <c r="U1497" s="291">
        <v>85260</v>
      </c>
      <c r="V1497" s="291">
        <f t="shared" si="23"/>
        <v>0</v>
      </c>
      <c r="W1497" s="292">
        <v>0</v>
      </c>
      <c r="X1497" s="290">
        <v>57260</v>
      </c>
      <c r="Y1497" s="291">
        <v>0</v>
      </c>
      <c r="Z1497" s="289" t="s">
        <v>410</v>
      </c>
      <c r="AA1497" s="289" t="s">
        <v>3044</v>
      </c>
      <c r="AB1497" s="289"/>
      <c r="AC1497" s="289"/>
      <c r="AD1497" s="289" t="s">
        <v>1446</v>
      </c>
      <c r="AE1497" s="289" t="s">
        <v>410</v>
      </c>
      <c r="AF1497" s="290" t="s">
        <v>1447</v>
      </c>
      <c r="AG1497" s="289"/>
      <c r="AH1497" s="290" t="s">
        <v>1448</v>
      </c>
      <c r="AI1497" s="289">
        <v>0</v>
      </c>
      <c r="AJ1497" s="289">
        <v>0</v>
      </c>
    </row>
    <row r="1498" spans="2:36">
      <c r="B1498" s="290">
        <v>2111</v>
      </c>
      <c r="C1498" s="294">
        <v>6678</v>
      </c>
      <c r="D1498" s="290"/>
      <c r="E1498" s="289" t="s">
        <v>3900</v>
      </c>
      <c r="F1498" s="290">
        <v>0</v>
      </c>
      <c r="G1498" s="289"/>
      <c r="H1498" s="289"/>
      <c r="I1498" s="289"/>
      <c r="J1498" s="289">
        <v>0</v>
      </c>
      <c r="K1498" s="289"/>
      <c r="L1498" s="289"/>
      <c r="M1498" s="289"/>
      <c r="N1498" s="293">
        <v>30318</v>
      </c>
      <c r="O1498" s="293">
        <v>30318</v>
      </c>
      <c r="P1498" s="289"/>
      <c r="Q1498" s="290">
        <v>2000</v>
      </c>
      <c r="R1498" s="290">
        <v>14080</v>
      </c>
      <c r="S1498" s="291">
        <v>13821.47</v>
      </c>
      <c r="T1498" s="290">
        <v>14086</v>
      </c>
      <c r="U1498" s="291">
        <v>13821.47</v>
      </c>
      <c r="V1498" s="291">
        <f t="shared" si="23"/>
        <v>0</v>
      </c>
      <c r="W1498" s="292">
        <v>0</v>
      </c>
      <c r="X1498" s="290">
        <v>57260</v>
      </c>
      <c r="Y1498" s="291">
        <v>0</v>
      </c>
      <c r="Z1498" s="289" t="s">
        <v>410</v>
      </c>
      <c r="AA1498" s="289" t="s">
        <v>3044</v>
      </c>
      <c r="AB1498" s="289"/>
      <c r="AC1498" s="289"/>
      <c r="AD1498" s="289" t="s">
        <v>1446</v>
      </c>
      <c r="AE1498" s="289" t="s">
        <v>410</v>
      </c>
      <c r="AF1498" s="290" t="s">
        <v>1447</v>
      </c>
      <c r="AG1498" s="289"/>
      <c r="AH1498" s="290" t="s">
        <v>1448</v>
      </c>
      <c r="AI1498" s="289">
        <v>0</v>
      </c>
      <c r="AJ1498" s="289">
        <v>0</v>
      </c>
    </row>
    <row r="1499" spans="2:36">
      <c r="B1499" s="290">
        <v>2111</v>
      </c>
      <c r="C1499" s="294">
        <v>6677</v>
      </c>
      <c r="D1499" s="290"/>
      <c r="E1499" s="289" t="s">
        <v>2603</v>
      </c>
      <c r="F1499" s="290">
        <v>0</v>
      </c>
      <c r="G1499" s="289"/>
      <c r="H1499" s="289"/>
      <c r="I1499" s="289"/>
      <c r="J1499" s="289">
        <v>0</v>
      </c>
      <c r="K1499" s="289"/>
      <c r="L1499" s="289"/>
      <c r="M1499" s="289"/>
      <c r="N1499" s="293">
        <v>29373</v>
      </c>
      <c r="O1499" s="293">
        <v>29373</v>
      </c>
      <c r="P1499" s="289"/>
      <c r="Q1499" s="290">
        <v>2000</v>
      </c>
      <c r="R1499" s="290">
        <v>14080</v>
      </c>
      <c r="S1499" s="291">
        <v>20500</v>
      </c>
      <c r="T1499" s="290">
        <v>14086</v>
      </c>
      <c r="U1499" s="291">
        <v>20500</v>
      </c>
      <c r="V1499" s="291">
        <f t="shared" si="23"/>
        <v>0</v>
      </c>
      <c r="W1499" s="292">
        <v>0</v>
      </c>
      <c r="X1499" s="290">
        <v>57260</v>
      </c>
      <c r="Y1499" s="291">
        <v>0</v>
      </c>
      <c r="Z1499" s="289" t="s">
        <v>410</v>
      </c>
      <c r="AA1499" s="289" t="s">
        <v>3044</v>
      </c>
      <c r="AB1499" s="289"/>
      <c r="AC1499" s="289"/>
      <c r="AD1499" s="289" t="s">
        <v>1446</v>
      </c>
      <c r="AE1499" s="289" t="s">
        <v>410</v>
      </c>
      <c r="AF1499" s="290" t="s">
        <v>1447</v>
      </c>
      <c r="AG1499" s="289"/>
      <c r="AH1499" s="290" t="s">
        <v>1448</v>
      </c>
      <c r="AI1499" s="289">
        <v>0</v>
      </c>
      <c r="AJ1499" s="289">
        <v>0</v>
      </c>
    </row>
    <row r="1500" spans="2:36">
      <c r="B1500" s="290">
        <v>2111</v>
      </c>
      <c r="C1500" s="294">
        <v>6676</v>
      </c>
      <c r="D1500" s="290"/>
      <c r="E1500" s="289" t="s">
        <v>2603</v>
      </c>
      <c r="F1500" s="290">
        <v>0</v>
      </c>
      <c r="G1500" s="289"/>
      <c r="H1500" s="289"/>
      <c r="I1500" s="289"/>
      <c r="J1500" s="289">
        <v>0</v>
      </c>
      <c r="K1500" s="289"/>
      <c r="L1500" s="289"/>
      <c r="M1500" s="289"/>
      <c r="N1500" s="293">
        <v>29007</v>
      </c>
      <c r="O1500" s="293">
        <v>29007</v>
      </c>
      <c r="P1500" s="289"/>
      <c r="Q1500" s="290">
        <v>2000</v>
      </c>
      <c r="R1500" s="290">
        <v>14080</v>
      </c>
      <c r="S1500" s="291">
        <v>4470.2</v>
      </c>
      <c r="T1500" s="290">
        <v>14086</v>
      </c>
      <c r="U1500" s="291">
        <v>4470.2</v>
      </c>
      <c r="V1500" s="291">
        <f t="shared" si="23"/>
        <v>0</v>
      </c>
      <c r="W1500" s="292">
        <v>0</v>
      </c>
      <c r="X1500" s="290">
        <v>57260</v>
      </c>
      <c r="Y1500" s="291">
        <v>0</v>
      </c>
      <c r="Z1500" s="289" t="s">
        <v>410</v>
      </c>
      <c r="AA1500" s="289" t="s">
        <v>3044</v>
      </c>
      <c r="AB1500" s="289"/>
      <c r="AC1500" s="289"/>
      <c r="AD1500" s="289" t="s">
        <v>1446</v>
      </c>
      <c r="AE1500" s="289" t="s">
        <v>410</v>
      </c>
      <c r="AF1500" s="290" t="s">
        <v>1447</v>
      </c>
      <c r="AG1500" s="289"/>
      <c r="AH1500" s="290" t="s">
        <v>1448</v>
      </c>
      <c r="AI1500" s="289">
        <v>0</v>
      </c>
      <c r="AJ1500" s="289">
        <v>0</v>
      </c>
    </row>
    <row r="1501" spans="2:36">
      <c r="B1501" s="290">
        <v>2111</v>
      </c>
      <c r="C1501" s="294">
        <v>6675</v>
      </c>
      <c r="D1501" s="290"/>
      <c r="E1501" s="289" t="s">
        <v>3903</v>
      </c>
      <c r="F1501" s="290">
        <v>0</v>
      </c>
      <c r="G1501" s="289"/>
      <c r="H1501" s="289"/>
      <c r="I1501" s="289"/>
      <c r="J1501" s="289">
        <v>0</v>
      </c>
      <c r="K1501" s="289"/>
      <c r="L1501" s="289"/>
      <c r="M1501" s="289"/>
      <c r="N1501" s="293">
        <v>28522</v>
      </c>
      <c r="O1501" s="293">
        <v>28522</v>
      </c>
      <c r="P1501" s="289"/>
      <c r="Q1501" s="290">
        <v>2000</v>
      </c>
      <c r="R1501" s="290">
        <v>14080</v>
      </c>
      <c r="S1501" s="291">
        <v>6173.91</v>
      </c>
      <c r="T1501" s="290">
        <v>14086</v>
      </c>
      <c r="U1501" s="291">
        <v>6173.91</v>
      </c>
      <c r="V1501" s="291">
        <f t="shared" si="23"/>
        <v>0</v>
      </c>
      <c r="W1501" s="292">
        <v>0</v>
      </c>
      <c r="X1501" s="290">
        <v>57260</v>
      </c>
      <c r="Y1501" s="291">
        <v>0</v>
      </c>
      <c r="Z1501" s="289" t="s">
        <v>410</v>
      </c>
      <c r="AA1501" s="289" t="s">
        <v>3044</v>
      </c>
      <c r="AB1501" s="289"/>
      <c r="AC1501" s="289"/>
      <c r="AD1501" s="289" t="s">
        <v>1446</v>
      </c>
      <c r="AE1501" s="289" t="s">
        <v>410</v>
      </c>
      <c r="AF1501" s="290" t="s">
        <v>1447</v>
      </c>
      <c r="AG1501" s="289"/>
      <c r="AH1501" s="290" t="s">
        <v>1448</v>
      </c>
      <c r="AI1501" s="289">
        <v>0</v>
      </c>
      <c r="AJ1501" s="289">
        <v>0</v>
      </c>
    </row>
    <row r="1502" spans="2:36">
      <c r="B1502" s="290">
        <v>2111</v>
      </c>
      <c r="C1502" s="294">
        <v>6674</v>
      </c>
      <c r="D1502" s="290"/>
      <c r="E1502" s="289" t="s">
        <v>2604</v>
      </c>
      <c r="F1502" s="290">
        <v>0</v>
      </c>
      <c r="G1502" s="289"/>
      <c r="H1502" s="289"/>
      <c r="I1502" s="289"/>
      <c r="J1502" s="289">
        <v>0</v>
      </c>
      <c r="K1502" s="289"/>
      <c r="L1502" s="289"/>
      <c r="M1502" s="289"/>
      <c r="N1502" s="293">
        <v>28399</v>
      </c>
      <c r="O1502" s="293">
        <v>28399</v>
      </c>
      <c r="P1502" s="289"/>
      <c r="Q1502" s="290">
        <v>2000</v>
      </c>
      <c r="R1502" s="290">
        <v>14080</v>
      </c>
      <c r="S1502" s="291">
        <v>1010.54</v>
      </c>
      <c r="T1502" s="290">
        <v>14086</v>
      </c>
      <c r="U1502" s="291">
        <v>1010.54</v>
      </c>
      <c r="V1502" s="291">
        <f t="shared" si="23"/>
        <v>0</v>
      </c>
      <c r="W1502" s="292">
        <v>0</v>
      </c>
      <c r="X1502" s="290">
        <v>57260</v>
      </c>
      <c r="Y1502" s="291">
        <v>0</v>
      </c>
      <c r="Z1502" s="289" t="s">
        <v>410</v>
      </c>
      <c r="AA1502" s="289" t="s">
        <v>3044</v>
      </c>
      <c r="AB1502" s="289"/>
      <c r="AC1502" s="289"/>
      <c r="AD1502" s="289" t="s">
        <v>1446</v>
      </c>
      <c r="AE1502" s="289" t="s">
        <v>410</v>
      </c>
      <c r="AF1502" s="290" t="s">
        <v>1447</v>
      </c>
      <c r="AG1502" s="289"/>
      <c r="AH1502" s="290" t="s">
        <v>1448</v>
      </c>
      <c r="AI1502" s="289">
        <v>0</v>
      </c>
      <c r="AJ1502" s="289">
        <v>0</v>
      </c>
    </row>
    <row r="1503" spans="2:36">
      <c r="B1503" s="290">
        <v>2111</v>
      </c>
      <c r="C1503" s="294">
        <v>6673</v>
      </c>
      <c r="D1503" s="290"/>
      <c r="E1503" s="289" t="s">
        <v>2603</v>
      </c>
      <c r="F1503" s="290">
        <v>0</v>
      </c>
      <c r="G1503" s="289"/>
      <c r="H1503" s="289"/>
      <c r="I1503" s="289"/>
      <c r="J1503" s="289">
        <v>0</v>
      </c>
      <c r="K1503" s="289"/>
      <c r="L1503" s="289"/>
      <c r="M1503" s="289"/>
      <c r="N1503" s="293">
        <v>27242</v>
      </c>
      <c r="O1503" s="293">
        <v>27242</v>
      </c>
      <c r="P1503" s="289"/>
      <c r="Q1503" s="290">
        <v>2000</v>
      </c>
      <c r="R1503" s="290">
        <v>14080</v>
      </c>
      <c r="S1503" s="291">
        <v>4145.8900000000003</v>
      </c>
      <c r="T1503" s="290">
        <v>14086</v>
      </c>
      <c r="U1503" s="291">
        <v>4145.8900000000003</v>
      </c>
      <c r="V1503" s="291">
        <f t="shared" si="23"/>
        <v>0</v>
      </c>
      <c r="W1503" s="292">
        <v>0</v>
      </c>
      <c r="X1503" s="290">
        <v>57260</v>
      </c>
      <c r="Y1503" s="291">
        <v>0</v>
      </c>
      <c r="Z1503" s="289" t="s">
        <v>410</v>
      </c>
      <c r="AA1503" s="289" t="s">
        <v>3044</v>
      </c>
      <c r="AB1503" s="289"/>
      <c r="AC1503" s="289"/>
      <c r="AD1503" s="289" t="s">
        <v>1446</v>
      </c>
      <c r="AE1503" s="289" t="s">
        <v>410</v>
      </c>
      <c r="AF1503" s="290" t="s">
        <v>1447</v>
      </c>
      <c r="AG1503" s="289"/>
      <c r="AH1503" s="290" t="s">
        <v>1448</v>
      </c>
      <c r="AI1503" s="289">
        <v>0</v>
      </c>
      <c r="AJ1503" s="289">
        <v>0</v>
      </c>
    </row>
    <row r="1504" spans="2:36">
      <c r="B1504" s="290">
        <v>2111</v>
      </c>
      <c r="C1504" s="294">
        <v>6672</v>
      </c>
      <c r="D1504" s="290"/>
      <c r="E1504" s="289" t="s">
        <v>2603</v>
      </c>
      <c r="F1504" s="290">
        <v>0</v>
      </c>
      <c r="G1504" s="289"/>
      <c r="H1504" s="289"/>
      <c r="I1504" s="289"/>
      <c r="J1504" s="289">
        <v>0</v>
      </c>
      <c r="K1504" s="289"/>
      <c r="L1504" s="289"/>
      <c r="M1504" s="289"/>
      <c r="N1504" s="293">
        <v>26724</v>
      </c>
      <c r="O1504" s="293">
        <v>26724</v>
      </c>
      <c r="P1504" s="289"/>
      <c r="Q1504" s="290">
        <v>2000</v>
      </c>
      <c r="R1504" s="290">
        <v>14080</v>
      </c>
      <c r="S1504" s="291">
        <v>1251.5999999999999</v>
      </c>
      <c r="T1504" s="290">
        <v>14086</v>
      </c>
      <c r="U1504" s="291">
        <v>1251.5999999999999</v>
      </c>
      <c r="V1504" s="291">
        <f t="shared" si="23"/>
        <v>0</v>
      </c>
      <c r="W1504" s="292">
        <v>0</v>
      </c>
      <c r="X1504" s="290">
        <v>57260</v>
      </c>
      <c r="Y1504" s="291">
        <v>0</v>
      </c>
      <c r="Z1504" s="289" t="s">
        <v>410</v>
      </c>
      <c r="AA1504" s="289" t="s">
        <v>3044</v>
      </c>
      <c r="AB1504" s="289"/>
      <c r="AC1504" s="289"/>
      <c r="AD1504" s="289" t="s">
        <v>1446</v>
      </c>
      <c r="AE1504" s="289" t="s">
        <v>410</v>
      </c>
      <c r="AF1504" s="290" t="s">
        <v>1447</v>
      </c>
      <c r="AG1504" s="289"/>
      <c r="AH1504" s="290" t="s">
        <v>1448</v>
      </c>
      <c r="AI1504" s="289">
        <v>0</v>
      </c>
      <c r="AJ1504" s="289">
        <v>0</v>
      </c>
    </row>
    <row r="1505" spans="2:36">
      <c r="B1505" s="290">
        <v>2111</v>
      </c>
      <c r="C1505" s="294">
        <v>6671</v>
      </c>
      <c r="D1505" s="290"/>
      <c r="E1505" s="289" t="s">
        <v>3904</v>
      </c>
      <c r="F1505" s="290">
        <v>0</v>
      </c>
      <c r="G1505" s="289"/>
      <c r="H1505" s="289"/>
      <c r="I1505" s="289"/>
      <c r="J1505" s="289">
        <v>0</v>
      </c>
      <c r="K1505" s="289"/>
      <c r="L1505" s="289"/>
      <c r="M1505" s="289"/>
      <c r="N1505" s="293">
        <v>24838</v>
      </c>
      <c r="O1505" s="293">
        <v>24838</v>
      </c>
      <c r="P1505" s="289"/>
      <c r="Q1505" s="290">
        <v>2000</v>
      </c>
      <c r="R1505" s="290">
        <v>14080</v>
      </c>
      <c r="S1505" s="291">
        <v>2398.25</v>
      </c>
      <c r="T1505" s="290">
        <v>14086</v>
      </c>
      <c r="U1505" s="291">
        <v>2398.25</v>
      </c>
      <c r="V1505" s="291">
        <f t="shared" si="23"/>
        <v>0</v>
      </c>
      <c r="W1505" s="292">
        <v>0</v>
      </c>
      <c r="X1505" s="290">
        <v>57260</v>
      </c>
      <c r="Y1505" s="291">
        <v>0</v>
      </c>
      <c r="Z1505" s="289" t="s">
        <v>410</v>
      </c>
      <c r="AA1505" s="289" t="s">
        <v>3044</v>
      </c>
      <c r="AB1505" s="289"/>
      <c r="AC1505" s="289"/>
      <c r="AD1505" s="289" t="s">
        <v>1446</v>
      </c>
      <c r="AE1505" s="289" t="s">
        <v>410</v>
      </c>
      <c r="AF1505" s="290" t="s">
        <v>1447</v>
      </c>
      <c r="AG1505" s="289"/>
      <c r="AH1505" s="290" t="s">
        <v>1448</v>
      </c>
      <c r="AI1505" s="289">
        <v>0</v>
      </c>
      <c r="AJ1505" s="289">
        <v>0</v>
      </c>
    </row>
    <row r="1506" spans="2:36">
      <c r="B1506" s="290">
        <v>2111</v>
      </c>
      <c r="C1506" s="294">
        <v>6669</v>
      </c>
      <c r="D1506" s="290" t="s">
        <v>944</v>
      </c>
      <c r="E1506" s="289" t="s">
        <v>3905</v>
      </c>
      <c r="F1506" s="290">
        <v>0</v>
      </c>
      <c r="G1506" s="289"/>
      <c r="H1506" s="289"/>
      <c r="I1506" s="289"/>
      <c r="J1506" s="289">
        <v>1997</v>
      </c>
      <c r="K1506" s="289" t="s">
        <v>2578</v>
      </c>
      <c r="L1506" s="289" t="s">
        <v>2214</v>
      </c>
      <c r="M1506" s="289"/>
      <c r="N1506" s="293">
        <v>35502</v>
      </c>
      <c r="O1506" s="293">
        <v>35502</v>
      </c>
      <c r="P1506" s="289"/>
      <c r="Q1506" s="290">
        <v>500</v>
      </c>
      <c r="R1506" s="290">
        <v>14070</v>
      </c>
      <c r="S1506" s="291">
        <v>3078</v>
      </c>
      <c r="T1506" s="290">
        <v>14076</v>
      </c>
      <c r="U1506" s="291">
        <v>3078</v>
      </c>
      <c r="V1506" s="291">
        <f t="shared" si="23"/>
        <v>0</v>
      </c>
      <c r="W1506" s="292">
        <v>0</v>
      </c>
      <c r="X1506" s="290">
        <v>51260</v>
      </c>
      <c r="Y1506" s="291">
        <v>0</v>
      </c>
      <c r="Z1506" s="289" t="s">
        <v>410</v>
      </c>
      <c r="AA1506" s="289" t="s">
        <v>3044</v>
      </c>
      <c r="AB1506" s="289"/>
      <c r="AC1506" s="289"/>
      <c r="AD1506" s="289" t="s">
        <v>1446</v>
      </c>
      <c r="AE1506" s="289" t="s">
        <v>410</v>
      </c>
      <c r="AF1506" s="290" t="s">
        <v>1447</v>
      </c>
      <c r="AG1506" s="289"/>
      <c r="AH1506" s="290" t="s">
        <v>1448</v>
      </c>
      <c r="AI1506" s="289">
        <v>0</v>
      </c>
      <c r="AJ1506" s="289">
        <v>0</v>
      </c>
    </row>
    <row r="1507" spans="2:36">
      <c r="B1507" s="290">
        <v>2111</v>
      </c>
      <c r="C1507" s="294">
        <v>6666</v>
      </c>
      <c r="D1507" s="290" t="s">
        <v>944</v>
      </c>
      <c r="E1507" s="289" t="s">
        <v>3906</v>
      </c>
      <c r="F1507" s="290">
        <v>0</v>
      </c>
      <c r="G1507" s="289"/>
      <c r="H1507" s="289"/>
      <c r="I1507" s="289"/>
      <c r="J1507" s="289">
        <v>1993</v>
      </c>
      <c r="K1507" s="289" t="s">
        <v>2578</v>
      </c>
      <c r="L1507" s="289" t="s">
        <v>2214</v>
      </c>
      <c r="M1507" s="289"/>
      <c r="N1507" s="293">
        <v>34159</v>
      </c>
      <c r="O1507" s="293">
        <v>34159</v>
      </c>
      <c r="P1507" s="289"/>
      <c r="Q1507" s="290">
        <v>500</v>
      </c>
      <c r="R1507" s="290">
        <v>14070</v>
      </c>
      <c r="S1507" s="291">
        <v>3470.79</v>
      </c>
      <c r="T1507" s="290">
        <v>14076</v>
      </c>
      <c r="U1507" s="291">
        <v>3470.79</v>
      </c>
      <c r="V1507" s="291">
        <f t="shared" si="23"/>
        <v>0</v>
      </c>
      <c r="W1507" s="292">
        <v>0</v>
      </c>
      <c r="X1507" s="290">
        <v>51260</v>
      </c>
      <c r="Y1507" s="291">
        <v>0</v>
      </c>
      <c r="Z1507" s="289" t="s">
        <v>410</v>
      </c>
      <c r="AA1507" s="289" t="s">
        <v>3044</v>
      </c>
      <c r="AB1507" s="289"/>
      <c r="AC1507" s="289"/>
      <c r="AD1507" s="289" t="s">
        <v>1446</v>
      </c>
      <c r="AE1507" s="289" t="s">
        <v>410</v>
      </c>
      <c r="AF1507" s="290" t="s">
        <v>1447</v>
      </c>
      <c r="AG1507" s="289"/>
      <c r="AH1507" s="290" t="s">
        <v>1448</v>
      </c>
      <c r="AI1507" s="289">
        <v>0</v>
      </c>
      <c r="AJ1507" s="289">
        <v>0</v>
      </c>
    </row>
    <row r="1508" spans="2:36">
      <c r="B1508" s="290">
        <v>2111</v>
      </c>
      <c r="C1508" s="294">
        <v>6665</v>
      </c>
      <c r="D1508" s="290" t="s">
        <v>944</v>
      </c>
      <c r="E1508" s="289" t="s">
        <v>3907</v>
      </c>
      <c r="F1508" s="290">
        <v>0</v>
      </c>
      <c r="G1508" s="289"/>
      <c r="H1508" s="289" t="s">
        <v>3438</v>
      </c>
      <c r="I1508" s="289"/>
      <c r="J1508" s="289">
        <v>1996</v>
      </c>
      <c r="K1508" s="289" t="s">
        <v>2578</v>
      </c>
      <c r="L1508" s="289" t="s">
        <v>2214</v>
      </c>
      <c r="M1508" s="289"/>
      <c r="N1508" s="293">
        <v>35245</v>
      </c>
      <c r="O1508" s="293">
        <v>35245</v>
      </c>
      <c r="P1508" s="289"/>
      <c r="Q1508" s="290">
        <v>500</v>
      </c>
      <c r="R1508" s="290">
        <v>14070</v>
      </c>
      <c r="S1508" s="291">
        <v>3480.97</v>
      </c>
      <c r="T1508" s="290">
        <v>14076</v>
      </c>
      <c r="U1508" s="291">
        <v>3480.97</v>
      </c>
      <c r="V1508" s="291">
        <f t="shared" si="23"/>
        <v>0</v>
      </c>
      <c r="W1508" s="292">
        <v>0</v>
      </c>
      <c r="X1508" s="290">
        <v>51260</v>
      </c>
      <c r="Y1508" s="291">
        <v>0</v>
      </c>
      <c r="Z1508" s="289" t="s">
        <v>410</v>
      </c>
      <c r="AA1508" s="289" t="s">
        <v>3044</v>
      </c>
      <c r="AB1508" s="289"/>
      <c r="AC1508" s="289"/>
      <c r="AD1508" s="289" t="s">
        <v>1446</v>
      </c>
      <c r="AE1508" s="289" t="s">
        <v>410</v>
      </c>
      <c r="AF1508" s="290" t="s">
        <v>1447</v>
      </c>
      <c r="AG1508" s="295">
        <v>36525</v>
      </c>
      <c r="AH1508" s="290" t="s">
        <v>1448</v>
      </c>
      <c r="AI1508" s="289">
        <v>0</v>
      </c>
      <c r="AJ1508" s="289">
        <v>3480.97</v>
      </c>
    </row>
    <row r="1509" spans="2:36">
      <c r="B1509" s="290">
        <v>2111</v>
      </c>
      <c r="C1509" s="294">
        <v>6664</v>
      </c>
      <c r="D1509" s="290" t="s">
        <v>944</v>
      </c>
      <c r="E1509" s="289" t="s">
        <v>3908</v>
      </c>
      <c r="F1509" s="290">
        <v>0</v>
      </c>
      <c r="G1509" s="289"/>
      <c r="H1509" s="289">
        <v>1</v>
      </c>
      <c r="I1509" s="289"/>
      <c r="J1509" s="289">
        <v>1991</v>
      </c>
      <c r="K1509" s="289" t="s">
        <v>2214</v>
      </c>
      <c r="L1509" s="289" t="s">
        <v>2214</v>
      </c>
      <c r="M1509" s="289"/>
      <c r="N1509" s="293">
        <v>33287</v>
      </c>
      <c r="O1509" s="293">
        <v>33287</v>
      </c>
      <c r="P1509" s="289"/>
      <c r="Q1509" s="290">
        <v>500</v>
      </c>
      <c r="R1509" s="290">
        <v>14070</v>
      </c>
      <c r="S1509" s="291">
        <v>5235.83</v>
      </c>
      <c r="T1509" s="290">
        <v>14076</v>
      </c>
      <c r="U1509" s="291">
        <v>5235.83</v>
      </c>
      <c r="V1509" s="291">
        <f t="shared" si="23"/>
        <v>0</v>
      </c>
      <c r="W1509" s="292">
        <v>0</v>
      </c>
      <c r="X1509" s="290">
        <v>51260</v>
      </c>
      <c r="Y1509" s="291">
        <v>0</v>
      </c>
      <c r="Z1509" s="289" t="s">
        <v>410</v>
      </c>
      <c r="AA1509" s="289" t="s">
        <v>3044</v>
      </c>
      <c r="AB1509" s="289"/>
      <c r="AC1509" s="289"/>
      <c r="AD1509" s="289" t="s">
        <v>1446</v>
      </c>
      <c r="AE1509" s="289" t="s">
        <v>410</v>
      </c>
      <c r="AF1509" s="290" t="s">
        <v>1447</v>
      </c>
      <c r="AG1509" s="289"/>
      <c r="AH1509" s="290" t="s">
        <v>1448</v>
      </c>
      <c r="AI1509" s="289">
        <v>0</v>
      </c>
      <c r="AJ1509" s="289">
        <v>0</v>
      </c>
    </row>
    <row r="1510" spans="2:36">
      <c r="B1510" s="290">
        <v>2111</v>
      </c>
      <c r="C1510" s="294">
        <v>6663</v>
      </c>
      <c r="D1510" s="290" t="s">
        <v>944</v>
      </c>
      <c r="E1510" s="289" t="s">
        <v>3909</v>
      </c>
      <c r="F1510" s="290">
        <v>0</v>
      </c>
      <c r="G1510" s="289"/>
      <c r="H1510" s="289"/>
      <c r="I1510" s="289"/>
      <c r="J1510" s="289">
        <v>1990</v>
      </c>
      <c r="K1510" s="289" t="s">
        <v>2578</v>
      </c>
      <c r="L1510" s="289" t="s">
        <v>2214</v>
      </c>
      <c r="M1510" s="289"/>
      <c r="N1510" s="293">
        <v>32884</v>
      </c>
      <c r="O1510" s="293">
        <v>32884</v>
      </c>
      <c r="P1510" s="289"/>
      <c r="Q1510" s="290">
        <v>500</v>
      </c>
      <c r="R1510" s="290">
        <v>14070</v>
      </c>
      <c r="S1510" s="291">
        <v>1750</v>
      </c>
      <c r="T1510" s="290">
        <v>14076</v>
      </c>
      <c r="U1510" s="291">
        <v>1750</v>
      </c>
      <c r="V1510" s="291">
        <f t="shared" si="23"/>
        <v>0</v>
      </c>
      <c r="W1510" s="292">
        <v>0</v>
      </c>
      <c r="X1510" s="290">
        <v>51260</v>
      </c>
      <c r="Y1510" s="291">
        <v>0</v>
      </c>
      <c r="Z1510" s="289" t="s">
        <v>410</v>
      </c>
      <c r="AA1510" s="289" t="s">
        <v>3044</v>
      </c>
      <c r="AB1510" s="289"/>
      <c r="AC1510" s="289"/>
      <c r="AD1510" s="289" t="s">
        <v>1446</v>
      </c>
      <c r="AE1510" s="289" t="s">
        <v>410</v>
      </c>
      <c r="AF1510" s="290" t="s">
        <v>1447</v>
      </c>
      <c r="AG1510" s="289"/>
      <c r="AH1510" s="290" t="s">
        <v>1448</v>
      </c>
      <c r="AI1510" s="289">
        <v>0</v>
      </c>
      <c r="AJ1510" s="289">
        <v>0</v>
      </c>
    </row>
    <row r="1511" spans="2:36">
      <c r="B1511" s="290">
        <v>2111</v>
      </c>
      <c r="C1511" s="294">
        <v>6659</v>
      </c>
      <c r="D1511" s="290" t="s">
        <v>944</v>
      </c>
      <c r="E1511" s="289" t="s">
        <v>3910</v>
      </c>
      <c r="F1511" s="290">
        <v>0</v>
      </c>
      <c r="G1511" s="289"/>
      <c r="H1511" s="289"/>
      <c r="I1511" s="289"/>
      <c r="J1511" s="289">
        <v>1986</v>
      </c>
      <c r="K1511" s="289" t="s">
        <v>2578</v>
      </c>
      <c r="L1511" s="289" t="s">
        <v>2214</v>
      </c>
      <c r="M1511" s="289"/>
      <c r="N1511" s="293">
        <v>31589</v>
      </c>
      <c r="O1511" s="293">
        <v>31589</v>
      </c>
      <c r="P1511" s="289"/>
      <c r="Q1511" s="290">
        <v>500</v>
      </c>
      <c r="R1511" s="290">
        <v>14070</v>
      </c>
      <c r="S1511" s="291">
        <v>989</v>
      </c>
      <c r="T1511" s="290">
        <v>14076</v>
      </c>
      <c r="U1511" s="291">
        <v>989</v>
      </c>
      <c r="V1511" s="291">
        <f t="shared" si="23"/>
        <v>0</v>
      </c>
      <c r="W1511" s="292">
        <v>0</v>
      </c>
      <c r="X1511" s="290">
        <v>51260</v>
      </c>
      <c r="Y1511" s="291">
        <v>0</v>
      </c>
      <c r="Z1511" s="289" t="s">
        <v>410</v>
      </c>
      <c r="AA1511" s="289" t="s">
        <v>3044</v>
      </c>
      <c r="AB1511" s="289"/>
      <c r="AC1511" s="289"/>
      <c r="AD1511" s="289" t="s">
        <v>1446</v>
      </c>
      <c r="AE1511" s="289" t="s">
        <v>410</v>
      </c>
      <c r="AF1511" s="290" t="s">
        <v>1447</v>
      </c>
      <c r="AG1511" s="289"/>
      <c r="AH1511" s="290" t="s">
        <v>1448</v>
      </c>
      <c r="AI1511" s="289">
        <v>0</v>
      </c>
      <c r="AJ1511" s="289">
        <v>0</v>
      </c>
    </row>
    <row r="1512" spans="2:36">
      <c r="B1512" s="290">
        <v>2111</v>
      </c>
      <c r="C1512" s="294">
        <v>6656</v>
      </c>
      <c r="D1512" s="290" t="s">
        <v>944</v>
      </c>
      <c r="E1512" s="289" t="s">
        <v>184</v>
      </c>
      <c r="F1512" s="290">
        <v>0</v>
      </c>
      <c r="G1512" s="289"/>
      <c r="H1512" s="289"/>
      <c r="I1512" s="289"/>
      <c r="J1512" s="289">
        <v>1985</v>
      </c>
      <c r="K1512" s="289" t="s">
        <v>2578</v>
      </c>
      <c r="L1512" s="289" t="s">
        <v>2214</v>
      </c>
      <c r="M1512" s="289"/>
      <c r="N1512" s="293">
        <v>31260</v>
      </c>
      <c r="O1512" s="293">
        <v>31260</v>
      </c>
      <c r="P1512" s="289"/>
      <c r="Q1512" s="290">
        <v>500</v>
      </c>
      <c r="R1512" s="290">
        <v>14070</v>
      </c>
      <c r="S1512" s="291">
        <v>2430.9499999999998</v>
      </c>
      <c r="T1512" s="290">
        <v>14076</v>
      </c>
      <c r="U1512" s="291">
        <v>2430.9499999999998</v>
      </c>
      <c r="V1512" s="291">
        <f t="shared" si="23"/>
        <v>0</v>
      </c>
      <c r="W1512" s="292">
        <v>0</v>
      </c>
      <c r="X1512" s="290">
        <v>51260</v>
      </c>
      <c r="Y1512" s="291">
        <v>0</v>
      </c>
      <c r="Z1512" s="289" t="s">
        <v>410</v>
      </c>
      <c r="AA1512" s="289" t="s">
        <v>3044</v>
      </c>
      <c r="AB1512" s="289"/>
      <c r="AC1512" s="289"/>
      <c r="AD1512" s="289" t="s">
        <v>1446</v>
      </c>
      <c r="AE1512" s="289" t="s">
        <v>410</v>
      </c>
      <c r="AF1512" s="290" t="s">
        <v>1447</v>
      </c>
      <c r="AG1512" s="289"/>
      <c r="AH1512" s="290" t="s">
        <v>1448</v>
      </c>
      <c r="AI1512" s="289">
        <v>0</v>
      </c>
      <c r="AJ1512" s="289">
        <v>0</v>
      </c>
    </row>
    <row r="1513" spans="2:36">
      <c r="B1513" s="290">
        <v>2111</v>
      </c>
      <c r="C1513" s="294">
        <v>6654</v>
      </c>
      <c r="D1513" s="290" t="s">
        <v>944</v>
      </c>
      <c r="E1513" s="289" t="s">
        <v>3911</v>
      </c>
      <c r="F1513" s="290">
        <v>0</v>
      </c>
      <c r="G1513" s="289"/>
      <c r="H1513" s="289"/>
      <c r="I1513" s="289"/>
      <c r="J1513" s="289">
        <v>1987</v>
      </c>
      <c r="K1513" s="289" t="s">
        <v>2578</v>
      </c>
      <c r="L1513" s="289" t="s">
        <v>2214</v>
      </c>
      <c r="M1513" s="289"/>
      <c r="N1513" s="293">
        <v>31954</v>
      </c>
      <c r="O1513" s="293">
        <v>31954</v>
      </c>
      <c r="P1513" s="289"/>
      <c r="Q1513" s="290">
        <v>2000</v>
      </c>
      <c r="R1513" s="290">
        <v>14070</v>
      </c>
      <c r="S1513" s="291">
        <v>2721.95</v>
      </c>
      <c r="T1513" s="290">
        <v>14076</v>
      </c>
      <c r="U1513" s="291">
        <v>2721.95</v>
      </c>
      <c r="V1513" s="291">
        <f t="shared" si="23"/>
        <v>0</v>
      </c>
      <c r="W1513" s="292">
        <v>0</v>
      </c>
      <c r="X1513" s="290">
        <v>51260</v>
      </c>
      <c r="Y1513" s="291">
        <v>0</v>
      </c>
      <c r="Z1513" s="289" t="s">
        <v>410</v>
      </c>
      <c r="AA1513" s="289" t="s">
        <v>3044</v>
      </c>
      <c r="AB1513" s="289"/>
      <c r="AC1513" s="289"/>
      <c r="AD1513" s="289" t="s">
        <v>1446</v>
      </c>
      <c r="AE1513" s="289" t="s">
        <v>410</v>
      </c>
      <c r="AF1513" s="290" t="s">
        <v>1447</v>
      </c>
      <c r="AG1513" s="289"/>
      <c r="AH1513" s="290" t="s">
        <v>1448</v>
      </c>
      <c r="AI1513" s="289">
        <v>0</v>
      </c>
      <c r="AJ1513" s="289">
        <v>0</v>
      </c>
    </row>
    <row r="1514" spans="2:36">
      <c r="B1514" s="290">
        <v>2111</v>
      </c>
      <c r="C1514" s="294">
        <v>6653</v>
      </c>
      <c r="D1514" s="290" t="s">
        <v>944</v>
      </c>
      <c r="E1514" s="289" t="s">
        <v>3911</v>
      </c>
      <c r="F1514" s="290">
        <v>0</v>
      </c>
      <c r="G1514" s="289"/>
      <c r="H1514" s="289"/>
      <c r="I1514" s="289"/>
      <c r="J1514" s="289">
        <v>1987</v>
      </c>
      <c r="K1514" s="289" t="s">
        <v>2578</v>
      </c>
      <c r="L1514" s="289" t="s">
        <v>2214</v>
      </c>
      <c r="M1514" s="289"/>
      <c r="N1514" s="293">
        <v>31817</v>
      </c>
      <c r="O1514" s="293">
        <v>31817</v>
      </c>
      <c r="P1514" s="289"/>
      <c r="Q1514" s="290">
        <v>2000</v>
      </c>
      <c r="R1514" s="290">
        <v>14070</v>
      </c>
      <c r="S1514" s="291">
        <v>1697.31</v>
      </c>
      <c r="T1514" s="290">
        <v>14076</v>
      </c>
      <c r="U1514" s="291">
        <v>1697.31</v>
      </c>
      <c r="V1514" s="291">
        <f t="shared" si="23"/>
        <v>0</v>
      </c>
      <c r="W1514" s="292">
        <v>0</v>
      </c>
      <c r="X1514" s="290">
        <v>51260</v>
      </c>
      <c r="Y1514" s="291">
        <v>0</v>
      </c>
      <c r="Z1514" s="289" t="s">
        <v>410</v>
      </c>
      <c r="AA1514" s="289" t="s">
        <v>3044</v>
      </c>
      <c r="AB1514" s="289"/>
      <c r="AC1514" s="289"/>
      <c r="AD1514" s="289" t="s">
        <v>1446</v>
      </c>
      <c r="AE1514" s="289" t="s">
        <v>410</v>
      </c>
      <c r="AF1514" s="290" t="s">
        <v>1447</v>
      </c>
      <c r="AG1514" s="289"/>
      <c r="AH1514" s="290" t="s">
        <v>1448</v>
      </c>
      <c r="AI1514" s="289">
        <v>0</v>
      </c>
      <c r="AJ1514" s="289">
        <v>0</v>
      </c>
    </row>
    <row r="1515" spans="2:36">
      <c r="B1515" s="290">
        <v>2111</v>
      </c>
      <c r="C1515" s="294">
        <v>6651</v>
      </c>
      <c r="D1515" s="290" t="s">
        <v>944</v>
      </c>
      <c r="E1515" s="289" t="s">
        <v>3912</v>
      </c>
      <c r="F1515" s="290">
        <v>0</v>
      </c>
      <c r="G1515" s="289"/>
      <c r="H1515" s="289">
        <v>1</v>
      </c>
      <c r="I1515" s="289"/>
      <c r="J1515" s="289">
        <v>1985</v>
      </c>
      <c r="K1515" s="289" t="s">
        <v>3913</v>
      </c>
      <c r="L1515" s="289" t="s">
        <v>2214</v>
      </c>
      <c r="M1515" s="289"/>
      <c r="N1515" s="293">
        <v>31274</v>
      </c>
      <c r="O1515" s="293">
        <v>31274</v>
      </c>
      <c r="P1515" s="289"/>
      <c r="Q1515" s="290">
        <v>500</v>
      </c>
      <c r="R1515" s="290">
        <v>14070</v>
      </c>
      <c r="S1515" s="291">
        <v>1392.3</v>
      </c>
      <c r="T1515" s="290">
        <v>14076</v>
      </c>
      <c r="U1515" s="291">
        <v>1392.3</v>
      </c>
      <c r="V1515" s="291">
        <f t="shared" si="23"/>
        <v>0</v>
      </c>
      <c r="W1515" s="292">
        <v>0</v>
      </c>
      <c r="X1515" s="290">
        <v>51260</v>
      </c>
      <c r="Y1515" s="291">
        <v>0</v>
      </c>
      <c r="Z1515" s="289" t="s">
        <v>410</v>
      </c>
      <c r="AA1515" s="289" t="s">
        <v>3044</v>
      </c>
      <c r="AB1515" s="289"/>
      <c r="AC1515" s="289"/>
      <c r="AD1515" s="289" t="s">
        <v>1446</v>
      </c>
      <c r="AE1515" s="289" t="s">
        <v>410</v>
      </c>
      <c r="AF1515" s="290" t="s">
        <v>1447</v>
      </c>
      <c r="AG1515" s="289"/>
      <c r="AH1515" s="290" t="s">
        <v>1448</v>
      </c>
      <c r="AI1515" s="289">
        <v>0</v>
      </c>
      <c r="AJ1515" s="289">
        <v>0</v>
      </c>
    </row>
    <row r="1516" spans="2:36">
      <c r="B1516" s="290">
        <v>2111</v>
      </c>
      <c r="C1516" s="294">
        <v>6649</v>
      </c>
      <c r="D1516" s="290" t="s">
        <v>944</v>
      </c>
      <c r="E1516" s="289" t="s">
        <v>3914</v>
      </c>
      <c r="F1516" s="290">
        <v>0</v>
      </c>
      <c r="G1516" s="289"/>
      <c r="H1516" s="289"/>
      <c r="I1516" s="289"/>
      <c r="J1516" s="289">
        <v>1987</v>
      </c>
      <c r="K1516" s="289" t="s">
        <v>2578</v>
      </c>
      <c r="L1516" s="289" t="s">
        <v>2214</v>
      </c>
      <c r="M1516" s="289"/>
      <c r="N1516" s="293">
        <v>31898</v>
      </c>
      <c r="O1516" s="293">
        <v>31898</v>
      </c>
      <c r="P1516" s="289"/>
      <c r="Q1516" s="290">
        <v>1500</v>
      </c>
      <c r="R1516" s="290">
        <v>14070</v>
      </c>
      <c r="S1516" s="291">
        <v>61406.18</v>
      </c>
      <c r="T1516" s="290">
        <v>14076</v>
      </c>
      <c r="U1516" s="291">
        <v>61406.18</v>
      </c>
      <c r="V1516" s="291">
        <f t="shared" si="23"/>
        <v>0</v>
      </c>
      <c r="W1516" s="292">
        <v>0</v>
      </c>
      <c r="X1516" s="290">
        <v>51260</v>
      </c>
      <c r="Y1516" s="291">
        <v>0</v>
      </c>
      <c r="Z1516" s="289" t="s">
        <v>410</v>
      </c>
      <c r="AA1516" s="289" t="s">
        <v>3044</v>
      </c>
      <c r="AB1516" s="289"/>
      <c r="AC1516" s="289"/>
      <c r="AD1516" s="289" t="s">
        <v>1446</v>
      </c>
      <c r="AE1516" s="289" t="s">
        <v>410</v>
      </c>
      <c r="AF1516" s="290" t="s">
        <v>1447</v>
      </c>
      <c r="AG1516" s="289"/>
      <c r="AH1516" s="290" t="s">
        <v>1448</v>
      </c>
      <c r="AI1516" s="289">
        <v>0</v>
      </c>
      <c r="AJ1516" s="289">
        <v>0</v>
      </c>
    </row>
    <row r="1517" spans="2:36">
      <c r="B1517" s="290">
        <v>2111</v>
      </c>
      <c r="C1517" s="294">
        <v>6648</v>
      </c>
      <c r="D1517" s="290" t="s">
        <v>944</v>
      </c>
      <c r="E1517" s="289" t="s">
        <v>3915</v>
      </c>
      <c r="F1517" s="290">
        <v>0</v>
      </c>
      <c r="G1517" s="289"/>
      <c r="H1517" s="289"/>
      <c r="I1517" s="289"/>
      <c r="J1517" s="289">
        <v>1987</v>
      </c>
      <c r="K1517" s="289" t="s">
        <v>2578</v>
      </c>
      <c r="L1517" s="289" t="s">
        <v>2214</v>
      </c>
      <c r="M1517" s="289"/>
      <c r="N1517" s="293">
        <v>31868</v>
      </c>
      <c r="O1517" s="293">
        <v>31868</v>
      </c>
      <c r="P1517" s="289"/>
      <c r="Q1517" s="290">
        <v>1500</v>
      </c>
      <c r="R1517" s="290">
        <v>14070</v>
      </c>
      <c r="S1517" s="291">
        <v>100211.75</v>
      </c>
      <c r="T1517" s="290">
        <v>14076</v>
      </c>
      <c r="U1517" s="291">
        <v>100211.75</v>
      </c>
      <c r="V1517" s="291">
        <f t="shared" si="23"/>
        <v>0</v>
      </c>
      <c r="W1517" s="292">
        <v>0</v>
      </c>
      <c r="X1517" s="290">
        <v>51260</v>
      </c>
      <c r="Y1517" s="291">
        <v>0</v>
      </c>
      <c r="Z1517" s="289" t="s">
        <v>410</v>
      </c>
      <c r="AA1517" s="289" t="s">
        <v>3044</v>
      </c>
      <c r="AB1517" s="289"/>
      <c r="AC1517" s="289"/>
      <c r="AD1517" s="289" t="s">
        <v>1446</v>
      </c>
      <c r="AE1517" s="289" t="s">
        <v>410</v>
      </c>
      <c r="AF1517" s="290" t="s">
        <v>1447</v>
      </c>
      <c r="AG1517" s="289"/>
      <c r="AH1517" s="290" t="s">
        <v>1448</v>
      </c>
      <c r="AI1517" s="289">
        <v>0</v>
      </c>
      <c r="AJ1517" s="289">
        <v>0</v>
      </c>
    </row>
    <row r="1518" spans="2:36">
      <c r="B1518" s="290">
        <v>2111</v>
      </c>
      <c r="C1518" s="294">
        <v>6647</v>
      </c>
      <c r="D1518" s="290" t="s">
        <v>944</v>
      </c>
      <c r="E1518" s="289" t="s">
        <v>2621</v>
      </c>
      <c r="F1518" s="290">
        <v>864</v>
      </c>
      <c r="G1518" s="289"/>
      <c r="H1518" s="289"/>
      <c r="I1518" s="289"/>
      <c r="J1518" s="289">
        <v>0</v>
      </c>
      <c r="K1518" s="289"/>
      <c r="L1518" s="289"/>
      <c r="M1518" s="289"/>
      <c r="N1518" s="293">
        <v>36003</v>
      </c>
      <c r="O1518" s="293">
        <v>36003</v>
      </c>
      <c r="P1518" s="289"/>
      <c r="Q1518" s="290">
        <v>500</v>
      </c>
      <c r="R1518" s="290">
        <v>14050</v>
      </c>
      <c r="S1518" s="291">
        <v>45423.94</v>
      </c>
      <c r="T1518" s="290">
        <v>14056</v>
      </c>
      <c r="U1518" s="291">
        <v>45423.94</v>
      </c>
      <c r="V1518" s="291">
        <f t="shared" si="23"/>
        <v>0</v>
      </c>
      <c r="W1518" s="292">
        <v>0</v>
      </c>
      <c r="X1518" s="290">
        <v>54260</v>
      </c>
      <c r="Y1518" s="291">
        <v>0</v>
      </c>
      <c r="Z1518" s="289" t="s">
        <v>410</v>
      </c>
      <c r="AA1518" s="289" t="s">
        <v>3044</v>
      </c>
      <c r="AB1518" s="289"/>
      <c r="AC1518" s="289"/>
      <c r="AD1518" s="289" t="s">
        <v>1446</v>
      </c>
      <c r="AE1518" s="289" t="s">
        <v>410</v>
      </c>
      <c r="AF1518" s="290" t="s">
        <v>1447</v>
      </c>
      <c r="AG1518" s="289"/>
      <c r="AH1518" s="290" t="s">
        <v>1448</v>
      </c>
      <c r="AI1518" s="289">
        <v>0</v>
      </c>
      <c r="AJ1518" s="289">
        <v>0</v>
      </c>
    </row>
    <row r="1519" spans="2:36">
      <c r="B1519" s="290">
        <v>2111</v>
      </c>
      <c r="C1519" s="294">
        <v>6644</v>
      </c>
      <c r="D1519" s="290" t="s">
        <v>944</v>
      </c>
      <c r="E1519" s="289" t="s">
        <v>3916</v>
      </c>
      <c r="F1519" s="290">
        <v>30</v>
      </c>
      <c r="G1519" s="289"/>
      <c r="H1519" s="289"/>
      <c r="I1519" s="289"/>
      <c r="J1519" s="289">
        <v>0</v>
      </c>
      <c r="K1519" s="289"/>
      <c r="L1519" s="289"/>
      <c r="M1519" s="289" t="s">
        <v>1918</v>
      </c>
      <c r="N1519" s="293">
        <v>35927</v>
      </c>
      <c r="O1519" s="293">
        <v>35927</v>
      </c>
      <c r="P1519" s="289"/>
      <c r="Q1519" s="290">
        <v>1200</v>
      </c>
      <c r="R1519" s="290">
        <v>14050</v>
      </c>
      <c r="S1519" s="291">
        <v>9452.48</v>
      </c>
      <c r="T1519" s="290">
        <v>14056</v>
      </c>
      <c r="U1519" s="291">
        <v>9452.48</v>
      </c>
      <c r="V1519" s="291">
        <f t="shared" si="23"/>
        <v>0</v>
      </c>
      <c r="W1519" s="292">
        <v>0</v>
      </c>
      <c r="X1519" s="290">
        <v>54260</v>
      </c>
      <c r="Y1519" s="291">
        <v>0</v>
      </c>
      <c r="Z1519" s="289" t="s">
        <v>410</v>
      </c>
      <c r="AA1519" s="289" t="s">
        <v>3044</v>
      </c>
      <c r="AB1519" s="289"/>
      <c r="AC1519" s="289"/>
      <c r="AD1519" s="289" t="s">
        <v>1446</v>
      </c>
      <c r="AE1519" s="289" t="s">
        <v>410</v>
      </c>
      <c r="AF1519" s="290" t="s">
        <v>1447</v>
      </c>
      <c r="AG1519" s="289"/>
      <c r="AH1519" s="290" t="s">
        <v>1448</v>
      </c>
      <c r="AI1519" s="289">
        <v>0</v>
      </c>
      <c r="AJ1519" s="289">
        <v>0</v>
      </c>
    </row>
    <row r="1520" spans="2:36">
      <c r="B1520" s="290">
        <v>2111</v>
      </c>
      <c r="C1520" s="294">
        <v>6642</v>
      </c>
      <c r="D1520" s="290" t="s">
        <v>944</v>
      </c>
      <c r="E1520" s="289" t="s">
        <v>2621</v>
      </c>
      <c r="F1520" s="290">
        <v>432</v>
      </c>
      <c r="G1520" s="289"/>
      <c r="H1520" s="289"/>
      <c r="I1520" s="289"/>
      <c r="J1520" s="289">
        <v>0</v>
      </c>
      <c r="K1520" s="289"/>
      <c r="L1520" s="289"/>
      <c r="M1520" s="289"/>
      <c r="N1520" s="293">
        <v>35856</v>
      </c>
      <c r="O1520" s="293">
        <v>35856</v>
      </c>
      <c r="P1520" s="289"/>
      <c r="Q1520" s="290">
        <v>500</v>
      </c>
      <c r="R1520" s="290">
        <v>14050</v>
      </c>
      <c r="S1520" s="291">
        <v>22711.97</v>
      </c>
      <c r="T1520" s="290">
        <v>14056</v>
      </c>
      <c r="U1520" s="291">
        <v>22711.97</v>
      </c>
      <c r="V1520" s="291">
        <f t="shared" si="23"/>
        <v>0</v>
      </c>
      <c r="W1520" s="292">
        <v>0</v>
      </c>
      <c r="X1520" s="290">
        <v>54260</v>
      </c>
      <c r="Y1520" s="291">
        <v>0</v>
      </c>
      <c r="Z1520" s="289" t="s">
        <v>410</v>
      </c>
      <c r="AA1520" s="289" t="s">
        <v>3044</v>
      </c>
      <c r="AB1520" s="289"/>
      <c r="AC1520" s="289"/>
      <c r="AD1520" s="289" t="s">
        <v>1446</v>
      </c>
      <c r="AE1520" s="289" t="s">
        <v>410</v>
      </c>
      <c r="AF1520" s="290" t="s">
        <v>1447</v>
      </c>
      <c r="AG1520" s="289"/>
      <c r="AH1520" s="290" t="s">
        <v>1448</v>
      </c>
      <c r="AI1520" s="289">
        <v>0</v>
      </c>
      <c r="AJ1520" s="289">
        <v>0</v>
      </c>
    </row>
    <row r="1521" spans="2:36">
      <c r="B1521" s="290">
        <v>2111</v>
      </c>
      <c r="C1521" s="294">
        <v>6640</v>
      </c>
      <c r="D1521" s="290" t="s">
        <v>944</v>
      </c>
      <c r="E1521" s="289" t="s">
        <v>3917</v>
      </c>
      <c r="F1521" s="290">
        <v>4</v>
      </c>
      <c r="G1521" s="289"/>
      <c r="H1521" s="289"/>
      <c r="I1521" s="289"/>
      <c r="J1521" s="289">
        <v>0</v>
      </c>
      <c r="K1521" s="289"/>
      <c r="L1521" s="289"/>
      <c r="M1521" s="289" t="s">
        <v>1667</v>
      </c>
      <c r="N1521" s="293">
        <v>35662</v>
      </c>
      <c r="O1521" s="293">
        <v>35662</v>
      </c>
      <c r="P1521" s="289"/>
      <c r="Q1521" s="290">
        <v>1200</v>
      </c>
      <c r="R1521" s="290">
        <v>14050</v>
      </c>
      <c r="S1521" s="291">
        <v>16728.29</v>
      </c>
      <c r="T1521" s="290">
        <v>14056</v>
      </c>
      <c r="U1521" s="291">
        <v>16728.29</v>
      </c>
      <c r="V1521" s="291">
        <f t="shared" si="23"/>
        <v>0</v>
      </c>
      <c r="W1521" s="292">
        <v>0</v>
      </c>
      <c r="X1521" s="290">
        <v>54260</v>
      </c>
      <c r="Y1521" s="291">
        <v>0</v>
      </c>
      <c r="Z1521" s="289" t="s">
        <v>410</v>
      </c>
      <c r="AA1521" s="289" t="s">
        <v>3044</v>
      </c>
      <c r="AB1521" s="289"/>
      <c r="AC1521" s="289"/>
      <c r="AD1521" s="289" t="s">
        <v>1446</v>
      </c>
      <c r="AE1521" s="289" t="s">
        <v>410</v>
      </c>
      <c r="AF1521" s="290" t="s">
        <v>1447</v>
      </c>
      <c r="AG1521" s="289"/>
      <c r="AH1521" s="290" t="s">
        <v>1448</v>
      </c>
      <c r="AI1521" s="289">
        <v>0</v>
      </c>
      <c r="AJ1521" s="289">
        <v>0</v>
      </c>
    </row>
    <row r="1522" spans="2:36">
      <c r="B1522" s="290">
        <v>2111</v>
      </c>
      <c r="C1522" s="294">
        <v>6639</v>
      </c>
      <c r="D1522" s="290" t="s">
        <v>944</v>
      </c>
      <c r="E1522" s="289" t="s">
        <v>2618</v>
      </c>
      <c r="F1522" s="290">
        <v>6</v>
      </c>
      <c r="G1522" s="289"/>
      <c r="H1522" s="289"/>
      <c r="I1522" s="289"/>
      <c r="J1522" s="289">
        <v>0</v>
      </c>
      <c r="K1522" s="289"/>
      <c r="L1522" s="289"/>
      <c r="M1522" s="289" t="s">
        <v>1667</v>
      </c>
      <c r="N1522" s="293">
        <v>35643</v>
      </c>
      <c r="O1522" s="293">
        <v>35643</v>
      </c>
      <c r="P1522" s="289"/>
      <c r="Q1522" s="290">
        <v>1200</v>
      </c>
      <c r="R1522" s="290">
        <v>14050</v>
      </c>
      <c r="S1522" s="291">
        <v>25092.42</v>
      </c>
      <c r="T1522" s="290">
        <v>14056</v>
      </c>
      <c r="U1522" s="291">
        <v>25092.42</v>
      </c>
      <c r="V1522" s="291">
        <f t="shared" si="23"/>
        <v>0</v>
      </c>
      <c r="W1522" s="292">
        <v>0</v>
      </c>
      <c r="X1522" s="290">
        <v>54260</v>
      </c>
      <c r="Y1522" s="291">
        <v>0</v>
      </c>
      <c r="Z1522" s="289" t="s">
        <v>410</v>
      </c>
      <c r="AA1522" s="289" t="s">
        <v>3044</v>
      </c>
      <c r="AB1522" s="289"/>
      <c r="AC1522" s="289"/>
      <c r="AD1522" s="289" t="s">
        <v>1446</v>
      </c>
      <c r="AE1522" s="289" t="s">
        <v>410</v>
      </c>
      <c r="AF1522" s="290" t="s">
        <v>1447</v>
      </c>
      <c r="AG1522" s="289"/>
      <c r="AH1522" s="290" t="s">
        <v>1448</v>
      </c>
      <c r="AI1522" s="289">
        <v>0</v>
      </c>
      <c r="AJ1522" s="289">
        <v>0</v>
      </c>
    </row>
    <row r="1523" spans="2:36">
      <c r="B1523" s="290">
        <v>2111</v>
      </c>
      <c r="C1523" s="294">
        <v>6637</v>
      </c>
      <c r="D1523" s="290" t="s">
        <v>944</v>
      </c>
      <c r="E1523" s="289" t="s">
        <v>3916</v>
      </c>
      <c r="F1523" s="290">
        <v>12</v>
      </c>
      <c r="G1523" s="289"/>
      <c r="H1523" s="289"/>
      <c r="I1523" s="289"/>
      <c r="J1523" s="289">
        <v>0</v>
      </c>
      <c r="K1523" s="289"/>
      <c r="L1523" s="289"/>
      <c r="M1523" s="289" t="s">
        <v>1918</v>
      </c>
      <c r="N1523" s="293">
        <v>35642</v>
      </c>
      <c r="O1523" s="293">
        <v>35642</v>
      </c>
      <c r="P1523" s="289"/>
      <c r="Q1523" s="290">
        <v>1200</v>
      </c>
      <c r="R1523" s="290">
        <v>14050</v>
      </c>
      <c r="S1523" s="291">
        <v>3350.34</v>
      </c>
      <c r="T1523" s="290">
        <v>14056</v>
      </c>
      <c r="U1523" s="291">
        <v>3350.34</v>
      </c>
      <c r="V1523" s="291">
        <f t="shared" si="23"/>
        <v>0</v>
      </c>
      <c r="W1523" s="292">
        <v>0</v>
      </c>
      <c r="X1523" s="290">
        <v>54260</v>
      </c>
      <c r="Y1523" s="291">
        <v>0</v>
      </c>
      <c r="Z1523" s="289" t="s">
        <v>410</v>
      </c>
      <c r="AA1523" s="289" t="s">
        <v>3044</v>
      </c>
      <c r="AB1523" s="289"/>
      <c r="AC1523" s="289"/>
      <c r="AD1523" s="289" t="s">
        <v>1446</v>
      </c>
      <c r="AE1523" s="289" t="s">
        <v>410</v>
      </c>
      <c r="AF1523" s="290" t="s">
        <v>1447</v>
      </c>
      <c r="AG1523" s="289"/>
      <c r="AH1523" s="290" t="s">
        <v>1448</v>
      </c>
      <c r="AI1523" s="289">
        <v>0</v>
      </c>
      <c r="AJ1523" s="289">
        <v>0</v>
      </c>
    </row>
    <row r="1524" spans="2:36">
      <c r="B1524" s="290">
        <v>2111</v>
      </c>
      <c r="C1524" s="294">
        <v>6635</v>
      </c>
      <c r="D1524" s="290" t="s">
        <v>944</v>
      </c>
      <c r="E1524" s="289" t="s">
        <v>2621</v>
      </c>
      <c r="F1524" s="290">
        <v>720</v>
      </c>
      <c r="G1524" s="289"/>
      <c r="H1524" s="289"/>
      <c r="I1524" s="289"/>
      <c r="J1524" s="289">
        <v>0</v>
      </c>
      <c r="K1524" s="289"/>
      <c r="L1524" s="289"/>
      <c r="M1524" s="289"/>
      <c r="N1524" s="293">
        <v>35606</v>
      </c>
      <c r="O1524" s="293">
        <v>35606</v>
      </c>
      <c r="P1524" s="289"/>
      <c r="Q1524" s="290">
        <v>500</v>
      </c>
      <c r="R1524" s="290">
        <v>14050</v>
      </c>
      <c r="S1524" s="291">
        <v>17653.05</v>
      </c>
      <c r="T1524" s="290">
        <v>14056</v>
      </c>
      <c r="U1524" s="291">
        <v>17653.05</v>
      </c>
      <c r="V1524" s="291">
        <f t="shared" si="23"/>
        <v>0</v>
      </c>
      <c r="W1524" s="292">
        <v>0</v>
      </c>
      <c r="X1524" s="290">
        <v>54260</v>
      </c>
      <c r="Y1524" s="291">
        <v>0</v>
      </c>
      <c r="Z1524" s="289" t="s">
        <v>410</v>
      </c>
      <c r="AA1524" s="289" t="s">
        <v>3044</v>
      </c>
      <c r="AB1524" s="289"/>
      <c r="AC1524" s="289"/>
      <c r="AD1524" s="289" t="s">
        <v>1446</v>
      </c>
      <c r="AE1524" s="289" t="s">
        <v>410</v>
      </c>
      <c r="AF1524" s="290" t="s">
        <v>1447</v>
      </c>
      <c r="AG1524" s="295">
        <v>36525</v>
      </c>
      <c r="AH1524" s="290" t="s">
        <v>1448</v>
      </c>
      <c r="AI1524" s="289">
        <v>2</v>
      </c>
      <c r="AJ1524" s="289">
        <v>8826.5300000000007</v>
      </c>
    </row>
    <row r="1525" spans="2:36">
      <c r="B1525" s="290">
        <v>2111</v>
      </c>
      <c r="C1525" s="294">
        <v>6633</v>
      </c>
      <c r="D1525" s="290" t="s">
        <v>944</v>
      </c>
      <c r="E1525" s="289" t="s">
        <v>3918</v>
      </c>
      <c r="F1525" s="290">
        <v>6</v>
      </c>
      <c r="G1525" s="289"/>
      <c r="H1525" s="289"/>
      <c r="I1525" s="289"/>
      <c r="J1525" s="289">
        <v>0</v>
      </c>
      <c r="K1525" s="289"/>
      <c r="L1525" s="289"/>
      <c r="M1525" s="289" t="s">
        <v>1664</v>
      </c>
      <c r="N1525" s="293">
        <v>35601</v>
      </c>
      <c r="O1525" s="293">
        <v>35601</v>
      </c>
      <c r="P1525" s="289"/>
      <c r="Q1525" s="290">
        <v>1200</v>
      </c>
      <c r="R1525" s="290">
        <v>14050</v>
      </c>
      <c r="S1525" s="291">
        <v>3381.87</v>
      </c>
      <c r="T1525" s="290">
        <v>14056</v>
      </c>
      <c r="U1525" s="291">
        <v>3381.87</v>
      </c>
      <c r="V1525" s="291">
        <f t="shared" si="23"/>
        <v>0</v>
      </c>
      <c r="W1525" s="292">
        <v>0</v>
      </c>
      <c r="X1525" s="290">
        <v>54260</v>
      </c>
      <c r="Y1525" s="291">
        <v>0</v>
      </c>
      <c r="Z1525" s="289" t="s">
        <v>410</v>
      </c>
      <c r="AA1525" s="289" t="s">
        <v>3044</v>
      </c>
      <c r="AB1525" s="289"/>
      <c r="AC1525" s="289"/>
      <c r="AD1525" s="289" t="s">
        <v>1446</v>
      </c>
      <c r="AE1525" s="289" t="s">
        <v>410</v>
      </c>
      <c r="AF1525" s="290" t="s">
        <v>1447</v>
      </c>
      <c r="AG1525" s="289"/>
      <c r="AH1525" s="290" t="s">
        <v>1448</v>
      </c>
      <c r="AI1525" s="289">
        <v>0</v>
      </c>
      <c r="AJ1525" s="289">
        <v>0</v>
      </c>
    </row>
    <row r="1526" spans="2:36">
      <c r="B1526" s="290">
        <v>2111</v>
      </c>
      <c r="C1526" s="294">
        <v>6632</v>
      </c>
      <c r="D1526" s="290" t="s">
        <v>944</v>
      </c>
      <c r="E1526" s="289" t="s">
        <v>2617</v>
      </c>
      <c r="F1526" s="290">
        <v>3</v>
      </c>
      <c r="G1526" s="289"/>
      <c r="H1526" s="289"/>
      <c r="I1526" s="289"/>
      <c r="J1526" s="289">
        <v>0</v>
      </c>
      <c r="K1526" s="289"/>
      <c r="L1526" s="289"/>
      <c r="M1526" s="289" t="s">
        <v>1670</v>
      </c>
      <c r="N1526" s="293">
        <v>35550</v>
      </c>
      <c r="O1526" s="293">
        <v>35550</v>
      </c>
      <c r="P1526" s="289"/>
      <c r="Q1526" s="290">
        <v>1200</v>
      </c>
      <c r="R1526" s="290">
        <v>14050</v>
      </c>
      <c r="S1526" s="291">
        <v>10081.040000000001</v>
      </c>
      <c r="T1526" s="290">
        <v>14056</v>
      </c>
      <c r="U1526" s="291">
        <v>10081.040000000001</v>
      </c>
      <c r="V1526" s="291">
        <f t="shared" si="23"/>
        <v>0</v>
      </c>
      <c r="W1526" s="292">
        <v>0</v>
      </c>
      <c r="X1526" s="290">
        <v>54260</v>
      </c>
      <c r="Y1526" s="291">
        <v>0</v>
      </c>
      <c r="Z1526" s="289" t="s">
        <v>410</v>
      </c>
      <c r="AA1526" s="289" t="s">
        <v>3044</v>
      </c>
      <c r="AB1526" s="289"/>
      <c r="AC1526" s="289"/>
      <c r="AD1526" s="289" t="s">
        <v>1446</v>
      </c>
      <c r="AE1526" s="289" t="s">
        <v>410</v>
      </c>
      <c r="AF1526" s="290" t="s">
        <v>1447</v>
      </c>
      <c r="AG1526" s="289"/>
      <c r="AH1526" s="290" t="s">
        <v>1448</v>
      </c>
      <c r="AI1526" s="289">
        <v>0</v>
      </c>
      <c r="AJ1526" s="289">
        <v>0</v>
      </c>
    </row>
    <row r="1527" spans="2:36">
      <c r="B1527" s="290">
        <v>2111</v>
      </c>
      <c r="C1527" s="294">
        <v>6628</v>
      </c>
      <c r="D1527" s="290" t="s">
        <v>944</v>
      </c>
      <c r="E1527" s="289" t="s">
        <v>2621</v>
      </c>
      <c r="F1527" s="290">
        <v>720</v>
      </c>
      <c r="G1527" s="289"/>
      <c r="H1527" s="289"/>
      <c r="I1527" s="289"/>
      <c r="J1527" s="289">
        <v>0</v>
      </c>
      <c r="K1527" s="289"/>
      <c r="L1527" s="289"/>
      <c r="M1527" s="289"/>
      <c r="N1527" s="293">
        <v>35480</v>
      </c>
      <c r="O1527" s="293">
        <v>35480</v>
      </c>
      <c r="P1527" s="289"/>
      <c r="Q1527" s="290">
        <v>500</v>
      </c>
      <c r="R1527" s="290">
        <v>14050</v>
      </c>
      <c r="S1527" s="291">
        <v>40397.760000000002</v>
      </c>
      <c r="T1527" s="290">
        <v>14056</v>
      </c>
      <c r="U1527" s="291">
        <v>40397.760000000002</v>
      </c>
      <c r="V1527" s="291">
        <f t="shared" si="23"/>
        <v>0</v>
      </c>
      <c r="W1527" s="292">
        <v>0</v>
      </c>
      <c r="X1527" s="290">
        <v>54260</v>
      </c>
      <c r="Y1527" s="291">
        <v>0</v>
      </c>
      <c r="Z1527" s="289" t="s">
        <v>410</v>
      </c>
      <c r="AA1527" s="289" t="s">
        <v>3044</v>
      </c>
      <c r="AB1527" s="289"/>
      <c r="AC1527" s="289"/>
      <c r="AD1527" s="289" t="s">
        <v>1446</v>
      </c>
      <c r="AE1527" s="289" t="s">
        <v>410</v>
      </c>
      <c r="AF1527" s="290" t="s">
        <v>1447</v>
      </c>
      <c r="AG1527" s="289"/>
      <c r="AH1527" s="290" t="s">
        <v>1448</v>
      </c>
      <c r="AI1527" s="289">
        <v>0</v>
      </c>
      <c r="AJ1527" s="289">
        <v>0</v>
      </c>
    </row>
    <row r="1528" spans="2:36">
      <c r="B1528" s="290">
        <v>2111</v>
      </c>
      <c r="C1528" s="294">
        <v>6626</v>
      </c>
      <c r="D1528" s="290" t="s">
        <v>944</v>
      </c>
      <c r="E1528" s="289" t="s">
        <v>3919</v>
      </c>
      <c r="F1528" s="290">
        <v>40</v>
      </c>
      <c r="G1528" s="289"/>
      <c r="H1528" s="289"/>
      <c r="I1528" s="289"/>
      <c r="J1528" s="289">
        <v>0</v>
      </c>
      <c r="K1528" s="289"/>
      <c r="L1528" s="289"/>
      <c r="M1528" s="289" t="s">
        <v>1662</v>
      </c>
      <c r="N1528" s="293">
        <v>35353</v>
      </c>
      <c r="O1528" s="293">
        <v>35353</v>
      </c>
      <c r="P1528" s="289"/>
      <c r="Q1528" s="290">
        <v>1200</v>
      </c>
      <c r="R1528" s="290">
        <v>14050</v>
      </c>
      <c r="S1528" s="291">
        <v>15854.4</v>
      </c>
      <c r="T1528" s="290">
        <v>14056</v>
      </c>
      <c r="U1528" s="291">
        <v>15854.4</v>
      </c>
      <c r="V1528" s="291">
        <f t="shared" si="23"/>
        <v>0</v>
      </c>
      <c r="W1528" s="292">
        <v>0</v>
      </c>
      <c r="X1528" s="290">
        <v>54260</v>
      </c>
      <c r="Y1528" s="291">
        <v>0</v>
      </c>
      <c r="Z1528" s="289" t="s">
        <v>410</v>
      </c>
      <c r="AA1528" s="289" t="s">
        <v>3044</v>
      </c>
      <c r="AB1528" s="289"/>
      <c r="AC1528" s="289"/>
      <c r="AD1528" s="289" t="s">
        <v>1446</v>
      </c>
      <c r="AE1528" s="289" t="s">
        <v>410</v>
      </c>
      <c r="AF1528" s="290" t="s">
        <v>1447</v>
      </c>
      <c r="AG1528" s="289"/>
      <c r="AH1528" s="290" t="s">
        <v>1448</v>
      </c>
      <c r="AI1528" s="289">
        <v>0</v>
      </c>
      <c r="AJ1528" s="289">
        <v>0</v>
      </c>
    </row>
    <row r="1529" spans="2:36">
      <c r="B1529" s="290">
        <v>2111</v>
      </c>
      <c r="C1529" s="294">
        <v>6625</v>
      </c>
      <c r="D1529" s="290" t="s">
        <v>944</v>
      </c>
      <c r="E1529" s="289" t="s">
        <v>3919</v>
      </c>
      <c r="F1529" s="290">
        <v>2</v>
      </c>
      <c r="G1529" s="289"/>
      <c r="H1529" s="289"/>
      <c r="I1529" s="289"/>
      <c r="J1529" s="289">
        <v>0</v>
      </c>
      <c r="K1529" s="289"/>
      <c r="L1529" s="289"/>
      <c r="M1529" s="289" t="s">
        <v>1662</v>
      </c>
      <c r="N1529" s="293">
        <v>35332</v>
      </c>
      <c r="O1529" s="293">
        <v>35332</v>
      </c>
      <c r="P1529" s="289"/>
      <c r="Q1529" s="290">
        <v>1200</v>
      </c>
      <c r="R1529" s="290">
        <v>14050</v>
      </c>
      <c r="S1529" s="291">
        <v>792.72</v>
      </c>
      <c r="T1529" s="290">
        <v>14056</v>
      </c>
      <c r="U1529" s="291">
        <v>792.72</v>
      </c>
      <c r="V1529" s="291">
        <f t="shared" si="23"/>
        <v>0</v>
      </c>
      <c r="W1529" s="292">
        <v>0</v>
      </c>
      <c r="X1529" s="290">
        <v>54260</v>
      </c>
      <c r="Y1529" s="291">
        <v>0</v>
      </c>
      <c r="Z1529" s="289" t="s">
        <v>410</v>
      </c>
      <c r="AA1529" s="289" t="s">
        <v>3044</v>
      </c>
      <c r="AB1529" s="289"/>
      <c r="AC1529" s="289"/>
      <c r="AD1529" s="289" t="s">
        <v>1446</v>
      </c>
      <c r="AE1529" s="289" t="s">
        <v>410</v>
      </c>
      <c r="AF1529" s="290" t="s">
        <v>1447</v>
      </c>
      <c r="AG1529" s="289"/>
      <c r="AH1529" s="290" t="s">
        <v>1448</v>
      </c>
      <c r="AI1529" s="289">
        <v>4</v>
      </c>
      <c r="AJ1529" s="289">
        <v>0</v>
      </c>
    </row>
    <row r="1530" spans="2:36">
      <c r="B1530" s="290">
        <v>2111</v>
      </c>
      <c r="C1530" s="294">
        <v>6623</v>
      </c>
      <c r="D1530" s="290" t="s">
        <v>944</v>
      </c>
      <c r="E1530" s="289" t="s">
        <v>2625</v>
      </c>
      <c r="F1530" s="290">
        <v>24</v>
      </c>
      <c r="G1530" s="289"/>
      <c r="H1530" s="289"/>
      <c r="I1530" s="289"/>
      <c r="J1530" s="289">
        <v>0</v>
      </c>
      <c r="K1530" s="289"/>
      <c r="L1530" s="289"/>
      <c r="M1530" s="289" t="s">
        <v>1918</v>
      </c>
      <c r="N1530" s="293">
        <v>35299</v>
      </c>
      <c r="O1530" s="293">
        <v>35299</v>
      </c>
      <c r="P1530" s="289"/>
      <c r="Q1530" s="290">
        <v>1200</v>
      </c>
      <c r="R1530" s="290">
        <v>14050</v>
      </c>
      <c r="S1530" s="291">
        <v>5988.99</v>
      </c>
      <c r="T1530" s="290">
        <v>14056</v>
      </c>
      <c r="U1530" s="291">
        <v>5988.99</v>
      </c>
      <c r="V1530" s="291">
        <f t="shared" si="23"/>
        <v>0</v>
      </c>
      <c r="W1530" s="292">
        <v>0</v>
      </c>
      <c r="X1530" s="290">
        <v>54260</v>
      </c>
      <c r="Y1530" s="291">
        <v>0</v>
      </c>
      <c r="Z1530" s="289" t="s">
        <v>410</v>
      </c>
      <c r="AA1530" s="289" t="s">
        <v>3044</v>
      </c>
      <c r="AB1530" s="289"/>
      <c r="AC1530" s="289"/>
      <c r="AD1530" s="289" t="s">
        <v>1446</v>
      </c>
      <c r="AE1530" s="289" t="s">
        <v>410</v>
      </c>
      <c r="AF1530" s="290" t="s">
        <v>1447</v>
      </c>
      <c r="AG1530" s="289"/>
      <c r="AH1530" s="290" t="s">
        <v>1448</v>
      </c>
      <c r="AI1530" s="289">
        <v>4</v>
      </c>
      <c r="AJ1530" s="289">
        <v>0</v>
      </c>
    </row>
    <row r="1531" spans="2:36">
      <c r="B1531" s="290">
        <v>2111</v>
      </c>
      <c r="C1531" s="294">
        <v>6622</v>
      </c>
      <c r="D1531" s="290" t="s">
        <v>944</v>
      </c>
      <c r="E1531" s="289" t="s">
        <v>2621</v>
      </c>
      <c r="F1531" s="290">
        <v>360</v>
      </c>
      <c r="G1531" s="289"/>
      <c r="H1531" s="289"/>
      <c r="I1531" s="289"/>
      <c r="J1531" s="289">
        <v>0</v>
      </c>
      <c r="K1531" s="289"/>
      <c r="L1531" s="289"/>
      <c r="M1531" s="289"/>
      <c r="N1531" s="293">
        <v>35202</v>
      </c>
      <c r="O1531" s="293">
        <v>35202</v>
      </c>
      <c r="P1531" s="289"/>
      <c r="Q1531" s="290">
        <v>500</v>
      </c>
      <c r="R1531" s="290">
        <v>14050</v>
      </c>
      <c r="S1531" s="291">
        <v>20041.740000000002</v>
      </c>
      <c r="T1531" s="290">
        <v>14056</v>
      </c>
      <c r="U1531" s="291">
        <v>20041.740000000002</v>
      </c>
      <c r="V1531" s="291">
        <f t="shared" si="23"/>
        <v>0</v>
      </c>
      <c r="W1531" s="292">
        <v>0</v>
      </c>
      <c r="X1531" s="290">
        <v>54260</v>
      </c>
      <c r="Y1531" s="291">
        <v>0</v>
      </c>
      <c r="Z1531" s="289" t="s">
        <v>410</v>
      </c>
      <c r="AA1531" s="289" t="s">
        <v>3044</v>
      </c>
      <c r="AB1531" s="289"/>
      <c r="AC1531" s="289"/>
      <c r="AD1531" s="289" t="s">
        <v>1446</v>
      </c>
      <c r="AE1531" s="289" t="s">
        <v>410</v>
      </c>
      <c r="AF1531" s="290" t="s">
        <v>1447</v>
      </c>
      <c r="AG1531" s="289"/>
      <c r="AH1531" s="290" t="s">
        <v>1448</v>
      </c>
      <c r="AI1531" s="289">
        <v>0</v>
      </c>
      <c r="AJ1531" s="289">
        <v>0</v>
      </c>
    </row>
    <row r="1532" spans="2:36">
      <c r="B1532" s="290">
        <v>2111</v>
      </c>
      <c r="C1532" s="294">
        <v>6620</v>
      </c>
      <c r="D1532" s="290" t="s">
        <v>944</v>
      </c>
      <c r="E1532" s="289" t="s">
        <v>2621</v>
      </c>
      <c r="F1532" s="290">
        <v>360</v>
      </c>
      <c r="G1532" s="289"/>
      <c r="H1532" s="289"/>
      <c r="I1532" s="289"/>
      <c r="J1532" s="289">
        <v>0</v>
      </c>
      <c r="K1532" s="289"/>
      <c r="L1532" s="289"/>
      <c r="M1532" s="289"/>
      <c r="N1532" s="293">
        <v>35188</v>
      </c>
      <c r="O1532" s="293">
        <v>35188</v>
      </c>
      <c r="P1532" s="289"/>
      <c r="Q1532" s="290">
        <v>500</v>
      </c>
      <c r="R1532" s="290">
        <v>14050</v>
      </c>
      <c r="S1532" s="291">
        <v>20004.66</v>
      </c>
      <c r="T1532" s="290">
        <v>14056</v>
      </c>
      <c r="U1532" s="291">
        <v>20004.66</v>
      </c>
      <c r="V1532" s="291">
        <f t="shared" si="23"/>
        <v>0</v>
      </c>
      <c r="W1532" s="292">
        <v>0</v>
      </c>
      <c r="X1532" s="290">
        <v>54260</v>
      </c>
      <c r="Y1532" s="291">
        <v>0</v>
      </c>
      <c r="Z1532" s="289" t="s">
        <v>410</v>
      </c>
      <c r="AA1532" s="289" t="s">
        <v>3044</v>
      </c>
      <c r="AB1532" s="289"/>
      <c r="AC1532" s="289"/>
      <c r="AD1532" s="289" t="s">
        <v>1446</v>
      </c>
      <c r="AE1532" s="289" t="s">
        <v>410</v>
      </c>
      <c r="AF1532" s="290" t="s">
        <v>1447</v>
      </c>
      <c r="AG1532" s="289"/>
      <c r="AH1532" s="290" t="s">
        <v>1448</v>
      </c>
      <c r="AI1532" s="289">
        <v>0</v>
      </c>
      <c r="AJ1532" s="289">
        <v>0</v>
      </c>
    </row>
    <row r="1533" spans="2:36">
      <c r="B1533" s="290">
        <v>2111</v>
      </c>
      <c r="C1533" s="294">
        <v>6619</v>
      </c>
      <c r="D1533" s="290" t="s">
        <v>944</v>
      </c>
      <c r="E1533" s="289" t="s">
        <v>2621</v>
      </c>
      <c r="F1533" s="290">
        <v>360</v>
      </c>
      <c r="G1533" s="289"/>
      <c r="H1533" s="289"/>
      <c r="I1533" s="289"/>
      <c r="J1533" s="289">
        <v>0</v>
      </c>
      <c r="K1533" s="289"/>
      <c r="L1533" s="289"/>
      <c r="M1533" s="289"/>
      <c r="N1533" s="293">
        <v>35167</v>
      </c>
      <c r="O1533" s="293">
        <v>35167</v>
      </c>
      <c r="P1533" s="289"/>
      <c r="Q1533" s="290">
        <v>500</v>
      </c>
      <c r="R1533" s="290">
        <v>14050</v>
      </c>
      <c r="S1533" s="291">
        <v>20004.66</v>
      </c>
      <c r="T1533" s="290">
        <v>14056</v>
      </c>
      <c r="U1533" s="291">
        <v>20004.66</v>
      </c>
      <c r="V1533" s="291">
        <f t="shared" si="23"/>
        <v>0</v>
      </c>
      <c r="W1533" s="292">
        <v>0</v>
      </c>
      <c r="X1533" s="290">
        <v>54260</v>
      </c>
      <c r="Y1533" s="291">
        <v>0</v>
      </c>
      <c r="Z1533" s="289" t="s">
        <v>410</v>
      </c>
      <c r="AA1533" s="289" t="s">
        <v>3044</v>
      </c>
      <c r="AB1533" s="289"/>
      <c r="AC1533" s="289"/>
      <c r="AD1533" s="289" t="s">
        <v>1446</v>
      </c>
      <c r="AE1533" s="289" t="s">
        <v>410</v>
      </c>
      <c r="AF1533" s="290" t="s">
        <v>1447</v>
      </c>
      <c r="AG1533" s="289"/>
      <c r="AH1533" s="290" t="s">
        <v>1448</v>
      </c>
      <c r="AI1533" s="289">
        <v>0</v>
      </c>
      <c r="AJ1533" s="289">
        <v>0</v>
      </c>
    </row>
    <row r="1534" spans="2:36">
      <c r="B1534" s="290">
        <v>2111</v>
      </c>
      <c r="C1534" s="294">
        <v>6618</v>
      </c>
      <c r="D1534" s="290" t="s">
        <v>944</v>
      </c>
      <c r="E1534" s="289" t="s">
        <v>2621</v>
      </c>
      <c r="F1534" s="290">
        <v>360</v>
      </c>
      <c r="G1534" s="289"/>
      <c r="H1534" s="289"/>
      <c r="I1534" s="289"/>
      <c r="J1534" s="289">
        <v>0</v>
      </c>
      <c r="K1534" s="289"/>
      <c r="L1534" s="289"/>
      <c r="M1534" s="289"/>
      <c r="N1534" s="293">
        <v>35152</v>
      </c>
      <c r="O1534" s="293">
        <v>35152</v>
      </c>
      <c r="P1534" s="289"/>
      <c r="Q1534" s="290">
        <v>500</v>
      </c>
      <c r="R1534" s="290">
        <v>14050</v>
      </c>
      <c r="S1534" s="291">
        <v>20004.66</v>
      </c>
      <c r="T1534" s="290">
        <v>14056</v>
      </c>
      <c r="U1534" s="291">
        <v>20004.66</v>
      </c>
      <c r="V1534" s="291">
        <f t="shared" si="23"/>
        <v>0</v>
      </c>
      <c r="W1534" s="292">
        <v>0</v>
      </c>
      <c r="X1534" s="290">
        <v>54260</v>
      </c>
      <c r="Y1534" s="291">
        <v>0</v>
      </c>
      <c r="Z1534" s="289" t="s">
        <v>410</v>
      </c>
      <c r="AA1534" s="289" t="s">
        <v>3044</v>
      </c>
      <c r="AB1534" s="289"/>
      <c r="AC1534" s="289"/>
      <c r="AD1534" s="289" t="s">
        <v>1446</v>
      </c>
      <c r="AE1534" s="289" t="s">
        <v>410</v>
      </c>
      <c r="AF1534" s="290" t="s">
        <v>1447</v>
      </c>
      <c r="AG1534" s="289"/>
      <c r="AH1534" s="290" t="s">
        <v>1448</v>
      </c>
      <c r="AI1534" s="289">
        <v>0</v>
      </c>
      <c r="AJ1534" s="289">
        <v>0</v>
      </c>
    </row>
    <row r="1535" spans="2:36">
      <c r="B1535" s="290">
        <v>2111</v>
      </c>
      <c r="C1535" s="294">
        <v>6617</v>
      </c>
      <c r="D1535" s="290" t="s">
        <v>944</v>
      </c>
      <c r="E1535" s="289" t="s">
        <v>2621</v>
      </c>
      <c r="F1535" s="290">
        <v>360</v>
      </c>
      <c r="G1535" s="289"/>
      <c r="H1535" s="289"/>
      <c r="I1535" s="289"/>
      <c r="J1535" s="289">
        <v>0</v>
      </c>
      <c r="K1535" s="289"/>
      <c r="L1535" s="289"/>
      <c r="M1535" s="289"/>
      <c r="N1535" s="293">
        <v>35150</v>
      </c>
      <c r="O1535" s="293">
        <v>35150</v>
      </c>
      <c r="P1535" s="289"/>
      <c r="Q1535" s="290">
        <v>500</v>
      </c>
      <c r="R1535" s="290">
        <v>14050</v>
      </c>
      <c r="S1535" s="291">
        <v>20004.66</v>
      </c>
      <c r="T1535" s="290">
        <v>14056</v>
      </c>
      <c r="U1535" s="291">
        <v>20004.66</v>
      </c>
      <c r="V1535" s="291">
        <f t="shared" si="23"/>
        <v>0</v>
      </c>
      <c r="W1535" s="292">
        <v>0</v>
      </c>
      <c r="X1535" s="290">
        <v>54260</v>
      </c>
      <c r="Y1535" s="291">
        <v>0</v>
      </c>
      <c r="Z1535" s="289" t="s">
        <v>410</v>
      </c>
      <c r="AA1535" s="289" t="s">
        <v>3044</v>
      </c>
      <c r="AB1535" s="289"/>
      <c r="AC1535" s="289"/>
      <c r="AD1535" s="289" t="s">
        <v>1446</v>
      </c>
      <c r="AE1535" s="289" t="s">
        <v>410</v>
      </c>
      <c r="AF1535" s="290" t="s">
        <v>1447</v>
      </c>
      <c r="AG1535" s="289"/>
      <c r="AH1535" s="290" t="s">
        <v>1448</v>
      </c>
      <c r="AI1535" s="289">
        <v>0</v>
      </c>
      <c r="AJ1535" s="289">
        <v>0</v>
      </c>
    </row>
    <row r="1536" spans="2:36">
      <c r="B1536" s="290">
        <v>2111</v>
      </c>
      <c r="C1536" s="294">
        <v>6616</v>
      </c>
      <c r="D1536" s="290" t="s">
        <v>944</v>
      </c>
      <c r="E1536" s="289" t="s">
        <v>3920</v>
      </c>
      <c r="F1536" s="290">
        <v>3</v>
      </c>
      <c r="G1536" s="289"/>
      <c r="H1536" s="289"/>
      <c r="I1536" s="289"/>
      <c r="J1536" s="289">
        <v>0</v>
      </c>
      <c r="K1536" s="289"/>
      <c r="L1536" s="289"/>
      <c r="M1536" s="289" t="s">
        <v>1667</v>
      </c>
      <c r="N1536" s="293">
        <v>35108</v>
      </c>
      <c r="O1536" s="293">
        <v>35108</v>
      </c>
      <c r="P1536" s="289"/>
      <c r="Q1536" s="290">
        <v>1200</v>
      </c>
      <c r="R1536" s="290">
        <v>14050</v>
      </c>
      <c r="S1536" s="291">
        <v>11838.92</v>
      </c>
      <c r="T1536" s="290">
        <v>14056</v>
      </c>
      <c r="U1536" s="291">
        <v>11838.92</v>
      </c>
      <c r="V1536" s="291">
        <f t="shared" si="23"/>
        <v>0</v>
      </c>
      <c r="W1536" s="292">
        <v>0</v>
      </c>
      <c r="X1536" s="290">
        <v>54260</v>
      </c>
      <c r="Y1536" s="291">
        <v>0</v>
      </c>
      <c r="Z1536" s="289" t="s">
        <v>410</v>
      </c>
      <c r="AA1536" s="289" t="s">
        <v>3044</v>
      </c>
      <c r="AB1536" s="289"/>
      <c r="AC1536" s="289"/>
      <c r="AD1536" s="289" t="s">
        <v>1446</v>
      </c>
      <c r="AE1536" s="289" t="s">
        <v>410</v>
      </c>
      <c r="AF1536" s="290" t="s">
        <v>1447</v>
      </c>
      <c r="AG1536" s="289"/>
      <c r="AH1536" s="290" t="s">
        <v>1448</v>
      </c>
      <c r="AI1536" s="289">
        <v>0</v>
      </c>
      <c r="AJ1536" s="289">
        <v>0</v>
      </c>
    </row>
    <row r="1537" spans="2:36">
      <c r="B1537" s="290">
        <v>2111</v>
      </c>
      <c r="C1537" s="294">
        <v>6615</v>
      </c>
      <c r="D1537" s="290" t="s">
        <v>944</v>
      </c>
      <c r="E1537" s="289" t="s">
        <v>2621</v>
      </c>
      <c r="F1537" s="290">
        <v>436</v>
      </c>
      <c r="G1537" s="289"/>
      <c r="H1537" s="289"/>
      <c r="I1537" s="289"/>
      <c r="J1537" s="289">
        <v>0</v>
      </c>
      <c r="K1537" s="289"/>
      <c r="L1537" s="289"/>
      <c r="M1537" s="289"/>
      <c r="N1537" s="293">
        <v>34981</v>
      </c>
      <c r="O1537" s="293">
        <v>34981</v>
      </c>
      <c r="P1537" s="289"/>
      <c r="Q1537" s="290">
        <v>500</v>
      </c>
      <c r="R1537" s="290">
        <v>14050</v>
      </c>
      <c r="S1537" s="291">
        <v>24933.53</v>
      </c>
      <c r="T1537" s="290">
        <v>14056</v>
      </c>
      <c r="U1537" s="291">
        <v>24933.53</v>
      </c>
      <c r="V1537" s="291">
        <f t="shared" si="23"/>
        <v>0</v>
      </c>
      <c r="W1537" s="292">
        <v>0</v>
      </c>
      <c r="X1537" s="290">
        <v>54260</v>
      </c>
      <c r="Y1537" s="291">
        <v>0</v>
      </c>
      <c r="Z1537" s="289" t="s">
        <v>410</v>
      </c>
      <c r="AA1537" s="289" t="s">
        <v>3044</v>
      </c>
      <c r="AB1537" s="289"/>
      <c r="AC1537" s="289"/>
      <c r="AD1537" s="289" t="s">
        <v>1446</v>
      </c>
      <c r="AE1537" s="289" t="s">
        <v>410</v>
      </c>
      <c r="AF1537" s="290" t="s">
        <v>1447</v>
      </c>
      <c r="AG1537" s="289"/>
      <c r="AH1537" s="290" t="s">
        <v>1448</v>
      </c>
      <c r="AI1537" s="289">
        <v>0</v>
      </c>
      <c r="AJ1537" s="289">
        <v>0</v>
      </c>
    </row>
    <row r="1538" spans="2:36">
      <c r="B1538" s="290">
        <v>2111</v>
      </c>
      <c r="C1538" s="294">
        <v>6614</v>
      </c>
      <c r="D1538" s="290" t="s">
        <v>944</v>
      </c>
      <c r="E1538" s="289" t="s">
        <v>3921</v>
      </c>
      <c r="F1538" s="290">
        <v>4106</v>
      </c>
      <c r="G1538" s="289"/>
      <c r="H1538" s="289"/>
      <c r="I1538" s="289"/>
      <c r="J1538" s="289">
        <v>0</v>
      </c>
      <c r="K1538" s="289"/>
      <c r="L1538" s="289"/>
      <c r="M1538" s="289"/>
      <c r="N1538" s="293">
        <v>34875</v>
      </c>
      <c r="O1538" s="293">
        <v>34875</v>
      </c>
      <c r="P1538" s="289"/>
      <c r="Q1538" s="290">
        <v>500</v>
      </c>
      <c r="R1538" s="290">
        <v>14050</v>
      </c>
      <c r="S1538" s="291">
        <v>28204.3</v>
      </c>
      <c r="T1538" s="290">
        <v>14056</v>
      </c>
      <c r="U1538" s="291">
        <v>28204.3</v>
      </c>
      <c r="V1538" s="291">
        <f t="shared" si="23"/>
        <v>0</v>
      </c>
      <c r="W1538" s="292">
        <v>0</v>
      </c>
      <c r="X1538" s="290">
        <v>54260</v>
      </c>
      <c r="Y1538" s="291">
        <v>0</v>
      </c>
      <c r="Z1538" s="289" t="s">
        <v>410</v>
      </c>
      <c r="AA1538" s="289" t="s">
        <v>3044</v>
      </c>
      <c r="AB1538" s="289"/>
      <c r="AC1538" s="289"/>
      <c r="AD1538" s="289" t="s">
        <v>1446</v>
      </c>
      <c r="AE1538" s="289" t="s">
        <v>410</v>
      </c>
      <c r="AF1538" s="290" t="s">
        <v>1447</v>
      </c>
      <c r="AG1538" s="289"/>
      <c r="AH1538" s="290" t="s">
        <v>1448</v>
      </c>
      <c r="AI1538" s="289">
        <v>0</v>
      </c>
      <c r="AJ1538" s="289">
        <v>0</v>
      </c>
    </row>
    <row r="1539" spans="2:36">
      <c r="B1539" s="290">
        <v>2111</v>
      </c>
      <c r="C1539" s="294">
        <v>6611</v>
      </c>
      <c r="D1539" s="290" t="s">
        <v>944</v>
      </c>
      <c r="E1539" s="289" t="s">
        <v>3916</v>
      </c>
      <c r="F1539" s="290">
        <v>10</v>
      </c>
      <c r="G1539" s="289"/>
      <c r="H1539" s="289"/>
      <c r="I1539" s="289"/>
      <c r="J1539" s="289">
        <v>0</v>
      </c>
      <c r="K1539" s="289"/>
      <c r="L1539" s="289"/>
      <c r="M1539" s="289" t="s">
        <v>1918</v>
      </c>
      <c r="N1539" s="293">
        <v>34853</v>
      </c>
      <c r="O1539" s="293">
        <v>34853</v>
      </c>
      <c r="P1539" s="289"/>
      <c r="Q1539" s="290">
        <v>1200</v>
      </c>
      <c r="R1539" s="290">
        <v>14050</v>
      </c>
      <c r="S1539" s="291">
        <v>2589.6</v>
      </c>
      <c r="T1539" s="290">
        <v>14056</v>
      </c>
      <c r="U1539" s="291">
        <v>2589.6</v>
      </c>
      <c r="V1539" s="291">
        <f t="shared" si="23"/>
        <v>0</v>
      </c>
      <c r="W1539" s="292">
        <v>0</v>
      </c>
      <c r="X1539" s="290">
        <v>54260</v>
      </c>
      <c r="Y1539" s="291">
        <v>0</v>
      </c>
      <c r="Z1539" s="289" t="s">
        <v>410</v>
      </c>
      <c r="AA1539" s="289" t="s">
        <v>3044</v>
      </c>
      <c r="AB1539" s="289"/>
      <c r="AC1539" s="289"/>
      <c r="AD1539" s="289" t="s">
        <v>1446</v>
      </c>
      <c r="AE1539" s="289" t="s">
        <v>410</v>
      </c>
      <c r="AF1539" s="290" t="s">
        <v>1447</v>
      </c>
      <c r="AG1539" s="289"/>
      <c r="AH1539" s="290" t="s">
        <v>1448</v>
      </c>
      <c r="AI1539" s="289">
        <v>0</v>
      </c>
      <c r="AJ1539" s="289">
        <v>0</v>
      </c>
    </row>
    <row r="1540" spans="2:36">
      <c r="B1540" s="290">
        <v>2111</v>
      </c>
      <c r="C1540" s="294">
        <v>6609</v>
      </c>
      <c r="D1540" s="290" t="s">
        <v>944</v>
      </c>
      <c r="E1540" s="289" t="s">
        <v>2621</v>
      </c>
      <c r="F1540" s="290">
        <v>40</v>
      </c>
      <c r="G1540" s="289"/>
      <c r="H1540" s="289"/>
      <c r="I1540" s="289"/>
      <c r="J1540" s="289">
        <v>0</v>
      </c>
      <c r="K1540" s="289"/>
      <c r="L1540" s="289"/>
      <c r="M1540" s="289"/>
      <c r="N1540" s="293">
        <v>34785</v>
      </c>
      <c r="O1540" s="293">
        <v>34785</v>
      </c>
      <c r="P1540" s="289"/>
      <c r="Q1540" s="290">
        <v>500</v>
      </c>
      <c r="R1540" s="290">
        <v>14050</v>
      </c>
      <c r="S1540" s="291">
        <v>2287.48</v>
      </c>
      <c r="T1540" s="290">
        <v>14056</v>
      </c>
      <c r="U1540" s="291">
        <v>2287.48</v>
      </c>
      <c r="V1540" s="291">
        <f t="shared" si="23"/>
        <v>0</v>
      </c>
      <c r="W1540" s="292">
        <v>0</v>
      </c>
      <c r="X1540" s="290">
        <v>54260</v>
      </c>
      <c r="Y1540" s="291">
        <v>0</v>
      </c>
      <c r="Z1540" s="289" t="s">
        <v>410</v>
      </c>
      <c r="AA1540" s="289" t="s">
        <v>3044</v>
      </c>
      <c r="AB1540" s="289"/>
      <c r="AC1540" s="289"/>
      <c r="AD1540" s="289" t="s">
        <v>1446</v>
      </c>
      <c r="AE1540" s="289" t="s">
        <v>410</v>
      </c>
      <c r="AF1540" s="290" t="s">
        <v>1447</v>
      </c>
      <c r="AG1540" s="289"/>
      <c r="AH1540" s="290" t="s">
        <v>1448</v>
      </c>
      <c r="AI1540" s="289">
        <v>2</v>
      </c>
      <c r="AJ1540" s="289">
        <v>0</v>
      </c>
    </row>
    <row r="1541" spans="2:36">
      <c r="B1541" s="290">
        <v>2111</v>
      </c>
      <c r="C1541" s="294">
        <v>6608</v>
      </c>
      <c r="D1541" s="290" t="s">
        <v>944</v>
      </c>
      <c r="E1541" s="289" t="s">
        <v>2621</v>
      </c>
      <c r="F1541" s="290">
        <v>170</v>
      </c>
      <c r="G1541" s="289"/>
      <c r="H1541" s="289"/>
      <c r="I1541" s="289"/>
      <c r="J1541" s="289">
        <v>0</v>
      </c>
      <c r="K1541" s="289"/>
      <c r="L1541" s="289"/>
      <c r="M1541" s="289"/>
      <c r="N1541" s="293">
        <v>34761</v>
      </c>
      <c r="O1541" s="293">
        <v>34761</v>
      </c>
      <c r="P1541" s="289"/>
      <c r="Q1541" s="290">
        <v>500</v>
      </c>
      <c r="R1541" s="290">
        <v>14050</v>
      </c>
      <c r="S1541" s="291">
        <v>9721.7900000000009</v>
      </c>
      <c r="T1541" s="290">
        <v>14056</v>
      </c>
      <c r="U1541" s="291">
        <v>9721.7900000000009</v>
      </c>
      <c r="V1541" s="291">
        <f t="shared" si="23"/>
        <v>0</v>
      </c>
      <c r="W1541" s="292">
        <v>0</v>
      </c>
      <c r="X1541" s="290">
        <v>54260</v>
      </c>
      <c r="Y1541" s="291">
        <v>0</v>
      </c>
      <c r="Z1541" s="289" t="s">
        <v>410</v>
      </c>
      <c r="AA1541" s="289" t="s">
        <v>3044</v>
      </c>
      <c r="AB1541" s="289"/>
      <c r="AC1541" s="289"/>
      <c r="AD1541" s="289" t="s">
        <v>1446</v>
      </c>
      <c r="AE1541" s="289" t="s">
        <v>410</v>
      </c>
      <c r="AF1541" s="290" t="s">
        <v>1447</v>
      </c>
      <c r="AG1541" s="289"/>
      <c r="AH1541" s="290" t="s">
        <v>1448</v>
      </c>
      <c r="AI1541" s="289">
        <v>0</v>
      </c>
      <c r="AJ1541" s="289">
        <v>0</v>
      </c>
    </row>
    <row r="1542" spans="2:36">
      <c r="B1542" s="290">
        <v>2111</v>
      </c>
      <c r="C1542" s="294">
        <v>6606</v>
      </c>
      <c r="D1542" s="290" t="s">
        <v>944</v>
      </c>
      <c r="E1542" s="289" t="s">
        <v>2617</v>
      </c>
      <c r="F1542" s="290">
        <v>2</v>
      </c>
      <c r="G1542" s="289"/>
      <c r="H1542" s="289"/>
      <c r="I1542" s="289"/>
      <c r="J1542" s="289">
        <v>0</v>
      </c>
      <c r="K1542" s="289"/>
      <c r="L1542" s="289"/>
      <c r="M1542" s="289" t="s">
        <v>1670</v>
      </c>
      <c r="N1542" s="293">
        <v>34650</v>
      </c>
      <c r="O1542" s="293">
        <v>34650</v>
      </c>
      <c r="P1542" s="289"/>
      <c r="Q1542" s="290">
        <v>1200</v>
      </c>
      <c r="R1542" s="290">
        <v>14050</v>
      </c>
      <c r="S1542" s="291">
        <v>5408.16</v>
      </c>
      <c r="T1542" s="290">
        <v>14056</v>
      </c>
      <c r="U1542" s="291">
        <v>5408.16</v>
      </c>
      <c r="V1542" s="291">
        <f t="shared" si="23"/>
        <v>0</v>
      </c>
      <c r="W1542" s="292">
        <v>0</v>
      </c>
      <c r="X1542" s="290">
        <v>54260</v>
      </c>
      <c r="Y1542" s="291">
        <v>0</v>
      </c>
      <c r="Z1542" s="289" t="s">
        <v>410</v>
      </c>
      <c r="AA1542" s="289" t="s">
        <v>3044</v>
      </c>
      <c r="AB1542" s="289"/>
      <c r="AC1542" s="289"/>
      <c r="AD1542" s="289" t="s">
        <v>1446</v>
      </c>
      <c r="AE1542" s="289" t="s">
        <v>410</v>
      </c>
      <c r="AF1542" s="290" t="s">
        <v>1447</v>
      </c>
      <c r="AG1542" s="289"/>
      <c r="AH1542" s="290" t="s">
        <v>1448</v>
      </c>
      <c r="AI1542" s="289">
        <v>0</v>
      </c>
      <c r="AJ1542" s="289">
        <v>0</v>
      </c>
    </row>
    <row r="1543" spans="2:36">
      <c r="B1543" s="290">
        <v>2111</v>
      </c>
      <c r="C1543" s="294">
        <v>6605</v>
      </c>
      <c r="D1543" s="290" t="s">
        <v>944</v>
      </c>
      <c r="E1543" s="289" t="s">
        <v>3922</v>
      </c>
      <c r="F1543" s="290">
        <v>25</v>
      </c>
      <c r="G1543" s="289"/>
      <c r="H1543" s="289"/>
      <c r="I1543" s="289"/>
      <c r="J1543" s="289">
        <v>0</v>
      </c>
      <c r="K1543" s="289"/>
      <c r="L1543" s="289"/>
      <c r="M1543" s="289" t="s">
        <v>1662</v>
      </c>
      <c r="N1543" s="293">
        <v>34591</v>
      </c>
      <c r="O1543" s="293">
        <v>34591</v>
      </c>
      <c r="P1543" s="289"/>
      <c r="Q1543" s="290">
        <v>1200</v>
      </c>
      <c r="R1543" s="290">
        <v>14050</v>
      </c>
      <c r="S1543" s="291">
        <v>8092.5</v>
      </c>
      <c r="T1543" s="290">
        <v>14056</v>
      </c>
      <c r="U1543" s="291">
        <v>8092.5</v>
      </c>
      <c r="V1543" s="291">
        <f t="shared" si="23"/>
        <v>0</v>
      </c>
      <c r="W1543" s="292">
        <v>0</v>
      </c>
      <c r="X1543" s="290">
        <v>54260</v>
      </c>
      <c r="Y1543" s="291">
        <v>0</v>
      </c>
      <c r="Z1543" s="289" t="s">
        <v>410</v>
      </c>
      <c r="AA1543" s="289" t="s">
        <v>3044</v>
      </c>
      <c r="AB1543" s="289"/>
      <c r="AC1543" s="289"/>
      <c r="AD1543" s="289" t="s">
        <v>1446</v>
      </c>
      <c r="AE1543" s="289" t="s">
        <v>410</v>
      </c>
      <c r="AF1543" s="290" t="s">
        <v>1447</v>
      </c>
      <c r="AG1543" s="289"/>
      <c r="AH1543" s="290" t="s">
        <v>1448</v>
      </c>
      <c r="AI1543" s="289">
        <v>0</v>
      </c>
      <c r="AJ1543" s="289">
        <v>0</v>
      </c>
    </row>
    <row r="1544" spans="2:36">
      <c r="B1544" s="290">
        <v>2111</v>
      </c>
      <c r="C1544" s="294">
        <v>6603</v>
      </c>
      <c r="D1544" s="290" t="s">
        <v>944</v>
      </c>
      <c r="E1544" s="289" t="s">
        <v>3922</v>
      </c>
      <c r="F1544" s="290">
        <v>25</v>
      </c>
      <c r="G1544" s="289"/>
      <c r="H1544" s="289"/>
      <c r="I1544" s="289"/>
      <c r="J1544" s="289">
        <v>0</v>
      </c>
      <c r="K1544" s="289"/>
      <c r="L1544" s="289"/>
      <c r="M1544" s="289" t="s">
        <v>1662</v>
      </c>
      <c r="N1544" s="293">
        <v>34576</v>
      </c>
      <c r="O1544" s="293">
        <v>34576</v>
      </c>
      <c r="P1544" s="289"/>
      <c r="Q1544" s="290">
        <v>1200</v>
      </c>
      <c r="R1544" s="290">
        <v>14050</v>
      </c>
      <c r="S1544" s="291">
        <v>8092.5</v>
      </c>
      <c r="T1544" s="290">
        <v>14056</v>
      </c>
      <c r="U1544" s="291">
        <v>8092.5</v>
      </c>
      <c r="V1544" s="291">
        <f t="shared" si="23"/>
        <v>0</v>
      </c>
      <c r="W1544" s="292">
        <v>0</v>
      </c>
      <c r="X1544" s="290">
        <v>54260</v>
      </c>
      <c r="Y1544" s="291">
        <v>0</v>
      </c>
      <c r="Z1544" s="289" t="s">
        <v>410</v>
      </c>
      <c r="AA1544" s="289" t="s">
        <v>3044</v>
      </c>
      <c r="AB1544" s="289"/>
      <c r="AC1544" s="289"/>
      <c r="AD1544" s="289" t="s">
        <v>1446</v>
      </c>
      <c r="AE1544" s="289" t="s">
        <v>410</v>
      </c>
      <c r="AF1544" s="290" t="s">
        <v>1447</v>
      </c>
      <c r="AG1544" s="289"/>
      <c r="AH1544" s="290" t="s">
        <v>1448</v>
      </c>
      <c r="AI1544" s="289">
        <v>0</v>
      </c>
      <c r="AJ1544" s="289">
        <v>0</v>
      </c>
    </row>
    <row r="1545" spans="2:36">
      <c r="B1545" s="290">
        <v>2111</v>
      </c>
      <c r="C1545" s="294">
        <v>6602</v>
      </c>
      <c r="D1545" s="290" t="s">
        <v>944</v>
      </c>
      <c r="E1545" s="289" t="s">
        <v>2619</v>
      </c>
      <c r="F1545" s="290">
        <v>22</v>
      </c>
      <c r="G1545" s="289"/>
      <c r="H1545" s="289"/>
      <c r="I1545" s="289"/>
      <c r="J1545" s="289">
        <v>0</v>
      </c>
      <c r="K1545" s="289"/>
      <c r="L1545" s="289"/>
      <c r="M1545" s="289" t="s">
        <v>1659</v>
      </c>
      <c r="N1545" s="293">
        <v>34430</v>
      </c>
      <c r="O1545" s="293">
        <v>34430</v>
      </c>
      <c r="P1545" s="289"/>
      <c r="Q1545" s="290">
        <v>1200</v>
      </c>
      <c r="R1545" s="290">
        <v>14050</v>
      </c>
      <c r="S1545" s="291">
        <v>1667.06</v>
      </c>
      <c r="T1545" s="290">
        <v>14056</v>
      </c>
      <c r="U1545" s="291">
        <v>1667.06</v>
      </c>
      <c r="V1545" s="291">
        <f t="shared" si="23"/>
        <v>0</v>
      </c>
      <c r="W1545" s="292">
        <v>0</v>
      </c>
      <c r="X1545" s="290">
        <v>54260</v>
      </c>
      <c r="Y1545" s="291">
        <v>0</v>
      </c>
      <c r="Z1545" s="289" t="s">
        <v>410</v>
      </c>
      <c r="AA1545" s="289" t="s">
        <v>3044</v>
      </c>
      <c r="AB1545" s="289"/>
      <c r="AC1545" s="289"/>
      <c r="AD1545" s="289" t="s">
        <v>1446</v>
      </c>
      <c r="AE1545" s="289" t="s">
        <v>410</v>
      </c>
      <c r="AF1545" s="290" t="s">
        <v>1447</v>
      </c>
      <c r="AG1545" s="289"/>
      <c r="AH1545" s="290" t="s">
        <v>1448</v>
      </c>
      <c r="AI1545" s="289">
        <v>8</v>
      </c>
      <c r="AJ1545" s="289">
        <v>0</v>
      </c>
    </row>
    <row r="1546" spans="2:36">
      <c r="B1546" s="290">
        <v>2111</v>
      </c>
      <c r="C1546" s="294">
        <v>6601</v>
      </c>
      <c r="D1546" s="290" t="s">
        <v>944</v>
      </c>
      <c r="E1546" s="289" t="s">
        <v>3923</v>
      </c>
      <c r="F1546" s="290">
        <v>2</v>
      </c>
      <c r="G1546" s="289"/>
      <c r="H1546" s="289"/>
      <c r="I1546" s="289"/>
      <c r="J1546" s="289">
        <v>0</v>
      </c>
      <c r="K1546" s="289"/>
      <c r="L1546" s="289"/>
      <c r="M1546" s="289" t="s">
        <v>1670</v>
      </c>
      <c r="N1546" s="293">
        <v>34430</v>
      </c>
      <c r="O1546" s="293">
        <v>34430</v>
      </c>
      <c r="P1546" s="289"/>
      <c r="Q1546" s="290">
        <v>1200</v>
      </c>
      <c r="R1546" s="290">
        <v>14050</v>
      </c>
      <c r="S1546" s="291">
        <v>6503.76</v>
      </c>
      <c r="T1546" s="290">
        <v>14056</v>
      </c>
      <c r="U1546" s="291">
        <v>6503.76</v>
      </c>
      <c r="V1546" s="291">
        <f t="shared" si="23"/>
        <v>0</v>
      </c>
      <c r="W1546" s="292">
        <v>0</v>
      </c>
      <c r="X1546" s="290">
        <v>54260</v>
      </c>
      <c r="Y1546" s="291">
        <v>0</v>
      </c>
      <c r="Z1546" s="289" t="s">
        <v>410</v>
      </c>
      <c r="AA1546" s="289" t="s">
        <v>3044</v>
      </c>
      <c r="AB1546" s="289"/>
      <c r="AC1546" s="289"/>
      <c r="AD1546" s="289" t="s">
        <v>1446</v>
      </c>
      <c r="AE1546" s="289" t="s">
        <v>410</v>
      </c>
      <c r="AF1546" s="290" t="s">
        <v>1447</v>
      </c>
      <c r="AG1546" s="289"/>
      <c r="AH1546" s="290" t="s">
        <v>1448</v>
      </c>
      <c r="AI1546" s="289">
        <v>0</v>
      </c>
      <c r="AJ1546" s="289">
        <v>0</v>
      </c>
    </row>
    <row r="1547" spans="2:36">
      <c r="B1547" s="290">
        <v>2111</v>
      </c>
      <c r="C1547" s="294">
        <v>6598</v>
      </c>
      <c r="D1547" s="290" t="s">
        <v>944</v>
      </c>
      <c r="E1547" s="289" t="s">
        <v>3924</v>
      </c>
      <c r="F1547" s="290">
        <v>100</v>
      </c>
      <c r="G1547" s="289"/>
      <c r="H1547" s="289"/>
      <c r="I1547" s="289"/>
      <c r="J1547" s="289">
        <v>0</v>
      </c>
      <c r="K1547" s="289"/>
      <c r="L1547" s="289"/>
      <c r="M1547" s="289"/>
      <c r="N1547" s="293">
        <v>34324</v>
      </c>
      <c r="O1547" s="293">
        <v>34324</v>
      </c>
      <c r="P1547" s="289"/>
      <c r="Q1547" s="290">
        <v>500</v>
      </c>
      <c r="R1547" s="290">
        <v>14050</v>
      </c>
      <c r="S1547" s="291">
        <v>5497.8</v>
      </c>
      <c r="T1547" s="290">
        <v>14056</v>
      </c>
      <c r="U1547" s="291">
        <v>5497.8</v>
      </c>
      <c r="V1547" s="291">
        <f t="shared" si="23"/>
        <v>0</v>
      </c>
      <c r="W1547" s="292">
        <v>0</v>
      </c>
      <c r="X1547" s="290">
        <v>54260</v>
      </c>
      <c r="Y1547" s="291">
        <v>0</v>
      </c>
      <c r="Z1547" s="289" t="s">
        <v>410</v>
      </c>
      <c r="AA1547" s="289" t="s">
        <v>3044</v>
      </c>
      <c r="AB1547" s="289"/>
      <c r="AC1547" s="289"/>
      <c r="AD1547" s="289" t="s">
        <v>1446</v>
      </c>
      <c r="AE1547" s="289" t="s">
        <v>410</v>
      </c>
      <c r="AF1547" s="290" t="s">
        <v>1447</v>
      </c>
      <c r="AG1547" s="289"/>
      <c r="AH1547" s="290" t="s">
        <v>1448</v>
      </c>
      <c r="AI1547" s="289">
        <v>0</v>
      </c>
      <c r="AJ1547" s="289">
        <v>0</v>
      </c>
    </row>
    <row r="1548" spans="2:36">
      <c r="B1548" s="290">
        <v>2111</v>
      </c>
      <c r="C1548" s="294">
        <v>6595</v>
      </c>
      <c r="D1548" s="290" t="s">
        <v>944</v>
      </c>
      <c r="E1548" s="289" t="s">
        <v>3925</v>
      </c>
      <c r="F1548" s="290">
        <v>25</v>
      </c>
      <c r="G1548" s="289"/>
      <c r="H1548" s="289"/>
      <c r="I1548" s="289"/>
      <c r="J1548" s="289">
        <v>0</v>
      </c>
      <c r="K1548" s="289"/>
      <c r="L1548" s="289"/>
      <c r="M1548" s="289"/>
      <c r="N1548" s="293">
        <v>34178</v>
      </c>
      <c r="O1548" s="293">
        <v>34178</v>
      </c>
      <c r="P1548" s="289"/>
      <c r="Q1548" s="290">
        <v>500</v>
      </c>
      <c r="R1548" s="290">
        <v>14050</v>
      </c>
      <c r="S1548" s="291">
        <v>1391.75</v>
      </c>
      <c r="T1548" s="290">
        <v>14056</v>
      </c>
      <c r="U1548" s="291">
        <v>1391.75</v>
      </c>
      <c r="V1548" s="291">
        <f t="shared" si="23"/>
        <v>0</v>
      </c>
      <c r="W1548" s="292">
        <v>0</v>
      </c>
      <c r="X1548" s="290">
        <v>54260</v>
      </c>
      <c r="Y1548" s="291">
        <v>0</v>
      </c>
      <c r="Z1548" s="289" t="s">
        <v>410</v>
      </c>
      <c r="AA1548" s="289" t="s">
        <v>3044</v>
      </c>
      <c r="AB1548" s="289"/>
      <c r="AC1548" s="289"/>
      <c r="AD1548" s="289" t="s">
        <v>1446</v>
      </c>
      <c r="AE1548" s="289" t="s">
        <v>410</v>
      </c>
      <c r="AF1548" s="290" t="s">
        <v>1447</v>
      </c>
      <c r="AG1548" s="289"/>
      <c r="AH1548" s="290" t="s">
        <v>1448</v>
      </c>
      <c r="AI1548" s="289">
        <v>4</v>
      </c>
      <c r="AJ1548" s="289">
        <v>0</v>
      </c>
    </row>
    <row r="1549" spans="2:36">
      <c r="B1549" s="290">
        <v>2111</v>
      </c>
      <c r="C1549" s="294">
        <v>6561</v>
      </c>
      <c r="D1549" s="290" t="s">
        <v>944</v>
      </c>
      <c r="E1549" s="289" t="s">
        <v>3926</v>
      </c>
      <c r="F1549" s="290">
        <v>0</v>
      </c>
      <c r="G1549" s="289"/>
      <c r="H1549" s="289" t="s">
        <v>3438</v>
      </c>
      <c r="I1549" s="289"/>
      <c r="J1549" s="289">
        <v>1999</v>
      </c>
      <c r="K1549" s="289" t="s">
        <v>2578</v>
      </c>
      <c r="L1549" s="289" t="s">
        <v>2214</v>
      </c>
      <c r="M1549" s="289" t="s">
        <v>1467</v>
      </c>
      <c r="N1549" s="293">
        <v>36188</v>
      </c>
      <c r="O1549" s="293">
        <v>36188</v>
      </c>
      <c r="P1549" s="289"/>
      <c r="Q1549" s="290">
        <v>500</v>
      </c>
      <c r="R1549" s="290">
        <v>14040</v>
      </c>
      <c r="S1549" s="291">
        <v>12192.54</v>
      </c>
      <c r="T1549" s="290">
        <v>14046</v>
      </c>
      <c r="U1549" s="291">
        <v>12192.54</v>
      </c>
      <c r="V1549" s="291">
        <f t="shared" si="23"/>
        <v>0</v>
      </c>
      <c r="W1549" s="292">
        <v>0</v>
      </c>
      <c r="X1549" s="290">
        <v>51260</v>
      </c>
      <c r="Y1549" s="291">
        <v>0</v>
      </c>
      <c r="Z1549" s="289" t="s">
        <v>410</v>
      </c>
      <c r="AA1549" s="289" t="s">
        <v>3044</v>
      </c>
      <c r="AB1549" s="289"/>
      <c r="AC1549" s="289"/>
      <c r="AD1549" s="289" t="s">
        <v>1446</v>
      </c>
      <c r="AE1549" s="289" t="s">
        <v>410</v>
      </c>
      <c r="AF1549" s="290" t="s">
        <v>1447</v>
      </c>
      <c r="AG1549" s="289"/>
      <c r="AH1549" s="290" t="s">
        <v>1448</v>
      </c>
      <c r="AI1549" s="289">
        <v>0</v>
      </c>
      <c r="AJ1549" s="289">
        <v>0</v>
      </c>
    </row>
    <row r="1550" spans="2:36">
      <c r="B1550" s="290">
        <v>2111</v>
      </c>
      <c r="C1550" s="294">
        <v>6553</v>
      </c>
      <c r="D1550" s="290" t="s">
        <v>944</v>
      </c>
      <c r="E1550" s="289" t="s">
        <v>2625</v>
      </c>
      <c r="F1550" s="290">
        <v>1</v>
      </c>
      <c r="G1550" s="289"/>
      <c r="H1550" s="289"/>
      <c r="I1550" s="289"/>
      <c r="J1550" s="289">
        <v>0</v>
      </c>
      <c r="K1550" s="289"/>
      <c r="L1550" s="289"/>
      <c r="M1550" s="289" t="s">
        <v>1918</v>
      </c>
      <c r="N1550" s="293">
        <v>34036</v>
      </c>
      <c r="O1550" s="293">
        <v>34036</v>
      </c>
      <c r="P1550" s="289"/>
      <c r="Q1550" s="290">
        <v>1200</v>
      </c>
      <c r="R1550" s="290">
        <v>14050</v>
      </c>
      <c r="S1550" s="291">
        <v>234.05</v>
      </c>
      <c r="T1550" s="290">
        <v>14056</v>
      </c>
      <c r="U1550" s="291">
        <v>234.05</v>
      </c>
      <c r="V1550" s="291">
        <f t="shared" ref="V1550:V1557" si="24">S1550-U1550</f>
        <v>0</v>
      </c>
      <c r="W1550" s="292">
        <v>0</v>
      </c>
      <c r="X1550" s="290">
        <v>54260</v>
      </c>
      <c r="Y1550" s="291">
        <v>0</v>
      </c>
      <c r="Z1550" s="289" t="s">
        <v>410</v>
      </c>
      <c r="AA1550" s="289" t="s">
        <v>3044</v>
      </c>
      <c r="AB1550" s="289"/>
      <c r="AC1550" s="289"/>
      <c r="AD1550" s="289" t="s">
        <v>1446</v>
      </c>
      <c r="AE1550" s="289" t="s">
        <v>410</v>
      </c>
      <c r="AF1550" s="290" t="s">
        <v>1447</v>
      </c>
      <c r="AG1550" s="289"/>
      <c r="AH1550" s="290" t="s">
        <v>1448</v>
      </c>
      <c r="AI1550" s="289">
        <v>8</v>
      </c>
      <c r="AJ1550" s="289">
        <v>0</v>
      </c>
    </row>
    <row r="1551" spans="2:36">
      <c r="B1551" s="290">
        <v>2111</v>
      </c>
      <c r="C1551" s="294">
        <v>6547</v>
      </c>
      <c r="D1551" s="290" t="s">
        <v>944</v>
      </c>
      <c r="E1551" s="289" t="s">
        <v>3927</v>
      </c>
      <c r="F1551" s="290">
        <v>0</v>
      </c>
      <c r="G1551" s="289"/>
      <c r="H1551" s="289"/>
      <c r="I1551" s="289"/>
      <c r="J1551" s="289">
        <v>0</v>
      </c>
      <c r="K1551" s="289"/>
      <c r="L1551" s="289"/>
      <c r="M1551" s="289" t="s">
        <v>2428</v>
      </c>
      <c r="N1551" s="293">
        <v>33836</v>
      </c>
      <c r="O1551" s="293">
        <v>33836</v>
      </c>
      <c r="P1551" s="289"/>
      <c r="Q1551" s="290">
        <v>1200</v>
      </c>
      <c r="R1551" s="290">
        <v>14050</v>
      </c>
      <c r="S1551" s="291">
        <v>1112.17</v>
      </c>
      <c r="T1551" s="290">
        <v>14056</v>
      </c>
      <c r="U1551" s="291">
        <v>1112.17</v>
      </c>
      <c r="V1551" s="291">
        <f t="shared" si="24"/>
        <v>0</v>
      </c>
      <c r="W1551" s="292">
        <v>0</v>
      </c>
      <c r="X1551" s="290">
        <v>54260</v>
      </c>
      <c r="Y1551" s="291">
        <v>0</v>
      </c>
      <c r="Z1551" s="289" t="s">
        <v>410</v>
      </c>
      <c r="AA1551" s="289" t="s">
        <v>3044</v>
      </c>
      <c r="AB1551" s="289"/>
      <c r="AC1551" s="289"/>
      <c r="AD1551" s="289" t="s">
        <v>1446</v>
      </c>
      <c r="AE1551" s="289" t="s">
        <v>410</v>
      </c>
      <c r="AF1551" s="290" t="s">
        <v>1447</v>
      </c>
      <c r="AG1551" s="289"/>
      <c r="AH1551" s="290" t="s">
        <v>1448</v>
      </c>
      <c r="AI1551" s="289">
        <v>0</v>
      </c>
      <c r="AJ1551" s="289">
        <v>0</v>
      </c>
    </row>
    <row r="1552" spans="2:36">
      <c r="B1552" s="290">
        <v>2111</v>
      </c>
      <c r="C1552" s="294">
        <v>6546</v>
      </c>
      <c r="D1552" s="290" t="s">
        <v>944</v>
      </c>
      <c r="E1552" s="289" t="s">
        <v>3928</v>
      </c>
      <c r="F1552" s="290">
        <v>3</v>
      </c>
      <c r="G1552" s="289"/>
      <c r="H1552" s="289"/>
      <c r="I1552" s="289"/>
      <c r="J1552" s="289">
        <v>0</v>
      </c>
      <c r="K1552" s="289"/>
      <c r="L1552" s="289"/>
      <c r="M1552" s="289" t="s">
        <v>1667</v>
      </c>
      <c r="N1552" s="293">
        <v>33822</v>
      </c>
      <c r="O1552" s="293">
        <v>33822</v>
      </c>
      <c r="P1552" s="289"/>
      <c r="Q1552" s="290">
        <v>1200</v>
      </c>
      <c r="R1552" s="290">
        <v>14050</v>
      </c>
      <c r="S1552" s="291">
        <v>13129.82</v>
      </c>
      <c r="T1552" s="290">
        <v>14056</v>
      </c>
      <c r="U1552" s="291">
        <v>13129.82</v>
      </c>
      <c r="V1552" s="291">
        <f t="shared" si="24"/>
        <v>0</v>
      </c>
      <c r="W1552" s="292">
        <v>0</v>
      </c>
      <c r="X1552" s="290">
        <v>54260</v>
      </c>
      <c r="Y1552" s="291">
        <v>0</v>
      </c>
      <c r="Z1552" s="289" t="s">
        <v>410</v>
      </c>
      <c r="AA1552" s="289" t="s">
        <v>3044</v>
      </c>
      <c r="AB1552" s="289"/>
      <c r="AC1552" s="289"/>
      <c r="AD1552" s="289" t="s">
        <v>1446</v>
      </c>
      <c r="AE1552" s="289" t="s">
        <v>410</v>
      </c>
      <c r="AF1552" s="290" t="s">
        <v>1447</v>
      </c>
      <c r="AG1552" s="289"/>
      <c r="AH1552" s="290" t="s">
        <v>1448</v>
      </c>
      <c r="AI1552" s="289">
        <v>0</v>
      </c>
      <c r="AJ1552" s="289">
        <v>0</v>
      </c>
    </row>
    <row r="1553" spans="2:36">
      <c r="B1553" s="290">
        <v>2111</v>
      </c>
      <c r="C1553" s="294">
        <v>6534</v>
      </c>
      <c r="D1553" s="290" t="s">
        <v>944</v>
      </c>
      <c r="E1553" s="289" t="s">
        <v>3929</v>
      </c>
      <c r="F1553" s="290">
        <v>0</v>
      </c>
      <c r="G1553" s="289"/>
      <c r="H1553" s="289"/>
      <c r="I1553" s="289"/>
      <c r="J1553" s="289">
        <v>0</v>
      </c>
      <c r="K1553" s="289"/>
      <c r="L1553" s="289"/>
      <c r="M1553" s="289" t="s">
        <v>2428</v>
      </c>
      <c r="N1553" s="293">
        <v>33333</v>
      </c>
      <c r="O1553" s="293">
        <v>33333</v>
      </c>
      <c r="P1553" s="289"/>
      <c r="Q1553" s="290">
        <v>1200</v>
      </c>
      <c r="R1553" s="290">
        <v>14050</v>
      </c>
      <c r="S1553" s="291">
        <v>1783.75</v>
      </c>
      <c r="T1553" s="290">
        <v>14056</v>
      </c>
      <c r="U1553" s="291">
        <v>1783.75</v>
      </c>
      <c r="V1553" s="291">
        <f t="shared" si="24"/>
        <v>0</v>
      </c>
      <c r="W1553" s="292">
        <v>0</v>
      </c>
      <c r="X1553" s="290">
        <v>54260</v>
      </c>
      <c r="Y1553" s="291">
        <v>0</v>
      </c>
      <c r="Z1553" s="289" t="s">
        <v>410</v>
      </c>
      <c r="AA1553" s="289" t="s">
        <v>3044</v>
      </c>
      <c r="AB1553" s="289"/>
      <c r="AC1553" s="289"/>
      <c r="AD1553" s="289" t="s">
        <v>1446</v>
      </c>
      <c r="AE1553" s="289" t="s">
        <v>410</v>
      </c>
      <c r="AF1553" s="290" t="s">
        <v>1447</v>
      </c>
      <c r="AG1553" s="289"/>
      <c r="AH1553" s="290" t="s">
        <v>1448</v>
      </c>
      <c r="AI1553" s="289">
        <v>0</v>
      </c>
      <c r="AJ1553" s="289">
        <v>0</v>
      </c>
    </row>
    <row r="1554" spans="2:36">
      <c r="B1554" s="290">
        <v>2111</v>
      </c>
      <c r="C1554" s="294">
        <v>6510</v>
      </c>
      <c r="D1554" s="290" t="s">
        <v>944</v>
      </c>
      <c r="E1554" s="289" t="s">
        <v>1666</v>
      </c>
      <c r="F1554" s="290">
        <v>1</v>
      </c>
      <c r="G1554" s="289"/>
      <c r="H1554" s="289"/>
      <c r="I1554" s="289"/>
      <c r="J1554" s="289">
        <v>0</v>
      </c>
      <c r="K1554" s="289"/>
      <c r="L1554" s="289"/>
      <c r="M1554" s="289" t="s">
        <v>1667</v>
      </c>
      <c r="N1554" s="293">
        <v>32617</v>
      </c>
      <c r="O1554" s="293">
        <v>32617</v>
      </c>
      <c r="P1554" s="289"/>
      <c r="Q1554" s="290">
        <v>1200</v>
      </c>
      <c r="R1554" s="290">
        <v>14050</v>
      </c>
      <c r="S1554" s="291">
        <v>3412.3</v>
      </c>
      <c r="T1554" s="290">
        <v>14056</v>
      </c>
      <c r="U1554" s="291">
        <v>3412.3</v>
      </c>
      <c r="V1554" s="291">
        <f t="shared" si="24"/>
        <v>0</v>
      </c>
      <c r="W1554" s="292">
        <v>0</v>
      </c>
      <c r="X1554" s="290">
        <v>54260</v>
      </c>
      <c r="Y1554" s="291">
        <v>0</v>
      </c>
      <c r="Z1554" s="289" t="s">
        <v>410</v>
      </c>
      <c r="AA1554" s="289" t="s">
        <v>3044</v>
      </c>
      <c r="AB1554" s="289"/>
      <c r="AC1554" s="289"/>
      <c r="AD1554" s="289" t="s">
        <v>1446</v>
      </c>
      <c r="AE1554" s="289" t="s">
        <v>410</v>
      </c>
      <c r="AF1554" s="290" t="s">
        <v>1447</v>
      </c>
      <c r="AG1554" s="289"/>
      <c r="AH1554" s="290" t="s">
        <v>1448</v>
      </c>
      <c r="AI1554" s="289">
        <v>4</v>
      </c>
      <c r="AJ1554" s="289">
        <v>0</v>
      </c>
    </row>
    <row r="1555" spans="2:36">
      <c r="B1555" s="290">
        <v>2111</v>
      </c>
      <c r="C1555" s="294">
        <v>6475</v>
      </c>
      <c r="D1555" s="290" t="s">
        <v>944</v>
      </c>
      <c r="E1555" s="289" t="s">
        <v>3930</v>
      </c>
      <c r="F1555" s="290">
        <v>0</v>
      </c>
      <c r="G1555" s="289"/>
      <c r="H1555" s="289" t="s">
        <v>3914</v>
      </c>
      <c r="I1555" s="289"/>
      <c r="J1555" s="289">
        <v>1994</v>
      </c>
      <c r="K1555" s="289" t="s">
        <v>2578</v>
      </c>
      <c r="L1555" s="289" t="s">
        <v>2214</v>
      </c>
      <c r="M1555" s="289" t="s">
        <v>1467</v>
      </c>
      <c r="N1555" s="293">
        <v>34402</v>
      </c>
      <c r="O1555" s="293">
        <v>34402</v>
      </c>
      <c r="P1555" s="289"/>
      <c r="Q1555" s="290">
        <v>500</v>
      </c>
      <c r="R1555" s="290">
        <v>14040</v>
      </c>
      <c r="S1555" s="291">
        <v>18461.689999999999</v>
      </c>
      <c r="T1555" s="290">
        <v>14046</v>
      </c>
      <c r="U1555" s="291">
        <v>18461.689999999999</v>
      </c>
      <c r="V1555" s="291">
        <f t="shared" si="24"/>
        <v>0</v>
      </c>
      <c r="W1555" s="292">
        <v>0</v>
      </c>
      <c r="X1555" s="290">
        <v>51260</v>
      </c>
      <c r="Y1555" s="291">
        <v>0</v>
      </c>
      <c r="Z1555" s="289" t="s">
        <v>410</v>
      </c>
      <c r="AA1555" s="289" t="s">
        <v>3044</v>
      </c>
      <c r="AB1555" s="289"/>
      <c r="AC1555" s="289" t="s">
        <v>751</v>
      </c>
      <c r="AD1555" s="289" t="s">
        <v>1446</v>
      </c>
      <c r="AE1555" s="289" t="s">
        <v>410</v>
      </c>
      <c r="AF1555" s="290" t="s">
        <v>1447</v>
      </c>
      <c r="AG1555" s="289"/>
      <c r="AH1555" s="290" t="s">
        <v>1448</v>
      </c>
      <c r="AI1555" s="289">
        <v>0</v>
      </c>
      <c r="AJ1555" s="289">
        <v>0</v>
      </c>
    </row>
    <row r="1556" spans="2:36">
      <c r="B1556" s="290">
        <v>2111</v>
      </c>
      <c r="C1556" s="294">
        <v>6419</v>
      </c>
      <c r="D1556" s="290"/>
      <c r="E1556" s="289" t="s">
        <v>3931</v>
      </c>
      <c r="F1556" s="290">
        <v>0</v>
      </c>
      <c r="G1556" s="289"/>
      <c r="H1556" s="289"/>
      <c r="I1556" s="289"/>
      <c r="J1556" s="289">
        <v>0</v>
      </c>
      <c r="K1556" s="289"/>
      <c r="L1556" s="289"/>
      <c r="M1556" s="289"/>
      <c r="N1556" s="293">
        <v>36160</v>
      </c>
      <c r="O1556" s="293">
        <v>36160</v>
      </c>
      <c r="P1556" s="289"/>
      <c r="Q1556" s="290">
        <v>0</v>
      </c>
      <c r="R1556" s="290">
        <v>14000</v>
      </c>
      <c r="S1556" s="291">
        <v>503582.97</v>
      </c>
      <c r="T1556" s="290">
        <v>14016</v>
      </c>
      <c r="U1556" s="291">
        <v>0</v>
      </c>
      <c r="V1556" s="291">
        <f t="shared" si="24"/>
        <v>503582.97</v>
      </c>
      <c r="W1556" s="292">
        <v>0</v>
      </c>
      <c r="X1556" s="290">
        <v>57260</v>
      </c>
      <c r="Y1556" s="291">
        <v>0</v>
      </c>
      <c r="Z1556" s="289" t="s">
        <v>410</v>
      </c>
      <c r="AA1556" s="289" t="s">
        <v>3044</v>
      </c>
      <c r="AB1556" s="289"/>
      <c r="AC1556" s="289"/>
      <c r="AD1556" s="289" t="s">
        <v>1446</v>
      </c>
      <c r="AE1556" s="289" t="s">
        <v>410</v>
      </c>
      <c r="AF1556" s="290" t="s">
        <v>1660</v>
      </c>
      <c r="AG1556" s="289"/>
      <c r="AH1556" s="290" t="s">
        <v>1448</v>
      </c>
      <c r="AI1556" s="289">
        <v>2</v>
      </c>
      <c r="AJ1556" s="289">
        <v>0</v>
      </c>
    </row>
    <row r="1557" spans="2:36">
      <c r="B1557" s="290">
        <v>2111</v>
      </c>
      <c r="C1557" s="294">
        <v>4235</v>
      </c>
      <c r="D1557" s="290"/>
      <c r="E1557" s="289" t="s">
        <v>3932</v>
      </c>
      <c r="F1557" s="290">
        <v>0</v>
      </c>
      <c r="G1557" s="289"/>
      <c r="H1557" s="289"/>
      <c r="I1557" s="289"/>
      <c r="J1557" s="289">
        <v>0</v>
      </c>
      <c r="K1557" s="289" t="s">
        <v>2954</v>
      </c>
      <c r="L1557" s="289"/>
      <c r="M1557" s="289"/>
      <c r="N1557" s="293">
        <v>36525</v>
      </c>
      <c r="O1557" s="293">
        <v>36525</v>
      </c>
      <c r="P1557" s="289"/>
      <c r="Q1557" s="290">
        <v>700</v>
      </c>
      <c r="R1557" s="290">
        <v>14110</v>
      </c>
      <c r="S1557" s="291">
        <v>159.47</v>
      </c>
      <c r="T1557" s="290">
        <v>14116</v>
      </c>
      <c r="U1557" s="291">
        <v>159.47</v>
      </c>
      <c r="V1557" s="291">
        <f t="shared" si="24"/>
        <v>0</v>
      </c>
      <c r="W1557" s="292">
        <v>0</v>
      </c>
      <c r="X1557" s="290">
        <v>70260</v>
      </c>
      <c r="Y1557" s="291">
        <v>0</v>
      </c>
      <c r="Z1557" s="289" t="s">
        <v>944</v>
      </c>
      <c r="AA1557" s="289"/>
      <c r="AB1557" s="289"/>
      <c r="AC1557" s="289"/>
      <c r="AD1557" s="289" t="s">
        <v>1446</v>
      </c>
      <c r="AE1557" s="289" t="s">
        <v>410</v>
      </c>
      <c r="AF1557" s="290" t="s">
        <v>1447</v>
      </c>
      <c r="AG1557" s="289"/>
      <c r="AH1557" s="290" t="s">
        <v>1448</v>
      </c>
      <c r="AI1557" s="289">
        <v>0</v>
      </c>
      <c r="AJ1557" s="289">
        <v>0</v>
      </c>
    </row>
  </sheetData>
  <autoFilter ref="A13:AJ13" xr:uid="{00000000-0009-0000-0000-000003000000}">
    <sortState xmlns:xlrd2="http://schemas.microsoft.com/office/spreadsheetml/2017/richdata2" ref="A14:AJ1557">
      <sortCondition descending="1" ref="C13"/>
    </sortState>
  </autoFilter>
  <mergeCells count="5">
    <mergeCell ref="M9:N9"/>
    <mergeCell ref="M10:N10"/>
    <mergeCell ref="M11:N11"/>
    <mergeCell ref="C10:D10"/>
    <mergeCell ref="F9:J10"/>
  </mergeCells>
  <dataValidations count="1">
    <dataValidation type="list" allowBlank="1" showInputMessage="1" showErrorMessage="1" sqref="S9" xr:uid="{00000000-0002-0000-0300-000000000000}">
      <formula1>"P,C,All"</formula1>
    </dataValidation>
  </dataValidations>
  <pageMargins left="0.7" right="0.7" top="0.75" bottom="0.75" header="0.3" footer="0.3"/>
  <pageSetup scale="65" fitToWidth="2"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I64"/>
  <sheetViews>
    <sheetView tabSelected="1" view="pageBreakPreview" zoomScale="60" zoomScaleNormal="100" workbookViewId="0">
      <selection activeCell="H4" sqref="H4:H6"/>
    </sheetView>
  </sheetViews>
  <sheetFormatPr defaultRowHeight="15.75"/>
  <cols>
    <col min="1" max="1" width="27.88671875" bestFit="1" customWidth="1"/>
    <col min="2" max="2" width="18.109375" style="284" bestFit="1" customWidth="1"/>
    <col min="3" max="3" width="21.21875" bestFit="1" customWidth="1"/>
    <col min="4" max="5" width="19" bestFit="1" customWidth="1"/>
    <col min="6" max="6" width="31.109375" bestFit="1" customWidth="1"/>
    <col min="7" max="7" width="33" bestFit="1" customWidth="1"/>
    <col min="8" max="8" width="27.88671875" bestFit="1" customWidth="1"/>
    <col min="9" max="9" width="18.109375" bestFit="1" customWidth="1"/>
  </cols>
  <sheetData>
    <row r="1" spans="1:9">
      <c r="B1"/>
    </row>
    <row r="3" spans="1:9">
      <c r="A3" s="269" t="s">
        <v>3933</v>
      </c>
      <c r="B3" t="s">
        <v>4439</v>
      </c>
      <c r="C3" t="s">
        <v>3935</v>
      </c>
      <c r="D3" t="s">
        <v>3936</v>
      </c>
      <c r="E3" t="s">
        <v>3937</v>
      </c>
      <c r="F3" t="s">
        <v>3938</v>
      </c>
      <c r="H3" s="269" t="s">
        <v>3933</v>
      </c>
      <c r="I3" t="s">
        <v>4439</v>
      </c>
    </row>
    <row r="4" spans="1:9">
      <c r="A4" s="270" t="s">
        <v>136</v>
      </c>
      <c r="B4" s="323">
        <v>992636.69000000018</v>
      </c>
      <c r="C4" s="323">
        <v>104958.68400000001</v>
      </c>
      <c r="D4" s="323">
        <v>94805.646583326845</v>
      </c>
      <c r="E4" s="323">
        <v>199764.33058332687</v>
      </c>
      <c r="F4" s="323">
        <v>792872.35941667319</v>
      </c>
      <c r="H4" s="270" t="s">
        <v>136</v>
      </c>
      <c r="I4">
        <v>966385.00000000012</v>
      </c>
    </row>
    <row r="5" spans="1:9">
      <c r="A5" s="270" t="s">
        <v>1341</v>
      </c>
      <c r="B5" s="323">
        <v>1228278.22</v>
      </c>
      <c r="C5" s="323">
        <v>97171.088499999983</v>
      </c>
      <c r="D5" s="323">
        <v>218177.01469443931</v>
      </c>
      <c r="E5" s="323">
        <v>315348.10319443938</v>
      </c>
      <c r="F5" s="323">
        <v>912930.11680556054</v>
      </c>
      <c r="H5" s="270" t="s">
        <v>1341</v>
      </c>
      <c r="I5">
        <v>1074983.6400000001</v>
      </c>
    </row>
    <row r="6" spans="1:9">
      <c r="A6" s="270" t="s">
        <v>582</v>
      </c>
      <c r="B6" s="323">
        <v>616548.37</v>
      </c>
      <c r="C6" s="323">
        <v>68461.25295238095</v>
      </c>
      <c r="D6" s="323">
        <v>153186.11394841224</v>
      </c>
      <c r="E6" s="323">
        <v>221647.36690079319</v>
      </c>
      <c r="F6" s="323">
        <v>394901.00309920684</v>
      </c>
      <c r="H6" s="270" t="s">
        <v>582</v>
      </c>
      <c r="I6">
        <v>571369.30999999994</v>
      </c>
    </row>
    <row r="7" spans="1:9">
      <c r="A7" s="270" t="s">
        <v>130</v>
      </c>
      <c r="B7" s="323">
        <v>298919.82999999996</v>
      </c>
      <c r="C7" s="323">
        <v>5142.8571428571431</v>
      </c>
      <c r="D7" s="323">
        <v>285366.25857142854</v>
      </c>
      <c r="E7" s="323">
        <v>293776.97285714286</v>
      </c>
      <c r="F7" s="323">
        <v>5142.8571428571449</v>
      </c>
      <c r="H7" s="270" t="s">
        <v>130</v>
      </c>
      <c r="I7">
        <v>298919.82999999996</v>
      </c>
    </row>
    <row r="8" spans="1:9">
      <c r="A8" s="270" t="s">
        <v>1077</v>
      </c>
      <c r="B8" s="323">
        <v>992087.34</v>
      </c>
      <c r="C8" s="323">
        <v>99208.733999999997</v>
      </c>
      <c r="D8" s="323">
        <v>165779.94624998738</v>
      </c>
      <c r="E8" s="323">
        <v>264988.68024998734</v>
      </c>
      <c r="F8" s="323">
        <v>727098.65975001268</v>
      </c>
      <c r="H8" s="270" t="s">
        <v>1077</v>
      </c>
      <c r="I8">
        <v>992087.34</v>
      </c>
    </row>
    <row r="9" spans="1:9">
      <c r="A9" s="270" t="s">
        <v>1019</v>
      </c>
      <c r="B9" s="323">
        <v>1438164.6800000002</v>
      </c>
      <c r="C9" s="323">
        <v>205452.09714285709</v>
      </c>
      <c r="D9" s="323">
        <v>219831.81464284935</v>
      </c>
      <c r="E9" s="323">
        <v>425283.91178570659</v>
      </c>
      <c r="F9" s="323">
        <v>1012880.7682142934</v>
      </c>
      <c r="H9" s="270" t="s">
        <v>1019</v>
      </c>
      <c r="I9">
        <v>1229773.8599999999</v>
      </c>
    </row>
    <row r="10" spans="1:9">
      <c r="A10" s="270" t="s">
        <v>3939</v>
      </c>
      <c r="B10" s="323">
        <v>11544277.929999992</v>
      </c>
      <c r="C10" s="323">
        <v>1122836.7386071431</v>
      </c>
      <c r="D10" s="323">
        <v>1719581.8570832729</v>
      </c>
      <c r="E10" s="323">
        <v>2842418.5956904171</v>
      </c>
      <c r="F10" s="323">
        <v>8701859.3343095873</v>
      </c>
      <c r="H10" s="270" t="s">
        <v>3939</v>
      </c>
      <c r="I10">
        <v>11079733.329999993</v>
      </c>
    </row>
    <row r="11" spans="1:9">
      <c r="A11" s="270" t="s">
        <v>178</v>
      </c>
      <c r="B11" s="323">
        <v>404017.99</v>
      </c>
      <c r="C11" s="323">
        <v>38961.191111111111</v>
      </c>
      <c r="D11" s="323">
        <v>158268.10249999998</v>
      </c>
      <c r="E11" s="323">
        <v>204941.28861111111</v>
      </c>
      <c r="F11" s="323">
        <v>199076.70138888888</v>
      </c>
      <c r="G11" s="324"/>
      <c r="H11" s="270" t="s">
        <v>178</v>
      </c>
      <c r="I11">
        <v>404017.99</v>
      </c>
    </row>
    <row r="12" spans="1:9">
      <c r="A12" s="270" t="s">
        <v>127</v>
      </c>
      <c r="B12" s="323">
        <v>12731.400000000001</v>
      </c>
      <c r="C12" s="323">
        <v>2546.2799999999997</v>
      </c>
      <c r="D12" s="323">
        <v>0</v>
      </c>
      <c r="E12" s="323">
        <v>2546.2799999999997</v>
      </c>
      <c r="F12" s="323">
        <v>10185.119999999999</v>
      </c>
      <c r="H12" s="270" t="s">
        <v>135</v>
      </c>
      <c r="I12">
        <v>16778.759999999998</v>
      </c>
    </row>
    <row r="13" spans="1:9">
      <c r="A13" s="270" t="s">
        <v>135</v>
      </c>
      <c r="B13" s="323">
        <v>16778.759999999998</v>
      </c>
      <c r="C13" s="323">
        <v>4483.6099999999997</v>
      </c>
      <c r="D13" s="323">
        <v>9089.2966666664379</v>
      </c>
      <c r="E13" s="323">
        <v>14176.66055555542</v>
      </c>
      <c r="F13" s="323">
        <v>2602.0994444445823</v>
      </c>
      <c r="H13" s="270" t="s">
        <v>1011</v>
      </c>
      <c r="I13">
        <v>271193.56999999995</v>
      </c>
    </row>
    <row r="14" spans="1:9">
      <c r="A14" s="270" t="s">
        <v>1316</v>
      </c>
      <c r="B14" s="323">
        <v>651256.54999999993</v>
      </c>
      <c r="C14" s="323">
        <v>66642.598571428578</v>
      </c>
      <c r="D14" s="323">
        <v>223428.64964285717</v>
      </c>
      <c r="E14" s="323">
        <v>290071.2482142857</v>
      </c>
      <c r="F14" s="323">
        <v>361185.30178571423</v>
      </c>
      <c r="H14" s="270" t="s">
        <v>1276</v>
      </c>
      <c r="I14">
        <v>206303.82</v>
      </c>
    </row>
    <row r="15" spans="1:9">
      <c r="A15" s="270" t="s">
        <v>1011</v>
      </c>
      <c r="B15" s="323">
        <v>269578.19999999995</v>
      </c>
      <c r="C15" s="323">
        <v>38511.171428571426</v>
      </c>
      <c r="D15" s="323">
        <v>72359.736666664685</v>
      </c>
      <c r="E15" s="323">
        <v>110870.90809523611</v>
      </c>
      <c r="F15" s="323">
        <v>158707.29190476387</v>
      </c>
      <c r="H15" s="270" t="s">
        <v>3940</v>
      </c>
      <c r="I15">
        <v>3363620.1899999995</v>
      </c>
    </row>
    <row r="16" spans="1:9">
      <c r="A16" s="270" t="s">
        <v>3940</v>
      </c>
      <c r="B16" s="323">
        <v>3165989.8099999996</v>
      </c>
      <c r="C16" s="323">
        <v>117803.87485714286</v>
      </c>
      <c r="D16" s="323">
        <v>2884898.656100506</v>
      </c>
      <c r="E16" s="323">
        <v>3053879.0271428414</v>
      </c>
      <c r="F16" s="323">
        <v>112110.78285715812</v>
      </c>
      <c r="H16" s="270" t="s">
        <v>133</v>
      </c>
      <c r="I16">
        <v>94072.93</v>
      </c>
    </row>
    <row r="17" spans="1:9">
      <c r="A17" s="270" t="s">
        <v>126</v>
      </c>
      <c r="B17" s="323">
        <v>107841.12</v>
      </c>
      <c r="C17" s="323">
        <v>10784.112000000001</v>
      </c>
      <c r="D17" s="323">
        <v>2696.0279999999962</v>
      </c>
      <c r="E17" s="323">
        <v>13480.139999999996</v>
      </c>
      <c r="F17" s="323">
        <v>94360.98000000001</v>
      </c>
      <c r="H17" s="270" t="s">
        <v>134</v>
      </c>
      <c r="I17">
        <v>21177.74</v>
      </c>
    </row>
    <row r="18" spans="1:9">
      <c r="A18" s="270" t="s">
        <v>133</v>
      </c>
      <c r="B18" s="323">
        <v>184177.75</v>
      </c>
      <c r="C18" s="323">
        <v>17488.589666666667</v>
      </c>
      <c r="D18" s="323">
        <v>74728.144166666316</v>
      </c>
      <c r="E18" s="323">
        <v>101634.67633333299</v>
      </c>
      <c r="F18" s="323">
        <v>82543.073666667027</v>
      </c>
      <c r="H18" s="270" t="s">
        <v>4101</v>
      </c>
      <c r="I18">
        <v>224220.16999999998</v>
      </c>
    </row>
    <row r="19" spans="1:9">
      <c r="A19" s="270" t="s">
        <v>4101</v>
      </c>
      <c r="B19" s="323">
        <v>290785.64999999997</v>
      </c>
      <c r="C19" s="323">
        <v>40912.335749999998</v>
      </c>
      <c r="D19" s="323">
        <v>98830.934374997887</v>
      </c>
      <c r="E19" s="323">
        <v>140813.51929166462</v>
      </c>
      <c r="F19" s="323">
        <v>149972.13070833537</v>
      </c>
      <c r="H19" s="270" t="s">
        <v>250</v>
      </c>
      <c r="I19">
        <v>384268.04</v>
      </c>
    </row>
    <row r="20" spans="1:9">
      <c r="A20" s="270" t="s">
        <v>250</v>
      </c>
      <c r="B20" s="323">
        <v>384268.04</v>
      </c>
      <c r="C20" s="323">
        <v>45334.413333333338</v>
      </c>
      <c r="D20" s="323">
        <v>47756.71361111039</v>
      </c>
      <c r="E20" s="323">
        <v>93091.126944443735</v>
      </c>
      <c r="F20" s="323">
        <v>291176.91305555624</v>
      </c>
      <c r="H20" s="270" t="s">
        <v>3947</v>
      </c>
      <c r="I20">
        <v>445258.25</v>
      </c>
    </row>
    <row r="21" spans="1:9">
      <c r="A21" s="270" t="s">
        <v>3947</v>
      </c>
      <c r="B21" s="323">
        <v>603610.41</v>
      </c>
      <c r="C21" s="323">
        <v>86230.05857142857</v>
      </c>
      <c r="D21" s="323">
        <v>131140.70452380501</v>
      </c>
      <c r="E21" s="323">
        <v>217370.76309523359</v>
      </c>
      <c r="F21" s="323">
        <v>386239.6469047665</v>
      </c>
      <c r="H21" s="270" t="s">
        <v>128</v>
      </c>
      <c r="I21">
        <v>60382.97</v>
      </c>
    </row>
    <row r="22" spans="1:9">
      <c r="A22" s="270" t="s">
        <v>115</v>
      </c>
      <c r="B22" s="323">
        <v>23201948.739999991</v>
      </c>
      <c r="C22" s="323">
        <v>2172929.6876349212</v>
      </c>
      <c r="D22" s="323">
        <v>6559925.6180269895</v>
      </c>
      <c r="E22" s="323">
        <v>8806103.5995455179</v>
      </c>
      <c r="F22" s="323">
        <v>14395845.140454486</v>
      </c>
      <c r="H22" s="270" t="s">
        <v>115</v>
      </c>
      <c r="I22">
        <v>21704546.739999991</v>
      </c>
    </row>
    <row r="23" spans="1:9">
      <c r="B23"/>
    </row>
    <row r="24" spans="1:9">
      <c r="A24" s="270"/>
      <c r="B24" s="323"/>
      <c r="C24" s="323"/>
      <c r="D24" s="323"/>
      <c r="E24" s="323"/>
      <c r="F24" s="323"/>
    </row>
    <row r="25" spans="1:9">
      <c r="A25" s="271" t="s">
        <v>3933</v>
      </c>
      <c r="B25" s="271" t="s">
        <v>3934</v>
      </c>
      <c r="C25" s="271" t="s">
        <v>3935</v>
      </c>
      <c r="D25" s="271" t="s">
        <v>3936</v>
      </c>
      <c r="E25" s="271" t="s">
        <v>3937</v>
      </c>
      <c r="F25" s="271" t="s">
        <v>3938</v>
      </c>
    </row>
    <row r="26" spans="1:9">
      <c r="A26" s="270" t="s">
        <v>136</v>
      </c>
      <c r="B26" s="323">
        <f t="shared" ref="B26:F42" si="0">+INDEX(B$4:B$21,MATCH($A26,$A$4:$A$21,0))</f>
        <v>992636.69000000018</v>
      </c>
      <c r="C26" s="323">
        <f t="shared" si="0"/>
        <v>104958.68400000001</v>
      </c>
      <c r="D26" s="323">
        <f t="shared" si="0"/>
        <v>94805.646583326845</v>
      </c>
      <c r="E26" s="323">
        <f t="shared" si="0"/>
        <v>199764.33058332687</v>
      </c>
      <c r="F26" s="323">
        <f t="shared" si="0"/>
        <v>792872.35941667319</v>
      </c>
      <c r="G26" t="s">
        <v>136</v>
      </c>
    </row>
    <row r="27" spans="1:9">
      <c r="A27" s="270" t="s">
        <v>1341</v>
      </c>
      <c r="B27" s="323">
        <f t="shared" si="0"/>
        <v>1228278.22</v>
      </c>
      <c r="C27" s="323">
        <f t="shared" si="0"/>
        <v>97171.088499999983</v>
      </c>
      <c r="D27" s="323">
        <f t="shared" si="0"/>
        <v>218177.01469443931</v>
      </c>
      <c r="E27" s="323">
        <f t="shared" si="0"/>
        <v>315348.10319443938</v>
      </c>
      <c r="F27" s="323">
        <f t="shared" si="0"/>
        <v>912930.11680556054</v>
      </c>
      <c r="G27" t="str">
        <f>+VLOOKUP(A27,'Summary Breakdown'!K:K,1,FALSE)</f>
        <v>Containers</v>
      </c>
    </row>
    <row r="28" spans="1:9">
      <c r="A28" s="270" t="s">
        <v>582</v>
      </c>
      <c r="B28" s="323">
        <f t="shared" si="0"/>
        <v>616548.37</v>
      </c>
      <c r="C28" s="323">
        <f t="shared" si="0"/>
        <v>68461.25295238095</v>
      </c>
      <c r="D28" s="323">
        <f t="shared" si="0"/>
        <v>153186.11394841224</v>
      </c>
      <c r="E28" s="323">
        <f t="shared" si="0"/>
        <v>221647.36690079319</v>
      </c>
      <c r="F28" s="323">
        <f t="shared" si="0"/>
        <v>394901.00309920684</v>
      </c>
      <c r="G28" t="str">
        <f>+VLOOKUP(A28,'Summary Breakdown'!K:K,1,FALSE)</f>
        <v>Delivery Trucks</v>
      </c>
    </row>
    <row r="29" spans="1:9">
      <c r="A29" s="270" t="s">
        <v>130</v>
      </c>
      <c r="B29" s="323">
        <f t="shared" si="0"/>
        <v>298919.82999999996</v>
      </c>
      <c r="C29" s="323">
        <f t="shared" si="0"/>
        <v>5142.8571428571431</v>
      </c>
      <c r="D29" s="323">
        <f t="shared" si="0"/>
        <v>285366.25857142854</v>
      </c>
      <c r="E29" s="323">
        <f t="shared" si="0"/>
        <v>293776.97285714286</v>
      </c>
      <c r="F29" s="323">
        <f t="shared" si="0"/>
        <v>5142.8571428571449</v>
      </c>
      <c r="G29" t="str">
        <f>+VLOOKUP(A29,'Summary Breakdown'!K:K,1,FALSE)</f>
        <v>Drop Boxes</v>
      </c>
    </row>
    <row r="30" spans="1:9">
      <c r="A30" s="270" t="s">
        <v>1077</v>
      </c>
      <c r="B30" s="323">
        <f t="shared" si="0"/>
        <v>992087.34</v>
      </c>
      <c r="C30" s="323">
        <f t="shared" si="0"/>
        <v>99208.733999999997</v>
      </c>
      <c r="D30" s="323">
        <f t="shared" si="0"/>
        <v>165779.94624998738</v>
      </c>
      <c r="E30" s="323">
        <f t="shared" si="0"/>
        <v>264988.68024998734</v>
      </c>
      <c r="F30" s="323">
        <f t="shared" si="0"/>
        <v>727098.65975001268</v>
      </c>
      <c r="G30" t="str">
        <f>+VLOOKUP(A30,'Summary Breakdown'!K:K,1,FALSE)</f>
        <v>Fuel Island</v>
      </c>
    </row>
    <row r="31" spans="1:9">
      <c r="A31" s="270" t="s">
        <v>1019</v>
      </c>
      <c r="B31" s="323">
        <f t="shared" si="0"/>
        <v>1438164.6800000002</v>
      </c>
      <c r="C31" s="323">
        <f t="shared" si="0"/>
        <v>205452.09714285709</v>
      </c>
      <c r="D31" s="323">
        <f t="shared" si="0"/>
        <v>219831.81464284935</v>
      </c>
      <c r="E31" s="323">
        <f t="shared" si="0"/>
        <v>425283.91178570659</v>
      </c>
      <c r="F31" s="323">
        <f t="shared" si="0"/>
        <v>1012880.7682142934</v>
      </c>
      <c r="G31" t="str">
        <f>+VLOOKUP(A31,'Summary Breakdown'!K:K,1,FALSE)</f>
        <v>Garbage Carts</v>
      </c>
    </row>
    <row r="32" spans="1:9">
      <c r="A32" s="270" t="s">
        <v>3939</v>
      </c>
      <c r="B32" s="323">
        <f t="shared" si="0"/>
        <v>11544277.929999992</v>
      </c>
      <c r="C32" s="323">
        <f t="shared" si="0"/>
        <v>1122836.7386071431</v>
      </c>
      <c r="D32" s="323">
        <f t="shared" si="0"/>
        <v>1719581.8570832729</v>
      </c>
      <c r="E32" s="323">
        <f t="shared" si="0"/>
        <v>2842418.5956904171</v>
      </c>
      <c r="F32" s="323">
        <f t="shared" si="0"/>
        <v>8701859.3343095873</v>
      </c>
      <c r="G32" t="str">
        <f>+VLOOKUP(A32,'Summary Breakdown'!K:K,1,FALSE)</f>
        <v>Garbage Trucks</v>
      </c>
    </row>
    <row r="33" spans="1:7">
      <c r="A33" s="270" t="s">
        <v>178</v>
      </c>
      <c r="B33" s="323">
        <f t="shared" si="0"/>
        <v>404017.99</v>
      </c>
      <c r="C33" s="323">
        <f t="shared" si="0"/>
        <v>38961.191111111111</v>
      </c>
      <c r="D33" s="323">
        <f t="shared" si="0"/>
        <v>158268.10249999998</v>
      </c>
      <c r="E33" s="323">
        <f t="shared" si="0"/>
        <v>204941.28861111111</v>
      </c>
      <c r="F33" s="323">
        <f t="shared" si="0"/>
        <v>199076.70138888888</v>
      </c>
      <c r="G33" t="str">
        <f>+VLOOKUP(A33,'Summary Breakdown'!K:K,1,FALSE)</f>
        <v>Grizzly</v>
      </c>
    </row>
    <row r="34" spans="1:7">
      <c r="A34" s="270" t="s">
        <v>127</v>
      </c>
      <c r="B34" s="323">
        <f>+INDEX(B$4:B$21,MATCH($A34,$A$4:$A$21,0))</f>
        <v>12731.400000000001</v>
      </c>
      <c r="C34" s="323">
        <f t="shared" si="0"/>
        <v>2546.2799999999997</v>
      </c>
      <c r="D34" s="323">
        <f t="shared" si="0"/>
        <v>0</v>
      </c>
      <c r="E34" s="323">
        <f t="shared" si="0"/>
        <v>2546.2799999999997</v>
      </c>
      <c r="F34" s="323">
        <f t="shared" si="0"/>
        <v>10185.119999999999</v>
      </c>
      <c r="G34" t="s">
        <v>88</v>
      </c>
    </row>
    <row r="35" spans="1:7">
      <c r="A35" s="270" t="s">
        <v>135</v>
      </c>
      <c r="B35" s="323">
        <f>+INDEX(B$4:B$21,MATCH($A35,$A$4:$A$21,0))</f>
        <v>16778.759999999998</v>
      </c>
      <c r="C35" s="323">
        <f t="shared" si="0"/>
        <v>4483.6099999999997</v>
      </c>
      <c r="D35" s="323">
        <f t="shared" si="0"/>
        <v>9089.2966666664379</v>
      </c>
      <c r="E35" s="323">
        <f t="shared" si="0"/>
        <v>14176.66055555542</v>
      </c>
      <c r="F35" s="323">
        <f t="shared" si="0"/>
        <v>2602.0994444445823</v>
      </c>
      <c r="G35" t="str">
        <f>+VLOOKUP(A35,'Summary Breakdown'!K:K,1,FALSE)</f>
        <v>Office Equipment</v>
      </c>
    </row>
    <row r="36" spans="1:7">
      <c r="A36" s="270" t="s">
        <v>1316</v>
      </c>
      <c r="B36" s="323">
        <f t="shared" si="0"/>
        <v>651256.54999999993</v>
      </c>
      <c r="C36" s="323">
        <f t="shared" si="0"/>
        <v>66642.598571428578</v>
      </c>
      <c r="D36" s="323">
        <f t="shared" si="0"/>
        <v>223428.64964285717</v>
      </c>
      <c r="E36" s="323">
        <f t="shared" si="0"/>
        <v>290071.2482142857</v>
      </c>
      <c r="F36" s="323">
        <f t="shared" si="0"/>
        <v>361185.30178571423</v>
      </c>
      <c r="G36" t="str">
        <f>+VLOOKUP(A36,'Summary Breakdown'!K:K,1,FALSE)</f>
        <v>Recycle Bunker Long Haul</v>
      </c>
    </row>
    <row r="37" spans="1:7">
      <c r="A37" s="270" t="s">
        <v>1014</v>
      </c>
      <c r="B37" s="323">
        <f t="shared" si="0"/>
        <v>269578.19999999995</v>
      </c>
      <c r="C37" s="323">
        <f t="shared" si="0"/>
        <v>38511.171428571426</v>
      </c>
      <c r="D37" s="323">
        <f t="shared" si="0"/>
        <v>72359.736666664685</v>
      </c>
      <c r="E37" s="323">
        <f t="shared" si="0"/>
        <v>110870.90809523611</v>
      </c>
      <c r="F37" s="323">
        <f t="shared" si="0"/>
        <v>158707.29190476387</v>
      </c>
      <c r="G37" t="str">
        <f>+VLOOKUP(A37,'Summary Breakdown'!K:K,1,FALSE)</f>
        <v>Recycling (shared)</v>
      </c>
    </row>
    <row r="38" spans="1:7">
      <c r="A38" s="270" t="s">
        <v>3940</v>
      </c>
      <c r="B38" s="323">
        <f t="shared" si="0"/>
        <v>3165989.8099999996</v>
      </c>
      <c r="C38" s="323">
        <f t="shared" si="0"/>
        <v>117803.87485714286</v>
      </c>
      <c r="D38" s="323">
        <f t="shared" si="0"/>
        <v>2884898.656100506</v>
      </c>
      <c r="E38" s="323">
        <f t="shared" si="0"/>
        <v>3053879.0271428414</v>
      </c>
      <c r="F38" s="323">
        <f t="shared" si="0"/>
        <v>112110.78285715812</v>
      </c>
      <c r="G38" t="str">
        <f>+VLOOKUP(A38,'Summary Breakdown'!K:K,1,FALSE)</f>
        <v>Recycling and Yard Waste Trucks</v>
      </c>
    </row>
    <row r="39" spans="1:7">
      <c r="A39" s="270" t="s">
        <v>126</v>
      </c>
      <c r="B39" s="323">
        <f t="shared" si="0"/>
        <v>107841.12</v>
      </c>
      <c r="C39" s="323">
        <f t="shared" si="0"/>
        <v>10784.112000000001</v>
      </c>
      <c r="D39" s="323">
        <f t="shared" si="0"/>
        <v>2696.0279999999962</v>
      </c>
      <c r="E39" s="323">
        <f t="shared" si="0"/>
        <v>13480.139999999996</v>
      </c>
      <c r="F39" s="323">
        <f t="shared" si="0"/>
        <v>94360.98000000001</v>
      </c>
      <c r="G39" t="s">
        <v>126</v>
      </c>
    </row>
    <row r="40" spans="1:7">
      <c r="A40" s="270" t="s">
        <v>133</v>
      </c>
      <c r="B40" s="323">
        <f t="shared" si="0"/>
        <v>184177.75</v>
      </c>
      <c r="C40" s="323">
        <f t="shared" si="0"/>
        <v>17488.589666666667</v>
      </c>
      <c r="D40" s="323">
        <f t="shared" si="0"/>
        <v>74728.144166666316</v>
      </c>
      <c r="E40" s="323">
        <f t="shared" si="0"/>
        <v>101634.67633333299</v>
      </c>
      <c r="F40" s="323">
        <f t="shared" si="0"/>
        <v>82543.073666667027</v>
      </c>
      <c r="G40" t="str">
        <f>+VLOOKUP(A40,'Summary Breakdown'!K:K,1,FALSE)</f>
        <v>Service Equipment</v>
      </c>
    </row>
    <row r="41" spans="1:7">
      <c r="A41" s="270" t="s">
        <v>4101</v>
      </c>
      <c r="B41" s="323">
        <f t="shared" si="0"/>
        <v>290785.64999999997</v>
      </c>
      <c r="C41" s="323">
        <f t="shared" si="0"/>
        <v>40912.335749999998</v>
      </c>
      <c r="D41" s="323">
        <f t="shared" si="0"/>
        <v>98830.934374997887</v>
      </c>
      <c r="E41" s="323">
        <f t="shared" si="0"/>
        <v>140813.51929166462</v>
      </c>
      <c r="F41" s="323">
        <f t="shared" si="0"/>
        <v>149972.13070833537</v>
      </c>
      <c r="G41" t="str">
        <f>+VLOOKUP(A41,'Summary Breakdown'!K:K,1,FALSE)</f>
        <v xml:space="preserve">Shop Equipment </v>
      </c>
    </row>
    <row r="42" spans="1:7">
      <c r="A42" s="270" t="s">
        <v>250</v>
      </c>
      <c r="B42" s="323">
        <f t="shared" si="0"/>
        <v>384268.04</v>
      </c>
      <c r="C42" s="323">
        <f t="shared" si="0"/>
        <v>45334.413333333338</v>
      </c>
      <c r="D42" s="323">
        <f t="shared" si="0"/>
        <v>47756.71361111039</v>
      </c>
      <c r="E42" s="323">
        <f t="shared" si="0"/>
        <v>93091.126944443735</v>
      </c>
      <c r="F42" s="323">
        <f t="shared" si="0"/>
        <v>291176.91305555624</v>
      </c>
      <c r="G42" s="270" t="s">
        <v>250</v>
      </c>
    </row>
    <row r="43" spans="1:7">
      <c r="A43" s="270" t="s">
        <v>3947</v>
      </c>
      <c r="B43" s="323">
        <f>+INDEX(B$4:B$21,MATCH($A43,$A$4:$A$21,0))</f>
        <v>603610.41</v>
      </c>
      <c r="C43" s="323">
        <f t="shared" ref="C43:F43" si="1">+INDEX(C$4:C$21,MATCH($A43,$A$4:$A$21,0))</f>
        <v>86230.05857142857</v>
      </c>
      <c r="D43" s="323">
        <f t="shared" si="1"/>
        <v>131140.70452380501</v>
      </c>
      <c r="E43" s="323">
        <f t="shared" si="1"/>
        <v>217370.76309523359</v>
      </c>
      <c r="F43" s="323">
        <f t="shared" si="1"/>
        <v>386239.6469047665</v>
      </c>
      <c r="G43" t="str">
        <f>+VLOOKUP(A43,'Summary Breakdown'!K:K,1,FALSE)</f>
        <v>Yard Waste</v>
      </c>
    </row>
    <row r="44" spans="1:7">
      <c r="A44" s="272" t="s">
        <v>115</v>
      </c>
      <c r="B44" s="325">
        <f>SUM(B26:B43)</f>
        <v>23201948.739999991</v>
      </c>
      <c r="C44" s="325">
        <f t="shared" ref="C44:E44" si="2">SUM(C26:C43)</f>
        <v>2172929.6876349212</v>
      </c>
      <c r="D44" s="325">
        <f t="shared" si="2"/>
        <v>6559925.6180269895</v>
      </c>
      <c r="E44" s="325">
        <f t="shared" si="2"/>
        <v>8806103.5995455179</v>
      </c>
      <c r="F44" s="325">
        <f>SUM(F26:F43)</f>
        <v>14395845.140454486</v>
      </c>
    </row>
    <row r="46" spans="1:7">
      <c r="B46" s="284">
        <f>+B44-B22</f>
        <v>0</v>
      </c>
      <c r="C46" s="284">
        <f>+C44-C22</f>
        <v>0</v>
      </c>
      <c r="D46" s="284">
        <f t="shared" ref="D46:F46" si="3">+D44-D22</f>
        <v>0</v>
      </c>
      <c r="E46" s="284">
        <f t="shared" si="3"/>
        <v>0</v>
      </c>
      <c r="F46" s="284">
        <f t="shared" si="3"/>
        <v>0</v>
      </c>
    </row>
    <row r="48" spans="1:7">
      <c r="B48" s="284">
        <f t="shared" ref="B48:B60" si="4">+B4-B26</f>
        <v>0</v>
      </c>
    </row>
    <row r="49" spans="2:2">
      <c r="B49" s="284">
        <f t="shared" si="4"/>
        <v>0</v>
      </c>
    </row>
    <row r="50" spans="2:2">
      <c r="B50" s="284">
        <f t="shared" si="4"/>
        <v>0</v>
      </c>
    </row>
    <row r="51" spans="2:2">
      <c r="B51" s="284">
        <f t="shared" si="4"/>
        <v>0</v>
      </c>
    </row>
    <row r="52" spans="2:2">
      <c r="B52" s="284">
        <f t="shared" si="4"/>
        <v>0</v>
      </c>
    </row>
    <row r="53" spans="2:2">
      <c r="B53" s="284">
        <f t="shared" si="4"/>
        <v>0</v>
      </c>
    </row>
    <row r="54" spans="2:2">
      <c r="B54" s="284">
        <f t="shared" si="4"/>
        <v>0</v>
      </c>
    </row>
    <row r="55" spans="2:2">
      <c r="B55" s="284">
        <f t="shared" si="4"/>
        <v>0</v>
      </c>
    </row>
    <row r="56" spans="2:2">
      <c r="B56" s="284">
        <f t="shared" si="4"/>
        <v>0</v>
      </c>
    </row>
    <row r="57" spans="2:2">
      <c r="B57" s="284">
        <f t="shared" si="4"/>
        <v>0</v>
      </c>
    </row>
    <row r="58" spans="2:2">
      <c r="B58" s="284">
        <f t="shared" si="4"/>
        <v>0</v>
      </c>
    </row>
    <row r="59" spans="2:2">
      <c r="B59" s="284">
        <f t="shared" si="4"/>
        <v>0</v>
      </c>
    </row>
    <row r="60" spans="2:2">
      <c r="B60" s="284">
        <f t="shared" si="4"/>
        <v>0</v>
      </c>
    </row>
    <row r="61" spans="2:2">
      <c r="B61" s="284">
        <f>+B17-B40</f>
        <v>-76336.63</v>
      </c>
    </row>
    <row r="62" spans="2:2">
      <c r="B62" s="284">
        <f>+B18-B41</f>
        <v>-106607.89999999997</v>
      </c>
    </row>
    <row r="63" spans="2:2">
      <c r="B63" s="284">
        <f>+B19-B42</f>
        <v>-93482.390000000014</v>
      </c>
    </row>
    <row r="64" spans="2:2">
      <c r="B64" s="284">
        <f>+B20-B43</f>
        <v>-219342.37000000005</v>
      </c>
    </row>
  </sheetData>
  <conditionalFormatting sqref="G42">
    <cfRule type="duplicateValues" dxfId="13" priority="1"/>
  </conditionalFormatting>
  <pageMargins left="0.75" right="0.75" top="1" bottom="1" header="0.5" footer="0.5"/>
  <pageSetup scale="50" orientation="landscape" r:id="rId3"/>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F5525-0512-4D44-9321-C9D39AAB01B1}">
  <sheetPr codeName="Sheet1"/>
  <dimension ref="B1:BA1814"/>
  <sheetViews>
    <sheetView tabSelected="1" view="pageBreakPreview" topLeftCell="A423" zoomScale="60" zoomScaleNormal="100" workbookViewId="0">
      <selection activeCell="H4" sqref="H4:H6"/>
    </sheetView>
  </sheetViews>
  <sheetFormatPr defaultColWidth="8.88671875" defaultRowHeight="15" outlineLevelRow="1" outlineLevelCol="2"/>
  <cols>
    <col min="1" max="1" width="1.33203125" style="343" customWidth="1"/>
    <col min="2" max="3" width="7.5546875" style="343" customWidth="1"/>
    <col min="4" max="4" width="11.6640625" style="343" customWidth="1"/>
    <col min="5" max="5" width="10.77734375" style="343" customWidth="1"/>
    <col min="6" max="6" width="31.109375" style="343" customWidth="1"/>
    <col min="7" max="7" width="12.21875" style="343" hidden="1" customWidth="1"/>
    <col min="8" max="8" width="9.88671875" style="343" hidden="1" customWidth="1" outlineLevel="2"/>
    <col min="9" max="9" width="7.5546875" style="343" hidden="1" customWidth="1" outlineLevel="2"/>
    <col min="10" max="10" width="19.21875" style="343" hidden="1" customWidth="1" outlineLevel="2"/>
    <col min="11" max="11" width="7.5546875" style="343" hidden="1" customWidth="1" outlineLevel="2"/>
    <col min="12" max="13" width="12.21875" style="343" hidden="1" customWidth="1" outlineLevel="2"/>
    <col min="14" max="14" width="13.44140625" style="343" hidden="1" customWidth="1" outlineLevel="2"/>
    <col min="15" max="15" width="13.77734375" style="343" hidden="1" customWidth="1" outlineLevel="2"/>
    <col min="16" max="16" width="12.21875" style="343" hidden="1" customWidth="1" outlineLevel="2"/>
    <col min="17" max="17" width="7.5546875" style="343" hidden="1" customWidth="1" outlineLevel="2"/>
    <col min="18" max="18" width="12.21875" style="343" hidden="1" customWidth="1" outlineLevel="2"/>
    <col min="19" max="20" width="8.33203125" style="343" hidden="1" customWidth="1" outlineLevel="2"/>
    <col min="21" max="21" width="14.88671875" style="343" hidden="1" customWidth="1" outlineLevel="2"/>
    <col min="22" max="23" width="7.5546875" style="343" hidden="1" customWidth="1" outlineLevel="2"/>
    <col min="24" max="24" width="13.5546875" style="343" hidden="1" customWidth="1" outlineLevel="2"/>
    <col min="25" max="25" width="7.5546875" style="343" hidden="1" customWidth="1" outlineLevel="2"/>
    <col min="26" max="26" width="14" style="343" hidden="1" customWidth="1" outlineLevel="2"/>
    <col min="27" max="27" width="11.44140625" style="343" hidden="1" customWidth="1" outlineLevel="2"/>
    <col min="28" max="28" width="11.44140625" style="344" hidden="1" customWidth="1" outlineLevel="2"/>
    <col min="29" max="29" width="8.88671875" style="343" hidden="1" customWidth="1" outlineLevel="2"/>
    <col min="30" max="30" width="11.44140625" style="343" hidden="1" customWidth="1" outlineLevel="2"/>
    <col min="31" max="31" width="8.88671875" style="343" hidden="1" customWidth="1" outlineLevel="2"/>
    <col min="32" max="36" width="8.88671875" style="343" hidden="1" customWidth="1" outlineLevel="1"/>
    <col min="37" max="37" width="8.88671875" style="343" collapsed="1"/>
    <col min="38" max="38" width="17" style="343" customWidth="1"/>
    <col min="39" max="39" width="15.6640625" style="343" customWidth="1"/>
    <col min="40" max="44" width="8.88671875" style="343"/>
    <col min="45" max="45" width="14.33203125" style="343" customWidth="1"/>
    <col min="46" max="46" width="8.88671875" style="343"/>
    <col min="47" max="48" width="11.109375" style="343" bestFit="1" customWidth="1"/>
    <col min="49" max="49" width="15.33203125" style="343" bestFit="1" customWidth="1"/>
    <col min="50" max="16384" width="8.88671875" style="343"/>
  </cols>
  <sheetData>
    <row r="1" spans="2:50" ht="15" hidden="1" customHeight="1" outlineLevel="1">
      <c r="B1" s="343" t="s">
        <v>1342</v>
      </c>
      <c r="C1" s="343" t="s">
        <v>1343</v>
      </c>
      <c r="D1" s="343" t="s">
        <v>1344</v>
      </c>
      <c r="E1" s="343" t="s">
        <v>4161</v>
      </c>
      <c r="F1" s="343" t="s">
        <v>339</v>
      </c>
      <c r="I1" s="343" t="s">
        <v>4226</v>
      </c>
      <c r="J1" s="343" t="s">
        <v>1346</v>
      </c>
      <c r="K1" s="343" t="s">
        <v>1348</v>
      </c>
      <c r="L1" s="343" t="s">
        <v>1349</v>
      </c>
      <c r="M1" s="343" t="s">
        <v>1350</v>
      </c>
      <c r="N1" s="343" t="s">
        <v>4227</v>
      </c>
      <c r="O1" s="343" t="s">
        <v>4228</v>
      </c>
      <c r="P1" s="343" t="s">
        <v>1351</v>
      </c>
      <c r="Q1" s="343" t="s">
        <v>4229</v>
      </c>
      <c r="R1" s="343" t="s">
        <v>4230</v>
      </c>
      <c r="S1" s="343" t="s">
        <v>1352</v>
      </c>
      <c r="T1" s="343" t="s">
        <v>1353</v>
      </c>
      <c r="U1" s="343" t="s">
        <v>1354</v>
      </c>
      <c r="V1" s="343" t="s">
        <v>1355</v>
      </c>
      <c r="W1" s="343" t="s">
        <v>1356</v>
      </c>
      <c r="X1" s="343" t="s">
        <v>1357</v>
      </c>
      <c r="Y1" s="343" t="s">
        <v>1358</v>
      </c>
      <c r="Z1" s="343" t="s">
        <v>1359</v>
      </c>
      <c r="AB1" s="344" t="s">
        <v>1360</v>
      </c>
      <c r="AC1" s="343" t="s">
        <v>1361</v>
      </c>
      <c r="AD1" s="343" t="s">
        <v>1362</v>
      </c>
      <c r="AE1" s="343" t="s">
        <v>1363</v>
      </c>
      <c r="AF1" s="343" t="s">
        <v>1364</v>
      </c>
      <c r="AG1" s="343" t="s">
        <v>1366</v>
      </c>
      <c r="AH1" s="343" t="s">
        <v>1368</v>
      </c>
      <c r="AI1" s="343" t="s">
        <v>1369</v>
      </c>
      <c r="AJ1" s="343" t="s">
        <v>4231</v>
      </c>
      <c r="AK1" s="343" t="s">
        <v>4232</v>
      </c>
      <c r="AL1" s="343" t="s">
        <v>4233</v>
      </c>
    </row>
    <row r="2" spans="2:50" ht="15.75" hidden="1" customHeight="1" outlineLevel="1">
      <c r="B2" s="345"/>
      <c r="C2" s="346"/>
      <c r="D2" s="345"/>
      <c r="E2" s="347"/>
      <c r="I2" s="345"/>
      <c r="J2" s="347"/>
      <c r="K2" s="345"/>
      <c r="L2" s="347"/>
      <c r="M2" s="347"/>
      <c r="N2" s="347"/>
      <c r="O2" s="347"/>
      <c r="P2" s="347"/>
      <c r="Q2" s="347"/>
      <c r="R2" s="347"/>
      <c r="S2" s="348"/>
      <c r="T2" s="348"/>
      <c r="U2" s="347"/>
      <c r="V2" s="345"/>
      <c r="W2" s="345"/>
      <c r="X2" s="349"/>
      <c r="Y2" s="345"/>
      <c r="Z2" s="349"/>
      <c r="AA2" s="349">
        <f>+X2-Z2</f>
        <v>0</v>
      </c>
      <c r="AB2" s="349"/>
      <c r="AC2" s="345"/>
      <c r="AD2" s="349"/>
      <c r="AE2" s="345"/>
      <c r="AF2" s="347"/>
      <c r="AG2" s="347"/>
      <c r="AH2" s="347"/>
      <c r="AI2" s="347"/>
      <c r="AJ2" s="347"/>
      <c r="AK2" s="347"/>
      <c r="AL2" s="347"/>
    </row>
    <row r="3" spans="2:50" ht="15" hidden="1" customHeight="1" outlineLevel="1">
      <c r="B3" s="343" t="e">
        <f ca="1">_xll.ReportRange("FARReport",A73:AL1810,A1:AL1,A2:AL2,_xll.Param($C$13,$C$14,C15,$J$13,$J$14,$J$15,$G$14,O15,$P$13,$P$14,M13,M14,$G$15,CELL("address",$D$10)),TRUE,FALSE)</f>
        <v>#NAME?</v>
      </c>
      <c r="F3" s="343" t="e">
        <f ca="1">_xll.ReportDrill([8]ProjDepr!D3,,_xll.PairGroup(_xll.Pair('FAR 12.31.2024'!C13,[8]ProjDepr!D19),_xll.Pair("C:B",[8]ProjDepr!D20),_xll.Pair("C:C",[8]ProjDepr!D21),_xll.Pair("C:W",[8]ProjDepr!D22)),"Projected Depr")</f>
        <v>#NAME?</v>
      </c>
      <c r="N3" s="350" t="s">
        <v>4234</v>
      </c>
      <c r="O3" s="351">
        <f ca="1">MONTH(NOW())</f>
        <v>1</v>
      </c>
    </row>
    <row r="4" spans="2:50" ht="15" hidden="1" customHeight="1" outlineLevel="1">
      <c r="B4" s="343" t="e">
        <f ca="1">_xll.jFreezePanes(E73,A8)</f>
        <v>#NAME?</v>
      </c>
      <c r="F4" s="352" t="e">
        <f ca="1">_xll.ReportDrill([8]Invoice!$C$2,,_xll.PairGroup(_xll.Pair("C:U",[8]Invoice!$E$7),_xll.Pair("",[8]Invoice!$E$8,"N"),_xll.Pair("",[8]Invoice!$E$9,"n")),"Drill To All Invoices by PO#")</f>
        <v>#NAME?</v>
      </c>
      <c r="N4" s="350" t="s">
        <v>4235</v>
      </c>
      <c r="O4" s="351">
        <f ca="1">IF(O3=12,YEAR(NOW()),YEAR(NOW()))</f>
        <v>2025</v>
      </c>
      <c r="Q4" s="353"/>
      <c r="R4" s="353"/>
      <c r="W4" s="352"/>
      <c r="Y4" s="352"/>
      <c r="AA4" s="352"/>
      <c r="AB4" s="354"/>
    </row>
    <row r="5" spans="2:50" ht="15" hidden="1" customHeight="1" outlineLevel="1">
      <c r="B5" s="343" t="e">
        <f ca="1">_xll.jFocus(C13)</f>
        <v>#NAME?</v>
      </c>
      <c r="F5" s="352" t="e">
        <f ca="1">_xll.ReportDrill([8]Invoice!$C$2,,_xll.PairGroup(_xll.Pair("C:U",[8]Invoice!$E$7),_xll.Pair("",[8]Invoice!$E$8,"N"),_xll.Pair("C:AE",[8]Invoice!$E$9,"n")),"Drill to Invoice by PO# and Invoice #")</f>
        <v>#NAME?</v>
      </c>
      <c r="M5" s="355"/>
      <c r="N5" s="355"/>
      <c r="P5" s="353"/>
      <c r="Q5" s="353"/>
      <c r="R5" s="353"/>
      <c r="W5" s="352"/>
      <c r="X5" s="352"/>
      <c r="Y5" s="352"/>
      <c r="Z5" s="352"/>
      <c r="AA5" s="352"/>
      <c r="AB5" s="354"/>
      <c r="AC5" s="352"/>
    </row>
    <row r="6" spans="2:50" ht="15" hidden="1" customHeight="1" outlineLevel="1">
      <c r="M6" s="355"/>
      <c r="N6" s="355"/>
      <c r="O6" s="352"/>
      <c r="P6" s="353"/>
      <c r="Q6" s="353"/>
      <c r="R6" s="353"/>
      <c r="W6" s="352"/>
      <c r="X6" s="352"/>
      <c r="Y6" s="352"/>
      <c r="Z6" s="352"/>
      <c r="AA6" s="352"/>
      <c r="AB6" s="354"/>
      <c r="AC6" s="352"/>
    </row>
    <row r="7" spans="2:50" ht="15.75" hidden="1" customHeight="1" outlineLevel="1" thickBot="1">
      <c r="AB7" s="343"/>
    </row>
    <row r="8" spans="2:50" ht="18.75" collapsed="1">
      <c r="B8" s="356"/>
      <c r="C8" s="357"/>
      <c r="D8" s="357"/>
      <c r="E8" s="357"/>
      <c r="F8" s="357"/>
      <c r="G8" s="357"/>
      <c r="H8" s="357"/>
      <c r="I8" s="358"/>
      <c r="J8" s="359"/>
      <c r="K8" s="357"/>
      <c r="L8" s="357"/>
      <c r="M8" s="357"/>
      <c r="N8" s="357"/>
      <c r="O8" s="357"/>
      <c r="P8" s="357"/>
      <c r="Q8" s="357"/>
      <c r="R8" s="357"/>
      <c r="S8" s="357"/>
      <c r="T8" s="357"/>
      <c r="U8" s="357"/>
      <c r="V8" s="357"/>
      <c r="W8" s="357"/>
      <c r="X8" s="357"/>
      <c r="Y8" s="357"/>
      <c r="Z8" s="357"/>
      <c r="AA8" s="360"/>
      <c r="AB8" s="357"/>
      <c r="AC8" s="357"/>
      <c r="AD8" s="357"/>
      <c r="AE8" s="357"/>
      <c r="AF8" s="357"/>
      <c r="AG8" s="357"/>
      <c r="AH8" s="357"/>
      <c r="AI8" s="357"/>
      <c r="AJ8" s="357"/>
      <c r="AK8" s="335">
        <v>4</v>
      </c>
      <c r="AL8" s="361" t="s">
        <v>4166</v>
      </c>
    </row>
    <row r="9" spans="2:50" ht="18.75">
      <c r="B9" s="362" t="s">
        <v>1377</v>
      </c>
      <c r="C9" s="363"/>
      <c r="D9" s="363"/>
      <c r="E9" s="363"/>
      <c r="F9" s="363"/>
      <c r="G9" s="363"/>
      <c r="H9" s="363"/>
      <c r="I9" s="364"/>
      <c r="J9" s="364"/>
      <c r="K9" s="364"/>
      <c r="L9" s="363"/>
      <c r="M9" s="364"/>
      <c r="N9" s="364"/>
      <c r="O9" s="364"/>
      <c r="P9" s="363"/>
      <c r="Q9" s="364"/>
      <c r="R9" s="364"/>
      <c r="S9" s="363"/>
      <c r="T9" s="364"/>
      <c r="U9" s="364"/>
      <c r="V9" s="364"/>
      <c r="W9" s="363"/>
      <c r="X9" s="364"/>
      <c r="Y9" s="364"/>
      <c r="Z9" s="364"/>
      <c r="AA9" s="365"/>
      <c r="AB9" s="363"/>
      <c r="AC9" s="363"/>
      <c r="AD9" s="363"/>
      <c r="AE9" s="363"/>
      <c r="AF9" s="363"/>
      <c r="AG9" s="363"/>
      <c r="AH9" s="363"/>
      <c r="AI9" s="363"/>
      <c r="AJ9" s="363"/>
      <c r="AK9" s="335">
        <v>3</v>
      </c>
      <c r="AL9" s="361" t="s">
        <v>4167</v>
      </c>
    </row>
    <row r="10" spans="2:50">
      <c r="B10" s="366" t="s">
        <v>4236</v>
      </c>
      <c r="C10" s="363"/>
      <c r="D10" s="367">
        <v>45574</v>
      </c>
      <c r="E10" s="363"/>
      <c r="F10" s="363"/>
      <c r="G10" s="363"/>
      <c r="H10" s="363"/>
      <c r="I10" s="364"/>
      <c r="J10" s="364"/>
      <c r="K10" s="364"/>
      <c r="L10" s="363"/>
      <c r="M10" s="364"/>
      <c r="N10" s="364"/>
      <c r="O10" s="364"/>
      <c r="P10" s="363"/>
      <c r="Q10" s="364"/>
      <c r="R10" s="364"/>
      <c r="S10" s="363"/>
      <c r="T10" s="364"/>
      <c r="U10" s="364"/>
      <c r="V10" s="364"/>
      <c r="W10" s="363"/>
      <c r="X10" s="364"/>
      <c r="Y10" s="364"/>
      <c r="Z10" s="364"/>
      <c r="AA10" s="363"/>
      <c r="AB10" s="365"/>
      <c r="AC10" s="363"/>
      <c r="AD10" s="363"/>
      <c r="AE10" s="363"/>
      <c r="AF10" s="363"/>
      <c r="AG10" s="363"/>
      <c r="AH10" s="363"/>
      <c r="AI10" s="363"/>
      <c r="AJ10" s="363"/>
      <c r="AK10" s="336">
        <v>2024</v>
      </c>
      <c r="AL10" s="361" t="s">
        <v>888</v>
      </c>
      <c r="AN10" s="405"/>
      <c r="AO10" s="406"/>
    </row>
    <row r="11" spans="2:50">
      <c r="B11" s="366" t="s">
        <v>4237</v>
      </c>
      <c r="C11" s="363"/>
      <c r="D11" s="368">
        <f>COUNT(C73:C1810)</f>
        <v>1737</v>
      </c>
      <c r="E11" s="363"/>
      <c r="F11" s="363"/>
      <c r="G11" s="363"/>
      <c r="H11" s="363"/>
      <c r="I11" s="364"/>
      <c r="J11" s="364"/>
      <c r="K11" s="364"/>
      <c r="L11" s="363"/>
      <c r="M11" s="364"/>
      <c r="N11" s="364"/>
      <c r="O11" s="364"/>
      <c r="P11" s="363"/>
      <c r="Q11" s="364"/>
      <c r="R11" s="364"/>
      <c r="S11" s="363"/>
      <c r="T11" s="364"/>
      <c r="U11" s="364"/>
      <c r="V11" s="364"/>
      <c r="W11" s="363"/>
      <c r="X11" s="363"/>
      <c r="Y11" s="363"/>
      <c r="Z11" s="363"/>
      <c r="AA11" s="363"/>
      <c r="AB11" s="365"/>
      <c r="AC11" s="363"/>
      <c r="AD11" s="363"/>
      <c r="AE11" s="363"/>
      <c r="AF11" s="363"/>
      <c r="AG11" s="363"/>
      <c r="AH11" s="363"/>
      <c r="AI11" s="363"/>
      <c r="AJ11" s="363"/>
      <c r="AK11" s="336">
        <v>2025</v>
      </c>
      <c r="AL11" s="361" t="s">
        <v>11</v>
      </c>
      <c r="AN11" s="405"/>
      <c r="AO11" s="406"/>
      <c r="AP11" s="409"/>
    </row>
    <row r="12" spans="2:50">
      <c r="B12" s="366"/>
      <c r="C12" s="363"/>
      <c r="D12" s="363"/>
      <c r="E12" s="363"/>
      <c r="F12" s="363"/>
      <c r="G12" s="363"/>
      <c r="H12" s="363"/>
      <c r="I12" s="363"/>
      <c r="J12" s="363"/>
      <c r="K12" s="363"/>
      <c r="L12" s="364"/>
      <c r="M12" s="364"/>
      <c r="N12" s="363"/>
      <c r="O12" s="363"/>
      <c r="P12" s="363"/>
      <c r="Q12" s="363"/>
      <c r="R12" s="363"/>
      <c r="S12" s="363"/>
      <c r="T12" s="363"/>
      <c r="U12" s="363"/>
      <c r="V12" s="363"/>
      <c r="W12" s="363"/>
      <c r="X12" s="363"/>
      <c r="Y12" s="363"/>
      <c r="Z12" s="363"/>
      <c r="AA12" s="363"/>
      <c r="AB12" s="365"/>
      <c r="AC12" s="363"/>
      <c r="AD12" s="363"/>
      <c r="AE12" s="363"/>
      <c r="AF12" s="363"/>
      <c r="AG12" s="363"/>
      <c r="AH12" s="363"/>
      <c r="AI12" s="363"/>
      <c r="AJ12" s="363"/>
      <c r="AK12" s="337">
        <f>+AK11+(AK9/12)</f>
        <v>2025.25</v>
      </c>
      <c r="AL12" s="361" t="s">
        <v>4168</v>
      </c>
      <c r="AN12" s="405"/>
      <c r="AO12" s="406"/>
      <c r="AP12" s="409"/>
    </row>
    <row r="13" spans="2:50">
      <c r="B13" s="369" t="s">
        <v>4238</v>
      </c>
      <c r="C13" s="554" t="s">
        <v>4859</v>
      </c>
      <c r="D13" s="554"/>
      <c r="E13" s="364"/>
      <c r="F13" s="371" t="s">
        <v>4239</v>
      </c>
      <c r="G13" s="370" t="s">
        <v>4240</v>
      </c>
      <c r="H13" s="364"/>
      <c r="I13" s="371" t="s">
        <v>4241</v>
      </c>
      <c r="J13" s="370"/>
      <c r="K13" s="372"/>
      <c r="L13" s="371" t="s">
        <v>4242</v>
      </c>
      <c r="M13" s="370"/>
      <c r="N13" s="363"/>
      <c r="O13" s="371" t="s">
        <v>4243</v>
      </c>
      <c r="P13" s="373"/>
      <c r="Q13" s="364"/>
      <c r="R13" s="364"/>
      <c r="S13" s="364"/>
      <c r="T13" s="364"/>
      <c r="U13" s="365"/>
      <c r="V13" s="363"/>
      <c r="W13" s="363"/>
      <c r="X13" s="363"/>
      <c r="Y13" s="363"/>
      <c r="Z13" s="363"/>
      <c r="AA13" s="363"/>
      <c r="AB13" s="363"/>
      <c r="AC13" s="363"/>
      <c r="AD13" s="363"/>
      <c r="AE13" s="363"/>
      <c r="AF13" s="363"/>
      <c r="AG13" s="363"/>
      <c r="AH13" s="363"/>
      <c r="AI13" s="363"/>
      <c r="AJ13" s="363"/>
      <c r="AK13" s="338">
        <f>+AK10+(AK8/12)</f>
        <v>2024.3333333333333</v>
      </c>
      <c r="AL13" s="361" t="s">
        <v>4169</v>
      </c>
      <c r="AO13" s="406"/>
      <c r="AP13" s="409"/>
    </row>
    <row r="14" spans="2:50">
      <c r="B14" s="369" t="s">
        <v>4244</v>
      </c>
      <c r="C14" s="554">
        <v>2111</v>
      </c>
      <c r="D14" s="554"/>
      <c r="E14" s="364"/>
      <c r="F14" s="374" t="s">
        <v>4245</v>
      </c>
      <c r="G14" s="370" t="s">
        <v>4246</v>
      </c>
      <c r="H14" s="364"/>
      <c r="I14" s="371" t="s">
        <v>4247</v>
      </c>
      <c r="J14" s="370"/>
      <c r="K14" s="372"/>
      <c r="L14" s="371" t="s">
        <v>4248</v>
      </c>
      <c r="M14" s="370"/>
      <c r="N14" s="363"/>
      <c r="O14" s="371" t="s">
        <v>4249</v>
      </c>
      <c r="P14" s="373"/>
      <c r="Q14" s="364"/>
      <c r="R14" s="364"/>
      <c r="S14" s="364"/>
      <c r="T14" s="364"/>
      <c r="U14" s="365"/>
      <c r="V14" s="363"/>
      <c r="W14" s="363"/>
      <c r="X14" s="363"/>
      <c r="Y14" s="363"/>
      <c r="Z14" s="363"/>
      <c r="AA14" s="363"/>
      <c r="AB14" s="363"/>
      <c r="AC14" s="363"/>
      <c r="AD14" s="363"/>
      <c r="AE14" s="363"/>
      <c r="AF14" s="363"/>
      <c r="AG14" s="363"/>
      <c r="AH14" s="363"/>
      <c r="AI14" s="363"/>
      <c r="AJ14" s="363"/>
      <c r="AK14" s="363"/>
      <c r="AL14" s="375"/>
      <c r="AN14" s="405"/>
      <c r="AP14" s="409"/>
    </row>
    <row r="15" spans="2:50">
      <c r="B15" s="369" t="s">
        <v>4250</v>
      </c>
      <c r="C15" s="554"/>
      <c r="D15" s="554"/>
      <c r="E15" s="364"/>
      <c r="F15" s="371" t="s">
        <v>4251</v>
      </c>
      <c r="G15" s="370" t="s">
        <v>62</v>
      </c>
      <c r="H15" s="364"/>
      <c r="I15" s="371" t="s">
        <v>4252</v>
      </c>
      <c r="J15" s="370"/>
      <c r="K15" s="372"/>
      <c r="L15" s="364"/>
      <c r="M15" s="364"/>
      <c r="N15" s="371"/>
      <c r="O15" s="363"/>
      <c r="P15" s="363"/>
      <c r="Q15" s="364"/>
      <c r="R15" s="364"/>
      <c r="S15" s="364"/>
      <c r="T15" s="364"/>
      <c r="U15" s="365"/>
      <c r="V15" s="363"/>
      <c r="W15" s="363"/>
      <c r="X15" s="363"/>
      <c r="Y15" s="363"/>
      <c r="Z15" s="363"/>
      <c r="AA15" s="363"/>
      <c r="AB15" s="363"/>
      <c r="AC15" s="363"/>
      <c r="AD15" s="363"/>
      <c r="AE15" s="363"/>
      <c r="AF15" s="363"/>
      <c r="AG15" s="363"/>
      <c r="AH15" s="363"/>
      <c r="AI15" s="363"/>
      <c r="AJ15" s="363"/>
      <c r="AK15" s="363"/>
      <c r="AL15" s="375"/>
    </row>
    <row r="16" spans="2:50" ht="30.75" thickBot="1">
      <c r="B16" s="376" t="s">
        <v>4253</v>
      </c>
      <c r="C16" s="377" t="s">
        <v>1400</v>
      </c>
      <c r="D16" s="377" t="s">
        <v>4254</v>
      </c>
      <c r="E16" s="377" t="s">
        <v>4162</v>
      </c>
      <c r="F16" s="378" t="s">
        <v>339</v>
      </c>
      <c r="G16" s="378" t="s">
        <v>4255</v>
      </c>
      <c r="H16" s="378" t="s">
        <v>4256</v>
      </c>
      <c r="I16" s="377" t="s">
        <v>4226</v>
      </c>
      <c r="J16" s="377" t="s">
        <v>4257</v>
      </c>
      <c r="K16" s="377" t="s">
        <v>1406</v>
      </c>
      <c r="L16" s="377" t="s">
        <v>4258</v>
      </c>
      <c r="M16" s="377" t="s">
        <v>1408</v>
      </c>
      <c r="N16" s="377" t="s">
        <v>4259</v>
      </c>
      <c r="O16" s="377" t="s">
        <v>4260</v>
      </c>
      <c r="P16" s="377" t="s">
        <v>4261</v>
      </c>
      <c r="Q16" s="377" t="s">
        <v>4262</v>
      </c>
      <c r="R16" s="377" t="s">
        <v>4263</v>
      </c>
      <c r="S16" s="377" t="s">
        <v>1410</v>
      </c>
      <c r="T16" s="377" t="s">
        <v>4264</v>
      </c>
      <c r="U16" s="377" t="s">
        <v>1412</v>
      </c>
      <c r="V16" s="377" t="s">
        <v>1413</v>
      </c>
      <c r="W16" s="377" t="s">
        <v>1414</v>
      </c>
      <c r="X16" s="377" t="s">
        <v>4265</v>
      </c>
      <c r="Y16" s="377" t="s">
        <v>4266</v>
      </c>
      <c r="Z16" s="377" t="s">
        <v>4267</v>
      </c>
      <c r="AA16" s="377" t="s">
        <v>1417</v>
      </c>
      <c r="AB16" s="377" t="s">
        <v>4268</v>
      </c>
      <c r="AC16" s="377" t="s">
        <v>1419</v>
      </c>
      <c r="AD16" s="377" t="s">
        <v>4269</v>
      </c>
      <c r="AE16" s="377" t="s">
        <v>4270</v>
      </c>
      <c r="AF16" s="377" t="s">
        <v>1422</v>
      </c>
      <c r="AG16" s="377" t="s">
        <v>1424</v>
      </c>
      <c r="AH16" s="377" t="s">
        <v>1425</v>
      </c>
      <c r="AI16" s="377" t="s">
        <v>4271</v>
      </c>
      <c r="AJ16" s="377" t="s">
        <v>4272</v>
      </c>
      <c r="AK16" s="379" t="s">
        <v>1431</v>
      </c>
      <c r="AL16" s="379" t="s">
        <v>1432</v>
      </c>
      <c r="AM16" s="379" t="s">
        <v>1433</v>
      </c>
      <c r="AN16" s="379" t="s">
        <v>1434</v>
      </c>
      <c r="AO16" s="379" t="s">
        <v>1435</v>
      </c>
      <c r="AP16" s="379" t="s">
        <v>1436</v>
      </c>
      <c r="AQ16" s="379" t="s">
        <v>1437</v>
      </c>
      <c r="AR16" s="379" t="s">
        <v>1438</v>
      </c>
      <c r="AS16" s="379" t="s">
        <v>1439</v>
      </c>
      <c r="AT16" s="379" t="s">
        <v>1440</v>
      </c>
      <c r="AU16" s="379" t="s">
        <v>1441</v>
      </c>
      <c r="AV16" s="379" t="s">
        <v>1442</v>
      </c>
      <c r="AW16" s="379" t="s">
        <v>1443</v>
      </c>
      <c r="AX16" s="380" t="s">
        <v>4273</v>
      </c>
    </row>
    <row r="17" spans="2:50" ht="15.75">
      <c r="B17" s="381">
        <v>2111</v>
      </c>
      <c r="C17" s="382">
        <v>434332</v>
      </c>
      <c r="D17" s="381" t="s">
        <v>944</v>
      </c>
      <c r="E17" s="383" t="s">
        <v>4240</v>
      </c>
      <c r="F17" s="392" t="s">
        <v>4833</v>
      </c>
      <c r="G17" s="392"/>
      <c r="H17" s="392"/>
      <c r="I17" s="381">
        <v>1</v>
      </c>
      <c r="J17" s="383" t="s">
        <v>4196</v>
      </c>
      <c r="K17" s="381">
        <v>0</v>
      </c>
      <c r="L17" s="383"/>
      <c r="M17" s="383"/>
      <c r="N17" s="383" t="s">
        <v>4445</v>
      </c>
      <c r="O17" s="383" t="s">
        <v>4441</v>
      </c>
      <c r="P17" s="383"/>
      <c r="Q17" s="383"/>
      <c r="R17" s="383"/>
      <c r="S17" s="384">
        <v>45632</v>
      </c>
      <c r="T17" s="384">
        <v>45632</v>
      </c>
      <c r="U17" s="383" t="s">
        <v>4834</v>
      </c>
      <c r="V17" s="381">
        <v>300</v>
      </c>
      <c r="W17" s="381">
        <v>14040</v>
      </c>
      <c r="X17" s="385">
        <v>12896.26</v>
      </c>
      <c r="Y17" s="381">
        <v>14046</v>
      </c>
      <c r="Z17" s="385">
        <v>358.22</v>
      </c>
      <c r="AA17" s="385">
        <v>0</v>
      </c>
      <c r="AB17" s="385">
        <f t="shared" ref="AB17:AB36" si="0">+X17-Z17-AA17</f>
        <v>12538.04</v>
      </c>
      <c r="AC17" s="381">
        <v>358.22</v>
      </c>
      <c r="AD17" s="385">
        <v>51260</v>
      </c>
      <c r="AE17" s="381">
        <v>358.22</v>
      </c>
      <c r="AF17" s="383">
        <v>0</v>
      </c>
      <c r="AG17" s="383">
        <v>358.22</v>
      </c>
      <c r="AH17" s="383" t="s">
        <v>944</v>
      </c>
      <c r="AI17" s="383"/>
      <c r="AJ17" s="383"/>
      <c r="AK17" s="383" t="s">
        <v>57</v>
      </c>
      <c r="AL17" s="389" t="s">
        <v>3939</v>
      </c>
      <c r="AM17" s="389" t="s">
        <v>3939</v>
      </c>
      <c r="AN17" s="393">
        <f t="shared" ref="AN17:AN36" si="1">MONTH($S17)</f>
        <v>12</v>
      </c>
      <c r="AO17" s="393">
        <f t="shared" ref="AO17:AO36" si="2">YEAR($S17)</f>
        <v>2024</v>
      </c>
      <c r="AP17" s="394">
        <f t="shared" ref="AP17:AP36" si="3">$AO17+($V17/100)</f>
        <v>2027</v>
      </c>
      <c r="AQ17" s="395">
        <f t="shared" ref="AQ17:AQ36" si="4">$AP17+($AN17/12)</f>
        <v>2028</v>
      </c>
      <c r="AR17" s="396">
        <f t="shared" ref="AR17:AR36" si="5">IFERROR($X17/($V17/100)/12,0)</f>
        <v>358.22944444444443</v>
      </c>
      <c r="AS17" s="397">
        <f t="shared" ref="AS17:AS36" si="6">$AR17*12</f>
        <v>4298.7533333333331</v>
      </c>
      <c r="AT17" s="397">
        <f t="shared" ref="AT17:AT36" si="7">IF(AQ17&lt;=$AK$12,0,AS17)</f>
        <v>4298.7533333333331</v>
      </c>
      <c r="AU17" s="397">
        <f t="shared" ref="AU17:AU36" si="8">IF(AQ17&lt;=$AK$13,X17,IF(((AO17+AN17/12))&gt;=$AK$13,0,((X17-((AQ17-$AK$13)*12)*AR17))))</f>
        <v>0</v>
      </c>
      <c r="AV17" s="397">
        <f t="shared" ref="AV17:AV36" si="9">IF(AQ17&lt;=$AK$12,X17,AT17+AU17)</f>
        <v>4298.7533333333331</v>
      </c>
      <c r="AW17" s="398">
        <f t="shared" ref="AW17:AW36" si="10">+X17-AV17</f>
        <v>8597.506666666668</v>
      </c>
      <c r="AX17" s="386" t="s">
        <v>62</v>
      </c>
    </row>
    <row r="18" spans="2:50" ht="15.75">
      <c r="B18" s="381">
        <v>2111</v>
      </c>
      <c r="C18" s="382">
        <v>434309</v>
      </c>
      <c r="D18" s="381" t="s">
        <v>944</v>
      </c>
      <c r="E18" s="383" t="s">
        <v>4240</v>
      </c>
      <c r="F18" s="392" t="s">
        <v>4835</v>
      </c>
      <c r="G18" s="392"/>
      <c r="H18" s="392"/>
      <c r="I18" s="381">
        <v>1</v>
      </c>
      <c r="J18" s="383" t="s">
        <v>4196</v>
      </c>
      <c r="K18" s="381">
        <v>0</v>
      </c>
      <c r="L18" s="383"/>
      <c r="M18" s="383"/>
      <c r="N18" s="383" t="s">
        <v>4445</v>
      </c>
      <c r="O18" s="383" t="s">
        <v>4441</v>
      </c>
      <c r="P18" s="383"/>
      <c r="Q18" s="383"/>
      <c r="R18" s="383"/>
      <c r="S18" s="384">
        <v>45632</v>
      </c>
      <c r="T18" s="384">
        <v>45632</v>
      </c>
      <c r="U18" s="383" t="s">
        <v>4834</v>
      </c>
      <c r="V18" s="381">
        <v>300</v>
      </c>
      <c r="W18" s="381">
        <v>14040</v>
      </c>
      <c r="X18" s="385">
        <v>234.28</v>
      </c>
      <c r="Y18" s="381">
        <v>14046</v>
      </c>
      <c r="Z18" s="385">
        <v>6.5</v>
      </c>
      <c r="AA18" s="385">
        <v>0</v>
      </c>
      <c r="AB18" s="385">
        <f t="shared" si="0"/>
        <v>227.78</v>
      </c>
      <c r="AC18" s="381">
        <v>6.5</v>
      </c>
      <c r="AD18" s="385">
        <v>51260</v>
      </c>
      <c r="AE18" s="381">
        <v>6.5</v>
      </c>
      <c r="AF18" s="383">
        <v>0</v>
      </c>
      <c r="AG18" s="383">
        <v>6.5</v>
      </c>
      <c r="AH18" s="383" t="s">
        <v>944</v>
      </c>
      <c r="AI18" s="383"/>
      <c r="AJ18" s="383"/>
      <c r="AK18" s="383" t="s">
        <v>57</v>
      </c>
      <c r="AL18" s="389" t="s">
        <v>3939</v>
      </c>
      <c r="AM18" s="389" t="s">
        <v>3939</v>
      </c>
      <c r="AN18" s="393">
        <f t="shared" si="1"/>
        <v>12</v>
      </c>
      <c r="AO18" s="393">
        <f t="shared" si="2"/>
        <v>2024</v>
      </c>
      <c r="AP18" s="394">
        <f t="shared" si="3"/>
        <v>2027</v>
      </c>
      <c r="AQ18" s="395">
        <f t="shared" si="4"/>
        <v>2028</v>
      </c>
      <c r="AR18" s="396">
        <f t="shared" si="5"/>
        <v>6.5077777777777781</v>
      </c>
      <c r="AS18" s="397">
        <f t="shared" si="6"/>
        <v>78.093333333333334</v>
      </c>
      <c r="AT18" s="397">
        <f t="shared" si="7"/>
        <v>78.093333333333334</v>
      </c>
      <c r="AU18" s="397">
        <f t="shared" si="8"/>
        <v>0</v>
      </c>
      <c r="AV18" s="397">
        <f t="shared" si="9"/>
        <v>78.093333333333334</v>
      </c>
      <c r="AW18" s="398">
        <f t="shared" si="10"/>
        <v>156.18666666666667</v>
      </c>
      <c r="AX18" s="386" t="s">
        <v>62</v>
      </c>
    </row>
    <row r="19" spans="2:50" ht="15.75">
      <c r="B19" s="381">
        <v>2111</v>
      </c>
      <c r="C19" s="382">
        <v>433849</v>
      </c>
      <c r="D19" s="381">
        <v>416840</v>
      </c>
      <c r="E19" s="383" t="s">
        <v>4240</v>
      </c>
      <c r="F19" s="392" t="s">
        <v>4836</v>
      </c>
      <c r="G19" s="392"/>
      <c r="H19" s="392"/>
      <c r="I19" s="381">
        <v>1</v>
      </c>
      <c r="J19" s="383" t="s">
        <v>4837</v>
      </c>
      <c r="K19" s="381">
        <v>0</v>
      </c>
      <c r="L19" s="383"/>
      <c r="M19" s="383"/>
      <c r="N19" s="383" t="s">
        <v>4445</v>
      </c>
      <c r="O19" s="383" t="s">
        <v>4441</v>
      </c>
      <c r="P19" s="383"/>
      <c r="Q19" s="383"/>
      <c r="R19" s="383"/>
      <c r="S19" s="384">
        <v>45533</v>
      </c>
      <c r="T19" s="384">
        <v>45533</v>
      </c>
      <c r="U19" s="383" t="s">
        <v>4838</v>
      </c>
      <c r="V19" s="381">
        <v>1000</v>
      </c>
      <c r="W19" s="381">
        <v>14040</v>
      </c>
      <c r="X19" s="385">
        <v>983.91</v>
      </c>
      <c r="Y19" s="381">
        <v>14046</v>
      </c>
      <c r="Z19" s="385">
        <v>32.79</v>
      </c>
      <c r="AA19" s="385">
        <v>0</v>
      </c>
      <c r="AB19" s="385">
        <f t="shared" si="0"/>
        <v>951.12</v>
      </c>
      <c r="AC19" s="381">
        <v>32.79</v>
      </c>
      <c r="AD19" s="385">
        <v>51260</v>
      </c>
      <c r="AE19" s="381">
        <v>8.19</v>
      </c>
      <c r="AF19" s="383">
        <v>24.6</v>
      </c>
      <c r="AG19" s="383">
        <v>8.19</v>
      </c>
      <c r="AH19" s="383" t="s">
        <v>944</v>
      </c>
      <c r="AI19" s="383"/>
      <c r="AJ19" s="383"/>
      <c r="AK19" s="383" t="s">
        <v>57</v>
      </c>
      <c r="AL19" s="389" t="s">
        <v>3939</v>
      </c>
      <c r="AM19" s="389" t="s">
        <v>3939</v>
      </c>
      <c r="AN19" s="393">
        <f t="shared" si="1"/>
        <v>8</v>
      </c>
      <c r="AO19" s="393">
        <f t="shared" si="2"/>
        <v>2024</v>
      </c>
      <c r="AP19" s="394">
        <f t="shared" si="3"/>
        <v>2034</v>
      </c>
      <c r="AQ19" s="395">
        <f t="shared" si="4"/>
        <v>2034.6666666666667</v>
      </c>
      <c r="AR19" s="396">
        <f t="shared" si="5"/>
        <v>8.1992499999999993</v>
      </c>
      <c r="AS19" s="397">
        <f t="shared" si="6"/>
        <v>98.390999999999991</v>
      </c>
      <c r="AT19" s="397">
        <f t="shared" si="7"/>
        <v>98.390999999999991</v>
      </c>
      <c r="AU19" s="397">
        <f t="shared" si="8"/>
        <v>0</v>
      </c>
      <c r="AV19" s="397">
        <f t="shared" si="9"/>
        <v>98.390999999999991</v>
      </c>
      <c r="AW19" s="398">
        <f t="shared" si="10"/>
        <v>885.51900000000001</v>
      </c>
      <c r="AX19" s="386" t="s">
        <v>62</v>
      </c>
    </row>
    <row r="20" spans="2:50" ht="15.75">
      <c r="B20" s="381">
        <v>2111</v>
      </c>
      <c r="C20" s="382">
        <v>433845</v>
      </c>
      <c r="D20" s="381" t="s">
        <v>944</v>
      </c>
      <c r="E20" s="383" t="s">
        <v>4240</v>
      </c>
      <c r="F20" s="392" t="s">
        <v>4839</v>
      </c>
      <c r="G20" s="392"/>
      <c r="H20" s="392"/>
      <c r="I20" s="381">
        <v>1</v>
      </c>
      <c r="J20" s="383" t="s">
        <v>4840</v>
      </c>
      <c r="K20" s="381">
        <v>2024</v>
      </c>
      <c r="L20" s="383"/>
      <c r="M20" s="383" t="s">
        <v>2846</v>
      </c>
      <c r="N20" s="383" t="s">
        <v>4445</v>
      </c>
      <c r="O20" s="383" t="s">
        <v>4841</v>
      </c>
      <c r="P20" s="383" t="s">
        <v>4478</v>
      </c>
      <c r="Q20" s="383"/>
      <c r="R20" s="383"/>
      <c r="S20" s="384">
        <v>45615</v>
      </c>
      <c r="T20" s="384">
        <v>45615</v>
      </c>
      <c r="U20" s="383" t="s">
        <v>4842</v>
      </c>
      <c r="V20" s="381">
        <v>500</v>
      </c>
      <c r="W20" s="381">
        <v>14040</v>
      </c>
      <c r="X20" s="385">
        <v>45387.74</v>
      </c>
      <c r="Y20" s="381">
        <v>14046</v>
      </c>
      <c r="Z20" s="385">
        <v>756.46</v>
      </c>
      <c r="AA20" s="385">
        <v>0</v>
      </c>
      <c r="AB20" s="385">
        <f t="shared" si="0"/>
        <v>44631.28</v>
      </c>
      <c r="AC20" s="381">
        <v>756.46</v>
      </c>
      <c r="AD20" s="385">
        <v>51260</v>
      </c>
      <c r="AE20" s="381">
        <v>756.46</v>
      </c>
      <c r="AF20" s="383">
        <v>0</v>
      </c>
      <c r="AG20" s="383">
        <v>756.46</v>
      </c>
      <c r="AH20" s="383" t="s">
        <v>944</v>
      </c>
      <c r="AI20" s="383"/>
      <c r="AJ20" s="383"/>
      <c r="AK20" s="383" t="s">
        <v>57</v>
      </c>
      <c r="AL20" s="389" t="s">
        <v>4101</v>
      </c>
      <c r="AM20" s="389" t="s">
        <v>4101</v>
      </c>
      <c r="AN20" s="393">
        <f t="shared" si="1"/>
        <v>11</v>
      </c>
      <c r="AO20" s="393">
        <f t="shared" si="2"/>
        <v>2024</v>
      </c>
      <c r="AP20" s="394">
        <f t="shared" si="3"/>
        <v>2029</v>
      </c>
      <c r="AQ20" s="395">
        <f t="shared" si="4"/>
        <v>2029.9166666666667</v>
      </c>
      <c r="AR20" s="396">
        <f t="shared" si="5"/>
        <v>756.46233333333328</v>
      </c>
      <c r="AS20" s="397">
        <f t="shared" si="6"/>
        <v>9077.5479999999989</v>
      </c>
      <c r="AT20" s="397">
        <f t="shared" si="7"/>
        <v>9077.5479999999989</v>
      </c>
      <c r="AU20" s="397">
        <f t="shared" si="8"/>
        <v>0</v>
      </c>
      <c r="AV20" s="397">
        <f t="shared" si="9"/>
        <v>9077.5479999999989</v>
      </c>
      <c r="AW20" s="398">
        <f t="shared" si="10"/>
        <v>36310.191999999995</v>
      </c>
      <c r="AX20" s="386" t="s">
        <v>62</v>
      </c>
    </row>
    <row r="21" spans="2:50" ht="15.75">
      <c r="B21" s="381">
        <v>2111</v>
      </c>
      <c r="C21" s="382">
        <v>433840</v>
      </c>
      <c r="D21" s="381">
        <v>416835</v>
      </c>
      <c r="E21" s="383" t="s">
        <v>4240</v>
      </c>
      <c r="F21" s="392" t="s">
        <v>4843</v>
      </c>
      <c r="G21" s="392"/>
      <c r="H21" s="392"/>
      <c r="I21" s="381">
        <v>1</v>
      </c>
      <c r="J21" s="383" t="s">
        <v>4844</v>
      </c>
      <c r="K21" s="381">
        <v>0</v>
      </c>
      <c r="L21" s="383"/>
      <c r="M21" s="383"/>
      <c r="N21" s="383" t="s">
        <v>4445</v>
      </c>
      <c r="O21" s="383" t="s">
        <v>4845</v>
      </c>
      <c r="P21" s="383" t="s">
        <v>4846</v>
      </c>
      <c r="Q21" s="383"/>
      <c r="R21" s="383"/>
      <c r="S21" s="384">
        <v>45623</v>
      </c>
      <c r="T21" s="384">
        <v>45623</v>
      </c>
      <c r="U21" s="383" t="s">
        <v>4847</v>
      </c>
      <c r="V21" s="381">
        <v>100</v>
      </c>
      <c r="W21" s="381">
        <v>14040</v>
      </c>
      <c r="X21" s="385">
        <v>405.45</v>
      </c>
      <c r="Y21" s="381">
        <v>14046</v>
      </c>
      <c r="Z21" s="385">
        <v>33.78</v>
      </c>
      <c r="AA21" s="385">
        <v>0</v>
      </c>
      <c r="AB21" s="385">
        <f t="shared" si="0"/>
        <v>371.66999999999996</v>
      </c>
      <c r="AC21" s="381">
        <v>33.78</v>
      </c>
      <c r="AD21" s="385">
        <v>51260</v>
      </c>
      <c r="AE21" s="381">
        <v>33.78</v>
      </c>
      <c r="AF21" s="383">
        <v>0</v>
      </c>
      <c r="AG21" s="383">
        <v>33.78</v>
      </c>
      <c r="AH21" s="383" t="s">
        <v>944</v>
      </c>
      <c r="AI21" s="383"/>
      <c r="AJ21" s="383"/>
      <c r="AK21" s="383" t="s">
        <v>57</v>
      </c>
      <c r="AL21" s="389" t="s">
        <v>3939</v>
      </c>
      <c r="AM21" s="389" t="s">
        <v>3939</v>
      </c>
      <c r="AN21" s="393">
        <f t="shared" si="1"/>
        <v>11</v>
      </c>
      <c r="AO21" s="393">
        <f t="shared" si="2"/>
        <v>2024</v>
      </c>
      <c r="AP21" s="394">
        <f t="shared" si="3"/>
        <v>2025</v>
      </c>
      <c r="AQ21" s="395">
        <f t="shared" si="4"/>
        <v>2025.9166666666667</v>
      </c>
      <c r="AR21" s="396">
        <f t="shared" si="5"/>
        <v>33.787500000000001</v>
      </c>
      <c r="AS21" s="397">
        <f t="shared" si="6"/>
        <v>405.45000000000005</v>
      </c>
      <c r="AT21" s="397">
        <f t="shared" si="7"/>
        <v>405.45000000000005</v>
      </c>
      <c r="AU21" s="397">
        <f t="shared" si="8"/>
        <v>0</v>
      </c>
      <c r="AV21" s="397">
        <f t="shared" si="9"/>
        <v>405.45000000000005</v>
      </c>
      <c r="AW21" s="398">
        <f t="shared" si="10"/>
        <v>0</v>
      </c>
      <c r="AX21" s="386" t="s">
        <v>62</v>
      </c>
    </row>
    <row r="22" spans="2:50" ht="15.75">
      <c r="B22" s="381">
        <v>2111</v>
      </c>
      <c r="C22" s="382">
        <v>433826</v>
      </c>
      <c r="D22" s="381">
        <v>409083</v>
      </c>
      <c r="E22" s="383" t="s">
        <v>4240</v>
      </c>
      <c r="F22" s="392" t="s">
        <v>4848</v>
      </c>
      <c r="G22" s="392"/>
      <c r="H22" s="392"/>
      <c r="I22" s="381">
        <v>1</v>
      </c>
      <c r="J22" s="383" t="s">
        <v>4672</v>
      </c>
      <c r="K22" s="381">
        <v>0</v>
      </c>
      <c r="L22" s="383"/>
      <c r="M22" s="383"/>
      <c r="N22" s="383" t="s">
        <v>4445</v>
      </c>
      <c r="O22" s="383" t="s">
        <v>4845</v>
      </c>
      <c r="P22" s="383" t="s">
        <v>4846</v>
      </c>
      <c r="Q22" s="383"/>
      <c r="R22" s="383"/>
      <c r="S22" s="384">
        <v>45527</v>
      </c>
      <c r="T22" s="384">
        <v>45527</v>
      </c>
      <c r="U22" s="383" t="s">
        <v>4673</v>
      </c>
      <c r="V22" s="381">
        <v>100</v>
      </c>
      <c r="W22" s="381">
        <v>14040</v>
      </c>
      <c r="X22" s="385">
        <v>405.45</v>
      </c>
      <c r="Y22" s="381">
        <v>14046</v>
      </c>
      <c r="Z22" s="385">
        <v>135.15</v>
      </c>
      <c r="AA22" s="385">
        <v>0</v>
      </c>
      <c r="AB22" s="385">
        <f t="shared" si="0"/>
        <v>270.29999999999995</v>
      </c>
      <c r="AC22" s="381">
        <v>135.15</v>
      </c>
      <c r="AD22" s="385">
        <v>51260</v>
      </c>
      <c r="AE22" s="381">
        <v>33.78</v>
      </c>
      <c r="AF22" s="383">
        <v>101.37</v>
      </c>
      <c r="AG22" s="383">
        <v>33.78</v>
      </c>
      <c r="AH22" s="383" t="s">
        <v>944</v>
      </c>
      <c r="AI22" s="383"/>
      <c r="AJ22" s="383"/>
      <c r="AK22" s="383" t="s">
        <v>57</v>
      </c>
      <c r="AL22" s="389" t="s">
        <v>3939</v>
      </c>
      <c r="AM22" s="389" t="s">
        <v>3939</v>
      </c>
      <c r="AN22" s="393">
        <f t="shared" si="1"/>
        <v>8</v>
      </c>
      <c r="AO22" s="393">
        <f t="shared" si="2"/>
        <v>2024</v>
      </c>
      <c r="AP22" s="394">
        <f t="shared" si="3"/>
        <v>2025</v>
      </c>
      <c r="AQ22" s="395">
        <f t="shared" si="4"/>
        <v>2025.6666666666667</v>
      </c>
      <c r="AR22" s="396">
        <f t="shared" si="5"/>
        <v>33.787500000000001</v>
      </c>
      <c r="AS22" s="397">
        <f t="shared" si="6"/>
        <v>405.45000000000005</v>
      </c>
      <c r="AT22" s="397">
        <f t="shared" si="7"/>
        <v>405.45000000000005</v>
      </c>
      <c r="AU22" s="397">
        <f t="shared" si="8"/>
        <v>0</v>
      </c>
      <c r="AV22" s="397">
        <f t="shared" si="9"/>
        <v>405.45000000000005</v>
      </c>
      <c r="AW22" s="398">
        <f t="shared" si="10"/>
        <v>0</v>
      </c>
      <c r="AX22" s="386" t="s">
        <v>62</v>
      </c>
    </row>
    <row r="23" spans="2:50" ht="15.75">
      <c r="B23" s="381">
        <v>2111</v>
      </c>
      <c r="C23" s="382">
        <v>433825</v>
      </c>
      <c r="D23" s="381">
        <v>421636</v>
      </c>
      <c r="E23" s="383" t="s">
        <v>4240</v>
      </c>
      <c r="F23" s="392" t="s">
        <v>4849</v>
      </c>
      <c r="G23" s="392"/>
      <c r="H23" s="392"/>
      <c r="I23" s="381">
        <v>1</v>
      </c>
      <c r="J23" s="383" t="s">
        <v>4686</v>
      </c>
      <c r="K23" s="381">
        <v>0</v>
      </c>
      <c r="L23" s="383"/>
      <c r="M23" s="383"/>
      <c r="N23" s="383" t="s">
        <v>4445</v>
      </c>
      <c r="O23" s="383" t="s">
        <v>4643</v>
      </c>
      <c r="P23" s="383" t="s">
        <v>4463</v>
      </c>
      <c r="Q23" s="383"/>
      <c r="R23" s="383"/>
      <c r="S23" s="384">
        <v>45527</v>
      </c>
      <c r="T23" s="384">
        <v>45527</v>
      </c>
      <c r="U23" s="383" t="s">
        <v>4687</v>
      </c>
      <c r="V23" s="381">
        <v>100</v>
      </c>
      <c r="W23" s="381">
        <v>14040</v>
      </c>
      <c r="X23" s="385">
        <v>405.45</v>
      </c>
      <c r="Y23" s="381">
        <v>14046</v>
      </c>
      <c r="Z23" s="385">
        <v>135.15</v>
      </c>
      <c r="AA23" s="385">
        <v>0</v>
      </c>
      <c r="AB23" s="385">
        <f t="shared" si="0"/>
        <v>270.29999999999995</v>
      </c>
      <c r="AC23" s="381">
        <v>135.15</v>
      </c>
      <c r="AD23" s="385">
        <v>51260</v>
      </c>
      <c r="AE23" s="381">
        <v>33.78</v>
      </c>
      <c r="AF23" s="383">
        <v>101.37</v>
      </c>
      <c r="AG23" s="383">
        <v>33.78</v>
      </c>
      <c r="AH23" s="383" t="s">
        <v>944</v>
      </c>
      <c r="AI23" s="383"/>
      <c r="AJ23" s="383"/>
      <c r="AK23" s="383" t="s">
        <v>57</v>
      </c>
      <c r="AL23" s="514" t="s">
        <v>582</v>
      </c>
      <c r="AM23" s="514" t="s">
        <v>582</v>
      </c>
      <c r="AN23" s="393">
        <f t="shared" si="1"/>
        <v>8</v>
      </c>
      <c r="AO23" s="393">
        <f t="shared" si="2"/>
        <v>2024</v>
      </c>
      <c r="AP23" s="394">
        <f t="shared" si="3"/>
        <v>2025</v>
      </c>
      <c r="AQ23" s="395">
        <f t="shared" si="4"/>
        <v>2025.6666666666667</v>
      </c>
      <c r="AR23" s="396">
        <f t="shared" si="5"/>
        <v>33.787500000000001</v>
      </c>
      <c r="AS23" s="397">
        <f t="shared" si="6"/>
        <v>405.45000000000005</v>
      </c>
      <c r="AT23" s="397">
        <f t="shared" si="7"/>
        <v>405.45000000000005</v>
      </c>
      <c r="AU23" s="397">
        <f t="shared" si="8"/>
        <v>0</v>
      </c>
      <c r="AV23" s="397">
        <f t="shared" si="9"/>
        <v>405.45000000000005</v>
      </c>
      <c r="AW23" s="398">
        <f t="shared" si="10"/>
        <v>0</v>
      </c>
      <c r="AX23" s="386" t="s">
        <v>62</v>
      </c>
    </row>
    <row r="24" spans="2:50" ht="15.75">
      <c r="B24" s="381">
        <v>2111</v>
      </c>
      <c r="C24" s="382">
        <v>433822</v>
      </c>
      <c r="D24" s="381">
        <v>416840</v>
      </c>
      <c r="E24" s="383" t="s">
        <v>4240</v>
      </c>
      <c r="F24" s="392" t="s">
        <v>4850</v>
      </c>
      <c r="G24" s="392"/>
      <c r="H24" s="392"/>
      <c r="I24" s="381">
        <v>1</v>
      </c>
      <c r="J24" s="383" t="s">
        <v>4837</v>
      </c>
      <c r="K24" s="381">
        <v>0</v>
      </c>
      <c r="L24" s="383"/>
      <c r="M24" s="383"/>
      <c r="N24" s="383" t="s">
        <v>4445</v>
      </c>
      <c r="O24" s="383" t="s">
        <v>4845</v>
      </c>
      <c r="P24" s="383" t="s">
        <v>4846</v>
      </c>
      <c r="Q24" s="383"/>
      <c r="R24" s="383"/>
      <c r="S24" s="384">
        <v>45623</v>
      </c>
      <c r="T24" s="384">
        <v>45623</v>
      </c>
      <c r="U24" s="383" t="s">
        <v>4838</v>
      </c>
      <c r="V24" s="381">
        <v>100</v>
      </c>
      <c r="W24" s="381">
        <v>14040</v>
      </c>
      <c r="X24" s="385">
        <v>405.45</v>
      </c>
      <c r="Y24" s="381">
        <v>14046</v>
      </c>
      <c r="Z24" s="385">
        <v>33.78</v>
      </c>
      <c r="AA24" s="385">
        <v>0</v>
      </c>
      <c r="AB24" s="385">
        <f t="shared" si="0"/>
        <v>371.66999999999996</v>
      </c>
      <c r="AC24" s="381">
        <v>33.78</v>
      </c>
      <c r="AD24" s="385">
        <v>51260</v>
      </c>
      <c r="AE24" s="381">
        <v>33.78</v>
      </c>
      <c r="AF24" s="383">
        <v>0</v>
      </c>
      <c r="AG24" s="383">
        <v>33.78</v>
      </c>
      <c r="AH24" s="383" t="s">
        <v>944</v>
      </c>
      <c r="AI24" s="383"/>
      <c r="AJ24" s="383"/>
      <c r="AK24" s="383" t="s">
        <v>57</v>
      </c>
      <c r="AL24" s="389" t="s">
        <v>3939</v>
      </c>
      <c r="AM24" s="389" t="s">
        <v>3939</v>
      </c>
      <c r="AN24" s="393">
        <f t="shared" si="1"/>
        <v>11</v>
      </c>
      <c r="AO24" s="393">
        <f t="shared" si="2"/>
        <v>2024</v>
      </c>
      <c r="AP24" s="394">
        <f t="shared" si="3"/>
        <v>2025</v>
      </c>
      <c r="AQ24" s="395">
        <f t="shared" si="4"/>
        <v>2025.9166666666667</v>
      </c>
      <c r="AR24" s="396">
        <f t="shared" si="5"/>
        <v>33.787500000000001</v>
      </c>
      <c r="AS24" s="397">
        <f t="shared" si="6"/>
        <v>405.45000000000005</v>
      </c>
      <c r="AT24" s="397">
        <f t="shared" si="7"/>
        <v>405.45000000000005</v>
      </c>
      <c r="AU24" s="397">
        <f t="shared" si="8"/>
        <v>0</v>
      </c>
      <c r="AV24" s="397">
        <f t="shared" si="9"/>
        <v>405.45000000000005</v>
      </c>
      <c r="AW24" s="398">
        <f t="shared" si="10"/>
        <v>0</v>
      </c>
      <c r="AX24" s="386" t="s">
        <v>62</v>
      </c>
    </row>
    <row r="25" spans="2:50" ht="15.75">
      <c r="B25" s="381">
        <v>2111</v>
      </c>
      <c r="C25" s="382">
        <v>433820</v>
      </c>
      <c r="D25" s="381">
        <v>412943</v>
      </c>
      <c r="E25" s="383" t="s">
        <v>4240</v>
      </c>
      <c r="F25" s="392" t="s">
        <v>4851</v>
      </c>
      <c r="G25" s="392"/>
      <c r="H25" s="392"/>
      <c r="I25" s="381">
        <v>1</v>
      </c>
      <c r="J25" s="383" t="s">
        <v>4622</v>
      </c>
      <c r="K25" s="381">
        <v>0</v>
      </c>
      <c r="L25" s="383"/>
      <c r="M25" s="383"/>
      <c r="N25" s="383" t="s">
        <v>4445</v>
      </c>
      <c r="O25" s="383" t="s">
        <v>4845</v>
      </c>
      <c r="P25" s="383" t="s">
        <v>4846</v>
      </c>
      <c r="Q25" s="383"/>
      <c r="R25" s="383"/>
      <c r="S25" s="384">
        <v>45527</v>
      </c>
      <c r="T25" s="384">
        <v>45527</v>
      </c>
      <c r="U25" s="383" t="s">
        <v>4623</v>
      </c>
      <c r="V25" s="381">
        <v>100</v>
      </c>
      <c r="W25" s="381">
        <v>14040</v>
      </c>
      <c r="X25" s="385">
        <v>405.45</v>
      </c>
      <c r="Y25" s="381">
        <v>14046</v>
      </c>
      <c r="Z25" s="385">
        <v>135.15</v>
      </c>
      <c r="AA25" s="385">
        <v>0</v>
      </c>
      <c r="AB25" s="385">
        <f t="shared" si="0"/>
        <v>270.29999999999995</v>
      </c>
      <c r="AC25" s="381">
        <v>135.15</v>
      </c>
      <c r="AD25" s="385">
        <v>51260</v>
      </c>
      <c r="AE25" s="381">
        <v>33.78</v>
      </c>
      <c r="AF25" s="383">
        <v>101.37</v>
      </c>
      <c r="AG25" s="383">
        <v>33.78</v>
      </c>
      <c r="AH25" s="383" t="s">
        <v>944</v>
      </c>
      <c r="AI25" s="383"/>
      <c r="AJ25" s="383"/>
      <c r="AK25" s="383" t="s">
        <v>57</v>
      </c>
      <c r="AL25" s="389" t="s">
        <v>3939</v>
      </c>
      <c r="AM25" s="389" t="s">
        <v>3939</v>
      </c>
      <c r="AN25" s="393">
        <f t="shared" si="1"/>
        <v>8</v>
      </c>
      <c r="AO25" s="393">
        <f t="shared" si="2"/>
        <v>2024</v>
      </c>
      <c r="AP25" s="394">
        <f t="shared" si="3"/>
        <v>2025</v>
      </c>
      <c r="AQ25" s="395">
        <f t="shared" si="4"/>
        <v>2025.6666666666667</v>
      </c>
      <c r="AR25" s="396">
        <f t="shared" si="5"/>
        <v>33.787500000000001</v>
      </c>
      <c r="AS25" s="397">
        <f t="shared" si="6"/>
        <v>405.45000000000005</v>
      </c>
      <c r="AT25" s="397">
        <f t="shared" si="7"/>
        <v>405.45000000000005</v>
      </c>
      <c r="AU25" s="397">
        <f t="shared" si="8"/>
        <v>0</v>
      </c>
      <c r="AV25" s="397">
        <f t="shared" si="9"/>
        <v>405.45000000000005</v>
      </c>
      <c r="AW25" s="398">
        <f t="shared" si="10"/>
        <v>0</v>
      </c>
      <c r="AX25" s="386" t="s">
        <v>62</v>
      </c>
    </row>
    <row r="26" spans="2:50" ht="15.75">
      <c r="B26" s="381">
        <v>2111</v>
      </c>
      <c r="C26" s="382">
        <v>433532</v>
      </c>
      <c r="D26" s="381" t="s">
        <v>944</v>
      </c>
      <c r="E26" s="383" t="s">
        <v>4240</v>
      </c>
      <c r="F26" s="392" t="s">
        <v>4852</v>
      </c>
      <c r="G26" s="392"/>
      <c r="H26" s="392"/>
      <c r="I26" s="381">
        <v>702</v>
      </c>
      <c r="J26" s="383"/>
      <c r="K26" s="381">
        <v>0</v>
      </c>
      <c r="L26" s="383"/>
      <c r="M26" s="383"/>
      <c r="N26" s="383" t="s">
        <v>4446</v>
      </c>
      <c r="O26" s="383" t="s">
        <v>4585</v>
      </c>
      <c r="P26" s="383"/>
      <c r="Q26" s="383" t="s">
        <v>4586</v>
      </c>
      <c r="R26" s="383" t="s">
        <v>4474</v>
      </c>
      <c r="S26" s="384">
        <v>45567</v>
      </c>
      <c r="T26" s="384">
        <v>45567</v>
      </c>
      <c r="U26" s="383" t="s">
        <v>4681</v>
      </c>
      <c r="V26" s="381">
        <v>700</v>
      </c>
      <c r="W26" s="381">
        <v>14050</v>
      </c>
      <c r="X26" s="385">
        <v>39178.400000000001</v>
      </c>
      <c r="Y26" s="381">
        <v>14056</v>
      </c>
      <c r="Z26" s="385">
        <v>1399.22</v>
      </c>
      <c r="AA26" s="385">
        <v>0</v>
      </c>
      <c r="AB26" s="385">
        <f t="shared" si="0"/>
        <v>37779.18</v>
      </c>
      <c r="AC26" s="381">
        <v>1399.22</v>
      </c>
      <c r="AD26" s="385">
        <v>54260</v>
      </c>
      <c r="AE26" s="381">
        <v>466.4</v>
      </c>
      <c r="AF26" s="383">
        <v>932.82</v>
      </c>
      <c r="AG26" s="383">
        <v>466.4</v>
      </c>
      <c r="AH26" s="383" t="s">
        <v>944</v>
      </c>
      <c r="AI26" s="383"/>
      <c r="AJ26" s="383"/>
      <c r="AK26" s="383" t="s">
        <v>57</v>
      </c>
      <c r="AL26" s="414" t="s">
        <v>1011</v>
      </c>
      <c r="AM26" s="414" t="s">
        <v>1011</v>
      </c>
      <c r="AN26" s="393">
        <f t="shared" si="1"/>
        <v>10</v>
      </c>
      <c r="AO26" s="393">
        <f t="shared" si="2"/>
        <v>2024</v>
      </c>
      <c r="AP26" s="394">
        <f t="shared" si="3"/>
        <v>2031</v>
      </c>
      <c r="AQ26" s="395">
        <f t="shared" si="4"/>
        <v>2031.8333333333333</v>
      </c>
      <c r="AR26" s="396">
        <f t="shared" si="5"/>
        <v>466.40952380952382</v>
      </c>
      <c r="AS26" s="397">
        <f t="shared" si="6"/>
        <v>5596.9142857142861</v>
      </c>
      <c r="AT26" s="397">
        <f t="shared" si="7"/>
        <v>5596.9142857142861</v>
      </c>
      <c r="AU26" s="397">
        <f t="shared" si="8"/>
        <v>0</v>
      </c>
      <c r="AV26" s="397">
        <f t="shared" si="9"/>
        <v>5596.9142857142861</v>
      </c>
      <c r="AW26" s="398">
        <f t="shared" si="10"/>
        <v>33581.485714285714</v>
      </c>
      <c r="AX26" s="386" t="s">
        <v>62</v>
      </c>
    </row>
    <row r="27" spans="2:50" ht="15.75">
      <c r="B27" s="381">
        <v>2111</v>
      </c>
      <c r="C27" s="382">
        <v>433531</v>
      </c>
      <c r="D27" s="381" t="s">
        <v>944</v>
      </c>
      <c r="E27" s="383" t="s">
        <v>4240</v>
      </c>
      <c r="F27" s="392" t="s">
        <v>4697</v>
      </c>
      <c r="G27" s="392"/>
      <c r="H27" s="392"/>
      <c r="I27" s="381">
        <v>351</v>
      </c>
      <c r="J27" s="383"/>
      <c r="K27" s="381">
        <v>0</v>
      </c>
      <c r="L27" s="383"/>
      <c r="M27" s="383"/>
      <c r="N27" s="383" t="s">
        <v>4446</v>
      </c>
      <c r="O27" s="383" t="s">
        <v>4585</v>
      </c>
      <c r="P27" s="383"/>
      <c r="Q27" s="383" t="s">
        <v>4586</v>
      </c>
      <c r="R27" s="383" t="s">
        <v>4474</v>
      </c>
      <c r="S27" s="384">
        <v>45567</v>
      </c>
      <c r="T27" s="384">
        <v>45567</v>
      </c>
      <c r="U27" s="383" t="s">
        <v>4681</v>
      </c>
      <c r="V27" s="381">
        <v>700</v>
      </c>
      <c r="W27" s="381">
        <v>14050</v>
      </c>
      <c r="X27" s="385">
        <v>19589.2</v>
      </c>
      <c r="Y27" s="381">
        <v>14056</v>
      </c>
      <c r="Z27" s="385">
        <v>699.61</v>
      </c>
      <c r="AA27" s="385">
        <v>0</v>
      </c>
      <c r="AB27" s="385">
        <f t="shared" si="0"/>
        <v>18889.59</v>
      </c>
      <c r="AC27" s="381">
        <v>699.61</v>
      </c>
      <c r="AD27" s="385">
        <v>54260</v>
      </c>
      <c r="AE27" s="381">
        <v>233.21</v>
      </c>
      <c r="AF27" s="383">
        <v>466.4</v>
      </c>
      <c r="AG27" s="383">
        <v>233.21</v>
      </c>
      <c r="AH27" s="383" t="s">
        <v>944</v>
      </c>
      <c r="AI27" s="383"/>
      <c r="AJ27" s="383"/>
      <c r="AK27" s="383" t="s">
        <v>57</v>
      </c>
      <c r="AL27" s="389" t="s">
        <v>3947</v>
      </c>
      <c r="AM27" s="389" t="s">
        <v>3947</v>
      </c>
      <c r="AN27" s="393">
        <f t="shared" si="1"/>
        <v>10</v>
      </c>
      <c r="AO27" s="393">
        <f t="shared" si="2"/>
        <v>2024</v>
      </c>
      <c r="AP27" s="394">
        <f t="shared" si="3"/>
        <v>2031</v>
      </c>
      <c r="AQ27" s="395">
        <f t="shared" si="4"/>
        <v>2031.8333333333333</v>
      </c>
      <c r="AR27" s="396">
        <f t="shared" si="5"/>
        <v>233.20476190476191</v>
      </c>
      <c r="AS27" s="397">
        <f t="shared" si="6"/>
        <v>2798.457142857143</v>
      </c>
      <c r="AT27" s="397">
        <f t="shared" si="7"/>
        <v>2798.457142857143</v>
      </c>
      <c r="AU27" s="397">
        <f t="shared" si="8"/>
        <v>0</v>
      </c>
      <c r="AV27" s="397">
        <f t="shared" si="9"/>
        <v>2798.457142857143</v>
      </c>
      <c r="AW27" s="398">
        <f t="shared" si="10"/>
        <v>16790.742857142857</v>
      </c>
      <c r="AX27" s="386" t="s">
        <v>62</v>
      </c>
    </row>
    <row r="28" spans="2:50" ht="15.75">
      <c r="B28" s="381">
        <v>2111</v>
      </c>
      <c r="C28" s="382">
        <v>432500</v>
      </c>
      <c r="D28" s="381" t="s">
        <v>944</v>
      </c>
      <c r="E28" s="383" t="s">
        <v>4240</v>
      </c>
      <c r="F28" s="392" t="s">
        <v>727</v>
      </c>
      <c r="G28" s="392"/>
      <c r="H28" s="392"/>
      <c r="I28" s="381">
        <v>62</v>
      </c>
      <c r="J28" s="383"/>
      <c r="K28" s="381">
        <v>0</v>
      </c>
      <c r="L28" s="383"/>
      <c r="M28" s="383"/>
      <c r="N28" s="383" t="s">
        <v>4446</v>
      </c>
      <c r="O28" s="383" t="s">
        <v>4618</v>
      </c>
      <c r="P28" s="383"/>
      <c r="Q28" s="383" t="s">
        <v>4459</v>
      </c>
      <c r="R28" s="383" t="s">
        <v>4450</v>
      </c>
      <c r="S28" s="384">
        <v>45617</v>
      </c>
      <c r="T28" s="384">
        <v>45617</v>
      </c>
      <c r="U28" s="383" t="s">
        <v>4853</v>
      </c>
      <c r="V28" s="381">
        <v>1200</v>
      </c>
      <c r="W28" s="381">
        <v>14050</v>
      </c>
      <c r="X28" s="385">
        <v>42965.45</v>
      </c>
      <c r="Y28" s="381">
        <v>14056</v>
      </c>
      <c r="Z28" s="385">
        <v>298.37</v>
      </c>
      <c r="AA28" s="385">
        <v>0</v>
      </c>
      <c r="AB28" s="385">
        <f t="shared" si="0"/>
        <v>42667.079999999994</v>
      </c>
      <c r="AC28" s="381">
        <v>298.37</v>
      </c>
      <c r="AD28" s="385">
        <v>54260</v>
      </c>
      <c r="AE28" s="381">
        <v>298.37</v>
      </c>
      <c r="AF28" s="383">
        <v>0</v>
      </c>
      <c r="AG28" s="383">
        <v>298.37</v>
      </c>
      <c r="AH28" s="383" t="s">
        <v>944</v>
      </c>
      <c r="AI28" s="383"/>
      <c r="AJ28" s="383"/>
      <c r="AK28" s="383" t="s">
        <v>57</v>
      </c>
      <c r="AL28" s="414" t="s">
        <v>1341</v>
      </c>
      <c r="AM28" s="414" t="s">
        <v>1341</v>
      </c>
      <c r="AN28" s="393">
        <f t="shared" si="1"/>
        <v>11</v>
      </c>
      <c r="AO28" s="393">
        <f t="shared" si="2"/>
        <v>2024</v>
      </c>
      <c r="AP28" s="394">
        <f t="shared" si="3"/>
        <v>2036</v>
      </c>
      <c r="AQ28" s="395">
        <f t="shared" si="4"/>
        <v>2036.9166666666667</v>
      </c>
      <c r="AR28" s="396">
        <f t="shared" si="5"/>
        <v>298.37118055555555</v>
      </c>
      <c r="AS28" s="397">
        <f t="shared" si="6"/>
        <v>3580.4541666666664</v>
      </c>
      <c r="AT28" s="397">
        <f t="shared" si="7"/>
        <v>3580.4541666666664</v>
      </c>
      <c r="AU28" s="397">
        <f t="shared" si="8"/>
        <v>0</v>
      </c>
      <c r="AV28" s="397">
        <f t="shared" si="9"/>
        <v>3580.4541666666664</v>
      </c>
      <c r="AW28" s="398">
        <f t="shared" si="10"/>
        <v>39384.995833333334</v>
      </c>
      <c r="AX28" s="386" t="s">
        <v>62</v>
      </c>
    </row>
    <row r="29" spans="2:50" ht="15.75">
      <c r="B29" s="381">
        <v>2111</v>
      </c>
      <c r="C29" s="382">
        <v>432472</v>
      </c>
      <c r="D29" s="381" t="s">
        <v>944</v>
      </c>
      <c r="E29" s="383" t="s">
        <v>4240</v>
      </c>
      <c r="F29" s="392" t="s">
        <v>471</v>
      </c>
      <c r="G29" s="392"/>
      <c r="H29" s="392"/>
      <c r="I29" s="381">
        <v>20</v>
      </c>
      <c r="J29" s="383"/>
      <c r="K29" s="381">
        <v>0</v>
      </c>
      <c r="L29" s="383"/>
      <c r="M29" s="383"/>
      <c r="N29" s="383" t="s">
        <v>4446</v>
      </c>
      <c r="O29" s="383" t="s">
        <v>4631</v>
      </c>
      <c r="P29" s="383"/>
      <c r="Q29" s="383" t="s">
        <v>4464</v>
      </c>
      <c r="R29" s="383" t="s">
        <v>4450</v>
      </c>
      <c r="S29" s="384">
        <v>45609</v>
      </c>
      <c r="T29" s="384">
        <v>45609</v>
      </c>
      <c r="U29" s="383" t="s">
        <v>4854</v>
      </c>
      <c r="V29" s="381">
        <v>1200</v>
      </c>
      <c r="W29" s="381">
        <v>14050</v>
      </c>
      <c r="X29" s="385">
        <v>16603.8</v>
      </c>
      <c r="Y29" s="381">
        <v>14056</v>
      </c>
      <c r="Z29" s="385">
        <v>230.6</v>
      </c>
      <c r="AA29" s="385">
        <v>0</v>
      </c>
      <c r="AB29" s="385">
        <f t="shared" si="0"/>
        <v>16373.199999999999</v>
      </c>
      <c r="AC29" s="381">
        <v>230.6</v>
      </c>
      <c r="AD29" s="385">
        <v>54260</v>
      </c>
      <c r="AE29" s="381">
        <v>115.3</v>
      </c>
      <c r="AF29" s="383">
        <v>115.3</v>
      </c>
      <c r="AG29" s="383">
        <v>115.3</v>
      </c>
      <c r="AH29" s="383" t="s">
        <v>944</v>
      </c>
      <c r="AI29" s="383"/>
      <c r="AJ29" s="383"/>
      <c r="AK29" s="383" t="s">
        <v>57</v>
      </c>
      <c r="AL29" s="414" t="s">
        <v>1341</v>
      </c>
      <c r="AM29" s="414" t="s">
        <v>1341</v>
      </c>
      <c r="AN29" s="393">
        <f t="shared" si="1"/>
        <v>11</v>
      </c>
      <c r="AO29" s="393">
        <f t="shared" si="2"/>
        <v>2024</v>
      </c>
      <c r="AP29" s="394">
        <f t="shared" si="3"/>
        <v>2036</v>
      </c>
      <c r="AQ29" s="395">
        <f t="shared" si="4"/>
        <v>2036.9166666666667</v>
      </c>
      <c r="AR29" s="396">
        <f t="shared" si="5"/>
        <v>115.30416666666666</v>
      </c>
      <c r="AS29" s="397">
        <f t="shared" si="6"/>
        <v>1383.6499999999999</v>
      </c>
      <c r="AT29" s="397">
        <f t="shared" si="7"/>
        <v>1383.6499999999999</v>
      </c>
      <c r="AU29" s="397">
        <f t="shared" si="8"/>
        <v>0</v>
      </c>
      <c r="AV29" s="397">
        <f t="shared" si="9"/>
        <v>1383.6499999999999</v>
      </c>
      <c r="AW29" s="398">
        <f t="shared" si="10"/>
        <v>15220.15</v>
      </c>
      <c r="AX29" s="386" t="s">
        <v>62</v>
      </c>
    </row>
    <row r="30" spans="2:50" ht="15.75">
      <c r="B30" s="381">
        <v>2111</v>
      </c>
      <c r="C30" s="382">
        <v>432471</v>
      </c>
      <c r="D30" s="381" t="s">
        <v>944</v>
      </c>
      <c r="E30" s="383" t="s">
        <v>4240</v>
      </c>
      <c r="F30" s="392" t="s">
        <v>4855</v>
      </c>
      <c r="G30" s="392"/>
      <c r="H30" s="392"/>
      <c r="I30" s="381">
        <v>34</v>
      </c>
      <c r="J30" s="383"/>
      <c r="K30" s="381">
        <v>0</v>
      </c>
      <c r="L30" s="383"/>
      <c r="M30" s="383"/>
      <c r="N30" s="383" t="s">
        <v>4446</v>
      </c>
      <c r="O30" s="383" t="s">
        <v>4631</v>
      </c>
      <c r="P30" s="383"/>
      <c r="Q30" s="383" t="s">
        <v>4479</v>
      </c>
      <c r="R30" s="383" t="s">
        <v>4450</v>
      </c>
      <c r="S30" s="384">
        <v>45609</v>
      </c>
      <c r="T30" s="384">
        <v>45609</v>
      </c>
      <c r="U30" s="383" t="s">
        <v>4854</v>
      </c>
      <c r="V30" s="381">
        <v>1200</v>
      </c>
      <c r="W30" s="381">
        <v>14050</v>
      </c>
      <c r="X30" s="385">
        <v>38945.07</v>
      </c>
      <c r="Y30" s="381">
        <v>14056</v>
      </c>
      <c r="Z30" s="385">
        <v>540.9</v>
      </c>
      <c r="AA30" s="385">
        <v>0</v>
      </c>
      <c r="AB30" s="385">
        <f t="shared" si="0"/>
        <v>38404.17</v>
      </c>
      <c r="AC30" s="381">
        <v>540.9</v>
      </c>
      <c r="AD30" s="385">
        <v>54260</v>
      </c>
      <c r="AE30" s="381">
        <v>270.45</v>
      </c>
      <c r="AF30" s="383">
        <v>270.45</v>
      </c>
      <c r="AG30" s="383">
        <v>270.45</v>
      </c>
      <c r="AH30" s="383" t="s">
        <v>944</v>
      </c>
      <c r="AI30" s="383"/>
      <c r="AJ30" s="383"/>
      <c r="AK30" s="383" t="s">
        <v>57</v>
      </c>
      <c r="AL30" s="414" t="s">
        <v>1341</v>
      </c>
      <c r="AM30" s="414" t="s">
        <v>1341</v>
      </c>
      <c r="AN30" s="393">
        <f t="shared" si="1"/>
        <v>11</v>
      </c>
      <c r="AO30" s="393">
        <f t="shared" si="2"/>
        <v>2024</v>
      </c>
      <c r="AP30" s="394">
        <f t="shared" si="3"/>
        <v>2036</v>
      </c>
      <c r="AQ30" s="395">
        <f t="shared" si="4"/>
        <v>2036.9166666666667</v>
      </c>
      <c r="AR30" s="396">
        <f t="shared" si="5"/>
        <v>270.45187500000003</v>
      </c>
      <c r="AS30" s="397">
        <f t="shared" si="6"/>
        <v>3245.4225000000006</v>
      </c>
      <c r="AT30" s="397">
        <f t="shared" si="7"/>
        <v>3245.4225000000006</v>
      </c>
      <c r="AU30" s="397">
        <f t="shared" si="8"/>
        <v>0</v>
      </c>
      <c r="AV30" s="397">
        <f t="shared" si="9"/>
        <v>3245.4225000000006</v>
      </c>
      <c r="AW30" s="398">
        <f t="shared" si="10"/>
        <v>35699.647499999999</v>
      </c>
      <c r="AX30" s="386" t="s">
        <v>62</v>
      </c>
    </row>
    <row r="31" spans="2:50" ht="15.75">
      <c r="B31" s="381">
        <v>2111</v>
      </c>
      <c r="C31" s="382">
        <v>432193</v>
      </c>
      <c r="D31" s="381">
        <v>421636</v>
      </c>
      <c r="E31" s="383" t="s">
        <v>4240</v>
      </c>
      <c r="F31" s="392" t="s">
        <v>4856</v>
      </c>
      <c r="G31" s="392"/>
      <c r="H31" s="392"/>
      <c r="I31" s="381">
        <v>1</v>
      </c>
      <c r="J31" s="383" t="s">
        <v>4686</v>
      </c>
      <c r="K31" s="381">
        <v>0</v>
      </c>
      <c r="L31" s="383"/>
      <c r="M31" s="383"/>
      <c r="N31" s="383" t="s">
        <v>4445</v>
      </c>
      <c r="O31" s="383" t="s">
        <v>4643</v>
      </c>
      <c r="P31" s="383" t="s">
        <v>4463</v>
      </c>
      <c r="Q31" s="383"/>
      <c r="R31" s="383"/>
      <c r="S31" s="384">
        <v>45539</v>
      </c>
      <c r="T31" s="384">
        <v>45539</v>
      </c>
      <c r="U31" s="383" t="s">
        <v>4687</v>
      </c>
      <c r="V31" s="381">
        <v>800</v>
      </c>
      <c r="W31" s="381">
        <v>14040</v>
      </c>
      <c r="X31" s="385">
        <v>5150</v>
      </c>
      <c r="Y31" s="381">
        <v>14046</v>
      </c>
      <c r="Z31" s="385">
        <v>214.6</v>
      </c>
      <c r="AA31" s="385">
        <v>0</v>
      </c>
      <c r="AB31" s="385">
        <f t="shared" si="0"/>
        <v>4935.3999999999996</v>
      </c>
      <c r="AC31" s="381">
        <v>214.6</v>
      </c>
      <c r="AD31" s="385">
        <v>51260</v>
      </c>
      <c r="AE31" s="381">
        <v>53.65</v>
      </c>
      <c r="AF31" s="383">
        <v>160.94999999999999</v>
      </c>
      <c r="AG31" s="383">
        <v>53.65</v>
      </c>
      <c r="AH31" s="383" t="s">
        <v>944</v>
      </c>
      <c r="AI31" s="383"/>
      <c r="AJ31" s="383"/>
      <c r="AK31" s="383" t="s">
        <v>57</v>
      </c>
      <c r="AL31" s="389" t="s">
        <v>3939</v>
      </c>
      <c r="AM31" s="389" t="s">
        <v>3939</v>
      </c>
      <c r="AN31" s="393">
        <f t="shared" si="1"/>
        <v>9</v>
      </c>
      <c r="AO31" s="393">
        <f t="shared" si="2"/>
        <v>2024</v>
      </c>
      <c r="AP31" s="394">
        <f t="shared" si="3"/>
        <v>2032</v>
      </c>
      <c r="AQ31" s="395">
        <f t="shared" si="4"/>
        <v>2032.75</v>
      </c>
      <c r="AR31" s="396">
        <f t="shared" si="5"/>
        <v>53.645833333333336</v>
      </c>
      <c r="AS31" s="397">
        <f t="shared" si="6"/>
        <v>643.75</v>
      </c>
      <c r="AT31" s="397">
        <f t="shared" si="7"/>
        <v>643.75</v>
      </c>
      <c r="AU31" s="397">
        <f t="shared" si="8"/>
        <v>0</v>
      </c>
      <c r="AV31" s="397">
        <f t="shared" si="9"/>
        <v>643.75</v>
      </c>
      <c r="AW31" s="398">
        <f t="shared" si="10"/>
        <v>4506.25</v>
      </c>
      <c r="AX31" s="386" t="s">
        <v>62</v>
      </c>
    </row>
    <row r="32" spans="2:50" ht="15.75">
      <c r="B32" s="381">
        <v>2111</v>
      </c>
      <c r="C32" s="382">
        <v>432029</v>
      </c>
      <c r="D32" s="381">
        <v>421636</v>
      </c>
      <c r="E32" s="383" t="s">
        <v>4240</v>
      </c>
      <c r="F32" s="392" t="s">
        <v>4856</v>
      </c>
      <c r="G32" s="392"/>
      <c r="H32" s="392"/>
      <c r="I32" s="381">
        <v>1</v>
      </c>
      <c r="J32" s="383" t="s">
        <v>4686</v>
      </c>
      <c r="K32" s="381">
        <v>0</v>
      </c>
      <c r="L32" s="383"/>
      <c r="M32" s="383"/>
      <c r="N32" s="383" t="s">
        <v>4445</v>
      </c>
      <c r="O32" s="383" t="s">
        <v>4643</v>
      </c>
      <c r="P32" s="383" t="s">
        <v>4463</v>
      </c>
      <c r="Q32" s="383"/>
      <c r="R32" s="383"/>
      <c r="S32" s="384">
        <v>45539</v>
      </c>
      <c r="T32" s="384">
        <v>45539</v>
      </c>
      <c r="U32" s="383" t="s">
        <v>4687</v>
      </c>
      <c r="V32" s="381">
        <v>800</v>
      </c>
      <c r="W32" s="381">
        <v>14040</v>
      </c>
      <c r="X32" s="385">
        <v>5150</v>
      </c>
      <c r="Y32" s="381">
        <v>14046</v>
      </c>
      <c r="Z32" s="385">
        <v>214.6</v>
      </c>
      <c r="AA32" s="385">
        <v>0</v>
      </c>
      <c r="AB32" s="385">
        <f t="shared" si="0"/>
        <v>4935.3999999999996</v>
      </c>
      <c r="AC32" s="381">
        <v>214.6</v>
      </c>
      <c r="AD32" s="385">
        <v>51260</v>
      </c>
      <c r="AE32" s="381">
        <v>53.65</v>
      </c>
      <c r="AF32" s="383">
        <v>160.94999999999999</v>
      </c>
      <c r="AG32" s="383">
        <v>53.65</v>
      </c>
      <c r="AH32" s="383" t="s">
        <v>944</v>
      </c>
      <c r="AI32" s="383"/>
      <c r="AJ32" s="383"/>
      <c r="AK32" s="383" t="s">
        <v>57</v>
      </c>
      <c r="AL32" s="389" t="s">
        <v>3939</v>
      </c>
      <c r="AM32" s="389" t="s">
        <v>3939</v>
      </c>
      <c r="AN32" s="393">
        <f t="shared" si="1"/>
        <v>9</v>
      </c>
      <c r="AO32" s="393">
        <f t="shared" si="2"/>
        <v>2024</v>
      </c>
      <c r="AP32" s="394">
        <f t="shared" si="3"/>
        <v>2032</v>
      </c>
      <c r="AQ32" s="395">
        <f t="shared" si="4"/>
        <v>2032.75</v>
      </c>
      <c r="AR32" s="396">
        <f t="shared" si="5"/>
        <v>53.645833333333336</v>
      </c>
      <c r="AS32" s="397">
        <f t="shared" si="6"/>
        <v>643.75</v>
      </c>
      <c r="AT32" s="397">
        <f t="shared" si="7"/>
        <v>643.75</v>
      </c>
      <c r="AU32" s="397">
        <f t="shared" si="8"/>
        <v>0</v>
      </c>
      <c r="AV32" s="397">
        <f t="shared" si="9"/>
        <v>643.75</v>
      </c>
      <c r="AW32" s="398">
        <f t="shared" si="10"/>
        <v>4506.25</v>
      </c>
      <c r="AX32" s="386" t="s">
        <v>62</v>
      </c>
    </row>
    <row r="33" spans="2:50" ht="15.75">
      <c r="B33" s="381">
        <v>2111</v>
      </c>
      <c r="C33" s="382">
        <v>431825</v>
      </c>
      <c r="D33" s="381">
        <v>421636</v>
      </c>
      <c r="E33" s="383" t="s">
        <v>4240</v>
      </c>
      <c r="F33" s="392" t="s">
        <v>4856</v>
      </c>
      <c r="G33" s="392"/>
      <c r="H33" s="392"/>
      <c r="I33" s="381">
        <v>1</v>
      </c>
      <c r="J33" s="383" t="s">
        <v>4686</v>
      </c>
      <c r="K33" s="381">
        <v>0</v>
      </c>
      <c r="L33" s="383"/>
      <c r="M33" s="383"/>
      <c r="N33" s="383" t="s">
        <v>4445</v>
      </c>
      <c r="O33" s="383" t="s">
        <v>4643</v>
      </c>
      <c r="P33" s="383" t="s">
        <v>4463</v>
      </c>
      <c r="Q33" s="383"/>
      <c r="R33" s="383"/>
      <c r="S33" s="384">
        <v>45539</v>
      </c>
      <c r="T33" s="384">
        <v>45539</v>
      </c>
      <c r="U33" s="383" t="s">
        <v>4687</v>
      </c>
      <c r="V33" s="381">
        <v>800</v>
      </c>
      <c r="W33" s="381">
        <v>14040</v>
      </c>
      <c r="X33" s="385">
        <v>2333.19</v>
      </c>
      <c r="Y33" s="381">
        <v>14046</v>
      </c>
      <c r="Z33" s="385">
        <v>97.2</v>
      </c>
      <c r="AA33" s="385">
        <v>0</v>
      </c>
      <c r="AB33" s="385">
        <f t="shared" si="0"/>
        <v>2235.9900000000002</v>
      </c>
      <c r="AC33" s="381">
        <v>97.2</v>
      </c>
      <c r="AD33" s="385">
        <v>51260</v>
      </c>
      <c r="AE33" s="381">
        <v>24.3</v>
      </c>
      <c r="AF33" s="383">
        <v>72.900000000000006</v>
      </c>
      <c r="AG33" s="383">
        <v>24.3</v>
      </c>
      <c r="AH33" s="383" t="s">
        <v>944</v>
      </c>
      <c r="AI33" s="383"/>
      <c r="AJ33" s="383"/>
      <c r="AK33" s="383" t="s">
        <v>57</v>
      </c>
      <c r="AL33" s="389" t="s">
        <v>3939</v>
      </c>
      <c r="AM33" s="389" t="s">
        <v>3939</v>
      </c>
      <c r="AN33" s="393">
        <f t="shared" si="1"/>
        <v>9</v>
      </c>
      <c r="AO33" s="393">
        <f t="shared" si="2"/>
        <v>2024</v>
      </c>
      <c r="AP33" s="394">
        <f t="shared" si="3"/>
        <v>2032</v>
      </c>
      <c r="AQ33" s="395">
        <f t="shared" si="4"/>
        <v>2032.75</v>
      </c>
      <c r="AR33" s="396">
        <f t="shared" si="5"/>
        <v>24.304062500000001</v>
      </c>
      <c r="AS33" s="397">
        <f t="shared" si="6"/>
        <v>291.64875000000001</v>
      </c>
      <c r="AT33" s="397">
        <f t="shared" si="7"/>
        <v>291.64875000000001</v>
      </c>
      <c r="AU33" s="397">
        <f t="shared" si="8"/>
        <v>0</v>
      </c>
      <c r="AV33" s="397">
        <f t="shared" si="9"/>
        <v>291.64875000000001</v>
      </c>
      <c r="AW33" s="398">
        <f t="shared" si="10"/>
        <v>2041.54125</v>
      </c>
      <c r="AX33" s="386" t="s">
        <v>62</v>
      </c>
    </row>
    <row r="34" spans="2:50" ht="15.75">
      <c r="B34" s="381">
        <v>2111</v>
      </c>
      <c r="C34" s="382">
        <v>430834</v>
      </c>
      <c r="D34" s="381">
        <v>416840</v>
      </c>
      <c r="E34" s="383" t="s">
        <v>4240</v>
      </c>
      <c r="F34" s="392" t="s">
        <v>4857</v>
      </c>
      <c r="G34" s="392"/>
      <c r="H34" s="392"/>
      <c r="I34" s="381">
        <v>1</v>
      </c>
      <c r="J34" s="383" t="s">
        <v>4837</v>
      </c>
      <c r="K34" s="381">
        <v>2025</v>
      </c>
      <c r="L34" s="383"/>
      <c r="M34" s="383" t="s">
        <v>1483</v>
      </c>
      <c r="N34" s="383" t="s">
        <v>4445</v>
      </c>
      <c r="O34" s="383" t="s">
        <v>4545</v>
      </c>
      <c r="P34" s="383" t="s">
        <v>4482</v>
      </c>
      <c r="Q34" s="383"/>
      <c r="R34" s="383"/>
      <c r="S34" s="384">
        <v>45623</v>
      </c>
      <c r="T34" s="384">
        <v>45623</v>
      </c>
      <c r="U34" s="383" t="s">
        <v>4838</v>
      </c>
      <c r="V34" s="381">
        <v>1000</v>
      </c>
      <c r="W34" s="381">
        <v>14040</v>
      </c>
      <c r="X34" s="385">
        <v>210636.85</v>
      </c>
      <c r="Y34" s="381">
        <v>14046</v>
      </c>
      <c r="Z34" s="385">
        <v>1755.3</v>
      </c>
      <c r="AA34" s="385">
        <v>0</v>
      </c>
      <c r="AB34" s="385">
        <f t="shared" si="0"/>
        <v>208881.55000000002</v>
      </c>
      <c r="AC34" s="381">
        <v>1755.3</v>
      </c>
      <c r="AD34" s="385">
        <v>51260</v>
      </c>
      <c r="AE34" s="381">
        <v>1755.3</v>
      </c>
      <c r="AF34" s="383">
        <v>0</v>
      </c>
      <c r="AG34" s="383">
        <v>1755.3</v>
      </c>
      <c r="AH34" s="383" t="s">
        <v>944</v>
      </c>
      <c r="AI34" s="383"/>
      <c r="AJ34" s="383"/>
      <c r="AK34" s="383" t="s">
        <v>57</v>
      </c>
      <c r="AL34" s="389" t="s">
        <v>3939</v>
      </c>
      <c r="AM34" s="389" t="s">
        <v>3939</v>
      </c>
      <c r="AN34" s="393">
        <f t="shared" si="1"/>
        <v>11</v>
      </c>
      <c r="AO34" s="393">
        <f t="shared" si="2"/>
        <v>2024</v>
      </c>
      <c r="AP34" s="394">
        <f t="shared" si="3"/>
        <v>2034</v>
      </c>
      <c r="AQ34" s="395">
        <f t="shared" si="4"/>
        <v>2034.9166666666667</v>
      </c>
      <c r="AR34" s="396">
        <f t="shared" si="5"/>
        <v>1755.3070833333334</v>
      </c>
      <c r="AS34" s="397">
        <f t="shared" si="6"/>
        <v>21063.685000000001</v>
      </c>
      <c r="AT34" s="397">
        <f t="shared" si="7"/>
        <v>21063.685000000001</v>
      </c>
      <c r="AU34" s="397">
        <f t="shared" si="8"/>
        <v>0</v>
      </c>
      <c r="AV34" s="397">
        <f t="shared" si="9"/>
        <v>21063.685000000001</v>
      </c>
      <c r="AW34" s="398">
        <f t="shared" si="10"/>
        <v>189573.16500000001</v>
      </c>
      <c r="AX34" s="386" t="s">
        <v>62</v>
      </c>
    </row>
    <row r="35" spans="2:50" ht="15.75">
      <c r="B35" s="381">
        <v>2111</v>
      </c>
      <c r="C35" s="382">
        <v>430833</v>
      </c>
      <c r="D35" s="381">
        <v>416835</v>
      </c>
      <c r="E35" s="383" t="s">
        <v>4240</v>
      </c>
      <c r="F35" s="392" t="s">
        <v>4857</v>
      </c>
      <c r="G35" s="392"/>
      <c r="H35" s="392"/>
      <c r="I35" s="381">
        <v>1</v>
      </c>
      <c r="J35" s="383" t="s">
        <v>4844</v>
      </c>
      <c r="K35" s="381">
        <v>2025</v>
      </c>
      <c r="L35" s="383"/>
      <c r="M35" s="383" t="s">
        <v>1483</v>
      </c>
      <c r="N35" s="383" t="s">
        <v>4445</v>
      </c>
      <c r="O35" s="383" t="s">
        <v>4545</v>
      </c>
      <c r="P35" s="383" t="s">
        <v>4482</v>
      </c>
      <c r="Q35" s="383"/>
      <c r="R35" s="383"/>
      <c r="S35" s="384">
        <v>45623</v>
      </c>
      <c r="T35" s="384">
        <v>45623</v>
      </c>
      <c r="U35" s="383" t="s">
        <v>4847</v>
      </c>
      <c r="V35" s="381">
        <v>1000</v>
      </c>
      <c r="W35" s="381">
        <v>14040</v>
      </c>
      <c r="X35" s="385">
        <v>210636.85</v>
      </c>
      <c r="Y35" s="381">
        <v>14046</v>
      </c>
      <c r="Z35" s="385">
        <v>1755.3</v>
      </c>
      <c r="AA35" s="385">
        <v>0</v>
      </c>
      <c r="AB35" s="385">
        <f t="shared" si="0"/>
        <v>208881.55000000002</v>
      </c>
      <c r="AC35" s="381">
        <v>1755.3</v>
      </c>
      <c r="AD35" s="385">
        <v>51260</v>
      </c>
      <c r="AE35" s="381">
        <v>1755.3</v>
      </c>
      <c r="AF35" s="383">
        <v>0</v>
      </c>
      <c r="AG35" s="383">
        <v>1755.3</v>
      </c>
      <c r="AH35" s="383" t="s">
        <v>944</v>
      </c>
      <c r="AI35" s="383"/>
      <c r="AJ35" s="383"/>
      <c r="AK35" s="383" t="s">
        <v>57</v>
      </c>
      <c r="AL35" s="389" t="s">
        <v>3939</v>
      </c>
      <c r="AM35" s="389" t="s">
        <v>3939</v>
      </c>
      <c r="AN35" s="393">
        <f t="shared" si="1"/>
        <v>11</v>
      </c>
      <c r="AO35" s="393">
        <f t="shared" si="2"/>
        <v>2024</v>
      </c>
      <c r="AP35" s="394">
        <f t="shared" si="3"/>
        <v>2034</v>
      </c>
      <c r="AQ35" s="395">
        <f t="shared" si="4"/>
        <v>2034.9166666666667</v>
      </c>
      <c r="AR35" s="396">
        <f t="shared" si="5"/>
        <v>1755.3070833333334</v>
      </c>
      <c r="AS35" s="397">
        <f t="shared" si="6"/>
        <v>21063.685000000001</v>
      </c>
      <c r="AT35" s="397">
        <f t="shared" si="7"/>
        <v>21063.685000000001</v>
      </c>
      <c r="AU35" s="397">
        <f t="shared" si="8"/>
        <v>0</v>
      </c>
      <c r="AV35" s="397">
        <f t="shared" si="9"/>
        <v>21063.685000000001</v>
      </c>
      <c r="AW35" s="398">
        <f t="shared" si="10"/>
        <v>189573.16500000001</v>
      </c>
      <c r="AX35" s="386" t="s">
        <v>62</v>
      </c>
    </row>
    <row r="36" spans="2:50" ht="15.75">
      <c r="B36" s="381">
        <v>2111</v>
      </c>
      <c r="C36" s="382">
        <v>430260</v>
      </c>
      <c r="D36" s="381">
        <v>423131</v>
      </c>
      <c r="E36" s="383" t="s">
        <v>4240</v>
      </c>
      <c r="F36" s="392" t="s">
        <v>4858</v>
      </c>
      <c r="G36" s="392"/>
      <c r="H36" s="392"/>
      <c r="I36" s="381">
        <v>1</v>
      </c>
      <c r="J36" s="383"/>
      <c r="K36" s="381">
        <v>0</v>
      </c>
      <c r="L36" s="383"/>
      <c r="M36" s="383"/>
      <c r="N36" s="383" t="s">
        <v>4451</v>
      </c>
      <c r="O36" s="383" t="s">
        <v>4691</v>
      </c>
      <c r="P36" s="383"/>
      <c r="Q36" s="383"/>
      <c r="R36" s="383"/>
      <c r="S36" s="384">
        <v>45580</v>
      </c>
      <c r="T36" s="384">
        <v>45580</v>
      </c>
      <c r="U36" s="383" t="s">
        <v>4692</v>
      </c>
      <c r="V36" s="381">
        <v>500</v>
      </c>
      <c r="W36" s="381">
        <v>14070</v>
      </c>
      <c r="X36" s="385">
        <v>18431.29</v>
      </c>
      <c r="Y36" s="381">
        <v>14076</v>
      </c>
      <c r="Z36" s="385">
        <v>921.56</v>
      </c>
      <c r="AA36" s="385">
        <v>0</v>
      </c>
      <c r="AB36" s="385">
        <f t="shared" si="0"/>
        <v>17509.73</v>
      </c>
      <c r="AC36" s="381">
        <v>921.56</v>
      </c>
      <c r="AD36" s="385">
        <v>51260</v>
      </c>
      <c r="AE36" s="381">
        <v>307.18</v>
      </c>
      <c r="AF36" s="383">
        <v>614.38</v>
      </c>
      <c r="AG36" s="383">
        <v>307.18</v>
      </c>
      <c r="AH36" s="383" t="s">
        <v>944</v>
      </c>
      <c r="AI36" s="383"/>
      <c r="AJ36" s="383"/>
      <c r="AK36" s="383" t="s">
        <v>57</v>
      </c>
      <c r="AL36" s="414" t="s">
        <v>136</v>
      </c>
      <c r="AM36" s="414" t="s">
        <v>136</v>
      </c>
      <c r="AN36" s="393">
        <f t="shared" si="1"/>
        <v>10</v>
      </c>
      <c r="AO36" s="393">
        <f t="shared" si="2"/>
        <v>2024</v>
      </c>
      <c r="AP36" s="394">
        <f t="shared" si="3"/>
        <v>2029</v>
      </c>
      <c r="AQ36" s="395">
        <f t="shared" si="4"/>
        <v>2029.8333333333333</v>
      </c>
      <c r="AR36" s="396">
        <f t="shared" si="5"/>
        <v>307.18816666666669</v>
      </c>
      <c r="AS36" s="397">
        <f t="shared" si="6"/>
        <v>3686.2580000000003</v>
      </c>
      <c r="AT36" s="397">
        <f t="shared" si="7"/>
        <v>3686.2580000000003</v>
      </c>
      <c r="AU36" s="397">
        <f t="shared" si="8"/>
        <v>0</v>
      </c>
      <c r="AV36" s="397">
        <f t="shared" si="9"/>
        <v>3686.2580000000003</v>
      </c>
      <c r="AW36" s="398">
        <f t="shared" si="10"/>
        <v>14745.032000000001</v>
      </c>
      <c r="AX36" s="386" t="s">
        <v>62</v>
      </c>
    </row>
    <row r="37" spans="2:50" ht="15.75">
      <c r="B37" s="381">
        <v>2111</v>
      </c>
      <c r="C37" s="382">
        <v>429435</v>
      </c>
      <c r="D37" s="381" t="s">
        <v>944</v>
      </c>
      <c r="E37" s="383" t="s">
        <v>4240</v>
      </c>
      <c r="F37" s="392" t="s">
        <v>4697</v>
      </c>
      <c r="G37" s="392"/>
      <c r="H37" s="392"/>
      <c r="I37" s="381">
        <v>1053</v>
      </c>
      <c r="J37" s="383"/>
      <c r="K37" s="381">
        <v>0</v>
      </c>
      <c r="L37" s="383"/>
      <c r="M37" s="383"/>
      <c r="N37" s="383" t="s">
        <v>4446</v>
      </c>
      <c r="O37" s="383" t="s">
        <v>4585</v>
      </c>
      <c r="P37" s="383"/>
      <c r="Q37" s="383" t="s">
        <v>4586</v>
      </c>
      <c r="R37" s="383" t="s">
        <v>4474</v>
      </c>
      <c r="S37" s="384">
        <v>45608</v>
      </c>
      <c r="T37" s="384">
        <v>45608</v>
      </c>
      <c r="U37" s="383" t="s">
        <v>4695</v>
      </c>
      <c r="V37" s="381">
        <v>700</v>
      </c>
      <c r="W37" s="381">
        <v>14050</v>
      </c>
      <c r="X37" s="385">
        <v>58767.6</v>
      </c>
      <c r="Y37" s="381">
        <v>14056</v>
      </c>
      <c r="Z37" s="385">
        <v>0</v>
      </c>
      <c r="AA37" s="385">
        <f t="shared" ref="AA37:AA100" si="11">+X37-Z37</f>
        <v>58767.6</v>
      </c>
      <c r="AB37" s="385">
        <v>0</v>
      </c>
      <c r="AC37" s="381">
        <v>54260</v>
      </c>
      <c r="AD37" s="385">
        <v>0</v>
      </c>
      <c r="AE37" s="381" t="s">
        <v>944</v>
      </c>
      <c r="AF37" s="383"/>
      <c r="AG37" s="383"/>
      <c r="AH37" s="383" t="s">
        <v>57</v>
      </c>
      <c r="AI37" s="383" t="s">
        <v>4442</v>
      </c>
      <c r="AJ37" s="383" t="s">
        <v>4443</v>
      </c>
      <c r="AK37" s="383" t="s">
        <v>4437</v>
      </c>
      <c r="AL37" s="389" t="s">
        <v>3947</v>
      </c>
      <c r="AM37" s="389" t="s">
        <v>3947</v>
      </c>
      <c r="AN37" s="393">
        <f t="shared" ref="AN37:AN100" si="12">MONTH($S37)</f>
        <v>11</v>
      </c>
      <c r="AO37" s="393">
        <f t="shared" ref="AO37:AO100" si="13">YEAR($S37)</f>
        <v>2024</v>
      </c>
      <c r="AP37" s="394">
        <f t="shared" ref="AP37:AP100" si="14">$AO37+($V37/100)</f>
        <v>2031</v>
      </c>
      <c r="AQ37" s="395">
        <f t="shared" ref="AQ37:AQ100" si="15">$AP37+($AN37/12)</f>
        <v>2031.9166666666667</v>
      </c>
      <c r="AR37" s="396">
        <f t="shared" ref="AR37:AR100" si="16">IFERROR($X37/($V37/100)/12,0)</f>
        <v>699.61428571428576</v>
      </c>
      <c r="AS37" s="397">
        <f t="shared" ref="AS37:AS100" si="17">$AR37*12</f>
        <v>8395.3714285714286</v>
      </c>
      <c r="AT37" s="397">
        <f t="shared" ref="AT37:AT100" si="18">IF(AQ37&lt;=$AK$12,0,AS37)</f>
        <v>8395.3714285714286</v>
      </c>
      <c r="AU37" s="397">
        <f t="shared" ref="AU37:AU100" si="19">IF(AQ37&lt;=$AK$13,X37,IF(((AO37+AN37/12))&gt;=$AK$13,0,((X37-((AQ37-$AK$13)*12)*AR37))))</f>
        <v>0</v>
      </c>
      <c r="AV37" s="397">
        <f t="shared" ref="AV37:AV100" si="20">IF(AQ37&lt;=$AK$12,X37,AT37+AU37)</f>
        <v>8395.3714285714286</v>
      </c>
      <c r="AW37" s="398">
        <f t="shared" ref="AW37:AW100" si="21">+X37-AV37</f>
        <v>50372.228571428568</v>
      </c>
      <c r="AX37" s="386" t="s">
        <v>62</v>
      </c>
    </row>
    <row r="38" spans="2:50" ht="15.75">
      <c r="B38" s="381">
        <v>2111</v>
      </c>
      <c r="C38" s="382">
        <v>429428</v>
      </c>
      <c r="D38" s="381" t="s">
        <v>944</v>
      </c>
      <c r="E38" s="383" t="s">
        <v>4240</v>
      </c>
      <c r="F38" s="392" t="s">
        <v>4696</v>
      </c>
      <c r="G38" s="392"/>
      <c r="H38" s="392"/>
      <c r="I38" s="381">
        <v>351</v>
      </c>
      <c r="J38" s="383"/>
      <c r="K38" s="381">
        <v>0</v>
      </c>
      <c r="L38" s="383"/>
      <c r="M38" s="383"/>
      <c r="N38" s="383" t="s">
        <v>4446</v>
      </c>
      <c r="O38" s="383" t="s">
        <v>4585</v>
      </c>
      <c r="P38" s="383"/>
      <c r="Q38" s="383" t="s">
        <v>4586</v>
      </c>
      <c r="R38" s="383" t="s">
        <v>4474</v>
      </c>
      <c r="S38" s="384">
        <v>45608</v>
      </c>
      <c r="T38" s="384">
        <v>45608</v>
      </c>
      <c r="U38" s="383" t="s">
        <v>4695</v>
      </c>
      <c r="V38" s="381">
        <v>700</v>
      </c>
      <c r="W38" s="381">
        <v>14050</v>
      </c>
      <c r="X38" s="385">
        <v>19589.2</v>
      </c>
      <c r="Y38" s="381">
        <v>14056</v>
      </c>
      <c r="Z38" s="385">
        <v>0</v>
      </c>
      <c r="AA38" s="385">
        <f t="shared" si="11"/>
        <v>19589.2</v>
      </c>
      <c r="AB38" s="385">
        <v>0</v>
      </c>
      <c r="AC38" s="381">
        <v>54260</v>
      </c>
      <c r="AD38" s="385">
        <v>0</v>
      </c>
      <c r="AE38" s="381" t="s">
        <v>944</v>
      </c>
      <c r="AF38" s="383"/>
      <c r="AG38" s="383"/>
      <c r="AH38" s="383" t="s">
        <v>57</v>
      </c>
      <c r="AI38" s="383" t="s">
        <v>4442</v>
      </c>
      <c r="AJ38" s="383" t="s">
        <v>4443</v>
      </c>
      <c r="AK38" s="383" t="s">
        <v>4437</v>
      </c>
      <c r="AL38" s="414" t="s">
        <v>1011</v>
      </c>
      <c r="AM38" s="414" t="s">
        <v>1011</v>
      </c>
      <c r="AN38" s="393">
        <f t="shared" si="12"/>
        <v>11</v>
      </c>
      <c r="AO38" s="393">
        <f t="shared" si="13"/>
        <v>2024</v>
      </c>
      <c r="AP38" s="394">
        <f t="shared" si="14"/>
        <v>2031</v>
      </c>
      <c r="AQ38" s="395">
        <f t="shared" si="15"/>
        <v>2031.9166666666667</v>
      </c>
      <c r="AR38" s="396">
        <f t="shared" si="16"/>
        <v>233.20476190476191</v>
      </c>
      <c r="AS38" s="397">
        <f t="shared" si="17"/>
        <v>2798.457142857143</v>
      </c>
      <c r="AT38" s="397">
        <f t="shared" si="18"/>
        <v>2798.457142857143</v>
      </c>
      <c r="AU38" s="397">
        <f t="shared" si="19"/>
        <v>0</v>
      </c>
      <c r="AV38" s="397">
        <f t="shared" si="20"/>
        <v>2798.457142857143</v>
      </c>
      <c r="AW38" s="398">
        <f t="shared" si="21"/>
        <v>16790.742857142857</v>
      </c>
      <c r="AX38" s="386" t="s">
        <v>62</v>
      </c>
    </row>
    <row r="39" spans="2:50" ht="15.75">
      <c r="B39" s="381">
        <v>2111</v>
      </c>
      <c r="C39" s="382">
        <v>429371</v>
      </c>
      <c r="D39" s="381" t="s">
        <v>944</v>
      </c>
      <c r="E39" s="383" t="s">
        <v>4240</v>
      </c>
      <c r="F39" s="392" t="s">
        <v>1094</v>
      </c>
      <c r="G39" s="392"/>
      <c r="H39" s="392"/>
      <c r="I39" s="381">
        <v>936</v>
      </c>
      <c r="J39" s="383"/>
      <c r="K39" s="381">
        <v>0</v>
      </c>
      <c r="L39" s="383"/>
      <c r="M39" s="383"/>
      <c r="N39" s="383" t="s">
        <v>4446</v>
      </c>
      <c r="O39" s="383" t="s">
        <v>4585</v>
      </c>
      <c r="P39" s="383"/>
      <c r="Q39" s="383" t="s">
        <v>4608</v>
      </c>
      <c r="R39" s="383" t="s">
        <v>4474</v>
      </c>
      <c r="S39" s="384">
        <v>45565</v>
      </c>
      <c r="T39" s="384">
        <v>45565</v>
      </c>
      <c r="U39" s="383" t="s">
        <v>4681</v>
      </c>
      <c r="V39" s="381">
        <v>700</v>
      </c>
      <c r="W39" s="381">
        <v>14050</v>
      </c>
      <c r="X39" s="385">
        <v>46786.33</v>
      </c>
      <c r="Y39" s="381">
        <v>14056</v>
      </c>
      <c r="Z39" s="385">
        <v>0</v>
      </c>
      <c r="AA39" s="385">
        <f t="shared" si="11"/>
        <v>46786.33</v>
      </c>
      <c r="AB39" s="385">
        <v>0</v>
      </c>
      <c r="AC39" s="381">
        <v>54260</v>
      </c>
      <c r="AD39" s="385">
        <v>0</v>
      </c>
      <c r="AE39" s="381" t="s">
        <v>944</v>
      </c>
      <c r="AF39" s="383"/>
      <c r="AG39" s="383"/>
      <c r="AH39" s="383" t="s">
        <v>57</v>
      </c>
      <c r="AI39" s="383" t="s">
        <v>4442</v>
      </c>
      <c r="AJ39" s="383" t="s">
        <v>4443</v>
      </c>
      <c r="AK39" s="383" t="s">
        <v>4437</v>
      </c>
      <c r="AL39" s="414" t="s">
        <v>1019</v>
      </c>
      <c r="AM39" s="414" t="s">
        <v>1019</v>
      </c>
      <c r="AN39" s="393">
        <f t="shared" si="12"/>
        <v>9</v>
      </c>
      <c r="AO39" s="393">
        <f t="shared" si="13"/>
        <v>2024</v>
      </c>
      <c r="AP39" s="394">
        <f t="shared" si="14"/>
        <v>2031</v>
      </c>
      <c r="AQ39" s="395">
        <f t="shared" si="15"/>
        <v>2031.75</v>
      </c>
      <c r="AR39" s="396">
        <f t="shared" si="16"/>
        <v>556.98011904761904</v>
      </c>
      <c r="AS39" s="397">
        <f t="shared" si="17"/>
        <v>6683.761428571428</v>
      </c>
      <c r="AT39" s="397">
        <f t="shared" si="18"/>
        <v>6683.761428571428</v>
      </c>
      <c r="AU39" s="397">
        <f t="shared" si="19"/>
        <v>0</v>
      </c>
      <c r="AV39" s="397">
        <f t="shared" si="20"/>
        <v>6683.761428571428</v>
      </c>
      <c r="AW39" s="398">
        <f t="shared" si="21"/>
        <v>40102.568571428572</v>
      </c>
      <c r="AX39" s="386" t="s">
        <v>62</v>
      </c>
    </row>
    <row r="40" spans="2:50" ht="15.75">
      <c r="B40" s="381">
        <v>2111</v>
      </c>
      <c r="C40" s="382">
        <v>429370</v>
      </c>
      <c r="D40" s="381" t="s">
        <v>944</v>
      </c>
      <c r="E40" s="383" t="s">
        <v>4240</v>
      </c>
      <c r="F40" s="392" t="s">
        <v>1094</v>
      </c>
      <c r="G40" s="392"/>
      <c r="H40" s="392"/>
      <c r="I40" s="381">
        <v>816</v>
      </c>
      <c r="J40" s="383"/>
      <c r="K40" s="381">
        <v>0</v>
      </c>
      <c r="L40" s="383"/>
      <c r="M40" s="383"/>
      <c r="N40" s="383" t="s">
        <v>4446</v>
      </c>
      <c r="O40" s="383" t="s">
        <v>4585</v>
      </c>
      <c r="P40" s="383"/>
      <c r="Q40" s="383" t="s">
        <v>4608</v>
      </c>
      <c r="R40" s="383" t="s">
        <v>4474</v>
      </c>
      <c r="S40" s="384">
        <v>45608</v>
      </c>
      <c r="T40" s="384">
        <v>45608</v>
      </c>
      <c r="U40" s="383" t="s">
        <v>4695</v>
      </c>
      <c r="V40" s="381">
        <v>700</v>
      </c>
      <c r="W40" s="381">
        <v>14050</v>
      </c>
      <c r="X40" s="385">
        <v>42477.11</v>
      </c>
      <c r="Y40" s="381">
        <v>14056</v>
      </c>
      <c r="Z40" s="385">
        <v>0</v>
      </c>
      <c r="AA40" s="385">
        <f t="shared" si="11"/>
        <v>42477.11</v>
      </c>
      <c r="AB40" s="385">
        <v>0</v>
      </c>
      <c r="AC40" s="381">
        <v>54260</v>
      </c>
      <c r="AD40" s="385">
        <v>0</v>
      </c>
      <c r="AE40" s="381" t="s">
        <v>944</v>
      </c>
      <c r="AF40" s="383"/>
      <c r="AG40" s="383"/>
      <c r="AH40" s="383" t="s">
        <v>57</v>
      </c>
      <c r="AI40" s="383" t="s">
        <v>4442</v>
      </c>
      <c r="AJ40" s="383" t="s">
        <v>4443</v>
      </c>
      <c r="AK40" s="383" t="s">
        <v>4437</v>
      </c>
      <c r="AL40" s="414" t="s">
        <v>1019</v>
      </c>
      <c r="AM40" s="414" t="s">
        <v>1019</v>
      </c>
      <c r="AN40" s="393">
        <f t="shared" si="12"/>
        <v>11</v>
      </c>
      <c r="AO40" s="393">
        <f t="shared" si="13"/>
        <v>2024</v>
      </c>
      <c r="AP40" s="394">
        <f t="shared" si="14"/>
        <v>2031</v>
      </c>
      <c r="AQ40" s="395">
        <f t="shared" si="15"/>
        <v>2031.9166666666667</v>
      </c>
      <c r="AR40" s="396">
        <f t="shared" si="16"/>
        <v>505.67988095238093</v>
      </c>
      <c r="AS40" s="397">
        <f t="shared" si="17"/>
        <v>6068.1585714285711</v>
      </c>
      <c r="AT40" s="397">
        <f t="shared" si="18"/>
        <v>6068.1585714285711</v>
      </c>
      <c r="AU40" s="397">
        <f t="shared" si="19"/>
        <v>0</v>
      </c>
      <c r="AV40" s="397">
        <f t="shared" si="20"/>
        <v>6068.1585714285711</v>
      </c>
      <c r="AW40" s="398">
        <f t="shared" si="21"/>
        <v>36408.951428571432</v>
      </c>
      <c r="AX40" s="386" t="s">
        <v>62</v>
      </c>
    </row>
    <row r="41" spans="2:50" ht="15.75">
      <c r="B41" s="381">
        <v>2111</v>
      </c>
      <c r="C41" s="382">
        <v>429291</v>
      </c>
      <c r="D41" s="381" t="s">
        <v>944</v>
      </c>
      <c r="E41" s="383" t="s">
        <v>4240</v>
      </c>
      <c r="F41" s="392" t="s">
        <v>4693</v>
      </c>
      <c r="G41" s="392"/>
      <c r="H41" s="392"/>
      <c r="I41" s="381">
        <v>200</v>
      </c>
      <c r="J41" s="383"/>
      <c r="K41" s="381">
        <v>0</v>
      </c>
      <c r="L41" s="383"/>
      <c r="M41" s="383"/>
      <c r="N41" s="383" t="s">
        <v>4446</v>
      </c>
      <c r="O41" s="383" t="s">
        <v>4585</v>
      </c>
      <c r="P41" s="383"/>
      <c r="Q41" s="383" t="s">
        <v>4605</v>
      </c>
      <c r="R41" s="383" t="s">
        <v>4474</v>
      </c>
      <c r="S41" s="384">
        <v>45590</v>
      </c>
      <c r="T41" s="384">
        <v>45590</v>
      </c>
      <c r="U41" s="383" t="s">
        <v>4694</v>
      </c>
      <c r="V41" s="381">
        <v>700</v>
      </c>
      <c r="W41" s="381">
        <v>14050</v>
      </c>
      <c r="X41" s="385">
        <v>6521.22</v>
      </c>
      <c r="Y41" s="381">
        <v>14056</v>
      </c>
      <c r="Z41" s="385">
        <v>0</v>
      </c>
      <c r="AA41" s="385">
        <f t="shared" si="11"/>
        <v>6521.22</v>
      </c>
      <c r="AB41" s="385">
        <v>0</v>
      </c>
      <c r="AC41" s="381">
        <v>54260</v>
      </c>
      <c r="AD41" s="385">
        <v>0</v>
      </c>
      <c r="AE41" s="381" t="s">
        <v>944</v>
      </c>
      <c r="AF41" s="383"/>
      <c r="AG41" s="383"/>
      <c r="AH41" s="383" t="s">
        <v>57</v>
      </c>
      <c r="AI41" s="383" t="s">
        <v>4442</v>
      </c>
      <c r="AJ41" s="383" t="s">
        <v>4443</v>
      </c>
      <c r="AK41" s="383" t="s">
        <v>4437</v>
      </c>
      <c r="AL41" s="389" t="s">
        <v>3939</v>
      </c>
      <c r="AM41" s="389" t="s">
        <v>3939</v>
      </c>
      <c r="AN41" s="393">
        <f t="shared" si="12"/>
        <v>10</v>
      </c>
      <c r="AO41" s="393">
        <f t="shared" si="13"/>
        <v>2024</v>
      </c>
      <c r="AP41" s="394">
        <f t="shared" si="14"/>
        <v>2031</v>
      </c>
      <c r="AQ41" s="395">
        <f t="shared" si="15"/>
        <v>2031.8333333333333</v>
      </c>
      <c r="AR41" s="396">
        <f t="shared" si="16"/>
        <v>77.633571428571429</v>
      </c>
      <c r="AS41" s="397">
        <f t="shared" si="17"/>
        <v>931.60285714285715</v>
      </c>
      <c r="AT41" s="397">
        <f t="shared" si="18"/>
        <v>931.60285714285715</v>
      </c>
      <c r="AU41" s="397">
        <f t="shared" si="19"/>
        <v>0</v>
      </c>
      <c r="AV41" s="397">
        <f t="shared" si="20"/>
        <v>931.60285714285715</v>
      </c>
      <c r="AW41" s="398">
        <f t="shared" si="21"/>
        <v>5589.6171428571433</v>
      </c>
      <c r="AX41" s="386" t="s">
        <v>62</v>
      </c>
    </row>
    <row r="42" spans="2:50" ht="15.75">
      <c r="B42" s="381">
        <v>2111</v>
      </c>
      <c r="C42" s="382">
        <v>429194</v>
      </c>
      <c r="D42" s="381">
        <v>409083</v>
      </c>
      <c r="E42" s="383" t="s">
        <v>4240</v>
      </c>
      <c r="F42" s="392" t="s">
        <v>4677</v>
      </c>
      <c r="G42" s="392"/>
      <c r="H42" s="392"/>
      <c r="I42" s="381">
        <v>1</v>
      </c>
      <c r="J42" s="383" t="s">
        <v>4672</v>
      </c>
      <c r="K42" s="381">
        <v>0</v>
      </c>
      <c r="L42" s="383"/>
      <c r="M42" s="383"/>
      <c r="N42" s="383" t="s">
        <v>4445</v>
      </c>
      <c r="O42" s="383" t="s">
        <v>4441</v>
      </c>
      <c r="P42" s="383"/>
      <c r="Q42" s="383"/>
      <c r="R42" s="383"/>
      <c r="S42" s="384">
        <v>45533</v>
      </c>
      <c r="T42" s="384">
        <v>45533</v>
      </c>
      <c r="U42" s="383" t="s">
        <v>4673</v>
      </c>
      <c r="V42" s="381">
        <v>1000</v>
      </c>
      <c r="W42" s="381">
        <v>14040</v>
      </c>
      <c r="X42" s="385">
        <v>4484.78</v>
      </c>
      <c r="Y42" s="381">
        <v>14046</v>
      </c>
      <c r="Z42" s="385">
        <v>0</v>
      </c>
      <c r="AA42" s="385">
        <f t="shared" si="11"/>
        <v>4484.78</v>
      </c>
      <c r="AB42" s="385">
        <v>0</v>
      </c>
      <c r="AC42" s="381">
        <v>51260</v>
      </c>
      <c r="AD42" s="385">
        <v>0</v>
      </c>
      <c r="AE42" s="381" t="s">
        <v>944</v>
      </c>
      <c r="AF42" s="383"/>
      <c r="AG42" s="383"/>
      <c r="AH42" s="383" t="s">
        <v>57</v>
      </c>
      <c r="AI42" s="383" t="s">
        <v>4442</v>
      </c>
      <c r="AJ42" s="383" t="s">
        <v>4443</v>
      </c>
      <c r="AK42" s="383" t="s">
        <v>4437</v>
      </c>
      <c r="AL42" s="389" t="s">
        <v>3939</v>
      </c>
      <c r="AM42" s="389" t="s">
        <v>3939</v>
      </c>
      <c r="AN42" s="393">
        <f t="shared" si="12"/>
        <v>8</v>
      </c>
      <c r="AO42" s="393">
        <f t="shared" si="13"/>
        <v>2024</v>
      </c>
      <c r="AP42" s="394">
        <f t="shared" si="14"/>
        <v>2034</v>
      </c>
      <c r="AQ42" s="395">
        <f t="shared" si="15"/>
        <v>2034.6666666666667</v>
      </c>
      <c r="AR42" s="396">
        <f t="shared" si="16"/>
        <v>37.373166666666663</v>
      </c>
      <c r="AS42" s="397">
        <f t="shared" si="17"/>
        <v>448.47799999999995</v>
      </c>
      <c r="AT42" s="397">
        <f t="shared" si="18"/>
        <v>448.47799999999995</v>
      </c>
      <c r="AU42" s="397">
        <f t="shared" si="19"/>
        <v>0</v>
      </c>
      <c r="AV42" s="397">
        <f t="shared" si="20"/>
        <v>448.47799999999995</v>
      </c>
      <c r="AW42" s="398">
        <f t="shared" si="21"/>
        <v>4036.3019999999997</v>
      </c>
      <c r="AX42" s="386" t="s">
        <v>62</v>
      </c>
    </row>
    <row r="43" spans="2:50" ht="15.75">
      <c r="B43" s="381">
        <v>2111</v>
      </c>
      <c r="C43" s="382">
        <v>429193</v>
      </c>
      <c r="D43" s="381">
        <v>409083</v>
      </c>
      <c r="E43" s="383" t="s">
        <v>4240</v>
      </c>
      <c r="F43" s="392" t="s">
        <v>4677</v>
      </c>
      <c r="G43" s="392"/>
      <c r="H43" s="392"/>
      <c r="I43" s="381">
        <v>1</v>
      </c>
      <c r="J43" s="383" t="s">
        <v>4672</v>
      </c>
      <c r="K43" s="381">
        <v>0</v>
      </c>
      <c r="L43" s="383"/>
      <c r="M43" s="383"/>
      <c r="N43" s="383" t="s">
        <v>4445</v>
      </c>
      <c r="O43" s="383" t="s">
        <v>4441</v>
      </c>
      <c r="P43" s="383"/>
      <c r="Q43" s="383"/>
      <c r="R43" s="383"/>
      <c r="S43" s="384">
        <v>45533</v>
      </c>
      <c r="T43" s="384">
        <v>45533</v>
      </c>
      <c r="U43" s="383" t="s">
        <v>4673</v>
      </c>
      <c r="V43" s="381">
        <v>1000</v>
      </c>
      <c r="W43" s="381">
        <v>14040</v>
      </c>
      <c r="X43" s="385">
        <v>4484.78</v>
      </c>
      <c r="Y43" s="381">
        <v>14046</v>
      </c>
      <c r="Z43" s="385">
        <v>0</v>
      </c>
      <c r="AA43" s="385">
        <f t="shared" si="11"/>
        <v>4484.78</v>
      </c>
      <c r="AB43" s="385">
        <v>0</v>
      </c>
      <c r="AC43" s="381">
        <v>51260</v>
      </c>
      <c r="AD43" s="385">
        <v>0</v>
      </c>
      <c r="AE43" s="381" t="s">
        <v>944</v>
      </c>
      <c r="AF43" s="383"/>
      <c r="AG43" s="383"/>
      <c r="AH43" s="383" t="s">
        <v>57</v>
      </c>
      <c r="AI43" s="383" t="s">
        <v>4442</v>
      </c>
      <c r="AJ43" s="383" t="s">
        <v>4443</v>
      </c>
      <c r="AK43" s="383" t="s">
        <v>4437</v>
      </c>
      <c r="AL43" s="389" t="s">
        <v>3939</v>
      </c>
      <c r="AM43" s="389" t="s">
        <v>3939</v>
      </c>
      <c r="AN43" s="393">
        <f t="shared" si="12"/>
        <v>8</v>
      </c>
      <c r="AO43" s="393">
        <f t="shared" si="13"/>
        <v>2024</v>
      </c>
      <c r="AP43" s="394">
        <f t="shared" si="14"/>
        <v>2034</v>
      </c>
      <c r="AQ43" s="395">
        <f t="shared" si="15"/>
        <v>2034.6666666666667</v>
      </c>
      <c r="AR43" s="396">
        <f t="shared" si="16"/>
        <v>37.373166666666663</v>
      </c>
      <c r="AS43" s="397">
        <f t="shared" si="17"/>
        <v>448.47799999999995</v>
      </c>
      <c r="AT43" s="397">
        <f t="shared" si="18"/>
        <v>448.47799999999995</v>
      </c>
      <c r="AU43" s="397">
        <f t="shared" si="19"/>
        <v>0</v>
      </c>
      <c r="AV43" s="397">
        <f t="shared" si="20"/>
        <v>448.47799999999995</v>
      </c>
      <c r="AW43" s="398">
        <f t="shared" si="21"/>
        <v>4036.3019999999997</v>
      </c>
      <c r="AX43" s="386" t="s">
        <v>62</v>
      </c>
    </row>
    <row r="44" spans="2:50" ht="15.75">
      <c r="B44" s="381">
        <v>2111</v>
      </c>
      <c r="C44" s="382">
        <v>429192</v>
      </c>
      <c r="D44" s="381">
        <v>409083</v>
      </c>
      <c r="E44" s="383" t="s">
        <v>4240</v>
      </c>
      <c r="F44" s="392" t="s">
        <v>4677</v>
      </c>
      <c r="G44" s="392"/>
      <c r="H44" s="392"/>
      <c r="I44" s="381">
        <v>1</v>
      </c>
      <c r="J44" s="383" t="s">
        <v>4672</v>
      </c>
      <c r="K44" s="381">
        <v>0</v>
      </c>
      <c r="L44" s="383"/>
      <c r="M44" s="383"/>
      <c r="N44" s="383" t="s">
        <v>4445</v>
      </c>
      <c r="O44" s="383" t="s">
        <v>4441</v>
      </c>
      <c r="P44" s="383"/>
      <c r="Q44" s="383"/>
      <c r="R44" s="383"/>
      <c r="S44" s="384">
        <v>45533</v>
      </c>
      <c r="T44" s="384">
        <v>45533</v>
      </c>
      <c r="U44" s="383" t="s">
        <v>4673</v>
      </c>
      <c r="V44" s="381">
        <v>1000</v>
      </c>
      <c r="W44" s="381">
        <v>14040</v>
      </c>
      <c r="X44" s="385">
        <v>4484.78</v>
      </c>
      <c r="Y44" s="381">
        <v>14046</v>
      </c>
      <c r="Z44" s="385">
        <v>0</v>
      </c>
      <c r="AA44" s="385">
        <f t="shared" si="11"/>
        <v>4484.78</v>
      </c>
      <c r="AB44" s="385">
        <v>0</v>
      </c>
      <c r="AC44" s="381">
        <v>51260</v>
      </c>
      <c r="AD44" s="385">
        <v>0</v>
      </c>
      <c r="AE44" s="381" t="s">
        <v>944</v>
      </c>
      <c r="AF44" s="383"/>
      <c r="AG44" s="383"/>
      <c r="AH44" s="383" t="s">
        <v>57</v>
      </c>
      <c r="AI44" s="383" t="s">
        <v>4442</v>
      </c>
      <c r="AJ44" s="383" t="s">
        <v>4443</v>
      </c>
      <c r="AK44" s="383" t="s">
        <v>4437</v>
      </c>
      <c r="AL44" s="389" t="s">
        <v>3939</v>
      </c>
      <c r="AM44" s="389" t="s">
        <v>3939</v>
      </c>
      <c r="AN44" s="393">
        <f t="shared" si="12"/>
        <v>8</v>
      </c>
      <c r="AO44" s="393">
        <f t="shared" si="13"/>
        <v>2024</v>
      </c>
      <c r="AP44" s="394">
        <f t="shared" si="14"/>
        <v>2034</v>
      </c>
      <c r="AQ44" s="395">
        <f t="shared" si="15"/>
        <v>2034.6666666666667</v>
      </c>
      <c r="AR44" s="396">
        <f t="shared" si="16"/>
        <v>37.373166666666663</v>
      </c>
      <c r="AS44" s="397">
        <f t="shared" si="17"/>
        <v>448.47799999999995</v>
      </c>
      <c r="AT44" s="397">
        <f t="shared" si="18"/>
        <v>448.47799999999995</v>
      </c>
      <c r="AU44" s="397">
        <f t="shared" si="19"/>
        <v>0</v>
      </c>
      <c r="AV44" s="397">
        <f t="shared" si="20"/>
        <v>448.47799999999995</v>
      </c>
      <c r="AW44" s="398">
        <f t="shared" si="21"/>
        <v>4036.3019999999997</v>
      </c>
      <c r="AX44" s="386" t="s">
        <v>62</v>
      </c>
    </row>
    <row r="45" spans="2:50" ht="15.75">
      <c r="B45" s="381">
        <v>2111</v>
      </c>
      <c r="C45" s="382">
        <v>429191</v>
      </c>
      <c r="D45" s="381">
        <v>409083</v>
      </c>
      <c r="E45" s="383" t="s">
        <v>4240</v>
      </c>
      <c r="F45" s="392" t="s">
        <v>4677</v>
      </c>
      <c r="G45" s="392"/>
      <c r="H45" s="392"/>
      <c r="I45" s="381">
        <v>1</v>
      </c>
      <c r="J45" s="383" t="s">
        <v>4672</v>
      </c>
      <c r="K45" s="381">
        <v>0</v>
      </c>
      <c r="L45" s="383"/>
      <c r="M45" s="383"/>
      <c r="N45" s="383" t="s">
        <v>4445</v>
      </c>
      <c r="O45" s="383" t="s">
        <v>4441</v>
      </c>
      <c r="P45" s="383"/>
      <c r="Q45" s="383"/>
      <c r="R45" s="383"/>
      <c r="S45" s="384">
        <v>45533</v>
      </c>
      <c r="T45" s="384">
        <v>45533</v>
      </c>
      <c r="U45" s="383" t="s">
        <v>4673</v>
      </c>
      <c r="V45" s="381">
        <v>1000</v>
      </c>
      <c r="W45" s="381">
        <v>14040</v>
      </c>
      <c r="X45" s="385">
        <v>4484.78</v>
      </c>
      <c r="Y45" s="381">
        <v>14046</v>
      </c>
      <c r="Z45" s="385">
        <v>0</v>
      </c>
      <c r="AA45" s="385">
        <f t="shared" si="11"/>
        <v>4484.78</v>
      </c>
      <c r="AB45" s="385">
        <v>0</v>
      </c>
      <c r="AC45" s="381">
        <v>51260</v>
      </c>
      <c r="AD45" s="385">
        <v>0</v>
      </c>
      <c r="AE45" s="381" t="s">
        <v>944</v>
      </c>
      <c r="AF45" s="383"/>
      <c r="AG45" s="383"/>
      <c r="AH45" s="383" t="s">
        <v>57</v>
      </c>
      <c r="AI45" s="383" t="s">
        <v>4442</v>
      </c>
      <c r="AJ45" s="383" t="s">
        <v>4443</v>
      </c>
      <c r="AK45" s="383" t="s">
        <v>4437</v>
      </c>
      <c r="AL45" s="389" t="s">
        <v>3939</v>
      </c>
      <c r="AM45" s="389" t="s">
        <v>3939</v>
      </c>
      <c r="AN45" s="393">
        <f t="shared" si="12"/>
        <v>8</v>
      </c>
      <c r="AO45" s="393">
        <f t="shared" si="13"/>
        <v>2024</v>
      </c>
      <c r="AP45" s="394">
        <f t="shared" si="14"/>
        <v>2034</v>
      </c>
      <c r="AQ45" s="395">
        <f t="shared" si="15"/>
        <v>2034.6666666666667</v>
      </c>
      <c r="AR45" s="396">
        <f t="shared" si="16"/>
        <v>37.373166666666663</v>
      </c>
      <c r="AS45" s="397">
        <f t="shared" si="17"/>
        <v>448.47799999999995</v>
      </c>
      <c r="AT45" s="397">
        <f t="shared" si="18"/>
        <v>448.47799999999995</v>
      </c>
      <c r="AU45" s="397">
        <f t="shared" si="19"/>
        <v>0</v>
      </c>
      <c r="AV45" s="397">
        <f t="shared" si="20"/>
        <v>448.47799999999995</v>
      </c>
      <c r="AW45" s="398">
        <f t="shared" si="21"/>
        <v>4036.3019999999997</v>
      </c>
      <c r="AX45" s="386" t="s">
        <v>62</v>
      </c>
    </row>
    <row r="46" spans="2:50" ht="15.75">
      <c r="B46" s="381">
        <v>2111</v>
      </c>
      <c r="C46" s="382">
        <v>429190</v>
      </c>
      <c r="D46" s="381">
        <v>409083</v>
      </c>
      <c r="E46" s="383" t="s">
        <v>4240</v>
      </c>
      <c r="F46" s="392" t="s">
        <v>4677</v>
      </c>
      <c r="G46" s="392"/>
      <c r="H46" s="392"/>
      <c r="I46" s="381">
        <v>1</v>
      </c>
      <c r="J46" s="383" t="s">
        <v>4672</v>
      </c>
      <c r="K46" s="381">
        <v>0</v>
      </c>
      <c r="L46" s="383"/>
      <c r="M46" s="383"/>
      <c r="N46" s="383" t="s">
        <v>4445</v>
      </c>
      <c r="O46" s="383" t="s">
        <v>4441</v>
      </c>
      <c r="P46" s="383"/>
      <c r="Q46" s="383"/>
      <c r="R46" s="383"/>
      <c r="S46" s="384">
        <v>45533</v>
      </c>
      <c r="T46" s="384">
        <v>45533</v>
      </c>
      <c r="U46" s="383" t="s">
        <v>4673</v>
      </c>
      <c r="V46" s="381">
        <v>1000</v>
      </c>
      <c r="W46" s="381">
        <v>14040</v>
      </c>
      <c r="X46" s="385">
        <v>4484.8</v>
      </c>
      <c r="Y46" s="381">
        <v>14046</v>
      </c>
      <c r="Z46" s="385">
        <v>0</v>
      </c>
      <c r="AA46" s="385">
        <f t="shared" si="11"/>
        <v>4484.8</v>
      </c>
      <c r="AB46" s="385">
        <v>0</v>
      </c>
      <c r="AC46" s="381">
        <v>51260</v>
      </c>
      <c r="AD46" s="385">
        <v>0</v>
      </c>
      <c r="AE46" s="381" t="s">
        <v>944</v>
      </c>
      <c r="AF46" s="383"/>
      <c r="AG46" s="383"/>
      <c r="AH46" s="383" t="s">
        <v>57</v>
      </c>
      <c r="AI46" s="383" t="s">
        <v>4442</v>
      </c>
      <c r="AJ46" s="383" t="s">
        <v>4443</v>
      </c>
      <c r="AK46" s="383" t="s">
        <v>4437</v>
      </c>
      <c r="AL46" s="389" t="s">
        <v>3939</v>
      </c>
      <c r="AM46" s="389" t="s">
        <v>3939</v>
      </c>
      <c r="AN46" s="393">
        <f t="shared" si="12"/>
        <v>8</v>
      </c>
      <c r="AO46" s="393">
        <f t="shared" si="13"/>
        <v>2024</v>
      </c>
      <c r="AP46" s="394">
        <f t="shared" si="14"/>
        <v>2034</v>
      </c>
      <c r="AQ46" s="395">
        <f t="shared" si="15"/>
        <v>2034.6666666666667</v>
      </c>
      <c r="AR46" s="396">
        <f t="shared" si="16"/>
        <v>37.373333333333335</v>
      </c>
      <c r="AS46" s="397">
        <f t="shared" si="17"/>
        <v>448.48</v>
      </c>
      <c r="AT46" s="397">
        <f t="shared" si="18"/>
        <v>448.48</v>
      </c>
      <c r="AU46" s="397">
        <f t="shared" si="19"/>
        <v>0</v>
      </c>
      <c r="AV46" s="397">
        <f t="shared" si="20"/>
        <v>448.48</v>
      </c>
      <c r="AW46" s="398">
        <f t="shared" si="21"/>
        <v>4036.32</v>
      </c>
      <c r="AX46" s="386" t="s">
        <v>62</v>
      </c>
    </row>
    <row r="47" spans="2:50" ht="15.75">
      <c r="B47" s="381">
        <v>2111</v>
      </c>
      <c r="C47" s="382">
        <v>428904</v>
      </c>
      <c r="D47" s="381">
        <v>409083</v>
      </c>
      <c r="E47" s="383" t="s">
        <v>4240</v>
      </c>
      <c r="F47" s="392" t="s">
        <v>4676</v>
      </c>
      <c r="G47" s="392"/>
      <c r="H47" s="392"/>
      <c r="I47" s="381">
        <v>1</v>
      </c>
      <c r="J47" s="383" t="s">
        <v>4672</v>
      </c>
      <c r="K47" s="381">
        <v>0</v>
      </c>
      <c r="L47" s="383"/>
      <c r="M47" s="383"/>
      <c r="N47" s="383" t="s">
        <v>4445</v>
      </c>
      <c r="O47" s="383" t="s">
        <v>4441</v>
      </c>
      <c r="P47" s="383"/>
      <c r="Q47" s="383"/>
      <c r="R47" s="383"/>
      <c r="S47" s="384">
        <v>45533</v>
      </c>
      <c r="T47" s="384">
        <v>45533</v>
      </c>
      <c r="U47" s="383" t="s">
        <v>4673</v>
      </c>
      <c r="V47" s="381">
        <v>1000</v>
      </c>
      <c r="W47" s="381">
        <v>14040</v>
      </c>
      <c r="X47" s="385">
        <v>1167.06</v>
      </c>
      <c r="Y47" s="381">
        <v>14046</v>
      </c>
      <c r="Z47" s="385">
        <v>0</v>
      </c>
      <c r="AA47" s="385">
        <f t="shared" si="11"/>
        <v>1167.06</v>
      </c>
      <c r="AB47" s="385">
        <v>0</v>
      </c>
      <c r="AC47" s="381">
        <v>51260</v>
      </c>
      <c r="AD47" s="385">
        <v>0</v>
      </c>
      <c r="AE47" s="381" t="s">
        <v>944</v>
      </c>
      <c r="AF47" s="383"/>
      <c r="AG47" s="383"/>
      <c r="AH47" s="383" t="s">
        <v>57</v>
      </c>
      <c r="AI47" s="383" t="s">
        <v>4442</v>
      </c>
      <c r="AJ47" s="383" t="s">
        <v>4443</v>
      </c>
      <c r="AK47" s="383" t="s">
        <v>4437</v>
      </c>
      <c r="AL47" s="389" t="s">
        <v>3939</v>
      </c>
      <c r="AM47" s="389" t="s">
        <v>3939</v>
      </c>
      <c r="AN47" s="393">
        <f t="shared" si="12"/>
        <v>8</v>
      </c>
      <c r="AO47" s="393">
        <f t="shared" si="13"/>
        <v>2024</v>
      </c>
      <c r="AP47" s="394">
        <f t="shared" si="14"/>
        <v>2034</v>
      </c>
      <c r="AQ47" s="395">
        <f t="shared" si="15"/>
        <v>2034.6666666666667</v>
      </c>
      <c r="AR47" s="396">
        <f t="shared" si="16"/>
        <v>9.7254999999999985</v>
      </c>
      <c r="AS47" s="397">
        <f t="shared" si="17"/>
        <v>116.70599999999999</v>
      </c>
      <c r="AT47" s="397">
        <f t="shared" si="18"/>
        <v>116.70599999999999</v>
      </c>
      <c r="AU47" s="397">
        <f t="shared" si="19"/>
        <v>0</v>
      </c>
      <c r="AV47" s="397">
        <f t="shared" si="20"/>
        <v>116.70599999999999</v>
      </c>
      <c r="AW47" s="398">
        <f t="shared" si="21"/>
        <v>1050.354</v>
      </c>
      <c r="AX47" s="386" t="s">
        <v>62</v>
      </c>
    </row>
    <row r="48" spans="2:50" ht="15.75">
      <c r="B48" s="381">
        <v>2111</v>
      </c>
      <c r="C48" s="382">
        <v>428897</v>
      </c>
      <c r="D48" s="381">
        <v>409083</v>
      </c>
      <c r="E48" s="383" t="s">
        <v>4240</v>
      </c>
      <c r="F48" s="392" t="s">
        <v>4675</v>
      </c>
      <c r="G48" s="392"/>
      <c r="H48" s="392"/>
      <c r="I48" s="381">
        <v>1</v>
      </c>
      <c r="J48" s="383" t="s">
        <v>4672</v>
      </c>
      <c r="K48" s="381">
        <v>2024</v>
      </c>
      <c r="L48" s="383"/>
      <c r="M48" s="383" t="s">
        <v>1483</v>
      </c>
      <c r="N48" s="383" t="s">
        <v>4445</v>
      </c>
      <c r="O48" s="383" t="s">
        <v>4441</v>
      </c>
      <c r="P48" s="383" t="s">
        <v>4482</v>
      </c>
      <c r="Q48" s="383"/>
      <c r="R48" s="383"/>
      <c r="S48" s="384">
        <v>45579</v>
      </c>
      <c r="T48" s="384">
        <v>45579</v>
      </c>
      <c r="U48" s="383" t="s">
        <v>4673</v>
      </c>
      <c r="V48" s="381">
        <v>1000</v>
      </c>
      <c r="W48" s="381">
        <v>14040</v>
      </c>
      <c r="X48" s="385">
        <v>210636.85</v>
      </c>
      <c r="Y48" s="381">
        <v>14046</v>
      </c>
      <c r="Z48" s="385">
        <v>0</v>
      </c>
      <c r="AA48" s="385">
        <f t="shared" si="11"/>
        <v>210636.85</v>
      </c>
      <c r="AB48" s="385">
        <v>0</v>
      </c>
      <c r="AC48" s="381">
        <v>51260</v>
      </c>
      <c r="AD48" s="385">
        <v>0</v>
      </c>
      <c r="AE48" s="381" t="s">
        <v>944</v>
      </c>
      <c r="AF48" s="383"/>
      <c r="AG48" s="383"/>
      <c r="AH48" s="383" t="s">
        <v>57</v>
      </c>
      <c r="AI48" s="383" t="s">
        <v>4442</v>
      </c>
      <c r="AJ48" s="383" t="s">
        <v>4443</v>
      </c>
      <c r="AK48" s="383" t="s">
        <v>4437</v>
      </c>
      <c r="AL48" s="389" t="s">
        <v>3939</v>
      </c>
      <c r="AM48" s="389" t="s">
        <v>3939</v>
      </c>
      <c r="AN48" s="393">
        <f t="shared" si="12"/>
        <v>10</v>
      </c>
      <c r="AO48" s="393">
        <f t="shared" si="13"/>
        <v>2024</v>
      </c>
      <c r="AP48" s="394">
        <f t="shared" si="14"/>
        <v>2034</v>
      </c>
      <c r="AQ48" s="395">
        <f t="shared" si="15"/>
        <v>2034.8333333333333</v>
      </c>
      <c r="AR48" s="396">
        <f t="shared" si="16"/>
        <v>1755.3070833333334</v>
      </c>
      <c r="AS48" s="397">
        <f t="shared" si="17"/>
        <v>21063.685000000001</v>
      </c>
      <c r="AT48" s="397">
        <f t="shared" si="18"/>
        <v>21063.685000000001</v>
      </c>
      <c r="AU48" s="397">
        <f t="shared" si="19"/>
        <v>0</v>
      </c>
      <c r="AV48" s="397">
        <f t="shared" si="20"/>
        <v>21063.685000000001</v>
      </c>
      <c r="AW48" s="398">
        <f t="shared" si="21"/>
        <v>189573.16500000001</v>
      </c>
      <c r="AX48" s="386" t="s">
        <v>62</v>
      </c>
    </row>
    <row r="49" spans="2:50" ht="15.75">
      <c r="B49" s="381">
        <v>2111</v>
      </c>
      <c r="C49" s="382">
        <v>428762</v>
      </c>
      <c r="D49" s="381">
        <v>421636</v>
      </c>
      <c r="E49" s="383" t="s">
        <v>4240</v>
      </c>
      <c r="F49" s="392" t="s">
        <v>4688</v>
      </c>
      <c r="G49" s="392"/>
      <c r="H49" s="392"/>
      <c r="I49" s="381">
        <v>1</v>
      </c>
      <c r="J49" s="383" t="s">
        <v>4686</v>
      </c>
      <c r="K49" s="381">
        <v>0</v>
      </c>
      <c r="L49" s="383"/>
      <c r="M49" s="383"/>
      <c r="N49" s="383" t="s">
        <v>4445</v>
      </c>
      <c r="O49" s="383" t="s">
        <v>4643</v>
      </c>
      <c r="P49" s="383" t="s">
        <v>4463</v>
      </c>
      <c r="Q49" s="383"/>
      <c r="R49" s="383"/>
      <c r="S49" s="384">
        <v>45539</v>
      </c>
      <c r="T49" s="384">
        <v>45539</v>
      </c>
      <c r="U49" s="383" t="s">
        <v>4687</v>
      </c>
      <c r="V49" s="381">
        <v>1000</v>
      </c>
      <c r="W49" s="381">
        <v>14040</v>
      </c>
      <c r="X49" s="385">
        <v>989.1</v>
      </c>
      <c r="Y49" s="381">
        <v>14046</v>
      </c>
      <c r="Z49" s="385">
        <v>0</v>
      </c>
      <c r="AA49" s="385">
        <f t="shared" si="11"/>
        <v>989.1</v>
      </c>
      <c r="AB49" s="385">
        <v>0</v>
      </c>
      <c r="AC49" s="381">
        <v>51260</v>
      </c>
      <c r="AD49" s="385">
        <v>0</v>
      </c>
      <c r="AE49" s="381" t="s">
        <v>944</v>
      </c>
      <c r="AF49" s="383"/>
      <c r="AG49" s="383"/>
      <c r="AH49" s="383" t="s">
        <v>57</v>
      </c>
      <c r="AI49" s="383" t="s">
        <v>4442</v>
      </c>
      <c r="AJ49" s="383" t="s">
        <v>4443</v>
      </c>
      <c r="AK49" s="383" t="s">
        <v>4437</v>
      </c>
      <c r="AL49" s="414" t="s">
        <v>582</v>
      </c>
      <c r="AM49" s="414" t="s">
        <v>582</v>
      </c>
      <c r="AN49" s="393">
        <f t="shared" si="12"/>
        <v>9</v>
      </c>
      <c r="AO49" s="393">
        <f t="shared" si="13"/>
        <v>2024</v>
      </c>
      <c r="AP49" s="394">
        <f t="shared" si="14"/>
        <v>2034</v>
      </c>
      <c r="AQ49" s="395">
        <f t="shared" si="15"/>
        <v>2034.75</v>
      </c>
      <c r="AR49" s="396">
        <f t="shared" si="16"/>
        <v>8.2424999999999997</v>
      </c>
      <c r="AS49" s="397">
        <f t="shared" si="17"/>
        <v>98.91</v>
      </c>
      <c r="AT49" s="397">
        <f t="shared" si="18"/>
        <v>98.91</v>
      </c>
      <c r="AU49" s="397">
        <f t="shared" si="19"/>
        <v>0</v>
      </c>
      <c r="AV49" s="397">
        <f t="shared" si="20"/>
        <v>98.91</v>
      </c>
      <c r="AW49" s="398">
        <f t="shared" si="21"/>
        <v>890.19</v>
      </c>
      <c r="AX49" s="386" t="s">
        <v>62</v>
      </c>
    </row>
    <row r="50" spans="2:50" ht="15.75">
      <c r="B50" s="381">
        <v>2111</v>
      </c>
      <c r="C50" s="382">
        <v>423131</v>
      </c>
      <c r="D50" s="381" t="s">
        <v>944</v>
      </c>
      <c r="E50" s="383" t="s">
        <v>4240</v>
      </c>
      <c r="F50" s="392" t="s">
        <v>4690</v>
      </c>
      <c r="G50" s="392"/>
      <c r="H50" s="392"/>
      <c r="I50" s="381">
        <v>40</v>
      </c>
      <c r="J50" s="383"/>
      <c r="K50" s="381">
        <v>0</v>
      </c>
      <c r="L50" s="383"/>
      <c r="M50" s="383"/>
      <c r="N50" s="383" t="s">
        <v>4451</v>
      </c>
      <c r="O50" s="383" t="s">
        <v>4691</v>
      </c>
      <c r="P50" s="383"/>
      <c r="Q50" s="383"/>
      <c r="R50" s="383"/>
      <c r="S50" s="384">
        <v>45580</v>
      </c>
      <c r="T50" s="384">
        <v>45580</v>
      </c>
      <c r="U50" s="383" t="s">
        <v>4692</v>
      </c>
      <c r="V50" s="381">
        <v>500</v>
      </c>
      <c r="W50" s="381">
        <v>14070</v>
      </c>
      <c r="X50" s="385">
        <v>7820.4</v>
      </c>
      <c r="Y50" s="381">
        <v>14076</v>
      </c>
      <c r="Z50" s="385">
        <v>0</v>
      </c>
      <c r="AA50" s="385">
        <f t="shared" si="11"/>
        <v>7820.4</v>
      </c>
      <c r="AB50" s="385">
        <v>0</v>
      </c>
      <c r="AC50" s="381">
        <v>51260</v>
      </c>
      <c r="AD50" s="385">
        <v>0</v>
      </c>
      <c r="AE50" s="381" t="s">
        <v>944</v>
      </c>
      <c r="AF50" s="383"/>
      <c r="AG50" s="383"/>
      <c r="AH50" s="383" t="s">
        <v>57</v>
      </c>
      <c r="AI50" s="383" t="s">
        <v>4442</v>
      </c>
      <c r="AJ50" s="383" t="s">
        <v>4443</v>
      </c>
      <c r="AK50" s="383" t="s">
        <v>4437</v>
      </c>
      <c r="AL50" s="414" t="s">
        <v>136</v>
      </c>
      <c r="AM50" s="414" t="s">
        <v>136</v>
      </c>
      <c r="AN50" s="393">
        <f t="shared" si="12"/>
        <v>10</v>
      </c>
      <c r="AO50" s="393">
        <f t="shared" si="13"/>
        <v>2024</v>
      </c>
      <c r="AP50" s="394">
        <f t="shared" si="14"/>
        <v>2029</v>
      </c>
      <c r="AQ50" s="395">
        <f t="shared" si="15"/>
        <v>2029.8333333333333</v>
      </c>
      <c r="AR50" s="396">
        <f t="shared" si="16"/>
        <v>130.34</v>
      </c>
      <c r="AS50" s="397">
        <f t="shared" si="17"/>
        <v>1564.08</v>
      </c>
      <c r="AT50" s="397">
        <f t="shared" si="18"/>
        <v>1564.08</v>
      </c>
      <c r="AU50" s="397">
        <f t="shared" si="19"/>
        <v>0</v>
      </c>
      <c r="AV50" s="397">
        <f t="shared" si="20"/>
        <v>1564.08</v>
      </c>
      <c r="AW50" s="398">
        <f t="shared" si="21"/>
        <v>6256.32</v>
      </c>
      <c r="AX50" s="386" t="s">
        <v>62</v>
      </c>
    </row>
    <row r="51" spans="2:50" ht="15.75">
      <c r="B51" s="381">
        <v>2111</v>
      </c>
      <c r="C51" s="382">
        <v>423073</v>
      </c>
      <c r="D51" s="381" t="s">
        <v>944</v>
      </c>
      <c r="E51" s="383" t="s">
        <v>4240</v>
      </c>
      <c r="F51" s="392" t="s">
        <v>730</v>
      </c>
      <c r="G51" s="392"/>
      <c r="H51" s="392"/>
      <c r="I51" s="381">
        <v>60</v>
      </c>
      <c r="J51" s="383"/>
      <c r="K51" s="381">
        <v>0</v>
      </c>
      <c r="L51" s="383"/>
      <c r="M51" s="383"/>
      <c r="N51" s="383" t="s">
        <v>4446</v>
      </c>
      <c r="O51" s="383" t="s">
        <v>4618</v>
      </c>
      <c r="P51" s="383"/>
      <c r="Q51" s="383" t="s">
        <v>4459</v>
      </c>
      <c r="R51" s="383" t="s">
        <v>4450</v>
      </c>
      <c r="S51" s="384">
        <v>45580</v>
      </c>
      <c r="T51" s="384">
        <v>45580</v>
      </c>
      <c r="U51" s="383" t="s">
        <v>4689</v>
      </c>
      <c r="V51" s="381">
        <v>1200</v>
      </c>
      <c r="W51" s="381">
        <v>14050</v>
      </c>
      <c r="X51" s="385">
        <v>46027.31</v>
      </c>
      <c r="Y51" s="381">
        <v>14056</v>
      </c>
      <c r="Z51" s="385">
        <v>0</v>
      </c>
      <c r="AA51" s="385">
        <f t="shared" si="11"/>
        <v>46027.31</v>
      </c>
      <c r="AB51" s="385">
        <v>0</v>
      </c>
      <c r="AC51" s="381">
        <v>54260</v>
      </c>
      <c r="AD51" s="385">
        <v>0</v>
      </c>
      <c r="AE51" s="381" t="s">
        <v>944</v>
      </c>
      <c r="AF51" s="383"/>
      <c r="AG51" s="383"/>
      <c r="AH51" s="383" t="s">
        <v>57</v>
      </c>
      <c r="AI51" s="383" t="s">
        <v>4442</v>
      </c>
      <c r="AJ51" s="383" t="s">
        <v>4443</v>
      </c>
      <c r="AK51" s="383" t="s">
        <v>4437</v>
      </c>
      <c r="AL51" s="414" t="s">
        <v>1341</v>
      </c>
      <c r="AM51" s="414" t="s">
        <v>1341</v>
      </c>
      <c r="AN51" s="393">
        <f t="shared" si="12"/>
        <v>10</v>
      </c>
      <c r="AO51" s="393">
        <f t="shared" si="13"/>
        <v>2024</v>
      </c>
      <c r="AP51" s="394">
        <f t="shared" si="14"/>
        <v>2036</v>
      </c>
      <c r="AQ51" s="395">
        <f t="shared" si="15"/>
        <v>2036.8333333333333</v>
      </c>
      <c r="AR51" s="396">
        <f t="shared" si="16"/>
        <v>319.63409722222224</v>
      </c>
      <c r="AS51" s="397">
        <f t="shared" si="17"/>
        <v>3835.6091666666671</v>
      </c>
      <c r="AT51" s="397">
        <f t="shared" si="18"/>
        <v>3835.6091666666671</v>
      </c>
      <c r="AU51" s="397">
        <f t="shared" si="19"/>
        <v>0</v>
      </c>
      <c r="AV51" s="397">
        <f t="shared" si="20"/>
        <v>3835.6091666666671</v>
      </c>
      <c r="AW51" s="398">
        <f t="shared" si="21"/>
        <v>42191.700833333329</v>
      </c>
      <c r="AX51" s="386" t="s">
        <v>62</v>
      </c>
    </row>
    <row r="52" spans="2:50" ht="15.75">
      <c r="B52" s="381">
        <v>2111</v>
      </c>
      <c r="C52" s="382">
        <v>423042</v>
      </c>
      <c r="D52" s="381">
        <v>219747</v>
      </c>
      <c r="E52" s="383" t="s">
        <v>4240</v>
      </c>
      <c r="F52" s="392" t="s">
        <v>4669</v>
      </c>
      <c r="G52" s="392"/>
      <c r="H52" s="392"/>
      <c r="I52" s="381">
        <v>1</v>
      </c>
      <c r="J52" s="383" t="s">
        <v>1940</v>
      </c>
      <c r="K52" s="381">
        <v>0</v>
      </c>
      <c r="L52" s="383" t="s">
        <v>4670</v>
      </c>
      <c r="M52" s="383"/>
      <c r="N52" s="383" t="s">
        <v>4445</v>
      </c>
      <c r="O52" s="383" t="s">
        <v>4441</v>
      </c>
      <c r="P52" s="383"/>
      <c r="Q52" s="383"/>
      <c r="R52" s="383"/>
      <c r="S52" s="384">
        <v>45536</v>
      </c>
      <c r="T52" s="384">
        <v>45536</v>
      </c>
      <c r="U52" s="383" t="s">
        <v>4671</v>
      </c>
      <c r="V52" s="381">
        <v>500</v>
      </c>
      <c r="W52" s="381">
        <v>14040</v>
      </c>
      <c r="X52" s="385">
        <v>4243.8</v>
      </c>
      <c r="Y52" s="381">
        <v>14046</v>
      </c>
      <c r="Z52" s="385">
        <v>0</v>
      </c>
      <c r="AA52" s="385">
        <f t="shared" si="11"/>
        <v>4243.8</v>
      </c>
      <c r="AB52" s="385">
        <v>0</v>
      </c>
      <c r="AC52" s="381">
        <v>51260</v>
      </c>
      <c r="AD52" s="385">
        <v>0</v>
      </c>
      <c r="AE52" s="381" t="s">
        <v>944</v>
      </c>
      <c r="AF52" s="383"/>
      <c r="AG52" s="383"/>
      <c r="AH52" s="383" t="s">
        <v>57</v>
      </c>
      <c r="AI52" s="383" t="s">
        <v>4442</v>
      </c>
      <c r="AJ52" s="383" t="s">
        <v>4443</v>
      </c>
      <c r="AK52" s="383" t="s">
        <v>4437</v>
      </c>
      <c r="AL52" s="389" t="s">
        <v>3939</v>
      </c>
      <c r="AM52" s="389" t="s">
        <v>3939</v>
      </c>
      <c r="AN52" s="393">
        <f t="shared" si="12"/>
        <v>9</v>
      </c>
      <c r="AO52" s="393">
        <f t="shared" si="13"/>
        <v>2024</v>
      </c>
      <c r="AP52" s="394">
        <f t="shared" si="14"/>
        <v>2029</v>
      </c>
      <c r="AQ52" s="395">
        <f t="shared" si="15"/>
        <v>2029.75</v>
      </c>
      <c r="AR52" s="396">
        <f t="shared" si="16"/>
        <v>70.73</v>
      </c>
      <c r="AS52" s="397">
        <f t="shared" si="17"/>
        <v>848.76</v>
      </c>
      <c r="AT52" s="397">
        <f t="shared" si="18"/>
        <v>848.76</v>
      </c>
      <c r="AU52" s="397">
        <f t="shared" si="19"/>
        <v>0</v>
      </c>
      <c r="AV52" s="397">
        <f t="shared" si="20"/>
        <v>848.76</v>
      </c>
      <c r="AW52" s="398">
        <f t="shared" si="21"/>
        <v>3395.04</v>
      </c>
      <c r="AX52" s="386" t="s">
        <v>62</v>
      </c>
    </row>
    <row r="53" spans="2:50" ht="15.75">
      <c r="B53" s="381">
        <v>2111</v>
      </c>
      <c r="C53" s="382">
        <v>423041</v>
      </c>
      <c r="D53" s="381">
        <v>202832</v>
      </c>
      <c r="E53" s="383" t="s">
        <v>4240</v>
      </c>
      <c r="F53" s="392" t="s">
        <v>4669</v>
      </c>
      <c r="G53" s="392"/>
      <c r="H53" s="392"/>
      <c r="I53" s="381">
        <v>1</v>
      </c>
      <c r="J53" s="383" t="s">
        <v>2041</v>
      </c>
      <c r="K53" s="381">
        <v>0</v>
      </c>
      <c r="L53" s="383" t="s">
        <v>4670</v>
      </c>
      <c r="M53" s="383"/>
      <c r="N53" s="383" t="s">
        <v>4445</v>
      </c>
      <c r="O53" s="383" t="s">
        <v>4441</v>
      </c>
      <c r="P53" s="383"/>
      <c r="Q53" s="383"/>
      <c r="R53" s="383"/>
      <c r="S53" s="384">
        <v>45536</v>
      </c>
      <c r="T53" s="384">
        <v>45536</v>
      </c>
      <c r="U53" s="383" t="s">
        <v>4671</v>
      </c>
      <c r="V53" s="381">
        <v>500</v>
      </c>
      <c r="W53" s="381">
        <v>14040</v>
      </c>
      <c r="X53" s="385">
        <v>4243.8</v>
      </c>
      <c r="Y53" s="381">
        <v>14046</v>
      </c>
      <c r="Z53" s="385">
        <v>0</v>
      </c>
      <c r="AA53" s="385">
        <f t="shared" si="11"/>
        <v>4243.8</v>
      </c>
      <c r="AB53" s="385">
        <v>0</v>
      </c>
      <c r="AC53" s="381">
        <v>51260</v>
      </c>
      <c r="AD53" s="385">
        <v>0</v>
      </c>
      <c r="AE53" s="381" t="s">
        <v>944</v>
      </c>
      <c r="AF53" s="383"/>
      <c r="AG53" s="383"/>
      <c r="AH53" s="383" t="s">
        <v>57</v>
      </c>
      <c r="AI53" s="383" t="s">
        <v>4442</v>
      </c>
      <c r="AJ53" s="383" t="s">
        <v>4443</v>
      </c>
      <c r="AK53" s="383" t="s">
        <v>4437</v>
      </c>
      <c r="AL53" s="389" t="s">
        <v>3939</v>
      </c>
      <c r="AM53" s="389" t="s">
        <v>3939</v>
      </c>
      <c r="AN53" s="393">
        <f t="shared" si="12"/>
        <v>9</v>
      </c>
      <c r="AO53" s="393">
        <f t="shared" si="13"/>
        <v>2024</v>
      </c>
      <c r="AP53" s="394">
        <f t="shared" si="14"/>
        <v>2029</v>
      </c>
      <c r="AQ53" s="395">
        <f t="shared" si="15"/>
        <v>2029.75</v>
      </c>
      <c r="AR53" s="396">
        <f t="shared" si="16"/>
        <v>70.73</v>
      </c>
      <c r="AS53" s="397">
        <f t="shared" si="17"/>
        <v>848.76</v>
      </c>
      <c r="AT53" s="397">
        <f t="shared" si="18"/>
        <v>848.76</v>
      </c>
      <c r="AU53" s="397">
        <f t="shared" si="19"/>
        <v>0</v>
      </c>
      <c r="AV53" s="397">
        <f t="shared" si="20"/>
        <v>848.76</v>
      </c>
      <c r="AW53" s="398">
        <f t="shared" si="21"/>
        <v>3395.04</v>
      </c>
      <c r="AX53" s="386" t="s">
        <v>62</v>
      </c>
    </row>
    <row r="54" spans="2:50" ht="15.75">
      <c r="B54" s="381">
        <v>2111</v>
      </c>
      <c r="C54" s="382">
        <v>423029</v>
      </c>
      <c r="D54" s="381">
        <v>202833</v>
      </c>
      <c r="E54" s="383" t="s">
        <v>4240</v>
      </c>
      <c r="F54" s="392" t="s">
        <v>4669</v>
      </c>
      <c r="G54" s="392"/>
      <c r="H54" s="392"/>
      <c r="I54" s="381">
        <v>1</v>
      </c>
      <c r="J54" s="383" t="s">
        <v>2040</v>
      </c>
      <c r="K54" s="381">
        <v>0</v>
      </c>
      <c r="L54" s="383" t="s">
        <v>4670</v>
      </c>
      <c r="M54" s="383"/>
      <c r="N54" s="383" t="s">
        <v>4445</v>
      </c>
      <c r="O54" s="383" t="s">
        <v>4441</v>
      </c>
      <c r="P54" s="383"/>
      <c r="Q54" s="383"/>
      <c r="R54" s="383"/>
      <c r="S54" s="384">
        <v>45536</v>
      </c>
      <c r="T54" s="384">
        <v>45536</v>
      </c>
      <c r="U54" s="383" t="s">
        <v>4671</v>
      </c>
      <c r="V54" s="381">
        <v>500</v>
      </c>
      <c r="W54" s="381">
        <v>14040</v>
      </c>
      <c r="X54" s="385">
        <v>4243.8</v>
      </c>
      <c r="Y54" s="381">
        <v>14046</v>
      </c>
      <c r="Z54" s="385">
        <v>0</v>
      </c>
      <c r="AA54" s="385">
        <f t="shared" si="11"/>
        <v>4243.8</v>
      </c>
      <c r="AB54" s="385">
        <v>0</v>
      </c>
      <c r="AC54" s="381">
        <v>51260</v>
      </c>
      <c r="AD54" s="385">
        <v>0</v>
      </c>
      <c r="AE54" s="381" t="s">
        <v>944</v>
      </c>
      <c r="AF54" s="383"/>
      <c r="AG54" s="383"/>
      <c r="AH54" s="383" t="s">
        <v>57</v>
      </c>
      <c r="AI54" s="383" t="s">
        <v>4442</v>
      </c>
      <c r="AJ54" s="383" t="s">
        <v>4443</v>
      </c>
      <c r="AK54" s="383" t="s">
        <v>4437</v>
      </c>
      <c r="AL54" s="389" t="s">
        <v>3939</v>
      </c>
      <c r="AM54" s="389" t="s">
        <v>3939</v>
      </c>
      <c r="AN54" s="393">
        <f t="shared" si="12"/>
        <v>9</v>
      </c>
      <c r="AO54" s="393">
        <f t="shared" si="13"/>
        <v>2024</v>
      </c>
      <c r="AP54" s="394">
        <f t="shared" si="14"/>
        <v>2029</v>
      </c>
      <c r="AQ54" s="395">
        <f t="shared" si="15"/>
        <v>2029.75</v>
      </c>
      <c r="AR54" s="396">
        <f t="shared" si="16"/>
        <v>70.73</v>
      </c>
      <c r="AS54" s="397">
        <f t="shared" si="17"/>
        <v>848.76</v>
      </c>
      <c r="AT54" s="397">
        <f t="shared" si="18"/>
        <v>848.76</v>
      </c>
      <c r="AU54" s="397">
        <f t="shared" si="19"/>
        <v>0</v>
      </c>
      <c r="AV54" s="397">
        <f t="shared" si="20"/>
        <v>848.76</v>
      </c>
      <c r="AW54" s="398">
        <f t="shared" si="21"/>
        <v>3395.04</v>
      </c>
      <c r="AX54" s="386" t="s">
        <v>62</v>
      </c>
    </row>
    <row r="55" spans="2:50" ht="15.75">
      <c r="B55" s="381">
        <v>2111</v>
      </c>
      <c r="C55" s="382">
        <v>423028</v>
      </c>
      <c r="D55" s="381">
        <v>89625</v>
      </c>
      <c r="E55" s="383" t="s">
        <v>4240</v>
      </c>
      <c r="F55" s="392" t="s">
        <v>4669</v>
      </c>
      <c r="G55" s="392"/>
      <c r="H55" s="392"/>
      <c r="I55" s="381">
        <v>1</v>
      </c>
      <c r="J55" s="383" t="s">
        <v>3101</v>
      </c>
      <c r="K55" s="381">
        <v>0</v>
      </c>
      <c r="L55" s="383" t="s">
        <v>4670</v>
      </c>
      <c r="M55" s="383"/>
      <c r="N55" s="383" t="s">
        <v>4445</v>
      </c>
      <c r="O55" s="383" t="s">
        <v>4441</v>
      </c>
      <c r="P55" s="383"/>
      <c r="Q55" s="383"/>
      <c r="R55" s="383"/>
      <c r="S55" s="384">
        <v>45536</v>
      </c>
      <c r="T55" s="384">
        <v>45536</v>
      </c>
      <c r="U55" s="383" t="s">
        <v>4671</v>
      </c>
      <c r="V55" s="381">
        <v>500</v>
      </c>
      <c r="W55" s="381">
        <v>14040</v>
      </c>
      <c r="X55" s="385">
        <v>4243.8</v>
      </c>
      <c r="Y55" s="381">
        <v>14046</v>
      </c>
      <c r="Z55" s="385">
        <v>0</v>
      </c>
      <c r="AA55" s="385">
        <f t="shared" si="11"/>
        <v>4243.8</v>
      </c>
      <c r="AB55" s="385">
        <v>0</v>
      </c>
      <c r="AC55" s="381">
        <v>51260</v>
      </c>
      <c r="AD55" s="385">
        <v>0</v>
      </c>
      <c r="AE55" s="381" t="s">
        <v>944</v>
      </c>
      <c r="AF55" s="383"/>
      <c r="AG55" s="383"/>
      <c r="AH55" s="383" t="s">
        <v>57</v>
      </c>
      <c r="AI55" s="383" t="s">
        <v>4442</v>
      </c>
      <c r="AJ55" s="383" t="s">
        <v>4443</v>
      </c>
      <c r="AK55" s="383" t="s">
        <v>4437</v>
      </c>
      <c r="AL55" s="414" t="s">
        <v>127</v>
      </c>
      <c r="AM55" s="414" t="s">
        <v>127</v>
      </c>
      <c r="AN55" s="393">
        <f t="shared" si="12"/>
        <v>9</v>
      </c>
      <c r="AO55" s="393">
        <f t="shared" si="13"/>
        <v>2024</v>
      </c>
      <c r="AP55" s="394">
        <f t="shared" si="14"/>
        <v>2029</v>
      </c>
      <c r="AQ55" s="395">
        <f t="shared" si="15"/>
        <v>2029.75</v>
      </c>
      <c r="AR55" s="396">
        <f t="shared" si="16"/>
        <v>70.73</v>
      </c>
      <c r="AS55" s="397">
        <f t="shared" si="17"/>
        <v>848.76</v>
      </c>
      <c r="AT55" s="397">
        <f t="shared" si="18"/>
        <v>848.76</v>
      </c>
      <c r="AU55" s="397">
        <f t="shared" si="19"/>
        <v>0</v>
      </c>
      <c r="AV55" s="397">
        <f t="shared" si="20"/>
        <v>848.76</v>
      </c>
      <c r="AW55" s="398">
        <f t="shared" si="21"/>
        <v>3395.04</v>
      </c>
      <c r="AX55" s="386" t="s">
        <v>62</v>
      </c>
    </row>
    <row r="56" spans="2:50" ht="15.75">
      <c r="B56" s="381">
        <v>2111</v>
      </c>
      <c r="C56" s="382">
        <v>423027</v>
      </c>
      <c r="D56" s="381">
        <v>62296</v>
      </c>
      <c r="E56" s="383" t="s">
        <v>4240</v>
      </c>
      <c r="F56" s="392" t="s">
        <v>4669</v>
      </c>
      <c r="G56" s="392"/>
      <c r="H56" s="392"/>
      <c r="I56" s="381">
        <v>1</v>
      </c>
      <c r="J56" s="383" t="s">
        <v>3273</v>
      </c>
      <c r="K56" s="381">
        <v>0</v>
      </c>
      <c r="L56" s="383" t="s">
        <v>4670</v>
      </c>
      <c r="M56" s="383"/>
      <c r="N56" s="383" t="s">
        <v>4445</v>
      </c>
      <c r="O56" s="383" t="s">
        <v>4441</v>
      </c>
      <c r="P56" s="383"/>
      <c r="Q56" s="383"/>
      <c r="R56" s="383"/>
      <c r="S56" s="384">
        <v>45536</v>
      </c>
      <c r="T56" s="384">
        <v>45536</v>
      </c>
      <c r="U56" s="383" t="s">
        <v>4671</v>
      </c>
      <c r="V56" s="381">
        <v>500</v>
      </c>
      <c r="W56" s="381">
        <v>14040</v>
      </c>
      <c r="X56" s="385">
        <v>4243.8</v>
      </c>
      <c r="Y56" s="381">
        <v>14046</v>
      </c>
      <c r="Z56" s="385">
        <v>0</v>
      </c>
      <c r="AA56" s="385">
        <f t="shared" si="11"/>
        <v>4243.8</v>
      </c>
      <c r="AB56" s="385">
        <v>0</v>
      </c>
      <c r="AC56" s="381">
        <v>51260</v>
      </c>
      <c r="AD56" s="385">
        <v>0</v>
      </c>
      <c r="AE56" s="381" t="s">
        <v>944</v>
      </c>
      <c r="AF56" s="383"/>
      <c r="AG56" s="383"/>
      <c r="AH56" s="383" t="s">
        <v>57</v>
      </c>
      <c r="AI56" s="383" t="s">
        <v>4442</v>
      </c>
      <c r="AJ56" s="383" t="s">
        <v>4443</v>
      </c>
      <c r="AK56" s="383" t="s">
        <v>4437</v>
      </c>
      <c r="AL56" s="389" t="s">
        <v>3939</v>
      </c>
      <c r="AM56" s="389" t="s">
        <v>3939</v>
      </c>
      <c r="AN56" s="393">
        <f t="shared" si="12"/>
        <v>9</v>
      </c>
      <c r="AO56" s="393">
        <f t="shared" si="13"/>
        <v>2024</v>
      </c>
      <c r="AP56" s="394">
        <f t="shared" si="14"/>
        <v>2029</v>
      </c>
      <c r="AQ56" s="395">
        <f t="shared" si="15"/>
        <v>2029.75</v>
      </c>
      <c r="AR56" s="396">
        <f t="shared" si="16"/>
        <v>70.73</v>
      </c>
      <c r="AS56" s="397">
        <f t="shared" si="17"/>
        <v>848.76</v>
      </c>
      <c r="AT56" s="397">
        <f t="shared" si="18"/>
        <v>848.76</v>
      </c>
      <c r="AU56" s="397">
        <f t="shared" si="19"/>
        <v>0</v>
      </c>
      <c r="AV56" s="397">
        <f t="shared" si="20"/>
        <v>848.76</v>
      </c>
      <c r="AW56" s="398">
        <f t="shared" si="21"/>
        <v>3395.04</v>
      </c>
      <c r="AX56" s="386" t="s">
        <v>62</v>
      </c>
    </row>
    <row r="57" spans="2:50" ht="15.75">
      <c r="B57" s="381">
        <v>2111</v>
      </c>
      <c r="C57" s="382">
        <v>423022</v>
      </c>
      <c r="D57" s="381">
        <v>319318</v>
      </c>
      <c r="E57" s="383" t="s">
        <v>4240</v>
      </c>
      <c r="F57" s="392" t="s">
        <v>4669</v>
      </c>
      <c r="G57" s="392"/>
      <c r="H57" s="392"/>
      <c r="I57" s="381">
        <v>1</v>
      </c>
      <c r="J57" s="383" t="s">
        <v>4296</v>
      </c>
      <c r="K57" s="381">
        <v>0</v>
      </c>
      <c r="L57" s="383" t="s">
        <v>4670</v>
      </c>
      <c r="M57" s="383"/>
      <c r="N57" s="383" t="s">
        <v>4445</v>
      </c>
      <c r="O57" s="383" t="s">
        <v>4441</v>
      </c>
      <c r="P57" s="383"/>
      <c r="Q57" s="383"/>
      <c r="R57" s="383"/>
      <c r="S57" s="384">
        <v>45536</v>
      </c>
      <c r="T57" s="384">
        <v>45536</v>
      </c>
      <c r="U57" s="383" t="s">
        <v>4671</v>
      </c>
      <c r="V57" s="381">
        <v>500</v>
      </c>
      <c r="W57" s="381">
        <v>14040</v>
      </c>
      <c r="X57" s="385">
        <v>4243.8500000000004</v>
      </c>
      <c r="Y57" s="381">
        <v>14046</v>
      </c>
      <c r="Z57" s="385">
        <v>0</v>
      </c>
      <c r="AA57" s="385">
        <f t="shared" si="11"/>
        <v>4243.8500000000004</v>
      </c>
      <c r="AB57" s="385">
        <v>0</v>
      </c>
      <c r="AC57" s="381">
        <v>51260</v>
      </c>
      <c r="AD57" s="385">
        <v>0</v>
      </c>
      <c r="AE57" s="381" t="s">
        <v>944</v>
      </c>
      <c r="AF57" s="383"/>
      <c r="AG57" s="383"/>
      <c r="AH57" s="383" t="s">
        <v>57</v>
      </c>
      <c r="AI57" s="383" t="s">
        <v>4442</v>
      </c>
      <c r="AJ57" s="383" t="s">
        <v>4443</v>
      </c>
      <c r="AK57" s="383" t="s">
        <v>4437</v>
      </c>
      <c r="AL57" s="389" t="s">
        <v>3939</v>
      </c>
      <c r="AM57" s="389" t="s">
        <v>3939</v>
      </c>
      <c r="AN57" s="393">
        <f t="shared" si="12"/>
        <v>9</v>
      </c>
      <c r="AO57" s="393">
        <f t="shared" si="13"/>
        <v>2024</v>
      </c>
      <c r="AP57" s="394">
        <f t="shared" si="14"/>
        <v>2029</v>
      </c>
      <c r="AQ57" s="395">
        <f t="shared" si="15"/>
        <v>2029.75</v>
      </c>
      <c r="AR57" s="396">
        <f t="shared" si="16"/>
        <v>70.730833333333337</v>
      </c>
      <c r="AS57" s="397">
        <f t="shared" si="17"/>
        <v>848.77</v>
      </c>
      <c r="AT57" s="397">
        <f t="shared" si="18"/>
        <v>848.77</v>
      </c>
      <c r="AU57" s="397">
        <f t="shared" si="19"/>
        <v>0</v>
      </c>
      <c r="AV57" s="397">
        <f t="shared" si="20"/>
        <v>848.77</v>
      </c>
      <c r="AW57" s="398">
        <f t="shared" si="21"/>
        <v>3395.0800000000004</v>
      </c>
      <c r="AX57" s="386" t="s">
        <v>62</v>
      </c>
    </row>
    <row r="58" spans="2:50" ht="15.75">
      <c r="B58" s="381">
        <v>2111</v>
      </c>
      <c r="C58" s="382">
        <v>423021</v>
      </c>
      <c r="D58" s="381">
        <v>252175</v>
      </c>
      <c r="E58" s="383" t="s">
        <v>4240</v>
      </c>
      <c r="F58" s="392" t="s">
        <v>4669</v>
      </c>
      <c r="G58" s="392"/>
      <c r="H58" s="392"/>
      <c r="I58" s="381">
        <v>1</v>
      </c>
      <c r="J58" s="383" t="s">
        <v>1644</v>
      </c>
      <c r="K58" s="381">
        <v>0</v>
      </c>
      <c r="L58" s="383" t="s">
        <v>4670</v>
      </c>
      <c r="M58" s="383"/>
      <c r="N58" s="383" t="s">
        <v>4445</v>
      </c>
      <c r="O58" s="383" t="s">
        <v>4441</v>
      </c>
      <c r="P58" s="383"/>
      <c r="Q58" s="383"/>
      <c r="R58" s="383"/>
      <c r="S58" s="384">
        <v>45536</v>
      </c>
      <c r="T58" s="384">
        <v>45536</v>
      </c>
      <c r="U58" s="383" t="s">
        <v>4671</v>
      </c>
      <c r="V58" s="381">
        <v>500</v>
      </c>
      <c r="W58" s="381">
        <v>14040</v>
      </c>
      <c r="X58" s="385">
        <v>4243.8</v>
      </c>
      <c r="Y58" s="381">
        <v>14046</v>
      </c>
      <c r="Z58" s="385">
        <v>0</v>
      </c>
      <c r="AA58" s="385">
        <f t="shared" si="11"/>
        <v>4243.8</v>
      </c>
      <c r="AB58" s="385">
        <v>0</v>
      </c>
      <c r="AC58" s="381">
        <v>51260</v>
      </c>
      <c r="AD58" s="385">
        <v>0</v>
      </c>
      <c r="AE58" s="381" t="s">
        <v>944</v>
      </c>
      <c r="AF58" s="383"/>
      <c r="AG58" s="383"/>
      <c r="AH58" s="383" t="s">
        <v>57</v>
      </c>
      <c r="AI58" s="383" t="s">
        <v>4442</v>
      </c>
      <c r="AJ58" s="383" t="s">
        <v>4443</v>
      </c>
      <c r="AK58" s="383" t="s">
        <v>4437</v>
      </c>
      <c r="AL58" s="414" t="s">
        <v>127</v>
      </c>
      <c r="AM58" s="414" t="s">
        <v>127</v>
      </c>
      <c r="AN58" s="393">
        <f t="shared" si="12"/>
        <v>9</v>
      </c>
      <c r="AO58" s="393">
        <f t="shared" si="13"/>
        <v>2024</v>
      </c>
      <c r="AP58" s="394">
        <f t="shared" si="14"/>
        <v>2029</v>
      </c>
      <c r="AQ58" s="395">
        <f t="shared" si="15"/>
        <v>2029.75</v>
      </c>
      <c r="AR58" s="396">
        <f t="shared" si="16"/>
        <v>70.73</v>
      </c>
      <c r="AS58" s="397">
        <f t="shared" si="17"/>
        <v>848.76</v>
      </c>
      <c r="AT58" s="397">
        <f t="shared" si="18"/>
        <v>848.76</v>
      </c>
      <c r="AU58" s="397">
        <f t="shared" si="19"/>
        <v>0</v>
      </c>
      <c r="AV58" s="397">
        <f t="shared" si="20"/>
        <v>848.76</v>
      </c>
      <c r="AW58" s="398">
        <f t="shared" si="21"/>
        <v>3395.04</v>
      </c>
      <c r="AX58" s="386" t="s">
        <v>62</v>
      </c>
    </row>
    <row r="59" spans="2:50" ht="15.75">
      <c r="B59" s="381">
        <v>2111</v>
      </c>
      <c r="C59" s="382">
        <v>423020</v>
      </c>
      <c r="D59" s="381">
        <v>252176</v>
      </c>
      <c r="E59" s="383" t="s">
        <v>4240</v>
      </c>
      <c r="F59" s="392" t="s">
        <v>4669</v>
      </c>
      <c r="G59" s="392"/>
      <c r="H59" s="392"/>
      <c r="I59" s="381">
        <v>1</v>
      </c>
      <c r="J59" s="383" t="s">
        <v>1642</v>
      </c>
      <c r="K59" s="381">
        <v>0</v>
      </c>
      <c r="L59" s="383" t="s">
        <v>4670</v>
      </c>
      <c r="M59" s="383"/>
      <c r="N59" s="383" t="s">
        <v>4445</v>
      </c>
      <c r="O59" s="383" t="s">
        <v>4441</v>
      </c>
      <c r="P59" s="383"/>
      <c r="Q59" s="383"/>
      <c r="R59" s="383"/>
      <c r="S59" s="384">
        <v>45536</v>
      </c>
      <c r="T59" s="384">
        <v>45536</v>
      </c>
      <c r="U59" s="383" t="s">
        <v>4671</v>
      </c>
      <c r="V59" s="381">
        <v>500</v>
      </c>
      <c r="W59" s="381">
        <v>14040</v>
      </c>
      <c r="X59" s="385">
        <v>4243.8</v>
      </c>
      <c r="Y59" s="381">
        <v>14046</v>
      </c>
      <c r="Z59" s="385">
        <v>0</v>
      </c>
      <c r="AA59" s="385">
        <f t="shared" si="11"/>
        <v>4243.8</v>
      </c>
      <c r="AB59" s="385">
        <v>0</v>
      </c>
      <c r="AC59" s="381">
        <v>51260</v>
      </c>
      <c r="AD59" s="385">
        <v>0</v>
      </c>
      <c r="AE59" s="381" t="s">
        <v>944</v>
      </c>
      <c r="AF59" s="383"/>
      <c r="AG59" s="383"/>
      <c r="AH59" s="383" t="s">
        <v>57</v>
      </c>
      <c r="AI59" s="383" t="s">
        <v>4442</v>
      </c>
      <c r="AJ59" s="383" t="s">
        <v>4443</v>
      </c>
      <c r="AK59" s="383" t="s">
        <v>4437</v>
      </c>
      <c r="AL59" s="414" t="s">
        <v>127</v>
      </c>
      <c r="AM59" s="414" t="s">
        <v>127</v>
      </c>
      <c r="AN59" s="393">
        <f t="shared" si="12"/>
        <v>9</v>
      </c>
      <c r="AO59" s="393">
        <f t="shared" si="13"/>
        <v>2024</v>
      </c>
      <c r="AP59" s="394">
        <f t="shared" si="14"/>
        <v>2029</v>
      </c>
      <c r="AQ59" s="395">
        <f t="shared" si="15"/>
        <v>2029.75</v>
      </c>
      <c r="AR59" s="396">
        <f t="shared" si="16"/>
        <v>70.73</v>
      </c>
      <c r="AS59" s="397">
        <f t="shared" si="17"/>
        <v>848.76</v>
      </c>
      <c r="AT59" s="397">
        <f t="shared" si="18"/>
        <v>848.76</v>
      </c>
      <c r="AU59" s="397">
        <f t="shared" si="19"/>
        <v>0</v>
      </c>
      <c r="AV59" s="397">
        <f t="shared" si="20"/>
        <v>848.76</v>
      </c>
      <c r="AW59" s="398">
        <f t="shared" si="21"/>
        <v>3395.04</v>
      </c>
      <c r="AX59" s="386" t="s">
        <v>62</v>
      </c>
    </row>
    <row r="60" spans="2:50" ht="15.75">
      <c r="B60" s="381">
        <v>2111</v>
      </c>
      <c r="C60" s="382">
        <v>423019</v>
      </c>
      <c r="D60" s="381">
        <v>223824</v>
      </c>
      <c r="E60" s="383" t="s">
        <v>4240</v>
      </c>
      <c r="F60" s="392" t="s">
        <v>4669</v>
      </c>
      <c r="G60" s="392"/>
      <c r="H60" s="392"/>
      <c r="I60" s="381">
        <v>1</v>
      </c>
      <c r="J60" s="383" t="s">
        <v>1911</v>
      </c>
      <c r="K60" s="381">
        <v>0</v>
      </c>
      <c r="L60" s="383" t="s">
        <v>4670</v>
      </c>
      <c r="M60" s="383"/>
      <c r="N60" s="383" t="s">
        <v>4445</v>
      </c>
      <c r="O60" s="383" t="s">
        <v>4441</v>
      </c>
      <c r="P60" s="383"/>
      <c r="Q60" s="383"/>
      <c r="R60" s="383"/>
      <c r="S60" s="384">
        <v>45536</v>
      </c>
      <c r="T60" s="384">
        <v>45536</v>
      </c>
      <c r="U60" s="383" t="s">
        <v>4671</v>
      </c>
      <c r="V60" s="381">
        <v>500</v>
      </c>
      <c r="W60" s="381">
        <v>14040</v>
      </c>
      <c r="X60" s="385">
        <v>4243.8</v>
      </c>
      <c r="Y60" s="381">
        <v>14046</v>
      </c>
      <c r="Z60" s="385">
        <v>0</v>
      </c>
      <c r="AA60" s="385">
        <f t="shared" si="11"/>
        <v>4243.8</v>
      </c>
      <c r="AB60" s="385">
        <v>0</v>
      </c>
      <c r="AC60" s="381">
        <v>51260</v>
      </c>
      <c r="AD60" s="385">
        <v>0</v>
      </c>
      <c r="AE60" s="381" t="s">
        <v>944</v>
      </c>
      <c r="AF60" s="383"/>
      <c r="AG60" s="383"/>
      <c r="AH60" s="383" t="s">
        <v>57</v>
      </c>
      <c r="AI60" s="383" t="s">
        <v>4442</v>
      </c>
      <c r="AJ60" s="383" t="s">
        <v>4443</v>
      </c>
      <c r="AK60" s="383" t="s">
        <v>4437</v>
      </c>
      <c r="AL60" s="389" t="s">
        <v>3939</v>
      </c>
      <c r="AM60" s="389" t="s">
        <v>3939</v>
      </c>
      <c r="AN60" s="393">
        <f t="shared" si="12"/>
        <v>9</v>
      </c>
      <c r="AO60" s="393">
        <f t="shared" si="13"/>
        <v>2024</v>
      </c>
      <c r="AP60" s="394">
        <f t="shared" si="14"/>
        <v>2029</v>
      </c>
      <c r="AQ60" s="395">
        <f t="shared" si="15"/>
        <v>2029.75</v>
      </c>
      <c r="AR60" s="396">
        <f t="shared" si="16"/>
        <v>70.73</v>
      </c>
      <c r="AS60" s="397">
        <f t="shared" si="17"/>
        <v>848.76</v>
      </c>
      <c r="AT60" s="397">
        <f t="shared" si="18"/>
        <v>848.76</v>
      </c>
      <c r="AU60" s="397">
        <f t="shared" si="19"/>
        <v>0</v>
      </c>
      <c r="AV60" s="397">
        <f t="shared" si="20"/>
        <v>848.76</v>
      </c>
      <c r="AW60" s="398">
        <f t="shared" si="21"/>
        <v>3395.04</v>
      </c>
      <c r="AX60" s="386" t="s">
        <v>62</v>
      </c>
    </row>
    <row r="61" spans="2:50" ht="15.75">
      <c r="B61" s="381">
        <v>2111</v>
      </c>
      <c r="C61" s="382">
        <v>423004</v>
      </c>
      <c r="D61" s="381">
        <v>315529</v>
      </c>
      <c r="E61" s="383" t="s">
        <v>4240</v>
      </c>
      <c r="F61" s="392" t="s">
        <v>4669</v>
      </c>
      <c r="G61" s="392"/>
      <c r="H61" s="392"/>
      <c r="I61" s="381">
        <v>1</v>
      </c>
      <c r="J61" s="383" t="s">
        <v>4331</v>
      </c>
      <c r="K61" s="381">
        <v>0</v>
      </c>
      <c r="L61" s="383" t="s">
        <v>4670</v>
      </c>
      <c r="M61" s="383"/>
      <c r="N61" s="383" t="s">
        <v>4445</v>
      </c>
      <c r="O61" s="383" t="s">
        <v>4441</v>
      </c>
      <c r="P61" s="383"/>
      <c r="Q61" s="383"/>
      <c r="R61" s="383"/>
      <c r="S61" s="384">
        <v>45536</v>
      </c>
      <c r="T61" s="384">
        <v>45536</v>
      </c>
      <c r="U61" s="383" t="s">
        <v>4671</v>
      </c>
      <c r="V61" s="381">
        <v>500</v>
      </c>
      <c r="W61" s="381">
        <v>14040</v>
      </c>
      <c r="X61" s="385">
        <v>4243.8</v>
      </c>
      <c r="Y61" s="381">
        <v>14046</v>
      </c>
      <c r="Z61" s="385">
        <v>0</v>
      </c>
      <c r="AA61" s="385">
        <f t="shared" si="11"/>
        <v>4243.8</v>
      </c>
      <c r="AB61" s="385">
        <v>0</v>
      </c>
      <c r="AC61" s="381">
        <v>51260</v>
      </c>
      <c r="AD61" s="385">
        <v>0</v>
      </c>
      <c r="AE61" s="381" t="s">
        <v>944</v>
      </c>
      <c r="AF61" s="383"/>
      <c r="AG61" s="383"/>
      <c r="AH61" s="383" t="s">
        <v>57</v>
      </c>
      <c r="AI61" s="383" t="s">
        <v>4442</v>
      </c>
      <c r="AJ61" s="383" t="s">
        <v>4443</v>
      </c>
      <c r="AK61" s="383" t="s">
        <v>4437</v>
      </c>
      <c r="AL61" s="389" t="s">
        <v>3939</v>
      </c>
      <c r="AM61" s="389" t="s">
        <v>3939</v>
      </c>
      <c r="AN61" s="393">
        <f t="shared" si="12"/>
        <v>9</v>
      </c>
      <c r="AO61" s="393">
        <f t="shared" si="13"/>
        <v>2024</v>
      </c>
      <c r="AP61" s="394">
        <f t="shared" si="14"/>
        <v>2029</v>
      </c>
      <c r="AQ61" s="395">
        <f t="shared" si="15"/>
        <v>2029.75</v>
      </c>
      <c r="AR61" s="396">
        <f t="shared" si="16"/>
        <v>70.73</v>
      </c>
      <c r="AS61" s="397">
        <f t="shared" si="17"/>
        <v>848.76</v>
      </c>
      <c r="AT61" s="397">
        <f t="shared" si="18"/>
        <v>848.76</v>
      </c>
      <c r="AU61" s="397">
        <f t="shared" si="19"/>
        <v>0</v>
      </c>
      <c r="AV61" s="397">
        <f t="shared" si="20"/>
        <v>848.76</v>
      </c>
      <c r="AW61" s="398">
        <f t="shared" si="21"/>
        <v>3395.04</v>
      </c>
      <c r="AX61" s="386" t="s">
        <v>62</v>
      </c>
    </row>
    <row r="62" spans="2:50" ht="15.75">
      <c r="B62" s="381">
        <v>2111</v>
      </c>
      <c r="C62" s="382">
        <v>422937</v>
      </c>
      <c r="D62" s="381">
        <v>283285</v>
      </c>
      <c r="E62" s="383" t="s">
        <v>4240</v>
      </c>
      <c r="F62" s="392" t="s">
        <v>4669</v>
      </c>
      <c r="G62" s="392"/>
      <c r="H62" s="392"/>
      <c r="I62" s="381">
        <v>1</v>
      </c>
      <c r="J62" s="383" t="s">
        <v>4113</v>
      </c>
      <c r="K62" s="381">
        <v>0</v>
      </c>
      <c r="L62" s="383" t="s">
        <v>4670</v>
      </c>
      <c r="M62" s="383"/>
      <c r="N62" s="383" t="s">
        <v>4445</v>
      </c>
      <c r="O62" s="383" t="s">
        <v>4441</v>
      </c>
      <c r="P62" s="383"/>
      <c r="Q62" s="383"/>
      <c r="R62" s="383"/>
      <c r="S62" s="384">
        <v>45536</v>
      </c>
      <c r="T62" s="384">
        <v>45536</v>
      </c>
      <c r="U62" s="383" t="s">
        <v>4671</v>
      </c>
      <c r="V62" s="381">
        <v>500</v>
      </c>
      <c r="W62" s="381">
        <v>14040</v>
      </c>
      <c r="X62" s="385">
        <v>4243.8</v>
      </c>
      <c r="Y62" s="381">
        <v>14046</v>
      </c>
      <c r="Z62" s="385">
        <v>0</v>
      </c>
      <c r="AA62" s="385">
        <f t="shared" si="11"/>
        <v>4243.8</v>
      </c>
      <c r="AB62" s="385">
        <v>0</v>
      </c>
      <c r="AC62" s="381">
        <v>51260</v>
      </c>
      <c r="AD62" s="385">
        <v>0</v>
      </c>
      <c r="AE62" s="381" t="s">
        <v>944</v>
      </c>
      <c r="AF62" s="383"/>
      <c r="AG62" s="383"/>
      <c r="AH62" s="383" t="s">
        <v>57</v>
      </c>
      <c r="AI62" s="383" t="s">
        <v>4442</v>
      </c>
      <c r="AJ62" s="383" t="s">
        <v>4443</v>
      </c>
      <c r="AK62" s="383" t="s">
        <v>4437</v>
      </c>
      <c r="AL62" s="389" t="s">
        <v>3939</v>
      </c>
      <c r="AM62" s="389" t="s">
        <v>3939</v>
      </c>
      <c r="AN62" s="393">
        <f t="shared" si="12"/>
        <v>9</v>
      </c>
      <c r="AO62" s="393">
        <f t="shared" si="13"/>
        <v>2024</v>
      </c>
      <c r="AP62" s="394">
        <f t="shared" si="14"/>
        <v>2029</v>
      </c>
      <c r="AQ62" s="395">
        <f t="shared" si="15"/>
        <v>2029.75</v>
      </c>
      <c r="AR62" s="396">
        <f t="shared" si="16"/>
        <v>70.73</v>
      </c>
      <c r="AS62" s="397">
        <f t="shared" si="17"/>
        <v>848.76</v>
      </c>
      <c r="AT62" s="397">
        <f t="shared" si="18"/>
        <v>848.76</v>
      </c>
      <c r="AU62" s="397">
        <f t="shared" si="19"/>
        <v>0</v>
      </c>
      <c r="AV62" s="397">
        <f t="shared" si="20"/>
        <v>848.76</v>
      </c>
      <c r="AW62" s="398">
        <f t="shared" si="21"/>
        <v>3395.04</v>
      </c>
      <c r="AX62" s="386" t="s">
        <v>62</v>
      </c>
    </row>
    <row r="63" spans="2:50" ht="15.75">
      <c r="B63" s="381">
        <v>2111</v>
      </c>
      <c r="C63" s="382">
        <v>422936</v>
      </c>
      <c r="D63" s="381">
        <v>120152</v>
      </c>
      <c r="E63" s="383" t="s">
        <v>4240</v>
      </c>
      <c r="F63" s="392" t="s">
        <v>4669</v>
      </c>
      <c r="G63" s="392"/>
      <c r="H63" s="392"/>
      <c r="I63" s="381">
        <v>1</v>
      </c>
      <c r="J63" s="383" t="s">
        <v>2764</v>
      </c>
      <c r="K63" s="381">
        <v>0</v>
      </c>
      <c r="L63" s="383" t="s">
        <v>4670</v>
      </c>
      <c r="M63" s="383"/>
      <c r="N63" s="383" t="s">
        <v>4445</v>
      </c>
      <c r="O63" s="383" t="s">
        <v>4441</v>
      </c>
      <c r="P63" s="383"/>
      <c r="Q63" s="383"/>
      <c r="R63" s="383"/>
      <c r="S63" s="384">
        <v>45536</v>
      </c>
      <c r="T63" s="384">
        <v>45536</v>
      </c>
      <c r="U63" s="383" t="s">
        <v>4671</v>
      </c>
      <c r="V63" s="381">
        <v>500</v>
      </c>
      <c r="W63" s="381">
        <v>14040</v>
      </c>
      <c r="X63" s="385">
        <v>4243.8</v>
      </c>
      <c r="Y63" s="381">
        <v>14046</v>
      </c>
      <c r="Z63" s="385">
        <v>0</v>
      </c>
      <c r="AA63" s="385">
        <f t="shared" si="11"/>
        <v>4243.8</v>
      </c>
      <c r="AB63" s="385">
        <v>0</v>
      </c>
      <c r="AC63" s="381">
        <v>51260</v>
      </c>
      <c r="AD63" s="385">
        <v>0</v>
      </c>
      <c r="AE63" s="381" t="s">
        <v>944</v>
      </c>
      <c r="AF63" s="383"/>
      <c r="AG63" s="383"/>
      <c r="AH63" s="383" t="s">
        <v>57</v>
      </c>
      <c r="AI63" s="383" t="s">
        <v>4442</v>
      </c>
      <c r="AJ63" s="383" t="s">
        <v>4443</v>
      </c>
      <c r="AK63" s="383" t="s">
        <v>4437</v>
      </c>
      <c r="AL63" s="389" t="s">
        <v>3939</v>
      </c>
      <c r="AM63" s="389" t="s">
        <v>3939</v>
      </c>
      <c r="AN63" s="393">
        <f t="shared" si="12"/>
        <v>9</v>
      </c>
      <c r="AO63" s="393">
        <f t="shared" si="13"/>
        <v>2024</v>
      </c>
      <c r="AP63" s="394">
        <f t="shared" si="14"/>
        <v>2029</v>
      </c>
      <c r="AQ63" s="395">
        <f t="shared" si="15"/>
        <v>2029.75</v>
      </c>
      <c r="AR63" s="396">
        <f t="shared" si="16"/>
        <v>70.73</v>
      </c>
      <c r="AS63" s="397">
        <f t="shared" si="17"/>
        <v>848.76</v>
      </c>
      <c r="AT63" s="397">
        <f t="shared" si="18"/>
        <v>848.76</v>
      </c>
      <c r="AU63" s="397">
        <f t="shared" si="19"/>
        <v>0</v>
      </c>
      <c r="AV63" s="397">
        <f t="shared" si="20"/>
        <v>848.76</v>
      </c>
      <c r="AW63" s="398">
        <f t="shared" si="21"/>
        <v>3395.04</v>
      </c>
      <c r="AX63" s="386" t="s">
        <v>62</v>
      </c>
    </row>
    <row r="64" spans="2:50" ht="15.75">
      <c r="B64" s="381">
        <v>2111</v>
      </c>
      <c r="C64" s="382">
        <v>422033</v>
      </c>
      <c r="D64" s="381">
        <v>420872</v>
      </c>
      <c r="E64" s="383" t="s">
        <v>4240</v>
      </c>
      <c r="F64" s="392" t="s">
        <v>4682</v>
      </c>
      <c r="G64" s="392"/>
      <c r="H64" s="392"/>
      <c r="I64" s="381">
        <v>1</v>
      </c>
      <c r="J64" s="383" t="s">
        <v>4683</v>
      </c>
      <c r="K64" s="381">
        <v>0</v>
      </c>
      <c r="L64" s="383" t="s">
        <v>4670</v>
      </c>
      <c r="M64" s="383"/>
      <c r="N64" s="383" t="s">
        <v>4445</v>
      </c>
      <c r="O64" s="383" t="s">
        <v>4545</v>
      </c>
      <c r="P64" s="383" t="s">
        <v>4482</v>
      </c>
      <c r="Q64" s="383"/>
      <c r="R64" s="383"/>
      <c r="S64" s="384">
        <v>45555</v>
      </c>
      <c r="T64" s="384">
        <v>45555</v>
      </c>
      <c r="U64" s="383" t="s">
        <v>4684</v>
      </c>
      <c r="V64" s="381">
        <v>500</v>
      </c>
      <c r="W64" s="381">
        <v>14040</v>
      </c>
      <c r="X64" s="385">
        <v>880.14</v>
      </c>
      <c r="Y64" s="381">
        <v>14046</v>
      </c>
      <c r="Z64" s="385">
        <v>14.67</v>
      </c>
      <c r="AA64" s="385">
        <f t="shared" si="11"/>
        <v>865.47</v>
      </c>
      <c r="AB64" s="385">
        <v>14.67</v>
      </c>
      <c r="AC64" s="381">
        <v>51260</v>
      </c>
      <c r="AD64" s="385">
        <v>14.67</v>
      </c>
      <c r="AE64" s="381" t="s">
        <v>944</v>
      </c>
      <c r="AF64" s="383"/>
      <c r="AG64" s="383"/>
      <c r="AH64" s="383" t="s">
        <v>57</v>
      </c>
      <c r="AI64" s="383" t="s">
        <v>4442</v>
      </c>
      <c r="AJ64" s="383" t="s">
        <v>4443</v>
      </c>
      <c r="AK64" s="383" t="s">
        <v>4437</v>
      </c>
      <c r="AL64" s="389" t="s">
        <v>3939</v>
      </c>
      <c r="AM64" s="389" t="s">
        <v>3939</v>
      </c>
      <c r="AN64" s="393">
        <f t="shared" si="12"/>
        <v>9</v>
      </c>
      <c r="AO64" s="393">
        <f t="shared" si="13"/>
        <v>2024</v>
      </c>
      <c r="AP64" s="394">
        <f t="shared" si="14"/>
        <v>2029</v>
      </c>
      <c r="AQ64" s="395">
        <f t="shared" si="15"/>
        <v>2029.75</v>
      </c>
      <c r="AR64" s="396">
        <f t="shared" si="16"/>
        <v>14.668999999999999</v>
      </c>
      <c r="AS64" s="397">
        <f t="shared" si="17"/>
        <v>176.02799999999999</v>
      </c>
      <c r="AT64" s="397">
        <f t="shared" si="18"/>
        <v>176.02799999999999</v>
      </c>
      <c r="AU64" s="397">
        <f t="shared" si="19"/>
        <v>0</v>
      </c>
      <c r="AV64" s="397">
        <f t="shared" si="20"/>
        <v>176.02799999999999</v>
      </c>
      <c r="AW64" s="398">
        <f t="shared" si="21"/>
        <v>704.11199999999997</v>
      </c>
      <c r="AX64" s="386" t="s">
        <v>62</v>
      </c>
    </row>
    <row r="65" spans="2:53" ht="15.75">
      <c r="B65" s="381">
        <v>2111</v>
      </c>
      <c r="C65" s="382">
        <v>421637</v>
      </c>
      <c r="D65" s="381">
        <v>421636</v>
      </c>
      <c r="E65" s="383" t="s">
        <v>4240</v>
      </c>
      <c r="F65" s="392" t="s">
        <v>4674</v>
      </c>
      <c r="G65" s="392"/>
      <c r="H65" s="392"/>
      <c r="I65" s="381">
        <v>1</v>
      </c>
      <c r="J65" s="383" t="s">
        <v>4686</v>
      </c>
      <c r="K65" s="381">
        <v>0</v>
      </c>
      <c r="L65" s="383"/>
      <c r="M65" s="383"/>
      <c r="N65" s="383" t="s">
        <v>4445</v>
      </c>
      <c r="O65" s="383" t="s">
        <v>4643</v>
      </c>
      <c r="P65" s="383" t="s">
        <v>4463</v>
      </c>
      <c r="Q65" s="383"/>
      <c r="R65" s="383"/>
      <c r="S65" s="384">
        <v>45539</v>
      </c>
      <c r="T65" s="384">
        <v>45539</v>
      </c>
      <c r="U65" s="383" t="s">
        <v>4687</v>
      </c>
      <c r="V65" s="381">
        <v>500</v>
      </c>
      <c r="W65" s="381">
        <v>14040</v>
      </c>
      <c r="X65" s="385">
        <v>880.14</v>
      </c>
      <c r="Y65" s="381">
        <v>14046</v>
      </c>
      <c r="Z65" s="385">
        <v>29.34</v>
      </c>
      <c r="AA65" s="385">
        <f t="shared" si="11"/>
        <v>850.8</v>
      </c>
      <c r="AB65" s="385">
        <v>29.34</v>
      </c>
      <c r="AC65" s="381">
        <v>51260</v>
      </c>
      <c r="AD65" s="385">
        <v>14.67</v>
      </c>
      <c r="AE65" s="381" t="s">
        <v>944</v>
      </c>
      <c r="AF65" s="383"/>
      <c r="AG65" s="383"/>
      <c r="AH65" s="383" t="s">
        <v>57</v>
      </c>
      <c r="AI65" s="383" t="s">
        <v>4442</v>
      </c>
      <c r="AJ65" s="383" t="s">
        <v>4443</v>
      </c>
      <c r="AK65" s="383" t="s">
        <v>4437</v>
      </c>
      <c r="AL65" s="414" t="s">
        <v>582</v>
      </c>
      <c r="AM65" s="414" t="s">
        <v>582</v>
      </c>
      <c r="AN65" s="393">
        <f t="shared" si="12"/>
        <v>9</v>
      </c>
      <c r="AO65" s="393">
        <f t="shared" si="13"/>
        <v>2024</v>
      </c>
      <c r="AP65" s="394">
        <f t="shared" si="14"/>
        <v>2029</v>
      </c>
      <c r="AQ65" s="395">
        <f t="shared" si="15"/>
        <v>2029.75</v>
      </c>
      <c r="AR65" s="396">
        <f t="shared" si="16"/>
        <v>14.668999999999999</v>
      </c>
      <c r="AS65" s="397">
        <f t="shared" si="17"/>
        <v>176.02799999999999</v>
      </c>
      <c r="AT65" s="397">
        <f t="shared" si="18"/>
        <v>176.02799999999999</v>
      </c>
      <c r="AU65" s="397">
        <f t="shared" si="19"/>
        <v>0</v>
      </c>
      <c r="AV65" s="397">
        <f t="shared" si="20"/>
        <v>176.02799999999999</v>
      </c>
      <c r="AW65" s="398">
        <f t="shared" si="21"/>
        <v>704.11199999999997</v>
      </c>
      <c r="AX65" s="386" t="s">
        <v>62</v>
      </c>
    </row>
    <row r="66" spans="2:53" ht="15.75">
      <c r="B66" s="381">
        <v>2111</v>
      </c>
      <c r="C66" s="382">
        <v>421636</v>
      </c>
      <c r="D66" s="381" t="s">
        <v>944</v>
      </c>
      <c r="E66" s="383" t="s">
        <v>4240</v>
      </c>
      <c r="F66" s="392" t="s">
        <v>4685</v>
      </c>
      <c r="G66" s="392"/>
      <c r="H66" s="392"/>
      <c r="I66" s="381">
        <v>1</v>
      </c>
      <c r="J66" s="383" t="s">
        <v>4686</v>
      </c>
      <c r="K66" s="381">
        <v>2023</v>
      </c>
      <c r="L66" s="383"/>
      <c r="M66" s="383" t="s">
        <v>2166</v>
      </c>
      <c r="N66" s="383" t="s">
        <v>4445</v>
      </c>
      <c r="O66" s="383" t="s">
        <v>4643</v>
      </c>
      <c r="P66" s="383" t="s">
        <v>4463</v>
      </c>
      <c r="Q66" s="383"/>
      <c r="R66" s="383"/>
      <c r="S66" s="384">
        <v>45539</v>
      </c>
      <c r="T66" s="384">
        <v>45539</v>
      </c>
      <c r="U66" s="383" t="s">
        <v>4687</v>
      </c>
      <c r="V66" s="381">
        <v>800</v>
      </c>
      <c r="W66" s="381">
        <v>14040</v>
      </c>
      <c r="X66" s="385">
        <v>152265</v>
      </c>
      <c r="Y66" s="381">
        <v>14046</v>
      </c>
      <c r="Z66" s="385">
        <v>3172.18</v>
      </c>
      <c r="AA66" s="385">
        <f t="shared" si="11"/>
        <v>149092.82</v>
      </c>
      <c r="AB66" s="385">
        <v>3172.18</v>
      </c>
      <c r="AC66" s="381">
        <v>51260</v>
      </c>
      <c r="AD66" s="385">
        <v>1586.09</v>
      </c>
      <c r="AE66" s="381" t="s">
        <v>944</v>
      </c>
      <c r="AF66" s="383"/>
      <c r="AG66" s="383"/>
      <c r="AH66" s="383" t="s">
        <v>57</v>
      </c>
      <c r="AI66" s="383" t="s">
        <v>4442</v>
      </c>
      <c r="AJ66" s="383" t="s">
        <v>4443</v>
      </c>
      <c r="AK66" s="383" t="s">
        <v>4437</v>
      </c>
      <c r="AL66" s="414" t="s">
        <v>582</v>
      </c>
      <c r="AM66" s="414" t="s">
        <v>582</v>
      </c>
      <c r="AN66" s="393">
        <f t="shared" si="12"/>
        <v>9</v>
      </c>
      <c r="AO66" s="393">
        <f t="shared" si="13"/>
        <v>2024</v>
      </c>
      <c r="AP66" s="394">
        <f t="shared" si="14"/>
        <v>2032</v>
      </c>
      <c r="AQ66" s="395">
        <f t="shared" si="15"/>
        <v>2032.75</v>
      </c>
      <c r="AR66" s="396">
        <f t="shared" si="16"/>
        <v>1586.09375</v>
      </c>
      <c r="AS66" s="397">
        <f t="shared" si="17"/>
        <v>19033.125</v>
      </c>
      <c r="AT66" s="397">
        <f t="shared" si="18"/>
        <v>19033.125</v>
      </c>
      <c r="AU66" s="397">
        <f t="shared" si="19"/>
        <v>0</v>
      </c>
      <c r="AV66" s="397">
        <f t="shared" si="20"/>
        <v>19033.125</v>
      </c>
      <c r="AW66" s="398">
        <f t="shared" si="21"/>
        <v>133231.875</v>
      </c>
      <c r="AX66" s="386" t="s">
        <v>62</v>
      </c>
    </row>
    <row r="67" spans="2:53" ht="15.75">
      <c r="B67" s="381">
        <v>2111</v>
      </c>
      <c r="C67" s="382">
        <v>421540</v>
      </c>
      <c r="D67" s="381">
        <v>413706</v>
      </c>
      <c r="E67" s="383" t="s">
        <v>4240</v>
      </c>
      <c r="F67" s="392" t="s">
        <v>4678</v>
      </c>
      <c r="G67" s="392"/>
      <c r="H67" s="392"/>
      <c r="I67" s="381">
        <v>1</v>
      </c>
      <c r="J67" s="383" t="s">
        <v>4625</v>
      </c>
      <c r="K67" s="381">
        <v>0</v>
      </c>
      <c r="L67" s="383"/>
      <c r="M67" s="383"/>
      <c r="N67" s="383" t="s">
        <v>4445</v>
      </c>
      <c r="O67" s="383" t="s">
        <v>4626</v>
      </c>
      <c r="P67" s="383" t="s">
        <v>2868</v>
      </c>
      <c r="Q67" s="383"/>
      <c r="R67" s="383"/>
      <c r="S67" s="384">
        <v>45471</v>
      </c>
      <c r="T67" s="384">
        <v>45471</v>
      </c>
      <c r="U67" s="383" t="s">
        <v>4627</v>
      </c>
      <c r="V67" s="381">
        <v>800</v>
      </c>
      <c r="W67" s="381">
        <v>14040</v>
      </c>
      <c r="X67" s="385">
        <v>178.96</v>
      </c>
      <c r="Y67" s="381">
        <v>14046</v>
      </c>
      <c r="Z67" s="385">
        <v>7.44</v>
      </c>
      <c r="AA67" s="385">
        <f t="shared" si="11"/>
        <v>171.52</v>
      </c>
      <c r="AB67" s="385">
        <v>7.44</v>
      </c>
      <c r="AC67" s="381">
        <v>51260</v>
      </c>
      <c r="AD67" s="385">
        <v>1.86</v>
      </c>
      <c r="AE67" s="381" t="s">
        <v>944</v>
      </c>
      <c r="AF67" s="383"/>
      <c r="AG67" s="383"/>
      <c r="AH67" s="383" t="s">
        <v>57</v>
      </c>
      <c r="AI67" s="383" t="s">
        <v>4442</v>
      </c>
      <c r="AJ67" s="383" t="s">
        <v>4443</v>
      </c>
      <c r="AK67" s="383" t="s">
        <v>4437</v>
      </c>
      <c r="AL67" s="414" t="s">
        <v>582</v>
      </c>
      <c r="AM67" s="414" t="s">
        <v>582</v>
      </c>
      <c r="AN67" s="393">
        <f t="shared" si="12"/>
        <v>6</v>
      </c>
      <c r="AO67" s="393">
        <f t="shared" si="13"/>
        <v>2024</v>
      </c>
      <c r="AP67" s="394">
        <f t="shared" si="14"/>
        <v>2032</v>
      </c>
      <c r="AQ67" s="395">
        <f t="shared" si="15"/>
        <v>2032.5</v>
      </c>
      <c r="AR67" s="396">
        <f t="shared" si="16"/>
        <v>1.8641666666666667</v>
      </c>
      <c r="AS67" s="397">
        <f t="shared" si="17"/>
        <v>22.37</v>
      </c>
      <c r="AT67" s="397">
        <f t="shared" si="18"/>
        <v>22.37</v>
      </c>
      <c r="AU67" s="397">
        <f t="shared" si="19"/>
        <v>0</v>
      </c>
      <c r="AV67" s="397">
        <f t="shared" si="20"/>
        <v>22.37</v>
      </c>
      <c r="AW67" s="398">
        <f t="shared" si="21"/>
        <v>156.59</v>
      </c>
      <c r="AX67" s="386" t="s">
        <v>62</v>
      </c>
    </row>
    <row r="68" spans="2:53" ht="15.75">
      <c r="B68" s="381">
        <v>2111</v>
      </c>
      <c r="C68" s="382">
        <v>421537</v>
      </c>
      <c r="D68" s="381">
        <v>412943</v>
      </c>
      <c r="E68" s="383" t="s">
        <v>4240</v>
      </c>
      <c r="F68" s="392" t="s">
        <v>4674</v>
      </c>
      <c r="G68" s="392"/>
      <c r="H68" s="392"/>
      <c r="I68" s="381">
        <v>1</v>
      </c>
      <c r="J68" s="383" t="s">
        <v>4622</v>
      </c>
      <c r="K68" s="381">
        <v>0</v>
      </c>
      <c r="L68" s="383"/>
      <c r="M68" s="383"/>
      <c r="N68" s="383" t="s">
        <v>4445</v>
      </c>
      <c r="O68" s="383" t="s">
        <v>4545</v>
      </c>
      <c r="P68" s="383" t="s">
        <v>4482</v>
      </c>
      <c r="Q68" s="383"/>
      <c r="R68" s="383"/>
      <c r="S68" s="384">
        <v>45449</v>
      </c>
      <c r="T68" s="384">
        <v>45449</v>
      </c>
      <c r="U68" s="383" t="s">
        <v>4623</v>
      </c>
      <c r="V68" s="381">
        <v>500</v>
      </c>
      <c r="W68" s="381">
        <v>14040</v>
      </c>
      <c r="X68" s="385">
        <v>880.14</v>
      </c>
      <c r="Y68" s="381">
        <v>14046</v>
      </c>
      <c r="Z68" s="385">
        <v>73.349999999999994</v>
      </c>
      <c r="AA68" s="385">
        <f t="shared" si="11"/>
        <v>806.79</v>
      </c>
      <c r="AB68" s="385">
        <v>73.349999999999994</v>
      </c>
      <c r="AC68" s="381">
        <v>51260</v>
      </c>
      <c r="AD68" s="385">
        <v>14.67</v>
      </c>
      <c r="AE68" s="381" t="s">
        <v>944</v>
      </c>
      <c r="AF68" s="383"/>
      <c r="AG68" s="383"/>
      <c r="AH68" s="383" t="s">
        <v>57</v>
      </c>
      <c r="AI68" s="383" t="s">
        <v>4442</v>
      </c>
      <c r="AJ68" s="383" t="s">
        <v>4443</v>
      </c>
      <c r="AK68" s="383" t="s">
        <v>4437</v>
      </c>
      <c r="AL68" s="389" t="s">
        <v>3939</v>
      </c>
      <c r="AM68" s="389" t="s">
        <v>3939</v>
      </c>
      <c r="AN68" s="393">
        <f t="shared" si="12"/>
        <v>6</v>
      </c>
      <c r="AO68" s="393">
        <f t="shared" si="13"/>
        <v>2024</v>
      </c>
      <c r="AP68" s="394">
        <f t="shared" si="14"/>
        <v>2029</v>
      </c>
      <c r="AQ68" s="395">
        <f t="shared" si="15"/>
        <v>2029.5</v>
      </c>
      <c r="AR68" s="396">
        <f t="shared" si="16"/>
        <v>14.668999999999999</v>
      </c>
      <c r="AS68" s="397">
        <f t="shared" si="17"/>
        <v>176.02799999999999</v>
      </c>
      <c r="AT68" s="397">
        <f t="shared" si="18"/>
        <v>176.02799999999999</v>
      </c>
      <c r="AU68" s="397">
        <f t="shared" si="19"/>
        <v>0</v>
      </c>
      <c r="AV68" s="397">
        <f t="shared" si="20"/>
        <v>176.02799999999999</v>
      </c>
      <c r="AW68" s="398">
        <f t="shared" si="21"/>
        <v>704.11199999999997</v>
      </c>
      <c r="AX68" s="386" t="s">
        <v>62</v>
      </c>
    </row>
    <row r="69" spans="2:53" ht="15.75">
      <c r="B69" s="381">
        <v>2111</v>
      </c>
      <c r="C69" s="382">
        <v>421536</v>
      </c>
      <c r="D69" s="381">
        <v>409083</v>
      </c>
      <c r="E69" s="383" t="s">
        <v>4240</v>
      </c>
      <c r="F69" s="392" t="s">
        <v>4674</v>
      </c>
      <c r="G69" s="392"/>
      <c r="H69" s="392"/>
      <c r="I69" s="381">
        <v>1</v>
      </c>
      <c r="J69" s="383" t="s">
        <v>4672</v>
      </c>
      <c r="K69" s="381">
        <v>0</v>
      </c>
      <c r="L69" s="383"/>
      <c r="M69" s="383"/>
      <c r="N69" s="383" t="s">
        <v>4445</v>
      </c>
      <c r="O69" s="383" t="s">
        <v>4441</v>
      </c>
      <c r="P69" s="383"/>
      <c r="Q69" s="383"/>
      <c r="R69" s="383"/>
      <c r="S69" s="384">
        <v>45533</v>
      </c>
      <c r="T69" s="384">
        <v>45533</v>
      </c>
      <c r="U69" s="383" t="s">
        <v>4673</v>
      </c>
      <c r="V69" s="381">
        <v>500</v>
      </c>
      <c r="W69" s="381">
        <v>14040</v>
      </c>
      <c r="X69" s="385">
        <v>880.14</v>
      </c>
      <c r="Y69" s="381">
        <v>14046</v>
      </c>
      <c r="Z69" s="385">
        <v>29.34</v>
      </c>
      <c r="AA69" s="385">
        <f t="shared" si="11"/>
        <v>850.8</v>
      </c>
      <c r="AB69" s="385">
        <v>29.34</v>
      </c>
      <c r="AC69" s="381">
        <v>51260</v>
      </c>
      <c r="AD69" s="385">
        <v>14.67</v>
      </c>
      <c r="AE69" s="381" t="s">
        <v>944</v>
      </c>
      <c r="AF69" s="383"/>
      <c r="AG69" s="383"/>
      <c r="AH69" s="383" t="s">
        <v>57</v>
      </c>
      <c r="AI69" s="383" t="s">
        <v>4442</v>
      </c>
      <c r="AJ69" s="383" t="s">
        <v>4443</v>
      </c>
      <c r="AK69" s="383" t="s">
        <v>4437</v>
      </c>
      <c r="AL69" s="389" t="s">
        <v>3939</v>
      </c>
      <c r="AM69" s="389" t="s">
        <v>3939</v>
      </c>
      <c r="AN69" s="393">
        <f t="shared" si="12"/>
        <v>8</v>
      </c>
      <c r="AO69" s="393">
        <f t="shared" si="13"/>
        <v>2024</v>
      </c>
      <c r="AP69" s="394">
        <f t="shared" si="14"/>
        <v>2029</v>
      </c>
      <c r="AQ69" s="395">
        <f t="shared" si="15"/>
        <v>2029.6666666666667</v>
      </c>
      <c r="AR69" s="396">
        <f t="shared" si="16"/>
        <v>14.668999999999999</v>
      </c>
      <c r="AS69" s="397">
        <f t="shared" si="17"/>
        <v>176.02799999999999</v>
      </c>
      <c r="AT69" s="397">
        <f t="shared" si="18"/>
        <v>176.02799999999999</v>
      </c>
      <c r="AU69" s="397">
        <f t="shared" si="19"/>
        <v>0</v>
      </c>
      <c r="AV69" s="397">
        <f t="shared" si="20"/>
        <v>176.02799999999999</v>
      </c>
      <c r="AW69" s="398">
        <f t="shared" si="21"/>
        <v>704.11199999999997</v>
      </c>
      <c r="AX69" s="386" t="s">
        <v>62</v>
      </c>
    </row>
    <row r="70" spans="2:53" ht="15.75">
      <c r="B70" s="381">
        <v>2111</v>
      </c>
      <c r="C70" s="382">
        <v>420601</v>
      </c>
      <c r="D70" s="381" t="s">
        <v>944</v>
      </c>
      <c r="E70" s="383" t="s">
        <v>4240</v>
      </c>
      <c r="F70" s="392" t="s">
        <v>4680</v>
      </c>
      <c r="G70" s="392"/>
      <c r="H70" s="392"/>
      <c r="I70" s="381">
        <v>702</v>
      </c>
      <c r="J70" s="383"/>
      <c r="K70" s="381">
        <v>0</v>
      </c>
      <c r="L70" s="383"/>
      <c r="M70" s="383"/>
      <c r="N70" s="383" t="s">
        <v>4446</v>
      </c>
      <c r="O70" s="383" t="s">
        <v>4585</v>
      </c>
      <c r="P70" s="383"/>
      <c r="Q70" s="383" t="s">
        <v>4586</v>
      </c>
      <c r="R70" s="383" t="s">
        <v>4474</v>
      </c>
      <c r="S70" s="384">
        <v>45565</v>
      </c>
      <c r="T70" s="384">
        <v>45565</v>
      </c>
      <c r="U70" s="383" t="s">
        <v>4681</v>
      </c>
      <c r="V70" s="381">
        <v>700</v>
      </c>
      <c r="W70" s="381">
        <v>14050</v>
      </c>
      <c r="X70" s="385">
        <v>39178.400000000001</v>
      </c>
      <c r="Y70" s="381">
        <v>14056</v>
      </c>
      <c r="Z70" s="385">
        <v>466.41</v>
      </c>
      <c r="AA70" s="385">
        <f t="shared" si="11"/>
        <v>38711.99</v>
      </c>
      <c r="AB70" s="385">
        <v>466.41</v>
      </c>
      <c r="AC70" s="381">
        <v>54260</v>
      </c>
      <c r="AD70" s="385">
        <v>466.41</v>
      </c>
      <c r="AE70" s="381" t="s">
        <v>944</v>
      </c>
      <c r="AF70" s="383"/>
      <c r="AG70" s="383"/>
      <c r="AH70" s="383" t="s">
        <v>57</v>
      </c>
      <c r="AI70" s="383" t="s">
        <v>4442</v>
      </c>
      <c r="AJ70" s="383" t="s">
        <v>4443</v>
      </c>
      <c r="AK70" s="383" t="s">
        <v>4437</v>
      </c>
      <c r="AL70" s="414" t="s">
        <v>1019</v>
      </c>
      <c r="AM70" s="414" t="s">
        <v>1019</v>
      </c>
      <c r="AN70" s="393">
        <f t="shared" si="12"/>
        <v>9</v>
      </c>
      <c r="AO70" s="393">
        <f t="shared" si="13"/>
        <v>2024</v>
      </c>
      <c r="AP70" s="394">
        <f t="shared" si="14"/>
        <v>2031</v>
      </c>
      <c r="AQ70" s="395">
        <f t="shared" si="15"/>
        <v>2031.75</v>
      </c>
      <c r="AR70" s="396">
        <f t="shared" si="16"/>
        <v>466.40952380952382</v>
      </c>
      <c r="AS70" s="397">
        <f t="shared" si="17"/>
        <v>5596.9142857142861</v>
      </c>
      <c r="AT70" s="397">
        <f t="shared" si="18"/>
        <v>5596.9142857142861</v>
      </c>
      <c r="AU70" s="397">
        <f t="shared" si="19"/>
        <v>0</v>
      </c>
      <c r="AV70" s="397">
        <f t="shared" si="20"/>
        <v>5596.9142857142861</v>
      </c>
      <c r="AW70" s="398">
        <f t="shared" si="21"/>
        <v>33581.485714285714</v>
      </c>
      <c r="AX70" s="386" t="s">
        <v>62</v>
      </c>
    </row>
    <row r="71" spans="2:53" ht="15.75">
      <c r="B71" s="381">
        <v>2111</v>
      </c>
      <c r="C71" s="382">
        <v>420573</v>
      </c>
      <c r="D71" s="381" t="s">
        <v>944</v>
      </c>
      <c r="E71" s="383" t="s">
        <v>4240</v>
      </c>
      <c r="F71" s="392" t="s">
        <v>4679</v>
      </c>
      <c r="G71" s="392"/>
      <c r="H71" s="392"/>
      <c r="I71" s="381">
        <v>2</v>
      </c>
      <c r="J71" s="383"/>
      <c r="K71" s="381">
        <v>0</v>
      </c>
      <c r="L71" s="383"/>
      <c r="M71" s="383"/>
      <c r="N71" s="383" t="s">
        <v>4446</v>
      </c>
      <c r="O71" s="383" t="s">
        <v>4631</v>
      </c>
      <c r="P71" s="383"/>
      <c r="Q71" s="383" t="s">
        <v>4459</v>
      </c>
      <c r="R71" s="383" t="s">
        <v>4450</v>
      </c>
      <c r="S71" s="384">
        <v>45566</v>
      </c>
      <c r="T71" s="384">
        <v>45566</v>
      </c>
      <c r="U71" s="383" t="s">
        <v>4632</v>
      </c>
      <c r="V71" s="381">
        <v>1200</v>
      </c>
      <c r="W71" s="381">
        <v>14050</v>
      </c>
      <c r="X71" s="385">
        <v>1750.59</v>
      </c>
      <c r="Y71" s="381">
        <v>14056</v>
      </c>
      <c r="Z71" s="385">
        <v>12.16</v>
      </c>
      <c r="AA71" s="385">
        <f t="shared" si="11"/>
        <v>1738.4299999999998</v>
      </c>
      <c r="AB71" s="385">
        <v>12.16</v>
      </c>
      <c r="AC71" s="381">
        <v>54260</v>
      </c>
      <c r="AD71" s="385">
        <v>12.16</v>
      </c>
      <c r="AE71" s="381" t="s">
        <v>944</v>
      </c>
      <c r="AF71" s="383"/>
      <c r="AG71" s="383"/>
      <c r="AH71" s="383" t="s">
        <v>57</v>
      </c>
      <c r="AI71" s="383" t="s">
        <v>4442</v>
      </c>
      <c r="AJ71" s="383" t="s">
        <v>4443</v>
      </c>
      <c r="AK71" s="383" t="s">
        <v>4437</v>
      </c>
      <c r="AL71" s="414" t="s">
        <v>1341</v>
      </c>
      <c r="AM71" s="414" t="s">
        <v>1341</v>
      </c>
      <c r="AN71" s="393">
        <f t="shared" si="12"/>
        <v>10</v>
      </c>
      <c r="AO71" s="393">
        <f t="shared" si="13"/>
        <v>2024</v>
      </c>
      <c r="AP71" s="394">
        <f t="shared" si="14"/>
        <v>2036</v>
      </c>
      <c r="AQ71" s="395">
        <f t="shared" si="15"/>
        <v>2036.8333333333333</v>
      </c>
      <c r="AR71" s="396">
        <f t="shared" si="16"/>
        <v>12.156874999999999</v>
      </c>
      <c r="AS71" s="397">
        <f t="shared" si="17"/>
        <v>145.88249999999999</v>
      </c>
      <c r="AT71" s="397">
        <f t="shared" si="18"/>
        <v>145.88249999999999</v>
      </c>
      <c r="AU71" s="397">
        <f t="shared" si="19"/>
        <v>0</v>
      </c>
      <c r="AV71" s="397">
        <f t="shared" si="20"/>
        <v>145.88249999999999</v>
      </c>
      <c r="AW71" s="398">
        <f t="shared" si="21"/>
        <v>1604.7075</v>
      </c>
      <c r="AX71" s="386" t="s">
        <v>62</v>
      </c>
    </row>
    <row r="72" spans="2:53" ht="15.75">
      <c r="B72" s="381">
        <v>2111</v>
      </c>
      <c r="C72" s="382">
        <v>420572</v>
      </c>
      <c r="D72" s="381" t="s">
        <v>944</v>
      </c>
      <c r="E72" s="383" t="s">
        <v>4240</v>
      </c>
      <c r="F72" s="392" t="s">
        <v>4679</v>
      </c>
      <c r="G72" s="392"/>
      <c r="H72" s="392"/>
      <c r="I72" s="381">
        <v>8</v>
      </c>
      <c r="J72" s="383"/>
      <c r="K72" s="381">
        <v>0</v>
      </c>
      <c r="L72" s="383"/>
      <c r="M72" s="383"/>
      <c r="N72" s="383" t="s">
        <v>4446</v>
      </c>
      <c r="O72" s="383" t="s">
        <v>4631</v>
      </c>
      <c r="P72" s="383"/>
      <c r="Q72" s="383" t="s">
        <v>4459</v>
      </c>
      <c r="R72" s="383" t="s">
        <v>4450</v>
      </c>
      <c r="S72" s="384">
        <v>45411</v>
      </c>
      <c r="T72" s="384">
        <v>45411</v>
      </c>
      <c r="U72" s="383" t="s">
        <v>4632</v>
      </c>
      <c r="V72" s="381">
        <v>1200</v>
      </c>
      <c r="W72" s="381">
        <v>14050</v>
      </c>
      <c r="X72" s="385">
        <v>7002.36</v>
      </c>
      <c r="Y72" s="381">
        <v>14056</v>
      </c>
      <c r="Z72" s="385">
        <v>291.77999999999997</v>
      </c>
      <c r="AA72" s="385">
        <f t="shared" si="11"/>
        <v>6710.58</v>
      </c>
      <c r="AB72" s="385">
        <v>291.77999999999997</v>
      </c>
      <c r="AC72" s="381">
        <v>54260</v>
      </c>
      <c r="AD72" s="385">
        <v>48.63</v>
      </c>
      <c r="AE72" s="381" t="s">
        <v>944</v>
      </c>
      <c r="AF72" s="383"/>
      <c r="AG72" s="383"/>
      <c r="AH72" s="383" t="s">
        <v>57</v>
      </c>
      <c r="AI72" s="383" t="s">
        <v>4442</v>
      </c>
      <c r="AJ72" s="383" t="s">
        <v>4443</v>
      </c>
      <c r="AK72" s="383" t="s">
        <v>4437</v>
      </c>
      <c r="AL72" s="414" t="s">
        <v>1341</v>
      </c>
      <c r="AM72" s="414" t="s">
        <v>1341</v>
      </c>
      <c r="AN72" s="393">
        <f t="shared" si="12"/>
        <v>4</v>
      </c>
      <c r="AO72" s="393">
        <f t="shared" si="13"/>
        <v>2024</v>
      </c>
      <c r="AP72" s="394">
        <f t="shared" si="14"/>
        <v>2036</v>
      </c>
      <c r="AQ72" s="395">
        <f t="shared" si="15"/>
        <v>2036.3333333333333</v>
      </c>
      <c r="AR72" s="396">
        <f t="shared" si="16"/>
        <v>48.627499999999998</v>
      </c>
      <c r="AS72" s="397">
        <f t="shared" si="17"/>
        <v>583.53</v>
      </c>
      <c r="AT72" s="397">
        <f t="shared" si="18"/>
        <v>583.53</v>
      </c>
      <c r="AU72" s="397">
        <f t="shared" si="19"/>
        <v>0</v>
      </c>
      <c r="AV72" s="397">
        <f t="shared" si="20"/>
        <v>583.53</v>
      </c>
      <c r="AW72" s="398">
        <f t="shared" si="21"/>
        <v>6418.83</v>
      </c>
      <c r="AX72" s="386" t="s">
        <v>62</v>
      </c>
    </row>
    <row r="73" spans="2:53" ht="16.5" outlineLevel="1" thickBot="1">
      <c r="B73" s="381">
        <v>2111</v>
      </c>
      <c r="C73" s="382">
        <v>419906</v>
      </c>
      <c r="D73" s="381">
        <v>406464</v>
      </c>
      <c r="E73" s="383" t="s">
        <v>4240</v>
      </c>
      <c r="F73" s="392" t="s">
        <v>4646</v>
      </c>
      <c r="G73" s="392"/>
      <c r="H73" s="392"/>
      <c r="I73" s="381">
        <v>1</v>
      </c>
      <c r="J73" s="383" t="s">
        <v>4594</v>
      </c>
      <c r="K73" s="381">
        <v>0</v>
      </c>
      <c r="L73" s="383"/>
      <c r="M73" s="383"/>
      <c r="N73" s="383" t="s">
        <v>4445</v>
      </c>
      <c r="O73" s="383" t="s">
        <v>4596</v>
      </c>
      <c r="P73" s="383" t="s">
        <v>2306</v>
      </c>
      <c r="Q73" s="383"/>
      <c r="R73" s="383"/>
      <c r="S73" s="384">
        <v>45533</v>
      </c>
      <c r="T73" s="384">
        <v>45533</v>
      </c>
      <c r="U73" s="383" t="s">
        <v>4597</v>
      </c>
      <c r="V73" s="381">
        <v>300</v>
      </c>
      <c r="W73" s="381">
        <v>14040</v>
      </c>
      <c r="X73" s="385">
        <v>20113.73</v>
      </c>
      <c r="Y73" s="381">
        <v>14046</v>
      </c>
      <c r="Z73" s="385">
        <v>558.71</v>
      </c>
      <c r="AA73" s="385">
        <f t="shared" si="11"/>
        <v>19555.02</v>
      </c>
      <c r="AB73" s="385">
        <v>558.71</v>
      </c>
      <c r="AC73" s="381">
        <v>51260</v>
      </c>
      <c r="AD73" s="385">
        <v>558.71</v>
      </c>
      <c r="AE73" s="381" t="s">
        <v>944</v>
      </c>
      <c r="AF73" s="383"/>
      <c r="AG73" s="383"/>
      <c r="AH73" s="383" t="s">
        <v>57</v>
      </c>
      <c r="AI73" s="383" t="s">
        <v>4442</v>
      </c>
      <c r="AJ73" s="383" t="s">
        <v>4443</v>
      </c>
      <c r="AK73" s="383" t="s">
        <v>4654</v>
      </c>
      <c r="AL73" s="414" t="s">
        <v>2306</v>
      </c>
      <c r="AM73" s="414" t="s">
        <v>133</v>
      </c>
      <c r="AN73" s="393">
        <f t="shared" si="12"/>
        <v>8</v>
      </c>
      <c r="AO73" s="393">
        <f t="shared" si="13"/>
        <v>2024</v>
      </c>
      <c r="AP73" s="394">
        <f t="shared" si="14"/>
        <v>2027</v>
      </c>
      <c r="AQ73" s="395">
        <f t="shared" si="15"/>
        <v>2027.6666666666667</v>
      </c>
      <c r="AR73" s="396">
        <f t="shared" si="16"/>
        <v>558.71472222222224</v>
      </c>
      <c r="AS73" s="397">
        <f t="shared" si="17"/>
        <v>6704.5766666666668</v>
      </c>
      <c r="AT73" s="397">
        <f t="shared" si="18"/>
        <v>6704.5766666666668</v>
      </c>
      <c r="AU73" s="397">
        <f t="shared" si="19"/>
        <v>0</v>
      </c>
      <c r="AV73" s="397">
        <f t="shared" si="20"/>
        <v>6704.5766666666668</v>
      </c>
      <c r="AW73" s="398">
        <f t="shared" si="21"/>
        <v>13409.153333333332</v>
      </c>
      <c r="AX73" s="386" t="s">
        <v>62</v>
      </c>
      <c r="AZ73" s="1" t="s">
        <v>124</v>
      </c>
    </row>
    <row r="74" spans="2:53" ht="15.75" outlineLevel="1">
      <c r="B74" s="381">
        <v>2111</v>
      </c>
      <c r="C74" s="382">
        <v>419902</v>
      </c>
      <c r="D74" s="381">
        <v>406463</v>
      </c>
      <c r="E74" s="383" t="s">
        <v>4240</v>
      </c>
      <c r="F74" s="392" t="s">
        <v>4645</v>
      </c>
      <c r="G74" s="392"/>
      <c r="H74" s="392"/>
      <c r="I74" s="381">
        <v>1</v>
      </c>
      <c r="J74" s="383"/>
      <c r="K74" s="381">
        <v>0</v>
      </c>
      <c r="L74" s="383"/>
      <c r="M74" s="383"/>
      <c r="N74" s="383" t="s">
        <v>4445</v>
      </c>
      <c r="O74" s="383" t="s">
        <v>4552</v>
      </c>
      <c r="P74" s="383" t="s">
        <v>4487</v>
      </c>
      <c r="Q74" s="383"/>
      <c r="R74" s="383"/>
      <c r="S74" s="384">
        <v>45457</v>
      </c>
      <c r="T74" s="384">
        <v>45457</v>
      </c>
      <c r="U74" s="383" t="s">
        <v>4589</v>
      </c>
      <c r="V74" s="381">
        <v>500</v>
      </c>
      <c r="W74" s="381">
        <v>14040</v>
      </c>
      <c r="X74" s="385">
        <v>612.71</v>
      </c>
      <c r="Y74" s="381">
        <v>14046</v>
      </c>
      <c r="Z74" s="385">
        <v>40.840000000000003</v>
      </c>
      <c r="AA74" s="385">
        <f t="shared" si="11"/>
        <v>571.87</v>
      </c>
      <c r="AB74" s="385">
        <v>40.840000000000003</v>
      </c>
      <c r="AC74" s="381">
        <v>51260</v>
      </c>
      <c r="AD74" s="385">
        <v>10.210000000000001</v>
      </c>
      <c r="AE74" s="381" t="s">
        <v>944</v>
      </c>
      <c r="AF74" s="383"/>
      <c r="AG74" s="383"/>
      <c r="AH74" s="383" t="s">
        <v>57</v>
      </c>
      <c r="AI74" s="383" t="s">
        <v>4442</v>
      </c>
      <c r="AJ74" s="383" t="s">
        <v>4443</v>
      </c>
      <c r="AK74" s="383" t="s">
        <v>4655</v>
      </c>
      <c r="AL74" s="414" t="s">
        <v>3939</v>
      </c>
      <c r="AM74" s="414" t="s">
        <v>3939</v>
      </c>
      <c r="AN74" s="393">
        <f t="shared" si="12"/>
        <v>6</v>
      </c>
      <c r="AO74" s="393">
        <f t="shared" si="13"/>
        <v>2024</v>
      </c>
      <c r="AP74" s="394">
        <f t="shared" si="14"/>
        <v>2029</v>
      </c>
      <c r="AQ74" s="395">
        <f t="shared" si="15"/>
        <v>2029.5</v>
      </c>
      <c r="AR74" s="396">
        <f t="shared" si="16"/>
        <v>10.211833333333333</v>
      </c>
      <c r="AS74" s="397">
        <f t="shared" si="17"/>
        <v>122.542</v>
      </c>
      <c r="AT74" s="397">
        <f t="shared" si="18"/>
        <v>122.542</v>
      </c>
      <c r="AU74" s="397">
        <f t="shared" si="19"/>
        <v>0</v>
      </c>
      <c r="AV74" s="397">
        <f t="shared" si="20"/>
        <v>122.542</v>
      </c>
      <c r="AW74" s="398">
        <f t="shared" si="21"/>
        <v>490.16800000000001</v>
      </c>
      <c r="AX74" s="386" t="s">
        <v>62</v>
      </c>
      <c r="BA74" s="400" t="s">
        <v>125</v>
      </c>
    </row>
    <row r="75" spans="2:53" ht="15.75" outlineLevel="1">
      <c r="B75" s="381">
        <v>2111</v>
      </c>
      <c r="C75" s="382">
        <v>419896</v>
      </c>
      <c r="D75" s="381">
        <v>278098</v>
      </c>
      <c r="E75" s="383" t="s">
        <v>4240</v>
      </c>
      <c r="F75" s="392" t="s">
        <v>4641</v>
      </c>
      <c r="G75" s="392"/>
      <c r="H75" s="392"/>
      <c r="I75" s="381">
        <v>1</v>
      </c>
      <c r="J75" s="383" t="s">
        <v>4642</v>
      </c>
      <c r="K75" s="381">
        <v>0</v>
      </c>
      <c r="L75" s="383"/>
      <c r="M75" s="383"/>
      <c r="N75" s="383" t="s">
        <v>4445</v>
      </c>
      <c r="O75" s="383" t="s">
        <v>4643</v>
      </c>
      <c r="P75" s="383" t="s">
        <v>4463</v>
      </c>
      <c r="Q75" s="383"/>
      <c r="R75" s="383"/>
      <c r="S75" s="384">
        <v>45523</v>
      </c>
      <c r="T75" s="384">
        <v>45523</v>
      </c>
      <c r="U75" s="383" t="s">
        <v>4644</v>
      </c>
      <c r="V75" s="381">
        <v>300</v>
      </c>
      <c r="W75" s="381">
        <v>14040</v>
      </c>
      <c r="X75" s="385">
        <v>11303.01</v>
      </c>
      <c r="Y75" s="381">
        <v>14046</v>
      </c>
      <c r="Z75" s="385">
        <v>313.97000000000003</v>
      </c>
      <c r="AA75" s="385">
        <f t="shared" si="11"/>
        <v>10989.04</v>
      </c>
      <c r="AB75" s="385">
        <v>313.97000000000003</v>
      </c>
      <c r="AC75" s="381">
        <v>51260</v>
      </c>
      <c r="AD75" s="385">
        <v>313.97000000000003</v>
      </c>
      <c r="AE75" s="381" t="s">
        <v>944</v>
      </c>
      <c r="AF75" s="383"/>
      <c r="AG75" s="383"/>
      <c r="AH75" s="383" t="s">
        <v>57</v>
      </c>
      <c r="AI75" s="383" t="s">
        <v>4442</v>
      </c>
      <c r="AJ75" s="383" t="s">
        <v>4443</v>
      </c>
      <c r="AK75" s="383" t="s">
        <v>4660</v>
      </c>
      <c r="AL75" s="414" t="s">
        <v>3939</v>
      </c>
      <c r="AM75" s="414" t="s">
        <v>3939</v>
      </c>
      <c r="AN75" s="393">
        <f t="shared" si="12"/>
        <v>8</v>
      </c>
      <c r="AO75" s="393">
        <f t="shared" si="13"/>
        <v>2024</v>
      </c>
      <c r="AP75" s="394">
        <f t="shared" si="14"/>
        <v>2027</v>
      </c>
      <c r="AQ75" s="395">
        <f t="shared" si="15"/>
        <v>2027.6666666666667</v>
      </c>
      <c r="AR75" s="396">
        <f t="shared" si="16"/>
        <v>313.97250000000003</v>
      </c>
      <c r="AS75" s="397">
        <f t="shared" si="17"/>
        <v>3767.67</v>
      </c>
      <c r="AT75" s="397">
        <f t="shared" si="18"/>
        <v>3767.67</v>
      </c>
      <c r="AU75" s="397">
        <f t="shared" si="19"/>
        <v>0</v>
      </c>
      <c r="AV75" s="397">
        <f t="shared" si="20"/>
        <v>3767.67</v>
      </c>
      <c r="AW75" s="398">
        <f t="shared" si="21"/>
        <v>7535.34</v>
      </c>
      <c r="AX75" s="386" t="s">
        <v>62</v>
      </c>
      <c r="BA75" s="401" t="s">
        <v>582</v>
      </c>
    </row>
    <row r="76" spans="2:53" ht="15.75" outlineLevel="1">
      <c r="B76" s="381">
        <v>2111</v>
      </c>
      <c r="C76" s="382">
        <v>419821</v>
      </c>
      <c r="D76" s="381">
        <v>278097</v>
      </c>
      <c r="E76" s="383" t="s">
        <v>4240</v>
      </c>
      <c r="F76" s="392" t="s">
        <v>4637</v>
      </c>
      <c r="G76" s="392"/>
      <c r="H76" s="392"/>
      <c r="I76" s="381">
        <v>1</v>
      </c>
      <c r="J76" s="383"/>
      <c r="K76" s="381">
        <v>0</v>
      </c>
      <c r="L76" s="383"/>
      <c r="M76" s="383"/>
      <c r="N76" s="383" t="s">
        <v>4445</v>
      </c>
      <c r="O76" s="383" t="s">
        <v>4638</v>
      </c>
      <c r="P76" s="383" t="s">
        <v>4639</v>
      </c>
      <c r="Q76" s="383"/>
      <c r="R76" s="383"/>
      <c r="S76" s="384">
        <v>45548</v>
      </c>
      <c r="T76" s="384">
        <v>45548</v>
      </c>
      <c r="U76" s="383" t="s">
        <v>4640</v>
      </c>
      <c r="V76" s="381">
        <v>300</v>
      </c>
      <c r="W76" s="381">
        <v>14040</v>
      </c>
      <c r="X76" s="385">
        <v>35211.89</v>
      </c>
      <c r="Y76" s="381">
        <v>14046</v>
      </c>
      <c r="Z76" s="385">
        <v>978.11</v>
      </c>
      <c r="AA76" s="385">
        <f t="shared" si="11"/>
        <v>34233.78</v>
      </c>
      <c r="AB76" s="385">
        <v>978.11</v>
      </c>
      <c r="AC76" s="381">
        <v>51260</v>
      </c>
      <c r="AD76" s="385">
        <v>978.11</v>
      </c>
      <c r="AE76" s="381" t="s">
        <v>944</v>
      </c>
      <c r="AF76" s="383"/>
      <c r="AG76" s="383"/>
      <c r="AH76" s="383" t="s">
        <v>57</v>
      </c>
      <c r="AI76" s="383" t="s">
        <v>4442</v>
      </c>
      <c r="AJ76" s="383" t="s">
        <v>4443</v>
      </c>
      <c r="AK76" s="383" t="str">
        <f>_xlfn.XLOOKUP(C76,'[9]Vehicle Fleet Detail'!$A$5:$A$314,'[9]Vehicle Fleet Detail'!$C$5:$C$314,_xlfn.XLOOKUP(D76,'[9]Vehicle Fleet Detail'!$A$5:$A$314,'[9]Vehicle Fleet Detail'!$C$5:$C$314))</f>
        <v>605</v>
      </c>
      <c r="AL76" s="414" t="s">
        <v>3939</v>
      </c>
      <c r="AM76" s="414" t="s">
        <v>3939</v>
      </c>
      <c r="AN76" s="393">
        <f t="shared" si="12"/>
        <v>9</v>
      </c>
      <c r="AO76" s="393">
        <f t="shared" si="13"/>
        <v>2024</v>
      </c>
      <c r="AP76" s="394">
        <f t="shared" si="14"/>
        <v>2027</v>
      </c>
      <c r="AQ76" s="395">
        <f t="shared" si="15"/>
        <v>2027.75</v>
      </c>
      <c r="AR76" s="396">
        <f t="shared" si="16"/>
        <v>978.10805555555555</v>
      </c>
      <c r="AS76" s="397">
        <f t="shared" si="17"/>
        <v>11737.296666666667</v>
      </c>
      <c r="AT76" s="397">
        <f t="shared" si="18"/>
        <v>11737.296666666667</v>
      </c>
      <c r="AU76" s="397">
        <f t="shared" si="19"/>
        <v>0</v>
      </c>
      <c r="AV76" s="397">
        <f t="shared" si="20"/>
        <v>11737.296666666667</v>
      </c>
      <c r="AW76" s="398">
        <f t="shared" si="21"/>
        <v>23474.593333333331</v>
      </c>
      <c r="AX76" s="386" t="s">
        <v>62</v>
      </c>
      <c r="BA76" s="401" t="s">
        <v>1316</v>
      </c>
    </row>
    <row r="77" spans="2:53" ht="15.75" outlineLevel="1">
      <c r="B77" s="381">
        <v>2111</v>
      </c>
      <c r="C77" s="382">
        <v>418383</v>
      </c>
      <c r="D77" s="381" t="s">
        <v>944</v>
      </c>
      <c r="E77" s="383" t="s">
        <v>4240</v>
      </c>
      <c r="F77" s="392" t="s">
        <v>4327</v>
      </c>
      <c r="G77" s="392"/>
      <c r="H77" s="392"/>
      <c r="I77" s="381">
        <v>702</v>
      </c>
      <c r="J77" s="383"/>
      <c r="K77" s="381">
        <v>0</v>
      </c>
      <c r="L77" s="383"/>
      <c r="M77" s="383"/>
      <c r="N77" s="383" t="s">
        <v>4446</v>
      </c>
      <c r="O77" s="383" t="s">
        <v>4585</v>
      </c>
      <c r="P77" s="383"/>
      <c r="Q77" s="383" t="s">
        <v>4586</v>
      </c>
      <c r="R77" s="383" t="s">
        <v>4474</v>
      </c>
      <c r="S77" s="384">
        <v>45511</v>
      </c>
      <c r="T77" s="384">
        <v>45511</v>
      </c>
      <c r="U77" s="383" t="s">
        <v>4647</v>
      </c>
      <c r="V77" s="381">
        <v>700</v>
      </c>
      <c r="W77" s="381">
        <v>14050</v>
      </c>
      <c r="X77" s="385">
        <v>39178.400000000001</v>
      </c>
      <c r="Y77" s="381">
        <v>14056</v>
      </c>
      <c r="Z77" s="385">
        <v>932.82</v>
      </c>
      <c r="AA77" s="385">
        <f t="shared" si="11"/>
        <v>38245.58</v>
      </c>
      <c r="AB77" s="385">
        <v>932.82</v>
      </c>
      <c r="AC77" s="381">
        <v>54260</v>
      </c>
      <c r="AD77" s="385">
        <v>466.41</v>
      </c>
      <c r="AE77" s="381" t="s">
        <v>944</v>
      </c>
      <c r="AF77" s="383"/>
      <c r="AG77" s="383"/>
      <c r="AH77" s="383" t="s">
        <v>57</v>
      </c>
      <c r="AI77" s="383" t="s">
        <v>4442</v>
      </c>
      <c r="AJ77" s="383" t="s">
        <v>4443</v>
      </c>
      <c r="AK77" s="383" t="s">
        <v>4437</v>
      </c>
      <c r="AL77" s="414"/>
      <c r="AM77" s="414" t="s">
        <v>1019</v>
      </c>
      <c r="AN77" s="393">
        <f t="shared" si="12"/>
        <v>8</v>
      </c>
      <c r="AO77" s="393">
        <f t="shared" si="13"/>
        <v>2024</v>
      </c>
      <c r="AP77" s="394">
        <f t="shared" si="14"/>
        <v>2031</v>
      </c>
      <c r="AQ77" s="395">
        <f t="shared" si="15"/>
        <v>2031.6666666666667</v>
      </c>
      <c r="AR77" s="396">
        <f t="shared" si="16"/>
        <v>466.40952380952382</v>
      </c>
      <c r="AS77" s="397">
        <f t="shared" si="17"/>
        <v>5596.9142857142861</v>
      </c>
      <c r="AT77" s="397">
        <f t="shared" si="18"/>
        <v>5596.9142857142861</v>
      </c>
      <c r="AU77" s="397">
        <f t="shared" si="19"/>
        <v>0</v>
      </c>
      <c r="AV77" s="397">
        <f t="shared" si="20"/>
        <v>5596.9142857142861</v>
      </c>
      <c r="AW77" s="398">
        <f t="shared" si="21"/>
        <v>33581.485714285714</v>
      </c>
      <c r="AX77" s="386" t="s">
        <v>62</v>
      </c>
      <c r="BA77" s="401" t="s">
        <v>126</v>
      </c>
    </row>
    <row r="78" spans="2:53" ht="15.75" outlineLevel="1">
      <c r="B78" s="381">
        <v>2111</v>
      </c>
      <c r="C78" s="382">
        <v>417705</v>
      </c>
      <c r="D78" s="381">
        <v>412943</v>
      </c>
      <c r="E78" s="383" t="s">
        <v>4240</v>
      </c>
      <c r="F78" s="392" t="s">
        <v>4645</v>
      </c>
      <c r="G78" s="392"/>
      <c r="H78" s="392"/>
      <c r="I78" s="381">
        <v>1</v>
      </c>
      <c r="J78" s="383" t="s">
        <v>4622</v>
      </c>
      <c r="K78" s="381">
        <v>0</v>
      </c>
      <c r="L78" s="383"/>
      <c r="M78" s="383"/>
      <c r="N78" s="383" t="s">
        <v>4445</v>
      </c>
      <c r="O78" s="383" t="s">
        <v>4545</v>
      </c>
      <c r="P78" s="383" t="s">
        <v>4482</v>
      </c>
      <c r="Q78" s="383"/>
      <c r="R78" s="383"/>
      <c r="S78" s="384">
        <v>45449</v>
      </c>
      <c r="T78" s="384">
        <v>45449</v>
      </c>
      <c r="U78" s="383" t="s">
        <v>4623</v>
      </c>
      <c r="V78" s="381">
        <v>500</v>
      </c>
      <c r="W78" s="381">
        <v>14040</v>
      </c>
      <c r="X78" s="385">
        <v>601.70000000000005</v>
      </c>
      <c r="Y78" s="381">
        <v>14046</v>
      </c>
      <c r="Z78" s="385">
        <v>40.119999999999997</v>
      </c>
      <c r="AA78" s="385">
        <f t="shared" si="11"/>
        <v>561.58000000000004</v>
      </c>
      <c r="AB78" s="385">
        <v>40.119999999999997</v>
      </c>
      <c r="AC78" s="381">
        <v>51260</v>
      </c>
      <c r="AD78" s="385">
        <v>10.029999999999999</v>
      </c>
      <c r="AE78" s="381" t="s">
        <v>944</v>
      </c>
      <c r="AF78" s="383"/>
      <c r="AG78" s="383"/>
      <c r="AH78" s="383" t="s">
        <v>57</v>
      </c>
      <c r="AI78" s="383" t="s">
        <v>4442</v>
      </c>
      <c r="AJ78" s="383" t="s">
        <v>4443</v>
      </c>
      <c r="AK78" s="383" t="s">
        <v>4437</v>
      </c>
      <c r="AL78" s="414"/>
      <c r="AM78" s="414" t="s">
        <v>133</v>
      </c>
      <c r="AN78" s="393">
        <f t="shared" si="12"/>
        <v>6</v>
      </c>
      <c r="AO78" s="393">
        <f t="shared" si="13"/>
        <v>2024</v>
      </c>
      <c r="AP78" s="394">
        <f t="shared" si="14"/>
        <v>2029</v>
      </c>
      <c r="AQ78" s="395">
        <f t="shared" si="15"/>
        <v>2029.5</v>
      </c>
      <c r="AR78" s="396">
        <f t="shared" si="16"/>
        <v>10.028333333333334</v>
      </c>
      <c r="AS78" s="397">
        <f t="shared" si="17"/>
        <v>120.34</v>
      </c>
      <c r="AT78" s="397">
        <f t="shared" si="18"/>
        <v>120.34</v>
      </c>
      <c r="AU78" s="397">
        <f t="shared" si="19"/>
        <v>0</v>
      </c>
      <c r="AV78" s="397">
        <f t="shared" si="20"/>
        <v>120.34</v>
      </c>
      <c r="AW78" s="398">
        <f t="shared" si="21"/>
        <v>481.36</v>
      </c>
      <c r="AX78" s="386" t="s">
        <v>62</v>
      </c>
      <c r="BA78" s="401" t="s">
        <v>178</v>
      </c>
    </row>
    <row r="79" spans="2:53" ht="15.75" outlineLevel="1">
      <c r="B79" s="381">
        <v>2111</v>
      </c>
      <c r="C79" s="382">
        <v>417685</v>
      </c>
      <c r="D79" s="381">
        <v>413706</v>
      </c>
      <c r="E79" s="383" t="s">
        <v>4240</v>
      </c>
      <c r="F79" s="392" t="s">
        <v>4645</v>
      </c>
      <c r="G79" s="392"/>
      <c r="H79" s="392"/>
      <c r="I79" s="381">
        <v>1</v>
      </c>
      <c r="J79" s="383" t="s">
        <v>4625</v>
      </c>
      <c r="K79" s="381">
        <v>0</v>
      </c>
      <c r="L79" s="383"/>
      <c r="M79" s="383"/>
      <c r="N79" s="383" t="s">
        <v>4445</v>
      </c>
      <c r="O79" s="383" t="s">
        <v>4626</v>
      </c>
      <c r="P79" s="383" t="s">
        <v>2868</v>
      </c>
      <c r="Q79" s="383"/>
      <c r="R79" s="383"/>
      <c r="S79" s="384">
        <v>45471</v>
      </c>
      <c r="T79" s="384">
        <v>45471</v>
      </c>
      <c r="U79" s="383" t="s">
        <v>4627</v>
      </c>
      <c r="V79" s="381">
        <v>500</v>
      </c>
      <c r="W79" s="381">
        <v>14040</v>
      </c>
      <c r="X79" s="385">
        <v>601.70000000000005</v>
      </c>
      <c r="Y79" s="381">
        <v>14046</v>
      </c>
      <c r="Z79" s="385">
        <v>30.09</v>
      </c>
      <c r="AA79" s="385">
        <f t="shared" si="11"/>
        <v>571.61</v>
      </c>
      <c r="AB79" s="385">
        <v>30.09</v>
      </c>
      <c r="AC79" s="381">
        <v>51260</v>
      </c>
      <c r="AD79" s="385">
        <v>10.029999999999999</v>
      </c>
      <c r="AE79" s="381" t="s">
        <v>944</v>
      </c>
      <c r="AF79" s="383"/>
      <c r="AG79" s="383"/>
      <c r="AH79" s="383" t="s">
        <v>57</v>
      </c>
      <c r="AI79" s="383" t="s">
        <v>4442</v>
      </c>
      <c r="AJ79" s="383" t="s">
        <v>4443</v>
      </c>
      <c r="AK79" s="383" t="str">
        <f>_xlfn.XLOOKUP(C79,'[9]Vehicle Fleet Detail'!$A$5:$A$314,'[9]Vehicle Fleet Detail'!$C$5:$C$314,_xlfn.XLOOKUP(D79,'[9]Vehicle Fleet Detail'!$A$5:$A$314,'[9]Vehicle Fleet Detail'!$C$5:$C$314))</f>
        <v>C-16</v>
      </c>
      <c r="AL79" s="414" t="str">
        <f>_xlfn.XLOOKUP(C79,'[9]Vehicle Fleet Detail'!$A$5:$A$314,'[9]Vehicle Fleet Detail'!$B$5:$B$314,_xlfn.XLOOKUP(D79,'[9]Vehicle Fleet Detail'!$A$5:$A$314,'[9]Vehicle Fleet Detail'!$B$5:$B$314))</f>
        <v>Cont. Del</v>
      </c>
      <c r="AM79" s="414" t="s">
        <v>582</v>
      </c>
      <c r="AN79" s="393">
        <f t="shared" si="12"/>
        <v>6</v>
      </c>
      <c r="AO79" s="393">
        <f t="shared" si="13"/>
        <v>2024</v>
      </c>
      <c r="AP79" s="394">
        <f t="shared" si="14"/>
        <v>2029</v>
      </c>
      <c r="AQ79" s="395">
        <f t="shared" si="15"/>
        <v>2029.5</v>
      </c>
      <c r="AR79" s="396">
        <f t="shared" si="16"/>
        <v>10.028333333333334</v>
      </c>
      <c r="AS79" s="397">
        <f t="shared" si="17"/>
        <v>120.34</v>
      </c>
      <c r="AT79" s="397">
        <f t="shared" si="18"/>
        <v>120.34</v>
      </c>
      <c r="AU79" s="397">
        <f t="shared" si="19"/>
        <v>0</v>
      </c>
      <c r="AV79" s="397">
        <f t="shared" si="20"/>
        <v>120.34</v>
      </c>
      <c r="AW79" s="398">
        <f t="shared" si="21"/>
        <v>481.36</v>
      </c>
      <c r="AX79" s="386" t="s">
        <v>62</v>
      </c>
      <c r="BA79" s="401" t="s">
        <v>127</v>
      </c>
    </row>
    <row r="80" spans="2:53" ht="15.75" outlineLevel="1">
      <c r="B80" s="381">
        <v>2111</v>
      </c>
      <c r="C80" s="382">
        <v>417572</v>
      </c>
      <c r="D80" s="381">
        <v>406464</v>
      </c>
      <c r="E80" s="383" t="s">
        <v>4240</v>
      </c>
      <c r="F80" s="392" t="s">
        <v>4645</v>
      </c>
      <c r="G80" s="392"/>
      <c r="H80" s="392"/>
      <c r="I80" s="381">
        <v>1</v>
      </c>
      <c r="J80" s="383" t="s">
        <v>4594</v>
      </c>
      <c r="K80" s="381">
        <v>0</v>
      </c>
      <c r="L80" s="383"/>
      <c r="M80" s="383"/>
      <c r="N80" s="383" t="s">
        <v>4445</v>
      </c>
      <c r="O80" s="383" t="s">
        <v>4596</v>
      </c>
      <c r="P80" s="383" t="s">
        <v>2306</v>
      </c>
      <c r="Q80" s="383"/>
      <c r="R80" s="383"/>
      <c r="S80" s="384">
        <v>45533</v>
      </c>
      <c r="T80" s="384">
        <v>45533</v>
      </c>
      <c r="U80" s="383" t="s">
        <v>4597</v>
      </c>
      <c r="V80" s="381">
        <v>500</v>
      </c>
      <c r="W80" s="381">
        <v>14040</v>
      </c>
      <c r="X80" s="385">
        <v>601.70000000000005</v>
      </c>
      <c r="Y80" s="381">
        <v>14046</v>
      </c>
      <c r="Z80" s="385">
        <v>10.029999999999999</v>
      </c>
      <c r="AA80" s="385">
        <f t="shared" si="11"/>
        <v>591.67000000000007</v>
      </c>
      <c r="AB80" s="385">
        <v>10.029999999999999</v>
      </c>
      <c r="AC80" s="381">
        <v>51260</v>
      </c>
      <c r="AD80" s="385">
        <v>10.029999999999999</v>
      </c>
      <c r="AE80" s="381" t="s">
        <v>944</v>
      </c>
      <c r="AF80" s="383"/>
      <c r="AG80" s="383"/>
      <c r="AH80" s="383" t="s">
        <v>57</v>
      </c>
      <c r="AI80" s="383" t="s">
        <v>4442</v>
      </c>
      <c r="AJ80" s="383" t="s">
        <v>4443</v>
      </c>
      <c r="AK80" s="383" t="str">
        <f>_xlfn.XLOOKUP(C80,'[9]Vehicle Fleet Detail'!$A$5:$A$314,'[9]Vehicle Fleet Detail'!$C$5:$C$314,_xlfn.XLOOKUP(D80,'[9]Vehicle Fleet Detail'!$A$5:$A$314,'[9]Vehicle Fleet Detail'!$C$5:$C$314))</f>
        <v>129</v>
      </c>
      <c r="AL80" s="414" t="str">
        <f>_xlfn.XLOOKUP(C80,'[9]Vehicle Fleet Detail'!$A$5:$A$314,'[9]Vehicle Fleet Detail'!$B$5:$B$314,_xlfn.XLOOKUP(D80,'[9]Vehicle Fleet Detail'!$A$5:$A$314,'[9]Vehicle Fleet Detail'!$B$5:$B$314))</f>
        <v>Service Truck</v>
      </c>
      <c r="AM80" s="414" t="s">
        <v>133</v>
      </c>
      <c r="AN80" s="393">
        <f t="shared" si="12"/>
        <v>8</v>
      </c>
      <c r="AO80" s="393">
        <f t="shared" si="13"/>
        <v>2024</v>
      </c>
      <c r="AP80" s="394">
        <f t="shared" si="14"/>
        <v>2029</v>
      </c>
      <c r="AQ80" s="395">
        <f t="shared" si="15"/>
        <v>2029.6666666666667</v>
      </c>
      <c r="AR80" s="396">
        <f t="shared" si="16"/>
        <v>10.028333333333334</v>
      </c>
      <c r="AS80" s="397">
        <f t="shared" si="17"/>
        <v>120.34</v>
      </c>
      <c r="AT80" s="397">
        <f t="shared" si="18"/>
        <v>120.34</v>
      </c>
      <c r="AU80" s="397">
        <f t="shared" si="19"/>
        <v>0</v>
      </c>
      <c r="AV80" s="397">
        <f t="shared" si="20"/>
        <v>120.34</v>
      </c>
      <c r="AW80" s="398">
        <f t="shared" si="21"/>
        <v>481.36</v>
      </c>
      <c r="AX80" s="386" t="s">
        <v>62</v>
      </c>
      <c r="BA80" s="401" t="s">
        <v>1276</v>
      </c>
    </row>
    <row r="81" spans="2:53" ht="15.75" outlineLevel="1">
      <c r="B81" s="381">
        <v>2111</v>
      </c>
      <c r="C81" s="382">
        <v>416319</v>
      </c>
      <c r="D81" s="381" t="s">
        <v>944</v>
      </c>
      <c r="E81" s="383" t="s">
        <v>4240</v>
      </c>
      <c r="F81" s="392" t="s">
        <v>4636</v>
      </c>
      <c r="G81" s="392"/>
      <c r="H81" s="392"/>
      <c r="I81" s="381">
        <v>200</v>
      </c>
      <c r="J81" s="383"/>
      <c r="K81" s="381">
        <v>0</v>
      </c>
      <c r="L81" s="383"/>
      <c r="M81" s="383"/>
      <c r="N81" s="383" t="s">
        <v>4446</v>
      </c>
      <c r="O81" s="383" t="s">
        <v>4585</v>
      </c>
      <c r="P81" s="383"/>
      <c r="Q81" s="383" t="s">
        <v>4634</v>
      </c>
      <c r="R81" s="383" t="s">
        <v>4474</v>
      </c>
      <c r="S81" s="384">
        <v>45528</v>
      </c>
      <c r="T81" s="384">
        <v>45528</v>
      </c>
      <c r="U81" s="383" t="s">
        <v>4635</v>
      </c>
      <c r="V81" s="381">
        <v>700</v>
      </c>
      <c r="W81" s="381">
        <v>14050</v>
      </c>
      <c r="X81" s="385">
        <v>10706.55</v>
      </c>
      <c r="Y81" s="381">
        <v>14056</v>
      </c>
      <c r="Z81" s="385">
        <v>127.46</v>
      </c>
      <c r="AA81" s="385">
        <f t="shared" si="11"/>
        <v>10579.09</v>
      </c>
      <c r="AB81" s="385">
        <v>127.46</v>
      </c>
      <c r="AC81" s="381">
        <v>54260</v>
      </c>
      <c r="AD81" s="385">
        <v>127.46</v>
      </c>
      <c r="AE81" s="381" t="s">
        <v>944</v>
      </c>
      <c r="AF81" s="383"/>
      <c r="AG81" s="383"/>
      <c r="AH81" s="383" t="s">
        <v>57</v>
      </c>
      <c r="AI81" s="383" t="s">
        <v>4442</v>
      </c>
      <c r="AJ81" s="383" t="s">
        <v>4443</v>
      </c>
      <c r="AK81" s="383" t="s">
        <v>4437</v>
      </c>
      <c r="AL81" s="414"/>
      <c r="AM81" s="414" t="s">
        <v>1019</v>
      </c>
      <c r="AN81" s="393">
        <f t="shared" si="12"/>
        <v>8</v>
      </c>
      <c r="AO81" s="393">
        <f t="shared" si="13"/>
        <v>2024</v>
      </c>
      <c r="AP81" s="394">
        <f t="shared" si="14"/>
        <v>2031</v>
      </c>
      <c r="AQ81" s="395">
        <f t="shared" si="15"/>
        <v>2031.6666666666667</v>
      </c>
      <c r="AR81" s="396">
        <f t="shared" si="16"/>
        <v>127.45892857142856</v>
      </c>
      <c r="AS81" s="397">
        <f t="shared" si="17"/>
        <v>1529.5071428571428</v>
      </c>
      <c r="AT81" s="397">
        <f t="shared" si="18"/>
        <v>1529.5071428571428</v>
      </c>
      <c r="AU81" s="397">
        <f t="shared" si="19"/>
        <v>0</v>
      </c>
      <c r="AV81" s="397">
        <f t="shared" si="20"/>
        <v>1529.5071428571428</v>
      </c>
      <c r="AW81" s="398">
        <f t="shared" si="21"/>
        <v>9177.0428571428565</v>
      </c>
      <c r="AX81" s="386" t="s">
        <v>62</v>
      </c>
      <c r="BA81" s="401" t="s">
        <v>160</v>
      </c>
    </row>
    <row r="82" spans="2:53" ht="15.75" outlineLevel="1">
      <c r="B82" s="381">
        <v>2111</v>
      </c>
      <c r="C82" s="382">
        <v>416317</v>
      </c>
      <c r="D82" s="381" t="s">
        <v>944</v>
      </c>
      <c r="E82" s="383" t="s">
        <v>4240</v>
      </c>
      <c r="F82" s="392" t="s">
        <v>4633</v>
      </c>
      <c r="G82" s="392"/>
      <c r="H82" s="392"/>
      <c r="I82" s="381">
        <v>200</v>
      </c>
      <c r="J82" s="383"/>
      <c r="K82" s="381">
        <v>0</v>
      </c>
      <c r="L82" s="383"/>
      <c r="M82" s="383"/>
      <c r="N82" s="383" t="s">
        <v>4446</v>
      </c>
      <c r="O82" s="383" t="s">
        <v>4585</v>
      </c>
      <c r="P82" s="383"/>
      <c r="Q82" s="383" t="s">
        <v>4634</v>
      </c>
      <c r="R82" s="383" t="s">
        <v>4474</v>
      </c>
      <c r="S82" s="384">
        <v>45528</v>
      </c>
      <c r="T82" s="384">
        <v>45528</v>
      </c>
      <c r="U82" s="383" t="s">
        <v>4635</v>
      </c>
      <c r="V82" s="381">
        <v>700</v>
      </c>
      <c r="W82" s="381">
        <v>14050</v>
      </c>
      <c r="X82" s="385">
        <v>7214.16</v>
      </c>
      <c r="Y82" s="381">
        <v>14056</v>
      </c>
      <c r="Z82" s="385">
        <v>85.88</v>
      </c>
      <c r="AA82" s="385">
        <f t="shared" si="11"/>
        <v>7128.28</v>
      </c>
      <c r="AB82" s="385">
        <v>85.88</v>
      </c>
      <c r="AC82" s="381">
        <v>54260</v>
      </c>
      <c r="AD82" s="385">
        <v>85.88</v>
      </c>
      <c r="AE82" s="381" t="s">
        <v>944</v>
      </c>
      <c r="AF82" s="383"/>
      <c r="AG82" s="383"/>
      <c r="AH82" s="383" t="s">
        <v>57</v>
      </c>
      <c r="AI82" s="383" t="s">
        <v>4442</v>
      </c>
      <c r="AJ82" s="383" t="s">
        <v>4443</v>
      </c>
      <c r="AK82" s="383" t="s">
        <v>4437</v>
      </c>
      <c r="AL82" s="414"/>
      <c r="AM82" s="414" t="s">
        <v>1019</v>
      </c>
      <c r="AN82" s="393">
        <f t="shared" si="12"/>
        <v>8</v>
      </c>
      <c r="AO82" s="393">
        <f t="shared" si="13"/>
        <v>2024</v>
      </c>
      <c r="AP82" s="394">
        <f t="shared" si="14"/>
        <v>2031</v>
      </c>
      <c r="AQ82" s="395">
        <f t="shared" si="15"/>
        <v>2031.6666666666667</v>
      </c>
      <c r="AR82" s="396">
        <f t="shared" si="16"/>
        <v>85.882857142857134</v>
      </c>
      <c r="AS82" s="397">
        <f t="shared" si="17"/>
        <v>1030.5942857142857</v>
      </c>
      <c r="AT82" s="397">
        <f t="shared" si="18"/>
        <v>1030.5942857142857</v>
      </c>
      <c r="AU82" s="397">
        <f t="shared" si="19"/>
        <v>0</v>
      </c>
      <c r="AV82" s="397">
        <f t="shared" si="20"/>
        <v>1030.5942857142857</v>
      </c>
      <c r="AW82" s="398">
        <f t="shared" si="21"/>
        <v>6183.5657142857144</v>
      </c>
      <c r="AX82" s="386" t="s">
        <v>62</v>
      </c>
      <c r="BA82" s="401" t="s">
        <v>1234</v>
      </c>
    </row>
    <row r="83" spans="2:53" ht="15.75" outlineLevel="1">
      <c r="B83" s="381">
        <v>2111</v>
      </c>
      <c r="C83" s="382">
        <v>416013</v>
      </c>
      <c r="D83" s="381" t="s">
        <v>944</v>
      </c>
      <c r="E83" s="383" t="s">
        <v>4240</v>
      </c>
      <c r="F83" s="392" t="s">
        <v>4630</v>
      </c>
      <c r="G83" s="392"/>
      <c r="H83" s="392"/>
      <c r="I83" s="381">
        <v>14</v>
      </c>
      <c r="J83" s="383"/>
      <c r="K83" s="381">
        <v>0</v>
      </c>
      <c r="L83" s="383"/>
      <c r="M83" s="383"/>
      <c r="N83" s="383" t="s">
        <v>4446</v>
      </c>
      <c r="O83" s="383" t="s">
        <v>4631</v>
      </c>
      <c r="P83" s="383"/>
      <c r="Q83" s="383" t="s">
        <v>4461</v>
      </c>
      <c r="R83" s="383" t="s">
        <v>4450</v>
      </c>
      <c r="S83" s="384">
        <v>45411</v>
      </c>
      <c r="T83" s="384">
        <v>45411</v>
      </c>
      <c r="U83" s="383" t="s">
        <v>4632</v>
      </c>
      <c r="V83" s="381">
        <v>1200</v>
      </c>
      <c r="W83" s="381">
        <v>14050</v>
      </c>
      <c r="X83" s="385">
        <v>12870.69</v>
      </c>
      <c r="Y83" s="381">
        <v>14056</v>
      </c>
      <c r="Z83" s="385">
        <v>446.9</v>
      </c>
      <c r="AA83" s="385">
        <f t="shared" si="11"/>
        <v>12423.79</v>
      </c>
      <c r="AB83" s="385">
        <v>446.9</v>
      </c>
      <c r="AC83" s="381">
        <v>54260</v>
      </c>
      <c r="AD83" s="385">
        <v>89.38</v>
      </c>
      <c r="AE83" s="381" t="s">
        <v>944</v>
      </c>
      <c r="AF83" s="383"/>
      <c r="AG83" s="383"/>
      <c r="AH83" s="383" t="s">
        <v>57</v>
      </c>
      <c r="AI83" s="383" t="s">
        <v>4442</v>
      </c>
      <c r="AJ83" s="383" t="s">
        <v>4443</v>
      </c>
      <c r="AK83" s="383" t="s">
        <v>4437</v>
      </c>
      <c r="AL83" s="414"/>
      <c r="AM83" s="414" t="s">
        <v>1341</v>
      </c>
      <c r="AN83" s="393">
        <f t="shared" si="12"/>
        <v>4</v>
      </c>
      <c r="AO83" s="393">
        <f t="shared" si="13"/>
        <v>2024</v>
      </c>
      <c r="AP83" s="394">
        <f t="shared" si="14"/>
        <v>2036</v>
      </c>
      <c r="AQ83" s="395">
        <f t="shared" si="15"/>
        <v>2036.3333333333333</v>
      </c>
      <c r="AR83" s="396">
        <f t="shared" si="16"/>
        <v>89.379791666666677</v>
      </c>
      <c r="AS83" s="397">
        <f t="shared" si="17"/>
        <v>1072.5575000000001</v>
      </c>
      <c r="AT83" s="397">
        <f t="shared" si="18"/>
        <v>1072.5575000000001</v>
      </c>
      <c r="AU83" s="397">
        <f t="shared" si="19"/>
        <v>0</v>
      </c>
      <c r="AV83" s="397">
        <f t="shared" si="20"/>
        <v>1072.5575000000001</v>
      </c>
      <c r="AW83" s="398">
        <f t="shared" si="21"/>
        <v>11798.1325</v>
      </c>
      <c r="AX83" s="386" t="s">
        <v>62</v>
      </c>
      <c r="AZ83" s="1" t="s">
        <v>129</v>
      </c>
      <c r="BA83" s="401"/>
    </row>
    <row r="84" spans="2:53" ht="15.75" outlineLevel="1">
      <c r="B84" s="381">
        <v>2111</v>
      </c>
      <c r="C84" s="382">
        <v>416012</v>
      </c>
      <c r="D84" s="381" t="s">
        <v>944</v>
      </c>
      <c r="E84" s="383" t="s">
        <v>4240</v>
      </c>
      <c r="F84" s="392" t="s">
        <v>4630</v>
      </c>
      <c r="G84" s="392"/>
      <c r="H84" s="392"/>
      <c r="I84" s="381">
        <v>5</v>
      </c>
      <c r="J84" s="383"/>
      <c r="K84" s="381">
        <v>0</v>
      </c>
      <c r="L84" s="383"/>
      <c r="M84" s="383"/>
      <c r="N84" s="383" t="s">
        <v>4446</v>
      </c>
      <c r="O84" s="383" t="s">
        <v>4631</v>
      </c>
      <c r="P84" s="383"/>
      <c r="Q84" s="383" t="s">
        <v>4461</v>
      </c>
      <c r="R84" s="383" t="s">
        <v>4450</v>
      </c>
      <c r="S84" s="384">
        <v>45411</v>
      </c>
      <c r="T84" s="384">
        <v>45411</v>
      </c>
      <c r="U84" s="383" t="s">
        <v>4632</v>
      </c>
      <c r="V84" s="381">
        <v>1200</v>
      </c>
      <c r="W84" s="381">
        <v>14050</v>
      </c>
      <c r="X84" s="385">
        <v>4976.0200000000004</v>
      </c>
      <c r="Y84" s="381">
        <v>14056</v>
      </c>
      <c r="Z84" s="385">
        <v>172.78</v>
      </c>
      <c r="AA84" s="385">
        <f t="shared" si="11"/>
        <v>4803.2400000000007</v>
      </c>
      <c r="AB84" s="385">
        <v>172.78</v>
      </c>
      <c r="AC84" s="381">
        <v>54260</v>
      </c>
      <c r="AD84" s="385">
        <v>34.56</v>
      </c>
      <c r="AE84" s="381" t="s">
        <v>944</v>
      </c>
      <c r="AF84" s="383"/>
      <c r="AG84" s="383"/>
      <c r="AH84" s="383" t="s">
        <v>57</v>
      </c>
      <c r="AI84" s="383" t="s">
        <v>4442</v>
      </c>
      <c r="AJ84" s="383" t="s">
        <v>4443</v>
      </c>
      <c r="AK84" s="383" t="s">
        <v>4437</v>
      </c>
      <c r="AL84" s="414"/>
      <c r="AM84" s="414" t="s">
        <v>1341</v>
      </c>
      <c r="AN84" s="393">
        <f t="shared" si="12"/>
        <v>4</v>
      </c>
      <c r="AO84" s="393">
        <f t="shared" si="13"/>
        <v>2024</v>
      </c>
      <c r="AP84" s="394">
        <f t="shared" si="14"/>
        <v>2036</v>
      </c>
      <c r="AQ84" s="395">
        <f t="shared" si="15"/>
        <v>2036.3333333333333</v>
      </c>
      <c r="AR84" s="396">
        <f t="shared" si="16"/>
        <v>34.555694444444448</v>
      </c>
      <c r="AS84" s="397">
        <f t="shared" si="17"/>
        <v>414.66833333333341</v>
      </c>
      <c r="AT84" s="397">
        <f t="shared" si="18"/>
        <v>414.66833333333341</v>
      </c>
      <c r="AU84" s="397">
        <f t="shared" si="19"/>
        <v>0</v>
      </c>
      <c r="AV84" s="397">
        <f t="shared" si="20"/>
        <v>414.66833333333341</v>
      </c>
      <c r="AW84" s="398">
        <f t="shared" si="21"/>
        <v>4561.3516666666674</v>
      </c>
      <c r="AX84" s="386" t="s">
        <v>62</v>
      </c>
      <c r="BA84" s="401" t="s">
        <v>1341</v>
      </c>
    </row>
    <row r="85" spans="2:53" ht="15.75" outlineLevel="1">
      <c r="B85" s="381">
        <v>2111</v>
      </c>
      <c r="C85" s="382">
        <v>415981</v>
      </c>
      <c r="D85" s="381" t="s">
        <v>944</v>
      </c>
      <c r="E85" s="383" t="s">
        <v>4240</v>
      </c>
      <c r="F85" s="392" t="s">
        <v>4630</v>
      </c>
      <c r="G85" s="392"/>
      <c r="H85" s="392"/>
      <c r="I85" s="381">
        <v>7</v>
      </c>
      <c r="J85" s="383"/>
      <c r="K85" s="381">
        <v>0</v>
      </c>
      <c r="L85" s="383"/>
      <c r="M85" s="383"/>
      <c r="N85" s="383" t="s">
        <v>4446</v>
      </c>
      <c r="O85" s="383" t="s">
        <v>4618</v>
      </c>
      <c r="P85" s="383"/>
      <c r="Q85" s="383" t="s">
        <v>4461</v>
      </c>
      <c r="R85" s="383" t="s">
        <v>4450</v>
      </c>
      <c r="S85" s="384">
        <v>45411</v>
      </c>
      <c r="T85" s="384">
        <v>45411</v>
      </c>
      <c r="U85" s="383" t="s">
        <v>4619</v>
      </c>
      <c r="V85" s="381">
        <v>1200</v>
      </c>
      <c r="W85" s="381">
        <v>14050</v>
      </c>
      <c r="X85" s="385">
        <v>6056</v>
      </c>
      <c r="Y85" s="381">
        <v>14056</v>
      </c>
      <c r="Z85" s="385">
        <v>210.28</v>
      </c>
      <c r="AA85" s="385">
        <f t="shared" si="11"/>
        <v>5845.72</v>
      </c>
      <c r="AB85" s="385">
        <v>210.28</v>
      </c>
      <c r="AC85" s="381">
        <v>54260</v>
      </c>
      <c r="AD85" s="385">
        <v>42.06</v>
      </c>
      <c r="AE85" s="381" t="s">
        <v>944</v>
      </c>
      <c r="AF85" s="383"/>
      <c r="AG85" s="383"/>
      <c r="AH85" s="383" t="s">
        <v>57</v>
      </c>
      <c r="AI85" s="383" t="s">
        <v>4442</v>
      </c>
      <c r="AJ85" s="383" t="s">
        <v>4443</v>
      </c>
      <c r="AK85" s="383" t="s">
        <v>4437</v>
      </c>
      <c r="AL85" s="414"/>
      <c r="AM85" s="414" t="s">
        <v>1341</v>
      </c>
      <c r="AN85" s="393">
        <f t="shared" si="12"/>
        <v>4</v>
      </c>
      <c r="AO85" s="393">
        <f t="shared" si="13"/>
        <v>2024</v>
      </c>
      <c r="AP85" s="394">
        <f t="shared" si="14"/>
        <v>2036</v>
      </c>
      <c r="AQ85" s="395">
        <f t="shared" si="15"/>
        <v>2036.3333333333333</v>
      </c>
      <c r="AR85" s="396">
        <f t="shared" si="16"/>
        <v>42.055555555555557</v>
      </c>
      <c r="AS85" s="397">
        <f t="shared" si="17"/>
        <v>504.66666666666669</v>
      </c>
      <c r="AT85" s="397">
        <f t="shared" si="18"/>
        <v>504.66666666666669</v>
      </c>
      <c r="AU85" s="397">
        <f t="shared" si="19"/>
        <v>0</v>
      </c>
      <c r="AV85" s="397">
        <f t="shared" si="20"/>
        <v>504.66666666666669</v>
      </c>
      <c r="AW85" s="398">
        <f t="shared" si="21"/>
        <v>5551.333333333333</v>
      </c>
      <c r="AX85" s="386" t="s">
        <v>62</v>
      </c>
      <c r="BA85" s="401" t="s">
        <v>1019</v>
      </c>
    </row>
    <row r="86" spans="2:53" ht="15.75" outlineLevel="1">
      <c r="B86" s="381">
        <v>2111</v>
      </c>
      <c r="C86" s="382">
        <v>415979</v>
      </c>
      <c r="D86" s="381" t="s">
        <v>944</v>
      </c>
      <c r="E86" s="383" t="s">
        <v>4240</v>
      </c>
      <c r="F86" s="392" t="s">
        <v>4629</v>
      </c>
      <c r="G86" s="392"/>
      <c r="H86" s="392"/>
      <c r="I86" s="381">
        <v>7</v>
      </c>
      <c r="J86" s="383"/>
      <c r="K86" s="381">
        <v>0</v>
      </c>
      <c r="L86" s="383"/>
      <c r="M86" s="383"/>
      <c r="N86" s="383" t="s">
        <v>4446</v>
      </c>
      <c r="O86" s="383" t="s">
        <v>4618</v>
      </c>
      <c r="P86" s="383"/>
      <c r="Q86" s="383" t="s">
        <v>4479</v>
      </c>
      <c r="R86" s="383" t="s">
        <v>4450</v>
      </c>
      <c r="S86" s="384">
        <v>45411</v>
      </c>
      <c r="T86" s="384">
        <v>45411</v>
      </c>
      <c r="U86" s="383" t="s">
        <v>4619</v>
      </c>
      <c r="V86" s="381">
        <v>1200</v>
      </c>
      <c r="W86" s="381">
        <v>14050</v>
      </c>
      <c r="X86" s="385">
        <v>10751.27</v>
      </c>
      <c r="Y86" s="381">
        <v>14056</v>
      </c>
      <c r="Z86" s="385">
        <v>373.3</v>
      </c>
      <c r="AA86" s="385">
        <f t="shared" si="11"/>
        <v>10377.970000000001</v>
      </c>
      <c r="AB86" s="385">
        <v>373.3</v>
      </c>
      <c r="AC86" s="381">
        <v>54260</v>
      </c>
      <c r="AD86" s="385">
        <v>74.66</v>
      </c>
      <c r="AE86" s="381" t="s">
        <v>944</v>
      </c>
      <c r="AF86" s="383"/>
      <c r="AG86" s="383"/>
      <c r="AH86" s="383" t="s">
        <v>57</v>
      </c>
      <c r="AI86" s="383" t="s">
        <v>4442</v>
      </c>
      <c r="AJ86" s="383" t="s">
        <v>4443</v>
      </c>
      <c r="AK86" s="383" t="s">
        <v>4437</v>
      </c>
      <c r="AL86" s="414"/>
      <c r="AM86" s="414" t="s">
        <v>1341</v>
      </c>
      <c r="AN86" s="393">
        <f t="shared" si="12"/>
        <v>4</v>
      </c>
      <c r="AO86" s="393">
        <f t="shared" si="13"/>
        <v>2024</v>
      </c>
      <c r="AP86" s="394">
        <f t="shared" si="14"/>
        <v>2036</v>
      </c>
      <c r="AQ86" s="395">
        <f t="shared" si="15"/>
        <v>2036.3333333333333</v>
      </c>
      <c r="AR86" s="396">
        <f t="shared" si="16"/>
        <v>74.661597222222227</v>
      </c>
      <c r="AS86" s="397">
        <f t="shared" si="17"/>
        <v>895.93916666666678</v>
      </c>
      <c r="AT86" s="397">
        <f t="shared" si="18"/>
        <v>895.93916666666678</v>
      </c>
      <c r="AU86" s="397">
        <f t="shared" si="19"/>
        <v>0</v>
      </c>
      <c r="AV86" s="397">
        <f t="shared" si="20"/>
        <v>895.93916666666678</v>
      </c>
      <c r="AW86" s="398">
        <f t="shared" si="21"/>
        <v>9855.3308333333334</v>
      </c>
      <c r="AX86" s="386" t="s">
        <v>62</v>
      </c>
      <c r="BA86" s="401" t="s">
        <v>130</v>
      </c>
    </row>
    <row r="87" spans="2:53" ht="15.75" outlineLevel="1">
      <c r="B87" s="381">
        <v>2111</v>
      </c>
      <c r="C87" s="382">
        <v>415960</v>
      </c>
      <c r="D87" s="381" t="s">
        <v>944</v>
      </c>
      <c r="E87" s="383" t="s">
        <v>4240</v>
      </c>
      <c r="F87" s="392" t="s">
        <v>4630</v>
      </c>
      <c r="G87" s="392"/>
      <c r="H87" s="392"/>
      <c r="I87" s="381">
        <v>14</v>
      </c>
      <c r="J87" s="383"/>
      <c r="K87" s="381">
        <v>0</v>
      </c>
      <c r="L87" s="383"/>
      <c r="M87" s="383"/>
      <c r="N87" s="383" t="s">
        <v>4446</v>
      </c>
      <c r="O87" s="383" t="s">
        <v>4631</v>
      </c>
      <c r="P87" s="383"/>
      <c r="Q87" s="383" t="s">
        <v>4461</v>
      </c>
      <c r="R87" s="383" t="s">
        <v>4450</v>
      </c>
      <c r="S87" s="384">
        <v>45411</v>
      </c>
      <c r="T87" s="384">
        <v>45411</v>
      </c>
      <c r="U87" s="383" t="s">
        <v>4632</v>
      </c>
      <c r="V87" s="381">
        <v>1200</v>
      </c>
      <c r="W87" s="381">
        <v>14050</v>
      </c>
      <c r="X87" s="385">
        <v>12870.69</v>
      </c>
      <c r="Y87" s="381">
        <v>14056</v>
      </c>
      <c r="Z87" s="385">
        <v>446.9</v>
      </c>
      <c r="AA87" s="385">
        <f t="shared" si="11"/>
        <v>12423.79</v>
      </c>
      <c r="AB87" s="385">
        <v>446.9</v>
      </c>
      <c r="AC87" s="381">
        <v>54260</v>
      </c>
      <c r="AD87" s="385">
        <v>89.38</v>
      </c>
      <c r="AE87" s="381" t="s">
        <v>944</v>
      </c>
      <c r="AF87" s="383"/>
      <c r="AG87" s="383"/>
      <c r="AH87" s="383" t="s">
        <v>57</v>
      </c>
      <c r="AI87" s="383" t="s">
        <v>4442</v>
      </c>
      <c r="AJ87" s="383" t="s">
        <v>4443</v>
      </c>
      <c r="AK87" s="383" t="s">
        <v>4437</v>
      </c>
      <c r="AL87" s="414"/>
      <c r="AM87" s="414" t="s">
        <v>1341</v>
      </c>
      <c r="AN87" s="393">
        <f t="shared" si="12"/>
        <v>4</v>
      </c>
      <c r="AO87" s="393">
        <f t="shared" si="13"/>
        <v>2024</v>
      </c>
      <c r="AP87" s="394">
        <f t="shared" si="14"/>
        <v>2036</v>
      </c>
      <c r="AQ87" s="395">
        <f t="shared" si="15"/>
        <v>2036.3333333333333</v>
      </c>
      <c r="AR87" s="396">
        <f t="shared" si="16"/>
        <v>89.379791666666677</v>
      </c>
      <c r="AS87" s="397">
        <f t="shared" si="17"/>
        <v>1072.5575000000001</v>
      </c>
      <c r="AT87" s="397">
        <f t="shared" si="18"/>
        <v>1072.5575000000001</v>
      </c>
      <c r="AU87" s="397">
        <f t="shared" si="19"/>
        <v>0</v>
      </c>
      <c r="AV87" s="397">
        <f t="shared" si="20"/>
        <v>1072.5575000000001</v>
      </c>
      <c r="AW87" s="398">
        <f t="shared" si="21"/>
        <v>11798.1325</v>
      </c>
      <c r="AX87" s="386" t="s">
        <v>62</v>
      </c>
      <c r="BA87" s="401" t="s">
        <v>1012</v>
      </c>
    </row>
    <row r="88" spans="2:53" ht="15.75" outlineLevel="1">
      <c r="B88" s="381">
        <v>2111</v>
      </c>
      <c r="C88" s="382">
        <v>415959</v>
      </c>
      <c r="D88" s="381" t="s">
        <v>944</v>
      </c>
      <c r="E88" s="383" t="s">
        <v>4240</v>
      </c>
      <c r="F88" s="392" t="s">
        <v>4629</v>
      </c>
      <c r="G88" s="392"/>
      <c r="H88" s="392"/>
      <c r="I88" s="381">
        <v>6</v>
      </c>
      <c r="J88" s="383"/>
      <c r="K88" s="381">
        <v>0</v>
      </c>
      <c r="L88" s="383"/>
      <c r="M88" s="383"/>
      <c r="N88" s="383" t="s">
        <v>4446</v>
      </c>
      <c r="O88" s="383" t="s">
        <v>4618</v>
      </c>
      <c r="P88" s="383"/>
      <c r="Q88" s="383" t="s">
        <v>4479</v>
      </c>
      <c r="R88" s="383" t="s">
        <v>4450</v>
      </c>
      <c r="S88" s="384">
        <v>45411</v>
      </c>
      <c r="T88" s="384">
        <v>45411</v>
      </c>
      <c r="U88" s="383" t="s">
        <v>4619</v>
      </c>
      <c r="V88" s="381">
        <v>1200</v>
      </c>
      <c r="W88" s="381">
        <v>14050</v>
      </c>
      <c r="X88" s="385">
        <v>9215.3700000000008</v>
      </c>
      <c r="Y88" s="381">
        <v>14056</v>
      </c>
      <c r="Z88" s="385">
        <v>319.98</v>
      </c>
      <c r="AA88" s="385">
        <f t="shared" si="11"/>
        <v>8895.3900000000012</v>
      </c>
      <c r="AB88" s="385">
        <v>319.98</v>
      </c>
      <c r="AC88" s="381">
        <v>54260</v>
      </c>
      <c r="AD88" s="385">
        <v>64</v>
      </c>
      <c r="AE88" s="381" t="s">
        <v>944</v>
      </c>
      <c r="AF88" s="383"/>
      <c r="AG88" s="383"/>
      <c r="AH88" s="383" t="s">
        <v>57</v>
      </c>
      <c r="AI88" s="383" t="s">
        <v>4442</v>
      </c>
      <c r="AJ88" s="383" t="s">
        <v>4443</v>
      </c>
      <c r="AK88" s="383" t="s">
        <v>4437</v>
      </c>
      <c r="AL88" s="414"/>
      <c r="AM88" s="414" t="s">
        <v>1341</v>
      </c>
      <c r="AN88" s="393">
        <f t="shared" si="12"/>
        <v>4</v>
      </c>
      <c r="AO88" s="393">
        <f t="shared" si="13"/>
        <v>2024</v>
      </c>
      <c r="AP88" s="394">
        <f t="shared" si="14"/>
        <v>2036</v>
      </c>
      <c r="AQ88" s="395">
        <f t="shared" si="15"/>
        <v>2036.3333333333333</v>
      </c>
      <c r="AR88" s="396">
        <f t="shared" si="16"/>
        <v>63.995625000000011</v>
      </c>
      <c r="AS88" s="397">
        <f t="shared" si="17"/>
        <v>767.9475000000001</v>
      </c>
      <c r="AT88" s="397">
        <f t="shared" si="18"/>
        <v>767.9475000000001</v>
      </c>
      <c r="AU88" s="397">
        <f t="shared" si="19"/>
        <v>0</v>
      </c>
      <c r="AV88" s="397">
        <f t="shared" si="20"/>
        <v>767.9475000000001</v>
      </c>
      <c r="AW88" s="398">
        <f t="shared" si="21"/>
        <v>8447.4225000000006</v>
      </c>
      <c r="AX88" s="386" t="s">
        <v>62</v>
      </c>
      <c r="BA88" s="401" t="s">
        <v>1011</v>
      </c>
    </row>
    <row r="89" spans="2:53" ht="15.75" outlineLevel="1">
      <c r="B89" s="381">
        <v>2111</v>
      </c>
      <c r="C89" s="382">
        <v>415958</v>
      </c>
      <c r="D89" s="381" t="s">
        <v>944</v>
      </c>
      <c r="E89" s="383" t="s">
        <v>4240</v>
      </c>
      <c r="F89" s="392" t="s">
        <v>4629</v>
      </c>
      <c r="G89" s="392"/>
      <c r="H89" s="392"/>
      <c r="I89" s="381">
        <v>7</v>
      </c>
      <c r="J89" s="383"/>
      <c r="K89" s="381">
        <v>0</v>
      </c>
      <c r="L89" s="383"/>
      <c r="M89" s="383"/>
      <c r="N89" s="383" t="s">
        <v>4446</v>
      </c>
      <c r="O89" s="383" t="s">
        <v>4618</v>
      </c>
      <c r="P89" s="383"/>
      <c r="Q89" s="383" t="s">
        <v>4479</v>
      </c>
      <c r="R89" s="383" t="s">
        <v>4450</v>
      </c>
      <c r="S89" s="384">
        <v>45411</v>
      </c>
      <c r="T89" s="384">
        <v>45411</v>
      </c>
      <c r="U89" s="383" t="s">
        <v>4619</v>
      </c>
      <c r="V89" s="381">
        <v>1200</v>
      </c>
      <c r="W89" s="381">
        <v>14050</v>
      </c>
      <c r="X89" s="385">
        <v>10751.27</v>
      </c>
      <c r="Y89" s="381">
        <v>14056</v>
      </c>
      <c r="Z89" s="385">
        <v>373.3</v>
      </c>
      <c r="AA89" s="385">
        <f t="shared" si="11"/>
        <v>10377.970000000001</v>
      </c>
      <c r="AB89" s="385">
        <v>373.3</v>
      </c>
      <c r="AC89" s="381">
        <v>54260</v>
      </c>
      <c r="AD89" s="385">
        <v>74.66</v>
      </c>
      <c r="AE89" s="381" t="s">
        <v>944</v>
      </c>
      <c r="AF89" s="383"/>
      <c r="AG89" s="383"/>
      <c r="AH89" s="383" t="s">
        <v>57</v>
      </c>
      <c r="AI89" s="383" t="s">
        <v>4442</v>
      </c>
      <c r="AJ89" s="383" t="s">
        <v>4443</v>
      </c>
      <c r="AK89" s="383" t="s">
        <v>4437</v>
      </c>
      <c r="AL89" s="414"/>
      <c r="AM89" s="414" t="s">
        <v>1341</v>
      </c>
      <c r="AN89" s="393">
        <f t="shared" si="12"/>
        <v>4</v>
      </c>
      <c r="AO89" s="393">
        <f t="shared" si="13"/>
        <v>2024</v>
      </c>
      <c r="AP89" s="394">
        <f t="shared" si="14"/>
        <v>2036</v>
      </c>
      <c r="AQ89" s="395">
        <f t="shared" si="15"/>
        <v>2036.3333333333333</v>
      </c>
      <c r="AR89" s="396">
        <f t="shared" si="16"/>
        <v>74.661597222222227</v>
      </c>
      <c r="AS89" s="397">
        <f t="shared" si="17"/>
        <v>895.93916666666678</v>
      </c>
      <c r="AT89" s="397">
        <f t="shared" si="18"/>
        <v>895.93916666666678</v>
      </c>
      <c r="AU89" s="397">
        <f t="shared" si="19"/>
        <v>0</v>
      </c>
      <c r="AV89" s="397">
        <f t="shared" si="20"/>
        <v>895.93916666666678</v>
      </c>
      <c r="AW89" s="398">
        <f t="shared" si="21"/>
        <v>9855.3308333333334</v>
      </c>
      <c r="AX89" s="386" t="s">
        <v>62</v>
      </c>
      <c r="BA89" s="401" t="s">
        <v>131</v>
      </c>
    </row>
    <row r="90" spans="2:53" ht="15.75" outlineLevel="1">
      <c r="B90" s="381">
        <v>2111</v>
      </c>
      <c r="C90" s="382">
        <v>414761</v>
      </c>
      <c r="D90" s="381">
        <v>406463</v>
      </c>
      <c r="E90" s="383" t="s">
        <v>4240</v>
      </c>
      <c r="F90" s="392" t="s">
        <v>4330</v>
      </c>
      <c r="G90" s="392"/>
      <c r="H90" s="392"/>
      <c r="I90" s="381">
        <v>1</v>
      </c>
      <c r="J90" s="383" t="s">
        <v>4588</v>
      </c>
      <c r="K90" s="381">
        <v>2024</v>
      </c>
      <c r="L90" s="383"/>
      <c r="M90" s="383" t="s">
        <v>1483</v>
      </c>
      <c r="N90" s="383" t="s">
        <v>4445</v>
      </c>
      <c r="O90" s="383" t="s">
        <v>4552</v>
      </c>
      <c r="P90" s="383" t="s">
        <v>4487</v>
      </c>
      <c r="Q90" s="383"/>
      <c r="R90" s="383"/>
      <c r="S90" s="384">
        <v>45457</v>
      </c>
      <c r="T90" s="384">
        <v>45457</v>
      </c>
      <c r="U90" s="383" t="s">
        <v>4589</v>
      </c>
      <c r="V90" s="381">
        <v>1000</v>
      </c>
      <c r="W90" s="381">
        <v>14040</v>
      </c>
      <c r="X90" s="385">
        <v>194590.46</v>
      </c>
      <c r="Y90" s="381">
        <v>14046</v>
      </c>
      <c r="Z90" s="385">
        <v>6486.36</v>
      </c>
      <c r="AA90" s="385">
        <f t="shared" si="11"/>
        <v>188104.1</v>
      </c>
      <c r="AB90" s="385">
        <v>6486.36</v>
      </c>
      <c r="AC90" s="381">
        <v>51260</v>
      </c>
      <c r="AD90" s="385">
        <v>1621.59</v>
      </c>
      <c r="AE90" s="381" t="s">
        <v>944</v>
      </c>
      <c r="AF90" s="383"/>
      <c r="AG90" s="383"/>
      <c r="AH90" s="383" t="s">
        <v>57</v>
      </c>
      <c r="AI90" s="383" t="s">
        <v>4442</v>
      </c>
      <c r="AJ90" s="383" t="s">
        <v>4443</v>
      </c>
      <c r="AK90" s="383" t="str">
        <f>_xlfn.XLOOKUP(C90,'[9]Vehicle Fleet Detail'!$A$5:$A$314,'[9]Vehicle Fleet Detail'!$C$5:$C$314,_xlfn.XLOOKUP(D90,'[9]Vehicle Fleet Detail'!$A$5:$A$314,'[9]Vehicle Fleet Detail'!$C$5:$C$314))</f>
        <v>921</v>
      </c>
      <c r="AL90" s="414" t="str">
        <f>_xlfn.XLOOKUP(C90,'[9]Vehicle Fleet Detail'!$A$5:$A$314,'[9]Vehicle Fleet Detail'!$B$5:$B$314,_xlfn.XLOOKUP(D90,'[9]Vehicle Fleet Detail'!$A$5:$A$314,'[9]Vehicle Fleet Detail'!$B$5:$B$314))</f>
        <v>Front Load</v>
      </c>
      <c r="AM90" s="414" t="s">
        <v>3939</v>
      </c>
      <c r="AN90" s="393">
        <f t="shared" si="12"/>
        <v>6</v>
      </c>
      <c r="AO90" s="393">
        <f t="shared" si="13"/>
        <v>2024</v>
      </c>
      <c r="AP90" s="394">
        <f t="shared" si="14"/>
        <v>2034</v>
      </c>
      <c r="AQ90" s="395">
        <f t="shared" si="15"/>
        <v>2034.5</v>
      </c>
      <c r="AR90" s="396">
        <f t="shared" si="16"/>
        <v>1621.5871666666665</v>
      </c>
      <c r="AS90" s="397">
        <f t="shared" si="17"/>
        <v>19459.045999999998</v>
      </c>
      <c r="AT90" s="397">
        <f t="shared" si="18"/>
        <v>19459.045999999998</v>
      </c>
      <c r="AU90" s="397">
        <f t="shared" si="19"/>
        <v>0</v>
      </c>
      <c r="AV90" s="397">
        <f t="shared" si="20"/>
        <v>19459.045999999998</v>
      </c>
      <c r="AW90" s="398">
        <f t="shared" si="21"/>
        <v>175131.41399999999</v>
      </c>
      <c r="AX90" s="386" t="s">
        <v>62</v>
      </c>
      <c r="BA90" s="401" t="s">
        <v>128</v>
      </c>
    </row>
    <row r="91" spans="2:53" ht="15.75" outlineLevel="1">
      <c r="B91" s="381">
        <v>2111</v>
      </c>
      <c r="C91" s="382">
        <v>414527</v>
      </c>
      <c r="D91" s="381" t="s">
        <v>944</v>
      </c>
      <c r="E91" s="383" t="s">
        <v>4240</v>
      </c>
      <c r="F91" s="392" t="s">
        <v>4604</v>
      </c>
      <c r="G91" s="392"/>
      <c r="H91" s="392"/>
      <c r="I91" s="381">
        <v>200</v>
      </c>
      <c r="J91" s="383"/>
      <c r="K91" s="381">
        <v>0</v>
      </c>
      <c r="L91" s="383"/>
      <c r="M91" s="383"/>
      <c r="N91" s="383" t="s">
        <v>4446</v>
      </c>
      <c r="O91" s="383" t="s">
        <v>4585</v>
      </c>
      <c r="P91" s="383"/>
      <c r="Q91" s="383" t="s">
        <v>4605</v>
      </c>
      <c r="R91" s="383" t="s">
        <v>4474</v>
      </c>
      <c r="S91" s="384">
        <v>45496</v>
      </c>
      <c r="T91" s="384">
        <v>45496</v>
      </c>
      <c r="U91" s="383" t="s">
        <v>4628</v>
      </c>
      <c r="V91" s="381">
        <v>700</v>
      </c>
      <c r="W91" s="381">
        <v>14050</v>
      </c>
      <c r="X91" s="385">
        <v>5994.94</v>
      </c>
      <c r="Y91" s="381">
        <v>14056</v>
      </c>
      <c r="Z91" s="385">
        <v>142.74</v>
      </c>
      <c r="AA91" s="385">
        <f t="shared" si="11"/>
        <v>5852.2</v>
      </c>
      <c r="AB91" s="385">
        <v>142.74</v>
      </c>
      <c r="AC91" s="381">
        <v>54260</v>
      </c>
      <c r="AD91" s="385">
        <v>71.37</v>
      </c>
      <c r="AE91" s="381" t="s">
        <v>944</v>
      </c>
      <c r="AF91" s="383"/>
      <c r="AG91" s="383"/>
      <c r="AH91" s="383" t="s">
        <v>57</v>
      </c>
      <c r="AI91" s="383" t="s">
        <v>4442</v>
      </c>
      <c r="AJ91" s="383" t="s">
        <v>4443</v>
      </c>
      <c r="AK91" s="383" t="s">
        <v>4437</v>
      </c>
      <c r="AL91" s="414"/>
      <c r="AM91" s="414" t="s">
        <v>1019</v>
      </c>
      <c r="AN91" s="393">
        <f t="shared" si="12"/>
        <v>7</v>
      </c>
      <c r="AO91" s="393">
        <f t="shared" si="13"/>
        <v>2024</v>
      </c>
      <c r="AP91" s="394">
        <f t="shared" si="14"/>
        <v>2031</v>
      </c>
      <c r="AQ91" s="395">
        <f t="shared" si="15"/>
        <v>2031.5833333333333</v>
      </c>
      <c r="AR91" s="396">
        <f t="shared" si="16"/>
        <v>71.368333333333325</v>
      </c>
      <c r="AS91" s="397">
        <f t="shared" si="17"/>
        <v>856.41999999999985</v>
      </c>
      <c r="AT91" s="397">
        <f t="shared" si="18"/>
        <v>856.41999999999985</v>
      </c>
      <c r="AU91" s="397">
        <f t="shared" si="19"/>
        <v>0</v>
      </c>
      <c r="AV91" s="397">
        <f t="shared" si="20"/>
        <v>856.41999999999985</v>
      </c>
      <c r="AW91" s="398">
        <f t="shared" si="21"/>
        <v>5138.5199999999995</v>
      </c>
      <c r="AX91" s="386" t="s">
        <v>62</v>
      </c>
      <c r="BA91" s="401" t="s">
        <v>1010</v>
      </c>
    </row>
    <row r="92" spans="2:53" ht="15.75" outlineLevel="1">
      <c r="B92" s="381">
        <v>2111</v>
      </c>
      <c r="C92" s="382">
        <v>413846</v>
      </c>
      <c r="D92" s="381">
        <v>406463</v>
      </c>
      <c r="E92" s="383" t="s">
        <v>4240</v>
      </c>
      <c r="F92" s="392" t="s">
        <v>4591</v>
      </c>
      <c r="G92" s="392"/>
      <c r="H92" s="392"/>
      <c r="I92" s="381">
        <v>1</v>
      </c>
      <c r="J92" s="383" t="s">
        <v>4592</v>
      </c>
      <c r="K92" s="381">
        <v>0</v>
      </c>
      <c r="L92" s="383"/>
      <c r="M92" s="383"/>
      <c r="N92" s="383" t="s">
        <v>4445</v>
      </c>
      <c r="O92" s="383" t="s">
        <v>4552</v>
      </c>
      <c r="P92" s="383" t="s">
        <v>4487</v>
      </c>
      <c r="Q92" s="383"/>
      <c r="R92" s="383"/>
      <c r="S92" s="384">
        <v>45457</v>
      </c>
      <c r="T92" s="384">
        <v>45457</v>
      </c>
      <c r="U92" s="383" t="s">
        <v>4589</v>
      </c>
      <c r="V92" s="381">
        <v>1000</v>
      </c>
      <c r="W92" s="381">
        <v>14040</v>
      </c>
      <c r="X92" s="385">
        <v>1167.06</v>
      </c>
      <c r="Y92" s="381">
        <v>14046</v>
      </c>
      <c r="Z92" s="385">
        <v>38.92</v>
      </c>
      <c r="AA92" s="385">
        <f t="shared" si="11"/>
        <v>1128.1399999999999</v>
      </c>
      <c r="AB92" s="385">
        <v>38.92</v>
      </c>
      <c r="AC92" s="381">
        <v>51260</v>
      </c>
      <c r="AD92" s="385">
        <v>9.73</v>
      </c>
      <c r="AE92" s="381" t="s">
        <v>944</v>
      </c>
      <c r="AF92" s="383"/>
      <c r="AG92" s="383"/>
      <c r="AH92" s="383" t="s">
        <v>57</v>
      </c>
      <c r="AI92" s="383" t="s">
        <v>4442</v>
      </c>
      <c r="AJ92" s="383" t="s">
        <v>4443</v>
      </c>
      <c r="AK92" s="383" t="str">
        <f>_xlfn.XLOOKUP(C92,'[9]Vehicle Fleet Detail'!$A$5:$A$314,'[9]Vehicle Fleet Detail'!$C$5:$C$314,_xlfn.XLOOKUP(D92,'[9]Vehicle Fleet Detail'!$A$5:$A$314,'[9]Vehicle Fleet Detail'!$C$5:$C$314))</f>
        <v>921</v>
      </c>
      <c r="AL92" s="414" t="str">
        <f>_xlfn.XLOOKUP(C92,'[9]Vehicle Fleet Detail'!$A$5:$A$314,'[9]Vehicle Fleet Detail'!$B$5:$B$314,_xlfn.XLOOKUP(D92,'[9]Vehicle Fleet Detail'!$A$5:$A$314,'[9]Vehicle Fleet Detail'!$B$5:$B$314))</f>
        <v>Front Load</v>
      </c>
      <c r="AM92" s="414" t="s">
        <v>3939</v>
      </c>
      <c r="AN92" s="393">
        <f t="shared" si="12"/>
        <v>6</v>
      </c>
      <c r="AO92" s="393">
        <f t="shared" si="13"/>
        <v>2024</v>
      </c>
      <c r="AP92" s="394">
        <f t="shared" si="14"/>
        <v>2034</v>
      </c>
      <c r="AQ92" s="395">
        <f t="shared" si="15"/>
        <v>2034.5</v>
      </c>
      <c r="AR92" s="396">
        <f t="shared" si="16"/>
        <v>9.7254999999999985</v>
      </c>
      <c r="AS92" s="397">
        <f t="shared" si="17"/>
        <v>116.70599999999999</v>
      </c>
      <c r="AT92" s="397">
        <f t="shared" si="18"/>
        <v>116.70599999999999</v>
      </c>
      <c r="AU92" s="397">
        <f t="shared" si="19"/>
        <v>0</v>
      </c>
      <c r="AV92" s="397">
        <f t="shared" si="20"/>
        <v>116.70599999999999</v>
      </c>
      <c r="AW92" s="398">
        <f t="shared" si="21"/>
        <v>1050.354</v>
      </c>
      <c r="AX92" s="386" t="s">
        <v>62</v>
      </c>
      <c r="AZ92" s="399" t="s">
        <v>4648</v>
      </c>
      <c r="BA92" s="402"/>
    </row>
    <row r="93" spans="2:53" ht="15.75" outlineLevel="1">
      <c r="B93" s="381">
        <v>2111</v>
      </c>
      <c r="C93" s="382">
        <v>413776</v>
      </c>
      <c r="D93" s="381">
        <v>406463</v>
      </c>
      <c r="E93" s="383" t="s">
        <v>4240</v>
      </c>
      <c r="F93" s="392" t="s">
        <v>4590</v>
      </c>
      <c r="G93" s="392"/>
      <c r="H93" s="392"/>
      <c r="I93" s="381">
        <v>1</v>
      </c>
      <c r="J93" s="383" t="s">
        <v>4588</v>
      </c>
      <c r="K93" s="381">
        <v>0</v>
      </c>
      <c r="L93" s="383"/>
      <c r="M93" s="383"/>
      <c r="N93" s="383" t="s">
        <v>4445</v>
      </c>
      <c r="O93" s="383" t="s">
        <v>4552</v>
      </c>
      <c r="P93" s="383" t="s">
        <v>4487</v>
      </c>
      <c r="Q93" s="383"/>
      <c r="R93" s="383"/>
      <c r="S93" s="384">
        <v>45457</v>
      </c>
      <c r="T93" s="384">
        <v>45457</v>
      </c>
      <c r="U93" s="383" t="s">
        <v>4589</v>
      </c>
      <c r="V93" s="381">
        <v>1000</v>
      </c>
      <c r="W93" s="381">
        <v>14040</v>
      </c>
      <c r="X93" s="385">
        <v>1414.12</v>
      </c>
      <c r="Y93" s="381">
        <v>14046</v>
      </c>
      <c r="Z93" s="385">
        <v>47.12</v>
      </c>
      <c r="AA93" s="385">
        <f t="shared" si="11"/>
        <v>1367</v>
      </c>
      <c r="AB93" s="385">
        <v>47.12</v>
      </c>
      <c r="AC93" s="381">
        <v>51260</v>
      </c>
      <c r="AD93" s="385">
        <v>11.78</v>
      </c>
      <c r="AE93" s="381" t="s">
        <v>944</v>
      </c>
      <c r="AF93" s="383"/>
      <c r="AG93" s="383"/>
      <c r="AH93" s="383" t="s">
        <v>57</v>
      </c>
      <c r="AI93" s="383" t="s">
        <v>4442</v>
      </c>
      <c r="AJ93" s="383" t="s">
        <v>4443</v>
      </c>
      <c r="AK93" s="383" t="str">
        <f>_xlfn.XLOOKUP(C93,'[9]Vehicle Fleet Detail'!$A$5:$A$314,'[9]Vehicle Fleet Detail'!$C$5:$C$314,_xlfn.XLOOKUP(D93,'[9]Vehicle Fleet Detail'!$A$5:$A$314,'[9]Vehicle Fleet Detail'!$C$5:$C$314))</f>
        <v>921</v>
      </c>
      <c r="AL93" s="414" t="str">
        <f>_xlfn.XLOOKUP(C93,'[9]Vehicle Fleet Detail'!$A$5:$A$314,'[9]Vehicle Fleet Detail'!$B$5:$B$314,_xlfn.XLOOKUP(D93,'[9]Vehicle Fleet Detail'!$A$5:$A$314,'[9]Vehicle Fleet Detail'!$B$5:$B$314))</f>
        <v>Front Load</v>
      </c>
      <c r="AM93" s="414" t="s">
        <v>3939</v>
      </c>
      <c r="AN93" s="393">
        <f t="shared" si="12"/>
        <v>6</v>
      </c>
      <c r="AO93" s="393">
        <f t="shared" si="13"/>
        <v>2024</v>
      </c>
      <c r="AP93" s="394">
        <f t="shared" si="14"/>
        <v>2034</v>
      </c>
      <c r="AQ93" s="395">
        <f t="shared" si="15"/>
        <v>2034.5</v>
      </c>
      <c r="AR93" s="396">
        <f t="shared" si="16"/>
        <v>11.784333333333331</v>
      </c>
      <c r="AS93" s="397">
        <f t="shared" si="17"/>
        <v>141.41199999999998</v>
      </c>
      <c r="AT93" s="397">
        <f t="shared" si="18"/>
        <v>141.41199999999998</v>
      </c>
      <c r="AU93" s="397">
        <f t="shared" si="19"/>
        <v>0</v>
      </c>
      <c r="AV93" s="397">
        <f t="shared" si="20"/>
        <v>141.41199999999998</v>
      </c>
      <c r="AW93" s="398">
        <f t="shared" si="21"/>
        <v>1272.7079999999999</v>
      </c>
      <c r="AX93" s="386" t="s">
        <v>62</v>
      </c>
      <c r="BA93" s="401" t="s">
        <v>133</v>
      </c>
    </row>
    <row r="94" spans="2:53" ht="15.75" outlineLevel="1">
      <c r="B94" s="381">
        <v>2111</v>
      </c>
      <c r="C94" s="382">
        <v>413706</v>
      </c>
      <c r="D94" s="381" t="s">
        <v>944</v>
      </c>
      <c r="E94" s="383" t="s">
        <v>4240</v>
      </c>
      <c r="F94" s="392" t="s">
        <v>4624</v>
      </c>
      <c r="G94" s="392"/>
      <c r="H94" s="392"/>
      <c r="I94" s="381">
        <v>1</v>
      </c>
      <c r="J94" s="383" t="s">
        <v>4625</v>
      </c>
      <c r="K94" s="381">
        <v>2022</v>
      </c>
      <c r="L94" s="383"/>
      <c r="M94" s="383" t="s">
        <v>2166</v>
      </c>
      <c r="N94" s="383" t="s">
        <v>4445</v>
      </c>
      <c r="O94" s="383" t="s">
        <v>4626</v>
      </c>
      <c r="P94" s="383" t="s">
        <v>2868</v>
      </c>
      <c r="Q94" s="383"/>
      <c r="R94" s="383"/>
      <c r="S94" s="384">
        <v>45471</v>
      </c>
      <c r="T94" s="384">
        <v>45471</v>
      </c>
      <c r="U94" s="383" t="s">
        <v>4627</v>
      </c>
      <c r="V94" s="381">
        <v>800</v>
      </c>
      <c r="W94" s="381">
        <v>14040</v>
      </c>
      <c r="X94" s="385">
        <v>63415.6</v>
      </c>
      <c r="Y94" s="381">
        <v>14046</v>
      </c>
      <c r="Z94" s="385">
        <v>1981.74</v>
      </c>
      <c r="AA94" s="385">
        <f t="shared" si="11"/>
        <v>61433.86</v>
      </c>
      <c r="AB94" s="385">
        <v>1981.74</v>
      </c>
      <c r="AC94" s="381">
        <v>51260</v>
      </c>
      <c r="AD94" s="385">
        <v>660.58</v>
      </c>
      <c r="AE94" s="381" t="s">
        <v>944</v>
      </c>
      <c r="AF94" s="383"/>
      <c r="AG94" s="383"/>
      <c r="AH94" s="383" t="s">
        <v>57</v>
      </c>
      <c r="AI94" s="383" t="s">
        <v>4442</v>
      </c>
      <c r="AJ94" s="383" t="s">
        <v>4443</v>
      </c>
      <c r="AK94" s="383" t="s">
        <v>4656</v>
      </c>
      <c r="AL94" s="414" t="s">
        <v>4657</v>
      </c>
      <c r="AM94" s="414" t="s">
        <v>582</v>
      </c>
      <c r="AN94" s="393">
        <f t="shared" si="12"/>
        <v>6</v>
      </c>
      <c r="AO94" s="393">
        <f t="shared" si="13"/>
        <v>2024</v>
      </c>
      <c r="AP94" s="394">
        <f t="shared" si="14"/>
        <v>2032</v>
      </c>
      <c r="AQ94" s="395">
        <f t="shared" si="15"/>
        <v>2032.5</v>
      </c>
      <c r="AR94" s="396">
        <f t="shared" si="16"/>
        <v>660.57916666666665</v>
      </c>
      <c r="AS94" s="397">
        <f t="shared" si="17"/>
        <v>7926.95</v>
      </c>
      <c r="AT94" s="397">
        <f t="shared" si="18"/>
        <v>7926.95</v>
      </c>
      <c r="AU94" s="397">
        <f t="shared" si="19"/>
        <v>0</v>
      </c>
      <c r="AV94" s="397">
        <f t="shared" si="20"/>
        <v>7926.95</v>
      </c>
      <c r="AW94" s="398">
        <f t="shared" si="21"/>
        <v>55488.65</v>
      </c>
      <c r="AX94" s="386" t="s">
        <v>62</v>
      </c>
      <c r="BA94" s="401" t="s">
        <v>134</v>
      </c>
    </row>
    <row r="95" spans="2:53" ht="15.75" outlineLevel="1">
      <c r="B95" s="381">
        <v>2111</v>
      </c>
      <c r="C95" s="382">
        <v>412943</v>
      </c>
      <c r="D95" s="381" t="s">
        <v>944</v>
      </c>
      <c r="E95" s="383" t="s">
        <v>4240</v>
      </c>
      <c r="F95" s="392" t="s">
        <v>4621</v>
      </c>
      <c r="G95" s="392"/>
      <c r="H95" s="392"/>
      <c r="I95" s="381">
        <v>1</v>
      </c>
      <c r="J95" s="383" t="s">
        <v>4622</v>
      </c>
      <c r="K95" s="381">
        <v>2025</v>
      </c>
      <c r="L95" s="383"/>
      <c r="M95" s="383" t="s">
        <v>1483</v>
      </c>
      <c r="N95" s="383" t="s">
        <v>4445</v>
      </c>
      <c r="O95" s="383" t="s">
        <v>4545</v>
      </c>
      <c r="P95" s="383" t="s">
        <v>4482</v>
      </c>
      <c r="Q95" s="383"/>
      <c r="R95" s="383"/>
      <c r="S95" s="384">
        <v>45449</v>
      </c>
      <c r="T95" s="384">
        <v>45449</v>
      </c>
      <c r="U95" s="383" t="s">
        <v>4623</v>
      </c>
      <c r="V95" s="381">
        <v>1000</v>
      </c>
      <c r="W95" s="381">
        <v>14040</v>
      </c>
      <c r="X95" s="385">
        <v>240512.84</v>
      </c>
      <c r="Y95" s="381">
        <v>14046</v>
      </c>
      <c r="Z95" s="385">
        <v>8017.08</v>
      </c>
      <c r="AA95" s="385">
        <f t="shared" si="11"/>
        <v>232495.76</v>
      </c>
      <c r="AB95" s="385">
        <v>8017.08</v>
      </c>
      <c r="AC95" s="381">
        <v>51260</v>
      </c>
      <c r="AD95" s="385">
        <v>2004.27</v>
      </c>
      <c r="AE95" s="381" t="s">
        <v>944</v>
      </c>
      <c r="AF95" s="383"/>
      <c r="AG95" s="383"/>
      <c r="AH95" s="383" t="s">
        <v>57</v>
      </c>
      <c r="AI95" s="383" t="s">
        <v>4442</v>
      </c>
      <c r="AJ95" s="383" t="s">
        <v>4443</v>
      </c>
      <c r="AK95" s="383" t="s">
        <v>4437</v>
      </c>
      <c r="AL95" s="414"/>
      <c r="AM95" s="414" t="s">
        <v>3939</v>
      </c>
      <c r="AN95" s="393">
        <f t="shared" si="12"/>
        <v>6</v>
      </c>
      <c r="AO95" s="393">
        <f t="shared" si="13"/>
        <v>2024</v>
      </c>
      <c r="AP95" s="394">
        <f t="shared" si="14"/>
        <v>2034</v>
      </c>
      <c r="AQ95" s="395">
        <f t="shared" si="15"/>
        <v>2034.5</v>
      </c>
      <c r="AR95" s="396">
        <f t="shared" si="16"/>
        <v>2004.2736666666667</v>
      </c>
      <c r="AS95" s="397">
        <f t="shared" si="17"/>
        <v>24051.284</v>
      </c>
      <c r="AT95" s="397">
        <f t="shared" si="18"/>
        <v>24051.284</v>
      </c>
      <c r="AU95" s="397">
        <f t="shared" si="19"/>
        <v>0</v>
      </c>
      <c r="AV95" s="397">
        <f t="shared" si="20"/>
        <v>24051.284</v>
      </c>
      <c r="AW95" s="398">
        <f t="shared" si="21"/>
        <v>216461.55599999998</v>
      </c>
      <c r="AX95" s="386" t="s">
        <v>62</v>
      </c>
      <c r="BA95" s="401" t="s">
        <v>135</v>
      </c>
    </row>
    <row r="96" spans="2:53" ht="15.75" outlineLevel="1">
      <c r="B96" s="381">
        <v>2111</v>
      </c>
      <c r="C96" s="382">
        <v>412331</v>
      </c>
      <c r="D96" s="381" t="s">
        <v>944</v>
      </c>
      <c r="E96" s="383" t="s">
        <v>4240</v>
      </c>
      <c r="F96" s="392" t="s">
        <v>4620</v>
      </c>
      <c r="G96" s="392"/>
      <c r="H96" s="392"/>
      <c r="I96" s="381">
        <v>702</v>
      </c>
      <c r="J96" s="383"/>
      <c r="K96" s="381">
        <v>0</v>
      </c>
      <c r="L96" s="383"/>
      <c r="M96" s="383"/>
      <c r="N96" s="383" t="s">
        <v>4446</v>
      </c>
      <c r="O96" s="383" t="s">
        <v>4585</v>
      </c>
      <c r="P96" s="383"/>
      <c r="Q96" s="383" t="s">
        <v>4586</v>
      </c>
      <c r="R96" s="383" t="s">
        <v>4474</v>
      </c>
      <c r="S96" s="384">
        <v>45465</v>
      </c>
      <c r="T96" s="384">
        <v>45465</v>
      </c>
      <c r="U96" s="383" t="s">
        <v>4616</v>
      </c>
      <c r="V96" s="381">
        <v>700</v>
      </c>
      <c r="W96" s="381">
        <v>14050</v>
      </c>
      <c r="X96" s="385">
        <v>40384.129999999997</v>
      </c>
      <c r="Y96" s="381">
        <v>14056</v>
      </c>
      <c r="Z96" s="385">
        <v>1442.28</v>
      </c>
      <c r="AA96" s="385">
        <f t="shared" si="11"/>
        <v>38941.85</v>
      </c>
      <c r="AB96" s="385">
        <v>1442.28</v>
      </c>
      <c r="AC96" s="381">
        <v>54260</v>
      </c>
      <c r="AD96" s="385">
        <v>480.76</v>
      </c>
      <c r="AE96" s="381" t="s">
        <v>944</v>
      </c>
      <c r="AF96" s="383"/>
      <c r="AG96" s="383"/>
      <c r="AH96" s="383" t="s">
        <v>57</v>
      </c>
      <c r="AI96" s="383" t="s">
        <v>4442</v>
      </c>
      <c r="AJ96" s="383" t="s">
        <v>4443</v>
      </c>
      <c r="AK96" s="383" t="s">
        <v>4437</v>
      </c>
      <c r="AL96" s="414"/>
      <c r="AM96" s="414" t="s">
        <v>1019</v>
      </c>
      <c r="AN96" s="393">
        <f t="shared" si="12"/>
        <v>6</v>
      </c>
      <c r="AO96" s="393">
        <f t="shared" si="13"/>
        <v>2024</v>
      </c>
      <c r="AP96" s="394">
        <f t="shared" si="14"/>
        <v>2031</v>
      </c>
      <c r="AQ96" s="395">
        <f t="shared" si="15"/>
        <v>2031.5</v>
      </c>
      <c r="AR96" s="396">
        <f t="shared" si="16"/>
        <v>480.7634523809524</v>
      </c>
      <c r="AS96" s="397">
        <f t="shared" si="17"/>
        <v>5769.1614285714286</v>
      </c>
      <c r="AT96" s="397">
        <f t="shared" si="18"/>
        <v>5769.1614285714286</v>
      </c>
      <c r="AU96" s="397">
        <f t="shared" si="19"/>
        <v>0</v>
      </c>
      <c r="AV96" s="397">
        <f t="shared" si="20"/>
        <v>5769.1614285714286</v>
      </c>
      <c r="AW96" s="398">
        <f t="shared" si="21"/>
        <v>34614.968571428566</v>
      </c>
      <c r="AX96" s="386" t="s">
        <v>62</v>
      </c>
      <c r="BA96" s="401" t="s">
        <v>136</v>
      </c>
    </row>
    <row r="97" spans="2:53" ht="15.75" outlineLevel="1">
      <c r="B97" s="381">
        <v>2111</v>
      </c>
      <c r="C97" s="382">
        <v>412330</v>
      </c>
      <c r="D97" s="381" t="s">
        <v>944</v>
      </c>
      <c r="E97" s="383" t="s">
        <v>4240</v>
      </c>
      <c r="F97" s="392" t="s">
        <v>4617</v>
      </c>
      <c r="G97" s="392"/>
      <c r="H97" s="392"/>
      <c r="I97" s="381">
        <v>14</v>
      </c>
      <c r="J97" s="383"/>
      <c r="K97" s="381">
        <v>0</v>
      </c>
      <c r="L97" s="383"/>
      <c r="M97" s="383"/>
      <c r="N97" s="383" t="s">
        <v>4446</v>
      </c>
      <c r="O97" s="383" t="s">
        <v>4618</v>
      </c>
      <c r="P97" s="383"/>
      <c r="Q97" s="383" t="s">
        <v>4459</v>
      </c>
      <c r="R97" s="383" t="s">
        <v>4450</v>
      </c>
      <c r="S97" s="384">
        <v>45411</v>
      </c>
      <c r="T97" s="384">
        <v>45411</v>
      </c>
      <c r="U97" s="383" t="s">
        <v>4619</v>
      </c>
      <c r="V97" s="381">
        <v>1200</v>
      </c>
      <c r="W97" s="381">
        <v>14050</v>
      </c>
      <c r="X97" s="385">
        <v>13101.9</v>
      </c>
      <c r="Y97" s="381">
        <v>14056</v>
      </c>
      <c r="Z97" s="385">
        <v>454.94</v>
      </c>
      <c r="AA97" s="385">
        <f t="shared" si="11"/>
        <v>12646.96</v>
      </c>
      <c r="AB97" s="385">
        <v>454.94</v>
      </c>
      <c r="AC97" s="381">
        <v>54260</v>
      </c>
      <c r="AD97" s="385">
        <v>90.99</v>
      </c>
      <c r="AE97" s="381" t="s">
        <v>944</v>
      </c>
      <c r="AF97" s="383"/>
      <c r="AG97" s="383"/>
      <c r="AH97" s="383" t="s">
        <v>57</v>
      </c>
      <c r="AI97" s="383" t="s">
        <v>4442</v>
      </c>
      <c r="AJ97" s="383" t="s">
        <v>4443</v>
      </c>
      <c r="AK97" s="383" t="s">
        <v>4437</v>
      </c>
      <c r="AL97" s="414"/>
      <c r="AM97" s="414" t="s">
        <v>1341</v>
      </c>
      <c r="AN97" s="393">
        <f t="shared" si="12"/>
        <v>4</v>
      </c>
      <c r="AO97" s="393">
        <f t="shared" si="13"/>
        <v>2024</v>
      </c>
      <c r="AP97" s="394">
        <f t="shared" si="14"/>
        <v>2036</v>
      </c>
      <c r="AQ97" s="395">
        <f t="shared" si="15"/>
        <v>2036.3333333333333</v>
      </c>
      <c r="AR97" s="396">
        <f t="shared" si="16"/>
        <v>90.985416666666666</v>
      </c>
      <c r="AS97" s="397">
        <f t="shared" si="17"/>
        <v>1091.825</v>
      </c>
      <c r="AT97" s="397">
        <f t="shared" si="18"/>
        <v>1091.825</v>
      </c>
      <c r="AU97" s="397">
        <f t="shared" si="19"/>
        <v>0</v>
      </c>
      <c r="AV97" s="397">
        <f t="shared" si="20"/>
        <v>1091.825</v>
      </c>
      <c r="AW97" s="398">
        <f t="shared" si="21"/>
        <v>12010.074999999999</v>
      </c>
      <c r="AX97" s="386" t="s">
        <v>62</v>
      </c>
      <c r="BA97" s="401" t="s">
        <v>1082</v>
      </c>
    </row>
    <row r="98" spans="2:53" ht="15.75" outlineLevel="1">
      <c r="B98" s="381">
        <v>2111</v>
      </c>
      <c r="C98" s="382">
        <v>412264</v>
      </c>
      <c r="D98" s="381" t="s">
        <v>944</v>
      </c>
      <c r="E98" s="383" t="s">
        <v>4240</v>
      </c>
      <c r="F98" s="392" t="s">
        <v>4617</v>
      </c>
      <c r="G98" s="392"/>
      <c r="H98" s="392"/>
      <c r="I98" s="381">
        <v>6</v>
      </c>
      <c r="J98" s="383"/>
      <c r="K98" s="381">
        <v>0</v>
      </c>
      <c r="L98" s="383"/>
      <c r="M98" s="383"/>
      <c r="N98" s="383" t="s">
        <v>4446</v>
      </c>
      <c r="O98" s="383" t="s">
        <v>4618</v>
      </c>
      <c r="P98" s="383"/>
      <c r="Q98" s="383" t="s">
        <v>4459</v>
      </c>
      <c r="R98" s="383" t="s">
        <v>4450</v>
      </c>
      <c r="S98" s="384">
        <v>45411</v>
      </c>
      <c r="T98" s="384">
        <v>45411</v>
      </c>
      <c r="U98" s="383" t="s">
        <v>4619</v>
      </c>
      <c r="V98" s="381">
        <v>1200</v>
      </c>
      <c r="W98" s="381">
        <v>14050</v>
      </c>
      <c r="X98" s="385">
        <v>5615.1</v>
      </c>
      <c r="Y98" s="381">
        <v>14056</v>
      </c>
      <c r="Z98" s="385">
        <v>194.95</v>
      </c>
      <c r="AA98" s="385">
        <f t="shared" si="11"/>
        <v>5420.1500000000005</v>
      </c>
      <c r="AB98" s="385">
        <v>194.95</v>
      </c>
      <c r="AC98" s="381">
        <v>54260</v>
      </c>
      <c r="AD98" s="385">
        <v>38.99</v>
      </c>
      <c r="AE98" s="381" t="s">
        <v>944</v>
      </c>
      <c r="AF98" s="383"/>
      <c r="AG98" s="383"/>
      <c r="AH98" s="383" t="s">
        <v>57</v>
      </c>
      <c r="AI98" s="383" t="s">
        <v>4442</v>
      </c>
      <c r="AJ98" s="383" t="s">
        <v>4443</v>
      </c>
      <c r="AK98" s="383" t="s">
        <v>4437</v>
      </c>
      <c r="AL98" s="414"/>
      <c r="AM98" s="414" t="s">
        <v>1341</v>
      </c>
      <c r="AN98" s="393">
        <f t="shared" si="12"/>
        <v>4</v>
      </c>
      <c r="AO98" s="393">
        <f t="shared" si="13"/>
        <v>2024</v>
      </c>
      <c r="AP98" s="394">
        <f t="shared" si="14"/>
        <v>2036</v>
      </c>
      <c r="AQ98" s="395">
        <f t="shared" si="15"/>
        <v>2036.3333333333333</v>
      </c>
      <c r="AR98" s="396">
        <f t="shared" si="16"/>
        <v>38.993749999999999</v>
      </c>
      <c r="AS98" s="397">
        <f t="shared" si="17"/>
        <v>467.92499999999995</v>
      </c>
      <c r="AT98" s="397">
        <f t="shared" si="18"/>
        <v>467.92499999999995</v>
      </c>
      <c r="AU98" s="397">
        <f t="shared" si="19"/>
        <v>0</v>
      </c>
      <c r="AV98" s="397">
        <f t="shared" si="20"/>
        <v>467.92499999999995</v>
      </c>
      <c r="AW98" s="398">
        <f t="shared" si="21"/>
        <v>5147.1750000000002</v>
      </c>
      <c r="AX98" s="386" t="s">
        <v>62</v>
      </c>
      <c r="BA98" s="401" t="s">
        <v>1077</v>
      </c>
    </row>
    <row r="99" spans="2:53" ht="15.75" outlineLevel="1">
      <c r="B99" s="381">
        <v>2111</v>
      </c>
      <c r="C99" s="382">
        <v>412256</v>
      </c>
      <c r="D99" s="381" t="s">
        <v>944</v>
      </c>
      <c r="E99" s="383" t="s">
        <v>4240</v>
      </c>
      <c r="F99" s="392" t="s">
        <v>1135</v>
      </c>
      <c r="G99" s="392"/>
      <c r="H99" s="392"/>
      <c r="I99" s="381">
        <v>702</v>
      </c>
      <c r="J99" s="383"/>
      <c r="K99" s="381">
        <v>0</v>
      </c>
      <c r="L99" s="383"/>
      <c r="M99" s="383"/>
      <c r="N99" s="383" t="s">
        <v>4446</v>
      </c>
      <c r="O99" s="383" t="s">
        <v>4585</v>
      </c>
      <c r="P99" s="383"/>
      <c r="Q99" s="383" t="s">
        <v>4586</v>
      </c>
      <c r="R99" s="383" t="s">
        <v>4474</v>
      </c>
      <c r="S99" s="384">
        <v>45465</v>
      </c>
      <c r="T99" s="384">
        <v>45465</v>
      </c>
      <c r="U99" s="383" t="s">
        <v>4616</v>
      </c>
      <c r="V99" s="381">
        <v>700</v>
      </c>
      <c r="W99" s="381">
        <v>14050</v>
      </c>
      <c r="X99" s="385">
        <v>40384.129999999997</v>
      </c>
      <c r="Y99" s="381">
        <v>14056</v>
      </c>
      <c r="Z99" s="385">
        <v>1442.28</v>
      </c>
      <c r="AA99" s="385">
        <f t="shared" si="11"/>
        <v>38941.85</v>
      </c>
      <c r="AB99" s="385">
        <v>1442.28</v>
      </c>
      <c r="AC99" s="381">
        <v>54260</v>
      </c>
      <c r="AD99" s="385">
        <v>480.76</v>
      </c>
      <c r="AE99" s="381" t="s">
        <v>944</v>
      </c>
      <c r="AF99" s="383"/>
      <c r="AG99" s="383"/>
      <c r="AH99" s="383" t="s">
        <v>57</v>
      </c>
      <c r="AI99" s="383" t="s">
        <v>4442</v>
      </c>
      <c r="AJ99" s="383" t="s">
        <v>4443</v>
      </c>
      <c r="AK99" s="383" t="s">
        <v>4437</v>
      </c>
      <c r="AL99" s="414"/>
      <c r="AM99" s="414" t="s">
        <v>1019</v>
      </c>
      <c r="AN99" s="393">
        <f t="shared" si="12"/>
        <v>6</v>
      </c>
      <c r="AO99" s="393">
        <f t="shared" si="13"/>
        <v>2024</v>
      </c>
      <c r="AP99" s="394">
        <f t="shared" si="14"/>
        <v>2031</v>
      </c>
      <c r="AQ99" s="395">
        <f t="shared" si="15"/>
        <v>2031.5</v>
      </c>
      <c r="AR99" s="396">
        <f t="shared" si="16"/>
        <v>480.7634523809524</v>
      </c>
      <c r="AS99" s="397">
        <f t="shared" si="17"/>
        <v>5769.1614285714286</v>
      </c>
      <c r="AT99" s="397">
        <f t="shared" si="18"/>
        <v>5769.1614285714286</v>
      </c>
      <c r="AU99" s="397">
        <f t="shared" si="19"/>
        <v>0</v>
      </c>
      <c r="AV99" s="397">
        <f t="shared" si="20"/>
        <v>5769.1614285714286</v>
      </c>
      <c r="AW99" s="398">
        <f t="shared" si="21"/>
        <v>34614.968571428566</v>
      </c>
      <c r="AX99" s="386" t="s">
        <v>62</v>
      </c>
      <c r="BA99" s="401" t="s">
        <v>250</v>
      </c>
    </row>
    <row r="100" spans="2:53" ht="15.75" outlineLevel="1">
      <c r="B100" s="381">
        <v>2111</v>
      </c>
      <c r="C100" s="382">
        <v>411492</v>
      </c>
      <c r="D100" s="381" t="s">
        <v>944</v>
      </c>
      <c r="E100" s="383" t="s">
        <v>4240</v>
      </c>
      <c r="F100" s="392" t="s">
        <v>4615</v>
      </c>
      <c r="G100" s="392"/>
      <c r="H100" s="392"/>
      <c r="I100" s="381">
        <v>1</v>
      </c>
      <c r="J100" s="383"/>
      <c r="K100" s="381">
        <v>0</v>
      </c>
      <c r="L100" s="383"/>
      <c r="M100" s="383"/>
      <c r="N100" s="383" t="s">
        <v>4440</v>
      </c>
      <c r="O100" s="383" t="s">
        <v>4610</v>
      </c>
      <c r="P100" s="383"/>
      <c r="Q100" s="383"/>
      <c r="R100" s="383"/>
      <c r="S100" s="384">
        <v>45411</v>
      </c>
      <c r="T100" s="384">
        <v>45411</v>
      </c>
      <c r="U100" s="383" t="s">
        <v>4614</v>
      </c>
      <c r="V100" s="381">
        <v>300</v>
      </c>
      <c r="W100" s="381">
        <v>14110</v>
      </c>
      <c r="X100" s="385">
        <v>246.61</v>
      </c>
      <c r="Y100" s="381">
        <v>14116</v>
      </c>
      <c r="Z100" s="385">
        <v>34.25</v>
      </c>
      <c r="AA100" s="385">
        <f t="shared" si="11"/>
        <v>212.36</v>
      </c>
      <c r="AB100" s="385">
        <v>34.25</v>
      </c>
      <c r="AC100" s="381">
        <v>70260</v>
      </c>
      <c r="AD100" s="385">
        <v>6.85</v>
      </c>
      <c r="AE100" s="381" t="s">
        <v>944</v>
      </c>
      <c r="AF100" s="383"/>
      <c r="AG100" s="383"/>
      <c r="AH100" s="383" t="s">
        <v>57</v>
      </c>
      <c r="AI100" s="383" t="s">
        <v>4442</v>
      </c>
      <c r="AJ100" s="383" t="s">
        <v>4443</v>
      </c>
      <c r="AK100" s="383" t="s">
        <v>4437</v>
      </c>
      <c r="AL100" s="414"/>
      <c r="AM100" s="414" t="s">
        <v>135</v>
      </c>
      <c r="AN100" s="393">
        <f t="shared" si="12"/>
        <v>4</v>
      </c>
      <c r="AO100" s="393">
        <f t="shared" si="13"/>
        <v>2024</v>
      </c>
      <c r="AP100" s="394">
        <f t="shared" si="14"/>
        <v>2027</v>
      </c>
      <c r="AQ100" s="395">
        <f t="shared" si="15"/>
        <v>2027.3333333333333</v>
      </c>
      <c r="AR100" s="396">
        <f t="shared" si="16"/>
        <v>6.8502777777777775</v>
      </c>
      <c r="AS100" s="397">
        <f t="shared" si="17"/>
        <v>82.203333333333333</v>
      </c>
      <c r="AT100" s="397">
        <f t="shared" si="18"/>
        <v>82.203333333333333</v>
      </c>
      <c r="AU100" s="397">
        <f t="shared" si="19"/>
        <v>0</v>
      </c>
      <c r="AV100" s="397">
        <f t="shared" si="20"/>
        <v>82.203333333333333</v>
      </c>
      <c r="AW100" s="398">
        <f t="shared" si="21"/>
        <v>164.40666666666669</v>
      </c>
      <c r="AX100" s="386" t="s">
        <v>62</v>
      </c>
      <c r="BA100" s="401" t="s">
        <v>1032</v>
      </c>
    </row>
    <row r="101" spans="2:53" ht="15.75" outlineLevel="1">
      <c r="B101" s="381">
        <v>2111</v>
      </c>
      <c r="C101" s="382">
        <v>411490</v>
      </c>
      <c r="D101" s="381" t="s">
        <v>944</v>
      </c>
      <c r="E101" s="383" t="s">
        <v>4240</v>
      </c>
      <c r="F101" s="392" t="s">
        <v>4613</v>
      </c>
      <c r="G101" s="392"/>
      <c r="H101" s="392"/>
      <c r="I101" s="381">
        <v>1</v>
      </c>
      <c r="J101" s="383"/>
      <c r="K101" s="381">
        <v>0</v>
      </c>
      <c r="L101" s="383"/>
      <c r="M101" s="383"/>
      <c r="N101" s="383" t="s">
        <v>4440</v>
      </c>
      <c r="O101" s="383" t="s">
        <v>4610</v>
      </c>
      <c r="P101" s="383"/>
      <c r="Q101" s="383"/>
      <c r="R101" s="383"/>
      <c r="S101" s="384">
        <v>45411</v>
      </c>
      <c r="T101" s="384">
        <v>45411</v>
      </c>
      <c r="U101" s="383" t="s">
        <v>4614</v>
      </c>
      <c r="V101" s="381">
        <v>300</v>
      </c>
      <c r="W101" s="381">
        <v>14110</v>
      </c>
      <c r="X101" s="385">
        <v>1073.42</v>
      </c>
      <c r="Y101" s="381">
        <v>14116</v>
      </c>
      <c r="Z101" s="385">
        <v>149.1</v>
      </c>
      <c r="AA101" s="385">
        <f t="shared" ref="AA101:AA164" si="22">+X101-Z101</f>
        <v>924.32</v>
      </c>
      <c r="AB101" s="385">
        <v>149.1</v>
      </c>
      <c r="AC101" s="381">
        <v>70260</v>
      </c>
      <c r="AD101" s="385">
        <v>29.82</v>
      </c>
      <c r="AE101" s="381" t="s">
        <v>944</v>
      </c>
      <c r="AF101" s="383"/>
      <c r="AG101" s="383"/>
      <c r="AH101" s="383" t="s">
        <v>57</v>
      </c>
      <c r="AI101" s="383" t="s">
        <v>4442</v>
      </c>
      <c r="AJ101" s="383" t="s">
        <v>4443</v>
      </c>
      <c r="AK101" s="383" t="s">
        <v>4437</v>
      </c>
      <c r="AL101" s="414"/>
      <c r="AM101" s="414" t="s">
        <v>135</v>
      </c>
      <c r="AN101" s="393">
        <f t="shared" ref="AN101:AN164" si="23">MONTH($S101)</f>
        <v>4</v>
      </c>
      <c r="AO101" s="393">
        <f t="shared" ref="AO101:AO164" si="24">YEAR($S101)</f>
        <v>2024</v>
      </c>
      <c r="AP101" s="394">
        <f t="shared" ref="AP101:AP164" si="25">$AO101+($V101/100)</f>
        <v>2027</v>
      </c>
      <c r="AQ101" s="395">
        <f t="shared" ref="AQ101:AQ164" si="26">$AP101+($AN101/12)</f>
        <v>2027.3333333333333</v>
      </c>
      <c r="AR101" s="396">
        <f t="shared" ref="AR101:AR164" si="27">IFERROR($X101/($V101/100)/12,0)</f>
        <v>29.817222222222224</v>
      </c>
      <c r="AS101" s="397">
        <f t="shared" ref="AS101:AS164" si="28">$AR101*12</f>
        <v>357.80666666666667</v>
      </c>
      <c r="AT101" s="397">
        <f t="shared" ref="AT101:AT164" si="29">IF(AQ101&lt;=$AK$12,0,AS101)</f>
        <v>357.80666666666667</v>
      </c>
      <c r="AU101" s="397">
        <f t="shared" ref="AU101:AU164" si="30">IF(AQ101&lt;=$AK$13,X101,IF(((AO101+AN101/12))&gt;=$AK$13,0,((X101-((AQ101-$AK$13)*12)*AR101))))</f>
        <v>0</v>
      </c>
      <c r="AV101" s="397">
        <f t="shared" ref="AV101:AV164" si="31">IF(AQ101&lt;=$AK$12,X101,AT101+AU101)</f>
        <v>357.80666666666667</v>
      </c>
      <c r="AW101" s="398">
        <f t="shared" ref="AW101:AW164" si="32">+X101-AV101</f>
        <v>715.61333333333346</v>
      </c>
      <c r="AX101" s="386" t="s">
        <v>62</v>
      </c>
      <c r="BA101" s="401" t="s">
        <v>373</v>
      </c>
    </row>
    <row r="102" spans="2:53" ht="16.5" outlineLevel="1" thickBot="1">
      <c r="B102" s="381">
        <v>2111</v>
      </c>
      <c r="C102" s="382">
        <v>410703</v>
      </c>
      <c r="D102" s="381" t="s">
        <v>944</v>
      </c>
      <c r="E102" s="383" t="s">
        <v>4240</v>
      </c>
      <c r="F102" s="392" t="s">
        <v>4612</v>
      </c>
      <c r="G102" s="392"/>
      <c r="H102" s="392"/>
      <c r="I102" s="381">
        <v>1</v>
      </c>
      <c r="J102" s="383"/>
      <c r="K102" s="381">
        <v>0</v>
      </c>
      <c r="L102" s="383"/>
      <c r="M102" s="383"/>
      <c r="N102" s="383" t="s">
        <v>4440</v>
      </c>
      <c r="O102" s="383" t="s">
        <v>4610</v>
      </c>
      <c r="P102" s="383"/>
      <c r="Q102" s="383"/>
      <c r="R102" s="383"/>
      <c r="S102" s="384">
        <v>45450</v>
      </c>
      <c r="T102" s="384">
        <v>45450</v>
      </c>
      <c r="U102" s="383" t="s">
        <v>4611</v>
      </c>
      <c r="V102" s="381">
        <v>300</v>
      </c>
      <c r="W102" s="381">
        <v>14110</v>
      </c>
      <c r="X102" s="385">
        <v>246.61</v>
      </c>
      <c r="Y102" s="381">
        <v>14116</v>
      </c>
      <c r="Z102" s="385">
        <v>27.4</v>
      </c>
      <c r="AA102" s="385">
        <f t="shared" si="22"/>
        <v>219.21</v>
      </c>
      <c r="AB102" s="385">
        <v>27.4</v>
      </c>
      <c r="AC102" s="381">
        <v>70260</v>
      </c>
      <c r="AD102" s="385">
        <v>6.85</v>
      </c>
      <c r="AE102" s="381" t="s">
        <v>944</v>
      </c>
      <c r="AF102" s="383"/>
      <c r="AG102" s="383"/>
      <c r="AH102" s="383" t="s">
        <v>57</v>
      </c>
      <c r="AI102" s="383" t="s">
        <v>4442</v>
      </c>
      <c r="AJ102" s="383" t="s">
        <v>4443</v>
      </c>
      <c r="AK102" s="383" t="s">
        <v>4437</v>
      </c>
      <c r="AL102" s="414"/>
      <c r="AM102" s="414" t="s">
        <v>135</v>
      </c>
      <c r="AN102" s="393">
        <f t="shared" si="23"/>
        <v>6</v>
      </c>
      <c r="AO102" s="393">
        <f t="shared" si="24"/>
        <v>2024</v>
      </c>
      <c r="AP102" s="394">
        <f t="shared" si="25"/>
        <v>2027</v>
      </c>
      <c r="AQ102" s="395">
        <f t="shared" si="26"/>
        <v>2027.5</v>
      </c>
      <c r="AR102" s="396">
        <f t="shared" si="27"/>
        <v>6.8502777777777775</v>
      </c>
      <c r="AS102" s="397">
        <f t="shared" si="28"/>
        <v>82.203333333333333</v>
      </c>
      <c r="AT102" s="397">
        <f t="shared" si="29"/>
        <v>82.203333333333333</v>
      </c>
      <c r="AU102" s="397">
        <f t="shared" si="30"/>
        <v>0</v>
      </c>
      <c r="AV102" s="397">
        <f t="shared" si="31"/>
        <v>82.203333333333333</v>
      </c>
      <c r="AW102" s="398">
        <f t="shared" si="32"/>
        <v>164.40666666666669</v>
      </c>
      <c r="AX102" s="386" t="s">
        <v>62</v>
      </c>
      <c r="BA102" s="403" t="s">
        <v>369</v>
      </c>
    </row>
    <row r="103" spans="2:53" ht="15.75" outlineLevel="1">
      <c r="B103" s="381">
        <v>2111</v>
      </c>
      <c r="C103" s="382">
        <v>410669</v>
      </c>
      <c r="D103" s="381" t="s">
        <v>944</v>
      </c>
      <c r="E103" s="383" t="s">
        <v>4240</v>
      </c>
      <c r="F103" s="392" t="s">
        <v>4609</v>
      </c>
      <c r="G103" s="392"/>
      <c r="H103" s="392"/>
      <c r="I103" s="381">
        <v>1</v>
      </c>
      <c r="J103" s="383"/>
      <c r="K103" s="381">
        <v>0</v>
      </c>
      <c r="L103" s="383"/>
      <c r="M103" s="383"/>
      <c r="N103" s="383" t="s">
        <v>4440</v>
      </c>
      <c r="O103" s="383" t="s">
        <v>4610</v>
      </c>
      <c r="P103" s="383"/>
      <c r="Q103" s="383"/>
      <c r="R103" s="383"/>
      <c r="S103" s="384">
        <v>45450</v>
      </c>
      <c r="T103" s="384">
        <v>45450</v>
      </c>
      <c r="U103" s="383" t="s">
        <v>4611</v>
      </c>
      <c r="V103" s="381">
        <v>300</v>
      </c>
      <c r="W103" s="381">
        <v>14110</v>
      </c>
      <c r="X103" s="385">
        <v>1066.18</v>
      </c>
      <c r="Y103" s="381">
        <v>14116</v>
      </c>
      <c r="Z103" s="385">
        <v>118.48</v>
      </c>
      <c r="AA103" s="385">
        <f t="shared" si="22"/>
        <v>947.7</v>
      </c>
      <c r="AB103" s="385">
        <v>118.48</v>
      </c>
      <c r="AC103" s="381">
        <v>70260</v>
      </c>
      <c r="AD103" s="385">
        <v>29.62</v>
      </c>
      <c r="AE103" s="381" t="s">
        <v>944</v>
      </c>
      <c r="AF103" s="383"/>
      <c r="AG103" s="383"/>
      <c r="AH103" s="383" t="s">
        <v>57</v>
      </c>
      <c r="AI103" s="383" t="s">
        <v>4442</v>
      </c>
      <c r="AJ103" s="383" t="s">
        <v>4443</v>
      </c>
      <c r="AK103" s="383" t="s">
        <v>4437</v>
      </c>
      <c r="AL103" s="414"/>
      <c r="AM103" s="414" t="s">
        <v>135</v>
      </c>
      <c r="AN103" s="393">
        <f t="shared" si="23"/>
        <v>6</v>
      </c>
      <c r="AO103" s="393">
        <f t="shared" si="24"/>
        <v>2024</v>
      </c>
      <c r="AP103" s="394">
        <f t="shared" si="25"/>
        <v>2027</v>
      </c>
      <c r="AQ103" s="395">
        <f t="shared" si="26"/>
        <v>2027.5</v>
      </c>
      <c r="AR103" s="396">
        <f t="shared" si="27"/>
        <v>29.616111111111113</v>
      </c>
      <c r="AS103" s="397">
        <f t="shared" si="28"/>
        <v>355.39333333333337</v>
      </c>
      <c r="AT103" s="397">
        <f t="shared" si="29"/>
        <v>355.39333333333337</v>
      </c>
      <c r="AU103" s="397">
        <f t="shared" si="30"/>
        <v>0</v>
      </c>
      <c r="AV103" s="397">
        <f t="shared" si="31"/>
        <v>355.39333333333337</v>
      </c>
      <c r="AW103" s="398">
        <f t="shared" si="32"/>
        <v>710.78666666666663</v>
      </c>
      <c r="AX103" s="386" t="s">
        <v>62</v>
      </c>
    </row>
    <row r="104" spans="2:53" ht="15.75" outlineLevel="1">
      <c r="B104" s="381">
        <v>2111</v>
      </c>
      <c r="C104" s="382">
        <v>410046</v>
      </c>
      <c r="D104" s="381" t="s">
        <v>944</v>
      </c>
      <c r="E104" s="383" t="s">
        <v>4240</v>
      </c>
      <c r="F104" s="392" t="s">
        <v>4607</v>
      </c>
      <c r="G104" s="392"/>
      <c r="H104" s="392"/>
      <c r="I104" s="381">
        <v>816</v>
      </c>
      <c r="J104" s="383"/>
      <c r="K104" s="381">
        <v>0</v>
      </c>
      <c r="L104" s="383"/>
      <c r="M104" s="383"/>
      <c r="N104" s="383" t="s">
        <v>4446</v>
      </c>
      <c r="O104" s="383" t="s">
        <v>4585</v>
      </c>
      <c r="P104" s="383"/>
      <c r="Q104" s="383" t="s">
        <v>4608</v>
      </c>
      <c r="R104" s="383" t="s">
        <v>4474</v>
      </c>
      <c r="S104" s="384">
        <v>45398</v>
      </c>
      <c r="T104" s="384">
        <v>45398</v>
      </c>
      <c r="U104" s="383" t="s">
        <v>4599</v>
      </c>
      <c r="V104" s="381">
        <v>700</v>
      </c>
      <c r="W104" s="381">
        <v>14050</v>
      </c>
      <c r="X104" s="385">
        <v>44184.1</v>
      </c>
      <c r="Y104" s="381">
        <v>14056</v>
      </c>
      <c r="Z104" s="385">
        <v>2630</v>
      </c>
      <c r="AA104" s="385">
        <f t="shared" si="22"/>
        <v>41554.1</v>
      </c>
      <c r="AB104" s="385">
        <v>2630</v>
      </c>
      <c r="AC104" s="381">
        <v>54260</v>
      </c>
      <c r="AD104" s="385">
        <v>526</v>
      </c>
      <c r="AE104" s="381" t="s">
        <v>944</v>
      </c>
      <c r="AF104" s="383"/>
      <c r="AG104" s="383"/>
      <c r="AH104" s="383" t="s">
        <v>57</v>
      </c>
      <c r="AI104" s="383" t="s">
        <v>4442</v>
      </c>
      <c r="AJ104" s="383" t="s">
        <v>4443</v>
      </c>
      <c r="AK104" s="383" t="s">
        <v>4437</v>
      </c>
      <c r="AL104" s="414"/>
      <c r="AM104" s="414" t="s">
        <v>1019</v>
      </c>
      <c r="AN104" s="393">
        <f t="shared" si="23"/>
        <v>4</v>
      </c>
      <c r="AO104" s="393">
        <f t="shared" si="24"/>
        <v>2024</v>
      </c>
      <c r="AP104" s="394">
        <f t="shared" si="25"/>
        <v>2031</v>
      </c>
      <c r="AQ104" s="395">
        <f t="shared" si="26"/>
        <v>2031.3333333333333</v>
      </c>
      <c r="AR104" s="396">
        <f t="shared" si="27"/>
        <v>526.00119047619046</v>
      </c>
      <c r="AS104" s="397">
        <f t="shared" si="28"/>
        <v>6312.0142857142855</v>
      </c>
      <c r="AT104" s="397">
        <f t="shared" si="29"/>
        <v>6312.0142857142855</v>
      </c>
      <c r="AU104" s="397">
        <f t="shared" si="30"/>
        <v>0</v>
      </c>
      <c r="AV104" s="397">
        <f t="shared" si="31"/>
        <v>6312.0142857142855</v>
      </c>
      <c r="AW104" s="398">
        <f t="shared" si="32"/>
        <v>37872.085714285713</v>
      </c>
      <c r="AX104" s="386" t="s">
        <v>62</v>
      </c>
    </row>
    <row r="105" spans="2:53" ht="15.75" outlineLevel="1">
      <c r="B105" s="381">
        <v>2111</v>
      </c>
      <c r="C105" s="382">
        <v>410038</v>
      </c>
      <c r="D105" s="381" t="s">
        <v>944</v>
      </c>
      <c r="E105" s="383" t="s">
        <v>4240</v>
      </c>
      <c r="F105" s="392" t="s">
        <v>4604</v>
      </c>
      <c r="G105" s="392"/>
      <c r="H105" s="392"/>
      <c r="I105" s="381">
        <v>200</v>
      </c>
      <c r="J105" s="383"/>
      <c r="K105" s="381">
        <v>0</v>
      </c>
      <c r="L105" s="383"/>
      <c r="M105" s="383"/>
      <c r="N105" s="383" t="s">
        <v>4446</v>
      </c>
      <c r="O105" s="383" t="s">
        <v>4585</v>
      </c>
      <c r="P105" s="383"/>
      <c r="Q105" s="383" t="s">
        <v>4605</v>
      </c>
      <c r="R105" s="383" t="s">
        <v>4474</v>
      </c>
      <c r="S105" s="384">
        <v>45393</v>
      </c>
      <c r="T105" s="384">
        <v>45393</v>
      </c>
      <c r="U105" s="383" t="s">
        <v>4606</v>
      </c>
      <c r="V105" s="381">
        <v>700</v>
      </c>
      <c r="W105" s="381">
        <v>14050</v>
      </c>
      <c r="X105" s="385">
        <v>8036.75</v>
      </c>
      <c r="Y105" s="381">
        <v>14056</v>
      </c>
      <c r="Z105" s="385">
        <v>574.05999999999995</v>
      </c>
      <c r="AA105" s="385">
        <f t="shared" si="22"/>
        <v>7462.6900000000005</v>
      </c>
      <c r="AB105" s="385">
        <v>574.05999999999995</v>
      </c>
      <c r="AC105" s="381">
        <v>54260</v>
      </c>
      <c r="AD105" s="385">
        <v>95.68</v>
      </c>
      <c r="AE105" s="381" t="s">
        <v>944</v>
      </c>
      <c r="AF105" s="383"/>
      <c r="AG105" s="383"/>
      <c r="AH105" s="383" t="s">
        <v>57</v>
      </c>
      <c r="AI105" s="383" t="s">
        <v>4442</v>
      </c>
      <c r="AJ105" s="383" t="s">
        <v>4443</v>
      </c>
      <c r="AK105" s="383" t="s">
        <v>4437</v>
      </c>
      <c r="AL105" s="414"/>
      <c r="AM105" s="414" t="s">
        <v>1019</v>
      </c>
      <c r="AN105" s="393">
        <f t="shared" si="23"/>
        <v>4</v>
      </c>
      <c r="AO105" s="393">
        <f t="shared" si="24"/>
        <v>2024</v>
      </c>
      <c r="AP105" s="394">
        <f t="shared" si="25"/>
        <v>2031</v>
      </c>
      <c r="AQ105" s="395">
        <f t="shared" si="26"/>
        <v>2031.3333333333333</v>
      </c>
      <c r="AR105" s="396">
        <f t="shared" si="27"/>
        <v>95.675595238095241</v>
      </c>
      <c r="AS105" s="397">
        <f t="shared" si="28"/>
        <v>1148.1071428571429</v>
      </c>
      <c r="AT105" s="397">
        <f t="shared" si="29"/>
        <v>1148.1071428571429</v>
      </c>
      <c r="AU105" s="397">
        <f t="shared" si="30"/>
        <v>0</v>
      </c>
      <c r="AV105" s="397">
        <f t="shared" si="31"/>
        <v>1148.1071428571429</v>
      </c>
      <c r="AW105" s="398">
        <f t="shared" si="32"/>
        <v>6888.6428571428569</v>
      </c>
      <c r="AX105" s="386" t="s">
        <v>62</v>
      </c>
    </row>
    <row r="106" spans="2:53" ht="15.75" outlineLevel="1">
      <c r="B106" s="381">
        <v>2111</v>
      </c>
      <c r="C106" s="382">
        <v>408957</v>
      </c>
      <c r="D106" s="381">
        <v>400287</v>
      </c>
      <c r="E106" s="383" t="s">
        <v>4240</v>
      </c>
      <c r="F106" s="392" t="s">
        <v>4571</v>
      </c>
      <c r="G106" s="392"/>
      <c r="H106" s="392"/>
      <c r="I106" s="381">
        <v>1</v>
      </c>
      <c r="J106" s="383" t="s">
        <v>4566</v>
      </c>
      <c r="K106" s="381">
        <v>0</v>
      </c>
      <c r="L106" s="383"/>
      <c r="M106" s="383"/>
      <c r="N106" s="383" t="s">
        <v>4445</v>
      </c>
      <c r="O106" s="383" t="s">
        <v>4545</v>
      </c>
      <c r="P106" s="383" t="s">
        <v>4482</v>
      </c>
      <c r="Q106" s="383"/>
      <c r="R106" s="383"/>
      <c r="S106" s="384">
        <v>45378</v>
      </c>
      <c r="T106" s="384">
        <v>45378</v>
      </c>
      <c r="U106" s="383" t="s">
        <v>4570</v>
      </c>
      <c r="V106" s="381">
        <v>1000</v>
      </c>
      <c r="W106" s="381">
        <v>14040</v>
      </c>
      <c r="X106" s="385">
        <v>1304.69</v>
      </c>
      <c r="Y106" s="381">
        <v>14046</v>
      </c>
      <c r="Z106" s="385">
        <v>65.22</v>
      </c>
      <c r="AA106" s="385">
        <f t="shared" si="22"/>
        <v>1239.47</v>
      </c>
      <c r="AB106" s="385">
        <v>65.22</v>
      </c>
      <c r="AC106" s="381">
        <v>51260</v>
      </c>
      <c r="AD106" s="385">
        <v>10.87</v>
      </c>
      <c r="AE106" s="381" t="s">
        <v>944</v>
      </c>
      <c r="AF106" s="383"/>
      <c r="AG106" s="383"/>
      <c r="AH106" s="383" t="s">
        <v>57</v>
      </c>
      <c r="AI106" s="383" t="s">
        <v>4442</v>
      </c>
      <c r="AJ106" s="383" t="s">
        <v>4443</v>
      </c>
      <c r="AK106" s="383" t="str">
        <f>_xlfn.XLOOKUP(C106,'[9]Vehicle Fleet Detail'!$A$5:$A$314,'[9]Vehicle Fleet Detail'!$C$5:$C$314,_xlfn.XLOOKUP(D106,'[9]Vehicle Fleet Detail'!$A$5:$A$314,'[9]Vehicle Fleet Detail'!$C$5:$C$314))</f>
        <v>883</v>
      </c>
      <c r="AL106" s="414" t="str">
        <f>_xlfn.XLOOKUP(C106,'[9]Vehicle Fleet Detail'!$A$5:$A$314,'[9]Vehicle Fleet Detail'!$B$5:$B$314,_xlfn.XLOOKUP(D106,'[9]Vehicle Fleet Detail'!$A$5:$A$314,'[9]Vehicle Fleet Detail'!$B$5:$B$314))</f>
        <v>Automated</v>
      </c>
      <c r="AM106" s="414" t="s">
        <v>3939</v>
      </c>
      <c r="AN106" s="393">
        <f t="shared" si="23"/>
        <v>3</v>
      </c>
      <c r="AO106" s="393">
        <f t="shared" si="24"/>
        <v>2024</v>
      </c>
      <c r="AP106" s="394">
        <f t="shared" si="25"/>
        <v>2034</v>
      </c>
      <c r="AQ106" s="395">
        <f t="shared" si="26"/>
        <v>2034.25</v>
      </c>
      <c r="AR106" s="396">
        <f t="shared" si="27"/>
        <v>10.872416666666666</v>
      </c>
      <c r="AS106" s="397">
        <f t="shared" si="28"/>
        <v>130.46899999999999</v>
      </c>
      <c r="AT106" s="397">
        <f t="shared" si="29"/>
        <v>130.46899999999999</v>
      </c>
      <c r="AU106" s="397">
        <f t="shared" si="30"/>
        <v>10.872416666656818</v>
      </c>
      <c r="AV106" s="397">
        <f t="shared" si="31"/>
        <v>141.34141666665681</v>
      </c>
      <c r="AW106" s="398">
        <f t="shared" si="32"/>
        <v>1163.3485833333432</v>
      </c>
      <c r="AX106" s="386" t="s">
        <v>62</v>
      </c>
    </row>
    <row r="107" spans="2:53" ht="15.75" outlineLevel="1">
      <c r="B107" s="381">
        <v>2111</v>
      </c>
      <c r="C107" s="382">
        <v>408919</v>
      </c>
      <c r="D107" s="381" t="s">
        <v>944</v>
      </c>
      <c r="E107" s="383" t="s">
        <v>4240</v>
      </c>
      <c r="F107" s="392" t="s">
        <v>4601</v>
      </c>
      <c r="G107" s="392"/>
      <c r="H107" s="392"/>
      <c r="I107" s="381">
        <v>1</v>
      </c>
      <c r="J107" s="383"/>
      <c r="K107" s="381">
        <v>0</v>
      </c>
      <c r="L107" s="383"/>
      <c r="M107" s="383"/>
      <c r="N107" s="383" t="s">
        <v>4451</v>
      </c>
      <c r="O107" s="383" t="s">
        <v>4602</v>
      </c>
      <c r="P107" s="383"/>
      <c r="Q107" s="383"/>
      <c r="R107" s="383"/>
      <c r="S107" s="384">
        <v>45383</v>
      </c>
      <c r="T107" s="384">
        <v>45383</v>
      </c>
      <c r="U107" s="383" t="s">
        <v>4603</v>
      </c>
      <c r="V107" s="381">
        <v>500</v>
      </c>
      <c r="W107" s="381">
        <v>14070</v>
      </c>
      <c r="X107" s="385">
        <v>21177.74</v>
      </c>
      <c r="Y107" s="381">
        <v>14076</v>
      </c>
      <c r="Z107" s="385">
        <v>2117.7600000000002</v>
      </c>
      <c r="AA107" s="385">
        <f t="shared" si="22"/>
        <v>19059.980000000003</v>
      </c>
      <c r="AB107" s="385">
        <v>2117.7600000000002</v>
      </c>
      <c r="AC107" s="381">
        <v>51260</v>
      </c>
      <c r="AD107" s="385">
        <v>352.96</v>
      </c>
      <c r="AE107" s="381" t="s">
        <v>944</v>
      </c>
      <c r="AF107" s="383"/>
      <c r="AG107" s="383"/>
      <c r="AH107" s="383" t="s">
        <v>57</v>
      </c>
      <c r="AI107" s="383" t="s">
        <v>4442</v>
      </c>
      <c r="AJ107" s="383" t="s">
        <v>4443</v>
      </c>
      <c r="AK107" s="383" t="s">
        <v>4437</v>
      </c>
      <c r="AL107" s="414"/>
      <c r="AM107" s="414" t="s">
        <v>4101</v>
      </c>
      <c r="AN107" s="393">
        <f t="shared" si="23"/>
        <v>4</v>
      </c>
      <c r="AO107" s="393">
        <f t="shared" si="24"/>
        <v>2024</v>
      </c>
      <c r="AP107" s="394">
        <f t="shared" si="25"/>
        <v>2029</v>
      </c>
      <c r="AQ107" s="395">
        <f t="shared" si="26"/>
        <v>2029.3333333333333</v>
      </c>
      <c r="AR107" s="396">
        <f t="shared" si="27"/>
        <v>352.96233333333339</v>
      </c>
      <c r="AS107" s="397">
        <f t="shared" si="28"/>
        <v>4235.5480000000007</v>
      </c>
      <c r="AT107" s="397">
        <f t="shared" si="29"/>
        <v>4235.5480000000007</v>
      </c>
      <c r="AU107" s="397">
        <f t="shared" si="30"/>
        <v>0</v>
      </c>
      <c r="AV107" s="397">
        <f t="shared" si="31"/>
        <v>4235.5480000000007</v>
      </c>
      <c r="AW107" s="398">
        <f t="shared" si="32"/>
        <v>16942.192000000003</v>
      </c>
      <c r="AX107" s="386" t="s">
        <v>62</v>
      </c>
    </row>
    <row r="108" spans="2:53" ht="15.75" outlineLevel="1">
      <c r="B108" s="381">
        <v>2111</v>
      </c>
      <c r="C108" s="382">
        <v>407409</v>
      </c>
      <c r="D108" s="381" t="s">
        <v>944</v>
      </c>
      <c r="E108" s="383" t="s">
        <v>4240</v>
      </c>
      <c r="F108" s="392" t="s">
        <v>4600</v>
      </c>
      <c r="G108" s="392"/>
      <c r="H108" s="392"/>
      <c r="I108" s="381">
        <v>702</v>
      </c>
      <c r="J108" s="383"/>
      <c r="K108" s="381">
        <v>0</v>
      </c>
      <c r="L108" s="383"/>
      <c r="M108" s="383"/>
      <c r="N108" s="383" t="s">
        <v>4446</v>
      </c>
      <c r="O108" s="383" t="s">
        <v>4585</v>
      </c>
      <c r="P108" s="383"/>
      <c r="Q108" s="383" t="s">
        <v>4586</v>
      </c>
      <c r="R108" s="383" t="s">
        <v>4474</v>
      </c>
      <c r="S108" s="384">
        <v>45398</v>
      </c>
      <c r="T108" s="384">
        <v>45398</v>
      </c>
      <c r="U108" s="383" t="s">
        <v>4599</v>
      </c>
      <c r="V108" s="381">
        <v>700</v>
      </c>
      <c r="W108" s="381">
        <v>14050</v>
      </c>
      <c r="X108" s="385">
        <v>39997.68</v>
      </c>
      <c r="Y108" s="381">
        <v>14056</v>
      </c>
      <c r="Z108" s="385">
        <v>2380.8000000000002</v>
      </c>
      <c r="AA108" s="385">
        <f t="shared" si="22"/>
        <v>37616.879999999997</v>
      </c>
      <c r="AB108" s="385">
        <v>2380.8000000000002</v>
      </c>
      <c r="AC108" s="381">
        <v>54260</v>
      </c>
      <c r="AD108" s="385">
        <v>476.16</v>
      </c>
      <c r="AE108" s="381" t="s">
        <v>944</v>
      </c>
      <c r="AF108" s="383"/>
      <c r="AG108" s="383"/>
      <c r="AH108" s="383" t="s">
        <v>57</v>
      </c>
      <c r="AI108" s="383" t="s">
        <v>4442</v>
      </c>
      <c r="AJ108" s="383" t="s">
        <v>4443</v>
      </c>
      <c r="AK108" s="383" t="s">
        <v>4437</v>
      </c>
      <c r="AL108" s="414" t="s">
        <v>3947</v>
      </c>
      <c r="AM108" s="414" t="s">
        <v>3947</v>
      </c>
      <c r="AN108" s="393">
        <f t="shared" si="23"/>
        <v>4</v>
      </c>
      <c r="AO108" s="393">
        <f t="shared" si="24"/>
        <v>2024</v>
      </c>
      <c r="AP108" s="394">
        <f t="shared" si="25"/>
        <v>2031</v>
      </c>
      <c r="AQ108" s="395">
        <f t="shared" si="26"/>
        <v>2031.3333333333333</v>
      </c>
      <c r="AR108" s="396">
        <f t="shared" si="27"/>
        <v>476.16285714285715</v>
      </c>
      <c r="AS108" s="397">
        <f t="shared" si="28"/>
        <v>5713.954285714286</v>
      </c>
      <c r="AT108" s="397">
        <f t="shared" si="29"/>
        <v>5713.954285714286</v>
      </c>
      <c r="AU108" s="397">
        <f t="shared" si="30"/>
        <v>0</v>
      </c>
      <c r="AV108" s="397">
        <f t="shared" si="31"/>
        <v>5713.954285714286</v>
      </c>
      <c r="AW108" s="398">
        <f t="shared" si="32"/>
        <v>34283.725714285712</v>
      </c>
      <c r="AX108" s="386" t="s">
        <v>62</v>
      </c>
    </row>
    <row r="109" spans="2:53" ht="15.75" outlineLevel="1">
      <c r="B109" s="381">
        <v>2111</v>
      </c>
      <c r="C109" s="382">
        <v>407152</v>
      </c>
      <c r="D109" s="381" t="s">
        <v>944</v>
      </c>
      <c r="E109" s="383" t="s">
        <v>4240</v>
      </c>
      <c r="F109" s="392" t="s">
        <v>514</v>
      </c>
      <c r="G109" s="392"/>
      <c r="H109" s="392"/>
      <c r="I109" s="381">
        <v>351</v>
      </c>
      <c r="J109" s="383"/>
      <c r="K109" s="381">
        <v>0</v>
      </c>
      <c r="L109" s="383"/>
      <c r="M109" s="383"/>
      <c r="N109" s="383" t="s">
        <v>4446</v>
      </c>
      <c r="O109" s="383" t="s">
        <v>4585</v>
      </c>
      <c r="P109" s="383"/>
      <c r="Q109" s="383" t="s">
        <v>4586</v>
      </c>
      <c r="R109" s="383" t="s">
        <v>4474</v>
      </c>
      <c r="S109" s="384">
        <v>45398</v>
      </c>
      <c r="T109" s="384">
        <v>45398</v>
      </c>
      <c r="U109" s="383" t="s">
        <v>4599</v>
      </c>
      <c r="V109" s="381">
        <v>700</v>
      </c>
      <c r="W109" s="381">
        <v>14050</v>
      </c>
      <c r="X109" s="385">
        <v>19998.84</v>
      </c>
      <c r="Y109" s="381">
        <v>14056</v>
      </c>
      <c r="Z109" s="385">
        <v>1190.4000000000001</v>
      </c>
      <c r="AA109" s="385">
        <f t="shared" si="22"/>
        <v>18808.439999999999</v>
      </c>
      <c r="AB109" s="385">
        <v>1190.4000000000001</v>
      </c>
      <c r="AC109" s="381">
        <v>54260</v>
      </c>
      <c r="AD109" s="385">
        <v>238.08</v>
      </c>
      <c r="AE109" s="381" t="s">
        <v>944</v>
      </c>
      <c r="AF109" s="383"/>
      <c r="AG109" s="383"/>
      <c r="AH109" s="383" t="s">
        <v>57</v>
      </c>
      <c r="AI109" s="383" t="s">
        <v>4442</v>
      </c>
      <c r="AJ109" s="383" t="s">
        <v>4443</v>
      </c>
      <c r="AK109" s="383" t="s">
        <v>4437</v>
      </c>
      <c r="AL109" s="414" t="s">
        <v>3947</v>
      </c>
      <c r="AM109" s="414" t="s">
        <v>3947</v>
      </c>
      <c r="AN109" s="393">
        <f t="shared" si="23"/>
        <v>4</v>
      </c>
      <c r="AO109" s="393">
        <f t="shared" si="24"/>
        <v>2024</v>
      </c>
      <c r="AP109" s="394">
        <f t="shared" si="25"/>
        <v>2031</v>
      </c>
      <c r="AQ109" s="395">
        <f t="shared" si="26"/>
        <v>2031.3333333333333</v>
      </c>
      <c r="AR109" s="396">
        <f t="shared" si="27"/>
        <v>238.08142857142857</v>
      </c>
      <c r="AS109" s="397">
        <f t="shared" si="28"/>
        <v>2856.977142857143</v>
      </c>
      <c r="AT109" s="397">
        <f t="shared" si="29"/>
        <v>2856.977142857143</v>
      </c>
      <c r="AU109" s="397">
        <f t="shared" si="30"/>
        <v>0</v>
      </c>
      <c r="AV109" s="397">
        <f t="shared" si="31"/>
        <v>2856.977142857143</v>
      </c>
      <c r="AW109" s="398">
        <f t="shared" si="32"/>
        <v>17141.862857142856</v>
      </c>
      <c r="AX109" s="386" t="s">
        <v>62</v>
      </c>
    </row>
    <row r="110" spans="2:53" ht="15.75" outlineLevel="1">
      <c r="B110" s="381">
        <v>2111</v>
      </c>
      <c r="C110" s="382">
        <v>407151</v>
      </c>
      <c r="D110" s="381" t="s">
        <v>944</v>
      </c>
      <c r="E110" s="383" t="s">
        <v>4240</v>
      </c>
      <c r="F110" s="392" t="s">
        <v>4598</v>
      </c>
      <c r="G110" s="392"/>
      <c r="H110" s="392"/>
      <c r="I110" s="381">
        <v>351</v>
      </c>
      <c r="J110" s="383"/>
      <c r="K110" s="381">
        <v>0</v>
      </c>
      <c r="L110" s="383"/>
      <c r="M110" s="383"/>
      <c r="N110" s="383" t="s">
        <v>4446</v>
      </c>
      <c r="O110" s="383" t="s">
        <v>4585</v>
      </c>
      <c r="P110" s="383"/>
      <c r="Q110" s="383" t="s">
        <v>4586</v>
      </c>
      <c r="R110" s="383" t="s">
        <v>4474</v>
      </c>
      <c r="S110" s="384">
        <v>45398</v>
      </c>
      <c r="T110" s="384">
        <v>45398</v>
      </c>
      <c r="U110" s="383" t="s">
        <v>4599</v>
      </c>
      <c r="V110" s="381">
        <v>700</v>
      </c>
      <c r="W110" s="381">
        <v>14050</v>
      </c>
      <c r="X110" s="385">
        <v>19998.84</v>
      </c>
      <c r="Y110" s="381">
        <v>14056</v>
      </c>
      <c r="Z110" s="385">
        <v>1190.4000000000001</v>
      </c>
      <c r="AA110" s="385">
        <f t="shared" si="22"/>
        <v>18808.439999999999</v>
      </c>
      <c r="AB110" s="385">
        <v>1190.4000000000001</v>
      </c>
      <c r="AC110" s="381">
        <v>54260</v>
      </c>
      <c r="AD110" s="385">
        <v>238.08</v>
      </c>
      <c r="AE110" s="381" t="s">
        <v>944</v>
      </c>
      <c r="AF110" s="383"/>
      <c r="AG110" s="383"/>
      <c r="AH110" s="383" t="s">
        <v>57</v>
      </c>
      <c r="AI110" s="383" t="s">
        <v>4442</v>
      </c>
      <c r="AJ110" s="383" t="s">
        <v>4443</v>
      </c>
      <c r="AK110" s="383" t="s">
        <v>4437</v>
      </c>
      <c r="AL110" s="414" t="s">
        <v>3947</v>
      </c>
      <c r="AM110" s="414" t="s">
        <v>3947</v>
      </c>
      <c r="AN110" s="393">
        <f t="shared" si="23"/>
        <v>4</v>
      </c>
      <c r="AO110" s="393">
        <f t="shared" si="24"/>
        <v>2024</v>
      </c>
      <c r="AP110" s="394">
        <f t="shared" si="25"/>
        <v>2031</v>
      </c>
      <c r="AQ110" s="395">
        <f t="shared" si="26"/>
        <v>2031.3333333333333</v>
      </c>
      <c r="AR110" s="396">
        <f t="shared" si="27"/>
        <v>238.08142857142857</v>
      </c>
      <c r="AS110" s="397">
        <f t="shared" si="28"/>
        <v>2856.977142857143</v>
      </c>
      <c r="AT110" s="397">
        <f t="shared" si="29"/>
        <v>2856.977142857143</v>
      </c>
      <c r="AU110" s="397">
        <f t="shared" si="30"/>
        <v>0</v>
      </c>
      <c r="AV110" s="397">
        <f t="shared" si="31"/>
        <v>2856.977142857143</v>
      </c>
      <c r="AW110" s="398">
        <f t="shared" si="32"/>
        <v>17141.862857142856</v>
      </c>
      <c r="AX110" s="386" t="s">
        <v>62</v>
      </c>
    </row>
    <row r="111" spans="2:53" ht="15.75" outlineLevel="1">
      <c r="B111" s="381">
        <v>2111</v>
      </c>
      <c r="C111" s="382">
        <v>406818</v>
      </c>
      <c r="D111" s="381">
        <v>400287</v>
      </c>
      <c r="E111" s="383" t="s">
        <v>4240</v>
      </c>
      <c r="F111" s="392" t="s">
        <v>4569</v>
      </c>
      <c r="G111" s="392"/>
      <c r="H111" s="392"/>
      <c r="I111" s="381">
        <v>1</v>
      </c>
      <c r="J111" s="383" t="s">
        <v>4566</v>
      </c>
      <c r="K111" s="381">
        <v>2024</v>
      </c>
      <c r="L111" s="383"/>
      <c r="M111" s="383" t="s">
        <v>1483</v>
      </c>
      <c r="N111" s="383" t="s">
        <v>4445</v>
      </c>
      <c r="O111" s="383" t="s">
        <v>4545</v>
      </c>
      <c r="P111" s="383" t="s">
        <v>4482</v>
      </c>
      <c r="Q111" s="383"/>
      <c r="R111" s="383"/>
      <c r="S111" s="384">
        <v>45378</v>
      </c>
      <c r="T111" s="384">
        <v>45378</v>
      </c>
      <c r="U111" s="383" t="s">
        <v>4570</v>
      </c>
      <c r="V111" s="381">
        <v>1000</v>
      </c>
      <c r="W111" s="381">
        <v>14040</v>
      </c>
      <c r="X111" s="385">
        <v>206303.82</v>
      </c>
      <c r="Y111" s="381">
        <v>14046</v>
      </c>
      <c r="Z111" s="385">
        <v>10315.200000000001</v>
      </c>
      <c r="AA111" s="385">
        <f t="shared" si="22"/>
        <v>195988.62</v>
      </c>
      <c r="AB111" s="385">
        <v>10315.200000000001</v>
      </c>
      <c r="AC111" s="381">
        <v>51260</v>
      </c>
      <c r="AD111" s="385">
        <v>1719.2</v>
      </c>
      <c r="AE111" s="381" t="s">
        <v>944</v>
      </c>
      <c r="AF111" s="383"/>
      <c r="AG111" s="383"/>
      <c r="AH111" s="383" t="s">
        <v>57</v>
      </c>
      <c r="AI111" s="383" t="s">
        <v>4442</v>
      </c>
      <c r="AJ111" s="383" t="s">
        <v>4443</v>
      </c>
      <c r="AK111" s="383" t="str">
        <f>_xlfn.XLOOKUP(C111,'[9]Vehicle Fleet Detail'!$A$5:$A$314,'[9]Vehicle Fleet Detail'!$C$5:$C$314,_xlfn.XLOOKUP(D111,'[9]Vehicle Fleet Detail'!$A$5:$A$314,'[9]Vehicle Fleet Detail'!$C$5:$C$314))</f>
        <v>883</v>
      </c>
      <c r="AL111" s="414" t="str">
        <f>_xlfn.XLOOKUP(C111,'[9]Vehicle Fleet Detail'!$A$5:$A$314,'[9]Vehicle Fleet Detail'!$B$5:$B$314,_xlfn.XLOOKUP(D111,'[9]Vehicle Fleet Detail'!$A$5:$A$314,'[9]Vehicle Fleet Detail'!$B$5:$B$314))</f>
        <v>Automated</v>
      </c>
      <c r="AM111" s="414" t="s">
        <v>3939</v>
      </c>
      <c r="AN111" s="393">
        <f t="shared" si="23"/>
        <v>3</v>
      </c>
      <c r="AO111" s="393">
        <f t="shared" si="24"/>
        <v>2024</v>
      </c>
      <c r="AP111" s="394">
        <f t="shared" si="25"/>
        <v>2034</v>
      </c>
      <c r="AQ111" s="395">
        <f t="shared" si="26"/>
        <v>2034.25</v>
      </c>
      <c r="AR111" s="396">
        <f t="shared" si="27"/>
        <v>1719.1985000000002</v>
      </c>
      <c r="AS111" s="397">
        <f t="shared" si="28"/>
        <v>20630.382000000001</v>
      </c>
      <c r="AT111" s="397">
        <f t="shared" si="29"/>
        <v>20630.382000000001</v>
      </c>
      <c r="AU111" s="397">
        <f t="shared" si="30"/>
        <v>1719.198499998427</v>
      </c>
      <c r="AV111" s="397">
        <f t="shared" si="31"/>
        <v>22349.580499998428</v>
      </c>
      <c r="AW111" s="398">
        <f t="shared" si="32"/>
        <v>183954.23950000157</v>
      </c>
      <c r="AX111" s="386" t="s">
        <v>62</v>
      </c>
    </row>
    <row r="112" spans="2:53" ht="15.75" outlineLevel="1">
      <c r="B112" s="381">
        <v>2111</v>
      </c>
      <c r="C112" s="382">
        <v>406519</v>
      </c>
      <c r="D112" s="381">
        <v>400287</v>
      </c>
      <c r="E112" s="383" t="s">
        <v>4240</v>
      </c>
      <c r="F112" s="392" t="s">
        <v>4568</v>
      </c>
      <c r="G112" s="392"/>
      <c r="H112" s="392"/>
      <c r="I112" s="381">
        <v>1</v>
      </c>
      <c r="J112" s="383" t="s">
        <v>4566</v>
      </c>
      <c r="K112" s="381">
        <v>0</v>
      </c>
      <c r="L112" s="383"/>
      <c r="M112" s="383"/>
      <c r="N112" s="383" t="s">
        <v>4445</v>
      </c>
      <c r="O112" s="383" t="s">
        <v>4441</v>
      </c>
      <c r="P112" s="383"/>
      <c r="Q112" s="383"/>
      <c r="R112" s="383"/>
      <c r="S112" s="384">
        <v>45293</v>
      </c>
      <c r="T112" s="384">
        <v>45293</v>
      </c>
      <c r="U112" s="383" t="s">
        <v>4567</v>
      </c>
      <c r="V112" s="381">
        <v>1000</v>
      </c>
      <c r="W112" s="381">
        <v>14040</v>
      </c>
      <c r="X112" s="385">
        <v>1380.22</v>
      </c>
      <c r="Y112" s="381">
        <v>14046</v>
      </c>
      <c r="Z112" s="385">
        <v>103.5</v>
      </c>
      <c r="AA112" s="385">
        <f t="shared" si="22"/>
        <v>1276.72</v>
      </c>
      <c r="AB112" s="385">
        <v>103.5</v>
      </c>
      <c r="AC112" s="381">
        <v>51260</v>
      </c>
      <c r="AD112" s="385">
        <v>11.5</v>
      </c>
      <c r="AE112" s="381" t="s">
        <v>944</v>
      </c>
      <c r="AF112" s="383"/>
      <c r="AG112" s="383"/>
      <c r="AH112" s="383" t="s">
        <v>57</v>
      </c>
      <c r="AI112" s="383" t="s">
        <v>4442</v>
      </c>
      <c r="AJ112" s="383" t="s">
        <v>4443</v>
      </c>
      <c r="AK112" s="383" t="str">
        <f>_xlfn.XLOOKUP(C112,'[9]Vehicle Fleet Detail'!$A$5:$A$314,'[9]Vehicle Fleet Detail'!$C$5:$C$314,_xlfn.XLOOKUP(D112,'[9]Vehicle Fleet Detail'!$A$5:$A$314,'[9]Vehicle Fleet Detail'!$C$5:$C$314))</f>
        <v>883</v>
      </c>
      <c r="AL112" s="414" t="str">
        <f>_xlfn.XLOOKUP(C112,'[9]Vehicle Fleet Detail'!$A$5:$A$314,'[9]Vehicle Fleet Detail'!$B$5:$B$314,_xlfn.XLOOKUP(D112,'[9]Vehicle Fleet Detail'!$A$5:$A$314,'[9]Vehicle Fleet Detail'!$B$5:$B$314))</f>
        <v>Automated</v>
      </c>
      <c r="AM112" s="414" t="s">
        <v>3939</v>
      </c>
      <c r="AN112" s="393">
        <f t="shared" si="23"/>
        <v>1</v>
      </c>
      <c r="AO112" s="393">
        <f t="shared" si="24"/>
        <v>2024</v>
      </c>
      <c r="AP112" s="394">
        <f t="shared" si="25"/>
        <v>2034</v>
      </c>
      <c r="AQ112" s="395">
        <f t="shared" si="26"/>
        <v>2034.0833333333333</v>
      </c>
      <c r="AR112" s="396">
        <f t="shared" si="27"/>
        <v>11.501833333333332</v>
      </c>
      <c r="AS112" s="397">
        <f t="shared" si="28"/>
        <v>138.02199999999999</v>
      </c>
      <c r="AT112" s="397">
        <f t="shared" si="29"/>
        <v>138.02199999999999</v>
      </c>
      <c r="AU112" s="397">
        <f t="shared" si="30"/>
        <v>34.505500000000211</v>
      </c>
      <c r="AV112" s="397">
        <f t="shared" si="31"/>
        <v>172.5275000000002</v>
      </c>
      <c r="AW112" s="398">
        <f t="shared" si="32"/>
        <v>1207.6924999999999</v>
      </c>
      <c r="AX112" s="386" t="s">
        <v>62</v>
      </c>
    </row>
    <row r="113" spans="2:50" ht="15.75" outlineLevel="1">
      <c r="B113" s="381">
        <v>2111</v>
      </c>
      <c r="C113" s="382">
        <v>406464</v>
      </c>
      <c r="D113" s="381" t="s">
        <v>944</v>
      </c>
      <c r="E113" s="383" t="s">
        <v>4240</v>
      </c>
      <c r="F113" s="392" t="s">
        <v>4593</v>
      </c>
      <c r="G113" s="392"/>
      <c r="H113" s="392"/>
      <c r="I113" s="381">
        <v>1</v>
      </c>
      <c r="J113" s="383" t="s">
        <v>4594</v>
      </c>
      <c r="K113" s="381">
        <v>2023</v>
      </c>
      <c r="L113" s="383"/>
      <c r="M113" s="383" t="s">
        <v>4595</v>
      </c>
      <c r="N113" s="383" t="s">
        <v>4445</v>
      </c>
      <c r="O113" s="383" t="s">
        <v>4596</v>
      </c>
      <c r="P113" s="383" t="s">
        <v>2306</v>
      </c>
      <c r="Q113" s="383"/>
      <c r="R113" s="383"/>
      <c r="S113" s="384">
        <v>45473</v>
      </c>
      <c r="T113" s="384">
        <v>45405</v>
      </c>
      <c r="U113" s="383" t="s">
        <v>4597</v>
      </c>
      <c r="V113" s="381">
        <v>1000</v>
      </c>
      <c r="W113" s="381">
        <v>14040</v>
      </c>
      <c r="X113" s="385">
        <v>68787.69</v>
      </c>
      <c r="Y113" s="381">
        <v>14046</v>
      </c>
      <c r="Z113" s="385">
        <v>1719.69</v>
      </c>
      <c r="AA113" s="385">
        <f t="shared" si="22"/>
        <v>67068</v>
      </c>
      <c r="AB113" s="385">
        <v>1719.69</v>
      </c>
      <c r="AC113" s="381">
        <v>51260</v>
      </c>
      <c r="AD113" s="385">
        <v>573.23</v>
      </c>
      <c r="AE113" s="381" t="s">
        <v>944</v>
      </c>
      <c r="AF113" s="383"/>
      <c r="AG113" s="383"/>
      <c r="AH113" s="383" t="s">
        <v>57</v>
      </c>
      <c r="AI113" s="383" t="s">
        <v>4442</v>
      </c>
      <c r="AJ113" s="383" t="s">
        <v>4443</v>
      </c>
      <c r="AK113" s="383" t="s">
        <v>4654</v>
      </c>
      <c r="AL113" s="414" t="s">
        <v>2306</v>
      </c>
      <c r="AM113" s="414" t="s">
        <v>133</v>
      </c>
      <c r="AN113" s="393">
        <f t="shared" si="23"/>
        <v>6</v>
      </c>
      <c r="AO113" s="393">
        <f t="shared" si="24"/>
        <v>2024</v>
      </c>
      <c r="AP113" s="394">
        <f t="shared" si="25"/>
        <v>2034</v>
      </c>
      <c r="AQ113" s="395">
        <f t="shared" si="26"/>
        <v>2034.5</v>
      </c>
      <c r="AR113" s="396">
        <f t="shared" si="27"/>
        <v>573.23075000000006</v>
      </c>
      <c r="AS113" s="397">
        <f t="shared" si="28"/>
        <v>6878.7690000000002</v>
      </c>
      <c r="AT113" s="397">
        <f t="shared" si="29"/>
        <v>6878.7690000000002</v>
      </c>
      <c r="AU113" s="397">
        <f t="shared" si="30"/>
        <v>0</v>
      </c>
      <c r="AV113" s="397">
        <f t="shared" si="31"/>
        <v>6878.7690000000002</v>
      </c>
      <c r="AW113" s="398">
        <f t="shared" si="32"/>
        <v>61908.921000000002</v>
      </c>
      <c r="AX113" s="386" t="s">
        <v>62</v>
      </c>
    </row>
    <row r="114" spans="2:50" ht="15.75" outlineLevel="1">
      <c r="B114" s="381">
        <v>2111</v>
      </c>
      <c r="C114" s="382">
        <v>406463</v>
      </c>
      <c r="D114" s="381" t="s">
        <v>944</v>
      </c>
      <c r="E114" s="383" t="s">
        <v>4240</v>
      </c>
      <c r="F114" s="392" t="s">
        <v>4307</v>
      </c>
      <c r="G114" s="392"/>
      <c r="H114" s="392"/>
      <c r="I114" s="381">
        <v>1</v>
      </c>
      <c r="J114" s="383" t="s">
        <v>4588</v>
      </c>
      <c r="K114" s="381">
        <v>2024</v>
      </c>
      <c r="L114" s="383"/>
      <c r="M114" s="383" t="s">
        <v>1483</v>
      </c>
      <c r="N114" s="383" t="s">
        <v>4445</v>
      </c>
      <c r="O114" s="383" t="s">
        <v>4552</v>
      </c>
      <c r="P114" s="383" t="s">
        <v>4487</v>
      </c>
      <c r="Q114" s="383"/>
      <c r="R114" s="383"/>
      <c r="S114" s="384">
        <v>45457</v>
      </c>
      <c r="T114" s="384">
        <v>45405</v>
      </c>
      <c r="U114" s="383" t="s">
        <v>4589</v>
      </c>
      <c r="V114" s="381">
        <v>1000</v>
      </c>
      <c r="W114" s="381">
        <v>14040</v>
      </c>
      <c r="X114" s="385">
        <v>240006.76</v>
      </c>
      <c r="Y114" s="381">
        <v>14046</v>
      </c>
      <c r="Z114" s="385">
        <v>8000.24</v>
      </c>
      <c r="AA114" s="385">
        <f t="shared" si="22"/>
        <v>232006.52000000002</v>
      </c>
      <c r="AB114" s="385">
        <v>8000.24</v>
      </c>
      <c r="AC114" s="381">
        <v>51260</v>
      </c>
      <c r="AD114" s="385">
        <v>2000.06</v>
      </c>
      <c r="AE114" s="381" t="s">
        <v>944</v>
      </c>
      <c r="AF114" s="383"/>
      <c r="AG114" s="383"/>
      <c r="AH114" s="383" t="s">
        <v>57</v>
      </c>
      <c r="AI114" s="383" t="s">
        <v>4442</v>
      </c>
      <c r="AJ114" s="383" t="s">
        <v>4443</v>
      </c>
      <c r="AK114" s="383" t="s">
        <v>4655</v>
      </c>
      <c r="AL114" s="414" t="s">
        <v>4658</v>
      </c>
      <c r="AM114" s="414" t="s">
        <v>3939</v>
      </c>
      <c r="AN114" s="393">
        <f t="shared" si="23"/>
        <v>6</v>
      </c>
      <c r="AO114" s="393">
        <f t="shared" si="24"/>
        <v>2024</v>
      </c>
      <c r="AP114" s="394">
        <f t="shared" si="25"/>
        <v>2034</v>
      </c>
      <c r="AQ114" s="395">
        <f t="shared" si="26"/>
        <v>2034.5</v>
      </c>
      <c r="AR114" s="396">
        <f t="shared" si="27"/>
        <v>2000.0563333333332</v>
      </c>
      <c r="AS114" s="397">
        <f t="shared" si="28"/>
        <v>24000.675999999999</v>
      </c>
      <c r="AT114" s="397">
        <f t="shared" si="29"/>
        <v>24000.675999999999</v>
      </c>
      <c r="AU114" s="397">
        <f t="shared" si="30"/>
        <v>0</v>
      </c>
      <c r="AV114" s="397">
        <f t="shared" si="31"/>
        <v>24000.675999999999</v>
      </c>
      <c r="AW114" s="398">
        <f t="shared" si="32"/>
        <v>216006.084</v>
      </c>
      <c r="AX114" s="386" t="s">
        <v>62</v>
      </c>
    </row>
    <row r="115" spans="2:50" ht="15.75" outlineLevel="1">
      <c r="B115" s="381">
        <v>2111</v>
      </c>
      <c r="C115" s="382">
        <v>405339</v>
      </c>
      <c r="D115" s="381">
        <v>400146</v>
      </c>
      <c r="E115" s="383" t="s">
        <v>4240</v>
      </c>
      <c r="F115" s="392" t="s">
        <v>4555</v>
      </c>
      <c r="G115" s="392"/>
      <c r="H115" s="392"/>
      <c r="I115" s="381">
        <v>1</v>
      </c>
      <c r="J115" s="383"/>
      <c r="K115" s="381">
        <v>0</v>
      </c>
      <c r="L115" s="383"/>
      <c r="M115" s="383"/>
      <c r="N115" s="383" t="s">
        <v>4445</v>
      </c>
      <c r="O115" s="383" t="s">
        <v>4441</v>
      </c>
      <c r="P115" s="383"/>
      <c r="Q115" s="383"/>
      <c r="R115" s="383"/>
      <c r="S115" s="384">
        <v>45293</v>
      </c>
      <c r="T115" s="384">
        <v>45293</v>
      </c>
      <c r="U115" s="383" t="s">
        <v>4560</v>
      </c>
      <c r="V115" s="381">
        <v>1000</v>
      </c>
      <c r="W115" s="381">
        <v>14040</v>
      </c>
      <c r="X115" s="385">
        <v>755.25</v>
      </c>
      <c r="Y115" s="381">
        <v>14046</v>
      </c>
      <c r="Z115" s="385">
        <v>56.61</v>
      </c>
      <c r="AA115" s="385">
        <f t="shared" si="22"/>
        <v>698.64</v>
      </c>
      <c r="AB115" s="385">
        <v>56.61</v>
      </c>
      <c r="AC115" s="381">
        <v>51260</v>
      </c>
      <c r="AD115" s="385">
        <v>6.29</v>
      </c>
      <c r="AE115" s="381" t="s">
        <v>944</v>
      </c>
      <c r="AF115" s="383"/>
      <c r="AG115" s="383"/>
      <c r="AH115" s="383" t="s">
        <v>57</v>
      </c>
      <c r="AI115" s="383" t="s">
        <v>4442</v>
      </c>
      <c r="AJ115" s="383" t="s">
        <v>4443</v>
      </c>
      <c r="AK115" s="383" t="s">
        <v>4437</v>
      </c>
      <c r="AL115" s="414"/>
      <c r="AM115" s="414" t="s">
        <v>3939</v>
      </c>
      <c r="AN115" s="393">
        <f t="shared" si="23"/>
        <v>1</v>
      </c>
      <c r="AO115" s="393">
        <f t="shared" si="24"/>
        <v>2024</v>
      </c>
      <c r="AP115" s="394">
        <f t="shared" si="25"/>
        <v>2034</v>
      </c>
      <c r="AQ115" s="395">
        <f t="shared" si="26"/>
        <v>2034.0833333333333</v>
      </c>
      <c r="AR115" s="396">
        <f t="shared" si="27"/>
        <v>6.2937500000000002</v>
      </c>
      <c r="AS115" s="397">
        <f t="shared" si="28"/>
        <v>75.525000000000006</v>
      </c>
      <c r="AT115" s="397">
        <f t="shared" si="29"/>
        <v>75.525000000000006</v>
      </c>
      <c r="AU115" s="397">
        <f t="shared" si="30"/>
        <v>18.881250000000023</v>
      </c>
      <c r="AV115" s="397">
        <f t="shared" si="31"/>
        <v>94.406250000000028</v>
      </c>
      <c r="AW115" s="398">
        <f t="shared" si="32"/>
        <v>660.84375</v>
      </c>
      <c r="AX115" s="386" t="s">
        <v>62</v>
      </c>
    </row>
    <row r="116" spans="2:50" ht="15.75" outlineLevel="1">
      <c r="B116" s="381">
        <v>2111</v>
      </c>
      <c r="C116" s="382">
        <v>405235</v>
      </c>
      <c r="D116" s="381">
        <v>400176</v>
      </c>
      <c r="E116" s="383" t="s">
        <v>4240</v>
      </c>
      <c r="F116" s="392" t="s">
        <v>4555</v>
      </c>
      <c r="G116" s="392"/>
      <c r="H116" s="392"/>
      <c r="I116" s="381">
        <v>1</v>
      </c>
      <c r="J116" s="383" t="s">
        <v>4563</v>
      </c>
      <c r="K116" s="381">
        <v>0</v>
      </c>
      <c r="L116" s="383"/>
      <c r="M116" s="383"/>
      <c r="N116" s="383" t="s">
        <v>4445</v>
      </c>
      <c r="O116" s="383" t="s">
        <v>4545</v>
      </c>
      <c r="P116" s="383" t="s">
        <v>4482</v>
      </c>
      <c r="Q116" s="383"/>
      <c r="R116" s="383"/>
      <c r="S116" s="384">
        <v>45330</v>
      </c>
      <c r="T116" s="384">
        <v>45382</v>
      </c>
      <c r="U116" s="383" t="s">
        <v>4565</v>
      </c>
      <c r="V116" s="381">
        <v>1000</v>
      </c>
      <c r="W116" s="381">
        <v>14040</v>
      </c>
      <c r="X116" s="385">
        <v>755.24</v>
      </c>
      <c r="Y116" s="381">
        <v>14046</v>
      </c>
      <c r="Z116" s="385">
        <v>50.32</v>
      </c>
      <c r="AA116" s="385">
        <f t="shared" si="22"/>
        <v>704.92</v>
      </c>
      <c r="AB116" s="385">
        <v>50.32</v>
      </c>
      <c r="AC116" s="381">
        <v>51260</v>
      </c>
      <c r="AD116" s="385">
        <v>6.29</v>
      </c>
      <c r="AE116" s="381" t="s">
        <v>944</v>
      </c>
      <c r="AF116" s="383"/>
      <c r="AG116" s="383"/>
      <c r="AH116" s="383" t="s">
        <v>57</v>
      </c>
      <c r="AI116" s="383" t="s">
        <v>4442</v>
      </c>
      <c r="AJ116" s="383" t="s">
        <v>4443</v>
      </c>
      <c r="AK116" s="383" t="s">
        <v>4437</v>
      </c>
      <c r="AL116" s="414"/>
      <c r="AM116" s="414" t="s">
        <v>3939</v>
      </c>
      <c r="AN116" s="393">
        <f t="shared" si="23"/>
        <v>2</v>
      </c>
      <c r="AO116" s="393">
        <f t="shared" si="24"/>
        <v>2024</v>
      </c>
      <c r="AP116" s="394">
        <f t="shared" si="25"/>
        <v>2034</v>
      </c>
      <c r="AQ116" s="395">
        <f t="shared" si="26"/>
        <v>2034.1666666666667</v>
      </c>
      <c r="AR116" s="396">
        <f t="shared" si="27"/>
        <v>6.2936666666666667</v>
      </c>
      <c r="AS116" s="397">
        <f t="shared" si="28"/>
        <v>75.524000000000001</v>
      </c>
      <c r="AT116" s="397">
        <f t="shared" si="29"/>
        <v>75.524000000000001</v>
      </c>
      <c r="AU116" s="397">
        <f t="shared" si="30"/>
        <v>12.587333333321908</v>
      </c>
      <c r="AV116" s="397">
        <f t="shared" si="31"/>
        <v>88.111333333321909</v>
      </c>
      <c r="AW116" s="398">
        <f t="shared" si="32"/>
        <v>667.1286666666781</v>
      </c>
      <c r="AX116" s="386" t="s">
        <v>62</v>
      </c>
    </row>
    <row r="117" spans="2:50" ht="15.75" outlineLevel="1">
      <c r="B117" s="381">
        <v>2111</v>
      </c>
      <c r="C117" s="382">
        <v>405104</v>
      </c>
      <c r="D117" s="381">
        <v>319564</v>
      </c>
      <c r="E117" s="383" t="s">
        <v>4240</v>
      </c>
      <c r="F117" s="392" t="s">
        <v>4555</v>
      </c>
      <c r="G117" s="392"/>
      <c r="H117" s="392"/>
      <c r="I117" s="381">
        <v>1</v>
      </c>
      <c r="J117" s="383" t="s">
        <v>4290</v>
      </c>
      <c r="K117" s="381">
        <v>0</v>
      </c>
      <c r="L117" s="383"/>
      <c r="M117" s="383"/>
      <c r="N117" s="383" t="s">
        <v>4445</v>
      </c>
      <c r="O117" s="383" t="s">
        <v>4441</v>
      </c>
      <c r="P117" s="383"/>
      <c r="Q117" s="383"/>
      <c r="R117" s="383"/>
      <c r="S117" s="384">
        <v>45293</v>
      </c>
      <c r="T117" s="384">
        <v>45293</v>
      </c>
      <c r="U117" s="383" t="s">
        <v>4292</v>
      </c>
      <c r="V117" s="381">
        <v>1000</v>
      </c>
      <c r="W117" s="381">
        <v>14040</v>
      </c>
      <c r="X117" s="385">
        <v>755.25</v>
      </c>
      <c r="Y117" s="381">
        <v>14046</v>
      </c>
      <c r="Z117" s="385">
        <v>56.61</v>
      </c>
      <c r="AA117" s="385">
        <f t="shared" si="22"/>
        <v>698.64</v>
      </c>
      <c r="AB117" s="385">
        <v>56.61</v>
      </c>
      <c r="AC117" s="381">
        <v>51260</v>
      </c>
      <c r="AD117" s="385">
        <v>6.29</v>
      </c>
      <c r="AE117" s="381" t="s">
        <v>944</v>
      </c>
      <c r="AF117" s="383"/>
      <c r="AG117" s="383"/>
      <c r="AH117" s="383" t="s">
        <v>57</v>
      </c>
      <c r="AI117" s="383" t="s">
        <v>4442</v>
      </c>
      <c r="AJ117" s="383" t="s">
        <v>4443</v>
      </c>
      <c r="AK117" s="383" t="str">
        <f>_xlfn.XLOOKUP(C117,'[9]Vehicle Fleet Detail'!$A$5:$A$314,'[9]Vehicle Fleet Detail'!$C$5:$C$314,_xlfn.XLOOKUP(D117,'[9]Vehicle Fleet Detail'!$A$5:$A$314,'[9]Vehicle Fleet Detail'!$C$5:$C$314))</f>
        <v>881</v>
      </c>
      <c r="AL117" s="414" t="str">
        <f>_xlfn.XLOOKUP(C117,'[9]Vehicle Fleet Detail'!$A$5:$A$314,'[9]Vehicle Fleet Detail'!$B$5:$B$314,_xlfn.XLOOKUP(D117,'[9]Vehicle Fleet Detail'!$A$5:$A$314,'[9]Vehicle Fleet Detail'!$B$5:$B$314))</f>
        <v>Automated</v>
      </c>
      <c r="AM117" s="414" t="s">
        <v>3939</v>
      </c>
      <c r="AN117" s="393">
        <f t="shared" si="23"/>
        <v>1</v>
      </c>
      <c r="AO117" s="393">
        <f t="shared" si="24"/>
        <v>2024</v>
      </c>
      <c r="AP117" s="394">
        <f t="shared" si="25"/>
        <v>2034</v>
      </c>
      <c r="AQ117" s="395">
        <f t="shared" si="26"/>
        <v>2034.0833333333333</v>
      </c>
      <c r="AR117" s="396">
        <f t="shared" si="27"/>
        <v>6.2937500000000002</v>
      </c>
      <c r="AS117" s="397">
        <f t="shared" si="28"/>
        <v>75.525000000000006</v>
      </c>
      <c r="AT117" s="397">
        <f t="shared" si="29"/>
        <v>75.525000000000006</v>
      </c>
      <c r="AU117" s="397">
        <f t="shared" si="30"/>
        <v>18.881250000000023</v>
      </c>
      <c r="AV117" s="397">
        <f t="shared" si="31"/>
        <v>94.406250000000028</v>
      </c>
      <c r="AW117" s="398">
        <f t="shared" si="32"/>
        <v>660.84375</v>
      </c>
      <c r="AX117" s="386" t="s">
        <v>62</v>
      </c>
    </row>
    <row r="118" spans="2:50" ht="15.75" outlineLevel="1">
      <c r="B118" s="381">
        <v>2111</v>
      </c>
      <c r="C118" s="382">
        <v>405103</v>
      </c>
      <c r="D118" s="381">
        <v>319563</v>
      </c>
      <c r="E118" s="383" t="s">
        <v>4240</v>
      </c>
      <c r="F118" s="392" t="s">
        <v>4555</v>
      </c>
      <c r="G118" s="392"/>
      <c r="H118" s="392"/>
      <c r="I118" s="381">
        <v>1</v>
      </c>
      <c r="J118" s="383" t="s">
        <v>4301</v>
      </c>
      <c r="K118" s="381">
        <v>0</v>
      </c>
      <c r="L118" s="383"/>
      <c r="M118" s="383"/>
      <c r="N118" s="383" t="s">
        <v>4445</v>
      </c>
      <c r="O118" s="383" t="s">
        <v>4441</v>
      </c>
      <c r="P118" s="383"/>
      <c r="Q118" s="383"/>
      <c r="R118" s="383"/>
      <c r="S118" s="384">
        <v>45293</v>
      </c>
      <c r="T118" s="384">
        <v>45293</v>
      </c>
      <c r="U118" s="383" t="s">
        <v>4302</v>
      </c>
      <c r="V118" s="381">
        <v>1000</v>
      </c>
      <c r="W118" s="381">
        <v>14040</v>
      </c>
      <c r="X118" s="385">
        <v>1255.29</v>
      </c>
      <c r="Y118" s="381">
        <v>14046</v>
      </c>
      <c r="Z118" s="385">
        <v>94.14</v>
      </c>
      <c r="AA118" s="385">
        <f t="shared" si="22"/>
        <v>1161.1499999999999</v>
      </c>
      <c r="AB118" s="385">
        <v>94.14</v>
      </c>
      <c r="AC118" s="381">
        <v>51260</v>
      </c>
      <c r="AD118" s="385">
        <v>10.46</v>
      </c>
      <c r="AE118" s="381" t="s">
        <v>944</v>
      </c>
      <c r="AF118" s="383"/>
      <c r="AG118" s="383"/>
      <c r="AH118" s="383" t="s">
        <v>57</v>
      </c>
      <c r="AI118" s="383" t="s">
        <v>4442</v>
      </c>
      <c r="AJ118" s="383" t="s">
        <v>4443</v>
      </c>
      <c r="AK118" s="383" t="str">
        <f>_xlfn.XLOOKUP(C118,'[9]Vehicle Fleet Detail'!$A$5:$A$314,'[9]Vehicle Fleet Detail'!$C$5:$C$314,_xlfn.XLOOKUP(D118,'[9]Vehicle Fleet Detail'!$A$5:$A$314,'[9]Vehicle Fleet Detail'!$C$5:$C$314))</f>
        <v>878</v>
      </c>
      <c r="AL118" s="414" t="str">
        <f>_xlfn.XLOOKUP(C118,'[9]Vehicle Fleet Detail'!$A$5:$A$314,'[9]Vehicle Fleet Detail'!$B$5:$B$314,_xlfn.XLOOKUP(D118,'[9]Vehicle Fleet Detail'!$A$5:$A$314,'[9]Vehicle Fleet Detail'!$B$5:$B$314))</f>
        <v>Automated</v>
      </c>
      <c r="AM118" s="414" t="s">
        <v>3939</v>
      </c>
      <c r="AN118" s="393">
        <f t="shared" si="23"/>
        <v>1</v>
      </c>
      <c r="AO118" s="393">
        <f t="shared" si="24"/>
        <v>2024</v>
      </c>
      <c r="AP118" s="394">
        <f t="shared" si="25"/>
        <v>2034</v>
      </c>
      <c r="AQ118" s="395">
        <f t="shared" si="26"/>
        <v>2034.0833333333333</v>
      </c>
      <c r="AR118" s="396">
        <f t="shared" si="27"/>
        <v>10.460749999999999</v>
      </c>
      <c r="AS118" s="397">
        <f t="shared" si="28"/>
        <v>125.529</v>
      </c>
      <c r="AT118" s="397">
        <f t="shared" si="29"/>
        <v>125.529</v>
      </c>
      <c r="AU118" s="397">
        <f t="shared" si="30"/>
        <v>31.382250000000113</v>
      </c>
      <c r="AV118" s="397">
        <f t="shared" si="31"/>
        <v>156.91125000000011</v>
      </c>
      <c r="AW118" s="398">
        <f t="shared" si="32"/>
        <v>1098.3787499999999</v>
      </c>
      <c r="AX118" s="386" t="s">
        <v>62</v>
      </c>
    </row>
    <row r="119" spans="2:50" ht="15.75" outlineLevel="1">
      <c r="B119" s="381">
        <v>2111</v>
      </c>
      <c r="C119" s="382">
        <v>405102</v>
      </c>
      <c r="D119" s="381">
        <v>319562</v>
      </c>
      <c r="E119" s="383" t="s">
        <v>4240</v>
      </c>
      <c r="F119" s="392" t="s">
        <v>4555</v>
      </c>
      <c r="G119" s="392"/>
      <c r="H119" s="392"/>
      <c r="I119" s="381">
        <v>1</v>
      </c>
      <c r="J119" s="383" t="s">
        <v>4293</v>
      </c>
      <c r="K119" s="381">
        <v>0</v>
      </c>
      <c r="L119" s="383"/>
      <c r="M119" s="383"/>
      <c r="N119" s="383" t="s">
        <v>4445</v>
      </c>
      <c r="O119" s="383" t="s">
        <v>4441</v>
      </c>
      <c r="P119" s="383"/>
      <c r="Q119" s="383"/>
      <c r="R119" s="383"/>
      <c r="S119" s="384">
        <v>45293</v>
      </c>
      <c r="T119" s="384">
        <v>45293</v>
      </c>
      <c r="U119" s="383" t="s">
        <v>4294</v>
      </c>
      <c r="V119" s="381">
        <v>1000</v>
      </c>
      <c r="W119" s="381">
        <v>14040</v>
      </c>
      <c r="X119" s="385">
        <v>755.25</v>
      </c>
      <c r="Y119" s="381">
        <v>14046</v>
      </c>
      <c r="Z119" s="385">
        <v>56.61</v>
      </c>
      <c r="AA119" s="385">
        <f t="shared" si="22"/>
        <v>698.64</v>
      </c>
      <c r="AB119" s="385">
        <v>56.61</v>
      </c>
      <c r="AC119" s="381">
        <v>51260</v>
      </c>
      <c r="AD119" s="385">
        <v>6.29</v>
      </c>
      <c r="AE119" s="381" t="s">
        <v>944</v>
      </c>
      <c r="AF119" s="383"/>
      <c r="AG119" s="383"/>
      <c r="AH119" s="383" t="s">
        <v>57</v>
      </c>
      <c r="AI119" s="383" t="s">
        <v>4442</v>
      </c>
      <c r="AJ119" s="383" t="s">
        <v>4443</v>
      </c>
      <c r="AK119" s="383" t="str">
        <f>_xlfn.XLOOKUP(C119,'[9]Vehicle Fleet Detail'!$A$5:$A$314,'[9]Vehicle Fleet Detail'!$C$5:$C$314,_xlfn.XLOOKUP(D119,'[9]Vehicle Fleet Detail'!$A$5:$A$314,'[9]Vehicle Fleet Detail'!$C$5:$C$314))</f>
        <v>877</v>
      </c>
      <c r="AL119" s="414" t="str">
        <f>_xlfn.XLOOKUP(C119,'[9]Vehicle Fleet Detail'!$A$5:$A$314,'[9]Vehicle Fleet Detail'!$B$5:$B$314,_xlfn.XLOOKUP(D119,'[9]Vehicle Fleet Detail'!$A$5:$A$314,'[9]Vehicle Fleet Detail'!$B$5:$B$314))</f>
        <v>Automated</v>
      </c>
      <c r="AM119" s="414" t="s">
        <v>3939</v>
      </c>
      <c r="AN119" s="393">
        <f t="shared" si="23"/>
        <v>1</v>
      </c>
      <c r="AO119" s="393">
        <f t="shared" si="24"/>
        <v>2024</v>
      </c>
      <c r="AP119" s="394">
        <f t="shared" si="25"/>
        <v>2034</v>
      </c>
      <c r="AQ119" s="395">
        <f t="shared" si="26"/>
        <v>2034.0833333333333</v>
      </c>
      <c r="AR119" s="396">
        <f t="shared" si="27"/>
        <v>6.2937500000000002</v>
      </c>
      <c r="AS119" s="397">
        <f t="shared" si="28"/>
        <v>75.525000000000006</v>
      </c>
      <c r="AT119" s="397">
        <f t="shared" si="29"/>
        <v>75.525000000000006</v>
      </c>
      <c r="AU119" s="397">
        <f t="shared" si="30"/>
        <v>18.881250000000023</v>
      </c>
      <c r="AV119" s="397">
        <f t="shared" si="31"/>
        <v>94.406250000000028</v>
      </c>
      <c r="AW119" s="398">
        <f t="shared" si="32"/>
        <v>660.84375</v>
      </c>
      <c r="AX119" s="386" t="s">
        <v>62</v>
      </c>
    </row>
    <row r="120" spans="2:50" ht="15.75" outlineLevel="1">
      <c r="B120" s="381">
        <v>2111</v>
      </c>
      <c r="C120" s="382">
        <v>404175</v>
      </c>
      <c r="D120" s="381">
        <v>400146</v>
      </c>
      <c r="E120" s="383" t="s">
        <v>4240</v>
      </c>
      <c r="F120" s="392" t="s">
        <v>4561</v>
      </c>
      <c r="G120" s="392"/>
      <c r="H120" s="392"/>
      <c r="I120" s="381">
        <v>1</v>
      </c>
      <c r="J120" s="383" t="s">
        <v>4558</v>
      </c>
      <c r="K120" s="381">
        <v>0</v>
      </c>
      <c r="L120" s="383"/>
      <c r="M120" s="383"/>
      <c r="N120" s="383" t="s">
        <v>4445</v>
      </c>
      <c r="O120" s="383" t="s">
        <v>4441</v>
      </c>
      <c r="P120" s="383"/>
      <c r="Q120" s="383"/>
      <c r="R120" s="383"/>
      <c r="S120" s="384">
        <v>45293</v>
      </c>
      <c r="T120" s="384">
        <v>45293</v>
      </c>
      <c r="U120" s="383" t="s">
        <v>4560</v>
      </c>
      <c r="V120" s="381">
        <v>1000</v>
      </c>
      <c r="W120" s="381">
        <v>14040</v>
      </c>
      <c r="X120" s="385">
        <v>1304.68</v>
      </c>
      <c r="Y120" s="381">
        <v>14046</v>
      </c>
      <c r="Z120" s="385">
        <v>97.83</v>
      </c>
      <c r="AA120" s="385">
        <f t="shared" si="22"/>
        <v>1206.8500000000001</v>
      </c>
      <c r="AB120" s="385">
        <v>97.83</v>
      </c>
      <c r="AC120" s="381">
        <v>51260</v>
      </c>
      <c r="AD120" s="385">
        <v>10.87</v>
      </c>
      <c r="AE120" s="381" t="s">
        <v>944</v>
      </c>
      <c r="AF120" s="383"/>
      <c r="AG120" s="383"/>
      <c r="AH120" s="383" t="s">
        <v>57</v>
      </c>
      <c r="AI120" s="383" t="s">
        <v>4442</v>
      </c>
      <c r="AJ120" s="383" t="s">
        <v>4443</v>
      </c>
      <c r="AK120" s="383" t="s">
        <v>4437</v>
      </c>
      <c r="AL120" s="414"/>
      <c r="AM120" s="414" t="s">
        <v>3939</v>
      </c>
      <c r="AN120" s="393">
        <f t="shared" si="23"/>
        <v>1</v>
      </c>
      <c r="AO120" s="393">
        <f t="shared" si="24"/>
        <v>2024</v>
      </c>
      <c r="AP120" s="394">
        <f t="shared" si="25"/>
        <v>2034</v>
      </c>
      <c r="AQ120" s="395">
        <f t="shared" si="26"/>
        <v>2034.0833333333333</v>
      </c>
      <c r="AR120" s="396">
        <f t="shared" si="27"/>
        <v>10.872333333333335</v>
      </c>
      <c r="AS120" s="397">
        <f t="shared" si="28"/>
        <v>130.46800000000002</v>
      </c>
      <c r="AT120" s="397">
        <f t="shared" si="29"/>
        <v>130.46800000000002</v>
      </c>
      <c r="AU120" s="397">
        <f t="shared" si="30"/>
        <v>32.616999999999734</v>
      </c>
      <c r="AV120" s="397">
        <f t="shared" si="31"/>
        <v>163.08499999999975</v>
      </c>
      <c r="AW120" s="398">
        <f t="shared" si="32"/>
        <v>1141.5950000000003</v>
      </c>
      <c r="AX120" s="386" t="s">
        <v>62</v>
      </c>
    </row>
    <row r="121" spans="2:50" ht="15.75" outlineLevel="1">
      <c r="B121" s="381">
        <v>2111</v>
      </c>
      <c r="C121" s="382">
        <v>402948</v>
      </c>
      <c r="D121" s="381">
        <v>319318</v>
      </c>
      <c r="E121" s="383" t="s">
        <v>4240</v>
      </c>
      <c r="F121" s="392" t="s">
        <v>4553</v>
      </c>
      <c r="G121" s="392"/>
      <c r="H121" s="392"/>
      <c r="I121" s="381">
        <v>1</v>
      </c>
      <c r="J121" s="383">
        <v>920</v>
      </c>
      <c r="K121" s="381">
        <v>0</v>
      </c>
      <c r="L121" s="383"/>
      <c r="M121" s="383"/>
      <c r="N121" s="383" t="s">
        <v>4445</v>
      </c>
      <c r="O121" s="383" t="s">
        <v>4441</v>
      </c>
      <c r="P121" s="383"/>
      <c r="Q121" s="383"/>
      <c r="R121" s="383"/>
      <c r="S121" s="384">
        <v>45293</v>
      </c>
      <c r="T121" s="384">
        <v>45267</v>
      </c>
      <c r="U121" s="383" t="s">
        <v>4297</v>
      </c>
      <c r="V121" s="381">
        <v>1000</v>
      </c>
      <c r="W121" s="381">
        <v>14040</v>
      </c>
      <c r="X121" s="385">
        <v>1304.68</v>
      </c>
      <c r="Y121" s="381">
        <v>14046</v>
      </c>
      <c r="Z121" s="385">
        <v>97.83</v>
      </c>
      <c r="AA121" s="385">
        <f t="shared" si="22"/>
        <v>1206.8500000000001</v>
      </c>
      <c r="AB121" s="385">
        <v>97.83</v>
      </c>
      <c r="AC121" s="381">
        <v>51260</v>
      </c>
      <c r="AD121" s="385">
        <v>10.87</v>
      </c>
      <c r="AE121" s="381" t="s">
        <v>944</v>
      </c>
      <c r="AF121" s="383"/>
      <c r="AG121" s="383"/>
      <c r="AH121" s="383" t="s">
        <v>57</v>
      </c>
      <c r="AI121" s="383" t="s">
        <v>4442</v>
      </c>
      <c r="AJ121" s="383" t="s">
        <v>4443</v>
      </c>
      <c r="AK121" s="383" t="str">
        <f>_xlfn.XLOOKUP(C121,'[9]Vehicle Fleet Detail'!$A$5:$A$314,'[9]Vehicle Fleet Detail'!$C$5:$C$314,_xlfn.XLOOKUP(D121,'[9]Vehicle Fleet Detail'!$A$5:$A$314,'[9]Vehicle Fleet Detail'!$C$5:$C$314))</f>
        <v>920</v>
      </c>
      <c r="AL121" s="414" t="str">
        <f>_xlfn.XLOOKUP(C121,'[9]Vehicle Fleet Detail'!$A$5:$A$314,'[9]Vehicle Fleet Detail'!$B$5:$B$314,_xlfn.XLOOKUP(D121,'[9]Vehicle Fleet Detail'!$A$5:$A$314,'[9]Vehicle Fleet Detail'!$B$5:$B$314))</f>
        <v>Front Load</v>
      </c>
      <c r="AM121" s="414" t="s">
        <v>3939</v>
      </c>
      <c r="AN121" s="393">
        <f t="shared" si="23"/>
        <v>1</v>
      </c>
      <c r="AO121" s="393">
        <f t="shared" si="24"/>
        <v>2024</v>
      </c>
      <c r="AP121" s="394">
        <f t="shared" si="25"/>
        <v>2034</v>
      </c>
      <c r="AQ121" s="395">
        <f t="shared" si="26"/>
        <v>2034.0833333333333</v>
      </c>
      <c r="AR121" s="396">
        <f t="shared" si="27"/>
        <v>10.872333333333335</v>
      </c>
      <c r="AS121" s="397">
        <f t="shared" si="28"/>
        <v>130.46800000000002</v>
      </c>
      <c r="AT121" s="397">
        <f t="shared" si="29"/>
        <v>130.46800000000002</v>
      </c>
      <c r="AU121" s="397">
        <f t="shared" si="30"/>
        <v>32.616999999999734</v>
      </c>
      <c r="AV121" s="397">
        <f t="shared" si="31"/>
        <v>163.08499999999975</v>
      </c>
      <c r="AW121" s="398">
        <f t="shared" si="32"/>
        <v>1141.5950000000003</v>
      </c>
      <c r="AX121" s="386" t="s">
        <v>62</v>
      </c>
    </row>
    <row r="122" spans="2:50" ht="15.75" outlineLevel="1">
      <c r="B122" s="381">
        <v>2111</v>
      </c>
      <c r="C122" s="382">
        <v>402947</v>
      </c>
      <c r="D122" s="381">
        <v>319563</v>
      </c>
      <c r="E122" s="383" t="s">
        <v>4240</v>
      </c>
      <c r="F122" s="392" t="s">
        <v>4556</v>
      </c>
      <c r="G122" s="392"/>
      <c r="H122" s="392"/>
      <c r="I122" s="381">
        <v>1</v>
      </c>
      <c r="J122" s="383" t="s">
        <v>4301</v>
      </c>
      <c r="K122" s="381">
        <v>0</v>
      </c>
      <c r="L122" s="383"/>
      <c r="M122" s="383"/>
      <c r="N122" s="383" t="s">
        <v>4445</v>
      </c>
      <c r="O122" s="383" t="s">
        <v>4441</v>
      </c>
      <c r="P122" s="383"/>
      <c r="Q122" s="383"/>
      <c r="R122" s="383"/>
      <c r="S122" s="384">
        <v>45293</v>
      </c>
      <c r="T122" s="384">
        <v>45274</v>
      </c>
      <c r="U122" s="383" t="s">
        <v>4302</v>
      </c>
      <c r="V122" s="381">
        <v>1000</v>
      </c>
      <c r="W122" s="381">
        <v>14040</v>
      </c>
      <c r="X122" s="385">
        <v>1238.6300000000001</v>
      </c>
      <c r="Y122" s="381">
        <v>14046</v>
      </c>
      <c r="Z122" s="385">
        <v>92.88</v>
      </c>
      <c r="AA122" s="385">
        <f t="shared" si="22"/>
        <v>1145.75</v>
      </c>
      <c r="AB122" s="385">
        <v>92.88</v>
      </c>
      <c r="AC122" s="381">
        <v>51260</v>
      </c>
      <c r="AD122" s="385">
        <v>10.32</v>
      </c>
      <c r="AE122" s="381" t="s">
        <v>944</v>
      </c>
      <c r="AF122" s="383"/>
      <c r="AG122" s="383"/>
      <c r="AH122" s="383" t="s">
        <v>57</v>
      </c>
      <c r="AI122" s="383" t="s">
        <v>4442</v>
      </c>
      <c r="AJ122" s="383" t="s">
        <v>4443</v>
      </c>
      <c r="AK122" s="383" t="str">
        <f>_xlfn.XLOOKUP(C122,'[9]Vehicle Fleet Detail'!$A$5:$A$314,'[9]Vehicle Fleet Detail'!$C$5:$C$314,_xlfn.XLOOKUP(D122,'[9]Vehicle Fleet Detail'!$A$5:$A$314,'[9]Vehicle Fleet Detail'!$C$5:$C$314))</f>
        <v>878</v>
      </c>
      <c r="AL122" s="414" t="str">
        <f>_xlfn.XLOOKUP(C122,'[9]Vehicle Fleet Detail'!$A$5:$A$314,'[9]Vehicle Fleet Detail'!$B$5:$B$314,_xlfn.XLOOKUP(D122,'[9]Vehicle Fleet Detail'!$A$5:$A$314,'[9]Vehicle Fleet Detail'!$B$5:$B$314))</f>
        <v>Automated</v>
      </c>
      <c r="AM122" s="414" t="s">
        <v>3939</v>
      </c>
      <c r="AN122" s="393">
        <f t="shared" si="23"/>
        <v>1</v>
      </c>
      <c r="AO122" s="393">
        <f t="shared" si="24"/>
        <v>2024</v>
      </c>
      <c r="AP122" s="394">
        <f t="shared" si="25"/>
        <v>2034</v>
      </c>
      <c r="AQ122" s="395">
        <f t="shared" si="26"/>
        <v>2034.0833333333333</v>
      </c>
      <c r="AR122" s="396">
        <f t="shared" si="27"/>
        <v>10.321916666666668</v>
      </c>
      <c r="AS122" s="397">
        <f t="shared" si="28"/>
        <v>123.86300000000003</v>
      </c>
      <c r="AT122" s="397">
        <f t="shared" si="29"/>
        <v>123.86300000000003</v>
      </c>
      <c r="AU122" s="397">
        <f t="shared" si="30"/>
        <v>30.965749999999844</v>
      </c>
      <c r="AV122" s="397">
        <f t="shared" si="31"/>
        <v>154.82874999999987</v>
      </c>
      <c r="AW122" s="398">
        <f t="shared" si="32"/>
        <v>1083.8012500000002</v>
      </c>
      <c r="AX122" s="386" t="s">
        <v>62</v>
      </c>
    </row>
    <row r="123" spans="2:50" ht="15.75" outlineLevel="1">
      <c r="B123" s="381">
        <v>2111</v>
      </c>
      <c r="C123" s="382">
        <v>402705</v>
      </c>
      <c r="D123" s="381">
        <v>319317</v>
      </c>
      <c r="E123" s="383" t="s">
        <v>4240</v>
      </c>
      <c r="F123" s="392" t="s">
        <v>4550</v>
      </c>
      <c r="G123" s="392"/>
      <c r="H123" s="392"/>
      <c r="I123" s="381">
        <v>1</v>
      </c>
      <c r="J123" s="383" t="s">
        <v>4309</v>
      </c>
      <c r="K123" s="381">
        <v>0</v>
      </c>
      <c r="L123" s="383"/>
      <c r="M123" s="383" t="s">
        <v>751</v>
      </c>
      <c r="N123" s="383" t="s">
        <v>4445</v>
      </c>
      <c r="O123" s="383" t="s">
        <v>4441</v>
      </c>
      <c r="P123" s="383"/>
      <c r="Q123" s="383"/>
      <c r="R123" s="383"/>
      <c r="S123" s="384">
        <v>45293</v>
      </c>
      <c r="T123" s="384">
        <v>2</v>
      </c>
      <c r="U123" s="383" t="s">
        <v>4310</v>
      </c>
      <c r="V123" s="381">
        <v>1000</v>
      </c>
      <c r="W123" s="381">
        <v>14040</v>
      </c>
      <c r="X123" s="385">
        <v>357.83</v>
      </c>
      <c r="Y123" s="381">
        <v>14046</v>
      </c>
      <c r="Z123" s="385">
        <v>26.82</v>
      </c>
      <c r="AA123" s="385">
        <f t="shared" si="22"/>
        <v>331.01</v>
      </c>
      <c r="AB123" s="385">
        <v>26.82</v>
      </c>
      <c r="AC123" s="381">
        <v>51260</v>
      </c>
      <c r="AD123" s="385">
        <v>2.98</v>
      </c>
      <c r="AE123" s="381" t="s">
        <v>944</v>
      </c>
      <c r="AF123" s="383"/>
      <c r="AG123" s="383"/>
      <c r="AH123" s="383" t="s">
        <v>57</v>
      </c>
      <c r="AI123" s="383" t="s">
        <v>4442</v>
      </c>
      <c r="AJ123" s="383" t="s">
        <v>4443</v>
      </c>
      <c r="AK123" s="383" t="str">
        <f>_xlfn.XLOOKUP(C123,'[9]Vehicle Fleet Detail'!$A$5:$A$314,'[9]Vehicle Fleet Detail'!$C$5:$C$314,_xlfn.XLOOKUP(D123,'[9]Vehicle Fleet Detail'!$A$5:$A$314,'[9]Vehicle Fleet Detail'!$C$5:$C$314))</f>
        <v>453</v>
      </c>
      <c r="AL123" s="414" t="str">
        <f>_xlfn.XLOOKUP(C123,'[9]Vehicle Fleet Detail'!$A$5:$A$314,'[9]Vehicle Fleet Detail'!$B$5:$B$314,_xlfn.XLOOKUP(D123,'[9]Vehicle Fleet Detail'!$A$5:$A$314,'[9]Vehicle Fleet Detail'!$B$5:$B$314))</f>
        <v>Roll Off</v>
      </c>
      <c r="AM123" s="414" t="s">
        <v>126</v>
      </c>
      <c r="AN123" s="393">
        <f t="shared" si="23"/>
        <v>1</v>
      </c>
      <c r="AO123" s="393">
        <f t="shared" si="24"/>
        <v>2024</v>
      </c>
      <c r="AP123" s="394">
        <f t="shared" si="25"/>
        <v>2034</v>
      </c>
      <c r="AQ123" s="395">
        <f t="shared" si="26"/>
        <v>2034.0833333333333</v>
      </c>
      <c r="AR123" s="396">
        <f t="shared" si="27"/>
        <v>2.9819166666666668</v>
      </c>
      <c r="AS123" s="397">
        <f t="shared" si="28"/>
        <v>35.783000000000001</v>
      </c>
      <c r="AT123" s="397">
        <f t="shared" si="29"/>
        <v>35.783000000000001</v>
      </c>
      <c r="AU123" s="397">
        <f t="shared" si="30"/>
        <v>8.9457499999999754</v>
      </c>
      <c r="AV123" s="397">
        <f t="shared" si="31"/>
        <v>44.728749999999977</v>
      </c>
      <c r="AW123" s="398">
        <f t="shared" si="32"/>
        <v>313.10124999999999</v>
      </c>
      <c r="AX123" s="386" t="s">
        <v>62</v>
      </c>
    </row>
    <row r="124" spans="2:50" ht="15.75" outlineLevel="1">
      <c r="B124" s="381">
        <v>2111</v>
      </c>
      <c r="C124" s="382">
        <v>402019</v>
      </c>
      <c r="D124" s="381" t="s">
        <v>944</v>
      </c>
      <c r="E124" s="383" t="s">
        <v>4240</v>
      </c>
      <c r="F124" s="392" t="s">
        <v>2288</v>
      </c>
      <c r="G124" s="392"/>
      <c r="H124" s="392"/>
      <c r="I124" s="381">
        <v>702</v>
      </c>
      <c r="J124" s="383"/>
      <c r="K124" s="381">
        <v>0</v>
      </c>
      <c r="L124" s="383"/>
      <c r="M124" s="383"/>
      <c r="N124" s="383" t="s">
        <v>4446</v>
      </c>
      <c r="O124" s="383" t="s">
        <v>4585</v>
      </c>
      <c r="P124" s="383"/>
      <c r="Q124" s="383" t="s">
        <v>4586</v>
      </c>
      <c r="R124" s="383" t="s">
        <v>4474</v>
      </c>
      <c r="S124" s="384">
        <v>45313</v>
      </c>
      <c r="T124" s="384">
        <v>45313</v>
      </c>
      <c r="U124" s="383" t="s">
        <v>4587</v>
      </c>
      <c r="V124" s="381">
        <v>700</v>
      </c>
      <c r="W124" s="381">
        <v>14050</v>
      </c>
      <c r="X124" s="385">
        <v>42509.61</v>
      </c>
      <c r="Y124" s="381">
        <v>14056</v>
      </c>
      <c r="Z124" s="385">
        <v>4048.56</v>
      </c>
      <c r="AA124" s="385">
        <f t="shared" si="22"/>
        <v>38461.050000000003</v>
      </c>
      <c r="AB124" s="385">
        <v>4048.56</v>
      </c>
      <c r="AC124" s="381">
        <v>54260</v>
      </c>
      <c r="AD124" s="385">
        <v>506.07</v>
      </c>
      <c r="AE124" s="381" t="s">
        <v>944</v>
      </c>
      <c r="AF124" s="383"/>
      <c r="AG124" s="383"/>
      <c r="AH124" s="383" t="s">
        <v>57</v>
      </c>
      <c r="AI124" s="383" t="s">
        <v>4442</v>
      </c>
      <c r="AJ124" s="383" t="s">
        <v>4443</v>
      </c>
      <c r="AK124" s="383" t="s">
        <v>4437</v>
      </c>
      <c r="AL124" s="414"/>
      <c r="AM124" s="414" t="s">
        <v>1019</v>
      </c>
      <c r="AN124" s="393">
        <f t="shared" si="23"/>
        <v>1</v>
      </c>
      <c r="AO124" s="393">
        <f t="shared" si="24"/>
        <v>2024</v>
      </c>
      <c r="AP124" s="394">
        <f t="shared" si="25"/>
        <v>2031</v>
      </c>
      <c r="AQ124" s="395">
        <f t="shared" si="26"/>
        <v>2031.0833333333333</v>
      </c>
      <c r="AR124" s="396">
        <f t="shared" si="27"/>
        <v>506.06678571428574</v>
      </c>
      <c r="AS124" s="397">
        <f t="shared" si="28"/>
        <v>6072.8014285714289</v>
      </c>
      <c r="AT124" s="397">
        <f t="shared" si="29"/>
        <v>6072.8014285714289</v>
      </c>
      <c r="AU124" s="397">
        <f t="shared" si="30"/>
        <v>1518.2003571428577</v>
      </c>
      <c r="AV124" s="397">
        <f t="shared" si="31"/>
        <v>7591.0017857142866</v>
      </c>
      <c r="AW124" s="398">
        <f t="shared" si="32"/>
        <v>34918.608214285712</v>
      </c>
      <c r="AX124" s="386" t="s">
        <v>62</v>
      </c>
    </row>
    <row r="125" spans="2:50" ht="15.75" outlineLevel="1">
      <c r="B125" s="381">
        <v>2111</v>
      </c>
      <c r="C125" s="382">
        <v>402005</v>
      </c>
      <c r="D125" s="381">
        <v>400531</v>
      </c>
      <c r="E125" s="383" t="s">
        <v>4240</v>
      </c>
      <c r="F125" s="392" t="s">
        <v>4579</v>
      </c>
      <c r="G125" s="392"/>
      <c r="H125" s="392"/>
      <c r="I125" s="381">
        <v>1</v>
      </c>
      <c r="J125" s="383" t="s">
        <v>4581</v>
      </c>
      <c r="K125" s="381">
        <v>0</v>
      </c>
      <c r="L125" s="383"/>
      <c r="M125" s="383" t="s">
        <v>751</v>
      </c>
      <c r="N125" s="383" t="s">
        <v>4445</v>
      </c>
      <c r="O125" s="383" t="s">
        <v>4577</v>
      </c>
      <c r="P125" s="383" t="s">
        <v>4580</v>
      </c>
      <c r="Q125" s="383"/>
      <c r="R125" s="383"/>
      <c r="S125" s="384">
        <v>45293</v>
      </c>
      <c r="T125" s="384">
        <v>45293</v>
      </c>
      <c r="U125" s="383" t="s">
        <v>4582</v>
      </c>
      <c r="V125" s="381">
        <v>700</v>
      </c>
      <c r="W125" s="381">
        <v>14040</v>
      </c>
      <c r="X125" s="385">
        <v>16360.28</v>
      </c>
      <c r="Y125" s="381">
        <v>14046</v>
      </c>
      <c r="Z125" s="385">
        <v>1752.93</v>
      </c>
      <c r="AA125" s="385">
        <f t="shared" si="22"/>
        <v>14607.35</v>
      </c>
      <c r="AB125" s="385">
        <v>1752.93</v>
      </c>
      <c r="AC125" s="381">
        <v>51260</v>
      </c>
      <c r="AD125" s="385">
        <v>194.77</v>
      </c>
      <c r="AE125" s="381" t="s">
        <v>944</v>
      </c>
      <c r="AF125" s="383"/>
      <c r="AG125" s="383"/>
      <c r="AH125" s="383" t="s">
        <v>57</v>
      </c>
      <c r="AI125" s="383" t="s">
        <v>4442</v>
      </c>
      <c r="AJ125" s="383" t="s">
        <v>4443</v>
      </c>
      <c r="AK125" s="383" t="s">
        <v>4437</v>
      </c>
      <c r="AL125" s="414"/>
      <c r="AM125" s="414" t="s">
        <v>1316</v>
      </c>
      <c r="AN125" s="393">
        <f t="shared" si="23"/>
        <v>1</v>
      </c>
      <c r="AO125" s="393">
        <f t="shared" si="24"/>
        <v>2024</v>
      </c>
      <c r="AP125" s="394">
        <f t="shared" si="25"/>
        <v>2031</v>
      </c>
      <c r="AQ125" s="395">
        <f t="shared" si="26"/>
        <v>2031.0833333333333</v>
      </c>
      <c r="AR125" s="396">
        <f t="shared" si="27"/>
        <v>194.76523809523812</v>
      </c>
      <c r="AS125" s="397">
        <f t="shared" si="28"/>
        <v>2337.1828571428573</v>
      </c>
      <c r="AT125" s="397">
        <f t="shared" si="29"/>
        <v>2337.1828571428573</v>
      </c>
      <c r="AU125" s="397">
        <f t="shared" si="30"/>
        <v>584.29571428571398</v>
      </c>
      <c r="AV125" s="397">
        <f t="shared" si="31"/>
        <v>2921.4785714285713</v>
      </c>
      <c r="AW125" s="398">
        <f t="shared" si="32"/>
        <v>13438.801428571429</v>
      </c>
      <c r="AX125" s="386" t="s">
        <v>62</v>
      </c>
    </row>
    <row r="126" spans="2:50" ht="15.75" outlineLevel="1">
      <c r="B126" s="381">
        <v>2111</v>
      </c>
      <c r="C126" s="382">
        <v>401986</v>
      </c>
      <c r="D126" s="381">
        <v>400530</v>
      </c>
      <c r="E126" s="383" t="s">
        <v>4240</v>
      </c>
      <c r="F126" s="392" t="s">
        <v>4579</v>
      </c>
      <c r="G126" s="392"/>
      <c r="H126" s="392"/>
      <c r="I126" s="381">
        <v>1</v>
      </c>
      <c r="J126" s="383" t="s">
        <v>4575</v>
      </c>
      <c r="K126" s="381">
        <v>0</v>
      </c>
      <c r="L126" s="383"/>
      <c r="M126" s="383" t="s">
        <v>751</v>
      </c>
      <c r="N126" s="383" t="s">
        <v>4445</v>
      </c>
      <c r="O126" s="383" t="s">
        <v>4577</v>
      </c>
      <c r="P126" s="383" t="s">
        <v>4580</v>
      </c>
      <c r="Q126" s="383"/>
      <c r="R126" s="383"/>
      <c r="S126" s="384">
        <v>45293</v>
      </c>
      <c r="T126" s="384">
        <v>45293</v>
      </c>
      <c r="U126" s="383" t="s">
        <v>4578</v>
      </c>
      <c r="V126" s="381">
        <v>700</v>
      </c>
      <c r="W126" s="381">
        <v>14040</v>
      </c>
      <c r="X126" s="385">
        <v>16360.28</v>
      </c>
      <c r="Y126" s="381">
        <v>14046</v>
      </c>
      <c r="Z126" s="385">
        <v>1752.93</v>
      </c>
      <c r="AA126" s="385">
        <f t="shared" si="22"/>
        <v>14607.35</v>
      </c>
      <c r="AB126" s="385">
        <v>1752.93</v>
      </c>
      <c r="AC126" s="381">
        <v>51260</v>
      </c>
      <c r="AD126" s="385">
        <v>194.77</v>
      </c>
      <c r="AE126" s="381" t="s">
        <v>944</v>
      </c>
      <c r="AF126" s="383"/>
      <c r="AG126" s="383"/>
      <c r="AH126" s="383" t="s">
        <v>57</v>
      </c>
      <c r="AI126" s="383" t="s">
        <v>4442</v>
      </c>
      <c r="AJ126" s="383" t="s">
        <v>4443</v>
      </c>
      <c r="AK126" s="383" t="str">
        <f>_xlfn.XLOOKUP(C126,'[9]Vehicle Fleet Detail'!$A$5:$A$314,'[9]Vehicle Fleet Detail'!$C$5:$C$314,_xlfn.XLOOKUP(D126,'[9]Vehicle Fleet Detail'!$A$5:$A$314,'[9]Vehicle Fleet Detail'!$C$5:$C$314))</f>
        <v>WF-32</v>
      </c>
      <c r="AL126" s="414" t="str">
        <f>_xlfn.XLOOKUP(C126,'[9]Vehicle Fleet Detail'!$A$5:$A$314,'[9]Vehicle Fleet Detail'!$B$5:$B$314,_xlfn.XLOOKUP(D126,'[9]Vehicle Fleet Detail'!$A$5:$A$314,'[9]Vehicle Fleet Detail'!$B$5:$B$314))</f>
        <v>Trailer</v>
      </c>
      <c r="AM126" s="414" t="s">
        <v>1316</v>
      </c>
      <c r="AN126" s="393">
        <f t="shared" si="23"/>
        <v>1</v>
      </c>
      <c r="AO126" s="393">
        <f t="shared" si="24"/>
        <v>2024</v>
      </c>
      <c r="AP126" s="394">
        <f t="shared" si="25"/>
        <v>2031</v>
      </c>
      <c r="AQ126" s="395">
        <f t="shared" si="26"/>
        <v>2031.0833333333333</v>
      </c>
      <c r="AR126" s="396">
        <f t="shared" si="27"/>
        <v>194.76523809523812</v>
      </c>
      <c r="AS126" s="397">
        <f t="shared" si="28"/>
        <v>2337.1828571428573</v>
      </c>
      <c r="AT126" s="397">
        <f t="shared" si="29"/>
        <v>2337.1828571428573</v>
      </c>
      <c r="AU126" s="397">
        <f t="shared" si="30"/>
        <v>584.29571428571398</v>
      </c>
      <c r="AV126" s="397">
        <f t="shared" si="31"/>
        <v>2921.4785714285713</v>
      </c>
      <c r="AW126" s="398">
        <f t="shared" si="32"/>
        <v>13438.801428571429</v>
      </c>
      <c r="AX126" s="386" t="s">
        <v>62</v>
      </c>
    </row>
    <row r="127" spans="2:50" ht="15.75" outlineLevel="1">
      <c r="B127" s="381">
        <v>2111</v>
      </c>
      <c r="C127" s="382">
        <v>401824</v>
      </c>
      <c r="D127" s="381" t="s">
        <v>944</v>
      </c>
      <c r="E127" s="383" t="s">
        <v>4240</v>
      </c>
      <c r="F127" s="392" t="s">
        <v>2288</v>
      </c>
      <c r="G127" s="392"/>
      <c r="H127" s="392"/>
      <c r="I127" s="381">
        <v>702</v>
      </c>
      <c r="J127" s="383"/>
      <c r="K127" s="381">
        <v>0</v>
      </c>
      <c r="L127" s="383"/>
      <c r="M127" s="383"/>
      <c r="N127" s="383" t="s">
        <v>4446</v>
      </c>
      <c r="O127" s="383" t="s">
        <v>4585</v>
      </c>
      <c r="P127" s="383"/>
      <c r="Q127" s="383" t="s">
        <v>4586</v>
      </c>
      <c r="R127" s="383" t="s">
        <v>4474</v>
      </c>
      <c r="S127" s="384">
        <v>45313</v>
      </c>
      <c r="T127" s="384">
        <v>45313</v>
      </c>
      <c r="U127" s="383" t="s">
        <v>4587</v>
      </c>
      <c r="V127" s="381">
        <v>700</v>
      </c>
      <c r="W127" s="381">
        <v>14050</v>
      </c>
      <c r="X127" s="385">
        <v>42509.61</v>
      </c>
      <c r="Y127" s="381">
        <v>14056</v>
      </c>
      <c r="Z127" s="385">
        <v>4048.56</v>
      </c>
      <c r="AA127" s="385">
        <f t="shared" si="22"/>
        <v>38461.050000000003</v>
      </c>
      <c r="AB127" s="385">
        <v>4048.56</v>
      </c>
      <c r="AC127" s="381">
        <v>54260</v>
      </c>
      <c r="AD127" s="385">
        <v>506.07</v>
      </c>
      <c r="AE127" s="381" t="s">
        <v>944</v>
      </c>
      <c r="AF127" s="383"/>
      <c r="AG127" s="383"/>
      <c r="AH127" s="383" t="s">
        <v>57</v>
      </c>
      <c r="AI127" s="383" t="s">
        <v>4442</v>
      </c>
      <c r="AJ127" s="383" t="s">
        <v>4443</v>
      </c>
      <c r="AK127" s="383" t="s">
        <v>4437</v>
      </c>
      <c r="AL127" s="414"/>
      <c r="AM127" s="414" t="s">
        <v>1019</v>
      </c>
      <c r="AN127" s="393">
        <f t="shared" si="23"/>
        <v>1</v>
      </c>
      <c r="AO127" s="393">
        <f t="shared" si="24"/>
        <v>2024</v>
      </c>
      <c r="AP127" s="394">
        <f t="shared" si="25"/>
        <v>2031</v>
      </c>
      <c r="AQ127" s="395">
        <f t="shared" si="26"/>
        <v>2031.0833333333333</v>
      </c>
      <c r="AR127" s="396">
        <f t="shared" si="27"/>
        <v>506.06678571428574</v>
      </c>
      <c r="AS127" s="397">
        <f t="shared" si="28"/>
        <v>6072.8014285714289</v>
      </c>
      <c r="AT127" s="397">
        <f t="shared" si="29"/>
        <v>6072.8014285714289</v>
      </c>
      <c r="AU127" s="397">
        <f t="shared" si="30"/>
        <v>1518.2003571428577</v>
      </c>
      <c r="AV127" s="397">
        <f t="shared" si="31"/>
        <v>7591.0017857142866</v>
      </c>
      <c r="AW127" s="398">
        <f t="shared" si="32"/>
        <v>34918.608214285712</v>
      </c>
      <c r="AX127" s="386" t="s">
        <v>62</v>
      </c>
    </row>
    <row r="128" spans="2:50" ht="15.75" outlineLevel="1">
      <c r="B128" s="381">
        <v>2111</v>
      </c>
      <c r="C128" s="382">
        <v>401747</v>
      </c>
      <c r="D128" s="381" t="s">
        <v>944</v>
      </c>
      <c r="E128" s="383" t="s">
        <v>4240</v>
      </c>
      <c r="F128" s="392" t="s">
        <v>4583</v>
      </c>
      <c r="G128" s="392"/>
      <c r="H128" s="392"/>
      <c r="I128" s="381">
        <v>1</v>
      </c>
      <c r="J128" s="383" t="s">
        <v>4558</v>
      </c>
      <c r="K128" s="381">
        <v>2024</v>
      </c>
      <c r="L128" s="383"/>
      <c r="M128" s="383" t="s">
        <v>1483</v>
      </c>
      <c r="N128" s="383" t="s">
        <v>4445</v>
      </c>
      <c r="O128" s="383" t="s">
        <v>4545</v>
      </c>
      <c r="P128" s="383" t="s">
        <v>4482</v>
      </c>
      <c r="Q128" s="383"/>
      <c r="R128" s="383"/>
      <c r="S128" s="384">
        <v>45302</v>
      </c>
      <c r="T128" s="384">
        <v>2</v>
      </c>
      <c r="U128" s="383" t="s">
        <v>4584</v>
      </c>
      <c r="V128" s="381">
        <v>1000</v>
      </c>
      <c r="W128" s="381">
        <v>14040</v>
      </c>
      <c r="X128" s="385">
        <v>206303.82</v>
      </c>
      <c r="Y128" s="381">
        <v>14046</v>
      </c>
      <c r="Z128" s="385">
        <v>15472.8</v>
      </c>
      <c r="AA128" s="385">
        <f t="shared" si="22"/>
        <v>190831.02000000002</v>
      </c>
      <c r="AB128" s="385">
        <v>15472.8</v>
      </c>
      <c r="AC128" s="381">
        <v>51260</v>
      </c>
      <c r="AD128" s="385">
        <v>1719.2</v>
      </c>
      <c r="AE128" s="381" t="s">
        <v>944</v>
      </c>
      <c r="AF128" s="383"/>
      <c r="AG128" s="383"/>
      <c r="AH128" s="383" t="s">
        <v>57</v>
      </c>
      <c r="AI128" s="383" t="s">
        <v>4442</v>
      </c>
      <c r="AJ128" s="383" t="s">
        <v>4443</v>
      </c>
      <c r="AK128" s="383" t="str">
        <f>_xlfn.XLOOKUP(C128,'[9]Vehicle Fleet Detail'!$A$5:$A$314,'[9]Vehicle Fleet Detail'!$C$5:$C$314,_xlfn.XLOOKUP(D128,'[9]Vehicle Fleet Detail'!$A$5:$A$314,'[9]Vehicle Fleet Detail'!$C$5:$C$314))</f>
        <v>880</v>
      </c>
      <c r="AL128" s="414" t="s">
        <v>4659</v>
      </c>
      <c r="AM128" s="414" t="s">
        <v>3939</v>
      </c>
      <c r="AN128" s="393">
        <f t="shared" si="23"/>
        <v>1</v>
      </c>
      <c r="AO128" s="393">
        <f t="shared" si="24"/>
        <v>2024</v>
      </c>
      <c r="AP128" s="394">
        <f t="shared" si="25"/>
        <v>2034</v>
      </c>
      <c r="AQ128" s="395">
        <f t="shared" si="26"/>
        <v>2034.0833333333333</v>
      </c>
      <c r="AR128" s="396">
        <f t="shared" si="27"/>
        <v>1719.1985000000002</v>
      </c>
      <c r="AS128" s="397">
        <f t="shared" si="28"/>
        <v>20630.382000000001</v>
      </c>
      <c r="AT128" s="397">
        <f t="shared" si="29"/>
        <v>20630.382000000001</v>
      </c>
      <c r="AU128" s="397">
        <f t="shared" si="30"/>
        <v>5157.5954999999958</v>
      </c>
      <c r="AV128" s="397">
        <f t="shared" si="31"/>
        <v>25787.977499999997</v>
      </c>
      <c r="AW128" s="398">
        <f t="shared" si="32"/>
        <v>180515.8425</v>
      </c>
      <c r="AX128" s="386" t="s">
        <v>62</v>
      </c>
    </row>
    <row r="129" spans="2:50" ht="15.75" outlineLevel="1">
      <c r="B129" s="381">
        <v>2111</v>
      </c>
      <c r="C129" s="382">
        <v>400956</v>
      </c>
      <c r="D129" s="381">
        <v>319318</v>
      </c>
      <c r="E129" s="383" t="s">
        <v>4240</v>
      </c>
      <c r="F129" s="392" t="s">
        <v>4551</v>
      </c>
      <c r="G129" s="392"/>
      <c r="H129" s="392"/>
      <c r="I129" s="381">
        <v>1</v>
      </c>
      <c r="J129" s="383"/>
      <c r="K129" s="381">
        <v>0</v>
      </c>
      <c r="L129" s="383" t="s">
        <v>1554</v>
      </c>
      <c r="M129" s="383"/>
      <c r="N129" s="383" t="s">
        <v>4445</v>
      </c>
      <c r="O129" s="383" t="s">
        <v>4552</v>
      </c>
      <c r="P129" s="383" t="s">
        <v>4525</v>
      </c>
      <c r="Q129" s="383"/>
      <c r="R129" s="383"/>
      <c r="S129" s="384">
        <v>45293</v>
      </c>
      <c r="T129" s="384">
        <v>45293</v>
      </c>
      <c r="U129" s="383" t="s">
        <v>4297</v>
      </c>
      <c r="V129" s="381">
        <v>1000</v>
      </c>
      <c r="W129" s="381">
        <v>14040</v>
      </c>
      <c r="X129" s="385">
        <v>942.71</v>
      </c>
      <c r="Y129" s="381">
        <v>14046</v>
      </c>
      <c r="Z129" s="385">
        <v>70.739999999999995</v>
      </c>
      <c r="AA129" s="385">
        <f t="shared" si="22"/>
        <v>871.97</v>
      </c>
      <c r="AB129" s="385">
        <v>70.739999999999995</v>
      </c>
      <c r="AC129" s="381">
        <v>51260</v>
      </c>
      <c r="AD129" s="385">
        <v>7.86</v>
      </c>
      <c r="AE129" s="381" t="s">
        <v>944</v>
      </c>
      <c r="AF129" s="383"/>
      <c r="AG129" s="383"/>
      <c r="AH129" s="383" t="s">
        <v>57</v>
      </c>
      <c r="AI129" s="383" t="s">
        <v>4442</v>
      </c>
      <c r="AJ129" s="383" t="s">
        <v>4443</v>
      </c>
      <c r="AK129" s="383" t="str">
        <f>_xlfn.XLOOKUP(C129,'[9]Vehicle Fleet Detail'!$A$5:$A$314,'[9]Vehicle Fleet Detail'!$C$5:$C$314,_xlfn.XLOOKUP(D129,'[9]Vehicle Fleet Detail'!$A$5:$A$314,'[9]Vehicle Fleet Detail'!$C$5:$C$314))</f>
        <v>920</v>
      </c>
      <c r="AL129" s="414" t="str">
        <f>_xlfn.XLOOKUP(C129,'[9]Vehicle Fleet Detail'!$A$5:$A$314,'[9]Vehicle Fleet Detail'!$B$5:$B$314,_xlfn.XLOOKUP(D129,'[9]Vehicle Fleet Detail'!$A$5:$A$314,'[9]Vehicle Fleet Detail'!$B$5:$B$314))</f>
        <v>Front Load</v>
      </c>
      <c r="AM129" s="414" t="s">
        <v>3939</v>
      </c>
      <c r="AN129" s="393">
        <f t="shared" si="23"/>
        <v>1</v>
      </c>
      <c r="AO129" s="393">
        <f t="shared" si="24"/>
        <v>2024</v>
      </c>
      <c r="AP129" s="394">
        <f t="shared" si="25"/>
        <v>2034</v>
      </c>
      <c r="AQ129" s="395">
        <f t="shared" si="26"/>
        <v>2034.0833333333333</v>
      </c>
      <c r="AR129" s="396">
        <f t="shared" si="27"/>
        <v>7.8559166666666664</v>
      </c>
      <c r="AS129" s="397">
        <f t="shared" si="28"/>
        <v>94.271000000000001</v>
      </c>
      <c r="AT129" s="397">
        <f t="shared" si="29"/>
        <v>94.271000000000001</v>
      </c>
      <c r="AU129" s="397">
        <f t="shared" si="30"/>
        <v>23.567750000000046</v>
      </c>
      <c r="AV129" s="397">
        <f t="shared" si="31"/>
        <v>117.83875000000005</v>
      </c>
      <c r="AW129" s="398">
        <f t="shared" si="32"/>
        <v>824.87125000000003</v>
      </c>
      <c r="AX129" s="386" t="s">
        <v>62</v>
      </c>
    </row>
    <row r="130" spans="2:50" ht="15.75" outlineLevel="1">
      <c r="B130" s="381">
        <v>2111</v>
      </c>
      <c r="C130" s="382">
        <v>400955</v>
      </c>
      <c r="D130" s="381">
        <v>319316</v>
      </c>
      <c r="E130" s="383" t="s">
        <v>4240</v>
      </c>
      <c r="F130" s="392" t="s">
        <v>4546</v>
      </c>
      <c r="G130" s="392"/>
      <c r="H130" s="392"/>
      <c r="I130" s="381">
        <v>1</v>
      </c>
      <c r="J130" s="383"/>
      <c r="K130" s="381">
        <v>0</v>
      </c>
      <c r="L130" s="383" t="s">
        <v>4275</v>
      </c>
      <c r="M130" s="383"/>
      <c r="N130" s="383" t="s">
        <v>4445</v>
      </c>
      <c r="O130" s="383" t="s">
        <v>4545</v>
      </c>
      <c r="P130" s="383" t="s">
        <v>4525</v>
      </c>
      <c r="Q130" s="383"/>
      <c r="R130" s="383"/>
      <c r="S130" s="384">
        <v>45293</v>
      </c>
      <c r="T130" s="384">
        <v>45293</v>
      </c>
      <c r="U130" s="383" t="s">
        <v>4300</v>
      </c>
      <c r="V130" s="381">
        <v>1000</v>
      </c>
      <c r="W130" s="381">
        <v>14040</v>
      </c>
      <c r="X130" s="385">
        <v>1304.68</v>
      </c>
      <c r="Y130" s="381">
        <v>14046</v>
      </c>
      <c r="Z130" s="385">
        <v>97.83</v>
      </c>
      <c r="AA130" s="385">
        <f t="shared" si="22"/>
        <v>1206.8500000000001</v>
      </c>
      <c r="AB130" s="385">
        <v>97.83</v>
      </c>
      <c r="AC130" s="381">
        <v>51260</v>
      </c>
      <c r="AD130" s="385">
        <v>10.87</v>
      </c>
      <c r="AE130" s="381" t="s">
        <v>944</v>
      </c>
      <c r="AF130" s="383"/>
      <c r="AG130" s="383"/>
      <c r="AH130" s="383" t="s">
        <v>57</v>
      </c>
      <c r="AI130" s="383" t="s">
        <v>4442</v>
      </c>
      <c r="AJ130" s="383" t="s">
        <v>4443</v>
      </c>
      <c r="AK130" s="383" t="str">
        <f>_xlfn.XLOOKUP(C130,'[9]Vehicle Fleet Detail'!$A$5:$A$314,'[9]Vehicle Fleet Detail'!$C$5:$C$314,_xlfn.XLOOKUP(D130,'[9]Vehicle Fleet Detail'!$A$5:$A$314,'[9]Vehicle Fleet Detail'!$C$5:$C$314))</f>
        <v>879</v>
      </c>
      <c r="AL130" s="414" t="str">
        <f>_xlfn.XLOOKUP(C130,'[9]Vehicle Fleet Detail'!$A$5:$A$314,'[9]Vehicle Fleet Detail'!$B$5:$B$314,_xlfn.XLOOKUP(D130,'[9]Vehicle Fleet Detail'!$A$5:$A$314,'[9]Vehicle Fleet Detail'!$B$5:$B$314))</f>
        <v>Automated</v>
      </c>
      <c r="AM130" s="414" t="s">
        <v>3939</v>
      </c>
      <c r="AN130" s="393">
        <f t="shared" si="23"/>
        <v>1</v>
      </c>
      <c r="AO130" s="393">
        <f t="shared" si="24"/>
        <v>2024</v>
      </c>
      <c r="AP130" s="394">
        <f t="shared" si="25"/>
        <v>2034</v>
      </c>
      <c r="AQ130" s="395">
        <f t="shared" si="26"/>
        <v>2034.0833333333333</v>
      </c>
      <c r="AR130" s="396">
        <f t="shared" si="27"/>
        <v>10.872333333333335</v>
      </c>
      <c r="AS130" s="397">
        <f t="shared" si="28"/>
        <v>130.46800000000002</v>
      </c>
      <c r="AT130" s="397">
        <f t="shared" si="29"/>
        <v>130.46800000000002</v>
      </c>
      <c r="AU130" s="397">
        <f t="shared" si="30"/>
        <v>32.616999999999734</v>
      </c>
      <c r="AV130" s="397">
        <f t="shared" si="31"/>
        <v>163.08499999999975</v>
      </c>
      <c r="AW130" s="398">
        <f t="shared" si="32"/>
        <v>1141.5950000000003</v>
      </c>
      <c r="AX130" s="386" t="s">
        <v>62</v>
      </c>
    </row>
    <row r="131" spans="2:50" ht="15.75" outlineLevel="1">
      <c r="B131" s="381">
        <v>2111</v>
      </c>
      <c r="C131" s="382">
        <v>400954</v>
      </c>
      <c r="D131" s="381">
        <v>319316</v>
      </c>
      <c r="E131" s="383" t="s">
        <v>4240</v>
      </c>
      <c r="F131" s="392" t="s">
        <v>4544</v>
      </c>
      <c r="G131" s="392"/>
      <c r="H131" s="392"/>
      <c r="I131" s="381">
        <v>1</v>
      </c>
      <c r="J131" s="383"/>
      <c r="K131" s="381">
        <v>0</v>
      </c>
      <c r="L131" s="383" t="s">
        <v>1554</v>
      </c>
      <c r="M131" s="383"/>
      <c r="N131" s="383" t="s">
        <v>4445</v>
      </c>
      <c r="O131" s="383" t="s">
        <v>4545</v>
      </c>
      <c r="P131" s="383" t="s">
        <v>4525</v>
      </c>
      <c r="Q131" s="383"/>
      <c r="R131" s="383"/>
      <c r="S131" s="384">
        <v>45293</v>
      </c>
      <c r="T131" s="384">
        <v>45293</v>
      </c>
      <c r="U131" s="383" t="s">
        <v>4300</v>
      </c>
      <c r="V131" s="381">
        <v>1000</v>
      </c>
      <c r="W131" s="381">
        <v>14040</v>
      </c>
      <c r="X131" s="385">
        <v>942.7</v>
      </c>
      <c r="Y131" s="381">
        <v>14046</v>
      </c>
      <c r="Z131" s="385">
        <v>70.739999999999995</v>
      </c>
      <c r="AA131" s="385">
        <f t="shared" si="22"/>
        <v>871.96</v>
      </c>
      <c r="AB131" s="385">
        <v>70.739999999999995</v>
      </c>
      <c r="AC131" s="381">
        <v>51260</v>
      </c>
      <c r="AD131" s="385">
        <v>7.86</v>
      </c>
      <c r="AE131" s="381" t="s">
        <v>944</v>
      </c>
      <c r="AF131" s="383"/>
      <c r="AG131" s="383"/>
      <c r="AH131" s="383" t="s">
        <v>57</v>
      </c>
      <c r="AI131" s="383" t="s">
        <v>4442</v>
      </c>
      <c r="AJ131" s="383" t="s">
        <v>4443</v>
      </c>
      <c r="AK131" s="383" t="str">
        <f>_xlfn.XLOOKUP(C131,'[9]Vehicle Fleet Detail'!$A$5:$A$314,'[9]Vehicle Fleet Detail'!$C$5:$C$314,_xlfn.XLOOKUP(D131,'[9]Vehicle Fleet Detail'!$A$5:$A$314,'[9]Vehicle Fleet Detail'!$C$5:$C$314))</f>
        <v>879</v>
      </c>
      <c r="AL131" s="414" t="str">
        <f>_xlfn.XLOOKUP(C131,'[9]Vehicle Fleet Detail'!$A$5:$A$314,'[9]Vehicle Fleet Detail'!$B$5:$B$314,_xlfn.XLOOKUP(D131,'[9]Vehicle Fleet Detail'!$A$5:$A$314,'[9]Vehicle Fleet Detail'!$B$5:$B$314))</f>
        <v>Automated</v>
      </c>
      <c r="AM131" s="414" t="s">
        <v>3939</v>
      </c>
      <c r="AN131" s="393">
        <f t="shared" si="23"/>
        <v>1</v>
      </c>
      <c r="AO131" s="393">
        <f t="shared" si="24"/>
        <v>2024</v>
      </c>
      <c r="AP131" s="394">
        <f t="shared" si="25"/>
        <v>2034</v>
      </c>
      <c r="AQ131" s="395">
        <f t="shared" si="26"/>
        <v>2034.0833333333333</v>
      </c>
      <c r="AR131" s="396">
        <f t="shared" si="27"/>
        <v>7.8558333333333339</v>
      </c>
      <c r="AS131" s="397">
        <f t="shared" si="28"/>
        <v>94.27000000000001</v>
      </c>
      <c r="AT131" s="397">
        <f t="shared" si="29"/>
        <v>94.27000000000001</v>
      </c>
      <c r="AU131" s="397">
        <f t="shared" si="30"/>
        <v>23.567499999999995</v>
      </c>
      <c r="AV131" s="397">
        <f t="shared" si="31"/>
        <v>117.83750000000001</v>
      </c>
      <c r="AW131" s="398">
        <f t="shared" si="32"/>
        <v>824.86250000000007</v>
      </c>
      <c r="AX131" s="386" t="s">
        <v>62</v>
      </c>
    </row>
    <row r="132" spans="2:50" ht="15.75" outlineLevel="1">
      <c r="B132" s="381">
        <v>2111</v>
      </c>
      <c r="C132" s="382">
        <v>400953</v>
      </c>
      <c r="D132" s="381">
        <v>319564</v>
      </c>
      <c r="E132" s="383" t="s">
        <v>4240</v>
      </c>
      <c r="F132" s="392" t="s">
        <v>4557</v>
      </c>
      <c r="G132" s="392"/>
      <c r="H132" s="392"/>
      <c r="I132" s="381">
        <v>1</v>
      </c>
      <c r="J132" s="383"/>
      <c r="K132" s="381">
        <v>0</v>
      </c>
      <c r="L132" s="383" t="s">
        <v>4344</v>
      </c>
      <c r="M132" s="383"/>
      <c r="N132" s="383" t="s">
        <v>4445</v>
      </c>
      <c r="O132" s="383" t="s">
        <v>4545</v>
      </c>
      <c r="P132" s="383" t="s">
        <v>4525</v>
      </c>
      <c r="Q132" s="383"/>
      <c r="R132" s="383"/>
      <c r="S132" s="384">
        <v>45293</v>
      </c>
      <c r="T132" s="384">
        <v>45293</v>
      </c>
      <c r="U132" s="383" t="s">
        <v>4292</v>
      </c>
      <c r="V132" s="381">
        <v>1000</v>
      </c>
      <c r="W132" s="381">
        <v>14040</v>
      </c>
      <c r="X132" s="385">
        <v>1304.69</v>
      </c>
      <c r="Y132" s="381">
        <v>14046</v>
      </c>
      <c r="Z132" s="385">
        <v>97.83</v>
      </c>
      <c r="AA132" s="385">
        <f t="shared" si="22"/>
        <v>1206.8600000000001</v>
      </c>
      <c r="AB132" s="385">
        <v>97.83</v>
      </c>
      <c r="AC132" s="381">
        <v>51260</v>
      </c>
      <c r="AD132" s="385">
        <v>10.87</v>
      </c>
      <c r="AE132" s="381" t="s">
        <v>944</v>
      </c>
      <c r="AF132" s="383"/>
      <c r="AG132" s="383"/>
      <c r="AH132" s="383" t="s">
        <v>57</v>
      </c>
      <c r="AI132" s="383" t="s">
        <v>4442</v>
      </c>
      <c r="AJ132" s="383" t="s">
        <v>4443</v>
      </c>
      <c r="AK132" s="383" t="str">
        <f>_xlfn.XLOOKUP(C132,'[9]Vehicle Fleet Detail'!$A$5:$A$314,'[9]Vehicle Fleet Detail'!$C$5:$C$314,_xlfn.XLOOKUP(D132,'[9]Vehicle Fleet Detail'!$A$5:$A$314,'[9]Vehicle Fleet Detail'!$C$5:$C$314))</f>
        <v>881</v>
      </c>
      <c r="AL132" s="414" t="str">
        <f>_xlfn.XLOOKUP(C132,'[9]Vehicle Fleet Detail'!$A$5:$A$314,'[9]Vehicle Fleet Detail'!$B$5:$B$314,_xlfn.XLOOKUP(D132,'[9]Vehicle Fleet Detail'!$A$5:$A$314,'[9]Vehicle Fleet Detail'!$B$5:$B$314))</f>
        <v>Automated</v>
      </c>
      <c r="AM132" s="414" t="s">
        <v>3939</v>
      </c>
      <c r="AN132" s="393">
        <f t="shared" si="23"/>
        <v>1</v>
      </c>
      <c r="AO132" s="393">
        <f t="shared" si="24"/>
        <v>2024</v>
      </c>
      <c r="AP132" s="394">
        <f t="shared" si="25"/>
        <v>2034</v>
      </c>
      <c r="AQ132" s="395">
        <f t="shared" si="26"/>
        <v>2034.0833333333333</v>
      </c>
      <c r="AR132" s="396">
        <f t="shared" si="27"/>
        <v>10.872416666666666</v>
      </c>
      <c r="AS132" s="397">
        <f t="shared" si="28"/>
        <v>130.46899999999999</v>
      </c>
      <c r="AT132" s="397">
        <f t="shared" si="29"/>
        <v>130.46899999999999</v>
      </c>
      <c r="AU132" s="397">
        <f t="shared" si="30"/>
        <v>32.617250000000013</v>
      </c>
      <c r="AV132" s="397">
        <f t="shared" si="31"/>
        <v>163.08625000000001</v>
      </c>
      <c r="AW132" s="398">
        <f t="shared" si="32"/>
        <v>1141.60375</v>
      </c>
      <c r="AX132" s="386" t="s">
        <v>62</v>
      </c>
    </row>
    <row r="133" spans="2:50" ht="15.75" outlineLevel="1">
      <c r="B133" s="381">
        <v>2111</v>
      </c>
      <c r="C133" s="382">
        <v>400952</v>
      </c>
      <c r="D133" s="381">
        <v>319562</v>
      </c>
      <c r="E133" s="383" t="s">
        <v>4240</v>
      </c>
      <c r="F133" s="392" t="s">
        <v>4554</v>
      </c>
      <c r="G133" s="392"/>
      <c r="H133" s="392"/>
      <c r="I133" s="381">
        <v>1</v>
      </c>
      <c r="J133" s="383"/>
      <c r="K133" s="381">
        <v>0</v>
      </c>
      <c r="L133" s="383" t="s">
        <v>4344</v>
      </c>
      <c r="M133" s="383"/>
      <c r="N133" s="383" t="s">
        <v>4445</v>
      </c>
      <c r="O133" s="383" t="s">
        <v>4545</v>
      </c>
      <c r="P133" s="383" t="s">
        <v>4525</v>
      </c>
      <c r="Q133" s="383"/>
      <c r="R133" s="383"/>
      <c r="S133" s="384">
        <v>45293</v>
      </c>
      <c r="T133" s="384">
        <v>45293</v>
      </c>
      <c r="U133" s="383" t="s">
        <v>4294</v>
      </c>
      <c r="V133" s="381">
        <v>1000</v>
      </c>
      <c r="W133" s="381">
        <v>14040</v>
      </c>
      <c r="X133" s="385">
        <v>1304.68</v>
      </c>
      <c r="Y133" s="381">
        <v>14046</v>
      </c>
      <c r="Z133" s="385">
        <v>97.83</v>
      </c>
      <c r="AA133" s="385">
        <f t="shared" si="22"/>
        <v>1206.8500000000001</v>
      </c>
      <c r="AB133" s="385">
        <v>97.83</v>
      </c>
      <c r="AC133" s="381">
        <v>51260</v>
      </c>
      <c r="AD133" s="385">
        <v>10.87</v>
      </c>
      <c r="AE133" s="381" t="s">
        <v>944</v>
      </c>
      <c r="AF133" s="383"/>
      <c r="AG133" s="383"/>
      <c r="AH133" s="383" t="s">
        <v>57</v>
      </c>
      <c r="AI133" s="383" t="s">
        <v>4442</v>
      </c>
      <c r="AJ133" s="383" t="s">
        <v>4443</v>
      </c>
      <c r="AK133" s="383" t="str">
        <f>_xlfn.XLOOKUP(C133,'[9]Vehicle Fleet Detail'!$A$5:$A$314,'[9]Vehicle Fleet Detail'!$C$5:$C$314,_xlfn.XLOOKUP(D133,'[9]Vehicle Fleet Detail'!$A$5:$A$314,'[9]Vehicle Fleet Detail'!$C$5:$C$314))</f>
        <v>877</v>
      </c>
      <c r="AL133" s="414" t="str">
        <f>_xlfn.XLOOKUP(C133,'[9]Vehicle Fleet Detail'!$A$5:$A$314,'[9]Vehicle Fleet Detail'!$B$5:$B$314,_xlfn.XLOOKUP(D133,'[9]Vehicle Fleet Detail'!$A$5:$A$314,'[9]Vehicle Fleet Detail'!$B$5:$B$314))</f>
        <v>Automated</v>
      </c>
      <c r="AM133" s="414" t="s">
        <v>3939</v>
      </c>
      <c r="AN133" s="393">
        <f t="shared" si="23"/>
        <v>1</v>
      </c>
      <c r="AO133" s="393">
        <f t="shared" si="24"/>
        <v>2024</v>
      </c>
      <c r="AP133" s="394">
        <f t="shared" si="25"/>
        <v>2034</v>
      </c>
      <c r="AQ133" s="395">
        <f t="shared" si="26"/>
        <v>2034.0833333333333</v>
      </c>
      <c r="AR133" s="396">
        <f t="shared" si="27"/>
        <v>10.872333333333335</v>
      </c>
      <c r="AS133" s="397">
        <f t="shared" si="28"/>
        <v>130.46800000000002</v>
      </c>
      <c r="AT133" s="397">
        <f t="shared" si="29"/>
        <v>130.46800000000002</v>
      </c>
      <c r="AU133" s="397">
        <f t="shared" si="30"/>
        <v>32.616999999999734</v>
      </c>
      <c r="AV133" s="397">
        <f t="shared" si="31"/>
        <v>163.08499999999975</v>
      </c>
      <c r="AW133" s="398">
        <f t="shared" si="32"/>
        <v>1141.5950000000003</v>
      </c>
      <c r="AX133" s="386" t="s">
        <v>62</v>
      </c>
    </row>
    <row r="134" spans="2:50" ht="15.75" outlineLevel="1">
      <c r="B134" s="381">
        <v>2111</v>
      </c>
      <c r="C134" s="382">
        <v>400951</v>
      </c>
      <c r="D134" s="381">
        <v>319317</v>
      </c>
      <c r="E134" s="383" t="s">
        <v>4240</v>
      </c>
      <c r="F134" s="392" t="s">
        <v>4549</v>
      </c>
      <c r="G134" s="392"/>
      <c r="H134" s="392"/>
      <c r="I134" s="381">
        <v>1</v>
      </c>
      <c r="J134" s="383"/>
      <c r="K134" s="381">
        <v>0</v>
      </c>
      <c r="L134" s="383" t="s">
        <v>1554</v>
      </c>
      <c r="M134" s="383"/>
      <c r="N134" s="383" t="s">
        <v>4445</v>
      </c>
      <c r="O134" s="383" t="s">
        <v>4548</v>
      </c>
      <c r="P134" s="383" t="s">
        <v>4525</v>
      </c>
      <c r="Q134" s="383"/>
      <c r="R134" s="383"/>
      <c r="S134" s="384">
        <v>45293</v>
      </c>
      <c r="T134" s="384">
        <v>45293</v>
      </c>
      <c r="U134" s="383" t="s">
        <v>4310</v>
      </c>
      <c r="V134" s="381">
        <v>1000</v>
      </c>
      <c r="W134" s="381">
        <v>14040</v>
      </c>
      <c r="X134" s="385">
        <v>1148.71</v>
      </c>
      <c r="Y134" s="381">
        <v>14046</v>
      </c>
      <c r="Z134" s="385">
        <v>86.13</v>
      </c>
      <c r="AA134" s="385">
        <f t="shared" si="22"/>
        <v>1062.58</v>
      </c>
      <c r="AB134" s="385">
        <v>86.13</v>
      </c>
      <c r="AC134" s="381">
        <v>51260</v>
      </c>
      <c r="AD134" s="385">
        <v>9.57</v>
      </c>
      <c r="AE134" s="381" t="s">
        <v>944</v>
      </c>
      <c r="AF134" s="383"/>
      <c r="AG134" s="383"/>
      <c r="AH134" s="383" t="s">
        <v>57</v>
      </c>
      <c r="AI134" s="383" t="s">
        <v>4442</v>
      </c>
      <c r="AJ134" s="383" t="s">
        <v>4443</v>
      </c>
      <c r="AK134" s="383" t="str">
        <f>_xlfn.XLOOKUP(C134,'[9]Vehicle Fleet Detail'!$A$5:$A$314,'[9]Vehicle Fleet Detail'!$C$5:$C$314,_xlfn.XLOOKUP(D134,'[9]Vehicle Fleet Detail'!$A$5:$A$314,'[9]Vehicle Fleet Detail'!$C$5:$C$314))</f>
        <v>453</v>
      </c>
      <c r="AL134" s="414" t="str">
        <f>_xlfn.XLOOKUP(C134,'[9]Vehicle Fleet Detail'!$A$5:$A$314,'[9]Vehicle Fleet Detail'!$B$5:$B$314,_xlfn.XLOOKUP(D134,'[9]Vehicle Fleet Detail'!$A$5:$A$314,'[9]Vehicle Fleet Detail'!$B$5:$B$314))</f>
        <v>Roll Off</v>
      </c>
      <c r="AM134" s="414" t="s">
        <v>126</v>
      </c>
      <c r="AN134" s="393">
        <f t="shared" si="23"/>
        <v>1</v>
      </c>
      <c r="AO134" s="393">
        <f t="shared" si="24"/>
        <v>2024</v>
      </c>
      <c r="AP134" s="394">
        <f t="shared" si="25"/>
        <v>2034</v>
      </c>
      <c r="AQ134" s="395">
        <f t="shared" si="26"/>
        <v>2034.0833333333333</v>
      </c>
      <c r="AR134" s="396">
        <f t="shared" si="27"/>
        <v>9.5725833333333341</v>
      </c>
      <c r="AS134" s="397">
        <f t="shared" si="28"/>
        <v>114.87100000000001</v>
      </c>
      <c r="AT134" s="397">
        <f t="shared" si="29"/>
        <v>114.87100000000001</v>
      </c>
      <c r="AU134" s="397">
        <f t="shared" si="30"/>
        <v>28.717750000000024</v>
      </c>
      <c r="AV134" s="397">
        <f t="shared" si="31"/>
        <v>143.58875000000003</v>
      </c>
      <c r="AW134" s="398">
        <f t="shared" si="32"/>
        <v>1005.12125</v>
      </c>
      <c r="AX134" s="386" t="s">
        <v>62</v>
      </c>
    </row>
    <row r="135" spans="2:50" ht="15.75" outlineLevel="1">
      <c r="B135" s="381">
        <v>2111</v>
      </c>
      <c r="C135" s="382">
        <v>400531</v>
      </c>
      <c r="D135" s="381" t="s">
        <v>944</v>
      </c>
      <c r="E135" s="383" t="s">
        <v>4240</v>
      </c>
      <c r="F135" s="392" t="s">
        <v>4574</v>
      </c>
      <c r="G135" s="392"/>
      <c r="H135" s="392"/>
      <c r="I135" s="381">
        <v>1</v>
      </c>
      <c r="J135" s="383" t="s">
        <v>4581</v>
      </c>
      <c r="K135" s="381">
        <v>2024</v>
      </c>
      <c r="L135" s="383" t="s">
        <v>4576</v>
      </c>
      <c r="M135" s="383" t="s">
        <v>2961</v>
      </c>
      <c r="N135" s="383" t="s">
        <v>4445</v>
      </c>
      <c r="O135" s="383" t="s">
        <v>4577</v>
      </c>
      <c r="P135" s="383" t="s">
        <v>4497</v>
      </c>
      <c r="Q135" s="383"/>
      <c r="R135" s="383"/>
      <c r="S135" s="384">
        <v>45293</v>
      </c>
      <c r="T135" s="384">
        <v>45293</v>
      </c>
      <c r="U135" s="383" t="s">
        <v>4582</v>
      </c>
      <c r="V135" s="381">
        <v>700</v>
      </c>
      <c r="W135" s="381">
        <v>14040</v>
      </c>
      <c r="X135" s="385">
        <v>197630.38</v>
      </c>
      <c r="Y135" s="381">
        <v>14046</v>
      </c>
      <c r="Z135" s="385">
        <v>21174.66</v>
      </c>
      <c r="AA135" s="385">
        <f t="shared" si="22"/>
        <v>176455.72</v>
      </c>
      <c r="AB135" s="385">
        <v>21174.66</v>
      </c>
      <c r="AC135" s="381">
        <v>51260</v>
      </c>
      <c r="AD135" s="385">
        <v>2352.7399999999998</v>
      </c>
      <c r="AE135" s="381" t="s">
        <v>944</v>
      </c>
      <c r="AF135" s="383"/>
      <c r="AG135" s="383"/>
      <c r="AH135" s="383" t="s">
        <v>57</v>
      </c>
      <c r="AI135" s="383" t="s">
        <v>4442</v>
      </c>
      <c r="AJ135" s="383" t="s">
        <v>4443</v>
      </c>
      <c r="AK135" s="383" t="s">
        <v>4437</v>
      </c>
      <c r="AL135" s="414"/>
      <c r="AM135" s="414" t="s">
        <v>1316</v>
      </c>
      <c r="AN135" s="393">
        <f t="shared" si="23"/>
        <v>1</v>
      </c>
      <c r="AO135" s="393">
        <f t="shared" si="24"/>
        <v>2024</v>
      </c>
      <c r="AP135" s="394">
        <f t="shared" si="25"/>
        <v>2031</v>
      </c>
      <c r="AQ135" s="395">
        <f t="shared" si="26"/>
        <v>2031.0833333333333</v>
      </c>
      <c r="AR135" s="396">
        <f t="shared" si="27"/>
        <v>2352.742619047619</v>
      </c>
      <c r="AS135" s="397">
        <f t="shared" si="28"/>
        <v>28232.911428571428</v>
      </c>
      <c r="AT135" s="397">
        <f t="shared" si="29"/>
        <v>28232.911428571428</v>
      </c>
      <c r="AU135" s="397">
        <f t="shared" si="30"/>
        <v>7058.2278571428615</v>
      </c>
      <c r="AV135" s="397">
        <f t="shared" si="31"/>
        <v>35291.139285714293</v>
      </c>
      <c r="AW135" s="398">
        <f t="shared" si="32"/>
        <v>162339.2407142857</v>
      </c>
      <c r="AX135" s="386" t="s">
        <v>62</v>
      </c>
    </row>
    <row r="136" spans="2:50" ht="15.75" outlineLevel="1">
      <c r="B136" s="381">
        <v>2111</v>
      </c>
      <c r="C136" s="382">
        <v>400530</v>
      </c>
      <c r="D136" s="381" t="s">
        <v>944</v>
      </c>
      <c r="E136" s="383" t="s">
        <v>4240</v>
      </c>
      <c r="F136" s="392" t="s">
        <v>4574</v>
      </c>
      <c r="G136" s="392"/>
      <c r="H136" s="392"/>
      <c r="I136" s="381">
        <v>1</v>
      </c>
      <c r="J136" s="383" t="s">
        <v>4575</v>
      </c>
      <c r="K136" s="381">
        <v>2024</v>
      </c>
      <c r="L136" s="383" t="s">
        <v>4576</v>
      </c>
      <c r="M136" s="383" t="s">
        <v>2961</v>
      </c>
      <c r="N136" s="383" t="s">
        <v>4445</v>
      </c>
      <c r="O136" s="383" t="s">
        <v>4577</v>
      </c>
      <c r="P136" s="383" t="s">
        <v>4497</v>
      </c>
      <c r="Q136" s="383"/>
      <c r="R136" s="383"/>
      <c r="S136" s="384">
        <v>45293</v>
      </c>
      <c r="T136" s="384">
        <v>45293</v>
      </c>
      <c r="U136" s="383" t="s">
        <v>4578</v>
      </c>
      <c r="V136" s="381">
        <v>700</v>
      </c>
      <c r="W136" s="381">
        <v>14040</v>
      </c>
      <c r="X136" s="385">
        <v>197630.38</v>
      </c>
      <c r="Y136" s="381">
        <v>14046</v>
      </c>
      <c r="Z136" s="385">
        <v>21174.66</v>
      </c>
      <c r="AA136" s="385">
        <f t="shared" si="22"/>
        <v>176455.72</v>
      </c>
      <c r="AB136" s="385">
        <v>21174.66</v>
      </c>
      <c r="AC136" s="381">
        <v>51260</v>
      </c>
      <c r="AD136" s="385">
        <v>2352.7399999999998</v>
      </c>
      <c r="AE136" s="381" t="s">
        <v>944</v>
      </c>
      <c r="AF136" s="383"/>
      <c r="AG136" s="383"/>
      <c r="AH136" s="383" t="s">
        <v>57</v>
      </c>
      <c r="AI136" s="383" t="s">
        <v>4442</v>
      </c>
      <c r="AJ136" s="383" t="s">
        <v>4443</v>
      </c>
      <c r="AK136" s="383" t="s">
        <v>4653</v>
      </c>
      <c r="AL136" s="414" t="s">
        <v>1582</v>
      </c>
      <c r="AM136" s="414" t="s">
        <v>1316</v>
      </c>
      <c r="AN136" s="393">
        <f t="shared" si="23"/>
        <v>1</v>
      </c>
      <c r="AO136" s="393">
        <f t="shared" si="24"/>
        <v>2024</v>
      </c>
      <c r="AP136" s="394">
        <f t="shared" si="25"/>
        <v>2031</v>
      </c>
      <c r="AQ136" s="395">
        <f t="shared" si="26"/>
        <v>2031.0833333333333</v>
      </c>
      <c r="AR136" s="396">
        <f t="shared" si="27"/>
        <v>2352.742619047619</v>
      </c>
      <c r="AS136" s="397">
        <f t="shared" si="28"/>
        <v>28232.911428571428</v>
      </c>
      <c r="AT136" s="397">
        <f t="shared" si="29"/>
        <v>28232.911428571428</v>
      </c>
      <c r="AU136" s="397">
        <f t="shared" si="30"/>
        <v>7058.2278571428615</v>
      </c>
      <c r="AV136" s="397">
        <f t="shared" si="31"/>
        <v>35291.139285714293</v>
      </c>
      <c r="AW136" s="398">
        <f t="shared" si="32"/>
        <v>162339.2407142857</v>
      </c>
      <c r="AX136" s="386" t="s">
        <v>62</v>
      </c>
    </row>
    <row r="137" spans="2:50" ht="15.75" outlineLevel="1">
      <c r="B137" s="381">
        <v>2111</v>
      </c>
      <c r="C137" s="382">
        <v>400529</v>
      </c>
      <c r="D137" s="381">
        <v>302420</v>
      </c>
      <c r="E137" s="383" t="s">
        <v>4240</v>
      </c>
      <c r="F137" s="392" t="s">
        <v>4523</v>
      </c>
      <c r="G137" s="392"/>
      <c r="H137" s="392"/>
      <c r="I137" s="381">
        <v>1</v>
      </c>
      <c r="J137" s="383"/>
      <c r="K137" s="381">
        <v>0</v>
      </c>
      <c r="L137" s="383" t="s">
        <v>4291</v>
      </c>
      <c r="M137" s="383"/>
      <c r="N137" s="383" t="s">
        <v>4445</v>
      </c>
      <c r="O137" s="383" t="s">
        <v>4524</v>
      </c>
      <c r="P137" s="383" t="s">
        <v>4525</v>
      </c>
      <c r="Q137" s="383"/>
      <c r="R137" s="383"/>
      <c r="S137" s="384">
        <v>45293</v>
      </c>
      <c r="T137" s="384">
        <v>45293</v>
      </c>
      <c r="U137" s="383" t="s">
        <v>4526</v>
      </c>
      <c r="V137" s="381">
        <v>300</v>
      </c>
      <c r="W137" s="381">
        <v>14040</v>
      </c>
      <c r="X137" s="385">
        <v>16507.23</v>
      </c>
      <c r="Y137" s="381">
        <v>14046</v>
      </c>
      <c r="Z137" s="385">
        <v>4126.7700000000004</v>
      </c>
      <c r="AA137" s="385">
        <f t="shared" si="22"/>
        <v>12380.46</v>
      </c>
      <c r="AB137" s="385">
        <v>4126.7700000000004</v>
      </c>
      <c r="AC137" s="381">
        <v>51260</v>
      </c>
      <c r="AD137" s="385">
        <v>458.53</v>
      </c>
      <c r="AE137" s="381" t="s">
        <v>944</v>
      </c>
      <c r="AF137" s="383"/>
      <c r="AG137" s="383"/>
      <c r="AH137" s="383" t="s">
        <v>57</v>
      </c>
      <c r="AI137" s="383" t="s">
        <v>4442</v>
      </c>
      <c r="AJ137" s="383" t="s">
        <v>4443</v>
      </c>
      <c r="AK137" s="383" t="str">
        <f>_xlfn.XLOOKUP(C137,'[9]Vehicle Fleet Detail'!$A$5:$A$314,'[9]Vehicle Fleet Detail'!$C$5:$C$314,_xlfn.XLOOKUP(D137,'[9]Vehicle Fleet Detail'!$A$5:$A$314,'[9]Vehicle Fleet Detail'!$C$5:$C$314))</f>
        <v>159</v>
      </c>
      <c r="AL137" s="414" t="str">
        <f>_xlfn.XLOOKUP(C137,'[9]Vehicle Fleet Detail'!$A$5:$A$314,'[9]Vehicle Fleet Detail'!$B$5:$B$314,_xlfn.XLOOKUP(D137,'[9]Vehicle Fleet Detail'!$A$5:$A$314,'[9]Vehicle Fleet Detail'!$B$5:$B$314))</f>
        <v>Tractor</v>
      </c>
      <c r="AM137" s="414" t="s">
        <v>1316</v>
      </c>
      <c r="AN137" s="393">
        <f t="shared" si="23"/>
        <v>1</v>
      </c>
      <c r="AO137" s="393">
        <f t="shared" si="24"/>
        <v>2024</v>
      </c>
      <c r="AP137" s="394">
        <f t="shared" si="25"/>
        <v>2027</v>
      </c>
      <c r="AQ137" s="395">
        <f t="shared" si="26"/>
        <v>2027.0833333333333</v>
      </c>
      <c r="AR137" s="396">
        <f t="shared" si="27"/>
        <v>458.53416666666664</v>
      </c>
      <c r="AS137" s="397">
        <f t="shared" si="28"/>
        <v>5502.41</v>
      </c>
      <c r="AT137" s="397">
        <f t="shared" si="29"/>
        <v>5502.41</v>
      </c>
      <c r="AU137" s="397">
        <f t="shared" si="30"/>
        <v>1375.6025000000009</v>
      </c>
      <c r="AV137" s="397">
        <f t="shared" si="31"/>
        <v>6878.0125000000007</v>
      </c>
      <c r="AW137" s="398">
        <f t="shared" si="32"/>
        <v>9629.2174999999988</v>
      </c>
      <c r="AX137" s="386" t="s">
        <v>62</v>
      </c>
    </row>
    <row r="138" spans="2:50" ht="15.75" outlineLevel="1">
      <c r="B138" s="381">
        <v>2111</v>
      </c>
      <c r="C138" s="382">
        <v>400521</v>
      </c>
      <c r="D138" s="381">
        <v>319317</v>
      </c>
      <c r="E138" s="383" t="s">
        <v>4240</v>
      </c>
      <c r="F138" s="392" t="s">
        <v>4547</v>
      </c>
      <c r="G138" s="392"/>
      <c r="H138" s="392"/>
      <c r="I138" s="381">
        <v>1</v>
      </c>
      <c r="J138" s="383" t="s">
        <v>4309</v>
      </c>
      <c r="K138" s="381">
        <v>2024</v>
      </c>
      <c r="L138" s="383" t="s">
        <v>4291</v>
      </c>
      <c r="M138" s="383" t="s">
        <v>1483</v>
      </c>
      <c r="N138" s="383" t="s">
        <v>4445</v>
      </c>
      <c r="O138" s="383" t="s">
        <v>4548</v>
      </c>
      <c r="P138" s="383" t="s">
        <v>1004</v>
      </c>
      <c r="Q138" s="383"/>
      <c r="R138" s="383"/>
      <c r="S138" s="384">
        <v>45293</v>
      </c>
      <c r="T138" s="384">
        <v>45293</v>
      </c>
      <c r="U138" s="383" t="s">
        <v>4310</v>
      </c>
      <c r="V138" s="381">
        <v>1000</v>
      </c>
      <c r="W138" s="381">
        <v>14040</v>
      </c>
      <c r="X138" s="385">
        <v>106334.58</v>
      </c>
      <c r="Y138" s="381">
        <v>14046</v>
      </c>
      <c r="Z138" s="385">
        <v>7975.08</v>
      </c>
      <c r="AA138" s="385">
        <f t="shared" si="22"/>
        <v>98359.5</v>
      </c>
      <c r="AB138" s="385">
        <v>7975.08</v>
      </c>
      <c r="AC138" s="381">
        <v>51260</v>
      </c>
      <c r="AD138" s="385">
        <v>886.12</v>
      </c>
      <c r="AE138" s="381" t="s">
        <v>944</v>
      </c>
      <c r="AF138" s="383"/>
      <c r="AG138" s="383"/>
      <c r="AH138" s="383" t="s">
        <v>57</v>
      </c>
      <c r="AI138" s="383" t="s">
        <v>4442</v>
      </c>
      <c r="AJ138" s="383" t="s">
        <v>4443</v>
      </c>
      <c r="AK138" s="383" t="str">
        <f>_xlfn.XLOOKUP(C138,'[9]Vehicle Fleet Detail'!$A$5:$A$314,'[9]Vehicle Fleet Detail'!$C$5:$C$314,_xlfn.XLOOKUP(D138,'[9]Vehicle Fleet Detail'!$A$5:$A$314,'[9]Vehicle Fleet Detail'!$C$5:$C$314))</f>
        <v>453</v>
      </c>
      <c r="AL138" s="414" t="str">
        <f>_xlfn.XLOOKUP(C138,'[9]Vehicle Fleet Detail'!$A$5:$A$314,'[9]Vehicle Fleet Detail'!$B$5:$B$314,_xlfn.XLOOKUP(D138,'[9]Vehicle Fleet Detail'!$A$5:$A$314,'[9]Vehicle Fleet Detail'!$B$5:$B$314))</f>
        <v>Roll Off</v>
      </c>
      <c r="AM138" s="414" t="s">
        <v>126</v>
      </c>
      <c r="AN138" s="393">
        <f t="shared" si="23"/>
        <v>1</v>
      </c>
      <c r="AO138" s="393">
        <f t="shared" si="24"/>
        <v>2024</v>
      </c>
      <c r="AP138" s="394">
        <f t="shared" si="25"/>
        <v>2034</v>
      </c>
      <c r="AQ138" s="395">
        <f t="shared" si="26"/>
        <v>2034.0833333333333</v>
      </c>
      <c r="AR138" s="396">
        <f t="shared" si="27"/>
        <v>886.12150000000008</v>
      </c>
      <c r="AS138" s="397">
        <f t="shared" si="28"/>
        <v>10633.458000000001</v>
      </c>
      <c r="AT138" s="397">
        <f t="shared" si="29"/>
        <v>10633.458000000001</v>
      </c>
      <c r="AU138" s="397">
        <f t="shared" si="30"/>
        <v>2658.364499999996</v>
      </c>
      <c r="AV138" s="397">
        <f t="shared" si="31"/>
        <v>13291.822499999997</v>
      </c>
      <c r="AW138" s="398">
        <f t="shared" si="32"/>
        <v>93042.757500000007</v>
      </c>
      <c r="AX138" s="386" t="s">
        <v>62</v>
      </c>
    </row>
    <row r="139" spans="2:50" ht="15.75" outlineLevel="1">
      <c r="B139" s="381">
        <v>2111</v>
      </c>
      <c r="C139" s="382">
        <v>400423</v>
      </c>
      <c r="D139" s="381" t="s">
        <v>944</v>
      </c>
      <c r="E139" s="383" t="s">
        <v>4240</v>
      </c>
      <c r="F139" s="392" t="s">
        <v>4572</v>
      </c>
      <c r="G139" s="392"/>
      <c r="H139" s="392"/>
      <c r="I139" s="381">
        <v>1</v>
      </c>
      <c r="J139" s="383"/>
      <c r="K139" s="381">
        <v>0</v>
      </c>
      <c r="L139" s="383" t="s">
        <v>4573</v>
      </c>
      <c r="M139" s="383"/>
      <c r="N139" s="383" t="s">
        <v>4462</v>
      </c>
      <c r="O139" s="383" t="s">
        <v>2578</v>
      </c>
      <c r="P139" s="383"/>
      <c r="Q139" s="383"/>
      <c r="R139" s="383"/>
      <c r="S139" s="384">
        <v>45293</v>
      </c>
      <c r="T139" s="384">
        <v>45293</v>
      </c>
      <c r="U139" s="383" t="s">
        <v>4312</v>
      </c>
      <c r="V139" s="381">
        <v>1000</v>
      </c>
      <c r="W139" s="381">
        <v>14010</v>
      </c>
      <c r="X139" s="385">
        <v>11560.5</v>
      </c>
      <c r="Y139" s="381">
        <v>14016</v>
      </c>
      <c r="Z139" s="385">
        <v>867.06</v>
      </c>
      <c r="AA139" s="385">
        <f t="shared" si="22"/>
        <v>10693.44</v>
      </c>
      <c r="AB139" s="385">
        <v>867.06</v>
      </c>
      <c r="AC139" s="381">
        <v>57260</v>
      </c>
      <c r="AD139" s="385">
        <v>96.34</v>
      </c>
      <c r="AE139" s="381" t="s">
        <v>944</v>
      </c>
      <c r="AF139" s="383"/>
      <c r="AG139" s="383"/>
      <c r="AH139" s="383" t="s">
        <v>57</v>
      </c>
      <c r="AI139" s="383" t="s">
        <v>4442</v>
      </c>
      <c r="AJ139" s="383" t="s">
        <v>4443</v>
      </c>
      <c r="AK139" s="383" t="s">
        <v>4437</v>
      </c>
      <c r="AL139" s="414"/>
      <c r="AM139" s="414" t="s">
        <v>250</v>
      </c>
      <c r="AN139" s="393">
        <f t="shared" si="23"/>
        <v>1</v>
      </c>
      <c r="AO139" s="393">
        <f t="shared" si="24"/>
        <v>2024</v>
      </c>
      <c r="AP139" s="394">
        <f t="shared" si="25"/>
        <v>2034</v>
      </c>
      <c r="AQ139" s="395">
        <f t="shared" si="26"/>
        <v>2034.0833333333333</v>
      </c>
      <c r="AR139" s="396">
        <f t="shared" si="27"/>
        <v>96.337499999999991</v>
      </c>
      <c r="AS139" s="397">
        <f t="shared" si="28"/>
        <v>1156.05</v>
      </c>
      <c r="AT139" s="397">
        <f t="shared" si="29"/>
        <v>1156.05</v>
      </c>
      <c r="AU139" s="397">
        <f t="shared" si="30"/>
        <v>289.01250000000073</v>
      </c>
      <c r="AV139" s="397">
        <f t="shared" si="31"/>
        <v>1445.0625000000007</v>
      </c>
      <c r="AW139" s="398">
        <f t="shared" si="32"/>
        <v>10115.4375</v>
      </c>
      <c r="AX139" s="386" t="s">
        <v>62</v>
      </c>
    </row>
    <row r="140" spans="2:50" ht="15.75" outlineLevel="1">
      <c r="B140" s="381">
        <v>2111</v>
      </c>
      <c r="C140" s="382">
        <v>400287</v>
      </c>
      <c r="D140" s="381" t="s">
        <v>944</v>
      </c>
      <c r="E140" s="383" t="s">
        <v>4240</v>
      </c>
      <c r="F140" s="392" t="s">
        <v>4303</v>
      </c>
      <c r="G140" s="392"/>
      <c r="H140" s="392"/>
      <c r="I140" s="381">
        <v>1</v>
      </c>
      <c r="J140" s="383" t="s">
        <v>4566</v>
      </c>
      <c r="K140" s="381">
        <v>2024</v>
      </c>
      <c r="L140" s="383"/>
      <c r="M140" s="383"/>
      <c r="N140" s="383" t="s">
        <v>4445</v>
      </c>
      <c r="O140" s="383" t="s">
        <v>4441</v>
      </c>
      <c r="P140" s="383" t="s">
        <v>4482</v>
      </c>
      <c r="Q140" s="383"/>
      <c r="R140" s="383"/>
      <c r="S140" s="384">
        <v>45378</v>
      </c>
      <c r="T140" s="384">
        <v>45217</v>
      </c>
      <c r="U140" s="383" t="s">
        <v>4567</v>
      </c>
      <c r="V140" s="381">
        <v>1000</v>
      </c>
      <c r="W140" s="381">
        <v>14040</v>
      </c>
      <c r="X140" s="385">
        <v>228482.86</v>
      </c>
      <c r="Y140" s="381">
        <v>14046</v>
      </c>
      <c r="Z140" s="385">
        <v>11424.12</v>
      </c>
      <c r="AA140" s="385">
        <f t="shared" si="22"/>
        <v>217058.74</v>
      </c>
      <c r="AB140" s="385">
        <v>11424.12</v>
      </c>
      <c r="AC140" s="381">
        <v>51260</v>
      </c>
      <c r="AD140" s="385">
        <v>1904.02</v>
      </c>
      <c r="AE140" s="381" t="s">
        <v>944</v>
      </c>
      <c r="AF140" s="383"/>
      <c r="AG140" s="383"/>
      <c r="AH140" s="383" t="s">
        <v>57</v>
      </c>
      <c r="AI140" s="383" t="s">
        <v>4442</v>
      </c>
      <c r="AJ140" s="383" t="s">
        <v>4443</v>
      </c>
      <c r="AK140" s="383" t="s">
        <v>4652</v>
      </c>
      <c r="AL140" s="414" t="s">
        <v>4659</v>
      </c>
      <c r="AM140" s="414" t="s">
        <v>3939</v>
      </c>
      <c r="AN140" s="393">
        <f t="shared" si="23"/>
        <v>3</v>
      </c>
      <c r="AO140" s="393">
        <f t="shared" si="24"/>
        <v>2024</v>
      </c>
      <c r="AP140" s="394">
        <f t="shared" si="25"/>
        <v>2034</v>
      </c>
      <c r="AQ140" s="395">
        <f t="shared" si="26"/>
        <v>2034.25</v>
      </c>
      <c r="AR140" s="396">
        <f t="shared" si="27"/>
        <v>1904.0238333333334</v>
      </c>
      <c r="AS140" s="397">
        <f t="shared" si="28"/>
        <v>22848.286</v>
      </c>
      <c r="AT140" s="397">
        <f t="shared" si="29"/>
        <v>22848.286</v>
      </c>
      <c r="AU140" s="397">
        <f t="shared" si="30"/>
        <v>1904.0238333315647</v>
      </c>
      <c r="AV140" s="397">
        <f t="shared" si="31"/>
        <v>24752.309833331565</v>
      </c>
      <c r="AW140" s="398">
        <f t="shared" si="32"/>
        <v>203730.55016666843</v>
      </c>
      <c r="AX140" s="386" t="s">
        <v>62</v>
      </c>
    </row>
    <row r="141" spans="2:50" ht="15.75" outlineLevel="1">
      <c r="B141" s="381">
        <v>2111</v>
      </c>
      <c r="C141" s="382">
        <v>400176</v>
      </c>
      <c r="D141" s="381" t="s">
        <v>944</v>
      </c>
      <c r="E141" s="383" t="s">
        <v>4240</v>
      </c>
      <c r="F141" s="392" t="s">
        <v>4562</v>
      </c>
      <c r="G141" s="392"/>
      <c r="H141" s="392"/>
      <c r="I141" s="381">
        <v>1</v>
      </c>
      <c r="J141" s="383" t="s">
        <v>4563</v>
      </c>
      <c r="K141" s="381">
        <v>0</v>
      </c>
      <c r="L141" s="383" t="s">
        <v>4559</v>
      </c>
      <c r="M141" s="383"/>
      <c r="N141" s="383" t="s">
        <v>4445</v>
      </c>
      <c r="O141" s="383" t="s">
        <v>4545</v>
      </c>
      <c r="P141" s="383"/>
      <c r="Q141" s="383"/>
      <c r="R141" s="383"/>
      <c r="S141" s="384">
        <v>45330</v>
      </c>
      <c r="T141" s="384">
        <v>45119</v>
      </c>
      <c r="U141" s="383" t="s">
        <v>4564</v>
      </c>
      <c r="V141" s="381">
        <v>1000</v>
      </c>
      <c r="W141" s="381">
        <v>14040</v>
      </c>
      <c r="X141" s="385">
        <v>434790.87</v>
      </c>
      <c r="Y141" s="381">
        <v>14046</v>
      </c>
      <c r="Z141" s="385">
        <v>28986.080000000002</v>
      </c>
      <c r="AA141" s="385">
        <f t="shared" si="22"/>
        <v>405804.79</v>
      </c>
      <c r="AB141" s="385">
        <v>28986.080000000002</v>
      </c>
      <c r="AC141" s="381">
        <v>51260</v>
      </c>
      <c r="AD141" s="385">
        <v>3623.26</v>
      </c>
      <c r="AE141" s="381" t="s">
        <v>944</v>
      </c>
      <c r="AF141" s="383"/>
      <c r="AG141" s="383"/>
      <c r="AH141" s="383" t="s">
        <v>57</v>
      </c>
      <c r="AI141" s="383" t="s">
        <v>4442</v>
      </c>
      <c r="AJ141" s="383" t="s">
        <v>4443</v>
      </c>
      <c r="AK141" s="383" t="s">
        <v>4437</v>
      </c>
      <c r="AL141" s="414"/>
      <c r="AM141" s="414" t="s">
        <v>3939</v>
      </c>
      <c r="AN141" s="393">
        <f t="shared" si="23"/>
        <v>2</v>
      </c>
      <c r="AO141" s="393">
        <f t="shared" si="24"/>
        <v>2024</v>
      </c>
      <c r="AP141" s="394">
        <f t="shared" si="25"/>
        <v>2034</v>
      </c>
      <c r="AQ141" s="395">
        <f t="shared" si="26"/>
        <v>2034.1666666666667</v>
      </c>
      <c r="AR141" s="396">
        <f t="shared" si="27"/>
        <v>3623.2572500000001</v>
      </c>
      <c r="AS141" s="397">
        <f t="shared" si="28"/>
        <v>43479.087</v>
      </c>
      <c r="AT141" s="397">
        <f t="shared" si="29"/>
        <v>43479.087</v>
      </c>
      <c r="AU141" s="397">
        <f t="shared" si="30"/>
        <v>7246.5144999934128</v>
      </c>
      <c r="AV141" s="397">
        <f t="shared" si="31"/>
        <v>50725.601499993412</v>
      </c>
      <c r="AW141" s="398">
        <f t="shared" si="32"/>
        <v>384065.26850000658</v>
      </c>
      <c r="AX141" s="386" t="s">
        <v>62</v>
      </c>
    </row>
    <row r="142" spans="2:50" ht="15.75" outlineLevel="1">
      <c r="B142" s="381">
        <v>2111</v>
      </c>
      <c r="C142" s="382">
        <v>400146</v>
      </c>
      <c r="D142" s="381" t="s">
        <v>944</v>
      </c>
      <c r="E142" s="383" t="s">
        <v>4240</v>
      </c>
      <c r="F142" s="392" t="s">
        <v>4303</v>
      </c>
      <c r="G142" s="392"/>
      <c r="H142" s="392"/>
      <c r="I142" s="381">
        <v>1</v>
      </c>
      <c r="J142" s="383" t="s">
        <v>4558</v>
      </c>
      <c r="K142" s="381">
        <v>0</v>
      </c>
      <c r="L142" s="383" t="s">
        <v>4559</v>
      </c>
      <c r="M142" s="383"/>
      <c r="N142" s="383" t="s">
        <v>4445</v>
      </c>
      <c r="O142" s="383" t="s">
        <v>4441</v>
      </c>
      <c r="P142" s="383"/>
      <c r="Q142" s="383"/>
      <c r="R142" s="383"/>
      <c r="S142" s="384">
        <v>45302</v>
      </c>
      <c r="T142" s="384">
        <v>45083</v>
      </c>
      <c r="U142" s="383" t="s">
        <v>4560</v>
      </c>
      <c r="V142" s="381">
        <v>1000</v>
      </c>
      <c r="W142" s="381">
        <v>14040</v>
      </c>
      <c r="X142" s="385">
        <v>228483.05</v>
      </c>
      <c r="Y142" s="381">
        <v>14046</v>
      </c>
      <c r="Z142" s="385">
        <v>17136.27</v>
      </c>
      <c r="AA142" s="385">
        <f t="shared" si="22"/>
        <v>211346.78</v>
      </c>
      <c r="AB142" s="385">
        <v>17136.27</v>
      </c>
      <c r="AC142" s="381">
        <v>51260</v>
      </c>
      <c r="AD142" s="385">
        <v>1904.03</v>
      </c>
      <c r="AE142" s="381" t="s">
        <v>944</v>
      </c>
      <c r="AF142" s="383"/>
      <c r="AG142" s="383"/>
      <c r="AH142" s="383" t="s">
        <v>57</v>
      </c>
      <c r="AI142" s="383" t="s">
        <v>4442</v>
      </c>
      <c r="AJ142" s="383" t="s">
        <v>4443</v>
      </c>
      <c r="AK142" s="383" t="s">
        <v>4437</v>
      </c>
      <c r="AL142" s="414"/>
      <c r="AM142" s="414" t="s">
        <v>3939</v>
      </c>
      <c r="AN142" s="393">
        <f t="shared" si="23"/>
        <v>1</v>
      </c>
      <c r="AO142" s="393">
        <f t="shared" si="24"/>
        <v>2024</v>
      </c>
      <c r="AP142" s="394">
        <f t="shared" si="25"/>
        <v>2034</v>
      </c>
      <c r="AQ142" s="395">
        <f t="shared" si="26"/>
        <v>2034.0833333333333</v>
      </c>
      <c r="AR142" s="396">
        <f t="shared" si="27"/>
        <v>1904.0254166666666</v>
      </c>
      <c r="AS142" s="397">
        <f t="shared" si="28"/>
        <v>22848.305</v>
      </c>
      <c r="AT142" s="397">
        <f t="shared" si="29"/>
        <v>22848.305</v>
      </c>
      <c r="AU142" s="397">
        <f t="shared" si="30"/>
        <v>5712.0762499999837</v>
      </c>
      <c r="AV142" s="397">
        <f t="shared" si="31"/>
        <v>28560.381249999984</v>
      </c>
      <c r="AW142" s="398">
        <f t="shared" si="32"/>
        <v>199922.66875000001</v>
      </c>
      <c r="AX142" s="386" t="s">
        <v>62</v>
      </c>
    </row>
    <row r="143" spans="2:50" ht="15.75" outlineLevel="1">
      <c r="B143" s="381">
        <v>2111</v>
      </c>
      <c r="C143" s="382">
        <v>321449</v>
      </c>
      <c r="D143" s="381">
        <v>315528</v>
      </c>
      <c r="E143" s="383" t="s">
        <v>4240</v>
      </c>
      <c r="F143" s="392" t="s">
        <v>4274</v>
      </c>
      <c r="G143" s="392"/>
      <c r="H143" s="392"/>
      <c r="I143" s="381">
        <v>1</v>
      </c>
      <c r="J143" s="383"/>
      <c r="K143" s="381">
        <v>0</v>
      </c>
      <c r="L143" s="383" t="s">
        <v>4275</v>
      </c>
      <c r="M143" s="383"/>
      <c r="N143" s="383" t="s">
        <v>4445</v>
      </c>
      <c r="O143" s="383" t="s">
        <v>4441</v>
      </c>
      <c r="P143" s="383" t="s">
        <v>1467</v>
      </c>
      <c r="Q143" s="383"/>
      <c r="R143" s="383"/>
      <c r="S143" s="384">
        <v>45198</v>
      </c>
      <c r="T143" s="384">
        <v>45198</v>
      </c>
      <c r="U143" s="383" t="s">
        <v>4276</v>
      </c>
      <c r="V143" s="381">
        <v>1000</v>
      </c>
      <c r="W143" s="381">
        <v>14040</v>
      </c>
      <c r="X143" s="385">
        <v>456.92</v>
      </c>
      <c r="Y143" s="381">
        <v>14046</v>
      </c>
      <c r="Z143" s="385">
        <v>45.71</v>
      </c>
      <c r="AA143" s="385">
        <f t="shared" si="22"/>
        <v>411.21000000000004</v>
      </c>
      <c r="AB143" s="385">
        <v>34.29</v>
      </c>
      <c r="AC143" s="381">
        <v>51260</v>
      </c>
      <c r="AD143" s="385">
        <v>3.81</v>
      </c>
      <c r="AE143" s="381" t="s">
        <v>944</v>
      </c>
      <c r="AF143" s="383"/>
      <c r="AG143" s="383"/>
      <c r="AH143" s="383" t="s">
        <v>57</v>
      </c>
      <c r="AI143" s="383" t="s">
        <v>4442</v>
      </c>
      <c r="AJ143" s="383" t="s">
        <v>4443</v>
      </c>
      <c r="AK143" s="383" t="s">
        <v>4437</v>
      </c>
      <c r="AL143" s="414"/>
      <c r="AM143" s="414" t="s">
        <v>3939</v>
      </c>
      <c r="AN143" s="393">
        <f t="shared" si="23"/>
        <v>9</v>
      </c>
      <c r="AO143" s="393">
        <f t="shared" si="24"/>
        <v>2023</v>
      </c>
      <c r="AP143" s="394">
        <f t="shared" si="25"/>
        <v>2033</v>
      </c>
      <c r="AQ143" s="395">
        <f t="shared" si="26"/>
        <v>2033.75</v>
      </c>
      <c r="AR143" s="396">
        <f t="shared" si="27"/>
        <v>3.8076666666666665</v>
      </c>
      <c r="AS143" s="397">
        <f t="shared" si="28"/>
        <v>45.692</v>
      </c>
      <c r="AT143" s="397">
        <f t="shared" si="29"/>
        <v>45.692</v>
      </c>
      <c r="AU143" s="397">
        <f t="shared" si="30"/>
        <v>26.653666666663241</v>
      </c>
      <c r="AV143" s="397">
        <f t="shared" si="31"/>
        <v>72.345666666663249</v>
      </c>
      <c r="AW143" s="398">
        <f t="shared" si="32"/>
        <v>384.57433333333677</v>
      </c>
      <c r="AX143" s="386" t="s">
        <v>62</v>
      </c>
    </row>
    <row r="144" spans="2:50" ht="15.75" outlineLevel="1">
      <c r="B144" s="381">
        <v>2111</v>
      </c>
      <c r="C144" s="382">
        <v>321002</v>
      </c>
      <c r="D144" s="381">
        <v>320999</v>
      </c>
      <c r="E144" s="383" t="s">
        <v>4240</v>
      </c>
      <c r="F144" s="392" t="s">
        <v>4277</v>
      </c>
      <c r="G144" s="392"/>
      <c r="H144" s="392"/>
      <c r="I144" s="381">
        <v>1</v>
      </c>
      <c r="J144" s="383"/>
      <c r="K144" s="381">
        <v>0</v>
      </c>
      <c r="L144" s="383"/>
      <c r="M144" s="383"/>
      <c r="N144" s="383" t="s">
        <v>4451</v>
      </c>
      <c r="O144" s="383" t="s">
        <v>4441</v>
      </c>
      <c r="P144" s="383"/>
      <c r="Q144" s="383"/>
      <c r="R144" s="383"/>
      <c r="S144" s="384">
        <v>40909</v>
      </c>
      <c r="T144" s="384">
        <v>40909</v>
      </c>
      <c r="U144" s="383"/>
      <c r="V144" s="381">
        <v>500</v>
      </c>
      <c r="W144" s="381">
        <v>14070</v>
      </c>
      <c r="X144" s="385">
        <v>-381.2</v>
      </c>
      <c r="Y144" s="381">
        <v>14076</v>
      </c>
      <c r="Z144" s="385">
        <v>-381.2</v>
      </c>
      <c r="AA144" s="385">
        <f t="shared" si="22"/>
        <v>0</v>
      </c>
      <c r="AB144" s="385">
        <v>0</v>
      </c>
      <c r="AC144" s="381">
        <v>51260</v>
      </c>
      <c r="AD144" s="385">
        <v>0</v>
      </c>
      <c r="AE144" s="381" t="s">
        <v>944</v>
      </c>
      <c r="AF144" s="383"/>
      <c r="AG144" s="383"/>
      <c r="AH144" s="383" t="s">
        <v>57</v>
      </c>
      <c r="AI144" s="383" t="s">
        <v>4442</v>
      </c>
      <c r="AJ144" s="383" t="s">
        <v>4443</v>
      </c>
      <c r="AK144" s="383" t="s">
        <v>4437</v>
      </c>
      <c r="AL144" s="414"/>
      <c r="AM144" s="414" t="s">
        <v>3939</v>
      </c>
      <c r="AN144" s="393">
        <f t="shared" si="23"/>
        <v>1</v>
      </c>
      <c r="AO144" s="393">
        <f t="shared" si="24"/>
        <v>2012</v>
      </c>
      <c r="AP144" s="394">
        <f t="shared" si="25"/>
        <v>2017</v>
      </c>
      <c r="AQ144" s="395">
        <f t="shared" si="26"/>
        <v>2017.0833333333333</v>
      </c>
      <c r="AR144" s="396">
        <f t="shared" si="27"/>
        <v>-6.3533333333333326</v>
      </c>
      <c r="AS144" s="397">
        <f t="shared" si="28"/>
        <v>-76.239999999999995</v>
      </c>
      <c r="AT144" s="397">
        <f t="shared" si="29"/>
        <v>0</v>
      </c>
      <c r="AU144" s="397">
        <f t="shared" si="30"/>
        <v>-381.2</v>
      </c>
      <c r="AV144" s="397">
        <f t="shared" si="31"/>
        <v>-381.2</v>
      </c>
      <c r="AW144" s="398">
        <f t="shared" si="32"/>
        <v>0</v>
      </c>
      <c r="AX144" s="386" t="s">
        <v>62</v>
      </c>
    </row>
    <row r="145" spans="2:50" ht="15.75" outlineLevel="1">
      <c r="B145" s="381">
        <v>2111</v>
      </c>
      <c r="C145" s="382">
        <v>321001</v>
      </c>
      <c r="D145" s="381">
        <v>320999</v>
      </c>
      <c r="E145" s="383" t="s">
        <v>4240</v>
      </c>
      <c r="F145" s="392" t="s">
        <v>4278</v>
      </c>
      <c r="G145" s="392"/>
      <c r="H145" s="392"/>
      <c r="I145" s="381">
        <v>1</v>
      </c>
      <c r="J145" s="383"/>
      <c r="K145" s="381">
        <v>0</v>
      </c>
      <c r="L145" s="383" t="s">
        <v>2465</v>
      </c>
      <c r="M145" s="383"/>
      <c r="N145" s="383" t="s">
        <v>4451</v>
      </c>
      <c r="O145" s="383" t="s">
        <v>4441</v>
      </c>
      <c r="P145" s="383" t="s">
        <v>1467</v>
      </c>
      <c r="Q145" s="383"/>
      <c r="R145" s="383"/>
      <c r="S145" s="384">
        <v>40909</v>
      </c>
      <c r="T145" s="384">
        <v>40909</v>
      </c>
      <c r="U145" s="383" t="s">
        <v>4279</v>
      </c>
      <c r="V145" s="381">
        <v>500</v>
      </c>
      <c r="W145" s="381">
        <v>14070</v>
      </c>
      <c r="X145" s="385">
        <v>1091.83</v>
      </c>
      <c r="Y145" s="381">
        <v>14076</v>
      </c>
      <c r="Z145" s="385">
        <v>1091.83</v>
      </c>
      <c r="AA145" s="385">
        <f t="shared" si="22"/>
        <v>0</v>
      </c>
      <c r="AB145" s="385">
        <v>0</v>
      </c>
      <c r="AC145" s="381">
        <v>51260</v>
      </c>
      <c r="AD145" s="385">
        <v>0</v>
      </c>
      <c r="AE145" s="381" t="s">
        <v>944</v>
      </c>
      <c r="AF145" s="383"/>
      <c r="AG145" s="383"/>
      <c r="AH145" s="383" t="s">
        <v>57</v>
      </c>
      <c r="AI145" s="383" t="s">
        <v>4442</v>
      </c>
      <c r="AJ145" s="383" t="s">
        <v>4443</v>
      </c>
      <c r="AK145" s="383" t="s">
        <v>4437</v>
      </c>
      <c r="AL145" s="414"/>
      <c r="AM145" s="414" t="s">
        <v>3939</v>
      </c>
      <c r="AN145" s="393">
        <f t="shared" si="23"/>
        <v>1</v>
      </c>
      <c r="AO145" s="393">
        <f t="shared" si="24"/>
        <v>2012</v>
      </c>
      <c r="AP145" s="394">
        <f t="shared" si="25"/>
        <v>2017</v>
      </c>
      <c r="AQ145" s="395">
        <f t="shared" si="26"/>
        <v>2017.0833333333333</v>
      </c>
      <c r="AR145" s="396">
        <f t="shared" si="27"/>
        <v>18.197166666666664</v>
      </c>
      <c r="AS145" s="397">
        <f t="shared" si="28"/>
        <v>218.36599999999999</v>
      </c>
      <c r="AT145" s="397">
        <f t="shared" si="29"/>
        <v>0</v>
      </c>
      <c r="AU145" s="397">
        <f t="shared" si="30"/>
        <v>1091.83</v>
      </c>
      <c r="AV145" s="397">
        <f t="shared" si="31"/>
        <v>1091.83</v>
      </c>
      <c r="AW145" s="398">
        <f t="shared" si="32"/>
        <v>0</v>
      </c>
      <c r="AX145" s="386" t="s">
        <v>62</v>
      </c>
    </row>
    <row r="146" spans="2:50" ht="15.75" outlineLevel="1">
      <c r="B146" s="381">
        <v>2111</v>
      </c>
      <c r="C146" s="382">
        <v>321000</v>
      </c>
      <c r="D146" s="381">
        <v>320999</v>
      </c>
      <c r="E146" s="383" t="s">
        <v>4240</v>
      </c>
      <c r="F146" s="392" t="s">
        <v>4280</v>
      </c>
      <c r="G146" s="392"/>
      <c r="H146" s="392"/>
      <c r="I146" s="381">
        <v>1</v>
      </c>
      <c r="J146" s="383"/>
      <c r="K146" s="381">
        <v>2010</v>
      </c>
      <c r="L146" s="383"/>
      <c r="M146" s="383"/>
      <c r="N146" s="383" t="s">
        <v>4445</v>
      </c>
      <c r="O146" s="383" t="s">
        <v>4441</v>
      </c>
      <c r="P146" s="383" t="s">
        <v>1467</v>
      </c>
      <c r="Q146" s="383"/>
      <c r="R146" s="383"/>
      <c r="S146" s="384">
        <v>40178</v>
      </c>
      <c r="T146" s="384">
        <v>40178</v>
      </c>
      <c r="U146" s="383" t="s">
        <v>4281</v>
      </c>
      <c r="V146" s="381">
        <v>1000</v>
      </c>
      <c r="W146" s="381">
        <v>14040</v>
      </c>
      <c r="X146" s="385">
        <v>727.56</v>
      </c>
      <c r="Y146" s="381">
        <v>14046</v>
      </c>
      <c r="Z146" s="385">
        <v>727.56</v>
      </c>
      <c r="AA146" s="385">
        <f t="shared" si="22"/>
        <v>0</v>
      </c>
      <c r="AB146" s="385">
        <v>0</v>
      </c>
      <c r="AC146" s="381">
        <v>51260</v>
      </c>
      <c r="AD146" s="385">
        <v>0</v>
      </c>
      <c r="AE146" s="381" t="s">
        <v>944</v>
      </c>
      <c r="AF146" s="383"/>
      <c r="AG146" s="383">
        <v>613</v>
      </c>
      <c r="AH146" s="383" t="s">
        <v>57</v>
      </c>
      <c r="AI146" s="383" t="s">
        <v>4442</v>
      </c>
      <c r="AJ146" s="383" t="s">
        <v>4443</v>
      </c>
      <c r="AK146" s="383" t="s">
        <v>4437</v>
      </c>
      <c r="AL146" s="414"/>
      <c r="AM146" s="414" t="s">
        <v>3939</v>
      </c>
      <c r="AN146" s="393">
        <f t="shared" si="23"/>
        <v>12</v>
      </c>
      <c r="AO146" s="393">
        <f t="shared" si="24"/>
        <v>2009</v>
      </c>
      <c r="AP146" s="394">
        <f t="shared" si="25"/>
        <v>2019</v>
      </c>
      <c r="AQ146" s="395">
        <f t="shared" si="26"/>
        <v>2020</v>
      </c>
      <c r="AR146" s="396">
        <f t="shared" si="27"/>
        <v>6.0629999999999997</v>
      </c>
      <c r="AS146" s="397">
        <f t="shared" si="28"/>
        <v>72.756</v>
      </c>
      <c r="AT146" s="397">
        <f t="shared" si="29"/>
        <v>0</v>
      </c>
      <c r="AU146" s="397">
        <f t="shared" si="30"/>
        <v>727.56</v>
      </c>
      <c r="AV146" s="397">
        <f t="shared" si="31"/>
        <v>727.56</v>
      </c>
      <c r="AW146" s="398">
        <f t="shared" si="32"/>
        <v>0</v>
      </c>
      <c r="AX146" s="386" t="s">
        <v>62</v>
      </c>
    </row>
    <row r="147" spans="2:50" ht="15.75" outlineLevel="1">
      <c r="B147" s="381">
        <v>2111</v>
      </c>
      <c r="C147" s="382">
        <v>320999</v>
      </c>
      <c r="D147" s="381" t="s">
        <v>944</v>
      </c>
      <c r="E147" s="383" t="s">
        <v>4240</v>
      </c>
      <c r="F147" s="392" t="s">
        <v>4282</v>
      </c>
      <c r="G147" s="392"/>
      <c r="H147" s="392"/>
      <c r="I147" s="381">
        <v>1</v>
      </c>
      <c r="J147" s="383" t="s">
        <v>4283</v>
      </c>
      <c r="K147" s="381">
        <v>2010</v>
      </c>
      <c r="L147" s="383" t="s">
        <v>4284</v>
      </c>
      <c r="M147" s="383" t="s">
        <v>1522</v>
      </c>
      <c r="N147" s="383" t="s">
        <v>4445</v>
      </c>
      <c r="O147" s="383" t="s">
        <v>4441</v>
      </c>
      <c r="P147" s="383" t="s">
        <v>4463</v>
      </c>
      <c r="Q147" s="383"/>
      <c r="R147" s="383"/>
      <c r="S147" s="384">
        <v>40178</v>
      </c>
      <c r="T147" s="384">
        <v>40178</v>
      </c>
      <c r="U147" s="383" t="s">
        <v>4281</v>
      </c>
      <c r="V147" s="381">
        <v>1000</v>
      </c>
      <c r="W147" s="381">
        <v>14040</v>
      </c>
      <c r="X147" s="385">
        <v>159025.43</v>
      </c>
      <c r="Y147" s="381">
        <v>14046</v>
      </c>
      <c r="Z147" s="385">
        <v>159025.43</v>
      </c>
      <c r="AA147" s="385">
        <f t="shared" si="22"/>
        <v>0</v>
      </c>
      <c r="AB147" s="385">
        <v>0</v>
      </c>
      <c r="AC147" s="381">
        <v>51260</v>
      </c>
      <c r="AD147" s="385">
        <v>0</v>
      </c>
      <c r="AE147" s="381" t="s">
        <v>944</v>
      </c>
      <c r="AF147" s="383"/>
      <c r="AG147" s="383">
        <v>613</v>
      </c>
      <c r="AH147" s="383" t="s">
        <v>57</v>
      </c>
      <c r="AI147" s="383" t="s">
        <v>4442</v>
      </c>
      <c r="AJ147" s="383" t="s">
        <v>4443</v>
      </c>
      <c r="AK147" s="383" t="s">
        <v>4437</v>
      </c>
      <c r="AL147" s="414"/>
      <c r="AM147" s="414" t="s">
        <v>3939</v>
      </c>
      <c r="AN147" s="393">
        <f t="shared" si="23"/>
        <v>12</v>
      </c>
      <c r="AO147" s="393">
        <f t="shared" si="24"/>
        <v>2009</v>
      </c>
      <c r="AP147" s="394">
        <f t="shared" si="25"/>
        <v>2019</v>
      </c>
      <c r="AQ147" s="395">
        <f t="shared" si="26"/>
        <v>2020</v>
      </c>
      <c r="AR147" s="396">
        <f t="shared" si="27"/>
        <v>1325.2119166666666</v>
      </c>
      <c r="AS147" s="397">
        <f t="shared" si="28"/>
        <v>15902.543</v>
      </c>
      <c r="AT147" s="397">
        <f t="shared" si="29"/>
        <v>0</v>
      </c>
      <c r="AU147" s="397">
        <f t="shared" si="30"/>
        <v>159025.43</v>
      </c>
      <c r="AV147" s="397">
        <f t="shared" si="31"/>
        <v>159025.43</v>
      </c>
      <c r="AW147" s="398">
        <f t="shared" si="32"/>
        <v>0</v>
      </c>
      <c r="AX147" s="386" t="s">
        <v>62</v>
      </c>
    </row>
    <row r="148" spans="2:50" ht="15.75" outlineLevel="1">
      <c r="B148" s="381">
        <v>2111</v>
      </c>
      <c r="C148" s="382">
        <v>320784</v>
      </c>
      <c r="D148" s="381">
        <v>305425</v>
      </c>
      <c r="E148" s="383" t="s">
        <v>4240</v>
      </c>
      <c r="F148" s="392" t="s">
        <v>4285</v>
      </c>
      <c r="G148" s="392"/>
      <c r="H148" s="392"/>
      <c r="I148" s="381">
        <v>1</v>
      </c>
      <c r="J148" s="383"/>
      <c r="K148" s="381">
        <v>0</v>
      </c>
      <c r="L148" s="383" t="s">
        <v>4275</v>
      </c>
      <c r="M148" s="383"/>
      <c r="N148" s="383" t="s">
        <v>4445</v>
      </c>
      <c r="O148" s="383" t="s">
        <v>4441</v>
      </c>
      <c r="P148" s="383" t="s">
        <v>1467</v>
      </c>
      <c r="Q148" s="383"/>
      <c r="R148" s="383"/>
      <c r="S148" s="384">
        <v>45065</v>
      </c>
      <c r="T148" s="384">
        <v>45065</v>
      </c>
      <c r="U148" s="383" t="s">
        <v>4286</v>
      </c>
      <c r="V148" s="381">
        <v>1000</v>
      </c>
      <c r="W148" s="381">
        <v>14040</v>
      </c>
      <c r="X148" s="385">
        <v>930.35</v>
      </c>
      <c r="Y148" s="381">
        <v>14046</v>
      </c>
      <c r="Z148" s="385">
        <v>124.02</v>
      </c>
      <c r="AA148" s="385">
        <f t="shared" si="22"/>
        <v>806.33</v>
      </c>
      <c r="AB148" s="385">
        <v>69.75</v>
      </c>
      <c r="AC148" s="381">
        <v>51260</v>
      </c>
      <c r="AD148" s="385">
        <v>7.75</v>
      </c>
      <c r="AE148" s="381" t="s">
        <v>944</v>
      </c>
      <c r="AF148" s="383"/>
      <c r="AG148" s="383"/>
      <c r="AH148" s="383" t="s">
        <v>57</v>
      </c>
      <c r="AI148" s="383" t="s">
        <v>4442</v>
      </c>
      <c r="AJ148" s="383" t="s">
        <v>4443</v>
      </c>
      <c r="AK148" s="383" t="s">
        <v>4437</v>
      </c>
      <c r="AL148" s="414"/>
      <c r="AM148" s="414" t="s">
        <v>3939</v>
      </c>
      <c r="AN148" s="393">
        <f t="shared" si="23"/>
        <v>5</v>
      </c>
      <c r="AO148" s="393">
        <f t="shared" si="24"/>
        <v>2023</v>
      </c>
      <c r="AP148" s="394">
        <f t="shared" si="25"/>
        <v>2033</v>
      </c>
      <c r="AQ148" s="395">
        <f t="shared" si="26"/>
        <v>2033.4166666666667</v>
      </c>
      <c r="AR148" s="396">
        <f t="shared" si="27"/>
        <v>7.7529166666666667</v>
      </c>
      <c r="AS148" s="397">
        <f t="shared" si="28"/>
        <v>93.034999999999997</v>
      </c>
      <c r="AT148" s="397">
        <f t="shared" si="29"/>
        <v>93.034999999999997</v>
      </c>
      <c r="AU148" s="397">
        <f t="shared" si="30"/>
        <v>85.282083333319292</v>
      </c>
      <c r="AV148" s="397">
        <f t="shared" si="31"/>
        <v>178.31708333331929</v>
      </c>
      <c r="AW148" s="398">
        <f t="shared" si="32"/>
        <v>752.03291666668076</v>
      </c>
      <c r="AX148" s="386" t="s">
        <v>62</v>
      </c>
    </row>
    <row r="149" spans="2:50" ht="15.75" outlineLevel="1">
      <c r="B149" s="381">
        <v>2111</v>
      </c>
      <c r="C149" s="382">
        <v>320783</v>
      </c>
      <c r="D149" s="381">
        <v>315529</v>
      </c>
      <c r="E149" s="383" t="s">
        <v>4240</v>
      </c>
      <c r="F149" s="392" t="s">
        <v>4287</v>
      </c>
      <c r="G149" s="392"/>
      <c r="H149" s="392"/>
      <c r="I149" s="381">
        <v>1</v>
      </c>
      <c r="J149" s="383"/>
      <c r="K149" s="381">
        <v>0</v>
      </c>
      <c r="L149" s="383" t="s">
        <v>4275</v>
      </c>
      <c r="M149" s="383"/>
      <c r="N149" s="383" t="s">
        <v>4445</v>
      </c>
      <c r="O149" s="383" t="s">
        <v>4441</v>
      </c>
      <c r="P149" s="383" t="s">
        <v>1467</v>
      </c>
      <c r="Q149" s="383"/>
      <c r="R149" s="383"/>
      <c r="S149" s="384">
        <v>45205</v>
      </c>
      <c r="T149" s="384">
        <v>45205</v>
      </c>
      <c r="U149" s="383" t="s">
        <v>4288</v>
      </c>
      <c r="V149" s="381">
        <v>1000</v>
      </c>
      <c r="W149" s="381">
        <v>14040</v>
      </c>
      <c r="X149" s="385">
        <v>1299.18</v>
      </c>
      <c r="Y149" s="381">
        <v>14046</v>
      </c>
      <c r="Z149" s="385">
        <v>129.94999999999999</v>
      </c>
      <c r="AA149" s="385">
        <f t="shared" si="22"/>
        <v>1169.23</v>
      </c>
      <c r="AB149" s="385">
        <v>97.47</v>
      </c>
      <c r="AC149" s="381">
        <v>51260</v>
      </c>
      <c r="AD149" s="385">
        <v>10.83</v>
      </c>
      <c r="AE149" s="381" t="s">
        <v>944</v>
      </c>
      <c r="AF149" s="383"/>
      <c r="AG149" s="383"/>
      <c r="AH149" s="383" t="s">
        <v>57</v>
      </c>
      <c r="AI149" s="383" t="s">
        <v>4442</v>
      </c>
      <c r="AJ149" s="383" t="s">
        <v>4443</v>
      </c>
      <c r="AK149" s="383" t="s">
        <v>4437</v>
      </c>
      <c r="AL149" s="414"/>
      <c r="AM149" s="414" t="s">
        <v>3939</v>
      </c>
      <c r="AN149" s="393">
        <f t="shared" si="23"/>
        <v>10</v>
      </c>
      <c r="AO149" s="393">
        <f t="shared" si="24"/>
        <v>2023</v>
      </c>
      <c r="AP149" s="394">
        <f t="shared" si="25"/>
        <v>2033</v>
      </c>
      <c r="AQ149" s="395">
        <f t="shared" si="26"/>
        <v>2033.8333333333333</v>
      </c>
      <c r="AR149" s="396">
        <f t="shared" si="27"/>
        <v>10.826500000000001</v>
      </c>
      <c r="AS149" s="397">
        <f t="shared" si="28"/>
        <v>129.91800000000001</v>
      </c>
      <c r="AT149" s="397">
        <f t="shared" si="29"/>
        <v>129.91800000000001</v>
      </c>
      <c r="AU149" s="397">
        <f t="shared" si="30"/>
        <v>64.958999999999833</v>
      </c>
      <c r="AV149" s="397">
        <f t="shared" si="31"/>
        <v>194.87699999999984</v>
      </c>
      <c r="AW149" s="398">
        <f t="shared" si="32"/>
        <v>1104.3030000000003</v>
      </c>
      <c r="AX149" s="386" t="s">
        <v>62</v>
      </c>
    </row>
    <row r="150" spans="2:50" ht="15.75" outlineLevel="1">
      <c r="B150" s="381">
        <v>2111</v>
      </c>
      <c r="C150" s="382">
        <v>320540</v>
      </c>
      <c r="D150" s="381">
        <v>319564</v>
      </c>
      <c r="E150" s="383" t="s">
        <v>4240</v>
      </c>
      <c r="F150" s="392" t="s">
        <v>4289</v>
      </c>
      <c r="G150" s="392"/>
      <c r="H150" s="392"/>
      <c r="I150" s="381">
        <v>1</v>
      </c>
      <c r="J150" s="383" t="s">
        <v>4290</v>
      </c>
      <c r="K150" s="381">
        <v>0</v>
      </c>
      <c r="L150" s="383" t="s">
        <v>4291</v>
      </c>
      <c r="M150" s="383"/>
      <c r="N150" s="383" t="s">
        <v>4445</v>
      </c>
      <c r="O150" s="383" t="s">
        <v>4441</v>
      </c>
      <c r="P150" s="383" t="s">
        <v>1467</v>
      </c>
      <c r="Q150" s="383"/>
      <c r="R150" s="383"/>
      <c r="S150" s="384">
        <v>45281</v>
      </c>
      <c r="T150" s="384">
        <v>45281</v>
      </c>
      <c r="U150" s="383" t="s">
        <v>4292</v>
      </c>
      <c r="V150" s="381">
        <v>1000</v>
      </c>
      <c r="W150" s="381">
        <v>14040</v>
      </c>
      <c r="X150" s="385">
        <v>206303.82</v>
      </c>
      <c r="Y150" s="381">
        <v>14046</v>
      </c>
      <c r="Z150" s="385">
        <v>15472.8</v>
      </c>
      <c r="AA150" s="385">
        <f t="shared" si="22"/>
        <v>190831.02000000002</v>
      </c>
      <c r="AB150" s="385">
        <v>15472.8</v>
      </c>
      <c r="AC150" s="381">
        <v>51260</v>
      </c>
      <c r="AD150" s="385">
        <v>1719.2</v>
      </c>
      <c r="AE150" s="381" t="s">
        <v>944</v>
      </c>
      <c r="AF150" s="383"/>
      <c r="AG150" s="383"/>
      <c r="AH150" s="383" t="s">
        <v>57</v>
      </c>
      <c r="AI150" s="383" t="s">
        <v>4442</v>
      </c>
      <c r="AJ150" s="383" t="s">
        <v>4443</v>
      </c>
      <c r="AK150" s="383" t="s">
        <v>4437</v>
      </c>
      <c r="AL150" s="414"/>
      <c r="AM150" s="414" t="s">
        <v>3939</v>
      </c>
      <c r="AN150" s="393">
        <f t="shared" si="23"/>
        <v>12</v>
      </c>
      <c r="AO150" s="393">
        <f t="shared" si="24"/>
        <v>2023</v>
      </c>
      <c r="AP150" s="394">
        <f t="shared" si="25"/>
        <v>2033</v>
      </c>
      <c r="AQ150" s="395">
        <f t="shared" si="26"/>
        <v>2034</v>
      </c>
      <c r="AR150" s="396">
        <f t="shared" si="27"/>
        <v>1719.1985000000002</v>
      </c>
      <c r="AS150" s="397">
        <f t="shared" si="28"/>
        <v>20630.382000000001</v>
      </c>
      <c r="AT150" s="397">
        <f t="shared" si="29"/>
        <v>20630.382000000001</v>
      </c>
      <c r="AU150" s="397">
        <f t="shared" si="30"/>
        <v>6876.7939999984228</v>
      </c>
      <c r="AV150" s="397">
        <f t="shared" si="31"/>
        <v>27507.175999998424</v>
      </c>
      <c r="AW150" s="398">
        <f t="shared" si="32"/>
        <v>178796.64400000157</v>
      </c>
      <c r="AX150" s="386" t="s">
        <v>62</v>
      </c>
    </row>
    <row r="151" spans="2:50" ht="15.75" outlineLevel="1">
      <c r="B151" s="381">
        <v>2111</v>
      </c>
      <c r="C151" s="382">
        <v>320537</v>
      </c>
      <c r="D151" s="381">
        <v>319562</v>
      </c>
      <c r="E151" s="383" t="s">
        <v>4240</v>
      </c>
      <c r="F151" s="392" t="s">
        <v>4289</v>
      </c>
      <c r="G151" s="392"/>
      <c r="H151" s="392"/>
      <c r="I151" s="381">
        <v>1</v>
      </c>
      <c r="J151" s="383" t="s">
        <v>4293</v>
      </c>
      <c r="K151" s="381">
        <v>0</v>
      </c>
      <c r="L151" s="383" t="s">
        <v>4291</v>
      </c>
      <c r="M151" s="383"/>
      <c r="N151" s="383" t="s">
        <v>4445</v>
      </c>
      <c r="O151" s="383" t="s">
        <v>4441</v>
      </c>
      <c r="P151" s="383" t="s">
        <v>1467</v>
      </c>
      <c r="Q151" s="383"/>
      <c r="R151" s="383"/>
      <c r="S151" s="384">
        <v>45281</v>
      </c>
      <c r="T151" s="384">
        <v>45281</v>
      </c>
      <c r="U151" s="383" t="s">
        <v>4294</v>
      </c>
      <c r="V151" s="381">
        <v>1000</v>
      </c>
      <c r="W151" s="381">
        <v>14040</v>
      </c>
      <c r="X151" s="385">
        <v>206303.82</v>
      </c>
      <c r="Y151" s="381">
        <v>14046</v>
      </c>
      <c r="Z151" s="385">
        <v>15472.8</v>
      </c>
      <c r="AA151" s="385">
        <f t="shared" si="22"/>
        <v>190831.02000000002</v>
      </c>
      <c r="AB151" s="385">
        <v>15472.8</v>
      </c>
      <c r="AC151" s="381">
        <v>51260</v>
      </c>
      <c r="AD151" s="385">
        <v>1719.2</v>
      </c>
      <c r="AE151" s="381" t="s">
        <v>944</v>
      </c>
      <c r="AF151" s="383"/>
      <c r="AG151" s="383"/>
      <c r="AH151" s="383" t="s">
        <v>57</v>
      </c>
      <c r="AI151" s="383" t="s">
        <v>4442</v>
      </c>
      <c r="AJ151" s="383" t="s">
        <v>4443</v>
      </c>
      <c r="AK151" s="383" t="s">
        <v>4437</v>
      </c>
      <c r="AL151" s="414"/>
      <c r="AM151" s="414" t="s">
        <v>3939</v>
      </c>
      <c r="AN151" s="393">
        <f t="shared" si="23"/>
        <v>12</v>
      </c>
      <c r="AO151" s="393">
        <f t="shared" si="24"/>
        <v>2023</v>
      </c>
      <c r="AP151" s="394">
        <f t="shared" si="25"/>
        <v>2033</v>
      </c>
      <c r="AQ151" s="395">
        <f t="shared" si="26"/>
        <v>2034</v>
      </c>
      <c r="AR151" s="396">
        <f t="shared" si="27"/>
        <v>1719.1985000000002</v>
      </c>
      <c r="AS151" s="397">
        <f t="shared" si="28"/>
        <v>20630.382000000001</v>
      </c>
      <c r="AT151" s="397">
        <f t="shared" si="29"/>
        <v>20630.382000000001</v>
      </c>
      <c r="AU151" s="397">
        <f t="shared" si="30"/>
        <v>6876.7939999984228</v>
      </c>
      <c r="AV151" s="397">
        <f t="shared" si="31"/>
        <v>27507.175999998424</v>
      </c>
      <c r="AW151" s="398">
        <f t="shared" si="32"/>
        <v>178796.64400000157</v>
      </c>
      <c r="AX151" s="386" t="s">
        <v>62</v>
      </c>
    </row>
    <row r="152" spans="2:50" ht="15.75" outlineLevel="1">
      <c r="B152" s="381">
        <v>2111</v>
      </c>
      <c r="C152" s="382">
        <v>320067</v>
      </c>
      <c r="D152" s="381">
        <v>319318</v>
      </c>
      <c r="E152" s="383" t="s">
        <v>4240</v>
      </c>
      <c r="F152" s="392" t="s">
        <v>4295</v>
      </c>
      <c r="G152" s="392"/>
      <c r="H152" s="392"/>
      <c r="I152" s="381">
        <v>1</v>
      </c>
      <c r="J152" s="383" t="s">
        <v>4296</v>
      </c>
      <c r="K152" s="381">
        <v>2024</v>
      </c>
      <c r="L152" s="383" t="s">
        <v>4291</v>
      </c>
      <c r="M152" s="383"/>
      <c r="N152" s="383" t="s">
        <v>4445</v>
      </c>
      <c r="O152" s="383" t="s">
        <v>4441</v>
      </c>
      <c r="P152" s="383" t="s">
        <v>1467</v>
      </c>
      <c r="Q152" s="383"/>
      <c r="R152" s="383"/>
      <c r="S152" s="384">
        <v>45267</v>
      </c>
      <c r="T152" s="384">
        <v>45267</v>
      </c>
      <c r="U152" s="383" t="s">
        <v>4297</v>
      </c>
      <c r="V152" s="381">
        <v>1000</v>
      </c>
      <c r="W152" s="381">
        <v>14040</v>
      </c>
      <c r="X152" s="385">
        <v>187353.34</v>
      </c>
      <c r="Y152" s="381">
        <v>14046</v>
      </c>
      <c r="Z152" s="385">
        <v>15612.8</v>
      </c>
      <c r="AA152" s="385">
        <f t="shared" si="22"/>
        <v>171740.54</v>
      </c>
      <c r="AB152" s="385">
        <v>14051.52</v>
      </c>
      <c r="AC152" s="381">
        <v>51260</v>
      </c>
      <c r="AD152" s="385">
        <v>1561.28</v>
      </c>
      <c r="AE152" s="381" t="s">
        <v>944</v>
      </c>
      <c r="AF152" s="383"/>
      <c r="AG152" s="383"/>
      <c r="AH152" s="383" t="s">
        <v>57</v>
      </c>
      <c r="AI152" s="383" t="s">
        <v>4442</v>
      </c>
      <c r="AJ152" s="383" t="s">
        <v>4443</v>
      </c>
      <c r="AK152" s="383" t="s">
        <v>4437</v>
      </c>
      <c r="AL152" s="414"/>
      <c r="AM152" s="414" t="s">
        <v>3939</v>
      </c>
      <c r="AN152" s="393">
        <f t="shared" si="23"/>
        <v>12</v>
      </c>
      <c r="AO152" s="393">
        <f t="shared" si="24"/>
        <v>2023</v>
      </c>
      <c r="AP152" s="394">
        <f t="shared" si="25"/>
        <v>2033</v>
      </c>
      <c r="AQ152" s="395">
        <f t="shared" si="26"/>
        <v>2034</v>
      </c>
      <c r="AR152" s="396">
        <f t="shared" si="27"/>
        <v>1561.2778333333333</v>
      </c>
      <c r="AS152" s="397">
        <f t="shared" si="28"/>
        <v>18735.333999999999</v>
      </c>
      <c r="AT152" s="397">
        <f t="shared" si="29"/>
        <v>18735.333999999999</v>
      </c>
      <c r="AU152" s="397">
        <f t="shared" si="30"/>
        <v>6245.1113333319081</v>
      </c>
      <c r="AV152" s="397">
        <f t="shared" si="31"/>
        <v>24980.445333331907</v>
      </c>
      <c r="AW152" s="398">
        <f t="shared" si="32"/>
        <v>162372.89466666809</v>
      </c>
      <c r="AX152" s="386" t="s">
        <v>62</v>
      </c>
    </row>
    <row r="153" spans="2:50" ht="15.75" outlineLevel="1">
      <c r="B153" s="381">
        <v>2111</v>
      </c>
      <c r="C153" s="382">
        <v>320066</v>
      </c>
      <c r="D153" s="381">
        <v>319316</v>
      </c>
      <c r="E153" s="383" t="s">
        <v>4240</v>
      </c>
      <c r="F153" s="392" t="s">
        <v>4298</v>
      </c>
      <c r="G153" s="392"/>
      <c r="H153" s="392"/>
      <c r="I153" s="381">
        <v>1</v>
      </c>
      <c r="J153" s="383" t="s">
        <v>4299</v>
      </c>
      <c r="K153" s="381">
        <v>2024</v>
      </c>
      <c r="L153" s="383" t="s">
        <v>4291</v>
      </c>
      <c r="M153" s="383"/>
      <c r="N153" s="383" t="s">
        <v>4445</v>
      </c>
      <c r="O153" s="383" t="s">
        <v>4441</v>
      </c>
      <c r="P153" s="383" t="s">
        <v>1467</v>
      </c>
      <c r="Q153" s="383"/>
      <c r="R153" s="383"/>
      <c r="S153" s="384">
        <v>45267</v>
      </c>
      <c r="T153" s="384">
        <v>45267</v>
      </c>
      <c r="U153" s="383" t="s">
        <v>4300</v>
      </c>
      <c r="V153" s="381">
        <v>1000</v>
      </c>
      <c r="W153" s="381">
        <v>14040</v>
      </c>
      <c r="X153" s="385">
        <v>206303.82</v>
      </c>
      <c r="Y153" s="381">
        <v>14046</v>
      </c>
      <c r="Z153" s="385">
        <v>17192</v>
      </c>
      <c r="AA153" s="385">
        <f t="shared" si="22"/>
        <v>189111.82</v>
      </c>
      <c r="AB153" s="385">
        <v>15472.8</v>
      </c>
      <c r="AC153" s="381">
        <v>51260</v>
      </c>
      <c r="AD153" s="385">
        <v>1719.2</v>
      </c>
      <c r="AE153" s="381" t="s">
        <v>944</v>
      </c>
      <c r="AF153" s="383"/>
      <c r="AG153" s="383"/>
      <c r="AH153" s="383" t="s">
        <v>57</v>
      </c>
      <c r="AI153" s="383" t="s">
        <v>4442</v>
      </c>
      <c r="AJ153" s="383" t="s">
        <v>4443</v>
      </c>
      <c r="AK153" s="383" t="s">
        <v>4437</v>
      </c>
      <c r="AL153" s="414"/>
      <c r="AM153" s="414" t="s">
        <v>3939</v>
      </c>
      <c r="AN153" s="393">
        <f t="shared" si="23"/>
        <v>12</v>
      </c>
      <c r="AO153" s="393">
        <f t="shared" si="24"/>
        <v>2023</v>
      </c>
      <c r="AP153" s="394">
        <f t="shared" si="25"/>
        <v>2033</v>
      </c>
      <c r="AQ153" s="395">
        <f t="shared" si="26"/>
        <v>2034</v>
      </c>
      <c r="AR153" s="396">
        <f t="shared" si="27"/>
        <v>1719.1985000000002</v>
      </c>
      <c r="AS153" s="397">
        <f t="shared" si="28"/>
        <v>20630.382000000001</v>
      </c>
      <c r="AT153" s="397">
        <f t="shared" si="29"/>
        <v>20630.382000000001</v>
      </c>
      <c r="AU153" s="397">
        <f t="shared" si="30"/>
        <v>6876.7939999984228</v>
      </c>
      <c r="AV153" s="397">
        <f t="shared" si="31"/>
        <v>27507.175999998424</v>
      </c>
      <c r="AW153" s="398">
        <f t="shared" si="32"/>
        <v>178796.64400000157</v>
      </c>
      <c r="AX153" s="386" t="s">
        <v>62</v>
      </c>
    </row>
    <row r="154" spans="2:50" ht="15.75" outlineLevel="1">
      <c r="B154" s="381">
        <v>2111</v>
      </c>
      <c r="C154" s="382">
        <v>320065</v>
      </c>
      <c r="D154" s="381">
        <v>319563</v>
      </c>
      <c r="E154" s="383" t="s">
        <v>4240</v>
      </c>
      <c r="F154" s="392" t="s">
        <v>4298</v>
      </c>
      <c r="G154" s="392"/>
      <c r="H154" s="392"/>
      <c r="I154" s="381">
        <v>1</v>
      </c>
      <c r="J154" s="383" t="s">
        <v>4301</v>
      </c>
      <c r="K154" s="381">
        <v>2024</v>
      </c>
      <c r="L154" s="383" t="s">
        <v>4291</v>
      </c>
      <c r="M154" s="383"/>
      <c r="N154" s="383" t="s">
        <v>4445</v>
      </c>
      <c r="O154" s="383" t="s">
        <v>4441</v>
      </c>
      <c r="P154" s="383" t="s">
        <v>1467</v>
      </c>
      <c r="Q154" s="383"/>
      <c r="R154" s="383"/>
      <c r="S154" s="384">
        <v>45274</v>
      </c>
      <c r="T154" s="384">
        <v>45274</v>
      </c>
      <c r="U154" s="383" t="s">
        <v>4302</v>
      </c>
      <c r="V154" s="381">
        <v>1000</v>
      </c>
      <c r="W154" s="381">
        <v>14040</v>
      </c>
      <c r="X154" s="385">
        <v>206303.82</v>
      </c>
      <c r="Y154" s="381">
        <v>14046</v>
      </c>
      <c r="Z154" s="385">
        <v>17192</v>
      </c>
      <c r="AA154" s="385">
        <f t="shared" si="22"/>
        <v>189111.82</v>
      </c>
      <c r="AB154" s="385">
        <v>15472.8</v>
      </c>
      <c r="AC154" s="381">
        <v>51260</v>
      </c>
      <c r="AD154" s="385">
        <v>1719.2</v>
      </c>
      <c r="AE154" s="381" t="s">
        <v>944</v>
      </c>
      <c r="AF154" s="383"/>
      <c r="AG154" s="383"/>
      <c r="AH154" s="383" t="s">
        <v>57</v>
      </c>
      <c r="AI154" s="383" t="s">
        <v>4442</v>
      </c>
      <c r="AJ154" s="383" t="s">
        <v>4443</v>
      </c>
      <c r="AK154" s="383" t="s">
        <v>4437</v>
      </c>
      <c r="AL154" s="414"/>
      <c r="AM154" s="414" t="s">
        <v>3939</v>
      </c>
      <c r="AN154" s="393">
        <f t="shared" si="23"/>
        <v>12</v>
      </c>
      <c r="AO154" s="393">
        <f t="shared" si="24"/>
        <v>2023</v>
      </c>
      <c r="AP154" s="394">
        <f t="shared" si="25"/>
        <v>2033</v>
      </c>
      <c r="AQ154" s="395">
        <f t="shared" si="26"/>
        <v>2034</v>
      </c>
      <c r="AR154" s="396">
        <f t="shared" si="27"/>
        <v>1719.1985000000002</v>
      </c>
      <c r="AS154" s="397">
        <f t="shared" si="28"/>
        <v>20630.382000000001</v>
      </c>
      <c r="AT154" s="397">
        <f t="shared" si="29"/>
        <v>20630.382000000001</v>
      </c>
      <c r="AU154" s="397">
        <f t="shared" si="30"/>
        <v>6876.7939999984228</v>
      </c>
      <c r="AV154" s="397">
        <f t="shared" si="31"/>
        <v>27507.175999998424</v>
      </c>
      <c r="AW154" s="398">
        <f t="shared" si="32"/>
        <v>178796.64400000157</v>
      </c>
      <c r="AX154" s="386" t="s">
        <v>62</v>
      </c>
    </row>
    <row r="155" spans="2:50" ht="15.75" outlineLevel="1">
      <c r="B155" s="381">
        <v>2111</v>
      </c>
      <c r="C155" s="382">
        <v>319564</v>
      </c>
      <c r="D155" s="381" t="s">
        <v>944</v>
      </c>
      <c r="E155" s="383" t="s">
        <v>4240</v>
      </c>
      <c r="F155" s="392" t="s">
        <v>4303</v>
      </c>
      <c r="G155" s="392"/>
      <c r="H155" s="392"/>
      <c r="I155" s="381">
        <v>1</v>
      </c>
      <c r="J155" s="383" t="s">
        <v>4290</v>
      </c>
      <c r="K155" s="381">
        <v>2024</v>
      </c>
      <c r="L155" s="383"/>
      <c r="M155" s="383"/>
      <c r="N155" s="383" t="s">
        <v>4445</v>
      </c>
      <c r="O155" s="383" t="s">
        <v>4441</v>
      </c>
      <c r="P155" s="383" t="s">
        <v>4482</v>
      </c>
      <c r="Q155" s="383"/>
      <c r="R155" s="383"/>
      <c r="S155" s="384">
        <v>45281</v>
      </c>
      <c r="T155" s="384">
        <v>45281</v>
      </c>
      <c r="U155" s="383" t="s">
        <v>4292</v>
      </c>
      <c r="V155" s="381">
        <v>1000</v>
      </c>
      <c r="W155" s="381">
        <v>14040</v>
      </c>
      <c r="X155" s="385">
        <v>228483.05</v>
      </c>
      <c r="Y155" s="381">
        <v>14046</v>
      </c>
      <c r="Z155" s="385">
        <v>17136.27</v>
      </c>
      <c r="AA155" s="385">
        <f t="shared" si="22"/>
        <v>211346.78</v>
      </c>
      <c r="AB155" s="385">
        <v>17136.27</v>
      </c>
      <c r="AC155" s="381">
        <v>51260</v>
      </c>
      <c r="AD155" s="385">
        <v>1904.03</v>
      </c>
      <c r="AE155" s="381" t="s">
        <v>944</v>
      </c>
      <c r="AF155" s="383"/>
      <c r="AG155" s="383"/>
      <c r="AH155" s="383" t="s">
        <v>57</v>
      </c>
      <c r="AI155" s="383" t="s">
        <v>4442</v>
      </c>
      <c r="AJ155" s="383" t="s">
        <v>4443</v>
      </c>
      <c r="AK155" s="383" t="s">
        <v>4437</v>
      </c>
      <c r="AL155" s="414"/>
      <c r="AM155" s="414" t="s">
        <v>3939</v>
      </c>
      <c r="AN155" s="393">
        <f t="shared" si="23"/>
        <v>12</v>
      </c>
      <c r="AO155" s="393">
        <f t="shared" si="24"/>
        <v>2023</v>
      </c>
      <c r="AP155" s="394">
        <f t="shared" si="25"/>
        <v>2033</v>
      </c>
      <c r="AQ155" s="395">
        <f t="shared" si="26"/>
        <v>2034</v>
      </c>
      <c r="AR155" s="396">
        <f t="shared" si="27"/>
        <v>1904.0254166666666</v>
      </c>
      <c r="AS155" s="397">
        <f t="shared" si="28"/>
        <v>22848.305</v>
      </c>
      <c r="AT155" s="397">
        <f t="shared" si="29"/>
        <v>22848.305</v>
      </c>
      <c r="AU155" s="397">
        <f t="shared" si="30"/>
        <v>7616.1016666649375</v>
      </c>
      <c r="AV155" s="397">
        <f t="shared" si="31"/>
        <v>30464.406666664938</v>
      </c>
      <c r="AW155" s="398">
        <f t="shared" si="32"/>
        <v>198018.64333333506</v>
      </c>
      <c r="AX155" s="386" t="s">
        <v>62</v>
      </c>
    </row>
    <row r="156" spans="2:50" ht="15.75" outlineLevel="1">
      <c r="B156" s="381">
        <v>2111</v>
      </c>
      <c r="C156" s="382">
        <v>319563</v>
      </c>
      <c r="D156" s="381" t="s">
        <v>944</v>
      </c>
      <c r="E156" s="383" t="s">
        <v>4240</v>
      </c>
      <c r="F156" s="392" t="s">
        <v>4303</v>
      </c>
      <c r="G156" s="392"/>
      <c r="H156" s="392"/>
      <c r="I156" s="381">
        <v>1</v>
      </c>
      <c r="J156" s="383" t="s">
        <v>4301</v>
      </c>
      <c r="K156" s="381">
        <v>2024</v>
      </c>
      <c r="L156" s="383"/>
      <c r="M156" s="383"/>
      <c r="N156" s="383" t="s">
        <v>4445</v>
      </c>
      <c r="O156" s="383" t="s">
        <v>4441</v>
      </c>
      <c r="P156" s="383" t="s">
        <v>4482</v>
      </c>
      <c r="Q156" s="383"/>
      <c r="R156" s="383"/>
      <c r="S156" s="384">
        <v>45274</v>
      </c>
      <c r="T156" s="384">
        <v>45274</v>
      </c>
      <c r="U156" s="383" t="s">
        <v>4302</v>
      </c>
      <c r="V156" s="381">
        <v>1000</v>
      </c>
      <c r="W156" s="381">
        <v>14040</v>
      </c>
      <c r="X156" s="385">
        <v>227582.96</v>
      </c>
      <c r="Y156" s="381">
        <v>14046</v>
      </c>
      <c r="Z156" s="385">
        <v>18965.21</v>
      </c>
      <c r="AA156" s="385">
        <f t="shared" si="22"/>
        <v>208617.75</v>
      </c>
      <c r="AB156" s="385">
        <v>17068.68</v>
      </c>
      <c r="AC156" s="381">
        <v>51260</v>
      </c>
      <c r="AD156" s="385">
        <v>1896.52</v>
      </c>
      <c r="AE156" s="381" t="s">
        <v>944</v>
      </c>
      <c r="AF156" s="383"/>
      <c r="AG156" s="383"/>
      <c r="AH156" s="383" t="s">
        <v>57</v>
      </c>
      <c r="AI156" s="383" t="s">
        <v>4442</v>
      </c>
      <c r="AJ156" s="383" t="s">
        <v>4443</v>
      </c>
      <c r="AK156" s="383" t="s">
        <v>4437</v>
      </c>
      <c r="AL156" s="414"/>
      <c r="AM156" s="414" t="s">
        <v>3939</v>
      </c>
      <c r="AN156" s="393">
        <f t="shared" si="23"/>
        <v>12</v>
      </c>
      <c r="AO156" s="393">
        <f t="shared" si="24"/>
        <v>2023</v>
      </c>
      <c r="AP156" s="394">
        <f t="shared" si="25"/>
        <v>2033</v>
      </c>
      <c r="AQ156" s="395">
        <f t="shared" si="26"/>
        <v>2034</v>
      </c>
      <c r="AR156" s="396">
        <f t="shared" si="27"/>
        <v>1896.5246666666665</v>
      </c>
      <c r="AS156" s="397">
        <f t="shared" si="28"/>
        <v>22758.295999999998</v>
      </c>
      <c r="AT156" s="397">
        <f t="shared" si="29"/>
        <v>22758.295999999998</v>
      </c>
      <c r="AU156" s="397">
        <f t="shared" si="30"/>
        <v>7586.0986666649696</v>
      </c>
      <c r="AV156" s="397">
        <f t="shared" si="31"/>
        <v>30344.394666664968</v>
      </c>
      <c r="AW156" s="398">
        <f t="shared" si="32"/>
        <v>197238.56533333502</v>
      </c>
      <c r="AX156" s="386" t="s">
        <v>62</v>
      </c>
    </row>
    <row r="157" spans="2:50" ht="15.75" outlineLevel="1">
      <c r="B157" s="381">
        <v>2111</v>
      </c>
      <c r="C157" s="382">
        <v>319562</v>
      </c>
      <c r="D157" s="381" t="s">
        <v>944</v>
      </c>
      <c r="E157" s="383" t="s">
        <v>4240</v>
      </c>
      <c r="F157" s="392" t="s">
        <v>4303</v>
      </c>
      <c r="G157" s="392"/>
      <c r="H157" s="392"/>
      <c r="I157" s="381">
        <v>1</v>
      </c>
      <c r="J157" s="383" t="s">
        <v>4293</v>
      </c>
      <c r="K157" s="381">
        <v>2024</v>
      </c>
      <c r="L157" s="383"/>
      <c r="M157" s="383"/>
      <c r="N157" s="383" t="s">
        <v>4445</v>
      </c>
      <c r="O157" s="383" t="s">
        <v>4441</v>
      </c>
      <c r="P157" s="383" t="s">
        <v>4482</v>
      </c>
      <c r="Q157" s="383"/>
      <c r="R157" s="383"/>
      <c r="S157" s="384">
        <v>45281</v>
      </c>
      <c r="T157" s="384">
        <v>45281</v>
      </c>
      <c r="U157" s="383" t="s">
        <v>4294</v>
      </c>
      <c r="V157" s="381">
        <v>1000</v>
      </c>
      <c r="W157" s="381">
        <v>14040</v>
      </c>
      <c r="X157" s="385">
        <v>228483.05</v>
      </c>
      <c r="Y157" s="381">
        <v>14046</v>
      </c>
      <c r="Z157" s="385">
        <v>17136.27</v>
      </c>
      <c r="AA157" s="385">
        <f t="shared" si="22"/>
        <v>211346.78</v>
      </c>
      <c r="AB157" s="385">
        <v>17136.27</v>
      </c>
      <c r="AC157" s="381">
        <v>51260</v>
      </c>
      <c r="AD157" s="385">
        <v>1904.03</v>
      </c>
      <c r="AE157" s="381" t="s">
        <v>944</v>
      </c>
      <c r="AF157" s="383"/>
      <c r="AG157" s="383"/>
      <c r="AH157" s="383" t="s">
        <v>57</v>
      </c>
      <c r="AI157" s="383" t="s">
        <v>4442</v>
      </c>
      <c r="AJ157" s="383" t="s">
        <v>4443</v>
      </c>
      <c r="AK157" s="383" t="s">
        <v>4437</v>
      </c>
      <c r="AL157" s="414"/>
      <c r="AM157" s="414" t="s">
        <v>3939</v>
      </c>
      <c r="AN157" s="393">
        <f t="shared" si="23"/>
        <v>12</v>
      </c>
      <c r="AO157" s="393">
        <f t="shared" si="24"/>
        <v>2023</v>
      </c>
      <c r="AP157" s="394">
        <f t="shared" si="25"/>
        <v>2033</v>
      </c>
      <c r="AQ157" s="395">
        <f t="shared" si="26"/>
        <v>2034</v>
      </c>
      <c r="AR157" s="396">
        <f t="shared" si="27"/>
        <v>1904.0254166666666</v>
      </c>
      <c r="AS157" s="397">
        <f t="shared" si="28"/>
        <v>22848.305</v>
      </c>
      <c r="AT157" s="397">
        <f t="shared" si="29"/>
        <v>22848.305</v>
      </c>
      <c r="AU157" s="397">
        <f t="shared" si="30"/>
        <v>7616.1016666649375</v>
      </c>
      <c r="AV157" s="397">
        <f t="shared" si="31"/>
        <v>30464.406666664938</v>
      </c>
      <c r="AW157" s="398">
        <f t="shared" si="32"/>
        <v>198018.64333333506</v>
      </c>
      <c r="AX157" s="386" t="s">
        <v>62</v>
      </c>
    </row>
    <row r="158" spans="2:50" ht="15.75" outlineLevel="1">
      <c r="B158" s="381">
        <v>2111</v>
      </c>
      <c r="C158" s="382">
        <v>319454</v>
      </c>
      <c r="D158" s="381" t="s">
        <v>944</v>
      </c>
      <c r="E158" s="383" t="s">
        <v>4240</v>
      </c>
      <c r="F158" s="392" t="s">
        <v>4304</v>
      </c>
      <c r="G158" s="392"/>
      <c r="H158" s="392"/>
      <c r="I158" s="381">
        <v>200</v>
      </c>
      <c r="J158" s="383"/>
      <c r="K158" s="381">
        <v>0</v>
      </c>
      <c r="L158" s="383" t="s">
        <v>4305</v>
      </c>
      <c r="M158" s="383"/>
      <c r="N158" s="383" t="s">
        <v>4446</v>
      </c>
      <c r="O158" s="383" t="s">
        <v>4441</v>
      </c>
      <c r="P158" s="383"/>
      <c r="Q158" s="383"/>
      <c r="R158" s="383"/>
      <c r="S158" s="384">
        <v>45255</v>
      </c>
      <c r="T158" s="384">
        <v>45255</v>
      </c>
      <c r="U158" s="383" t="s">
        <v>4306</v>
      </c>
      <c r="V158" s="381">
        <v>700</v>
      </c>
      <c r="W158" s="381">
        <v>14050</v>
      </c>
      <c r="X158" s="385">
        <v>6884.17</v>
      </c>
      <c r="Y158" s="381">
        <v>14056</v>
      </c>
      <c r="Z158" s="385">
        <v>819.51</v>
      </c>
      <c r="AA158" s="385">
        <f t="shared" si="22"/>
        <v>6064.66</v>
      </c>
      <c r="AB158" s="385">
        <v>737.55</v>
      </c>
      <c r="AC158" s="381">
        <v>54260</v>
      </c>
      <c r="AD158" s="385">
        <v>81.95</v>
      </c>
      <c r="AE158" s="381" t="s">
        <v>944</v>
      </c>
      <c r="AF158" s="383"/>
      <c r="AG158" s="383"/>
      <c r="AH158" s="383" t="s">
        <v>57</v>
      </c>
      <c r="AI158" s="383" t="s">
        <v>4442</v>
      </c>
      <c r="AJ158" s="383" t="s">
        <v>4443</v>
      </c>
      <c r="AK158" s="383" t="s">
        <v>4437</v>
      </c>
      <c r="AL158" s="414"/>
      <c r="AM158" s="414" t="s">
        <v>1019</v>
      </c>
      <c r="AN158" s="393">
        <f t="shared" si="23"/>
        <v>11</v>
      </c>
      <c r="AO158" s="393">
        <f t="shared" si="24"/>
        <v>2023</v>
      </c>
      <c r="AP158" s="394">
        <f t="shared" si="25"/>
        <v>2030</v>
      </c>
      <c r="AQ158" s="395">
        <f t="shared" si="26"/>
        <v>2030.9166666666667</v>
      </c>
      <c r="AR158" s="396">
        <f t="shared" si="27"/>
        <v>81.954404761904769</v>
      </c>
      <c r="AS158" s="397">
        <f t="shared" si="28"/>
        <v>983.45285714285728</v>
      </c>
      <c r="AT158" s="397">
        <f t="shared" si="29"/>
        <v>983.45285714285728</v>
      </c>
      <c r="AU158" s="397">
        <f t="shared" si="30"/>
        <v>409.77202380937433</v>
      </c>
      <c r="AV158" s="397">
        <f t="shared" si="31"/>
        <v>1393.2248809522316</v>
      </c>
      <c r="AW158" s="398">
        <f t="shared" si="32"/>
        <v>5490.9451190477685</v>
      </c>
      <c r="AX158" s="386" t="s">
        <v>62</v>
      </c>
    </row>
    <row r="159" spans="2:50" ht="15.75" outlineLevel="1">
      <c r="B159" s="381">
        <v>2111</v>
      </c>
      <c r="C159" s="382">
        <v>319318</v>
      </c>
      <c r="D159" s="381" t="s">
        <v>944</v>
      </c>
      <c r="E159" s="383" t="s">
        <v>4240</v>
      </c>
      <c r="F159" s="392" t="s">
        <v>4307</v>
      </c>
      <c r="G159" s="392"/>
      <c r="H159" s="392"/>
      <c r="I159" s="381">
        <v>1</v>
      </c>
      <c r="J159" s="383" t="s">
        <v>4296</v>
      </c>
      <c r="K159" s="381">
        <v>2024</v>
      </c>
      <c r="L159" s="383"/>
      <c r="M159" s="383"/>
      <c r="N159" s="383" t="s">
        <v>4445</v>
      </c>
      <c r="O159" s="383" t="s">
        <v>4441</v>
      </c>
      <c r="P159" s="383" t="s">
        <v>4487</v>
      </c>
      <c r="Q159" s="383"/>
      <c r="R159" s="383"/>
      <c r="S159" s="384">
        <v>45267</v>
      </c>
      <c r="T159" s="384">
        <v>45267</v>
      </c>
      <c r="U159" s="383" t="s">
        <v>4297</v>
      </c>
      <c r="V159" s="381">
        <v>1000</v>
      </c>
      <c r="W159" s="381">
        <v>14040</v>
      </c>
      <c r="X159" s="385">
        <v>224947.36</v>
      </c>
      <c r="Y159" s="381">
        <v>14046</v>
      </c>
      <c r="Z159" s="385">
        <v>18745.599999999999</v>
      </c>
      <c r="AA159" s="385">
        <f t="shared" si="22"/>
        <v>206201.75999999998</v>
      </c>
      <c r="AB159" s="385">
        <v>16871.04</v>
      </c>
      <c r="AC159" s="381">
        <v>51260</v>
      </c>
      <c r="AD159" s="385">
        <v>1874.56</v>
      </c>
      <c r="AE159" s="381" t="s">
        <v>944</v>
      </c>
      <c r="AF159" s="383"/>
      <c r="AG159" s="383"/>
      <c r="AH159" s="383" t="s">
        <v>57</v>
      </c>
      <c r="AI159" s="383" t="s">
        <v>4442</v>
      </c>
      <c r="AJ159" s="383" t="s">
        <v>4443</v>
      </c>
      <c r="AK159" s="383" t="s">
        <v>4437</v>
      </c>
      <c r="AL159" s="414"/>
      <c r="AM159" s="414" t="s">
        <v>3939</v>
      </c>
      <c r="AN159" s="393">
        <f t="shared" si="23"/>
        <v>12</v>
      </c>
      <c r="AO159" s="393">
        <f t="shared" si="24"/>
        <v>2023</v>
      </c>
      <c r="AP159" s="394">
        <f t="shared" si="25"/>
        <v>2033</v>
      </c>
      <c r="AQ159" s="395">
        <f t="shared" si="26"/>
        <v>2034</v>
      </c>
      <c r="AR159" s="396">
        <f t="shared" si="27"/>
        <v>1874.5613333333331</v>
      </c>
      <c r="AS159" s="397">
        <f t="shared" si="28"/>
        <v>22494.735999999997</v>
      </c>
      <c r="AT159" s="397">
        <f t="shared" si="29"/>
        <v>22494.735999999997</v>
      </c>
      <c r="AU159" s="397">
        <f t="shared" si="30"/>
        <v>7498.2453333316371</v>
      </c>
      <c r="AV159" s="397">
        <f t="shared" si="31"/>
        <v>29992.981333331634</v>
      </c>
      <c r="AW159" s="398">
        <f t="shared" si="32"/>
        <v>194954.37866666834</v>
      </c>
      <c r="AX159" s="386" t="s">
        <v>62</v>
      </c>
    </row>
    <row r="160" spans="2:50" ht="15.75" outlineLevel="1">
      <c r="B160" s="381">
        <v>2111</v>
      </c>
      <c r="C160" s="382">
        <v>319317</v>
      </c>
      <c r="D160" s="381" t="s">
        <v>944</v>
      </c>
      <c r="E160" s="383" t="s">
        <v>4240</v>
      </c>
      <c r="F160" s="392" t="s">
        <v>4308</v>
      </c>
      <c r="G160" s="392"/>
      <c r="H160" s="392"/>
      <c r="I160" s="381">
        <v>1</v>
      </c>
      <c r="J160" s="383" t="s">
        <v>4309</v>
      </c>
      <c r="K160" s="381">
        <v>2024</v>
      </c>
      <c r="L160" s="383"/>
      <c r="M160" s="383"/>
      <c r="N160" s="383" t="s">
        <v>4445</v>
      </c>
      <c r="O160" s="383" t="s">
        <v>4441</v>
      </c>
      <c r="P160" s="383" t="s">
        <v>1004</v>
      </c>
      <c r="Q160" s="383"/>
      <c r="R160" s="383"/>
      <c r="S160" s="384">
        <v>45267</v>
      </c>
      <c r="T160" s="384">
        <v>45267</v>
      </c>
      <c r="U160" s="383" t="s">
        <v>4310</v>
      </c>
      <c r="V160" s="381">
        <v>1000</v>
      </c>
      <c r="W160" s="381">
        <v>14040</v>
      </c>
      <c r="X160" s="385">
        <v>237693.5</v>
      </c>
      <c r="Y160" s="381">
        <v>14046</v>
      </c>
      <c r="Z160" s="385">
        <v>19807.8</v>
      </c>
      <c r="AA160" s="385">
        <f t="shared" si="22"/>
        <v>217885.7</v>
      </c>
      <c r="AB160" s="385">
        <v>17827.02</v>
      </c>
      <c r="AC160" s="381">
        <v>51260</v>
      </c>
      <c r="AD160" s="385">
        <v>1980.78</v>
      </c>
      <c r="AE160" s="381" t="s">
        <v>944</v>
      </c>
      <c r="AF160" s="383"/>
      <c r="AG160" s="383"/>
      <c r="AH160" s="383" t="s">
        <v>57</v>
      </c>
      <c r="AI160" s="383" t="s">
        <v>4442</v>
      </c>
      <c r="AJ160" s="383" t="s">
        <v>4443</v>
      </c>
      <c r="AK160" s="383" t="s">
        <v>4437</v>
      </c>
      <c r="AL160" s="414"/>
      <c r="AM160" s="414" t="s">
        <v>3939</v>
      </c>
      <c r="AN160" s="393">
        <f t="shared" si="23"/>
        <v>12</v>
      </c>
      <c r="AO160" s="393">
        <f t="shared" si="24"/>
        <v>2023</v>
      </c>
      <c r="AP160" s="394">
        <f t="shared" si="25"/>
        <v>2033</v>
      </c>
      <c r="AQ160" s="395">
        <f t="shared" si="26"/>
        <v>2034</v>
      </c>
      <c r="AR160" s="396">
        <f t="shared" si="27"/>
        <v>1980.7791666666665</v>
      </c>
      <c r="AS160" s="397">
        <f t="shared" si="28"/>
        <v>23769.35</v>
      </c>
      <c r="AT160" s="397">
        <f t="shared" si="29"/>
        <v>23769.35</v>
      </c>
      <c r="AU160" s="397">
        <f t="shared" si="30"/>
        <v>7923.1166666648933</v>
      </c>
      <c r="AV160" s="397">
        <f t="shared" si="31"/>
        <v>31692.466666664892</v>
      </c>
      <c r="AW160" s="398">
        <f t="shared" si="32"/>
        <v>206001.0333333351</v>
      </c>
      <c r="AX160" s="386" t="s">
        <v>62</v>
      </c>
    </row>
    <row r="161" spans="2:50" ht="15.75" outlineLevel="1">
      <c r="B161" s="381">
        <v>2111</v>
      </c>
      <c r="C161" s="382">
        <v>319316</v>
      </c>
      <c r="D161" s="381" t="s">
        <v>944</v>
      </c>
      <c r="E161" s="383" t="s">
        <v>4240</v>
      </c>
      <c r="F161" s="392" t="s">
        <v>4303</v>
      </c>
      <c r="G161" s="392"/>
      <c r="H161" s="392"/>
      <c r="I161" s="381">
        <v>1</v>
      </c>
      <c r="J161" s="383" t="s">
        <v>4299</v>
      </c>
      <c r="K161" s="381">
        <v>2024</v>
      </c>
      <c r="L161" s="383"/>
      <c r="M161" s="383"/>
      <c r="N161" s="383" t="s">
        <v>4445</v>
      </c>
      <c r="O161" s="383" t="s">
        <v>4441</v>
      </c>
      <c r="P161" s="383" t="s">
        <v>4482</v>
      </c>
      <c r="Q161" s="383"/>
      <c r="R161" s="383"/>
      <c r="S161" s="384">
        <v>45267</v>
      </c>
      <c r="T161" s="384">
        <v>45267</v>
      </c>
      <c r="U161" s="383" t="s">
        <v>4300</v>
      </c>
      <c r="V161" s="381">
        <v>1000</v>
      </c>
      <c r="W161" s="381">
        <v>14040</v>
      </c>
      <c r="X161" s="385">
        <v>227583.04</v>
      </c>
      <c r="Y161" s="381">
        <v>14046</v>
      </c>
      <c r="Z161" s="385">
        <v>18965.3</v>
      </c>
      <c r="AA161" s="385">
        <f t="shared" si="22"/>
        <v>208617.74000000002</v>
      </c>
      <c r="AB161" s="385">
        <v>17068.77</v>
      </c>
      <c r="AC161" s="381">
        <v>51260</v>
      </c>
      <c r="AD161" s="385">
        <v>1896.53</v>
      </c>
      <c r="AE161" s="381" t="s">
        <v>944</v>
      </c>
      <c r="AF161" s="383"/>
      <c r="AG161" s="383"/>
      <c r="AH161" s="383" t="s">
        <v>57</v>
      </c>
      <c r="AI161" s="383" t="s">
        <v>4442</v>
      </c>
      <c r="AJ161" s="383" t="s">
        <v>4443</v>
      </c>
      <c r="AK161" s="383" t="s">
        <v>4437</v>
      </c>
      <c r="AL161" s="414"/>
      <c r="AM161" s="414" t="s">
        <v>3939</v>
      </c>
      <c r="AN161" s="393">
        <f t="shared" si="23"/>
        <v>12</v>
      </c>
      <c r="AO161" s="393">
        <f t="shared" si="24"/>
        <v>2023</v>
      </c>
      <c r="AP161" s="394">
        <f t="shared" si="25"/>
        <v>2033</v>
      </c>
      <c r="AQ161" s="395">
        <f t="shared" si="26"/>
        <v>2034</v>
      </c>
      <c r="AR161" s="396">
        <f t="shared" si="27"/>
        <v>1896.5253333333333</v>
      </c>
      <c r="AS161" s="397">
        <f t="shared" si="28"/>
        <v>22758.304</v>
      </c>
      <c r="AT161" s="397">
        <f t="shared" si="29"/>
        <v>22758.304</v>
      </c>
      <c r="AU161" s="397">
        <f t="shared" si="30"/>
        <v>7586.1013333316369</v>
      </c>
      <c r="AV161" s="397">
        <f t="shared" si="31"/>
        <v>30344.405333331637</v>
      </c>
      <c r="AW161" s="398">
        <f t="shared" si="32"/>
        <v>197238.63466666837</v>
      </c>
      <c r="AX161" s="386" t="s">
        <v>62</v>
      </c>
    </row>
    <row r="162" spans="2:50" ht="15.75" outlineLevel="1">
      <c r="B162" s="381">
        <v>2111</v>
      </c>
      <c r="C162" s="382">
        <v>319301</v>
      </c>
      <c r="D162" s="381">
        <v>309961</v>
      </c>
      <c r="E162" s="383" t="s">
        <v>4240</v>
      </c>
      <c r="F162" s="392" t="s">
        <v>4311</v>
      </c>
      <c r="G162" s="392"/>
      <c r="H162" s="392"/>
      <c r="I162" s="381">
        <v>1</v>
      </c>
      <c r="J162" s="383"/>
      <c r="K162" s="381">
        <v>0</v>
      </c>
      <c r="L162" s="383"/>
      <c r="M162" s="383"/>
      <c r="N162" s="383" t="s">
        <v>4462</v>
      </c>
      <c r="O162" s="383" t="s">
        <v>4441</v>
      </c>
      <c r="P162" s="383"/>
      <c r="Q162" s="383"/>
      <c r="R162" s="383"/>
      <c r="S162" s="384">
        <v>45222</v>
      </c>
      <c r="T162" s="384">
        <v>45222</v>
      </c>
      <c r="U162" s="383" t="s">
        <v>4312</v>
      </c>
      <c r="V162" s="381">
        <v>1000</v>
      </c>
      <c r="W162" s="381">
        <v>14010</v>
      </c>
      <c r="X162" s="385">
        <v>789.5</v>
      </c>
      <c r="Y162" s="381">
        <v>14016</v>
      </c>
      <c r="Z162" s="385">
        <v>72.38</v>
      </c>
      <c r="AA162" s="385">
        <f t="shared" si="22"/>
        <v>717.12</v>
      </c>
      <c r="AB162" s="385">
        <v>59.22</v>
      </c>
      <c r="AC162" s="381">
        <v>57260</v>
      </c>
      <c r="AD162" s="385">
        <v>6.58</v>
      </c>
      <c r="AE162" s="381" t="s">
        <v>944</v>
      </c>
      <c r="AF162" s="383"/>
      <c r="AG162" s="383"/>
      <c r="AH162" s="383" t="s">
        <v>57</v>
      </c>
      <c r="AI162" s="383" t="s">
        <v>4442</v>
      </c>
      <c r="AJ162" s="383" t="s">
        <v>4443</v>
      </c>
      <c r="AK162" s="383" t="s">
        <v>4437</v>
      </c>
      <c r="AL162" s="414"/>
      <c r="AM162" s="414" t="s">
        <v>136</v>
      </c>
      <c r="AN162" s="393">
        <f t="shared" si="23"/>
        <v>10</v>
      </c>
      <c r="AO162" s="393">
        <f t="shared" si="24"/>
        <v>2023</v>
      </c>
      <c r="AP162" s="394">
        <f t="shared" si="25"/>
        <v>2033</v>
      </c>
      <c r="AQ162" s="395">
        <f t="shared" si="26"/>
        <v>2033.8333333333333</v>
      </c>
      <c r="AR162" s="396">
        <f t="shared" si="27"/>
        <v>6.5791666666666666</v>
      </c>
      <c r="AS162" s="397">
        <f t="shared" si="28"/>
        <v>78.95</v>
      </c>
      <c r="AT162" s="397">
        <f t="shared" si="29"/>
        <v>78.95</v>
      </c>
      <c r="AU162" s="397">
        <f t="shared" si="30"/>
        <v>39.475000000000023</v>
      </c>
      <c r="AV162" s="397">
        <f t="shared" si="31"/>
        <v>118.42500000000003</v>
      </c>
      <c r="AW162" s="398">
        <f t="shared" si="32"/>
        <v>671.07499999999993</v>
      </c>
      <c r="AX162" s="386" t="s">
        <v>62</v>
      </c>
    </row>
    <row r="163" spans="2:50" ht="15.75" outlineLevel="1">
      <c r="B163" s="381">
        <v>2111</v>
      </c>
      <c r="C163" s="382">
        <v>319167</v>
      </c>
      <c r="D163" s="381" t="s">
        <v>944</v>
      </c>
      <c r="E163" s="383" t="s">
        <v>4240</v>
      </c>
      <c r="F163" s="392" t="s">
        <v>4313</v>
      </c>
      <c r="G163" s="392"/>
      <c r="H163" s="392"/>
      <c r="I163" s="381">
        <v>936</v>
      </c>
      <c r="J163" s="383"/>
      <c r="K163" s="381">
        <v>0</v>
      </c>
      <c r="L163" s="383" t="s">
        <v>4305</v>
      </c>
      <c r="M163" s="383"/>
      <c r="N163" s="383" t="s">
        <v>4446</v>
      </c>
      <c r="O163" s="383" t="s">
        <v>4441</v>
      </c>
      <c r="P163" s="383"/>
      <c r="Q163" s="383"/>
      <c r="R163" s="383"/>
      <c r="S163" s="384">
        <v>45230</v>
      </c>
      <c r="T163" s="384">
        <v>45230</v>
      </c>
      <c r="U163" s="383" t="s">
        <v>4314</v>
      </c>
      <c r="V163" s="381">
        <v>700</v>
      </c>
      <c r="W163" s="381">
        <v>14050</v>
      </c>
      <c r="X163" s="385">
        <v>51042.45</v>
      </c>
      <c r="Y163" s="381">
        <v>14056</v>
      </c>
      <c r="Z163" s="385">
        <v>6684.15</v>
      </c>
      <c r="AA163" s="385">
        <f t="shared" si="22"/>
        <v>44358.299999999996</v>
      </c>
      <c r="AB163" s="385">
        <v>5468.85</v>
      </c>
      <c r="AC163" s="381">
        <v>54260</v>
      </c>
      <c r="AD163" s="385">
        <v>607.65</v>
      </c>
      <c r="AE163" s="381" t="s">
        <v>944</v>
      </c>
      <c r="AF163" s="383"/>
      <c r="AG163" s="383"/>
      <c r="AH163" s="383" t="s">
        <v>57</v>
      </c>
      <c r="AI163" s="383" t="s">
        <v>4442</v>
      </c>
      <c r="AJ163" s="383" t="s">
        <v>4443</v>
      </c>
      <c r="AK163" s="383" t="s">
        <v>4437</v>
      </c>
      <c r="AL163" s="414"/>
      <c r="AM163" s="414" t="s">
        <v>1019</v>
      </c>
      <c r="AN163" s="393">
        <f t="shared" si="23"/>
        <v>10</v>
      </c>
      <c r="AO163" s="393">
        <f t="shared" si="24"/>
        <v>2023</v>
      </c>
      <c r="AP163" s="394">
        <f t="shared" si="25"/>
        <v>2030</v>
      </c>
      <c r="AQ163" s="395">
        <f t="shared" si="26"/>
        <v>2030.8333333333333</v>
      </c>
      <c r="AR163" s="396">
        <f t="shared" si="27"/>
        <v>607.64821428571429</v>
      </c>
      <c r="AS163" s="397">
        <f t="shared" si="28"/>
        <v>7291.778571428571</v>
      </c>
      <c r="AT163" s="397">
        <f t="shared" si="29"/>
        <v>7291.778571428571</v>
      </c>
      <c r="AU163" s="397">
        <f t="shared" si="30"/>
        <v>3645.8892857142855</v>
      </c>
      <c r="AV163" s="397">
        <f t="shared" si="31"/>
        <v>10937.667857142857</v>
      </c>
      <c r="AW163" s="398">
        <f t="shared" si="32"/>
        <v>40104.782142857141</v>
      </c>
      <c r="AX163" s="386" t="s">
        <v>62</v>
      </c>
    </row>
    <row r="164" spans="2:50" ht="15.75" outlineLevel="1">
      <c r="B164" s="381">
        <v>2111</v>
      </c>
      <c r="C164" s="382">
        <v>319166</v>
      </c>
      <c r="D164" s="381" t="s">
        <v>944</v>
      </c>
      <c r="E164" s="383" t="s">
        <v>4240</v>
      </c>
      <c r="F164" s="392" t="s">
        <v>2288</v>
      </c>
      <c r="G164" s="392"/>
      <c r="H164" s="392"/>
      <c r="I164" s="381">
        <v>702</v>
      </c>
      <c r="J164" s="383"/>
      <c r="K164" s="381">
        <v>0</v>
      </c>
      <c r="L164" s="383" t="s">
        <v>4305</v>
      </c>
      <c r="M164" s="383"/>
      <c r="N164" s="383" t="s">
        <v>4446</v>
      </c>
      <c r="O164" s="383" t="s">
        <v>4441</v>
      </c>
      <c r="P164" s="383"/>
      <c r="Q164" s="383"/>
      <c r="R164" s="383"/>
      <c r="S164" s="384">
        <v>45230</v>
      </c>
      <c r="T164" s="384">
        <v>45230</v>
      </c>
      <c r="U164" s="383" t="s">
        <v>4314</v>
      </c>
      <c r="V164" s="381">
        <v>700</v>
      </c>
      <c r="W164" s="381">
        <v>14050</v>
      </c>
      <c r="X164" s="385">
        <v>43367.54</v>
      </c>
      <c r="Y164" s="381">
        <v>14056</v>
      </c>
      <c r="Z164" s="385">
        <v>5679.08</v>
      </c>
      <c r="AA164" s="385">
        <f t="shared" si="22"/>
        <v>37688.46</v>
      </c>
      <c r="AB164" s="385">
        <v>4646.5200000000004</v>
      </c>
      <c r="AC164" s="381">
        <v>54260</v>
      </c>
      <c r="AD164" s="385">
        <v>516.28</v>
      </c>
      <c r="AE164" s="381" t="s">
        <v>944</v>
      </c>
      <c r="AF164" s="383"/>
      <c r="AG164" s="383"/>
      <c r="AH164" s="383" t="s">
        <v>57</v>
      </c>
      <c r="AI164" s="383" t="s">
        <v>4442</v>
      </c>
      <c r="AJ164" s="383" t="s">
        <v>4443</v>
      </c>
      <c r="AK164" s="383" t="s">
        <v>4437</v>
      </c>
      <c r="AL164" s="414"/>
      <c r="AM164" s="414" t="s">
        <v>1019</v>
      </c>
      <c r="AN164" s="393">
        <f t="shared" si="23"/>
        <v>10</v>
      </c>
      <c r="AO164" s="393">
        <f t="shared" si="24"/>
        <v>2023</v>
      </c>
      <c r="AP164" s="394">
        <f t="shared" si="25"/>
        <v>2030</v>
      </c>
      <c r="AQ164" s="395">
        <f t="shared" si="26"/>
        <v>2030.8333333333333</v>
      </c>
      <c r="AR164" s="396">
        <f t="shared" si="27"/>
        <v>516.28023809523813</v>
      </c>
      <c r="AS164" s="397">
        <f t="shared" si="28"/>
        <v>6195.362857142858</v>
      </c>
      <c r="AT164" s="397">
        <f t="shared" si="29"/>
        <v>6195.362857142858</v>
      </c>
      <c r="AU164" s="397">
        <f t="shared" si="30"/>
        <v>3097.6814285714281</v>
      </c>
      <c r="AV164" s="397">
        <f t="shared" si="31"/>
        <v>9293.0442857142862</v>
      </c>
      <c r="AW164" s="398">
        <f t="shared" si="32"/>
        <v>34074.495714285717</v>
      </c>
      <c r="AX164" s="386" t="s">
        <v>62</v>
      </c>
    </row>
    <row r="165" spans="2:50" ht="15.75" outlineLevel="1">
      <c r="B165" s="381">
        <v>2111</v>
      </c>
      <c r="C165" s="382">
        <v>319165</v>
      </c>
      <c r="D165" s="381" t="s">
        <v>944</v>
      </c>
      <c r="E165" s="383" t="s">
        <v>4240</v>
      </c>
      <c r="F165" s="392" t="s">
        <v>2288</v>
      </c>
      <c r="G165" s="392"/>
      <c r="H165" s="392"/>
      <c r="I165" s="381">
        <v>702</v>
      </c>
      <c r="J165" s="383"/>
      <c r="K165" s="381">
        <v>0</v>
      </c>
      <c r="L165" s="383" t="s">
        <v>4305</v>
      </c>
      <c r="M165" s="383"/>
      <c r="N165" s="383" t="s">
        <v>4446</v>
      </c>
      <c r="O165" s="383" t="s">
        <v>4441</v>
      </c>
      <c r="P165" s="383"/>
      <c r="Q165" s="383"/>
      <c r="R165" s="383"/>
      <c r="S165" s="384">
        <v>45230</v>
      </c>
      <c r="T165" s="384">
        <v>45230</v>
      </c>
      <c r="U165" s="383" t="s">
        <v>4314</v>
      </c>
      <c r="V165" s="381">
        <v>700</v>
      </c>
      <c r="W165" s="381">
        <v>14050</v>
      </c>
      <c r="X165" s="385">
        <v>43367.54</v>
      </c>
      <c r="Y165" s="381">
        <v>14056</v>
      </c>
      <c r="Z165" s="385">
        <v>5679.08</v>
      </c>
      <c r="AA165" s="385">
        <f t="shared" ref="AA165:AA228" si="33">+X165-Z165</f>
        <v>37688.46</v>
      </c>
      <c r="AB165" s="385">
        <v>4646.5200000000004</v>
      </c>
      <c r="AC165" s="381">
        <v>54260</v>
      </c>
      <c r="AD165" s="385">
        <v>516.28</v>
      </c>
      <c r="AE165" s="381" t="s">
        <v>944</v>
      </c>
      <c r="AF165" s="383"/>
      <c r="AG165" s="383"/>
      <c r="AH165" s="383" t="s">
        <v>57</v>
      </c>
      <c r="AI165" s="383" t="s">
        <v>4442</v>
      </c>
      <c r="AJ165" s="383" t="s">
        <v>4443</v>
      </c>
      <c r="AK165" s="383" t="s">
        <v>4437</v>
      </c>
      <c r="AL165" s="414"/>
      <c r="AM165" s="414" t="s">
        <v>1019</v>
      </c>
      <c r="AN165" s="393">
        <f t="shared" ref="AN165:AN228" si="34">MONTH($S165)</f>
        <v>10</v>
      </c>
      <c r="AO165" s="393">
        <f t="shared" ref="AO165:AO228" si="35">YEAR($S165)</f>
        <v>2023</v>
      </c>
      <c r="AP165" s="394">
        <f t="shared" ref="AP165:AP228" si="36">$AO165+($V165/100)</f>
        <v>2030</v>
      </c>
      <c r="AQ165" s="395">
        <f t="shared" ref="AQ165:AQ228" si="37">$AP165+($AN165/12)</f>
        <v>2030.8333333333333</v>
      </c>
      <c r="AR165" s="396">
        <f t="shared" ref="AR165:AR228" si="38">IFERROR($X165/($V165/100)/12,0)</f>
        <v>516.28023809523813</v>
      </c>
      <c r="AS165" s="397">
        <f t="shared" ref="AS165:AS228" si="39">$AR165*12</f>
        <v>6195.362857142858</v>
      </c>
      <c r="AT165" s="397">
        <f t="shared" ref="AT165:AT228" si="40">IF(AQ165&lt;=$AK$12,0,AS165)</f>
        <v>6195.362857142858</v>
      </c>
      <c r="AU165" s="397">
        <f t="shared" ref="AU165:AU228" si="41">IF(AQ165&lt;=$AK$13,X165,IF(((AO165+AN165/12))&gt;=$AK$13,0,((X165-((AQ165-$AK$13)*12)*AR165))))</f>
        <v>3097.6814285714281</v>
      </c>
      <c r="AV165" s="397">
        <f t="shared" ref="AV165:AV228" si="42">IF(AQ165&lt;=$AK$12,X165,AT165+AU165)</f>
        <v>9293.0442857142862</v>
      </c>
      <c r="AW165" s="398">
        <f t="shared" ref="AW165:AW228" si="43">+X165-AV165</f>
        <v>34074.495714285717</v>
      </c>
      <c r="AX165" s="386" t="s">
        <v>62</v>
      </c>
    </row>
    <row r="166" spans="2:50" ht="15.75" outlineLevel="1">
      <c r="B166" s="381">
        <v>2111</v>
      </c>
      <c r="C166" s="382">
        <v>319156</v>
      </c>
      <c r="D166" s="381">
        <v>319318</v>
      </c>
      <c r="E166" s="383" t="s">
        <v>4240</v>
      </c>
      <c r="F166" s="392" t="s">
        <v>4315</v>
      </c>
      <c r="G166" s="392"/>
      <c r="H166" s="392"/>
      <c r="I166" s="381">
        <v>1</v>
      </c>
      <c r="J166" s="383"/>
      <c r="K166" s="381">
        <v>0</v>
      </c>
      <c r="L166" s="383" t="s">
        <v>4316</v>
      </c>
      <c r="M166" s="383"/>
      <c r="N166" s="383" t="s">
        <v>4445</v>
      </c>
      <c r="O166" s="383" t="s">
        <v>4441</v>
      </c>
      <c r="P166" s="383" t="s">
        <v>1467</v>
      </c>
      <c r="Q166" s="383"/>
      <c r="R166" s="383"/>
      <c r="S166" s="384">
        <v>45218</v>
      </c>
      <c r="T166" s="384">
        <v>45218</v>
      </c>
      <c r="U166" s="383" t="s">
        <v>4297</v>
      </c>
      <c r="V166" s="381">
        <v>500</v>
      </c>
      <c r="W166" s="381">
        <v>14040</v>
      </c>
      <c r="X166" s="385">
        <v>900.01</v>
      </c>
      <c r="Y166" s="381">
        <v>14046</v>
      </c>
      <c r="Z166" s="385">
        <v>165</v>
      </c>
      <c r="AA166" s="385">
        <f t="shared" si="33"/>
        <v>735.01</v>
      </c>
      <c r="AB166" s="385">
        <v>135</v>
      </c>
      <c r="AC166" s="381">
        <v>51260</v>
      </c>
      <c r="AD166" s="385">
        <v>15</v>
      </c>
      <c r="AE166" s="381" t="s">
        <v>944</v>
      </c>
      <c r="AF166" s="383"/>
      <c r="AG166" s="383"/>
      <c r="AH166" s="383" t="s">
        <v>57</v>
      </c>
      <c r="AI166" s="383" t="s">
        <v>4442</v>
      </c>
      <c r="AJ166" s="383" t="s">
        <v>4443</v>
      </c>
      <c r="AK166" s="383" t="s">
        <v>4437</v>
      </c>
      <c r="AL166" s="414"/>
      <c r="AM166" s="414" t="s">
        <v>3940</v>
      </c>
      <c r="AN166" s="393">
        <f t="shared" si="34"/>
        <v>10</v>
      </c>
      <c r="AO166" s="393">
        <f t="shared" si="35"/>
        <v>2023</v>
      </c>
      <c r="AP166" s="394">
        <f t="shared" si="36"/>
        <v>2028</v>
      </c>
      <c r="AQ166" s="395">
        <f t="shared" si="37"/>
        <v>2028.8333333333333</v>
      </c>
      <c r="AR166" s="396">
        <f t="shared" si="38"/>
        <v>15.000166666666667</v>
      </c>
      <c r="AS166" s="397">
        <f t="shared" si="39"/>
        <v>180.00200000000001</v>
      </c>
      <c r="AT166" s="397">
        <f t="shared" si="40"/>
        <v>180.00200000000001</v>
      </c>
      <c r="AU166" s="397">
        <f t="shared" si="41"/>
        <v>90.000999999999976</v>
      </c>
      <c r="AV166" s="397">
        <f t="shared" si="42"/>
        <v>270.00299999999999</v>
      </c>
      <c r="AW166" s="398">
        <f t="shared" si="43"/>
        <v>630.00700000000006</v>
      </c>
      <c r="AX166" s="386" t="s">
        <v>62</v>
      </c>
    </row>
    <row r="167" spans="2:50" ht="15.75" outlineLevel="1">
      <c r="B167" s="381">
        <v>2111</v>
      </c>
      <c r="C167" s="382">
        <v>319153</v>
      </c>
      <c r="D167" s="381">
        <v>319563</v>
      </c>
      <c r="E167" s="383" t="s">
        <v>4240</v>
      </c>
      <c r="F167" s="392" t="s">
        <v>4317</v>
      </c>
      <c r="G167" s="392"/>
      <c r="H167" s="392"/>
      <c r="I167" s="381">
        <v>1</v>
      </c>
      <c r="J167" s="383"/>
      <c r="K167" s="381">
        <v>0</v>
      </c>
      <c r="L167" s="383" t="s">
        <v>4316</v>
      </c>
      <c r="M167" s="383"/>
      <c r="N167" s="383" t="s">
        <v>4445</v>
      </c>
      <c r="O167" s="383" t="s">
        <v>4441</v>
      </c>
      <c r="P167" s="383" t="s">
        <v>1467</v>
      </c>
      <c r="Q167" s="383"/>
      <c r="R167" s="383"/>
      <c r="S167" s="384">
        <v>45218</v>
      </c>
      <c r="T167" s="384">
        <v>45218</v>
      </c>
      <c r="U167" s="383" t="s">
        <v>4302</v>
      </c>
      <c r="V167" s="381">
        <v>500</v>
      </c>
      <c r="W167" s="381">
        <v>14040</v>
      </c>
      <c r="X167" s="385">
        <v>900.01</v>
      </c>
      <c r="Y167" s="381">
        <v>14046</v>
      </c>
      <c r="Z167" s="385">
        <v>165</v>
      </c>
      <c r="AA167" s="385">
        <f t="shared" si="33"/>
        <v>735.01</v>
      </c>
      <c r="AB167" s="385">
        <v>135</v>
      </c>
      <c r="AC167" s="381">
        <v>51260</v>
      </c>
      <c r="AD167" s="385">
        <v>15</v>
      </c>
      <c r="AE167" s="381" t="s">
        <v>944</v>
      </c>
      <c r="AF167" s="383"/>
      <c r="AG167" s="383"/>
      <c r="AH167" s="383" t="s">
        <v>57</v>
      </c>
      <c r="AI167" s="383" t="s">
        <v>4442</v>
      </c>
      <c r="AJ167" s="383" t="s">
        <v>4443</v>
      </c>
      <c r="AK167" s="383" t="s">
        <v>4437</v>
      </c>
      <c r="AL167" s="414"/>
      <c r="AM167" s="414" t="s">
        <v>3939</v>
      </c>
      <c r="AN167" s="393">
        <f t="shared" si="34"/>
        <v>10</v>
      </c>
      <c r="AO167" s="393">
        <f t="shared" si="35"/>
        <v>2023</v>
      </c>
      <c r="AP167" s="394">
        <f t="shared" si="36"/>
        <v>2028</v>
      </c>
      <c r="AQ167" s="395">
        <f t="shared" si="37"/>
        <v>2028.8333333333333</v>
      </c>
      <c r="AR167" s="396">
        <f t="shared" si="38"/>
        <v>15.000166666666667</v>
      </c>
      <c r="AS167" s="397">
        <f t="shared" si="39"/>
        <v>180.00200000000001</v>
      </c>
      <c r="AT167" s="397">
        <f t="shared" si="40"/>
        <v>180.00200000000001</v>
      </c>
      <c r="AU167" s="397">
        <f t="shared" si="41"/>
        <v>90.000999999999976</v>
      </c>
      <c r="AV167" s="397">
        <f t="shared" si="42"/>
        <v>270.00299999999999</v>
      </c>
      <c r="AW167" s="398">
        <f t="shared" si="43"/>
        <v>630.00700000000006</v>
      </c>
      <c r="AX167" s="386" t="s">
        <v>62</v>
      </c>
    </row>
    <row r="168" spans="2:50" ht="15.75" outlineLevel="1">
      <c r="B168" s="381">
        <v>2111</v>
      </c>
      <c r="C168" s="382">
        <v>319152</v>
      </c>
      <c r="D168" s="381">
        <v>319563</v>
      </c>
      <c r="E168" s="383" t="s">
        <v>4240</v>
      </c>
      <c r="F168" s="392" t="s">
        <v>4318</v>
      </c>
      <c r="G168" s="392"/>
      <c r="H168" s="392"/>
      <c r="I168" s="381">
        <v>1</v>
      </c>
      <c r="J168" s="383"/>
      <c r="K168" s="381">
        <v>0</v>
      </c>
      <c r="L168" s="383" t="s">
        <v>4316</v>
      </c>
      <c r="M168" s="383"/>
      <c r="N168" s="383" t="s">
        <v>4445</v>
      </c>
      <c r="O168" s="383" t="s">
        <v>4441</v>
      </c>
      <c r="P168" s="383" t="s">
        <v>1467</v>
      </c>
      <c r="Q168" s="383"/>
      <c r="R168" s="383"/>
      <c r="S168" s="384">
        <v>45218</v>
      </c>
      <c r="T168" s="384">
        <v>45218</v>
      </c>
      <c r="U168" s="383" t="s">
        <v>4302</v>
      </c>
      <c r="V168" s="381">
        <v>500</v>
      </c>
      <c r="W168" s="381">
        <v>14040</v>
      </c>
      <c r="X168" s="385">
        <v>900.01</v>
      </c>
      <c r="Y168" s="381">
        <v>14046</v>
      </c>
      <c r="Z168" s="385">
        <v>165</v>
      </c>
      <c r="AA168" s="385">
        <f t="shared" si="33"/>
        <v>735.01</v>
      </c>
      <c r="AB168" s="385">
        <v>135</v>
      </c>
      <c r="AC168" s="381">
        <v>51260</v>
      </c>
      <c r="AD168" s="385">
        <v>15</v>
      </c>
      <c r="AE168" s="381" t="s">
        <v>944</v>
      </c>
      <c r="AF168" s="383"/>
      <c r="AG168" s="383"/>
      <c r="AH168" s="383" t="s">
        <v>57</v>
      </c>
      <c r="AI168" s="383" t="s">
        <v>4442</v>
      </c>
      <c r="AJ168" s="383" t="s">
        <v>4443</v>
      </c>
      <c r="AK168" s="383" t="s">
        <v>4437</v>
      </c>
      <c r="AL168" s="414"/>
      <c r="AM168" s="414" t="s">
        <v>3939</v>
      </c>
      <c r="AN168" s="393">
        <f t="shared" si="34"/>
        <v>10</v>
      </c>
      <c r="AO168" s="393">
        <f t="shared" si="35"/>
        <v>2023</v>
      </c>
      <c r="AP168" s="394">
        <f t="shared" si="36"/>
        <v>2028</v>
      </c>
      <c r="AQ168" s="395">
        <f t="shared" si="37"/>
        <v>2028.8333333333333</v>
      </c>
      <c r="AR168" s="396">
        <f t="shared" si="38"/>
        <v>15.000166666666667</v>
      </c>
      <c r="AS168" s="397">
        <f t="shared" si="39"/>
        <v>180.00200000000001</v>
      </c>
      <c r="AT168" s="397">
        <f t="shared" si="40"/>
        <v>180.00200000000001</v>
      </c>
      <c r="AU168" s="397">
        <f t="shared" si="41"/>
        <v>90.000999999999976</v>
      </c>
      <c r="AV168" s="397">
        <f t="shared" si="42"/>
        <v>270.00299999999999</v>
      </c>
      <c r="AW168" s="398">
        <f t="shared" si="43"/>
        <v>630.00700000000006</v>
      </c>
      <c r="AX168" s="386" t="s">
        <v>62</v>
      </c>
    </row>
    <row r="169" spans="2:50" ht="15.75" outlineLevel="1">
      <c r="B169" s="381">
        <v>2111</v>
      </c>
      <c r="C169" s="382">
        <v>319149</v>
      </c>
      <c r="D169" s="381">
        <v>315529</v>
      </c>
      <c r="E169" s="383" t="s">
        <v>4240</v>
      </c>
      <c r="F169" s="392" t="s">
        <v>4319</v>
      </c>
      <c r="G169" s="392"/>
      <c r="H169" s="392"/>
      <c r="I169" s="381">
        <v>1</v>
      </c>
      <c r="J169" s="383"/>
      <c r="K169" s="381">
        <v>0</v>
      </c>
      <c r="L169" s="383" t="s">
        <v>4316</v>
      </c>
      <c r="M169" s="383"/>
      <c r="N169" s="383" t="s">
        <v>4445</v>
      </c>
      <c r="O169" s="383" t="s">
        <v>4441</v>
      </c>
      <c r="P169" s="383" t="s">
        <v>1467</v>
      </c>
      <c r="Q169" s="383"/>
      <c r="R169" s="383"/>
      <c r="S169" s="384">
        <v>45205</v>
      </c>
      <c r="T169" s="384">
        <v>45205</v>
      </c>
      <c r="U169" s="383" t="s">
        <v>4288</v>
      </c>
      <c r="V169" s="381">
        <v>500</v>
      </c>
      <c r="W169" s="381">
        <v>14040</v>
      </c>
      <c r="X169" s="385">
        <v>900.01</v>
      </c>
      <c r="Y169" s="381">
        <v>14046</v>
      </c>
      <c r="Z169" s="385">
        <v>180</v>
      </c>
      <c r="AA169" s="385">
        <f t="shared" si="33"/>
        <v>720.01</v>
      </c>
      <c r="AB169" s="385">
        <v>135</v>
      </c>
      <c r="AC169" s="381">
        <v>51260</v>
      </c>
      <c r="AD169" s="385">
        <v>15</v>
      </c>
      <c r="AE169" s="381" t="s">
        <v>944</v>
      </c>
      <c r="AF169" s="383"/>
      <c r="AG169" s="383"/>
      <c r="AH169" s="383" t="s">
        <v>57</v>
      </c>
      <c r="AI169" s="383" t="s">
        <v>4442</v>
      </c>
      <c r="AJ169" s="383" t="s">
        <v>4443</v>
      </c>
      <c r="AK169" s="383" t="s">
        <v>4437</v>
      </c>
      <c r="AL169" s="414"/>
      <c r="AM169" s="414" t="s">
        <v>3939</v>
      </c>
      <c r="AN169" s="393">
        <f t="shared" si="34"/>
        <v>10</v>
      </c>
      <c r="AO169" s="393">
        <f t="shared" si="35"/>
        <v>2023</v>
      </c>
      <c r="AP169" s="394">
        <f t="shared" si="36"/>
        <v>2028</v>
      </c>
      <c r="AQ169" s="395">
        <f t="shared" si="37"/>
        <v>2028.8333333333333</v>
      </c>
      <c r="AR169" s="396">
        <f t="shared" si="38"/>
        <v>15.000166666666667</v>
      </c>
      <c r="AS169" s="397">
        <f t="shared" si="39"/>
        <v>180.00200000000001</v>
      </c>
      <c r="AT169" s="397">
        <f t="shared" si="40"/>
        <v>180.00200000000001</v>
      </c>
      <c r="AU169" s="397">
        <f t="shared" si="41"/>
        <v>90.000999999999976</v>
      </c>
      <c r="AV169" s="397">
        <f t="shared" si="42"/>
        <v>270.00299999999999</v>
      </c>
      <c r="AW169" s="398">
        <f t="shared" si="43"/>
        <v>630.00700000000006</v>
      </c>
      <c r="AX169" s="386" t="s">
        <v>62</v>
      </c>
    </row>
    <row r="170" spans="2:50" ht="15.75" outlineLevel="1">
      <c r="B170" s="381">
        <v>2111</v>
      </c>
      <c r="C170" s="382">
        <v>319148</v>
      </c>
      <c r="D170" s="381">
        <v>315528</v>
      </c>
      <c r="E170" s="383" t="s">
        <v>4240</v>
      </c>
      <c r="F170" s="392" t="s">
        <v>4320</v>
      </c>
      <c r="G170" s="392"/>
      <c r="H170" s="392"/>
      <c r="I170" s="381">
        <v>1</v>
      </c>
      <c r="J170" s="383"/>
      <c r="K170" s="381">
        <v>0</v>
      </c>
      <c r="L170" s="383" t="s">
        <v>4316</v>
      </c>
      <c r="M170" s="383"/>
      <c r="N170" s="383" t="s">
        <v>4445</v>
      </c>
      <c r="O170" s="383" t="s">
        <v>4441</v>
      </c>
      <c r="P170" s="383" t="s">
        <v>1467</v>
      </c>
      <c r="Q170" s="383"/>
      <c r="R170" s="383"/>
      <c r="S170" s="384">
        <v>45198</v>
      </c>
      <c r="T170" s="384">
        <v>45198</v>
      </c>
      <c r="U170" s="383" t="s">
        <v>4276</v>
      </c>
      <c r="V170" s="381">
        <v>500</v>
      </c>
      <c r="W170" s="381">
        <v>14040</v>
      </c>
      <c r="X170" s="385">
        <v>900.01</v>
      </c>
      <c r="Y170" s="381">
        <v>14046</v>
      </c>
      <c r="Z170" s="385">
        <v>180</v>
      </c>
      <c r="AA170" s="385">
        <f t="shared" si="33"/>
        <v>720.01</v>
      </c>
      <c r="AB170" s="385">
        <v>135</v>
      </c>
      <c r="AC170" s="381">
        <v>51260</v>
      </c>
      <c r="AD170" s="385">
        <v>15</v>
      </c>
      <c r="AE170" s="381" t="s">
        <v>944</v>
      </c>
      <c r="AF170" s="383"/>
      <c r="AG170" s="383"/>
      <c r="AH170" s="383" t="s">
        <v>57</v>
      </c>
      <c r="AI170" s="383" t="s">
        <v>4442</v>
      </c>
      <c r="AJ170" s="383" t="s">
        <v>4443</v>
      </c>
      <c r="AK170" s="383" t="s">
        <v>4437</v>
      </c>
      <c r="AL170" s="414"/>
      <c r="AM170" s="414" t="s">
        <v>3939</v>
      </c>
      <c r="AN170" s="393">
        <f t="shared" si="34"/>
        <v>9</v>
      </c>
      <c r="AO170" s="393">
        <f t="shared" si="35"/>
        <v>2023</v>
      </c>
      <c r="AP170" s="394">
        <f t="shared" si="36"/>
        <v>2028</v>
      </c>
      <c r="AQ170" s="395">
        <f t="shared" si="37"/>
        <v>2028.75</v>
      </c>
      <c r="AR170" s="396">
        <f t="shared" si="38"/>
        <v>15.000166666666667</v>
      </c>
      <c r="AS170" s="397">
        <f t="shared" si="39"/>
        <v>180.00200000000001</v>
      </c>
      <c r="AT170" s="397">
        <f t="shared" si="40"/>
        <v>180.00200000000001</v>
      </c>
      <c r="AU170" s="397">
        <f t="shared" si="41"/>
        <v>105.00116666665303</v>
      </c>
      <c r="AV170" s="397">
        <f t="shared" si="42"/>
        <v>285.00316666665304</v>
      </c>
      <c r="AW170" s="398">
        <f t="shared" si="43"/>
        <v>615.006833333347</v>
      </c>
      <c r="AX170" s="386" t="s">
        <v>62</v>
      </c>
    </row>
    <row r="171" spans="2:50" ht="15.75" outlineLevel="1">
      <c r="B171" s="381">
        <v>2111</v>
      </c>
      <c r="C171" s="382">
        <v>319147</v>
      </c>
      <c r="D171" s="381">
        <v>319317</v>
      </c>
      <c r="E171" s="383" t="s">
        <v>4240</v>
      </c>
      <c r="F171" s="392" t="s">
        <v>4321</v>
      </c>
      <c r="G171" s="392"/>
      <c r="H171" s="392"/>
      <c r="I171" s="381">
        <v>1</v>
      </c>
      <c r="J171" s="383"/>
      <c r="K171" s="381">
        <v>0</v>
      </c>
      <c r="L171" s="383" t="s">
        <v>4316</v>
      </c>
      <c r="M171" s="383"/>
      <c r="N171" s="383" t="s">
        <v>4445</v>
      </c>
      <c r="O171" s="383" t="s">
        <v>4441</v>
      </c>
      <c r="P171" s="383" t="s">
        <v>1467</v>
      </c>
      <c r="Q171" s="383"/>
      <c r="R171" s="383"/>
      <c r="S171" s="384">
        <v>45218</v>
      </c>
      <c r="T171" s="384">
        <v>45218</v>
      </c>
      <c r="U171" s="383" t="s">
        <v>4310</v>
      </c>
      <c r="V171" s="381">
        <v>500</v>
      </c>
      <c r="W171" s="381">
        <v>14040</v>
      </c>
      <c r="X171" s="385">
        <v>900.01</v>
      </c>
      <c r="Y171" s="381">
        <v>14046</v>
      </c>
      <c r="Z171" s="385">
        <v>165</v>
      </c>
      <c r="AA171" s="385">
        <f t="shared" si="33"/>
        <v>735.01</v>
      </c>
      <c r="AB171" s="385">
        <v>135</v>
      </c>
      <c r="AC171" s="381">
        <v>51260</v>
      </c>
      <c r="AD171" s="385">
        <v>15</v>
      </c>
      <c r="AE171" s="381" t="s">
        <v>944</v>
      </c>
      <c r="AF171" s="383"/>
      <c r="AG171" s="383"/>
      <c r="AH171" s="383" t="s">
        <v>57</v>
      </c>
      <c r="AI171" s="383" t="s">
        <v>4442</v>
      </c>
      <c r="AJ171" s="383" t="s">
        <v>4443</v>
      </c>
      <c r="AK171" s="383" t="s">
        <v>4437</v>
      </c>
      <c r="AL171" s="414"/>
      <c r="AM171" s="414" t="s">
        <v>3939</v>
      </c>
      <c r="AN171" s="393">
        <f t="shared" si="34"/>
        <v>10</v>
      </c>
      <c r="AO171" s="393">
        <f t="shared" si="35"/>
        <v>2023</v>
      </c>
      <c r="AP171" s="394">
        <f t="shared" si="36"/>
        <v>2028</v>
      </c>
      <c r="AQ171" s="395">
        <f t="shared" si="37"/>
        <v>2028.8333333333333</v>
      </c>
      <c r="AR171" s="396">
        <f t="shared" si="38"/>
        <v>15.000166666666667</v>
      </c>
      <c r="AS171" s="397">
        <f t="shared" si="39"/>
        <v>180.00200000000001</v>
      </c>
      <c r="AT171" s="397">
        <f t="shared" si="40"/>
        <v>180.00200000000001</v>
      </c>
      <c r="AU171" s="397">
        <f t="shared" si="41"/>
        <v>90.000999999999976</v>
      </c>
      <c r="AV171" s="397">
        <f t="shared" si="42"/>
        <v>270.00299999999999</v>
      </c>
      <c r="AW171" s="398">
        <f t="shared" si="43"/>
        <v>630.00700000000006</v>
      </c>
      <c r="AX171" s="386" t="s">
        <v>62</v>
      </c>
    </row>
    <row r="172" spans="2:50" ht="15.75" outlineLevel="1">
      <c r="B172" s="381">
        <v>2111</v>
      </c>
      <c r="C172" s="382">
        <v>318872</v>
      </c>
      <c r="D172" s="381">
        <v>305425</v>
      </c>
      <c r="E172" s="383" t="s">
        <v>4240</v>
      </c>
      <c r="F172" s="392" t="s">
        <v>4322</v>
      </c>
      <c r="G172" s="392"/>
      <c r="H172" s="392"/>
      <c r="I172" s="381">
        <v>1</v>
      </c>
      <c r="J172" s="383"/>
      <c r="K172" s="381">
        <v>0</v>
      </c>
      <c r="L172" s="383" t="s">
        <v>4291</v>
      </c>
      <c r="M172" s="383"/>
      <c r="N172" s="383" t="s">
        <v>4445</v>
      </c>
      <c r="O172" s="383" t="s">
        <v>4441</v>
      </c>
      <c r="P172" s="383" t="s">
        <v>1467</v>
      </c>
      <c r="Q172" s="383"/>
      <c r="R172" s="383"/>
      <c r="S172" s="384">
        <v>45065</v>
      </c>
      <c r="T172" s="384">
        <v>45065</v>
      </c>
      <c r="U172" s="383" t="s">
        <v>4286</v>
      </c>
      <c r="V172" s="381">
        <v>1000</v>
      </c>
      <c r="W172" s="381">
        <v>14040</v>
      </c>
      <c r="X172" s="385">
        <v>6411.1</v>
      </c>
      <c r="Y172" s="381">
        <v>14046</v>
      </c>
      <c r="Z172" s="385">
        <v>854.85</v>
      </c>
      <c r="AA172" s="385">
        <f t="shared" si="33"/>
        <v>5556.25</v>
      </c>
      <c r="AB172" s="385">
        <v>480.87</v>
      </c>
      <c r="AC172" s="381">
        <v>51260</v>
      </c>
      <c r="AD172" s="385">
        <v>53.43</v>
      </c>
      <c r="AE172" s="381" t="s">
        <v>944</v>
      </c>
      <c r="AF172" s="383"/>
      <c r="AG172" s="383"/>
      <c r="AH172" s="383" t="s">
        <v>57</v>
      </c>
      <c r="AI172" s="383" t="s">
        <v>4442</v>
      </c>
      <c r="AJ172" s="383" t="s">
        <v>4443</v>
      </c>
      <c r="AK172" s="383" t="s">
        <v>4437</v>
      </c>
      <c r="AL172" s="414"/>
      <c r="AM172" s="414" t="s">
        <v>3940</v>
      </c>
      <c r="AN172" s="393">
        <f t="shared" si="34"/>
        <v>5</v>
      </c>
      <c r="AO172" s="393">
        <f t="shared" si="35"/>
        <v>2023</v>
      </c>
      <c r="AP172" s="394">
        <f t="shared" si="36"/>
        <v>2033</v>
      </c>
      <c r="AQ172" s="395">
        <f t="shared" si="37"/>
        <v>2033.4166666666667</v>
      </c>
      <c r="AR172" s="396">
        <f t="shared" si="38"/>
        <v>53.425833333333337</v>
      </c>
      <c r="AS172" s="397">
        <f t="shared" si="39"/>
        <v>641.11</v>
      </c>
      <c r="AT172" s="397">
        <f t="shared" si="40"/>
        <v>641.11</v>
      </c>
      <c r="AU172" s="397">
        <f t="shared" si="41"/>
        <v>587.68416666656958</v>
      </c>
      <c r="AV172" s="397">
        <f t="shared" si="42"/>
        <v>1228.7941666665697</v>
      </c>
      <c r="AW172" s="398">
        <f t="shared" si="43"/>
        <v>5182.3058333334302</v>
      </c>
      <c r="AX172" s="386" t="s">
        <v>62</v>
      </c>
    </row>
    <row r="173" spans="2:50" ht="15.75" outlineLevel="1">
      <c r="B173" s="381">
        <v>2111</v>
      </c>
      <c r="C173" s="382">
        <v>317812</v>
      </c>
      <c r="D173" s="381">
        <v>315529</v>
      </c>
      <c r="E173" s="383" t="s">
        <v>4240</v>
      </c>
      <c r="F173" s="392" t="s">
        <v>4323</v>
      </c>
      <c r="G173" s="392"/>
      <c r="H173" s="392"/>
      <c r="I173" s="381">
        <v>1</v>
      </c>
      <c r="J173" s="383"/>
      <c r="K173" s="381">
        <v>0</v>
      </c>
      <c r="L173" s="383" t="s">
        <v>4324</v>
      </c>
      <c r="M173" s="383"/>
      <c r="N173" s="383" t="s">
        <v>4445</v>
      </c>
      <c r="O173" s="383" t="s">
        <v>4441</v>
      </c>
      <c r="P173" s="383" t="s">
        <v>1467</v>
      </c>
      <c r="Q173" s="383"/>
      <c r="R173" s="383"/>
      <c r="S173" s="384">
        <v>45205</v>
      </c>
      <c r="T173" s="384">
        <v>45205</v>
      </c>
      <c r="U173" s="383" t="s">
        <v>4288</v>
      </c>
      <c r="V173" s="381">
        <v>1000</v>
      </c>
      <c r="W173" s="381">
        <v>14040</v>
      </c>
      <c r="X173" s="385">
        <v>403.39</v>
      </c>
      <c r="Y173" s="381">
        <v>14046</v>
      </c>
      <c r="Z173" s="385">
        <v>40.33</v>
      </c>
      <c r="AA173" s="385">
        <f t="shared" si="33"/>
        <v>363.06</v>
      </c>
      <c r="AB173" s="385">
        <v>30.24</v>
      </c>
      <c r="AC173" s="381">
        <v>51260</v>
      </c>
      <c r="AD173" s="385">
        <v>3.36</v>
      </c>
      <c r="AE173" s="381" t="s">
        <v>944</v>
      </c>
      <c r="AF173" s="383"/>
      <c r="AG173" s="383"/>
      <c r="AH173" s="383" t="s">
        <v>57</v>
      </c>
      <c r="AI173" s="383" t="s">
        <v>4442</v>
      </c>
      <c r="AJ173" s="383" t="s">
        <v>4443</v>
      </c>
      <c r="AK173" s="383" t="s">
        <v>4437</v>
      </c>
      <c r="AL173" s="414"/>
      <c r="AM173" s="414" t="s">
        <v>3939</v>
      </c>
      <c r="AN173" s="393">
        <f t="shared" si="34"/>
        <v>10</v>
      </c>
      <c r="AO173" s="393">
        <f t="shared" si="35"/>
        <v>2023</v>
      </c>
      <c r="AP173" s="394">
        <f t="shared" si="36"/>
        <v>2033</v>
      </c>
      <c r="AQ173" s="395">
        <f t="shared" si="37"/>
        <v>2033.8333333333333</v>
      </c>
      <c r="AR173" s="396">
        <f t="shared" si="38"/>
        <v>3.3615833333333334</v>
      </c>
      <c r="AS173" s="397">
        <f t="shared" si="39"/>
        <v>40.338999999999999</v>
      </c>
      <c r="AT173" s="397">
        <f t="shared" si="40"/>
        <v>40.338999999999999</v>
      </c>
      <c r="AU173" s="397">
        <f t="shared" si="41"/>
        <v>20.169499999999971</v>
      </c>
      <c r="AV173" s="397">
        <f t="shared" si="42"/>
        <v>60.50849999999997</v>
      </c>
      <c r="AW173" s="398">
        <f t="shared" si="43"/>
        <v>342.88150000000002</v>
      </c>
      <c r="AX173" s="386" t="s">
        <v>62</v>
      </c>
    </row>
    <row r="174" spans="2:50" ht="15.75" outlineLevel="1">
      <c r="B174" s="381">
        <v>2111</v>
      </c>
      <c r="C174" s="382">
        <v>317811</v>
      </c>
      <c r="D174" s="381">
        <v>315528</v>
      </c>
      <c r="E174" s="383" t="s">
        <v>4240</v>
      </c>
      <c r="F174" s="392" t="s">
        <v>4325</v>
      </c>
      <c r="G174" s="392"/>
      <c r="H174" s="392"/>
      <c r="I174" s="381">
        <v>1</v>
      </c>
      <c r="J174" s="383"/>
      <c r="K174" s="381">
        <v>0</v>
      </c>
      <c r="L174" s="383" t="s">
        <v>4324</v>
      </c>
      <c r="M174" s="383"/>
      <c r="N174" s="383" t="s">
        <v>4445</v>
      </c>
      <c r="O174" s="383" t="s">
        <v>4441</v>
      </c>
      <c r="P174" s="383" t="s">
        <v>1467</v>
      </c>
      <c r="Q174" s="383"/>
      <c r="R174" s="383"/>
      <c r="S174" s="384">
        <v>45198</v>
      </c>
      <c r="T174" s="384">
        <v>45198</v>
      </c>
      <c r="U174" s="383" t="s">
        <v>4276</v>
      </c>
      <c r="V174" s="381">
        <v>1000</v>
      </c>
      <c r="W174" s="381">
        <v>14040</v>
      </c>
      <c r="X174" s="385">
        <v>403.31</v>
      </c>
      <c r="Y174" s="381">
        <v>14046</v>
      </c>
      <c r="Z174" s="385">
        <v>40.32</v>
      </c>
      <c r="AA174" s="385">
        <f t="shared" si="33"/>
        <v>362.99</v>
      </c>
      <c r="AB174" s="385">
        <v>30.24</v>
      </c>
      <c r="AC174" s="381">
        <v>51260</v>
      </c>
      <c r="AD174" s="385">
        <v>3.36</v>
      </c>
      <c r="AE174" s="381" t="s">
        <v>944</v>
      </c>
      <c r="AF174" s="383"/>
      <c r="AG174" s="383"/>
      <c r="AH174" s="383" t="s">
        <v>57</v>
      </c>
      <c r="AI174" s="383" t="s">
        <v>4442</v>
      </c>
      <c r="AJ174" s="383" t="s">
        <v>4443</v>
      </c>
      <c r="AK174" s="383" t="s">
        <v>4437</v>
      </c>
      <c r="AL174" s="414"/>
      <c r="AM174" s="414" t="s">
        <v>3939</v>
      </c>
      <c r="AN174" s="393">
        <f t="shared" si="34"/>
        <v>9</v>
      </c>
      <c r="AO174" s="393">
        <f t="shared" si="35"/>
        <v>2023</v>
      </c>
      <c r="AP174" s="394">
        <f t="shared" si="36"/>
        <v>2033</v>
      </c>
      <c r="AQ174" s="395">
        <f t="shared" si="37"/>
        <v>2033.75</v>
      </c>
      <c r="AR174" s="396">
        <f t="shared" si="38"/>
        <v>3.3609166666666668</v>
      </c>
      <c r="AS174" s="397">
        <f t="shared" si="39"/>
        <v>40.331000000000003</v>
      </c>
      <c r="AT174" s="397">
        <f t="shared" si="40"/>
        <v>40.331000000000003</v>
      </c>
      <c r="AU174" s="397">
        <f t="shared" si="41"/>
        <v>23.526416666663579</v>
      </c>
      <c r="AV174" s="397">
        <f t="shared" si="42"/>
        <v>63.857416666663582</v>
      </c>
      <c r="AW174" s="398">
        <f t="shared" si="43"/>
        <v>339.45258333333641</v>
      </c>
      <c r="AX174" s="386" t="s">
        <v>62</v>
      </c>
    </row>
    <row r="175" spans="2:50" ht="15.75" outlineLevel="1">
      <c r="B175" s="381">
        <v>2111</v>
      </c>
      <c r="C175" s="382">
        <v>316475</v>
      </c>
      <c r="D175" s="381">
        <v>309961</v>
      </c>
      <c r="E175" s="383" t="s">
        <v>4240</v>
      </c>
      <c r="F175" s="392" t="s">
        <v>4163</v>
      </c>
      <c r="G175" s="392"/>
      <c r="H175" s="392"/>
      <c r="I175" s="381">
        <v>1</v>
      </c>
      <c r="J175" s="383"/>
      <c r="K175" s="381">
        <v>0</v>
      </c>
      <c r="L175" s="383" t="s">
        <v>4326</v>
      </c>
      <c r="M175" s="383"/>
      <c r="N175" s="383" t="s">
        <v>4462</v>
      </c>
      <c r="O175" s="383" t="s">
        <v>4441</v>
      </c>
      <c r="P175" s="383"/>
      <c r="Q175" s="383"/>
      <c r="R175" s="383"/>
      <c r="S175" s="384">
        <v>45135</v>
      </c>
      <c r="T175" s="384">
        <v>45135</v>
      </c>
      <c r="U175" s="383" t="s">
        <v>4312</v>
      </c>
      <c r="V175" s="381">
        <v>1000</v>
      </c>
      <c r="W175" s="381">
        <v>14010</v>
      </c>
      <c r="X175" s="385">
        <v>4900.25</v>
      </c>
      <c r="Y175" s="381">
        <v>14016</v>
      </c>
      <c r="Z175" s="385">
        <v>571.74</v>
      </c>
      <c r="AA175" s="385">
        <f t="shared" si="33"/>
        <v>4328.51</v>
      </c>
      <c r="AB175" s="385">
        <v>367.56</v>
      </c>
      <c r="AC175" s="381">
        <v>57260</v>
      </c>
      <c r="AD175" s="385">
        <v>40.840000000000003</v>
      </c>
      <c r="AE175" s="381" t="s">
        <v>944</v>
      </c>
      <c r="AF175" s="383"/>
      <c r="AG175" s="383"/>
      <c r="AH175" s="383" t="s">
        <v>57</v>
      </c>
      <c r="AI175" s="383" t="s">
        <v>4442</v>
      </c>
      <c r="AJ175" s="383" t="s">
        <v>4443</v>
      </c>
      <c r="AK175" s="383" t="s">
        <v>4437</v>
      </c>
      <c r="AL175" s="414"/>
      <c r="AM175" s="414" t="s">
        <v>136</v>
      </c>
      <c r="AN175" s="393">
        <f t="shared" si="34"/>
        <v>7</v>
      </c>
      <c r="AO175" s="393">
        <f t="shared" si="35"/>
        <v>2023</v>
      </c>
      <c r="AP175" s="394">
        <f t="shared" si="36"/>
        <v>2033</v>
      </c>
      <c r="AQ175" s="395">
        <f t="shared" si="37"/>
        <v>2033.5833333333333</v>
      </c>
      <c r="AR175" s="396">
        <f t="shared" si="38"/>
        <v>40.835416666666667</v>
      </c>
      <c r="AS175" s="397">
        <f t="shared" si="39"/>
        <v>490.02499999999998</v>
      </c>
      <c r="AT175" s="397">
        <f t="shared" si="40"/>
        <v>490.02499999999998</v>
      </c>
      <c r="AU175" s="397">
        <f t="shared" si="41"/>
        <v>367.51875000000018</v>
      </c>
      <c r="AV175" s="397">
        <f t="shared" si="42"/>
        <v>857.54375000000016</v>
      </c>
      <c r="AW175" s="398">
        <f t="shared" si="43"/>
        <v>4042.7062499999997</v>
      </c>
      <c r="AX175" s="386" t="s">
        <v>62</v>
      </c>
    </row>
    <row r="176" spans="2:50" ht="15.75" outlineLevel="1">
      <c r="B176" s="381">
        <v>2111</v>
      </c>
      <c r="C176" s="382">
        <v>316364</v>
      </c>
      <c r="D176" s="381" t="s">
        <v>944</v>
      </c>
      <c r="E176" s="383" t="s">
        <v>4240</v>
      </c>
      <c r="F176" s="392" t="s">
        <v>4537</v>
      </c>
      <c r="G176" s="392"/>
      <c r="H176" s="392"/>
      <c r="I176" s="381">
        <v>1</v>
      </c>
      <c r="J176" s="383" t="s">
        <v>4541</v>
      </c>
      <c r="K176" s="381">
        <v>2006</v>
      </c>
      <c r="L176" s="383" t="s">
        <v>2978</v>
      </c>
      <c r="M176" s="383" t="s">
        <v>2214</v>
      </c>
      <c r="N176" s="383" t="s">
        <v>4445</v>
      </c>
      <c r="O176" s="383" t="s">
        <v>4441</v>
      </c>
      <c r="P176" s="383" t="s">
        <v>2077</v>
      </c>
      <c r="Q176" s="383"/>
      <c r="R176" s="383"/>
      <c r="S176" s="384">
        <v>39059</v>
      </c>
      <c r="T176" s="384">
        <v>39059</v>
      </c>
      <c r="U176" s="383" t="s">
        <v>4542</v>
      </c>
      <c r="V176" s="381">
        <v>700</v>
      </c>
      <c r="W176" s="381">
        <v>14040</v>
      </c>
      <c r="X176" s="385">
        <v>41353.599999999999</v>
      </c>
      <c r="Y176" s="381">
        <v>14046</v>
      </c>
      <c r="Z176" s="385">
        <v>41353.599999999999</v>
      </c>
      <c r="AA176" s="385">
        <f t="shared" si="33"/>
        <v>0</v>
      </c>
      <c r="AB176" s="385">
        <v>0</v>
      </c>
      <c r="AC176" s="381">
        <v>51260</v>
      </c>
      <c r="AD176" s="385">
        <v>0</v>
      </c>
      <c r="AE176" s="381" t="s">
        <v>944</v>
      </c>
      <c r="AF176" s="383"/>
      <c r="AG176" s="383" t="s">
        <v>4543</v>
      </c>
      <c r="AH176" s="383" t="s">
        <v>57</v>
      </c>
      <c r="AI176" s="383" t="s">
        <v>4442</v>
      </c>
      <c r="AJ176" s="383" t="s">
        <v>4443</v>
      </c>
      <c r="AK176" s="383" t="s">
        <v>94</v>
      </c>
      <c r="AL176" s="414" t="s">
        <v>1582</v>
      </c>
      <c r="AM176" s="414" t="s">
        <v>1316</v>
      </c>
      <c r="AN176" s="393">
        <f t="shared" si="34"/>
        <v>12</v>
      </c>
      <c r="AO176" s="393">
        <f t="shared" si="35"/>
        <v>2006</v>
      </c>
      <c r="AP176" s="394">
        <f t="shared" si="36"/>
        <v>2013</v>
      </c>
      <c r="AQ176" s="395">
        <f t="shared" si="37"/>
        <v>2014</v>
      </c>
      <c r="AR176" s="396">
        <f t="shared" si="38"/>
        <v>492.30476190476185</v>
      </c>
      <c r="AS176" s="397">
        <f t="shared" si="39"/>
        <v>5907.6571428571424</v>
      </c>
      <c r="AT176" s="397">
        <f t="shared" si="40"/>
        <v>0</v>
      </c>
      <c r="AU176" s="397">
        <f t="shared" si="41"/>
        <v>41353.599999999999</v>
      </c>
      <c r="AV176" s="397">
        <f t="shared" si="42"/>
        <v>41353.599999999999</v>
      </c>
      <c r="AW176" s="398">
        <f t="shared" si="43"/>
        <v>0</v>
      </c>
      <c r="AX176" s="386" t="s">
        <v>62</v>
      </c>
    </row>
    <row r="177" spans="2:50" ht="15.75" outlineLevel="1">
      <c r="B177" s="381">
        <v>2111</v>
      </c>
      <c r="C177" s="382">
        <v>316363</v>
      </c>
      <c r="D177" s="381" t="s">
        <v>944</v>
      </c>
      <c r="E177" s="383" t="s">
        <v>4240</v>
      </c>
      <c r="F177" s="392" t="s">
        <v>4537</v>
      </c>
      <c r="G177" s="392"/>
      <c r="H177" s="392"/>
      <c r="I177" s="381">
        <v>1</v>
      </c>
      <c r="J177" s="383" t="s">
        <v>4538</v>
      </c>
      <c r="K177" s="381">
        <v>2006</v>
      </c>
      <c r="L177" s="383" t="s">
        <v>2978</v>
      </c>
      <c r="M177" s="383" t="s">
        <v>2214</v>
      </c>
      <c r="N177" s="383" t="s">
        <v>4445</v>
      </c>
      <c r="O177" s="383" t="s">
        <v>4441</v>
      </c>
      <c r="P177" s="383" t="s">
        <v>2077</v>
      </c>
      <c r="Q177" s="383"/>
      <c r="R177" s="383"/>
      <c r="S177" s="384">
        <v>39059</v>
      </c>
      <c r="T177" s="384">
        <v>39059</v>
      </c>
      <c r="U177" s="383" t="s">
        <v>4539</v>
      </c>
      <c r="V177" s="381">
        <v>700</v>
      </c>
      <c r="W177" s="381">
        <v>14040</v>
      </c>
      <c r="X177" s="385">
        <v>41353.599999999999</v>
      </c>
      <c r="Y177" s="381">
        <v>14046</v>
      </c>
      <c r="Z177" s="385">
        <v>41353.599999999999</v>
      </c>
      <c r="AA177" s="385">
        <f t="shared" si="33"/>
        <v>0</v>
      </c>
      <c r="AB177" s="385">
        <v>0</v>
      </c>
      <c r="AC177" s="381">
        <v>51260</v>
      </c>
      <c r="AD177" s="385">
        <v>0</v>
      </c>
      <c r="AE177" s="381" t="s">
        <v>944</v>
      </c>
      <c r="AF177" s="383">
        <v>0</v>
      </c>
      <c r="AG177" s="383" t="s">
        <v>4540</v>
      </c>
      <c r="AH177" s="383" t="s">
        <v>57</v>
      </c>
      <c r="AI177" s="383" t="s">
        <v>4442</v>
      </c>
      <c r="AJ177" s="383" t="s">
        <v>4443</v>
      </c>
      <c r="AK177" s="383" t="s">
        <v>4649</v>
      </c>
      <c r="AL177" s="414" t="s">
        <v>1582</v>
      </c>
      <c r="AM177" s="414" t="s">
        <v>1316</v>
      </c>
      <c r="AN177" s="393">
        <f t="shared" si="34"/>
        <v>12</v>
      </c>
      <c r="AO177" s="393">
        <f t="shared" si="35"/>
        <v>2006</v>
      </c>
      <c r="AP177" s="394">
        <f t="shared" si="36"/>
        <v>2013</v>
      </c>
      <c r="AQ177" s="395">
        <f t="shared" si="37"/>
        <v>2014</v>
      </c>
      <c r="AR177" s="396">
        <f t="shared" si="38"/>
        <v>492.30476190476185</v>
      </c>
      <c r="AS177" s="397">
        <f t="shared" si="39"/>
        <v>5907.6571428571424</v>
      </c>
      <c r="AT177" s="397">
        <f t="shared" si="40"/>
        <v>0</v>
      </c>
      <c r="AU177" s="397">
        <f t="shared" si="41"/>
        <v>41353.599999999999</v>
      </c>
      <c r="AV177" s="397">
        <f t="shared" si="42"/>
        <v>41353.599999999999</v>
      </c>
      <c r="AW177" s="398">
        <f t="shared" si="43"/>
        <v>0</v>
      </c>
      <c r="AX177" s="386" t="s">
        <v>62</v>
      </c>
    </row>
    <row r="178" spans="2:50" ht="15.75" outlineLevel="1">
      <c r="B178" s="381">
        <v>2111</v>
      </c>
      <c r="C178" s="382">
        <v>316362</v>
      </c>
      <c r="D178" s="381" t="s">
        <v>944</v>
      </c>
      <c r="E178" s="383" t="s">
        <v>4240</v>
      </c>
      <c r="F178" s="392" t="s">
        <v>4530</v>
      </c>
      <c r="G178" s="392"/>
      <c r="H178" s="392"/>
      <c r="I178" s="381">
        <v>1</v>
      </c>
      <c r="J178" s="383" t="s">
        <v>4534</v>
      </c>
      <c r="K178" s="381">
        <v>2006</v>
      </c>
      <c r="L178" s="383" t="s">
        <v>2978</v>
      </c>
      <c r="M178" s="383" t="s">
        <v>2214</v>
      </c>
      <c r="N178" s="383" t="s">
        <v>4445</v>
      </c>
      <c r="O178" s="383" t="s">
        <v>4441</v>
      </c>
      <c r="P178" s="383" t="s">
        <v>2077</v>
      </c>
      <c r="Q178" s="383"/>
      <c r="R178" s="383"/>
      <c r="S178" s="384">
        <v>39059</v>
      </c>
      <c r="T178" s="384">
        <v>39059</v>
      </c>
      <c r="U178" s="383" t="s">
        <v>4535</v>
      </c>
      <c r="V178" s="381">
        <v>700</v>
      </c>
      <c r="W178" s="381">
        <v>14040</v>
      </c>
      <c r="X178" s="385">
        <v>41353.599999999999</v>
      </c>
      <c r="Y178" s="381">
        <v>14046</v>
      </c>
      <c r="Z178" s="385">
        <v>41353.599999999999</v>
      </c>
      <c r="AA178" s="385">
        <f t="shared" si="33"/>
        <v>0</v>
      </c>
      <c r="AB178" s="385">
        <v>0</v>
      </c>
      <c r="AC178" s="381">
        <v>51260</v>
      </c>
      <c r="AD178" s="385">
        <v>0</v>
      </c>
      <c r="AE178" s="381" t="s">
        <v>944</v>
      </c>
      <c r="AF178" s="383">
        <v>0</v>
      </c>
      <c r="AG178" s="383" t="s">
        <v>4536</v>
      </c>
      <c r="AH178" s="383" t="s">
        <v>57</v>
      </c>
      <c r="AI178" s="383" t="s">
        <v>4442</v>
      </c>
      <c r="AJ178" s="383" t="s">
        <v>4443</v>
      </c>
      <c r="AK178" s="383" t="s">
        <v>4650</v>
      </c>
      <c r="AL178" s="414" t="s">
        <v>1582</v>
      </c>
      <c r="AM178" s="414" t="s">
        <v>1316</v>
      </c>
      <c r="AN178" s="393">
        <f t="shared" si="34"/>
        <v>12</v>
      </c>
      <c r="AO178" s="393">
        <f t="shared" si="35"/>
        <v>2006</v>
      </c>
      <c r="AP178" s="394">
        <f t="shared" si="36"/>
        <v>2013</v>
      </c>
      <c r="AQ178" s="395">
        <f t="shared" si="37"/>
        <v>2014</v>
      </c>
      <c r="AR178" s="396">
        <f t="shared" si="38"/>
        <v>492.30476190476185</v>
      </c>
      <c r="AS178" s="397">
        <f t="shared" si="39"/>
        <v>5907.6571428571424</v>
      </c>
      <c r="AT178" s="397">
        <f t="shared" si="40"/>
        <v>0</v>
      </c>
      <c r="AU178" s="397">
        <f t="shared" si="41"/>
        <v>41353.599999999999</v>
      </c>
      <c r="AV178" s="397">
        <f t="shared" si="42"/>
        <v>41353.599999999999</v>
      </c>
      <c r="AW178" s="398">
        <f t="shared" si="43"/>
        <v>0</v>
      </c>
      <c r="AX178" s="386" t="s">
        <v>62</v>
      </c>
    </row>
    <row r="179" spans="2:50" ht="15.75" outlineLevel="1">
      <c r="B179" s="381">
        <v>2111</v>
      </c>
      <c r="C179" s="382">
        <v>316361</v>
      </c>
      <c r="D179" s="381" t="s">
        <v>944</v>
      </c>
      <c r="E179" s="383" t="s">
        <v>4240</v>
      </c>
      <c r="F179" s="392" t="s">
        <v>4530</v>
      </c>
      <c r="G179" s="392"/>
      <c r="H179" s="392"/>
      <c r="I179" s="381">
        <v>1</v>
      </c>
      <c r="J179" s="383" t="s">
        <v>4531</v>
      </c>
      <c r="K179" s="381">
        <v>2006</v>
      </c>
      <c r="L179" s="383" t="s">
        <v>2978</v>
      </c>
      <c r="M179" s="383" t="s">
        <v>2214</v>
      </c>
      <c r="N179" s="383" t="s">
        <v>4445</v>
      </c>
      <c r="O179" s="383" t="s">
        <v>4441</v>
      </c>
      <c r="P179" s="383" t="s">
        <v>2077</v>
      </c>
      <c r="Q179" s="383"/>
      <c r="R179" s="383"/>
      <c r="S179" s="384">
        <v>39017</v>
      </c>
      <c r="T179" s="384">
        <v>39017</v>
      </c>
      <c r="U179" s="383" t="s">
        <v>4532</v>
      </c>
      <c r="V179" s="381">
        <v>700</v>
      </c>
      <c r="W179" s="381">
        <v>14040</v>
      </c>
      <c r="X179" s="385">
        <v>41353.599999999999</v>
      </c>
      <c r="Y179" s="381">
        <v>14046</v>
      </c>
      <c r="Z179" s="385">
        <v>41353.599999999999</v>
      </c>
      <c r="AA179" s="385">
        <f t="shared" si="33"/>
        <v>0</v>
      </c>
      <c r="AB179" s="385">
        <v>0</v>
      </c>
      <c r="AC179" s="381">
        <v>51260</v>
      </c>
      <c r="AD179" s="385">
        <v>0</v>
      </c>
      <c r="AE179" s="381" t="s">
        <v>944</v>
      </c>
      <c r="AF179" s="383">
        <v>0</v>
      </c>
      <c r="AG179" s="383" t="s">
        <v>4533</v>
      </c>
      <c r="AH179" s="383" t="s">
        <v>57</v>
      </c>
      <c r="AI179" s="383" t="s">
        <v>4442</v>
      </c>
      <c r="AJ179" s="383" t="s">
        <v>4443</v>
      </c>
      <c r="AK179" s="383" t="s">
        <v>4489</v>
      </c>
      <c r="AL179" s="414" t="s">
        <v>1582</v>
      </c>
      <c r="AM179" s="414" t="s">
        <v>1316</v>
      </c>
      <c r="AN179" s="393">
        <f t="shared" si="34"/>
        <v>10</v>
      </c>
      <c r="AO179" s="393">
        <f t="shared" si="35"/>
        <v>2006</v>
      </c>
      <c r="AP179" s="394">
        <f t="shared" si="36"/>
        <v>2013</v>
      </c>
      <c r="AQ179" s="395">
        <f t="shared" si="37"/>
        <v>2013.8333333333333</v>
      </c>
      <c r="AR179" s="396">
        <f t="shared" si="38"/>
        <v>492.30476190476185</v>
      </c>
      <c r="AS179" s="397">
        <f t="shared" si="39"/>
        <v>5907.6571428571424</v>
      </c>
      <c r="AT179" s="397">
        <f t="shared" si="40"/>
        <v>0</v>
      </c>
      <c r="AU179" s="397">
        <f t="shared" si="41"/>
        <v>41353.599999999999</v>
      </c>
      <c r="AV179" s="397">
        <f t="shared" si="42"/>
        <v>41353.599999999999</v>
      </c>
      <c r="AW179" s="398">
        <f t="shared" si="43"/>
        <v>0</v>
      </c>
      <c r="AX179" s="386" t="s">
        <v>62</v>
      </c>
    </row>
    <row r="180" spans="2:50" ht="15.75" outlineLevel="1">
      <c r="B180" s="381">
        <v>2111</v>
      </c>
      <c r="C180" s="382">
        <v>316360</v>
      </c>
      <c r="D180" s="381" t="s">
        <v>944</v>
      </c>
      <c r="E180" s="383" t="s">
        <v>4240</v>
      </c>
      <c r="F180" s="392" t="s">
        <v>4034</v>
      </c>
      <c r="G180" s="392"/>
      <c r="H180" s="392"/>
      <c r="I180" s="381">
        <v>1</v>
      </c>
      <c r="J180" s="383" t="s">
        <v>4035</v>
      </c>
      <c r="K180" s="381">
        <v>2003</v>
      </c>
      <c r="L180" s="383" t="s">
        <v>2214</v>
      </c>
      <c r="M180" s="383" t="s">
        <v>2214</v>
      </c>
      <c r="N180" s="383" t="s">
        <v>4458</v>
      </c>
      <c r="O180" s="383" t="s">
        <v>4441</v>
      </c>
      <c r="P180" s="383" t="s">
        <v>4497</v>
      </c>
      <c r="Q180" s="383"/>
      <c r="R180" s="383"/>
      <c r="S180" s="384">
        <v>38292</v>
      </c>
      <c r="T180" s="384">
        <v>38292</v>
      </c>
      <c r="U180" s="383"/>
      <c r="V180" s="381">
        <v>800</v>
      </c>
      <c r="W180" s="381">
        <v>14030</v>
      </c>
      <c r="X180" s="385">
        <v>20000</v>
      </c>
      <c r="Y180" s="381">
        <v>14036</v>
      </c>
      <c r="Z180" s="385">
        <v>20000</v>
      </c>
      <c r="AA180" s="385">
        <f t="shared" si="33"/>
        <v>0</v>
      </c>
      <c r="AB180" s="385">
        <v>0</v>
      </c>
      <c r="AC180" s="381">
        <v>51260</v>
      </c>
      <c r="AD180" s="385">
        <v>0</v>
      </c>
      <c r="AE180" s="381" t="s">
        <v>410</v>
      </c>
      <c r="AF180" s="383" t="s">
        <v>4037</v>
      </c>
      <c r="AG180" s="383" t="s">
        <v>974</v>
      </c>
      <c r="AH180" s="383" t="s">
        <v>57</v>
      </c>
      <c r="AI180" s="383" t="s">
        <v>4442</v>
      </c>
      <c r="AJ180" s="383" t="s">
        <v>4443</v>
      </c>
      <c r="AK180" s="383" t="s">
        <v>4437</v>
      </c>
      <c r="AL180" s="414"/>
      <c r="AM180" s="414" t="s">
        <v>3939</v>
      </c>
      <c r="AN180" s="393">
        <f t="shared" si="34"/>
        <v>11</v>
      </c>
      <c r="AO180" s="393">
        <f t="shared" si="35"/>
        <v>2004</v>
      </c>
      <c r="AP180" s="394">
        <f t="shared" si="36"/>
        <v>2012</v>
      </c>
      <c r="AQ180" s="395">
        <f t="shared" si="37"/>
        <v>2012.9166666666667</v>
      </c>
      <c r="AR180" s="396">
        <f t="shared" si="38"/>
        <v>208.33333333333334</v>
      </c>
      <c r="AS180" s="397">
        <f t="shared" si="39"/>
        <v>2500</v>
      </c>
      <c r="AT180" s="397">
        <f t="shared" si="40"/>
        <v>0</v>
      </c>
      <c r="AU180" s="397">
        <f t="shared" si="41"/>
        <v>20000</v>
      </c>
      <c r="AV180" s="397">
        <f t="shared" si="42"/>
        <v>20000</v>
      </c>
      <c r="AW180" s="398">
        <f t="shared" si="43"/>
        <v>0</v>
      </c>
      <c r="AX180" s="386" t="s">
        <v>62</v>
      </c>
    </row>
    <row r="181" spans="2:50" ht="15.75" outlineLevel="1">
      <c r="B181" s="381">
        <v>2111</v>
      </c>
      <c r="C181" s="382">
        <v>316069</v>
      </c>
      <c r="D181" s="381" t="s">
        <v>944</v>
      </c>
      <c r="E181" s="383" t="s">
        <v>4240</v>
      </c>
      <c r="F181" s="392" t="s">
        <v>2976</v>
      </c>
      <c r="G181" s="392"/>
      <c r="H181" s="392"/>
      <c r="I181" s="381">
        <v>1</v>
      </c>
      <c r="J181" s="383" t="s">
        <v>2980</v>
      </c>
      <c r="K181" s="381">
        <v>2013</v>
      </c>
      <c r="L181" s="383" t="s">
        <v>2978</v>
      </c>
      <c r="M181" s="383" t="s">
        <v>2978</v>
      </c>
      <c r="N181" s="383" t="s">
        <v>4445</v>
      </c>
      <c r="O181" s="383" t="s">
        <v>4441</v>
      </c>
      <c r="P181" s="383" t="s">
        <v>2077</v>
      </c>
      <c r="Q181" s="383"/>
      <c r="R181" s="383"/>
      <c r="S181" s="384">
        <v>41506</v>
      </c>
      <c r="T181" s="384">
        <v>41506</v>
      </c>
      <c r="U181" s="383" t="s">
        <v>2981</v>
      </c>
      <c r="V181" s="381">
        <v>600</v>
      </c>
      <c r="W181" s="381">
        <v>14040</v>
      </c>
      <c r="X181" s="385">
        <v>39274.82</v>
      </c>
      <c r="Y181" s="381">
        <v>14046</v>
      </c>
      <c r="Z181" s="385">
        <v>39274.82</v>
      </c>
      <c r="AA181" s="385">
        <f t="shared" si="33"/>
        <v>0</v>
      </c>
      <c r="AB181" s="385">
        <v>0</v>
      </c>
      <c r="AC181" s="381">
        <v>51260</v>
      </c>
      <c r="AD181" s="385">
        <v>0</v>
      </c>
      <c r="AE181" s="381" t="s">
        <v>944</v>
      </c>
      <c r="AF181" s="383">
        <v>0</v>
      </c>
      <c r="AG181" s="383" t="s">
        <v>277</v>
      </c>
      <c r="AH181" s="383" t="s">
        <v>57</v>
      </c>
      <c r="AI181" s="383" t="s">
        <v>4442</v>
      </c>
      <c r="AJ181" s="383" t="s">
        <v>4443</v>
      </c>
      <c r="AK181" s="383" t="s">
        <v>4437</v>
      </c>
      <c r="AL181" s="414"/>
      <c r="AM181" s="414" t="s">
        <v>1341</v>
      </c>
      <c r="AN181" s="393">
        <f t="shared" si="34"/>
        <v>8</v>
      </c>
      <c r="AO181" s="393">
        <f t="shared" si="35"/>
        <v>2013</v>
      </c>
      <c r="AP181" s="394">
        <f t="shared" si="36"/>
        <v>2019</v>
      </c>
      <c r="AQ181" s="395">
        <f t="shared" si="37"/>
        <v>2019.6666666666667</v>
      </c>
      <c r="AR181" s="396">
        <f t="shared" si="38"/>
        <v>545.48361111111114</v>
      </c>
      <c r="AS181" s="397">
        <f t="shared" si="39"/>
        <v>6545.8033333333333</v>
      </c>
      <c r="AT181" s="397">
        <f t="shared" si="40"/>
        <v>0</v>
      </c>
      <c r="AU181" s="397">
        <f t="shared" si="41"/>
        <v>39274.82</v>
      </c>
      <c r="AV181" s="397">
        <f t="shared" si="42"/>
        <v>39274.82</v>
      </c>
      <c r="AW181" s="398">
        <f t="shared" si="43"/>
        <v>0</v>
      </c>
      <c r="AX181" s="386" t="s">
        <v>62</v>
      </c>
    </row>
    <row r="182" spans="2:50" ht="15.75" outlineLevel="1">
      <c r="B182" s="381">
        <v>2111</v>
      </c>
      <c r="C182" s="382">
        <v>315938</v>
      </c>
      <c r="D182" s="381" t="s">
        <v>944</v>
      </c>
      <c r="E182" s="383" t="s">
        <v>4240</v>
      </c>
      <c r="F182" s="392" t="s">
        <v>4327</v>
      </c>
      <c r="G182" s="392"/>
      <c r="H182" s="392"/>
      <c r="I182" s="381">
        <v>702</v>
      </c>
      <c r="J182" s="383"/>
      <c r="K182" s="381">
        <v>0</v>
      </c>
      <c r="L182" s="383" t="s">
        <v>4305</v>
      </c>
      <c r="M182" s="383"/>
      <c r="N182" s="383" t="s">
        <v>4446</v>
      </c>
      <c r="O182" s="383" t="s">
        <v>4441</v>
      </c>
      <c r="P182" s="383"/>
      <c r="Q182" s="383"/>
      <c r="R182" s="383"/>
      <c r="S182" s="384">
        <v>45091</v>
      </c>
      <c r="T182" s="384">
        <v>45091</v>
      </c>
      <c r="U182" s="383" t="s">
        <v>4328</v>
      </c>
      <c r="V182" s="381">
        <v>700</v>
      </c>
      <c r="W182" s="381">
        <v>14050</v>
      </c>
      <c r="X182" s="385">
        <v>44741.26</v>
      </c>
      <c r="Y182" s="381">
        <v>14056</v>
      </c>
      <c r="Z182" s="385">
        <v>8522.11</v>
      </c>
      <c r="AA182" s="385">
        <f t="shared" si="33"/>
        <v>36219.15</v>
      </c>
      <c r="AB182" s="385">
        <v>4793.67</v>
      </c>
      <c r="AC182" s="381">
        <v>54260</v>
      </c>
      <c r="AD182" s="385">
        <v>532.63</v>
      </c>
      <c r="AE182" s="381" t="s">
        <v>944</v>
      </c>
      <c r="AF182" s="383"/>
      <c r="AG182" s="383"/>
      <c r="AH182" s="383" t="s">
        <v>57</v>
      </c>
      <c r="AI182" s="383" t="s">
        <v>4442</v>
      </c>
      <c r="AJ182" s="383" t="s">
        <v>4443</v>
      </c>
      <c r="AK182" s="383" t="s">
        <v>4437</v>
      </c>
      <c r="AL182" s="414"/>
      <c r="AM182" s="414" t="s">
        <v>1019</v>
      </c>
      <c r="AN182" s="393">
        <f t="shared" si="34"/>
        <v>6</v>
      </c>
      <c r="AO182" s="393">
        <f t="shared" si="35"/>
        <v>2023</v>
      </c>
      <c r="AP182" s="394">
        <f t="shared" si="36"/>
        <v>2030</v>
      </c>
      <c r="AQ182" s="395">
        <f t="shared" si="37"/>
        <v>2030.5</v>
      </c>
      <c r="AR182" s="396">
        <f t="shared" si="38"/>
        <v>532.63404761904769</v>
      </c>
      <c r="AS182" s="397">
        <f t="shared" si="39"/>
        <v>6391.6085714285728</v>
      </c>
      <c r="AT182" s="397">
        <f t="shared" si="40"/>
        <v>6391.6085714285728</v>
      </c>
      <c r="AU182" s="397">
        <f t="shared" si="41"/>
        <v>5326.3404761899874</v>
      </c>
      <c r="AV182" s="397">
        <f t="shared" si="42"/>
        <v>11717.94904761856</v>
      </c>
      <c r="AW182" s="398">
        <f t="shared" si="43"/>
        <v>33023.310952381442</v>
      </c>
      <c r="AX182" s="386" t="s">
        <v>62</v>
      </c>
    </row>
    <row r="183" spans="2:50" ht="15.75" outlineLevel="1">
      <c r="B183" s="381">
        <v>2111</v>
      </c>
      <c r="C183" s="382">
        <v>315937</v>
      </c>
      <c r="D183" s="381" t="s">
        <v>944</v>
      </c>
      <c r="E183" s="383" t="s">
        <v>4240</v>
      </c>
      <c r="F183" s="392" t="s">
        <v>4329</v>
      </c>
      <c r="G183" s="392"/>
      <c r="H183" s="392"/>
      <c r="I183" s="381">
        <v>702</v>
      </c>
      <c r="J183" s="383"/>
      <c r="K183" s="381">
        <v>0</v>
      </c>
      <c r="L183" s="383" t="s">
        <v>4305</v>
      </c>
      <c r="M183" s="383"/>
      <c r="N183" s="383" t="s">
        <v>4446</v>
      </c>
      <c r="O183" s="383" t="s">
        <v>4441</v>
      </c>
      <c r="P183" s="383"/>
      <c r="Q183" s="383"/>
      <c r="R183" s="383"/>
      <c r="S183" s="384">
        <v>45091</v>
      </c>
      <c r="T183" s="384">
        <v>45091</v>
      </c>
      <c r="U183" s="383" t="s">
        <v>4328</v>
      </c>
      <c r="V183" s="381">
        <v>700</v>
      </c>
      <c r="W183" s="381">
        <v>14050</v>
      </c>
      <c r="X183" s="385">
        <v>44741.27</v>
      </c>
      <c r="Y183" s="381">
        <v>14056</v>
      </c>
      <c r="Z183" s="385">
        <v>8522.11</v>
      </c>
      <c r="AA183" s="385">
        <f t="shared" si="33"/>
        <v>36219.159999999996</v>
      </c>
      <c r="AB183" s="385">
        <v>4793.67</v>
      </c>
      <c r="AC183" s="381">
        <v>54260</v>
      </c>
      <c r="AD183" s="385">
        <v>532.63</v>
      </c>
      <c r="AE183" s="381" t="s">
        <v>944</v>
      </c>
      <c r="AF183" s="383"/>
      <c r="AG183" s="383"/>
      <c r="AH183" s="383" t="s">
        <v>57</v>
      </c>
      <c r="AI183" s="383" t="s">
        <v>4442</v>
      </c>
      <c r="AJ183" s="383" t="s">
        <v>4443</v>
      </c>
      <c r="AK183" s="383" t="s">
        <v>4437</v>
      </c>
      <c r="AL183" s="414"/>
      <c r="AM183" s="414" t="s">
        <v>1019</v>
      </c>
      <c r="AN183" s="393">
        <f t="shared" si="34"/>
        <v>6</v>
      </c>
      <c r="AO183" s="393">
        <f t="shared" si="35"/>
        <v>2023</v>
      </c>
      <c r="AP183" s="394">
        <f t="shared" si="36"/>
        <v>2030</v>
      </c>
      <c r="AQ183" s="395">
        <f t="shared" si="37"/>
        <v>2030.5</v>
      </c>
      <c r="AR183" s="396">
        <f t="shared" si="38"/>
        <v>532.6341666666666</v>
      </c>
      <c r="AS183" s="397">
        <f t="shared" si="39"/>
        <v>6391.6099999999988</v>
      </c>
      <c r="AT183" s="397">
        <f t="shared" si="40"/>
        <v>6391.6099999999988</v>
      </c>
      <c r="AU183" s="397">
        <f t="shared" si="41"/>
        <v>5326.3416666661869</v>
      </c>
      <c r="AV183" s="397">
        <f t="shared" si="42"/>
        <v>11717.951666666186</v>
      </c>
      <c r="AW183" s="398">
        <f t="shared" si="43"/>
        <v>33023.318333333809</v>
      </c>
      <c r="AX183" s="386" t="s">
        <v>62</v>
      </c>
    </row>
    <row r="184" spans="2:50" ht="15.75" outlineLevel="1">
      <c r="B184" s="381">
        <v>2111</v>
      </c>
      <c r="C184" s="382">
        <v>315919</v>
      </c>
      <c r="D184" s="381">
        <v>315529</v>
      </c>
      <c r="E184" s="383" t="s">
        <v>4240</v>
      </c>
      <c r="F184" s="392" t="s">
        <v>4330</v>
      </c>
      <c r="G184" s="392"/>
      <c r="H184" s="392"/>
      <c r="I184" s="381">
        <v>1</v>
      </c>
      <c r="J184" s="383" t="s">
        <v>4331</v>
      </c>
      <c r="K184" s="381">
        <v>2024</v>
      </c>
      <c r="L184" s="383" t="s">
        <v>4291</v>
      </c>
      <c r="M184" s="383"/>
      <c r="N184" s="383" t="s">
        <v>4445</v>
      </c>
      <c r="O184" s="383" t="s">
        <v>4441</v>
      </c>
      <c r="P184" s="383" t="s">
        <v>1467</v>
      </c>
      <c r="Q184" s="383"/>
      <c r="R184" s="383"/>
      <c r="S184" s="384">
        <v>45205</v>
      </c>
      <c r="T184" s="384">
        <v>45205</v>
      </c>
      <c r="U184" s="383" t="s">
        <v>4288</v>
      </c>
      <c r="V184" s="381">
        <v>1000</v>
      </c>
      <c r="W184" s="381">
        <v>14040</v>
      </c>
      <c r="X184" s="385">
        <v>187199.07</v>
      </c>
      <c r="Y184" s="381">
        <v>14046</v>
      </c>
      <c r="Z184" s="385">
        <v>18719.88</v>
      </c>
      <c r="AA184" s="385">
        <f t="shared" si="33"/>
        <v>168479.19</v>
      </c>
      <c r="AB184" s="385">
        <v>14039.91</v>
      </c>
      <c r="AC184" s="381">
        <v>51260</v>
      </c>
      <c r="AD184" s="385">
        <v>1559.99</v>
      </c>
      <c r="AE184" s="381" t="s">
        <v>944</v>
      </c>
      <c r="AF184" s="383"/>
      <c r="AG184" s="383"/>
      <c r="AH184" s="383" t="s">
        <v>57</v>
      </c>
      <c r="AI184" s="383" t="s">
        <v>4442</v>
      </c>
      <c r="AJ184" s="383" t="s">
        <v>4443</v>
      </c>
      <c r="AK184" s="389" t="s">
        <v>4437</v>
      </c>
      <c r="AL184" s="389"/>
      <c r="AM184" s="389" t="s">
        <v>3939</v>
      </c>
      <c r="AN184" s="393">
        <f t="shared" si="34"/>
        <v>10</v>
      </c>
      <c r="AO184" s="393">
        <f t="shared" si="35"/>
        <v>2023</v>
      </c>
      <c r="AP184" s="394">
        <f t="shared" si="36"/>
        <v>2033</v>
      </c>
      <c r="AQ184" s="395">
        <f t="shared" si="37"/>
        <v>2033.8333333333333</v>
      </c>
      <c r="AR184" s="396">
        <f t="shared" si="38"/>
        <v>1559.99225</v>
      </c>
      <c r="AS184" s="397">
        <f t="shared" si="39"/>
        <v>18719.906999999999</v>
      </c>
      <c r="AT184" s="397">
        <f t="shared" si="40"/>
        <v>18719.906999999999</v>
      </c>
      <c r="AU184" s="397">
        <f t="shared" si="41"/>
        <v>9359.9535000000033</v>
      </c>
      <c r="AV184" s="397">
        <f t="shared" si="42"/>
        <v>28079.860500000003</v>
      </c>
      <c r="AW184" s="398">
        <f t="shared" si="43"/>
        <v>159119.2095</v>
      </c>
      <c r="AX184" s="386" t="s">
        <v>62</v>
      </c>
    </row>
    <row r="185" spans="2:50" ht="15.75" outlineLevel="1">
      <c r="B185" s="381">
        <v>2111</v>
      </c>
      <c r="C185" s="382">
        <v>315918</v>
      </c>
      <c r="D185" s="381">
        <v>315528</v>
      </c>
      <c r="E185" s="383" t="s">
        <v>4240</v>
      </c>
      <c r="F185" s="392" t="s">
        <v>4332</v>
      </c>
      <c r="G185" s="392"/>
      <c r="H185" s="392"/>
      <c r="I185" s="381">
        <v>1</v>
      </c>
      <c r="J185" s="383" t="s">
        <v>4333</v>
      </c>
      <c r="K185" s="381">
        <v>2023</v>
      </c>
      <c r="L185" s="383" t="s">
        <v>4291</v>
      </c>
      <c r="M185" s="383"/>
      <c r="N185" s="383" t="s">
        <v>4445</v>
      </c>
      <c r="O185" s="383" t="s">
        <v>4441</v>
      </c>
      <c r="P185" s="383" t="s">
        <v>1467</v>
      </c>
      <c r="Q185" s="383"/>
      <c r="R185" s="383"/>
      <c r="S185" s="384">
        <v>45198</v>
      </c>
      <c r="T185" s="384">
        <v>45198</v>
      </c>
      <c r="U185" s="383" t="s">
        <v>4276</v>
      </c>
      <c r="V185" s="381">
        <v>1000</v>
      </c>
      <c r="W185" s="381">
        <v>14040</v>
      </c>
      <c r="X185" s="385">
        <v>106334.58</v>
      </c>
      <c r="Y185" s="381">
        <v>14046</v>
      </c>
      <c r="Z185" s="385">
        <v>10633.45</v>
      </c>
      <c r="AA185" s="385">
        <f t="shared" si="33"/>
        <v>95701.13</v>
      </c>
      <c r="AB185" s="385">
        <v>7975.08</v>
      </c>
      <c r="AC185" s="381">
        <v>51260</v>
      </c>
      <c r="AD185" s="385">
        <v>886.12</v>
      </c>
      <c r="AE185" s="381" t="s">
        <v>944</v>
      </c>
      <c r="AF185" s="383"/>
      <c r="AG185" s="383"/>
      <c r="AH185" s="383" t="s">
        <v>57</v>
      </c>
      <c r="AI185" s="383" t="s">
        <v>4442</v>
      </c>
      <c r="AJ185" s="383" t="s">
        <v>4443</v>
      </c>
      <c r="AK185" s="389" t="s">
        <v>4437</v>
      </c>
      <c r="AL185" s="389"/>
      <c r="AM185" s="389" t="s">
        <v>3939</v>
      </c>
      <c r="AN185" s="393">
        <f t="shared" si="34"/>
        <v>9</v>
      </c>
      <c r="AO185" s="393">
        <f t="shared" si="35"/>
        <v>2023</v>
      </c>
      <c r="AP185" s="394">
        <f t="shared" si="36"/>
        <v>2033</v>
      </c>
      <c r="AQ185" s="395">
        <f t="shared" si="37"/>
        <v>2033.75</v>
      </c>
      <c r="AR185" s="396">
        <f t="shared" si="38"/>
        <v>886.12150000000008</v>
      </c>
      <c r="AS185" s="397">
        <f t="shared" si="39"/>
        <v>10633.458000000001</v>
      </c>
      <c r="AT185" s="397">
        <f t="shared" si="40"/>
        <v>10633.458000000001</v>
      </c>
      <c r="AU185" s="397">
        <f t="shared" si="41"/>
        <v>6202.8504999991856</v>
      </c>
      <c r="AV185" s="397">
        <f t="shared" si="42"/>
        <v>16836.308499999184</v>
      </c>
      <c r="AW185" s="398">
        <f t="shared" si="43"/>
        <v>89498.271500000817</v>
      </c>
      <c r="AX185" s="386" t="s">
        <v>62</v>
      </c>
    </row>
    <row r="186" spans="2:50" ht="15.75" outlineLevel="1">
      <c r="B186" s="381">
        <v>2111</v>
      </c>
      <c r="C186" s="382">
        <v>315584</v>
      </c>
      <c r="D186" s="381">
        <v>309961</v>
      </c>
      <c r="E186" s="383" t="s">
        <v>4240</v>
      </c>
      <c r="F186" s="392" t="s">
        <v>4163</v>
      </c>
      <c r="G186" s="392"/>
      <c r="H186" s="392"/>
      <c r="I186" s="381">
        <v>1</v>
      </c>
      <c r="J186" s="383"/>
      <c r="K186" s="381">
        <v>0</v>
      </c>
      <c r="L186" s="383" t="s">
        <v>4334</v>
      </c>
      <c r="M186" s="383"/>
      <c r="N186" s="383" t="s">
        <v>4462</v>
      </c>
      <c r="O186" s="383" t="s">
        <v>4441</v>
      </c>
      <c r="P186" s="383"/>
      <c r="Q186" s="383"/>
      <c r="R186" s="383"/>
      <c r="S186" s="384">
        <v>45135</v>
      </c>
      <c r="T186" s="384">
        <v>45135</v>
      </c>
      <c r="U186" s="383" t="s">
        <v>4312</v>
      </c>
      <c r="V186" s="381">
        <v>1000</v>
      </c>
      <c r="W186" s="381">
        <v>14010</v>
      </c>
      <c r="X186" s="385">
        <v>919.6</v>
      </c>
      <c r="Y186" s="381">
        <v>14016</v>
      </c>
      <c r="Z186" s="385">
        <v>107.26</v>
      </c>
      <c r="AA186" s="385">
        <f t="shared" si="33"/>
        <v>812.34</v>
      </c>
      <c r="AB186" s="385">
        <v>68.94</v>
      </c>
      <c r="AC186" s="381">
        <v>57260</v>
      </c>
      <c r="AD186" s="385">
        <v>7.66</v>
      </c>
      <c r="AE186" s="381" t="s">
        <v>944</v>
      </c>
      <c r="AF186" s="383"/>
      <c r="AG186" s="383"/>
      <c r="AH186" s="383" t="s">
        <v>57</v>
      </c>
      <c r="AI186" s="383" t="s">
        <v>4442</v>
      </c>
      <c r="AJ186" s="383" t="s">
        <v>4443</v>
      </c>
      <c r="AK186" s="389" t="s">
        <v>4437</v>
      </c>
      <c r="AL186" s="389"/>
      <c r="AM186" s="389" t="s">
        <v>136</v>
      </c>
      <c r="AN186" s="393">
        <f t="shared" si="34"/>
        <v>7</v>
      </c>
      <c r="AO186" s="393">
        <f t="shared" si="35"/>
        <v>2023</v>
      </c>
      <c r="AP186" s="394">
        <f t="shared" si="36"/>
        <v>2033</v>
      </c>
      <c r="AQ186" s="395">
        <f t="shared" si="37"/>
        <v>2033.5833333333333</v>
      </c>
      <c r="AR186" s="396">
        <f t="shared" si="38"/>
        <v>7.663333333333334</v>
      </c>
      <c r="AS186" s="397">
        <f t="shared" si="39"/>
        <v>91.960000000000008</v>
      </c>
      <c r="AT186" s="397">
        <f t="shared" si="40"/>
        <v>91.960000000000008</v>
      </c>
      <c r="AU186" s="397">
        <f t="shared" si="41"/>
        <v>68.969999999999914</v>
      </c>
      <c r="AV186" s="397">
        <f t="shared" si="42"/>
        <v>160.92999999999992</v>
      </c>
      <c r="AW186" s="398">
        <f t="shared" si="43"/>
        <v>758.67000000000007</v>
      </c>
      <c r="AX186" s="386" t="s">
        <v>62</v>
      </c>
    </row>
    <row r="187" spans="2:50" ht="15.75" outlineLevel="1">
      <c r="B187" s="381">
        <v>2111</v>
      </c>
      <c r="C187" s="382">
        <v>315529</v>
      </c>
      <c r="D187" s="381" t="s">
        <v>944</v>
      </c>
      <c r="E187" s="383" t="s">
        <v>4240</v>
      </c>
      <c r="F187" s="392" t="s">
        <v>4307</v>
      </c>
      <c r="G187" s="392"/>
      <c r="H187" s="392"/>
      <c r="I187" s="381">
        <v>1</v>
      </c>
      <c r="J187" s="383" t="s">
        <v>4331</v>
      </c>
      <c r="K187" s="381">
        <v>2024</v>
      </c>
      <c r="L187" s="383"/>
      <c r="M187" s="383"/>
      <c r="N187" s="383" t="s">
        <v>4445</v>
      </c>
      <c r="O187" s="383" t="s">
        <v>4441</v>
      </c>
      <c r="P187" s="383" t="s">
        <v>4487</v>
      </c>
      <c r="Q187" s="383"/>
      <c r="R187" s="383"/>
      <c r="S187" s="384">
        <v>45201</v>
      </c>
      <c r="T187" s="384">
        <v>45201</v>
      </c>
      <c r="U187" s="383" t="s">
        <v>4288</v>
      </c>
      <c r="V187" s="381">
        <v>1000</v>
      </c>
      <c r="W187" s="381">
        <v>14040</v>
      </c>
      <c r="X187" s="385">
        <v>224135.07</v>
      </c>
      <c r="Y187" s="381">
        <v>14046</v>
      </c>
      <c r="Z187" s="385">
        <v>22413.49</v>
      </c>
      <c r="AA187" s="385">
        <f t="shared" si="33"/>
        <v>201721.58000000002</v>
      </c>
      <c r="AB187" s="385">
        <v>16810.11</v>
      </c>
      <c r="AC187" s="381">
        <v>51260</v>
      </c>
      <c r="AD187" s="385">
        <v>1867.79</v>
      </c>
      <c r="AE187" s="381" t="s">
        <v>944</v>
      </c>
      <c r="AF187" s="383"/>
      <c r="AG187" s="383"/>
      <c r="AH187" s="383" t="s">
        <v>57</v>
      </c>
      <c r="AI187" s="383" t="s">
        <v>4442</v>
      </c>
      <c r="AJ187" s="383" t="s">
        <v>4443</v>
      </c>
      <c r="AK187" s="389" t="s">
        <v>4437</v>
      </c>
      <c r="AL187" s="389"/>
      <c r="AM187" s="389" t="s">
        <v>3939</v>
      </c>
      <c r="AN187" s="393">
        <f t="shared" si="34"/>
        <v>10</v>
      </c>
      <c r="AO187" s="393">
        <f t="shared" si="35"/>
        <v>2023</v>
      </c>
      <c r="AP187" s="394">
        <f t="shared" si="36"/>
        <v>2033</v>
      </c>
      <c r="AQ187" s="395">
        <f t="shared" si="37"/>
        <v>2033.8333333333333</v>
      </c>
      <c r="AR187" s="396">
        <f t="shared" si="38"/>
        <v>1867.7922500000002</v>
      </c>
      <c r="AS187" s="397">
        <f t="shared" si="39"/>
        <v>22413.507000000001</v>
      </c>
      <c r="AT187" s="397">
        <f t="shared" si="40"/>
        <v>22413.507000000001</v>
      </c>
      <c r="AU187" s="397">
        <f t="shared" si="41"/>
        <v>11206.753499999992</v>
      </c>
      <c r="AV187" s="397">
        <f t="shared" si="42"/>
        <v>33620.260499999989</v>
      </c>
      <c r="AW187" s="398">
        <f t="shared" si="43"/>
        <v>190514.80950000003</v>
      </c>
      <c r="AX187" s="386" t="s">
        <v>62</v>
      </c>
    </row>
    <row r="188" spans="2:50" ht="15.75" outlineLevel="1">
      <c r="B188" s="381">
        <v>2111</v>
      </c>
      <c r="C188" s="382">
        <v>315528</v>
      </c>
      <c r="D188" s="381" t="s">
        <v>944</v>
      </c>
      <c r="E188" s="383" t="s">
        <v>4240</v>
      </c>
      <c r="F188" s="392" t="s">
        <v>4335</v>
      </c>
      <c r="G188" s="392"/>
      <c r="H188" s="392"/>
      <c r="I188" s="381">
        <v>1</v>
      </c>
      <c r="J188" s="383" t="s">
        <v>4333</v>
      </c>
      <c r="K188" s="381">
        <v>2023</v>
      </c>
      <c r="L188" s="383"/>
      <c r="M188" s="383"/>
      <c r="N188" s="383" t="s">
        <v>4445</v>
      </c>
      <c r="O188" s="383" t="s">
        <v>4441</v>
      </c>
      <c r="P188" s="383" t="s">
        <v>1004</v>
      </c>
      <c r="Q188" s="383"/>
      <c r="R188" s="383"/>
      <c r="S188" s="384">
        <v>45198</v>
      </c>
      <c r="T188" s="384">
        <v>45198</v>
      </c>
      <c r="U188" s="383" t="s">
        <v>4276</v>
      </c>
      <c r="V188" s="381">
        <v>1000</v>
      </c>
      <c r="W188" s="381">
        <v>14040</v>
      </c>
      <c r="X188" s="385">
        <v>234095.54</v>
      </c>
      <c r="Y188" s="381">
        <v>14046</v>
      </c>
      <c r="Z188" s="385">
        <v>23409.59</v>
      </c>
      <c r="AA188" s="385">
        <f t="shared" si="33"/>
        <v>210685.95</v>
      </c>
      <c r="AB188" s="385">
        <v>17557.2</v>
      </c>
      <c r="AC188" s="381">
        <v>51260</v>
      </c>
      <c r="AD188" s="385">
        <v>1950.8</v>
      </c>
      <c r="AE188" s="381" t="s">
        <v>944</v>
      </c>
      <c r="AF188" s="383"/>
      <c r="AG188" s="383"/>
      <c r="AH188" s="383" t="s">
        <v>57</v>
      </c>
      <c r="AI188" s="383" t="s">
        <v>4442</v>
      </c>
      <c r="AJ188" s="383" t="s">
        <v>4443</v>
      </c>
      <c r="AK188" s="389" t="s">
        <v>4437</v>
      </c>
      <c r="AL188" s="389"/>
      <c r="AM188" s="389" t="s">
        <v>3939</v>
      </c>
      <c r="AN188" s="393">
        <f t="shared" si="34"/>
        <v>9</v>
      </c>
      <c r="AO188" s="393">
        <f t="shared" si="35"/>
        <v>2023</v>
      </c>
      <c r="AP188" s="394">
        <f t="shared" si="36"/>
        <v>2033</v>
      </c>
      <c r="AQ188" s="395">
        <f t="shared" si="37"/>
        <v>2033.75</v>
      </c>
      <c r="AR188" s="396">
        <f t="shared" si="38"/>
        <v>1950.7961666666667</v>
      </c>
      <c r="AS188" s="397">
        <f t="shared" si="39"/>
        <v>23409.554</v>
      </c>
      <c r="AT188" s="397">
        <f t="shared" si="40"/>
        <v>23409.554</v>
      </c>
      <c r="AU188" s="397">
        <f t="shared" si="41"/>
        <v>13655.573166664894</v>
      </c>
      <c r="AV188" s="397">
        <f t="shared" si="42"/>
        <v>37065.127166664897</v>
      </c>
      <c r="AW188" s="398">
        <f t="shared" si="43"/>
        <v>197030.41283333511</v>
      </c>
      <c r="AX188" s="386" t="s">
        <v>62</v>
      </c>
    </row>
    <row r="189" spans="2:50" ht="15.75" outlineLevel="1">
      <c r="B189" s="381">
        <v>2111</v>
      </c>
      <c r="C189" s="382">
        <v>314962</v>
      </c>
      <c r="D189" s="381">
        <v>309969</v>
      </c>
      <c r="E189" s="383" t="s">
        <v>4240</v>
      </c>
      <c r="F189" s="392" t="s">
        <v>4336</v>
      </c>
      <c r="G189" s="392"/>
      <c r="H189" s="392"/>
      <c r="I189" s="381">
        <v>1</v>
      </c>
      <c r="J189" s="383" t="s">
        <v>4337</v>
      </c>
      <c r="K189" s="381">
        <v>2023</v>
      </c>
      <c r="L189" s="383" t="s">
        <v>4291</v>
      </c>
      <c r="M189" s="383"/>
      <c r="N189" s="383" t="s">
        <v>4445</v>
      </c>
      <c r="O189" s="383" t="s">
        <v>4441</v>
      </c>
      <c r="P189" s="383" t="s">
        <v>1467</v>
      </c>
      <c r="Q189" s="383"/>
      <c r="R189" s="383"/>
      <c r="S189" s="384">
        <v>45105</v>
      </c>
      <c r="T189" s="384">
        <v>45105</v>
      </c>
      <c r="U189" s="383" t="s">
        <v>4338</v>
      </c>
      <c r="V189" s="381">
        <v>1000</v>
      </c>
      <c r="W189" s="381">
        <v>14040</v>
      </c>
      <c r="X189" s="385">
        <v>11089.45</v>
      </c>
      <c r="Y189" s="381">
        <v>14046</v>
      </c>
      <c r="Z189" s="385">
        <v>1386.16</v>
      </c>
      <c r="AA189" s="385">
        <f t="shared" si="33"/>
        <v>9703.2900000000009</v>
      </c>
      <c r="AB189" s="385">
        <v>831.69</v>
      </c>
      <c r="AC189" s="381">
        <v>51260</v>
      </c>
      <c r="AD189" s="385">
        <v>92.41</v>
      </c>
      <c r="AE189" s="381" t="s">
        <v>944</v>
      </c>
      <c r="AF189" s="383"/>
      <c r="AG189" s="383"/>
      <c r="AH189" s="383" t="s">
        <v>57</v>
      </c>
      <c r="AI189" s="383" t="s">
        <v>4442</v>
      </c>
      <c r="AJ189" s="383" t="s">
        <v>4443</v>
      </c>
      <c r="AK189" s="389" t="s">
        <v>4437</v>
      </c>
      <c r="AL189" s="389"/>
      <c r="AM189" s="389" t="s">
        <v>3939</v>
      </c>
      <c r="AN189" s="393">
        <f t="shared" si="34"/>
        <v>6</v>
      </c>
      <c r="AO189" s="393">
        <f t="shared" si="35"/>
        <v>2023</v>
      </c>
      <c r="AP189" s="394">
        <f t="shared" si="36"/>
        <v>2033</v>
      </c>
      <c r="AQ189" s="395">
        <f t="shared" si="37"/>
        <v>2033.5</v>
      </c>
      <c r="AR189" s="396">
        <f t="shared" si="38"/>
        <v>92.412083333333342</v>
      </c>
      <c r="AS189" s="397">
        <f t="shared" si="39"/>
        <v>1108.9450000000002</v>
      </c>
      <c r="AT189" s="397">
        <f t="shared" si="40"/>
        <v>1108.9450000000002</v>
      </c>
      <c r="AU189" s="397">
        <f t="shared" si="41"/>
        <v>924.12083333324881</v>
      </c>
      <c r="AV189" s="397">
        <f t="shared" si="42"/>
        <v>2033.065833333249</v>
      </c>
      <c r="AW189" s="398">
        <f t="shared" si="43"/>
        <v>9056.3841666667522</v>
      </c>
      <c r="AX189" s="386" t="s">
        <v>62</v>
      </c>
    </row>
    <row r="190" spans="2:50" ht="15.75" outlineLevel="1">
      <c r="B190" s="381">
        <v>2111</v>
      </c>
      <c r="C190" s="382">
        <v>314541</v>
      </c>
      <c r="D190" s="381">
        <v>309969</v>
      </c>
      <c r="E190" s="383" t="s">
        <v>4240</v>
      </c>
      <c r="F190" s="392" t="s">
        <v>4339</v>
      </c>
      <c r="G190" s="392"/>
      <c r="H190" s="392"/>
      <c r="I190" s="381">
        <v>1</v>
      </c>
      <c r="J190" s="383" t="s">
        <v>4337</v>
      </c>
      <c r="K190" s="381">
        <v>0</v>
      </c>
      <c r="L190" s="383" t="s">
        <v>4340</v>
      </c>
      <c r="M190" s="383"/>
      <c r="N190" s="383" t="s">
        <v>4445</v>
      </c>
      <c r="O190" s="383" t="s">
        <v>4441</v>
      </c>
      <c r="P190" s="383" t="s">
        <v>1467</v>
      </c>
      <c r="Q190" s="383"/>
      <c r="R190" s="383"/>
      <c r="S190" s="384">
        <v>45105</v>
      </c>
      <c r="T190" s="384">
        <v>45105</v>
      </c>
      <c r="U190" s="383" t="s">
        <v>4338</v>
      </c>
      <c r="V190" s="381">
        <v>1000</v>
      </c>
      <c r="W190" s="381">
        <v>14040</v>
      </c>
      <c r="X190" s="385">
        <v>477.66</v>
      </c>
      <c r="Y190" s="381">
        <v>14046</v>
      </c>
      <c r="Z190" s="385">
        <v>59.7</v>
      </c>
      <c r="AA190" s="385">
        <f t="shared" si="33"/>
        <v>417.96000000000004</v>
      </c>
      <c r="AB190" s="385">
        <v>35.82</v>
      </c>
      <c r="AC190" s="381">
        <v>51260</v>
      </c>
      <c r="AD190" s="385">
        <v>3.98</v>
      </c>
      <c r="AE190" s="381" t="s">
        <v>944</v>
      </c>
      <c r="AF190" s="383"/>
      <c r="AG190" s="383"/>
      <c r="AH190" s="383" t="s">
        <v>57</v>
      </c>
      <c r="AI190" s="383" t="s">
        <v>4442</v>
      </c>
      <c r="AJ190" s="383" t="s">
        <v>4443</v>
      </c>
      <c r="AK190" s="389" t="s">
        <v>4437</v>
      </c>
      <c r="AL190" s="389"/>
      <c r="AM190" s="389" t="s">
        <v>3939</v>
      </c>
      <c r="AN190" s="393">
        <f t="shared" si="34"/>
        <v>6</v>
      </c>
      <c r="AO190" s="393">
        <f t="shared" si="35"/>
        <v>2023</v>
      </c>
      <c r="AP190" s="394">
        <f t="shared" si="36"/>
        <v>2033</v>
      </c>
      <c r="AQ190" s="395">
        <f t="shared" si="37"/>
        <v>2033.5</v>
      </c>
      <c r="AR190" s="396">
        <f t="shared" si="38"/>
        <v>3.9805000000000006</v>
      </c>
      <c r="AS190" s="397">
        <f t="shared" si="39"/>
        <v>47.766000000000005</v>
      </c>
      <c r="AT190" s="397">
        <f t="shared" si="40"/>
        <v>47.766000000000005</v>
      </c>
      <c r="AU190" s="397">
        <f t="shared" si="41"/>
        <v>39.804999999996312</v>
      </c>
      <c r="AV190" s="397">
        <f t="shared" si="42"/>
        <v>87.570999999996317</v>
      </c>
      <c r="AW190" s="398">
        <f t="shared" si="43"/>
        <v>390.08900000000369</v>
      </c>
      <c r="AX190" s="386" t="s">
        <v>62</v>
      </c>
    </row>
    <row r="191" spans="2:50" ht="15.75" outlineLevel="1">
      <c r="B191" s="381">
        <v>2111</v>
      </c>
      <c r="C191" s="382">
        <v>312926</v>
      </c>
      <c r="D191" s="381" t="s">
        <v>944</v>
      </c>
      <c r="E191" s="383" t="s">
        <v>4240</v>
      </c>
      <c r="F191" s="392" t="s">
        <v>4327</v>
      </c>
      <c r="G191" s="392"/>
      <c r="H191" s="392"/>
      <c r="I191" s="381">
        <v>702</v>
      </c>
      <c r="J191" s="383"/>
      <c r="K191" s="381">
        <v>0</v>
      </c>
      <c r="L191" s="383" t="s">
        <v>4305</v>
      </c>
      <c r="M191" s="383"/>
      <c r="N191" s="383" t="s">
        <v>4446</v>
      </c>
      <c r="O191" s="383" t="s">
        <v>4441</v>
      </c>
      <c r="P191" s="383"/>
      <c r="Q191" s="383"/>
      <c r="R191" s="383"/>
      <c r="S191" s="384">
        <v>45153</v>
      </c>
      <c r="T191" s="384">
        <v>45153</v>
      </c>
      <c r="U191" s="383" t="s">
        <v>4341</v>
      </c>
      <c r="V191" s="381">
        <v>700</v>
      </c>
      <c r="W191" s="381">
        <v>14050</v>
      </c>
      <c r="X191" s="385">
        <v>44233.18</v>
      </c>
      <c r="Y191" s="381">
        <v>14056</v>
      </c>
      <c r="Z191" s="385">
        <v>7372.24</v>
      </c>
      <c r="AA191" s="385">
        <f t="shared" si="33"/>
        <v>36860.94</v>
      </c>
      <c r="AB191" s="385">
        <v>4739.3100000000004</v>
      </c>
      <c r="AC191" s="381">
        <v>54260</v>
      </c>
      <c r="AD191" s="385">
        <v>526.59</v>
      </c>
      <c r="AE191" s="381" t="s">
        <v>944</v>
      </c>
      <c r="AF191" s="383"/>
      <c r="AG191" s="383"/>
      <c r="AH191" s="383" t="s">
        <v>57</v>
      </c>
      <c r="AI191" s="383" t="s">
        <v>4442</v>
      </c>
      <c r="AJ191" s="383" t="s">
        <v>4443</v>
      </c>
      <c r="AK191" s="389" t="s">
        <v>4437</v>
      </c>
      <c r="AL191" s="389"/>
      <c r="AM191" s="389" t="s">
        <v>1019</v>
      </c>
      <c r="AN191" s="393">
        <f t="shared" si="34"/>
        <v>8</v>
      </c>
      <c r="AO191" s="393">
        <f t="shared" si="35"/>
        <v>2023</v>
      </c>
      <c r="AP191" s="394">
        <f t="shared" si="36"/>
        <v>2030</v>
      </c>
      <c r="AQ191" s="395">
        <f t="shared" si="37"/>
        <v>2030.6666666666667</v>
      </c>
      <c r="AR191" s="396">
        <f t="shared" si="38"/>
        <v>526.58547619047624</v>
      </c>
      <c r="AS191" s="397">
        <f t="shared" si="39"/>
        <v>6319.0257142857154</v>
      </c>
      <c r="AT191" s="397">
        <f t="shared" si="40"/>
        <v>6319.0257142857154</v>
      </c>
      <c r="AU191" s="397">
        <f t="shared" si="41"/>
        <v>4212.683809522845</v>
      </c>
      <c r="AV191" s="397">
        <f t="shared" si="42"/>
        <v>10531.70952380856</v>
      </c>
      <c r="AW191" s="398">
        <f t="shared" si="43"/>
        <v>33701.47047619144</v>
      </c>
      <c r="AX191" s="386" t="s">
        <v>62</v>
      </c>
    </row>
    <row r="192" spans="2:50" ht="15.75" outlineLevel="1">
      <c r="B192" s="381">
        <v>2111</v>
      </c>
      <c r="C192" s="382">
        <v>312328</v>
      </c>
      <c r="D192" s="381">
        <v>309961</v>
      </c>
      <c r="E192" s="383" t="s">
        <v>4240</v>
      </c>
      <c r="F192" s="392" t="s">
        <v>4342</v>
      </c>
      <c r="G192" s="392"/>
      <c r="H192" s="392"/>
      <c r="I192" s="381">
        <v>1</v>
      </c>
      <c r="J192" s="383"/>
      <c r="K192" s="381">
        <v>0</v>
      </c>
      <c r="L192" s="383" t="s">
        <v>4334</v>
      </c>
      <c r="M192" s="383"/>
      <c r="N192" s="383" t="s">
        <v>4462</v>
      </c>
      <c r="O192" s="383" t="s">
        <v>4441</v>
      </c>
      <c r="P192" s="383"/>
      <c r="Q192" s="383"/>
      <c r="R192" s="383"/>
      <c r="S192" s="384">
        <v>45103</v>
      </c>
      <c r="T192" s="384">
        <v>45103</v>
      </c>
      <c r="U192" s="383" t="s">
        <v>4312</v>
      </c>
      <c r="V192" s="381">
        <v>1000</v>
      </c>
      <c r="W192" s="381">
        <v>14010</v>
      </c>
      <c r="X192" s="385">
        <v>2447.5</v>
      </c>
      <c r="Y192" s="381">
        <v>14016</v>
      </c>
      <c r="Z192" s="385">
        <v>305.98</v>
      </c>
      <c r="AA192" s="385">
        <f t="shared" si="33"/>
        <v>2141.52</v>
      </c>
      <c r="AB192" s="385">
        <v>183.6</v>
      </c>
      <c r="AC192" s="381">
        <v>57260</v>
      </c>
      <c r="AD192" s="385">
        <v>20.399999999999999</v>
      </c>
      <c r="AE192" s="381" t="s">
        <v>944</v>
      </c>
      <c r="AF192" s="383"/>
      <c r="AG192" s="383"/>
      <c r="AH192" s="383" t="s">
        <v>57</v>
      </c>
      <c r="AI192" s="383" t="s">
        <v>4442</v>
      </c>
      <c r="AJ192" s="383" t="s">
        <v>4443</v>
      </c>
      <c r="AK192" s="389" t="s">
        <v>4437</v>
      </c>
      <c r="AL192" s="389"/>
      <c r="AM192" s="389" t="s">
        <v>136</v>
      </c>
      <c r="AN192" s="393">
        <f t="shared" si="34"/>
        <v>6</v>
      </c>
      <c r="AO192" s="393">
        <f t="shared" si="35"/>
        <v>2023</v>
      </c>
      <c r="AP192" s="394">
        <f t="shared" si="36"/>
        <v>2033</v>
      </c>
      <c r="AQ192" s="395">
        <f t="shared" si="37"/>
        <v>2033.5</v>
      </c>
      <c r="AR192" s="396">
        <f t="shared" si="38"/>
        <v>20.395833333333332</v>
      </c>
      <c r="AS192" s="397">
        <f t="shared" si="39"/>
        <v>244.75</v>
      </c>
      <c r="AT192" s="397">
        <f t="shared" si="40"/>
        <v>244.75</v>
      </c>
      <c r="AU192" s="397">
        <f t="shared" si="41"/>
        <v>203.95833333331484</v>
      </c>
      <c r="AV192" s="397">
        <f t="shared" si="42"/>
        <v>448.70833333331484</v>
      </c>
      <c r="AW192" s="398">
        <f t="shared" si="43"/>
        <v>1998.7916666666852</v>
      </c>
      <c r="AX192" s="386" t="s">
        <v>62</v>
      </c>
    </row>
    <row r="193" spans="2:50" ht="15.75" outlineLevel="1">
      <c r="B193" s="381">
        <v>2111</v>
      </c>
      <c r="C193" s="382">
        <v>312156</v>
      </c>
      <c r="D193" s="381">
        <v>309969</v>
      </c>
      <c r="E193" s="383" t="s">
        <v>4240</v>
      </c>
      <c r="F193" s="392" t="s">
        <v>4343</v>
      </c>
      <c r="G193" s="392"/>
      <c r="H193" s="392"/>
      <c r="I193" s="381">
        <v>1</v>
      </c>
      <c r="J193" s="383"/>
      <c r="K193" s="381">
        <v>0</v>
      </c>
      <c r="L193" s="383" t="s">
        <v>4344</v>
      </c>
      <c r="M193" s="383"/>
      <c r="N193" s="383" t="s">
        <v>4445</v>
      </c>
      <c r="O193" s="383" t="s">
        <v>4441</v>
      </c>
      <c r="P193" s="383" t="s">
        <v>1467</v>
      </c>
      <c r="Q193" s="383"/>
      <c r="R193" s="383"/>
      <c r="S193" s="384">
        <v>45105</v>
      </c>
      <c r="T193" s="384">
        <v>45105</v>
      </c>
      <c r="U193" s="383" t="s">
        <v>4338</v>
      </c>
      <c r="V193" s="381">
        <v>1000</v>
      </c>
      <c r="W193" s="381">
        <v>14040</v>
      </c>
      <c r="X193" s="385">
        <v>962.5</v>
      </c>
      <c r="Y193" s="381">
        <v>14046</v>
      </c>
      <c r="Z193" s="385">
        <v>120.31</v>
      </c>
      <c r="AA193" s="385">
        <f t="shared" si="33"/>
        <v>842.19</v>
      </c>
      <c r="AB193" s="385">
        <v>72.180000000000007</v>
      </c>
      <c r="AC193" s="381">
        <v>51260</v>
      </c>
      <c r="AD193" s="385">
        <v>8.02</v>
      </c>
      <c r="AE193" s="381" t="s">
        <v>944</v>
      </c>
      <c r="AF193" s="383"/>
      <c r="AG193" s="383"/>
      <c r="AH193" s="383" t="s">
        <v>57</v>
      </c>
      <c r="AI193" s="383" t="s">
        <v>4442</v>
      </c>
      <c r="AJ193" s="383" t="s">
        <v>4443</v>
      </c>
      <c r="AK193" s="389" t="s">
        <v>4437</v>
      </c>
      <c r="AL193" s="389"/>
      <c r="AM193" s="389" t="s">
        <v>3939</v>
      </c>
      <c r="AN193" s="393">
        <f t="shared" si="34"/>
        <v>6</v>
      </c>
      <c r="AO193" s="393">
        <f t="shared" si="35"/>
        <v>2023</v>
      </c>
      <c r="AP193" s="394">
        <f t="shared" si="36"/>
        <v>2033</v>
      </c>
      <c r="AQ193" s="395">
        <f t="shared" si="37"/>
        <v>2033.5</v>
      </c>
      <c r="AR193" s="396">
        <f t="shared" si="38"/>
        <v>8.0208333333333339</v>
      </c>
      <c r="AS193" s="397">
        <f t="shared" si="39"/>
        <v>96.25</v>
      </c>
      <c r="AT193" s="397">
        <f t="shared" si="40"/>
        <v>96.25</v>
      </c>
      <c r="AU193" s="397">
        <f t="shared" si="41"/>
        <v>80.208333333325982</v>
      </c>
      <c r="AV193" s="397">
        <f t="shared" si="42"/>
        <v>176.45833333332598</v>
      </c>
      <c r="AW193" s="398">
        <f t="shared" si="43"/>
        <v>786.04166666667402</v>
      </c>
      <c r="AX193" s="386" t="s">
        <v>62</v>
      </c>
    </row>
    <row r="194" spans="2:50" ht="15.75" outlineLevel="1">
      <c r="B194" s="381">
        <v>2111</v>
      </c>
      <c r="C194" s="382">
        <v>311681</v>
      </c>
      <c r="D194" s="381">
        <v>309969</v>
      </c>
      <c r="E194" s="383" t="s">
        <v>4240</v>
      </c>
      <c r="F194" s="392" t="s">
        <v>4345</v>
      </c>
      <c r="G194" s="392"/>
      <c r="H194" s="392"/>
      <c r="I194" s="381">
        <v>1</v>
      </c>
      <c r="J194" s="383" t="s">
        <v>4337</v>
      </c>
      <c r="K194" s="381">
        <v>0</v>
      </c>
      <c r="L194" s="383" t="s">
        <v>4291</v>
      </c>
      <c r="M194" s="383"/>
      <c r="N194" s="383" t="s">
        <v>4445</v>
      </c>
      <c r="O194" s="383" t="s">
        <v>4441</v>
      </c>
      <c r="P194" s="383" t="s">
        <v>1467</v>
      </c>
      <c r="Q194" s="383"/>
      <c r="R194" s="383"/>
      <c r="S194" s="384">
        <v>45105</v>
      </c>
      <c r="T194" s="384">
        <v>45105</v>
      </c>
      <c r="U194" s="383" t="s">
        <v>4338</v>
      </c>
      <c r="V194" s="381">
        <v>1000</v>
      </c>
      <c r="W194" s="381">
        <v>14040</v>
      </c>
      <c r="X194" s="385">
        <v>126489</v>
      </c>
      <c r="Y194" s="381">
        <v>14046</v>
      </c>
      <c r="Z194" s="385">
        <v>15811.17</v>
      </c>
      <c r="AA194" s="385">
        <f t="shared" si="33"/>
        <v>110677.83</v>
      </c>
      <c r="AB194" s="385">
        <v>9486.7199999999993</v>
      </c>
      <c r="AC194" s="381">
        <v>51260</v>
      </c>
      <c r="AD194" s="385">
        <v>1054.08</v>
      </c>
      <c r="AE194" s="381" t="s">
        <v>944</v>
      </c>
      <c r="AF194" s="383"/>
      <c r="AG194" s="383"/>
      <c r="AH194" s="383" t="s">
        <v>57</v>
      </c>
      <c r="AI194" s="383" t="s">
        <v>4442</v>
      </c>
      <c r="AJ194" s="383" t="s">
        <v>4443</v>
      </c>
      <c r="AK194" s="389" t="s">
        <v>4437</v>
      </c>
      <c r="AL194" s="389"/>
      <c r="AM194" s="389" t="s">
        <v>3939</v>
      </c>
      <c r="AN194" s="393">
        <f t="shared" si="34"/>
        <v>6</v>
      </c>
      <c r="AO194" s="393">
        <f t="shared" si="35"/>
        <v>2023</v>
      </c>
      <c r="AP194" s="394">
        <f t="shared" si="36"/>
        <v>2033</v>
      </c>
      <c r="AQ194" s="395">
        <f t="shared" si="37"/>
        <v>2033.5</v>
      </c>
      <c r="AR194" s="396">
        <f t="shared" si="38"/>
        <v>1054.075</v>
      </c>
      <c r="AS194" s="397">
        <f t="shared" si="39"/>
        <v>12648.900000000001</v>
      </c>
      <c r="AT194" s="397">
        <f t="shared" si="40"/>
        <v>12648.900000000001</v>
      </c>
      <c r="AU194" s="397">
        <f t="shared" si="41"/>
        <v>10540.74999999904</v>
      </c>
      <c r="AV194" s="397">
        <f t="shared" si="42"/>
        <v>23189.649999999041</v>
      </c>
      <c r="AW194" s="398">
        <f t="shared" si="43"/>
        <v>103299.35000000097</v>
      </c>
      <c r="AX194" s="386" t="s">
        <v>62</v>
      </c>
    </row>
    <row r="195" spans="2:50" ht="15.75" outlineLevel="1">
      <c r="B195" s="381">
        <v>2111</v>
      </c>
      <c r="C195" s="382">
        <v>310496</v>
      </c>
      <c r="D195" s="381" t="s">
        <v>944</v>
      </c>
      <c r="E195" s="383" t="s">
        <v>4240</v>
      </c>
      <c r="F195" s="392" t="s">
        <v>4346</v>
      </c>
      <c r="G195" s="392"/>
      <c r="H195" s="392"/>
      <c r="I195" s="381">
        <v>702</v>
      </c>
      <c r="J195" s="383"/>
      <c r="K195" s="381">
        <v>0</v>
      </c>
      <c r="L195" s="383" t="s">
        <v>4305</v>
      </c>
      <c r="M195" s="383"/>
      <c r="N195" s="383" t="s">
        <v>4446</v>
      </c>
      <c r="O195" s="383" t="s">
        <v>4441</v>
      </c>
      <c r="P195" s="383"/>
      <c r="Q195" s="383"/>
      <c r="R195" s="383"/>
      <c r="S195" s="384">
        <v>45091</v>
      </c>
      <c r="T195" s="384">
        <v>45091</v>
      </c>
      <c r="U195" s="383" t="s">
        <v>4328</v>
      </c>
      <c r="V195" s="381">
        <v>700</v>
      </c>
      <c r="W195" s="381">
        <v>14050</v>
      </c>
      <c r="X195" s="385">
        <v>44741.27</v>
      </c>
      <c r="Y195" s="381">
        <v>14056</v>
      </c>
      <c r="Z195" s="385">
        <v>8522.11</v>
      </c>
      <c r="AA195" s="385">
        <f t="shared" si="33"/>
        <v>36219.159999999996</v>
      </c>
      <c r="AB195" s="385">
        <v>4793.67</v>
      </c>
      <c r="AC195" s="381">
        <v>54260</v>
      </c>
      <c r="AD195" s="385">
        <v>532.63</v>
      </c>
      <c r="AE195" s="381" t="s">
        <v>944</v>
      </c>
      <c r="AF195" s="383"/>
      <c r="AG195" s="383"/>
      <c r="AH195" s="383" t="s">
        <v>57</v>
      </c>
      <c r="AI195" s="383" t="s">
        <v>4442</v>
      </c>
      <c r="AJ195" s="383" t="s">
        <v>4443</v>
      </c>
      <c r="AK195" s="389" t="s">
        <v>4437</v>
      </c>
      <c r="AL195" s="389"/>
      <c r="AM195" s="389" t="s">
        <v>1019</v>
      </c>
      <c r="AN195" s="393">
        <f t="shared" si="34"/>
        <v>6</v>
      </c>
      <c r="AO195" s="393">
        <f t="shared" si="35"/>
        <v>2023</v>
      </c>
      <c r="AP195" s="394">
        <f t="shared" si="36"/>
        <v>2030</v>
      </c>
      <c r="AQ195" s="395">
        <f t="shared" si="37"/>
        <v>2030.5</v>
      </c>
      <c r="AR195" s="396">
        <f t="shared" si="38"/>
        <v>532.6341666666666</v>
      </c>
      <c r="AS195" s="397">
        <f t="shared" si="39"/>
        <v>6391.6099999999988</v>
      </c>
      <c r="AT195" s="397">
        <f t="shared" si="40"/>
        <v>6391.6099999999988</v>
      </c>
      <c r="AU195" s="397">
        <f t="shared" si="41"/>
        <v>5326.3416666661869</v>
      </c>
      <c r="AV195" s="397">
        <f t="shared" si="42"/>
        <v>11717.951666666186</v>
      </c>
      <c r="AW195" s="398">
        <f t="shared" si="43"/>
        <v>33023.318333333809</v>
      </c>
      <c r="AX195" s="386" t="s">
        <v>62</v>
      </c>
    </row>
    <row r="196" spans="2:50" ht="15.75" outlineLevel="1">
      <c r="B196" s="381">
        <v>2111</v>
      </c>
      <c r="C196" s="382">
        <v>310045</v>
      </c>
      <c r="D196" s="381" t="s">
        <v>944</v>
      </c>
      <c r="E196" s="383" t="s">
        <v>4240</v>
      </c>
      <c r="F196" s="392" t="s">
        <v>4527</v>
      </c>
      <c r="G196" s="392"/>
      <c r="H196" s="392"/>
      <c r="I196" s="381">
        <v>1</v>
      </c>
      <c r="J196" s="383" t="s">
        <v>4528</v>
      </c>
      <c r="K196" s="381">
        <v>2004</v>
      </c>
      <c r="L196" s="383"/>
      <c r="M196" s="383"/>
      <c r="N196" s="383" t="s">
        <v>4458</v>
      </c>
      <c r="O196" s="383" t="s">
        <v>4441</v>
      </c>
      <c r="P196" s="383" t="s">
        <v>4529</v>
      </c>
      <c r="Q196" s="383"/>
      <c r="R196" s="383"/>
      <c r="S196" s="384">
        <v>45108</v>
      </c>
      <c r="T196" s="384">
        <v>45108</v>
      </c>
      <c r="U196" s="383"/>
      <c r="V196" s="381">
        <v>0</v>
      </c>
      <c r="W196" s="381">
        <v>14030</v>
      </c>
      <c r="X196" s="385">
        <v>0</v>
      </c>
      <c r="Y196" s="381">
        <v>14036</v>
      </c>
      <c r="Z196" s="385">
        <v>0</v>
      </c>
      <c r="AA196" s="385">
        <f t="shared" si="33"/>
        <v>0</v>
      </c>
      <c r="AB196" s="385">
        <v>0</v>
      </c>
      <c r="AC196" s="381">
        <v>51260</v>
      </c>
      <c r="AD196" s="385">
        <v>0</v>
      </c>
      <c r="AE196" s="381" t="s">
        <v>944</v>
      </c>
      <c r="AF196" s="383"/>
      <c r="AG196" s="383"/>
      <c r="AH196" s="383" t="s">
        <v>57</v>
      </c>
      <c r="AI196" s="383" t="s">
        <v>4442</v>
      </c>
      <c r="AJ196" s="383" t="s">
        <v>1660</v>
      </c>
      <c r="AK196" s="389" t="s">
        <v>4437</v>
      </c>
      <c r="AL196" s="389"/>
      <c r="AM196" s="389" t="s">
        <v>125</v>
      </c>
      <c r="AN196" s="393">
        <f t="shared" si="34"/>
        <v>7</v>
      </c>
      <c r="AO196" s="393">
        <f t="shared" si="35"/>
        <v>2023</v>
      </c>
      <c r="AP196" s="394">
        <f t="shared" si="36"/>
        <v>2023</v>
      </c>
      <c r="AQ196" s="395">
        <f t="shared" si="37"/>
        <v>2023.5833333333333</v>
      </c>
      <c r="AR196" s="396">
        <f t="shared" si="38"/>
        <v>0</v>
      </c>
      <c r="AS196" s="397">
        <f t="shared" si="39"/>
        <v>0</v>
      </c>
      <c r="AT196" s="397">
        <f t="shared" si="40"/>
        <v>0</v>
      </c>
      <c r="AU196" s="397">
        <f t="shared" si="41"/>
        <v>0</v>
      </c>
      <c r="AV196" s="397">
        <f t="shared" si="42"/>
        <v>0</v>
      </c>
      <c r="AW196" s="398">
        <f t="shared" si="43"/>
        <v>0</v>
      </c>
      <c r="AX196" s="386" t="s">
        <v>62</v>
      </c>
    </row>
    <row r="197" spans="2:50" ht="15.75" outlineLevel="1">
      <c r="B197" s="381">
        <v>2111</v>
      </c>
      <c r="C197" s="382">
        <v>309971</v>
      </c>
      <c r="D197" s="381">
        <v>110969</v>
      </c>
      <c r="E197" s="383" t="s">
        <v>4240</v>
      </c>
      <c r="F197" s="392" t="s">
        <v>4347</v>
      </c>
      <c r="G197" s="392"/>
      <c r="H197" s="392"/>
      <c r="I197" s="381">
        <v>1</v>
      </c>
      <c r="J197" s="383"/>
      <c r="K197" s="381">
        <v>0</v>
      </c>
      <c r="L197" s="383"/>
      <c r="M197" s="383"/>
      <c r="N197" s="383" t="s">
        <v>4445</v>
      </c>
      <c r="O197" s="383" t="s">
        <v>4441</v>
      </c>
      <c r="P197" s="383" t="s">
        <v>1467</v>
      </c>
      <c r="Q197" s="383"/>
      <c r="R197" s="383"/>
      <c r="S197" s="384">
        <v>45113</v>
      </c>
      <c r="T197" s="384">
        <v>45113</v>
      </c>
      <c r="U197" s="383" t="s">
        <v>4348</v>
      </c>
      <c r="V197" s="381">
        <v>300</v>
      </c>
      <c r="W197" s="381">
        <v>14040</v>
      </c>
      <c r="X197" s="385">
        <v>14812.67</v>
      </c>
      <c r="Y197" s="381">
        <v>14046</v>
      </c>
      <c r="Z197" s="385">
        <v>6171.92</v>
      </c>
      <c r="AA197" s="385">
        <f t="shared" si="33"/>
        <v>8640.75</v>
      </c>
      <c r="AB197" s="385">
        <v>3703.14</v>
      </c>
      <c r="AC197" s="381">
        <v>51260</v>
      </c>
      <c r="AD197" s="385">
        <v>411.46</v>
      </c>
      <c r="AE197" s="381" t="s">
        <v>944</v>
      </c>
      <c r="AF197" s="383"/>
      <c r="AG197" s="383"/>
      <c r="AH197" s="383" t="s">
        <v>57</v>
      </c>
      <c r="AI197" s="383" t="s">
        <v>4442</v>
      </c>
      <c r="AJ197" s="383" t="s">
        <v>4443</v>
      </c>
      <c r="AK197" s="389" t="s">
        <v>4437</v>
      </c>
      <c r="AL197" s="389"/>
      <c r="AM197" s="389" t="s">
        <v>3939</v>
      </c>
      <c r="AN197" s="393">
        <f t="shared" si="34"/>
        <v>7</v>
      </c>
      <c r="AO197" s="393">
        <f t="shared" si="35"/>
        <v>2023</v>
      </c>
      <c r="AP197" s="394">
        <f t="shared" si="36"/>
        <v>2026</v>
      </c>
      <c r="AQ197" s="395">
        <f t="shared" si="37"/>
        <v>2026.5833333333333</v>
      </c>
      <c r="AR197" s="396">
        <f t="shared" si="38"/>
        <v>411.46305555555551</v>
      </c>
      <c r="AS197" s="397">
        <f t="shared" si="39"/>
        <v>4937.5566666666664</v>
      </c>
      <c r="AT197" s="397">
        <f t="shared" si="40"/>
        <v>4937.5566666666664</v>
      </c>
      <c r="AU197" s="397">
        <f t="shared" si="41"/>
        <v>3703.1675000000014</v>
      </c>
      <c r="AV197" s="397">
        <f t="shared" si="42"/>
        <v>8640.7241666666669</v>
      </c>
      <c r="AW197" s="398">
        <f t="shared" si="43"/>
        <v>6171.9458333333332</v>
      </c>
      <c r="AX197" s="386" t="s">
        <v>62</v>
      </c>
    </row>
    <row r="198" spans="2:50" ht="15.75" outlineLevel="1">
      <c r="B198" s="381">
        <v>2111</v>
      </c>
      <c r="C198" s="382">
        <v>309970</v>
      </c>
      <c r="D198" s="381">
        <v>309969</v>
      </c>
      <c r="E198" s="383" t="s">
        <v>4240</v>
      </c>
      <c r="F198" s="392" t="s">
        <v>4349</v>
      </c>
      <c r="G198" s="392"/>
      <c r="H198" s="392"/>
      <c r="I198" s="381">
        <v>1</v>
      </c>
      <c r="J198" s="383" t="s">
        <v>4337</v>
      </c>
      <c r="K198" s="381">
        <v>2023</v>
      </c>
      <c r="L198" s="383"/>
      <c r="M198" s="383"/>
      <c r="N198" s="383" t="s">
        <v>4445</v>
      </c>
      <c r="O198" s="383" t="s">
        <v>4441</v>
      </c>
      <c r="P198" s="383" t="s">
        <v>1467</v>
      </c>
      <c r="Q198" s="383"/>
      <c r="R198" s="383"/>
      <c r="S198" s="384">
        <v>45120</v>
      </c>
      <c r="T198" s="384">
        <v>45120</v>
      </c>
      <c r="U198" s="383" t="s">
        <v>4338</v>
      </c>
      <c r="V198" s="381">
        <v>1000</v>
      </c>
      <c r="W198" s="381">
        <v>14040</v>
      </c>
      <c r="X198" s="385">
        <v>3977.06</v>
      </c>
      <c r="Y198" s="381">
        <v>14046</v>
      </c>
      <c r="Z198" s="385">
        <v>497.11</v>
      </c>
      <c r="AA198" s="385">
        <f t="shared" si="33"/>
        <v>3479.95</v>
      </c>
      <c r="AB198" s="385">
        <v>298.26</v>
      </c>
      <c r="AC198" s="381">
        <v>51260</v>
      </c>
      <c r="AD198" s="385">
        <v>33.14</v>
      </c>
      <c r="AE198" s="381" t="s">
        <v>944</v>
      </c>
      <c r="AF198" s="383"/>
      <c r="AG198" s="383"/>
      <c r="AH198" s="383" t="s">
        <v>57</v>
      </c>
      <c r="AI198" s="383" t="s">
        <v>4442</v>
      </c>
      <c r="AJ198" s="383" t="s">
        <v>4443</v>
      </c>
      <c r="AK198" s="389" t="s">
        <v>4437</v>
      </c>
      <c r="AL198" s="389"/>
      <c r="AM198" s="389" t="s">
        <v>3939</v>
      </c>
      <c r="AN198" s="393">
        <f t="shared" si="34"/>
        <v>7</v>
      </c>
      <c r="AO198" s="393">
        <f t="shared" si="35"/>
        <v>2023</v>
      </c>
      <c r="AP198" s="394">
        <f t="shared" si="36"/>
        <v>2033</v>
      </c>
      <c r="AQ198" s="395">
        <f t="shared" si="37"/>
        <v>2033.5833333333333</v>
      </c>
      <c r="AR198" s="396">
        <f t="shared" si="38"/>
        <v>33.142166666666668</v>
      </c>
      <c r="AS198" s="397">
        <f t="shared" si="39"/>
        <v>397.70600000000002</v>
      </c>
      <c r="AT198" s="397">
        <f t="shared" si="40"/>
        <v>397.70600000000002</v>
      </c>
      <c r="AU198" s="397">
        <f t="shared" si="41"/>
        <v>298.27949999999964</v>
      </c>
      <c r="AV198" s="397">
        <f t="shared" si="42"/>
        <v>695.98549999999966</v>
      </c>
      <c r="AW198" s="398">
        <f t="shared" si="43"/>
        <v>3281.0745000000002</v>
      </c>
      <c r="AX198" s="386" t="s">
        <v>62</v>
      </c>
    </row>
    <row r="199" spans="2:50" ht="15.75" outlineLevel="1">
      <c r="B199" s="381">
        <v>2111</v>
      </c>
      <c r="C199" s="382">
        <v>309969</v>
      </c>
      <c r="D199" s="381" t="s">
        <v>944</v>
      </c>
      <c r="E199" s="383" t="s">
        <v>4240</v>
      </c>
      <c r="F199" s="392" t="s">
        <v>4350</v>
      </c>
      <c r="G199" s="392"/>
      <c r="H199" s="392"/>
      <c r="I199" s="381">
        <v>1</v>
      </c>
      <c r="J199" s="383" t="s">
        <v>4337</v>
      </c>
      <c r="K199" s="381">
        <v>2023</v>
      </c>
      <c r="L199" s="383"/>
      <c r="M199" s="383"/>
      <c r="N199" s="383" t="s">
        <v>4445</v>
      </c>
      <c r="O199" s="383" t="s">
        <v>4441</v>
      </c>
      <c r="P199" s="383" t="s">
        <v>4463</v>
      </c>
      <c r="Q199" s="383"/>
      <c r="R199" s="383"/>
      <c r="S199" s="384">
        <v>45120</v>
      </c>
      <c r="T199" s="384">
        <v>45120</v>
      </c>
      <c r="U199" s="383" t="s">
        <v>4351</v>
      </c>
      <c r="V199" s="381">
        <v>1000</v>
      </c>
      <c r="W199" s="381">
        <v>14040</v>
      </c>
      <c r="X199" s="385">
        <v>192304</v>
      </c>
      <c r="Y199" s="381">
        <v>14046</v>
      </c>
      <c r="Z199" s="385">
        <v>24037.97</v>
      </c>
      <c r="AA199" s="385">
        <f t="shared" si="33"/>
        <v>168266.03</v>
      </c>
      <c r="AB199" s="385">
        <v>14422.77</v>
      </c>
      <c r="AC199" s="381">
        <v>51260</v>
      </c>
      <c r="AD199" s="385">
        <v>1602.53</v>
      </c>
      <c r="AE199" s="381" t="s">
        <v>944</v>
      </c>
      <c r="AF199" s="383"/>
      <c r="AG199" s="383"/>
      <c r="AH199" s="383" t="s">
        <v>57</v>
      </c>
      <c r="AI199" s="383" t="s">
        <v>4442</v>
      </c>
      <c r="AJ199" s="383" t="s">
        <v>4443</v>
      </c>
      <c r="AK199" s="389" t="s">
        <v>4437</v>
      </c>
      <c r="AL199" s="389"/>
      <c r="AM199" s="389" t="s">
        <v>3939</v>
      </c>
      <c r="AN199" s="393">
        <f t="shared" si="34"/>
        <v>7</v>
      </c>
      <c r="AO199" s="393">
        <f t="shared" si="35"/>
        <v>2023</v>
      </c>
      <c r="AP199" s="394">
        <f t="shared" si="36"/>
        <v>2033</v>
      </c>
      <c r="AQ199" s="395">
        <f t="shared" si="37"/>
        <v>2033.5833333333333</v>
      </c>
      <c r="AR199" s="396">
        <f t="shared" si="38"/>
        <v>1602.5333333333335</v>
      </c>
      <c r="AS199" s="397">
        <f t="shared" si="39"/>
        <v>19230.400000000001</v>
      </c>
      <c r="AT199" s="397">
        <f t="shared" si="40"/>
        <v>19230.400000000001</v>
      </c>
      <c r="AU199" s="397">
        <f t="shared" si="41"/>
        <v>14422.799999999988</v>
      </c>
      <c r="AV199" s="397">
        <f t="shared" si="42"/>
        <v>33653.19999999999</v>
      </c>
      <c r="AW199" s="398">
        <f t="shared" si="43"/>
        <v>158650.80000000002</v>
      </c>
      <c r="AX199" s="386" t="s">
        <v>62</v>
      </c>
    </row>
    <row r="200" spans="2:50" ht="15.75" outlineLevel="1">
      <c r="B200" s="381">
        <v>2111</v>
      </c>
      <c r="C200" s="382">
        <v>309961</v>
      </c>
      <c r="D200" s="381" t="s">
        <v>944</v>
      </c>
      <c r="E200" s="383" t="s">
        <v>4240</v>
      </c>
      <c r="F200" s="392" t="s">
        <v>4164</v>
      </c>
      <c r="G200" s="392"/>
      <c r="H200" s="392"/>
      <c r="I200" s="381">
        <v>1</v>
      </c>
      <c r="J200" s="383"/>
      <c r="K200" s="381">
        <v>0</v>
      </c>
      <c r="L200" s="383"/>
      <c r="M200" s="383"/>
      <c r="N200" s="383" t="s">
        <v>4462</v>
      </c>
      <c r="O200" s="383" t="s">
        <v>4441</v>
      </c>
      <c r="P200" s="383"/>
      <c r="Q200" s="383"/>
      <c r="R200" s="383"/>
      <c r="S200" s="384">
        <v>45103</v>
      </c>
      <c r="T200" s="384">
        <v>45103</v>
      </c>
      <c r="U200" s="383" t="s">
        <v>4312</v>
      </c>
      <c r="V200" s="381">
        <v>1000</v>
      </c>
      <c r="W200" s="381">
        <v>14010</v>
      </c>
      <c r="X200" s="385">
        <v>688955.5</v>
      </c>
      <c r="Y200" s="381">
        <v>14016</v>
      </c>
      <c r="Z200" s="385">
        <v>86119.48</v>
      </c>
      <c r="AA200" s="385">
        <f t="shared" si="33"/>
        <v>602836.02</v>
      </c>
      <c r="AB200" s="385">
        <v>51671.7</v>
      </c>
      <c r="AC200" s="381">
        <v>57260</v>
      </c>
      <c r="AD200" s="385">
        <v>5741.3</v>
      </c>
      <c r="AE200" s="381" t="s">
        <v>944</v>
      </c>
      <c r="AF200" s="383"/>
      <c r="AG200" s="383"/>
      <c r="AH200" s="383" t="s">
        <v>57</v>
      </c>
      <c r="AI200" s="383" t="s">
        <v>4442</v>
      </c>
      <c r="AJ200" s="383" t="s">
        <v>4443</v>
      </c>
      <c r="AK200" s="389" t="s">
        <v>4437</v>
      </c>
      <c r="AL200" s="389"/>
      <c r="AM200" s="389" t="s">
        <v>136</v>
      </c>
      <c r="AN200" s="393">
        <f t="shared" si="34"/>
        <v>6</v>
      </c>
      <c r="AO200" s="393">
        <f t="shared" si="35"/>
        <v>2023</v>
      </c>
      <c r="AP200" s="394">
        <f t="shared" si="36"/>
        <v>2033</v>
      </c>
      <c r="AQ200" s="395">
        <f t="shared" si="37"/>
        <v>2033.5</v>
      </c>
      <c r="AR200" s="396">
        <f t="shared" si="38"/>
        <v>5741.2958333333336</v>
      </c>
      <c r="AS200" s="397">
        <f t="shared" si="39"/>
        <v>68895.55</v>
      </c>
      <c r="AT200" s="397">
        <f t="shared" si="40"/>
        <v>68895.55</v>
      </c>
      <c r="AU200" s="397">
        <f t="shared" si="41"/>
        <v>57412.958333328133</v>
      </c>
      <c r="AV200" s="397">
        <f t="shared" si="42"/>
        <v>126308.50833332814</v>
      </c>
      <c r="AW200" s="398">
        <f t="shared" si="43"/>
        <v>562646.99166667182</v>
      </c>
      <c r="AX200" s="386" t="s">
        <v>62</v>
      </c>
    </row>
    <row r="201" spans="2:50" ht="15.75" outlineLevel="1">
      <c r="B201" s="381">
        <v>2111</v>
      </c>
      <c r="C201" s="382">
        <v>309959</v>
      </c>
      <c r="D201" s="381" t="s">
        <v>944</v>
      </c>
      <c r="E201" s="383" t="s">
        <v>4240</v>
      </c>
      <c r="F201" s="392" t="s">
        <v>4527</v>
      </c>
      <c r="G201" s="392"/>
      <c r="H201" s="392"/>
      <c r="I201" s="381">
        <v>1</v>
      </c>
      <c r="J201" s="383" t="s">
        <v>4528</v>
      </c>
      <c r="K201" s="381">
        <v>2004</v>
      </c>
      <c r="L201" s="383"/>
      <c r="M201" s="383"/>
      <c r="N201" s="383" t="s">
        <v>4458</v>
      </c>
      <c r="O201" s="383" t="s">
        <v>4441</v>
      </c>
      <c r="P201" s="383" t="s">
        <v>4529</v>
      </c>
      <c r="Q201" s="383"/>
      <c r="R201" s="383"/>
      <c r="S201" s="384">
        <v>45108</v>
      </c>
      <c r="T201" s="384">
        <v>45108</v>
      </c>
      <c r="U201" s="383"/>
      <c r="V201" s="381">
        <v>0</v>
      </c>
      <c r="W201" s="381">
        <v>14030</v>
      </c>
      <c r="X201" s="385">
        <v>0</v>
      </c>
      <c r="Y201" s="381">
        <v>14036</v>
      </c>
      <c r="Z201" s="385">
        <v>0</v>
      </c>
      <c r="AA201" s="385">
        <f t="shared" si="33"/>
        <v>0</v>
      </c>
      <c r="AB201" s="385">
        <v>0</v>
      </c>
      <c r="AC201" s="381">
        <v>51260</v>
      </c>
      <c r="AD201" s="385">
        <v>0</v>
      </c>
      <c r="AE201" s="381" t="s">
        <v>944</v>
      </c>
      <c r="AF201" s="383"/>
      <c r="AG201" s="383"/>
      <c r="AH201" s="383" t="s">
        <v>57</v>
      </c>
      <c r="AI201" s="383" t="s">
        <v>4442</v>
      </c>
      <c r="AJ201" s="383" t="s">
        <v>1660</v>
      </c>
      <c r="AK201" s="389" t="s">
        <v>4437</v>
      </c>
      <c r="AL201" s="389"/>
      <c r="AM201" s="389" t="s">
        <v>125</v>
      </c>
      <c r="AN201" s="393">
        <f t="shared" si="34"/>
        <v>7</v>
      </c>
      <c r="AO201" s="393">
        <f t="shared" si="35"/>
        <v>2023</v>
      </c>
      <c r="AP201" s="394">
        <f t="shared" si="36"/>
        <v>2023</v>
      </c>
      <c r="AQ201" s="395">
        <f t="shared" si="37"/>
        <v>2023.5833333333333</v>
      </c>
      <c r="AR201" s="396">
        <f t="shared" si="38"/>
        <v>0</v>
      </c>
      <c r="AS201" s="397">
        <f t="shared" si="39"/>
        <v>0</v>
      </c>
      <c r="AT201" s="397">
        <f t="shared" si="40"/>
        <v>0</v>
      </c>
      <c r="AU201" s="397">
        <f t="shared" si="41"/>
        <v>0</v>
      </c>
      <c r="AV201" s="397">
        <f t="shared" si="42"/>
        <v>0</v>
      </c>
      <c r="AW201" s="398">
        <f t="shared" si="43"/>
        <v>0</v>
      </c>
      <c r="AX201" s="386" t="s">
        <v>62</v>
      </c>
    </row>
    <row r="202" spans="2:50" ht="15.75" outlineLevel="1">
      <c r="B202" s="381">
        <v>2111</v>
      </c>
      <c r="C202" s="382">
        <v>309753</v>
      </c>
      <c r="D202" s="381">
        <v>110969</v>
      </c>
      <c r="E202" s="383" t="s">
        <v>4240</v>
      </c>
      <c r="F202" s="392" t="s">
        <v>4347</v>
      </c>
      <c r="G202" s="392"/>
      <c r="H202" s="392"/>
      <c r="I202" s="381">
        <v>1</v>
      </c>
      <c r="J202" s="383"/>
      <c r="K202" s="381">
        <v>0</v>
      </c>
      <c r="L202" s="383" t="s">
        <v>4352</v>
      </c>
      <c r="M202" s="383"/>
      <c r="N202" s="383" t="s">
        <v>4445</v>
      </c>
      <c r="O202" s="383" t="s">
        <v>4441</v>
      </c>
      <c r="P202" s="383" t="s">
        <v>1467</v>
      </c>
      <c r="Q202" s="383"/>
      <c r="R202" s="383"/>
      <c r="S202" s="384">
        <v>45084</v>
      </c>
      <c r="T202" s="384">
        <v>45084</v>
      </c>
      <c r="U202" s="383" t="s">
        <v>4348</v>
      </c>
      <c r="V202" s="381">
        <v>300</v>
      </c>
      <c r="W202" s="381">
        <v>14040</v>
      </c>
      <c r="X202" s="385">
        <v>5740.68</v>
      </c>
      <c r="Y202" s="381">
        <v>14046</v>
      </c>
      <c r="Z202" s="385">
        <v>2551.38</v>
      </c>
      <c r="AA202" s="385">
        <f t="shared" si="33"/>
        <v>3189.3</v>
      </c>
      <c r="AB202" s="385">
        <v>1435.14</v>
      </c>
      <c r="AC202" s="381">
        <v>51260</v>
      </c>
      <c r="AD202" s="385">
        <v>159.46</v>
      </c>
      <c r="AE202" s="381" t="s">
        <v>944</v>
      </c>
      <c r="AF202" s="383"/>
      <c r="AG202" s="383"/>
      <c r="AH202" s="383" t="s">
        <v>57</v>
      </c>
      <c r="AI202" s="383" t="s">
        <v>4442</v>
      </c>
      <c r="AJ202" s="383" t="s">
        <v>4443</v>
      </c>
      <c r="AK202" s="389" t="s">
        <v>4437</v>
      </c>
      <c r="AL202" s="389"/>
      <c r="AM202" s="389" t="s">
        <v>3939</v>
      </c>
      <c r="AN202" s="393">
        <f t="shared" si="34"/>
        <v>6</v>
      </c>
      <c r="AO202" s="393">
        <f t="shared" si="35"/>
        <v>2023</v>
      </c>
      <c r="AP202" s="394">
        <f t="shared" si="36"/>
        <v>2026</v>
      </c>
      <c r="AQ202" s="395">
        <f t="shared" si="37"/>
        <v>2026.5</v>
      </c>
      <c r="AR202" s="396">
        <f t="shared" si="38"/>
        <v>159.46333333333334</v>
      </c>
      <c r="AS202" s="397">
        <f t="shared" si="39"/>
        <v>1913.56</v>
      </c>
      <c r="AT202" s="397">
        <f t="shared" si="40"/>
        <v>1913.56</v>
      </c>
      <c r="AU202" s="397">
        <f t="shared" si="41"/>
        <v>1594.6333333331886</v>
      </c>
      <c r="AV202" s="397">
        <f t="shared" si="42"/>
        <v>3508.1933333331885</v>
      </c>
      <c r="AW202" s="398">
        <f t="shared" si="43"/>
        <v>2232.4866666668117</v>
      </c>
      <c r="AX202" s="386" t="s">
        <v>62</v>
      </c>
    </row>
    <row r="203" spans="2:50" ht="15.75" outlineLevel="1">
      <c r="B203" s="381">
        <v>2111</v>
      </c>
      <c r="C203" s="382">
        <v>309344</v>
      </c>
      <c r="D203" s="381" t="s">
        <v>944</v>
      </c>
      <c r="E203" s="383" t="s">
        <v>4240</v>
      </c>
      <c r="F203" s="392" t="s">
        <v>4353</v>
      </c>
      <c r="G203" s="392"/>
      <c r="H203" s="392"/>
      <c r="I203" s="381">
        <v>9</v>
      </c>
      <c r="J203" s="383"/>
      <c r="K203" s="381">
        <v>0</v>
      </c>
      <c r="L203" s="383" t="s">
        <v>4354</v>
      </c>
      <c r="M203" s="383"/>
      <c r="N203" s="383" t="s">
        <v>4446</v>
      </c>
      <c r="O203" s="383" t="s">
        <v>4441</v>
      </c>
      <c r="P203" s="383"/>
      <c r="Q203" s="383" t="s">
        <v>4459</v>
      </c>
      <c r="R203" s="383" t="s">
        <v>4450</v>
      </c>
      <c r="S203" s="384">
        <v>44994</v>
      </c>
      <c r="T203" s="384">
        <v>44994</v>
      </c>
      <c r="U203" s="383" t="s">
        <v>4355</v>
      </c>
      <c r="V203" s="381">
        <v>1200</v>
      </c>
      <c r="W203" s="381">
        <v>14050</v>
      </c>
      <c r="X203" s="385">
        <v>20158</v>
      </c>
      <c r="Y203" s="381">
        <v>14056</v>
      </c>
      <c r="Z203" s="385">
        <v>2659.77</v>
      </c>
      <c r="AA203" s="385">
        <f t="shared" si="33"/>
        <v>17498.23</v>
      </c>
      <c r="AB203" s="385">
        <v>1259.9100000000001</v>
      </c>
      <c r="AC203" s="381">
        <v>54260</v>
      </c>
      <c r="AD203" s="385">
        <v>139.99</v>
      </c>
      <c r="AE203" s="381" t="s">
        <v>944</v>
      </c>
      <c r="AF203" s="383"/>
      <c r="AG203" s="383"/>
      <c r="AH203" s="383" t="s">
        <v>57</v>
      </c>
      <c r="AI203" s="383" t="s">
        <v>4442</v>
      </c>
      <c r="AJ203" s="383" t="s">
        <v>4443</v>
      </c>
      <c r="AK203" s="389" t="s">
        <v>4437</v>
      </c>
      <c r="AL203" s="389"/>
      <c r="AM203" s="389" t="s">
        <v>1341</v>
      </c>
      <c r="AN203" s="393">
        <f t="shared" si="34"/>
        <v>3</v>
      </c>
      <c r="AO203" s="393">
        <f t="shared" si="35"/>
        <v>2023</v>
      </c>
      <c r="AP203" s="394">
        <f t="shared" si="36"/>
        <v>2035</v>
      </c>
      <c r="AQ203" s="395">
        <f t="shared" si="37"/>
        <v>2035.25</v>
      </c>
      <c r="AR203" s="396">
        <f t="shared" si="38"/>
        <v>139.98611111111111</v>
      </c>
      <c r="AS203" s="397">
        <f t="shared" si="39"/>
        <v>1679.8333333333335</v>
      </c>
      <c r="AT203" s="397">
        <f t="shared" si="40"/>
        <v>1679.8333333333335</v>
      </c>
      <c r="AU203" s="397">
        <f t="shared" si="41"/>
        <v>1819.8194444443179</v>
      </c>
      <c r="AV203" s="397">
        <f t="shared" si="42"/>
        <v>3499.6527777776514</v>
      </c>
      <c r="AW203" s="398">
        <f t="shared" si="43"/>
        <v>16658.34722222235</v>
      </c>
      <c r="AX203" s="386" t="s">
        <v>62</v>
      </c>
    </row>
    <row r="204" spans="2:50" ht="15.75" outlineLevel="1">
      <c r="B204" s="381">
        <v>2111</v>
      </c>
      <c r="C204" s="382">
        <v>309343</v>
      </c>
      <c r="D204" s="381" t="s">
        <v>944</v>
      </c>
      <c r="E204" s="383" t="s">
        <v>4240</v>
      </c>
      <c r="F204" s="392" t="s">
        <v>4353</v>
      </c>
      <c r="G204" s="392"/>
      <c r="H204" s="392"/>
      <c r="I204" s="381">
        <v>1</v>
      </c>
      <c r="J204" s="383"/>
      <c r="K204" s="381">
        <v>0</v>
      </c>
      <c r="L204" s="383" t="s">
        <v>4354</v>
      </c>
      <c r="M204" s="383"/>
      <c r="N204" s="383" t="s">
        <v>4446</v>
      </c>
      <c r="O204" s="383" t="s">
        <v>4441</v>
      </c>
      <c r="P204" s="383"/>
      <c r="Q204" s="383" t="s">
        <v>4459</v>
      </c>
      <c r="R204" s="383" t="s">
        <v>4450</v>
      </c>
      <c r="S204" s="384">
        <v>44994</v>
      </c>
      <c r="T204" s="384">
        <v>44994</v>
      </c>
      <c r="U204" s="383" t="s">
        <v>4356</v>
      </c>
      <c r="V204" s="381">
        <v>1200</v>
      </c>
      <c r="W204" s="381">
        <v>14050</v>
      </c>
      <c r="X204" s="385">
        <v>687</v>
      </c>
      <c r="Y204" s="381">
        <v>14056</v>
      </c>
      <c r="Z204" s="385">
        <v>90.61</v>
      </c>
      <c r="AA204" s="385">
        <f t="shared" si="33"/>
        <v>596.39</v>
      </c>
      <c r="AB204" s="385">
        <v>42.93</v>
      </c>
      <c r="AC204" s="381">
        <v>54260</v>
      </c>
      <c r="AD204" s="385">
        <v>4.7699999999999996</v>
      </c>
      <c r="AE204" s="381" t="s">
        <v>944</v>
      </c>
      <c r="AF204" s="383"/>
      <c r="AG204" s="383"/>
      <c r="AH204" s="383" t="s">
        <v>57</v>
      </c>
      <c r="AI204" s="383" t="s">
        <v>4442</v>
      </c>
      <c r="AJ204" s="383" t="s">
        <v>4443</v>
      </c>
      <c r="AK204" s="389" t="s">
        <v>4437</v>
      </c>
      <c r="AL204" s="389"/>
      <c r="AM204" s="389" t="s">
        <v>1341</v>
      </c>
      <c r="AN204" s="393">
        <f t="shared" si="34"/>
        <v>3</v>
      </c>
      <c r="AO204" s="393">
        <f t="shared" si="35"/>
        <v>2023</v>
      </c>
      <c r="AP204" s="394">
        <f t="shared" si="36"/>
        <v>2035</v>
      </c>
      <c r="AQ204" s="395">
        <f t="shared" si="37"/>
        <v>2035.25</v>
      </c>
      <c r="AR204" s="396">
        <f t="shared" si="38"/>
        <v>4.770833333333333</v>
      </c>
      <c r="AS204" s="397">
        <f t="shared" si="39"/>
        <v>57.25</v>
      </c>
      <c r="AT204" s="397">
        <f t="shared" si="40"/>
        <v>57.25</v>
      </c>
      <c r="AU204" s="397">
        <f t="shared" si="41"/>
        <v>62.020833333329051</v>
      </c>
      <c r="AV204" s="397">
        <f t="shared" si="42"/>
        <v>119.27083333332905</v>
      </c>
      <c r="AW204" s="398">
        <f t="shared" si="43"/>
        <v>567.72916666667095</v>
      </c>
      <c r="AX204" s="386" t="s">
        <v>62</v>
      </c>
    </row>
    <row r="205" spans="2:50" ht="15.75" outlineLevel="1">
      <c r="B205" s="381">
        <v>2111</v>
      </c>
      <c r="C205" s="382">
        <v>308357</v>
      </c>
      <c r="D205" s="381" t="s">
        <v>944</v>
      </c>
      <c r="E205" s="383" t="s">
        <v>4240</v>
      </c>
      <c r="F205" s="392" t="s">
        <v>715</v>
      </c>
      <c r="G205" s="392"/>
      <c r="H205" s="392"/>
      <c r="I205" s="381">
        <v>14</v>
      </c>
      <c r="J205" s="383"/>
      <c r="K205" s="381">
        <v>0</v>
      </c>
      <c r="L205" s="383"/>
      <c r="M205" s="383"/>
      <c r="N205" s="383" t="s">
        <v>4446</v>
      </c>
      <c r="O205" s="383" t="s">
        <v>4441</v>
      </c>
      <c r="P205" s="383"/>
      <c r="Q205" s="383" t="s">
        <v>4464</v>
      </c>
      <c r="R205" s="383" t="s">
        <v>4450</v>
      </c>
      <c r="S205" s="384">
        <v>37881</v>
      </c>
      <c r="T205" s="384">
        <v>37881</v>
      </c>
      <c r="U205" s="383"/>
      <c r="V205" s="381">
        <v>700</v>
      </c>
      <c r="W205" s="381">
        <v>14050</v>
      </c>
      <c r="X205" s="385">
        <v>923.68</v>
      </c>
      <c r="Y205" s="381">
        <v>14056</v>
      </c>
      <c r="Z205" s="385">
        <v>923.68</v>
      </c>
      <c r="AA205" s="385">
        <f t="shared" si="33"/>
        <v>0</v>
      </c>
      <c r="AB205" s="385">
        <v>0</v>
      </c>
      <c r="AC205" s="381">
        <v>54260</v>
      </c>
      <c r="AD205" s="385">
        <v>0</v>
      </c>
      <c r="AE205" s="381" t="s">
        <v>410</v>
      </c>
      <c r="AF205" s="383" t="s">
        <v>2962</v>
      </c>
      <c r="AG205" s="383" t="s">
        <v>2206</v>
      </c>
      <c r="AH205" s="383" t="s">
        <v>57</v>
      </c>
      <c r="AI205" s="383" t="s">
        <v>4442</v>
      </c>
      <c r="AJ205" s="383" t="s">
        <v>4443</v>
      </c>
      <c r="AK205" s="389" t="s">
        <v>4437</v>
      </c>
      <c r="AL205" s="389"/>
      <c r="AM205" s="389" t="s">
        <v>1341</v>
      </c>
      <c r="AN205" s="393">
        <f t="shared" si="34"/>
        <v>9</v>
      </c>
      <c r="AO205" s="393">
        <f t="shared" si="35"/>
        <v>2003</v>
      </c>
      <c r="AP205" s="394">
        <f t="shared" si="36"/>
        <v>2010</v>
      </c>
      <c r="AQ205" s="395">
        <f t="shared" si="37"/>
        <v>2010.75</v>
      </c>
      <c r="AR205" s="396">
        <f t="shared" si="38"/>
        <v>10.996190476190476</v>
      </c>
      <c r="AS205" s="397">
        <f t="shared" si="39"/>
        <v>131.9542857142857</v>
      </c>
      <c r="AT205" s="397">
        <f t="shared" si="40"/>
        <v>0</v>
      </c>
      <c r="AU205" s="397">
        <f t="shared" si="41"/>
        <v>923.68</v>
      </c>
      <c r="AV205" s="397">
        <f t="shared" si="42"/>
        <v>923.68</v>
      </c>
      <c r="AW205" s="398">
        <f t="shared" si="43"/>
        <v>0</v>
      </c>
      <c r="AX205" s="386" t="s">
        <v>62</v>
      </c>
    </row>
    <row r="206" spans="2:50" ht="15.75" outlineLevel="1">
      <c r="B206" s="381">
        <v>2111</v>
      </c>
      <c r="C206" s="382">
        <v>308149</v>
      </c>
      <c r="D206" s="381" t="s">
        <v>944</v>
      </c>
      <c r="E206" s="383" t="s">
        <v>4240</v>
      </c>
      <c r="F206" s="392" t="s">
        <v>4357</v>
      </c>
      <c r="G206" s="392"/>
      <c r="H206" s="392"/>
      <c r="I206" s="381">
        <v>16</v>
      </c>
      <c r="J206" s="383"/>
      <c r="K206" s="381">
        <v>0</v>
      </c>
      <c r="L206" s="383"/>
      <c r="M206" s="383"/>
      <c r="N206" s="383" t="s">
        <v>4446</v>
      </c>
      <c r="O206" s="383" t="s">
        <v>4441</v>
      </c>
      <c r="P206" s="383"/>
      <c r="Q206" s="383" t="s">
        <v>4479</v>
      </c>
      <c r="R206" s="383" t="s">
        <v>4450</v>
      </c>
      <c r="S206" s="384">
        <v>39755</v>
      </c>
      <c r="T206" s="384">
        <v>39755</v>
      </c>
      <c r="U206" s="383"/>
      <c r="V206" s="381">
        <v>700</v>
      </c>
      <c r="W206" s="381">
        <v>14050</v>
      </c>
      <c r="X206" s="385">
        <v>137.61000000000001</v>
      </c>
      <c r="Y206" s="381">
        <v>14056</v>
      </c>
      <c r="Z206" s="385">
        <v>137.61000000000001</v>
      </c>
      <c r="AA206" s="385">
        <f t="shared" si="33"/>
        <v>0</v>
      </c>
      <c r="AB206" s="385">
        <v>0</v>
      </c>
      <c r="AC206" s="381">
        <v>54260</v>
      </c>
      <c r="AD206" s="385">
        <v>0</v>
      </c>
      <c r="AE206" s="381" t="s">
        <v>410</v>
      </c>
      <c r="AF206" s="383" t="s">
        <v>1828</v>
      </c>
      <c r="AG206" s="383" t="s">
        <v>2206</v>
      </c>
      <c r="AH206" s="383" t="s">
        <v>57</v>
      </c>
      <c r="AI206" s="383" t="s">
        <v>4442</v>
      </c>
      <c r="AJ206" s="383" t="s">
        <v>4443</v>
      </c>
      <c r="AK206" s="389" t="s">
        <v>4437</v>
      </c>
      <c r="AL206" s="389"/>
      <c r="AM206" s="389" t="s">
        <v>1341</v>
      </c>
      <c r="AN206" s="393">
        <f t="shared" si="34"/>
        <v>11</v>
      </c>
      <c r="AO206" s="393">
        <f t="shared" si="35"/>
        <v>2008</v>
      </c>
      <c r="AP206" s="394">
        <f t="shared" si="36"/>
        <v>2015</v>
      </c>
      <c r="AQ206" s="395">
        <f t="shared" si="37"/>
        <v>2015.9166666666667</v>
      </c>
      <c r="AR206" s="396">
        <f t="shared" si="38"/>
        <v>1.6382142857142858</v>
      </c>
      <c r="AS206" s="397">
        <f t="shared" si="39"/>
        <v>19.658571428571431</v>
      </c>
      <c r="AT206" s="397">
        <f t="shared" si="40"/>
        <v>0</v>
      </c>
      <c r="AU206" s="397">
        <f t="shared" si="41"/>
        <v>137.61000000000001</v>
      </c>
      <c r="AV206" s="397">
        <f t="shared" si="42"/>
        <v>137.61000000000001</v>
      </c>
      <c r="AW206" s="398">
        <f t="shared" si="43"/>
        <v>0</v>
      </c>
      <c r="AX206" s="386" t="s">
        <v>62</v>
      </c>
    </row>
    <row r="207" spans="2:50" ht="15.75" outlineLevel="1">
      <c r="B207" s="381">
        <v>2111</v>
      </c>
      <c r="C207" s="382">
        <v>307814</v>
      </c>
      <c r="D207" s="381" t="s">
        <v>944</v>
      </c>
      <c r="E207" s="383" t="s">
        <v>4240</v>
      </c>
      <c r="F207" s="392" t="s">
        <v>4357</v>
      </c>
      <c r="G207" s="392"/>
      <c r="H207" s="392"/>
      <c r="I207" s="381">
        <v>39</v>
      </c>
      <c r="J207" s="383"/>
      <c r="K207" s="381">
        <v>0</v>
      </c>
      <c r="L207" s="383"/>
      <c r="M207" s="383"/>
      <c r="N207" s="383" t="s">
        <v>4446</v>
      </c>
      <c r="O207" s="383" t="s">
        <v>4441</v>
      </c>
      <c r="P207" s="383"/>
      <c r="Q207" s="383" t="s">
        <v>4479</v>
      </c>
      <c r="R207" s="383" t="s">
        <v>4450</v>
      </c>
      <c r="S207" s="384">
        <v>39755</v>
      </c>
      <c r="T207" s="384">
        <v>39755</v>
      </c>
      <c r="U207" s="383"/>
      <c r="V207" s="381">
        <v>700</v>
      </c>
      <c r="W207" s="381">
        <v>14050</v>
      </c>
      <c r="X207" s="385">
        <v>1507.14</v>
      </c>
      <c r="Y207" s="381">
        <v>14056</v>
      </c>
      <c r="Z207" s="385">
        <v>1507.14</v>
      </c>
      <c r="AA207" s="385">
        <f t="shared" si="33"/>
        <v>0</v>
      </c>
      <c r="AB207" s="385">
        <v>0</v>
      </c>
      <c r="AC207" s="381">
        <v>54260</v>
      </c>
      <c r="AD207" s="385">
        <v>0</v>
      </c>
      <c r="AE207" s="381" t="s">
        <v>410</v>
      </c>
      <c r="AF207" s="383" t="s">
        <v>1828</v>
      </c>
      <c r="AG207" s="383" t="s">
        <v>2206</v>
      </c>
      <c r="AH207" s="383" t="s">
        <v>57</v>
      </c>
      <c r="AI207" s="383" t="s">
        <v>4442</v>
      </c>
      <c r="AJ207" s="383" t="s">
        <v>4443</v>
      </c>
      <c r="AK207" s="389" t="s">
        <v>4437</v>
      </c>
      <c r="AL207" s="389"/>
      <c r="AM207" s="389" t="s">
        <v>1341</v>
      </c>
      <c r="AN207" s="393">
        <f t="shared" si="34"/>
        <v>11</v>
      </c>
      <c r="AO207" s="393">
        <f t="shared" si="35"/>
        <v>2008</v>
      </c>
      <c r="AP207" s="394">
        <f t="shared" si="36"/>
        <v>2015</v>
      </c>
      <c r="AQ207" s="395">
        <f t="shared" si="37"/>
        <v>2015.9166666666667</v>
      </c>
      <c r="AR207" s="396">
        <f t="shared" si="38"/>
        <v>17.942142857142859</v>
      </c>
      <c r="AS207" s="397">
        <f t="shared" si="39"/>
        <v>215.30571428571432</v>
      </c>
      <c r="AT207" s="397">
        <f t="shared" si="40"/>
        <v>0</v>
      </c>
      <c r="AU207" s="397">
        <f t="shared" si="41"/>
        <v>1507.14</v>
      </c>
      <c r="AV207" s="397">
        <f t="shared" si="42"/>
        <v>1507.14</v>
      </c>
      <c r="AW207" s="398">
        <f t="shared" si="43"/>
        <v>0</v>
      </c>
      <c r="AX207" s="386" t="s">
        <v>62</v>
      </c>
    </row>
    <row r="208" spans="2:50" ht="15.75" outlineLevel="1">
      <c r="B208" s="381">
        <v>2111</v>
      </c>
      <c r="C208" s="382">
        <v>307782</v>
      </c>
      <c r="D208" s="381" t="s">
        <v>944</v>
      </c>
      <c r="E208" s="383" t="s">
        <v>4240</v>
      </c>
      <c r="F208" s="392" t="s">
        <v>4357</v>
      </c>
      <c r="G208" s="392"/>
      <c r="H208" s="392"/>
      <c r="I208" s="381">
        <v>27</v>
      </c>
      <c r="J208" s="383"/>
      <c r="K208" s="381">
        <v>0</v>
      </c>
      <c r="L208" s="383"/>
      <c r="M208" s="383"/>
      <c r="N208" s="383" t="s">
        <v>4446</v>
      </c>
      <c r="O208" s="383" t="s">
        <v>4441</v>
      </c>
      <c r="P208" s="383"/>
      <c r="Q208" s="383" t="s">
        <v>4479</v>
      </c>
      <c r="R208" s="383" t="s">
        <v>4450</v>
      </c>
      <c r="S208" s="384">
        <v>39755</v>
      </c>
      <c r="T208" s="384">
        <v>39755</v>
      </c>
      <c r="U208" s="383"/>
      <c r="V208" s="381">
        <v>1200</v>
      </c>
      <c r="W208" s="381">
        <v>14050</v>
      </c>
      <c r="X208" s="385">
        <v>1600</v>
      </c>
      <c r="Y208" s="381">
        <v>14056</v>
      </c>
      <c r="Z208" s="385">
        <v>1600</v>
      </c>
      <c r="AA208" s="385">
        <f t="shared" si="33"/>
        <v>0</v>
      </c>
      <c r="AB208" s="385">
        <v>0</v>
      </c>
      <c r="AC208" s="381">
        <v>54260</v>
      </c>
      <c r="AD208" s="385">
        <v>0</v>
      </c>
      <c r="AE208" s="381" t="s">
        <v>410</v>
      </c>
      <c r="AF208" s="383" t="s">
        <v>1828</v>
      </c>
      <c r="AG208" s="383" t="s">
        <v>2206</v>
      </c>
      <c r="AH208" s="383" t="s">
        <v>57</v>
      </c>
      <c r="AI208" s="383" t="s">
        <v>4442</v>
      </c>
      <c r="AJ208" s="383" t="s">
        <v>4443</v>
      </c>
      <c r="AK208" s="389" t="s">
        <v>4437</v>
      </c>
      <c r="AL208" s="389"/>
      <c r="AM208" s="389" t="s">
        <v>1341</v>
      </c>
      <c r="AN208" s="393">
        <f t="shared" si="34"/>
        <v>11</v>
      </c>
      <c r="AO208" s="393">
        <f t="shared" si="35"/>
        <v>2008</v>
      </c>
      <c r="AP208" s="394">
        <f t="shared" si="36"/>
        <v>2020</v>
      </c>
      <c r="AQ208" s="395">
        <f t="shared" si="37"/>
        <v>2020.9166666666667</v>
      </c>
      <c r="AR208" s="396">
        <f t="shared" si="38"/>
        <v>11.111111111111112</v>
      </c>
      <c r="AS208" s="397">
        <f t="shared" si="39"/>
        <v>133.33333333333334</v>
      </c>
      <c r="AT208" s="397">
        <f t="shared" si="40"/>
        <v>0</v>
      </c>
      <c r="AU208" s="397">
        <f t="shared" si="41"/>
        <v>1600</v>
      </c>
      <c r="AV208" s="397">
        <f t="shared" si="42"/>
        <v>1600</v>
      </c>
      <c r="AW208" s="398">
        <f t="shared" si="43"/>
        <v>0</v>
      </c>
      <c r="AX208" s="386" t="s">
        <v>62</v>
      </c>
    </row>
    <row r="209" spans="2:50" ht="15.75" outlineLevel="1">
      <c r="B209" s="381">
        <v>2111</v>
      </c>
      <c r="C209" s="382">
        <v>307549</v>
      </c>
      <c r="D209" s="381" t="s">
        <v>944</v>
      </c>
      <c r="E209" s="383" t="s">
        <v>4240</v>
      </c>
      <c r="F209" s="392" t="s">
        <v>2997</v>
      </c>
      <c r="G209" s="392"/>
      <c r="H209" s="392"/>
      <c r="I209" s="381">
        <v>97</v>
      </c>
      <c r="J209" s="383"/>
      <c r="K209" s="381">
        <v>0</v>
      </c>
      <c r="L209" s="383"/>
      <c r="M209" s="383"/>
      <c r="N209" s="383" t="s">
        <v>4446</v>
      </c>
      <c r="O209" s="383" t="s">
        <v>4441</v>
      </c>
      <c r="P209" s="383"/>
      <c r="Q209" s="383" t="s">
        <v>4479</v>
      </c>
      <c r="R209" s="383" t="s">
        <v>4450</v>
      </c>
      <c r="S209" s="384">
        <v>39755</v>
      </c>
      <c r="T209" s="384">
        <v>39755</v>
      </c>
      <c r="U209" s="383"/>
      <c r="V209" s="381">
        <v>700</v>
      </c>
      <c r="W209" s="381">
        <v>14050</v>
      </c>
      <c r="X209" s="385">
        <v>13135.68</v>
      </c>
      <c r="Y209" s="381">
        <v>14056</v>
      </c>
      <c r="Z209" s="385">
        <v>13135.68</v>
      </c>
      <c r="AA209" s="385">
        <f t="shared" si="33"/>
        <v>0</v>
      </c>
      <c r="AB209" s="385">
        <v>0</v>
      </c>
      <c r="AC209" s="381">
        <v>54260</v>
      </c>
      <c r="AD209" s="385">
        <v>0</v>
      </c>
      <c r="AE209" s="381" t="s">
        <v>410</v>
      </c>
      <c r="AF209" s="383" t="s">
        <v>1828</v>
      </c>
      <c r="AG209" s="383" t="s">
        <v>2206</v>
      </c>
      <c r="AH209" s="383" t="s">
        <v>57</v>
      </c>
      <c r="AI209" s="383" t="s">
        <v>4442</v>
      </c>
      <c r="AJ209" s="383" t="s">
        <v>4443</v>
      </c>
      <c r="AK209" s="389" t="s">
        <v>4437</v>
      </c>
      <c r="AL209" s="389"/>
      <c r="AM209" s="389" t="s">
        <v>1341</v>
      </c>
      <c r="AN209" s="393">
        <f t="shared" si="34"/>
        <v>11</v>
      </c>
      <c r="AO209" s="393">
        <f t="shared" si="35"/>
        <v>2008</v>
      </c>
      <c r="AP209" s="394">
        <f t="shared" si="36"/>
        <v>2015</v>
      </c>
      <c r="AQ209" s="395">
        <f t="shared" si="37"/>
        <v>2015.9166666666667</v>
      </c>
      <c r="AR209" s="396">
        <f t="shared" si="38"/>
        <v>156.37714285714284</v>
      </c>
      <c r="AS209" s="397">
        <f t="shared" si="39"/>
        <v>1876.525714285714</v>
      </c>
      <c r="AT209" s="397">
        <f t="shared" si="40"/>
        <v>0</v>
      </c>
      <c r="AU209" s="397">
        <f t="shared" si="41"/>
        <v>13135.68</v>
      </c>
      <c r="AV209" s="397">
        <f t="shared" si="42"/>
        <v>13135.68</v>
      </c>
      <c r="AW209" s="398">
        <f t="shared" si="43"/>
        <v>0</v>
      </c>
      <c r="AX209" s="386" t="s">
        <v>62</v>
      </c>
    </row>
    <row r="210" spans="2:50" ht="15.75" outlineLevel="1">
      <c r="B210" s="381">
        <v>2111</v>
      </c>
      <c r="C210" s="382">
        <v>307520</v>
      </c>
      <c r="D210" s="381" t="s">
        <v>944</v>
      </c>
      <c r="E210" s="383" t="s">
        <v>4240</v>
      </c>
      <c r="F210" s="392" t="s">
        <v>4358</v>
      </c>
      <c r="G210" s="392"/>
      <c r="H210" s="392"/>
      <c r="I210" s="381">
        <v>2</v>
      </c>
      <c r="J210" s="383"/>
      <c r="K210" s="381">
        <v>0</v>
      </c>
      <c r="L210" s="383" t="s">
        <v>2474</v>
      </c>
      <c r="M210" s="383"/>
      <c r="N210" s="383" t="s">
        <v>4446</v>
      </c>
      <c r="O210" s="383" t="s">
        <v>4441</v>
      </c>
      <c r="P210" s="383"/>
      <c r="Q210" s="383" t="s">
        <v>4473</v>
      </c>
      <c r="R210" s="383" t="s">
        <v>4448</v>
      </c>
      <c r="S210" s="384">
        <v>38168</v>
      </c>
      <c r="T210" s="384">
        <v>38168</v>
      </c>
      <c r="U210" s="383"/>
      <c r="V210" s="381">
        <v>1200</v>
      </c>
      <c r="W210" s="381">
        <v>14050</v>
      </c>
      <c r="X210" s="385">
        <v>6796.68</v>
      </c>
      <c r="Y210" s="381">
        <v>14056</v>
      </c>
      <c r="Z210" s="385">
        <v>6796.68</v>
      </c>
      <c r="AA210" s="385">
        <f t="shared" si="33"/>
        <v>0</v>
      </c>
      <c r="AB210" s="385">
        <v>0</v>
      </c>
      <c r="AC210" s="381">
        <v>54260</v>
      </c>
      <c r="AD210" s="385">
        <v>0</v>
      </c>
      <c r="AE210" s="381" t="s">
        <v>944</v>
      </c>
      <c r="AF210" s="383">
        <v>0</v>
      </c>
      <c r="AG210" s="383"/>
      <c r="AH210" s="383" t="s">
        <v>57</v>
      </c>
      <c r="AI210" s="383" t="s">
        <v>4442</v>
      </c>
      <c r="AJ210" s="383" t="s">
        <v>4443</v>
      </c>
      <c r="AK210" s="389" t="s">
        <v>4437</v>
      </c>
      <c r="AL210" s="389"/>
      <c r="AM210" s="389" t="s">
        <v>130</v>
      </c>
      <c r="AN210" s="393">
        <f t="shared" si="34"/>
        <v>6</v>
      </c>
      <c r="AO210" s="393">
        <f t="shared" si="35"/>
        <v>2004</v>
      </c>
      <c r="AP210" s="394">
        <f t="shared" si="36"/>
        <v>2016</v>
      </c>
      <c r="AQ210" s="395">
        <f t="shared" si="37"/>
        <v>2016.5</v>
      </c>
      <c r="AR210" s="396">
        <f t="shared" si="38"/>
        <v>47.199166666666663</v>
      </c>
      <c r="AS210" s="397">
        <f t="shared" si="39"/>
        <v>566.39</v>
      </c>
      <c r="AT210" s="397">
        <f t="shared" si="40"/>
        <v>0</v>
      </c>
      <c r="AU210" s="397">
        <f t="shared" si="41"/>
        <v>6796.68</v>
      </c>
      <c r="AV210" s="397">
        <f t="shared" si="42"/>
        <v>6796.68</v>
      </c>
      <c r="AW210" s="398">
        <f t="shared" si="43"/>
        <v>0</v>
      </c>
      <c r="AX210" s="386" t="s">
        <v>62</v>
      </c>
    </row>
    <row r="211" spans="2:50" ht="15.75" outlineLevel="1">
      <c r="B211" s="381">
        <v>2111</v>
      </c>
      <c r="C211" s="382">
        <v>307346</v>
      </c>
      <c r="D211" s="381" t="s">
        <v>944</v>
      </c>
      <c r="E211" s="383" t="s">
        <v>4240</v>
      </c>
      <c r="F211" s="392" t="s">
        <v>4359</v>
      </c>
      <c r="G211" s="392"/>
      <c r="H211" s="392"/>
      <c r="I211" s="381">
        <v>4</v>
      </c>
      <c r="J211" s="383"/>
      <c r="K211" s="381">
        <v>0</v>
      </c>
      <c r="L211" s="383" t="s">
        <v>4354</v>
      </c>
      <c r="M211" s="383"/>
      <c r="N211" s="383" t="s">
        <v>4446</v>
      </c>
      <c r="O211" s="383" t="s">
        <v>4441</v>
      </c>
      <c r="P211" s="383"/>
      <c r="Q211" s="383" t="s">
        <v>4479</v>
      </c>
      <c r="R211" s="383" t="s">
        <v>4450</v>
      </c>
      <c r="S211" s="384">
        <v>44994</v>
      </c>
      <c r="T211" s="384">
        <v>44994</v>
      </c>
      <c r="U211" s="383" t="s">
        <v>4355</v>
      </c>
      <c r="V211" s="381">
        <v>1200</v>
      </c>
      <c r="W211" s="381">
        <v>14050</v>
      </c>
      <c r="X211" s="385">
        <v>6358</v>
      </c>
      <c r="Y211" s="381">
        <v>14056</v>
      </c>
      <c r="Z211" s="385">
        <v>838.88</v>
      </c>
      <c r="AA211" s="385">
        <f t="shared" si="33"/>
        <v>5519.12</v>
      </c>
      <c r="AB211" s="385">
        <v>397.35</v>
      </c>
      <c r="AC211" s="381">
        <v>54260</v>
      </c>
      <c r="AD211" s="385">
        <v>44.15</v>
      </c>
      <c r="AE211" s="381" t="s">
        <v>944</v>
      </c>
      <c r="AF211" s="383"/>
      <c r="AG211" s="383"/>
      <c r="AH211" s="383" t="s">
        <v>57</v>
      </c>
      <c r="AI211" s="383" t="s">
        <v>4442</v>
      </c>
      <c r="AJ211" s="383" t="s">
        <v>4443</v>
      </c>
      <c r="AK211" s="389" t="s">
        <v>4437</v>
      </c>
      <c r="AL211" s="389"/>
      <c r="AM211" s="389" t="s">
        <v>1341</v>
      </c>
      <c r="AN211" s="393">
        <f t="shared" si="34"/>
        <v>3</v>
      </c>
      <c r="AO211" s="393">
        <f t="shared" si="35"/>
        <v>2023</v>
      </c>
      <c r="AP211" s="394">
        <f t="shared" si="36"/>
        <v>2035</v>
      </c>
      <c r="AQ211" s="395">
        <f t="shared" si="37"/>
        <v>2035.25</v>
      </c>
      <c r="AR211" s="396">
        <f t="shared" si="38"/>
        <v>44.152777777777779</v>
      </c>
      <c r="AS211" s="397">
        <f t="shared" si="39"/>
        <v>529.83333333333337</v>
      </c>
      <c r="AT211" s="397">
        <f t="shared" si="40"/>
        <v>529.83333333333337</v>
      </c>
      <c r="AU211" s="397">
        <f t="shared" si="41"/>
        <v>573.9861111110713</v>
      </c>
      <c r="AV211" s="397">
        <f t="shared" si="42"/>
        <v>1103.8194444444048</v>
      </c>
      <c r="AW211" s="398">
        <f t="shared" si="43"/>
        <v>5254.1805555555948</v>
      </c>
      <c r="AX211" s="386" t="s">
        <v>62</v>
      </c>
    </row>
    <row r="212" spans="2:50" ht="15.75" outlineLevel="1">
      <c r="B212" s="381">
        <v>2111</v>
      </c>
      <c r="C212" s="382">
        <v>307345</v>
      </c>
      <c r="D212" s="381" t="s">
        <v>944</v>
      </c>
      <c r="E212" s="383" t="s">
        <v>4240</v>
      </c>
      <c r="F212" s="392" t="s">
        <v>4359</v>
      </c>
      <c r="G212" s="392"/>
      <c r="H212" s="392"/>
      <c r="I212" s="381">
        <v>8</v>
      </c>
      <c r="J212" s="383"/>
      <c r="K212" s="381">
        <v>0</v>
      </c>
      <c r="L212" s="383" t="s">
        <v>4354</v>
      </c>
      <c r="M212" s="383"/>
      <c r="N212" s="383" t="s">
        <v>4446</v>
      </c>
      <c r="O212" s="383" t="s">
        <v>4441</v>
      </c>
      <c r="P212" s="383"/>
      <c r="Q212" s="383" t="s">
        <v>4479</v>
      </c>
      <c r="R212" s="383" t="s">
        <v>4450</v>
      </c>
      <c r="S212" s="384">
        <v>44994</v>
      </c>
      <c r="T212" s="384">
        <v>44994</v>
      </c>
      <c r="U212" s="383" t="s">
        <v>4355</v>
      </c>
      <c r="V212" s="381">
        <v>1200</v>
      </c>
      <c r="W212" s="381">
        <v>14050</v>
      </c>
      <c r="X212" s="385">
        <v>12716</v>
      </c>
      <c r="Y212" s="381">
        <v>14056</v>
      </c>
      <c r="Z212" s="385">
        <v>1677.85</v>
      </c>
      <c r="AA212" s="385">
        <f t="shared" si="33"/>
        <v>11038.15</v>
      </c>
      <c r="AB212" s="385">
        <v>794.79</v>
      </c>
      <c r="AC212" s="381">
        <v>54260</v>
      </c>
      <c r="AD212" s="385">
        <v>88.31</v>
      </c>
      <c r="AE212" s="381" t="s">
        <v>944</v>
      </c>
      <c r="AF212" s="383"/>
      <c r="AG212" s="383"/>
      <c r="AH212" s="383" t="s">
        <v>57</v>
      </c>
      <c r="AI212" s="383" t="s">
        <v>4442</v>
      </c>
      <c r="AJ212" s="383" t="s">
        <v>4443</v>
      </c>
      <c r="AK212" s="389" t="s">
        <v>4437</v>
      </c>
      <c r="AL212" s="389"/>
      <c r="AM212" s="389" t="s">
        <v>1341</v>
      </c>
      <c r="AN212" s="393">
        <f t="shared" si="34"/>
        <v>3</v>
      </c>
      <c r="AO212" s="393">
        <f t="shared" si="35"/>
        <v>2023</v>
      </c>
      <c r="AP212" s="394">
        <f t="shared" si="36"/>
        <v>2035</v>
      </c>
      <c r="AQ212" s="395">
        <f t="shared" si="37"/>
        <v>2035.25</v>
      </c>
      <c r="AR212" s="396">
        <f t="shared" si="38"/>
        <v>88.305555555555557</v>
      </c>
      <c r="AS212" s="397">
        <f t="shared" si="39"/>
        <v>1059.6666666666667</v>
      </c>
      <c r="AT212" s="397">
        <f t="shared" si="40"/>
        <v>1059.6666666666667</v>
      </c>
      <c r="AU212" s="397">
        <f t="shared" si="41"/>
        <v>1147.9722222221426</v>
      </c>
      <c r="AV212" s="397">
        <f t="shared" si="42"/>
        <v>2207.6388888888096</v>
      </c>
      <c r="AW212" s="398">
        <f t="shared" si="43"/>
        <v>10508.36111111119</v>
      </c>
      <c r="AX212" s="386" t="s">
        <v>62</v>
      </c>
    </row>
    <row r="213" spans="2:50" ht="15.75" outlineLevel="1">
      <c r="B213" s="381">
        <v>2111</v>
      </c>
      <c r="C213" s="382">
        <v>307344</v>
      </c>
      <c r="D213" s="381" t="s">
        <v>944</v>
      </c>
      <c r="E213" s="383" t="s">
        <v>4240</v>
      </c>
      <c r="F213" s="392" t="s">
        <v>4359</v>
      </c>
      <c r="G213" s="392"/>
      <c r="H213" s="392"/>
      <c r="I213" s="381">
        <v>8</v>
      </c>
      <c r="J213" s="383"/>
      <c r="K213" s="381">
        <v>0</v>
      </c>
      <c r="L213" s="383" t="s">
        <v>4354</v>
      </c>
      <c r="M213" s="383"/>
      <c r="N213" s="383" t="s">
        <v>4446</v>
      </c>
      <c r="O213" s="383" t="s">
        <v>4441</v>
      </c>
      <c r="P213" s="383"/>
      <c r="Q213" s="383" t="s">
        <v>4479</v>
      </c>
      <c r="R213" s="383" t="s">
        <v>4450</v>
      </c>
      <c r="S213" s="384">
        <v>44994</v>
      </c>
      <c r="T213" s="384">
        <v>44994</v>
      </c>
      <c r="U213" s="383" t="s">
        <v>4355</v>
      </c>
      <c r="V213" s="381">
        <v>1200</v>
      </c>
      <c r="W213" s="381">
        <v>14050</v>
      </c>
      <c r="X213" s="385">
        <v>12716</v>
      </c>
      <c r="Y213" s="381">
        <v>14056</v>
      </c>
      <c r="Z213" s="385">
        <v>1677.85</v>
      </c>
      <c r="AA213" s="385">
        <f t="shared" si="33"/>
        <v>11038.15</v>
      </c>
      <c r="AB213" s="385">
        <v>794.79</v>
      </c>
      <c r="AC213" s="381">
        <v>54260</v>
      </c>
      <c r="AD213" s="385">
        <v>88.31</v>
      </c>
      <c r="AE213" s="381" t="s">
        <v>944</v>
      </c>
      <c r="AF213" s="383"/>
      <c r="AG213" s="383"/>
      <c r="AH213" s="383" t="s">
        <v>57</v>
      </c>
      <c r="AI213" s="383" t="s">
        <v>4442</v>
      </c>
      <c r="AJ213" s="383" t="s">
        <v>4443</v>
      </c>
      <c r="AK213" s="389" t="s">
        <v>4437</v>
      </c>
      <c r="AL213" s="389"/>
      <c r="AM213" s="389" t="s">
        <v>1341</v>
      </c>
      <c r="AN213" s="393">
        <f t="shared" si="34"/>
        <v>3</v>
      </c>
      <c r="AO213" s="393">
        <f t="shared" si="35"/>
        <v>2023</v>
      </c>
      <c r="AP213" s="394">
        <f t="shared" si="36"/>
        <v>2035</v>
      </c>
      <c r="AQ213" s="395">
        <f t="shared" si="37"/>
        <v>2035.25</v>
      </c>
      <c r="AR213" s="396">
        <f t="shared" si="38"/>
        <v>88.305555555555557</v>
      </c>
      <c r="AS213" s="397">
        <f t="shared" si="39"/>
        <v>1059.6666666666667</v>
      </c>
      <c r="AT213" s="397">
        <f t="shared" si="40"/>
        <v>1059.6666666666667</v>
      </c>
      <c r="AU213" s="397">
        <f t="shared" si="41"/>
        <v>1147.9722222221426</v>
      </c>
      <c r="AV213" s="397">
        <f t="shared" si="42"/>
        <v>2207.6388888888096</v>
      </c>
      <c r="AW213" s="398">
        <f t="shared" si="43"/>
        <v>10508.36111111119</v>
      </c>
      <c r="AX213" s="386" t="s">
        <v>62</v>
      </c>
    </row>
    <row r="214" spans="2:50" ht="15.75" outlineLevel="1">
      <c r="B214" s="381">
        <v>2111</v>
      </c>
      <c r="C214" s="382">
        <v>307343</v>
      </c>
      <c r="D214" s="381" t="s">
        <v>944</v>
      </c>
      <c r="E214" s="383" t="s">
        <v>4240</v>
      </c>
      <c r="F214" s="392" t="s">
        <v>4359</v>
      </c>
      <c r="G214" s="392"/>
      <c r="H214" s="392"/>
      <c r="I214" s="381">
        <v>8</v>
      </c>
      <c r="J214" s="383"/>
      <c r="K214" s="381">
        <v>0</v>
      </c>
      <c r="L214" s="383" t="s">
        <v>4354</v>
      </c>
      <c r="M214" s="383"/>
      <c r="N214" s="383" t="s">
        <v>4446</v>
      </c>
      <c r="O214" s="383" t="s">
        <v>4441</v>
      </c>
      <c r="P214" s="383"/>
      <c r="Q214" s="383" t="s">
        <v>4479</v>
      </c>
      <c r="R214" s="383" t="s">
        <v>4450</v>
      </c>
      <c r="S214" s="384">
        <v>44994</v>
      </c>
      <c r="T214" s="384">
        <v>44994</v>
      </c>
      <c r="U214" s="383" t="s">
        <v>4355</v>
      </c>
      <c r="V214" s="381">
        <v>1200</v>
      </c>
      <c r="W214" s="381">
        <v>14050</v>
      </c>
      <c r="X214" s="385">
        <v>12716</v>
      </c>
      <c r="Y214" s="381">
        <v>14056</v>
      </c>
      <c r="Z214" s="385">
        <v>1677.85</v>
      </c>
      <c r="AA214" s="385">
        <f t="shared" si="33"/>
        <v>11038.15</v>
      </c>
      <c r="AB214" s="385">
        <v>794.79</v>
      </c>
      <c r="AC214" s="381">
        <v>54260</v>
      </c>
      <c r="AD214" s="385">
        <v>88.31</v>
      </c>
      <c r="AE214" s="381" t="s">
        <v>944</v>
      </c>
      <c r="AF214" s="383"/>
      <c r="AG214" s="383"/>
      <c r="AH214" s="383" t="s">
        <v>57</v>
      </c>
      <c r="AI214" s="383" t="s">
        <v>4442</v>
      </c>
      <c r="AJ214" s="383" t="s">
        <v>4443</v>
      </c>
      <c r="AK214" s="389" t="s">
        <v>4437</v>
      </c>
      <c r="AL214" s="389"/>
      <c r="AM214" s="389" t="s">
        <v>1341</v>
      </c>
      <c r="AN214" s="393">
        <f t="shared" si="34"/>
        <v>3</v>
      </c>
      <c r="AO214" s="393">
        <f t="shared" si="35"/>
        <v>2023</v>
      </c>
      <c r="AP214" s="394">
        <f t="shared" si="36"/>
        <v>2035</v>
      </c>
      <c r="AQ214" s="395">
        <f t="shared" si="37"/>
        <v>2035.25</v>
      </c>
      <c r="AR214" s="396">
        <f t="shared" si="38"/>
        <v>88.305555555555557</v>
      </c>
      <c r="AS214" s="397">
        <f t="shared" si="39"/>
        <v>1059.6666666666667</v>
      </c>
      <c r="AT214" s="397">
        <f t="shared" si="40"/>
        <v>1059.6666666666667</v>
      </c>
      <c r="AU214" s="397">
        <f t="shared" si="41"/>
        <v>1147.9722222221426</v>
      </c>
      <c r="AV214" s="397">
        <f t="shared" si="42"/>
        <v>2207.6388888888096</v>
      </c>
      <c r="AW214" s="398">
        <f t="shared" si="43"/>
        <v>10508.36111111119</v>
      </c>
      <c r="AX214" s="386" t="s">
        <v>62</v>
      </c>
    </row>
    <row r="215" spans="2:50" ht="15.75" outlineLevel="1">
      <c r="B215" s="381">
        <v>2111</v>
      </c>
      <c r="C215" s="382">
        <v>307342</v>
      </c>
      <c r="D215" s="381" t="s">
        <v>944</v>
      </c>
      <c r="E215" s="383" t="s">
        <v>4240</v>
      </c>
      <c r="F215" s="392" t="s">
        <v>4359</v>
      </c>
      <c r="G215" s="392"/>
      <c r="H215" s="392"/>
      <c r="I215" s="381">
        <v>8</v>
      </c>
      <c r="J215" s="383"/>
      <c r="K215" s="381">
        <v>0</v>
      </c>
      <c r="L215" s="383" t="s">
        <v>4354</v>
      </c>
      <c r="M215" s="383"/>
      <c r="N215" s="383" t="s">
        <v>4446</v>
      </c>
      <c r="O215" s="383" t="s">
        <v>4441</v>
      </c>
      <c r="P215" s="383"/>
      <c r="Q215" s="383" t="s">
        <v>4479</v>
      </c>
      <c r="R215" s="383" t="s">
        <v>4450</v>
      </c>
      <c r="S215" s="384">
        <v>44994</v>
      </c>
      <c r="T215" s="384">
        <v>44994</v>
      </c>
      <c r="U215" s="383" t="s">
        <v>4355</v>
      </c>
      <c r="V215" s="381">
        <v>1200</v>
      </c>
      <c r="W215" s="381">
        <v>14050</v>
      </c>
      <c r="X215" s="385">
        <v>12716</v>
      </c>
      <c r="Y215" s="381">
        <v>14056</v>
      </c>
      <c r="Z215" s="385">
        <v>1677.85</v>
      </c>
      <c r="AA215" s="385">
        <f t="shared" si="33"/>
        <v>11038.15</v>
      </c>
      <c r="AB215" s="385">
        <v>794.79</v>
      </c>
      <c r="AC215" s="381">
        <v>54260</v>
      </c>
      <c r="AD215" s="385">
        <v>88.31</v>
      </c>
      <c r="AE215" s="381" t="s">
        <v>944</v>
      </c>
      <c r="AF215" s="383"/>
      <c r="AG215" s="383"/>
      <c r="AH215" s="383" t="s">
        <v>57</v>
      </c>
      <c r="AI215" s="383" t="s">
        <v>4442</v>
      </c>
      <c r="AJ215" s="383" t="s">
        <v>4443</v>
      </c>
      <c r="AK215" s="389" t="s">
        <v>4437</v>
      </c>
      <c r="AL215" s="389"/>
      <c r="AM215" s="389" t="s">
        <v>1341</v>
      </c>
      <c r="AN215" s="393">
        <f t="shared" si="34"/>
        <v>3</v>
      </c>
      <c r="AO215" s="393">
        <f t="shared" si="35"/>
        <v>2023</v>
      </c>
      <c r="AP215" s="394">
        <f t="shared" si="36"/>
        <v>2035</v>
      </c>
      <c r="AQ215" s="395">
        <f t="shared" si="37"/>
        <v>2035.25</v>
      </c>
      <c r="AR215" s="396">
        <f t="shared" si="38"/>
        <v>88.305555555555557</v>
      </c>
      <c r="AS215" s="397">
        <f t="shared" si="39"/>
        <v>1059.6666666666667</v>
      </c>
      <c r="AT215" s="397">
        <f t="shared" si="40"/>
        <v>1059.6666666666667</v>
      </c>
      <c r="AU215" s="397">
        <f t="shared" si="41"/>
        <v>1147.9722222221426</v>
      </c>
      <c r="AV215" s="397">
        <f t="shared" si="42"/>
        <v>2207.6388888888096</v>
      </c>
      <c r="AW215" s="398">
        <f t="shared" si="43"/>
        <v>10508.36111111119</v>
      </c>
      <c r="AX215" s="386" t="s">
        <v>62</v>
      </c>
    </row>
    <row r="216" spans="2:50" ht="15.75" outlineLevel="1">
      <c r="B216" s="381">
        <v>2111</v>
      </c>
      <c r="C216" s="382">
        <v>307341</v>
      </c>
      <c r="D216" s="381" t="s">
        <v>944</v>
      </c>
      <c r="E216" s="383" t="s">
        <v>4240</v>
      </c>
      <c r="F216" s="392" t="s">
        <v>4360</v>
      </c>
      <c r="G216" s="392"/>
      <c r="H216" s="392"/>
      <c r="I216" s="381">
        <v>3</v>
      </c>
      <c r="J216" s="383"/>
      <c r="K216" s="381">
        <v>0</v>
      </c>
      <c r="L216" s="383" t="s">
        <v>4354</v>
      </c>
      <c r="M216" s="383"/>
      <c r="N216" s="383" t="s">
        <v>4446</v>
      </c>
      <c r="O216" s="383" t="s">
        <v>4441</v>
      </c>
      <c r="P216" s="383"/>
      <c r="Q216" s="383" t="s">
        <v>4479</v>
      </c>
      <c r="R216" s="383" t="s">
        <v>4450</v>
      </c>
      <c r="S216" s="384">
        <v>44994</v>
      </c>
      <c r="T216" s="384">
        <v>44994</v>
      </c>
      <c r="U216" s="383" t="s">
        <v>4355</v>
      </c>
      <c r="V216" s="381">
        <v>1200</v>
      </c>
      <c r="W216" s="381">
        <v>14050</v>
      </c>
      <c r="X216" s="385">
        <v>4768.5</v>
      </c>
      <c r="Y216" s="381">
        <v>14056</v>
      </c>
      <c r="Z216" s="385">
        <v>629.14</v>
      </c>
      <c r="AA216" s="385">
        <f t="shared" si="33"/>
        <v>4139.3599999999997</v>
      </c>
      <c r="AB216" s="385">
        <v>297.99</v>
      </c>
      <c r="AC216" s="381">
        <v>54260</v>
      </c>
      <c r="AD216" s="385">
        <v>33.11</v>
      </c>
      <c r="AE216" s="381" t="s">
        <v>944</v>
      </c>
      <c r="AF216" s="383"/>
      <c r="AG216" s="383"/>
      <c r="AH216" s="383" t="s">
        <v>57</v>
      </c>
      <c r="AI216" s="383" t="s">
        <v>4442</v>
      </c>
      <c r="AJ216" s="383" t="s">
        <v>4443</v>
      </c>
      <c r="AK216" s="389" t="s">
        <v>4437</v>
      </c>
      <c r="AL216" s="389"/>
      <c r="AM216" s="389" t="s">
        <v>1341</v>
      </c>
      <c r="AN216" s="393">
        <f t="shared" si="34"/>
        <v>3</v>
      </c>
      <c r="AO216" s="393">
        <f t="shared" si="35"/>
        <v>2023</v>
      </c>
      <c r="AP216" s="394">
        <f t="shared" si="36"/>
        <v>2035</v>
      </c>
      <c r="AQ216" s="395">
        <f t="shared" si="37"/>
        <v>2035.25</v>
      </c>
      <c r="AR216" s="396">
        <f t="shared" si="38"/>
        <v>33.114583333333336</v>
      </c>
      <c r="AS216" s="397">
        <f t="shared" si="39"/>
        <v>397.375</v>
      </c>
      <c r="AT216" s="397">
        <f t="shared" si="40"/>
        <v>397.375</v>
      </c>
      <c r="AU216" s="397">
        <f t="shared" si="41"/>
        <v>430.48958333330302</v>
      </c>
      <c r="AV216" s="397">
        <f t="shared" si="42"/>
        <v>827.86458333330302</v>
      </c>
      <c r="AW216" s="398">
        <f t="shared" si="43"/>
        <v>3940.635416666697</v>
      </c>
      <c r="AX216" s="386" t="s">
        <v>62</v>
      </c>
    </row>
    <row r="217" spans="2:50" ht="15.75" outlineLevel="1">
      <c r="B217" s="381">
        <v>2111</v>
      </c>
      <c r="C217" s="382">
        <v>307340</v>
      </c>
      <c r="D217" s="381" t="s">
        <v>944</v>
      </c>
      <c r="E217" s="383" t="s">
        <v>4240</v>
      </c>
      <c r="F217" s="392" t="s">
        <v>4359</v>
      </c>
      <c r="G217" s="392"/>
      <c r="H217" s="392"/>
      <c r="I217" s="381">
        <v>1</v>
      </c>
      <c r="J217" s="383"/>
      <c r="K217" s="381">
        <v>0</v>
      </c>
      <c r="L217" s="383" t="s">
        <v>4354</v>
      </c>
      <c r="M217" s="383"/>
      <c r="N217" s="383" t="s">
        <v>4446</v>
      </c>
      <c r="O217" s="383" t="s">
        <v>4441</v>
      </c>
      <c r="P217" s="383"/>
      <c r="Q217" s="383" t="s">
        <v>4479</v>
      </c>
      <c r="R217" s="383" t="s">
        <v>4450</v>
      </c>
      <c r="S217" s="384">
        <v>44994</v>
      </c>
      <c r="T217" s="384">
        <v>44994</v>
      </c>
      <c r="U217" s="383" t="s">
        <v>4356</v>
      </c>
      <c r="V217" s="381">
        <v>1200</v>
      </c>
      <c r="W217" s="381">
        <v>14050</v>
      </c>
      <c r="X217" s="385">
        <v>1589.5</v>
      </c>
      <c r="Y217" s="381">
        <v>14056</v>
      </c>
      <c r="Z217" s="385">
        <v>209.74</v>
      </c>
      <c r="AA217" s="385">
        <f t="shared" si="33"/>
        <v>1379.76</v>
      </c>
      <c r="AB217" s="385">
        <v>99.36</v>
      </c>
      <c r="AC217" s="381">
        <v>54260</v>
      </c>
      <c r="AD217" s="385">
        <v>11.04</v>
      </c>
      <c r="AE217" s="381" t="s">
        <v>944</v>
      </c>
      <c r="AF217" s="383"/>
      <c r="AG217" s="383"/>
      <c r="AH217" s="383" t="s">
        <v>57</v>
      </c>
      <c r="AI217" s="383" t="s">
        <v>4442</v>
      </c>
      <c r="AJ217" s="383" t="s">
        <v>4443</v>
      </c>
      <c r="AK217" s="389" t="s">
        <v>4437</v>
      </c>
      <c r="AL217" s="389"/>
      <c r="AM217" s="389" t="s">
        <v>1341</v>
      </c>
      <c r="AN217" s="393">
        <f t="shared" si="34"/>
        <v>3</v>
      </c>
      <c r="AO217" s="393">
        <f t="shared" si="35"/>
        <v>2023</v>
      </c>
      <c r="AP217" s="394">
        <f t="shared" si="36"/>
        <v>2035</v>
      </c>
      <c r="AQ217" s="395">
        <f t="shared" si="37"/>
        <v>2035.25</v>
      </c>
      <c r="AR217" s="396">
        <f t="shared" si="38"/>
        <v>11.038194444444445</v>
      </c>
      <c r="AS217" s="397">
        <f t="shared" si="39"/>
        <v>132.45833333333334</v>
      </c>
      <c r="AT217" s="397">
        <f t="shared" si="40"/>
        <v>132.45833333333334</v>
      </c>
      <c r="AU217" s="397">
        <f t="shared" si="41"/>
        <v>143.49652777776782</v>
      </c>
      <c r="AV217" s="397">
        <f t="shared" si="42"/>
        <v>275.9548611111012</v>
      </c>
      <c r="AW217" s="398">
        <f t="shared" si="43"/>
        <v>1313.5451388888987</v>
      </c>
      <c r="AX217" s="386" t="s">
        <v>62</v>
      </c>
    </row>
    <row r="218" spans="2:50" ht="15.75" outlineLevel="1">
      <c r="B218" s="381">
        <v>2111</v>
      </c>
      <c r="C218" s="382">
        <v>307305</v>
      </c>
      <c r="D218" s="381">
        <v>305425</v>
      </c>
      <c r="E218" s="383" t="s">
        <v>4240</v>
      </c>
      <c r="F218" s="392" t="s">
        <v>4361</v>
      </c>
      <c r="G218" s="392"/>
      <c r="H218" s="392"/>
      <c r="I218" s="381">
        <v>1</v>
      </c>
      <c r="J218" s="383" t="s">
        <v>4362</v>
      </c>
      <c r="K218" s="381">
        <v>2023</v>
      </c>
      <c r="L218" s="383" t="s">
        <v>4291</v>
      </c>
      <c r="M218" s="383"/>
      <c r="N218" s="383" t="s">
        <v>4445</v>
      </c>
      <c r="O218" s="383" t="s">
        <v>4441</v>
      </c>
      <c r="P218" s="383" t="s">
        <v>1467</v>
      </c>
      <c r="Q218" s="383"/>
      <c r="R218" s="383"/>
      <c r="S218" s="384">
        <v>45065</v>
      </c>
      <c r="T218" s="384">
        <v>45065</v>
      </c>
      <c r="U218" s="383" t="s">
        <v>4286</v>
      </c>
      <c r="V218" s="381">
        <v>1000</v>
      </c>
      <c r="W218" s="381">
        <v>14040</v>
      </c>
      <c r="X218" s="385">
        <v>126466.06</v>
      </c>
      <c r="Y218" s="381">
        <v>14046</v>
      </c>
      <c r="Z218" s="385">
        <v>16862.099999999999</v>
      </c>
      <c r="AA218" s="385">
        <f t="shared" si="33"/>
        <v>109603.95999999999</v>
      </c>
      <c r="AB218" s="385">
        <v>9484.92</v>
      </c>
      <c r="AC218" s="381">
        <v>51260</v>
      </c>
      <c r="AD218" s="385">
        <v>1053.8800000000001</v>
      </c>
      <c r="AE218" s="381" t="s">
        <v>944</v>
      </c>
      <c r="AF218" s="383"/>
      <c r="AG218" s="383"/>
      <c r="AH218" s="383" t="s">
        <v>57</v>
      </c>
      <c r="AI218" s="383" t="s">
        <v>4442</v>
      </c>
      <c r="AJ218" s="383" t="s">
        <v>4443</v>
      </c>
      <c r="AK218" s="389" t="s">
        <v>4437</v>
      </c>
      <c r="AL218" s="389"/>
      <c r="AM218" s="389" t="s">
        <v>3939</v>
      </c>
      <c r="AN218" s="393">
        <f t="shared" si="34"/>
        <v>5</v>
      </c>
      <c r="AO218" s="393">
        <f t="shared" si="35"/>
        <v>2023</v>
      </c>
      <c r="AP218" s="394">
        <f t="shared" si="36"/>
        <v>2033</v>
      </c>
      <c r="AQ218" s="395">
        <f t="shared" si="37"/>
        <v>2033.4166666666667</v>
      </c>
      <c r="AR218" s="396">
        <f t="shared" si="38"/>
        <v>1053.8838333333333</v>
      </c>
      <c r="AS218" s="397">
        <f t="shared" si="39"/>
        <v>12646.606</v>
      </c>
      <c r="AT218" s="397">
        <f t="shared" si="40"/>
        <v>12646.606</v>
      </c>
      <c r="AU218" s="397">
        <f t="shared" si="41"/>
        <v>11592.722166664753</v>
      </c>
      <c r="AV218" s="397">
        <f t="shared" si="42"/>
        <v>24239.328166664753</v>
      </c>
      <c r="AW218" s="398">
        <f t="shared" si="43"/>
        <v>102226.73183333525</v>
      </c>
      <c r="AX218" s="386" t="s">
        <v>62</v>
      </c>
    </row>
    <row r="219" spans="2:50" ht="15.75" outlineLevel="1">
      <c r="B219" s="381">
        <v>2111</v>
      </c>
      <c r="C219" s="382">
        <v>307304</v>
      </c>
      <c r="D219" s="381">
        <v>305425</v>
      </c>
      <c r="E219" s="383" t="s">
        <v>4240</v>
      </c>
      <c r="F219" s="392" t="s">
        <v>4363</v>
      </c>
      <c r="G219" s="392"/>
      <c r="H219" s="392"/>
      <c r="I219" s="381">
        <v>1</v>
      </c>
      <c r="J219" s="383" t="s">
        <v>4362</v>
      </c>
      <c r="K219" s="381">
        <v>2023</v>
      </c>
      <c r="L219" s="383" t="s">
        <v>4291</v>
      </c>
      <c r="M219" s="383"/>
      <c r="N219" s="383" t="s">
        <v>4445</v>
      </c>
      <c r="O219" s="383" t="s">
        <v>4441</v>
      </c>
      <c r="P219" s="383" t="s">
        <v>1467</v>
      </c>
      <c r="Q219" s="383"/>
      <c r="R219" s="383"/>
      <c r="S219" s="384">
        <v>45065</v>
      </c>
      <c r="T219" s="384">
        <v>45065</v>
      </c>
      <c r="U219" s="383" t="s">
        <v>4364</v>
      </c>
      <c r="V219" s="381">
        <v>1000</v>
      </c>
      <c r="W219" s="381">
        <v>14040</v>
      </c>
      <c r="X219" s="385">
        <v>22.94</v>
      </c>
      <c r="Y219" s="381">
        <v>14046</v>
      </c>
      <c r="Z219" s="385">
        <v>3.04</v>
      </c>
      <c r="AA219" s="385">
        <f t="shared" si="33"/>
        <v>19.900000000000002</v>
      </c>
      <c r="AB219" s="385">
        <v>1.71</v>
      </c>
      <c r="AC219" s="381">
        <v>51260</v>
      </c>
      <c r="AD219" s="385">
        <v>0.19</v>
      </c>
      <c r="AE219" s="381" t="s">
        <v>944</v>
      </c>
      <c r="AF219" s="383"/>
      <c r="AG219" s="383"/>
      <c r="AH219" s="383" t="s">
        <v>57</v>
      </c>
      <c r="AI219" s="383" t="s">
        <v>4442</v>
      </c>
      <c r="AJ219" s="383" t="s">
        <v>4443</v>
      </c>
      <c r="AK219" s="389" t="s">
        <v>4437</v>
      </c>
      <c r="AL219" s="389"/>
      <c r="AM219" s="389" t="s">
        <v>3939</v>
      </c>
      <c r="AN219" s="393">
        <f t="shared" si="34"/>
        <v>5</v>
      </c>
      <c r="AO219" s="393">
        <f t="shared" si="35"/>
        <v>2023</v>
      </c>
      <c r="AP219" s="394">
        <f t="shared" si="36"/>
        <v>2033</v>
      </c>
      <c r="AQ219" s="395">
        <f t="shared" si="37"/>
        <v>2033.4166666666667</v>
      </c>
      <c r="AR219" s="396">
        <f t="shared" si="38"/>
        <v>0.19116666666666668</v>
      </c>
      <c r="AS219" s="397">
        <f t="shared" si="39"/>
        <v>2.294</v>
      </c>
      <c r="AT219" s="397">
        <f t="shared" si="40"/>
        <v>2.294</v>
      </c>
      <c r="AU219" s="397">
        <f t="shared" si="41"/>
        <v>2.1028333333329847</v>
      </c>
      <c r="AV219" s="397">
        <f t="shared" si="42"/>
        <v>4.3968333333329852</v>
      </c>
      <c r="AW219" s="398">
        <f t="shared" si="43"/>
        <v>18.543166666667016</v>
      </c>
      <c r="AX219" s="386" t="s">
        <v>62</v>
      </c>
    </row>
    <row r="220" spans="2:50" ht="15.75" outlineLevel="1">
      <c r="B220" s="381">
        <v>2111</v>
      </c>
      <c r="C220" s="382">
        <v>306810</v>
      </c>
      <c r="D220" s="381" t="s">
        <v>944</v>
      </c>
      <c r="E220" s="383" t="s">
        <v>4240</v>
      </c>
      <c r="F220" s="392" t="s">
        <v>697</v>
      </c>
      <c r="G220" s="392"/>
      <c r="H220" s="392"/>
      <c r="I220" s="381">
        <v>13</v>
      </c>
      <c r="J220" s="383"/>
      <c r="K220" s="381">
        <v>0</v>
      </c>
      <c r="L220" s="383" t="s">
        <v>1537</v>
      </c>
      <c r="M220" s="383"/>
      <c r="N220" s="383" t="s">
        <v>4446</v>
      </c>
      <c r="O220" s="383" t="s">
        <v>4441</v>
      </c>
      <c r="P220" s="383"/>
      <c r="Q220" s="383" t="s">
        <v>4459</v>
      </c>
      <c r="R220" s="383" t="s">
        <v>4450</v>
      </c>
      <c r="S220" s="384">
        <v>40332</v>
      </c>
      <c r="T220" s="384">
        <v>40332</v>
      </c>
      <c r="U220" s="383" t="s">
        <v>4365</v>
      </c>
      <c r="V220" s="381">
        <v>1200</v>
      </c>
      <c r="W220" s="381">
        <v>14050</v>
      </c>
      <c r="X220" s="385">
        <v>6771.14</v>
      </c>
      <c r="Y220" s="381">
        <v>14056</v>
      </c>
      <c r="Z220" s="385">
        <v>6771.14</v>
      </c>
      <c r="AA220" s="385">
        <f t="shared" si="33"/>
        <v>0</v>
      </c>
      <c r="AB220" s="385">
        <v>0</v>
      </c>
      <c r="AC220" s="381">
        <v>54260</v>
      </c>
      <c r="AD220" s="385">
        <v>0</v>
      </c>
      <c r="AE220" s="381" t="s">
        <v>944</v>
      </c>
      <c r="AF220" s="383"/>
      <c r="AG220" s="383"/>
      <c r="AH220" s="383" t="s">
        <v>57</v>
      </c>
      <c r="AI220" s="383" t="s">
        <v>4442</v>
      </c>
      <c r="AJ220" s="383" t="s">
        <v>4443</v>
      </c>
      <c r="AK220" s="389" t="s">
        <v>4437</v>
      </c>
      <c r="AL220" s="389"/>
      <c r="AM220" s="389" t="s">
        <v>1341</v>
      </c>
      <c r="AN220" s="393">
        <f t="shared" si="34"/>
        <v>6</v>
      </c>
      <c r="AO220" s="393">
        <f t="shared" si="35"/>
        <v>2010</v>
      </c>
      <c r="AP220" s="394">
        <f t="shared" si="36"/>
        <v>2022</v>
      </c>
      <c r="AQ220" s="395">
        <f t="shared" si="37"/>
        <v>2022.5</v>
      </c>
      <c r="AR220" s="396">
        <f t="shared" si="38"/>
        <v>47.021805555555552</v>
      </c>
      <c r="AS220" s="397">
        <f t="shared" si="39"/>
        <v>564.26166666666666</v>
      </c>
      <c r="AT220" s="397">
        <f t="shared" si="40"/>
        <v>0</v>
      </c>
      <c r="AU220" s="397">
        <f t="shared" si="41"/>
        <v>6771.14</v>
      </c>
      <c r="AV220" s="397">
        <f t="shared" si="42"/>
        <v>6771.14</v>
      </c>
      <c r="AW220" s="398">
        <f t="shared" si="43"/>
        <v>0</v>
      </c>
      <c r="AX220" s="386" t="s">
        <v>62</v>
      </c>
    </row>
    <row r="221" spans="2:50" ht="15.75" outlineLevel="1">
      <c r="B221" s="381">
        <v>2111</v>
      </c>
      <c r="C221" s="382">
        <v>306503</v>
      </c>
      <c r="D221" s="381" t="s">
        <v>944</v>
      </c>
      <c r="E221" s="383" t="s">
        <v>4240</v>
      </c>
      <c r="F221" s="392" t="s">
        <v>4366</v>
      </c>
      <c r="G221" s="392"/>
      <c r="H221" s="392"/>
      <c r="I221" s="381">
        <v>1</v>
      </c>
      <c r="J221" s="383"/>
      <c r="K221" s="381">
        <v>0</v>
      </c>
      <c r="L221" s="383"/>
      <c r="M221" s="383"/>
      <c r="N221" s="383" t="s">
        <v>4462</v>
      </c>
      <c r="O221" s="383" t="s">
        <v>4441</v>
      </c>
      <c r="P221" s="383"/>
      <c r="Q221" s="383"/>
      <c r="R221" s="383"/>
      <c r="S221" s="384">
        <v>45107</v>
      </c>
      <c r="T221" s="384">
        <v>45107</v>
      </c>
      <c r="U221" s="383" t="s">
        <v>4367</v>
      </c>
      <c r="V221" s="381">
        <v>1000</v>
      </c>
      <c r="W221" s="381">
        <v>14010</v>
      </c>
      <c r="X221" s="385">
        <v>97119.79</v>
      </c>
      <c r="Y221" s="381">
        <v>14016</v>
      </c>
      <c r="Z221" s="385">
        <v>12139.96</v>
      </c>
      <c r="AA221" s="385">
        <f t="shared" si="33"/>
        <v>84979.829999999987</v>
      </c>
      <c r="AB221" s="385">
        <v>7283.97</v>
      </c>
      <c r="AC221" s="381">
        <v>57260</v>
      </c>
      <c r="AD221" s="385">
        <v>809.33</v>
      </c>
      <c r="AE221" s="381" t="s">
        <v>944</v>
      </c>
      <c r="AF221" s="383"/>
      <c r="AG221" s="383"/>
      <c r="AH221" s="383" t="s">
        <v>57</v>
      </c>
      <c r="AI221" s="383" t="s">
        <v>4442</v>
      </c>
      <c r="AJ221" s="383" t="s">
        <v>4443</v>
      </c>
      <c r="AK221" s="389" t="s">
        <v>4437</v>
      </c>
      <c r="AL221" s="389"/>
      <c r="AM221" s="389" t="s">
        <v>136</v>
      </c>
      <c r="AN221" s="393">
        <f t="shared" si="34"/>
        <v>6</v>
      </c>
      <c r="AO221" s="393">
        <f t="shared" si="35"/>
        <v>2023</v>
      </c>
      <c r="AP221" s="394">
        <f t="shared" si="36"/>
        <v>2033</v>
      </c>
      <c r="AQ221" s="395">
        <f t="shared" si="37"/>
        <v>2033.5</v>
      </c>
      <c r="AR221" s="396">
        <f t="shared" si="38"/>
        <v>809.33158333333324</v>
      </c>
      <c r="AS221" s="397">
        <f t="shared" si="39"/>
        <v>9711.9789999999994</v>
      </c>
      <c r="AT221" s="397">
        <f t="shared" si="40"/>
        <v>9711.9789999999994</v>
      </c>
      <c r="AU221" s="397">
        <f t="shared" si="41"/>
        <v>8093.3158333325991</v>
      </c>
      <c r="AV221" s="397">
        <f t="shared" si="42"/>
        <v>17805.294833332599</v>
      </c>
      <c r="AW221" s="398">
        <f t="shared" si="43"/>
        <v>79314.495166667388</v>
      </c>
      <c r="AX221" s="386" t="s">
        <v>62</v>
      </c>
    </row>
    <row r="222" spans="2:50" ht="15.75" outlineLevel="1">
      <c r="B222" s="381">
        <v>2111</v>
      </c>
      <c r="C222" s="382">
        <v>306502</v>
      </c>
      <c r="D222" s="381" t="s">
        <v>944</v>
      </c>
      <c r="E222" s="383" t="s">
        <v>4240</v>
      </c>
      <c r="F222" s="392" t="s">
        <v>4368</v>
      </c>
      <c r="G222" s="392"/>
      <c r="H222" s="392"/>
      <c r="I222" s="381">
        <v>1</v>
      </c>
      <c r="J222" s="383"/>
      <c r="K222" s="381">
        <v>0</v>
      </c>
      <c r="L222" s="383"/>
      <c r="M222" s="383"/>
      <c r="N222" s="383" t="s">
        <v>4462</v>
      </c>
      <c r="O222" s="383" t="s">
        <v>4441</v>
      </c>
      <c r="P222" s="383"/>
      <c r="Q222" s="383"/>
      <c r="R222" s="383"/>
      <c r="S222" s="384">
        <v>45030</v>
      </c>
      <c r="T222" s="384">
        <v>45030</v>
      </c>
      <c r="U222" s="383" t="s">
        <v>4369</v>
      </c>
      <c r="V222" s="381">
        <v>1000</v>
      </c>
      <c r="W222" s="381">
        <v>14010</v>
      </c>
      <c r="X222" s="385">
        <v>343103.5</v>
      </c>
      <c r="Y222" s="381">
        <v>14016</v>
      </c>
      <c r="Z222" s="385">
        <v>51465.56</v>
      </c>
      <c r="AA222" s="385">
        <f t="shared" si="33"/>
        <v>291637.94</v>
      </c>
      <c r="AB222" s="385">
        <v>25732.799999999999</v>
      </c>
      <c r="AC222" s="381">
        <v>57260</v>
      </c>
      <c r="AD222" s="385">
        <v>2859.2</v>
      </c>
      <c r="AE222" s="381" t="s">
        <v>944</v>
      </c>
      <c r="AF222" s="383"/>
      <c r="AG222" s="383"/>
      <c r="AH222" s="383" t="s">
        <v>57</v>
      </c>
      <c r="AI222" s="383" t="s">
        <v>4442</v>
      </c>
      <c r="AJ222" s="383" t="s">
        <v>4443</v>
      </c>
      <c r="AK222" s="389" t="s">
        <v>4437</v>
      </c>
      <c r="AL222" s="389"/>
      <c r="AM222" s="389" t="s">
        <v>250</v>
      </c>
      <c r="AN222" s="393">
        <f t="shared" si="34"/>
        <v>4</v>
      </c>
      <c r="AO222" s="393">
        <f t="shared" si="35"/>
        <v>2023</v>
      </c>
      <c r="AP222" s="394">
        <f t="shared" si="36"/>
        <v>2033</v>
      </c>
      <c r="AQ222" s="395">
        <f t="shared" si="37"/>
        <v>2033.3333333333333</v>
      </c>
      <c r="AR222" s="396">
        <f t="shared" si="38"/>
        <v>2859.1958333333332</v>
      </c>
      <c r="AS222" s="397">
        <f t="shared" si="39"/>
        <v>34310.35</v>
      </c>
      <c r="AT222" s="397">
        <f t="shared" si="40"/>
        <v>34310.35</v>
      </c>
      <c r="AU222" s="397">
        <f t="shared" si="41"/>
        <v>34310.350000000035</v>
      </c>
      <c r="AV222" s="397">
        <f t="shared" si="42"/>
        <v>68620.700000000041</v>
      </c>
      <c r="AW222" s="398">
        <f t="shared" si="43"/>
        <v>274482.79999999993</v>
      </c>
      <c r="AX222" s="386" t="s">
        <v>62</v>
      </c>
    </row>
    <row r="223" spans="2:50" ht="15.75" outlineLevel="1">
      <c r="B223" s="381">
        <v>2111</v>
      </c>
      <c r="C223" s="382">
        <v>305962</v>
      </c>
      <c r="D223" s="381" t="s">
        <v>944</v>
      </c>
      <c r="E223" s="383" t="s">
        <v>4240</v>
      </c>
      <c r="F223" s="392" t="s">
        <v>4370</v>
      </c>
      <c r="G223" s="392"/>
      <c r="H223" s="392"/>
      <c r="I223" s="381">
        <v>42</v>
      </c>
      <c r="J223" s="383"/>
      <c r="K223" s="381">
        <v>0</v>
      </c>
      <c r="L223" s="383" t="s">
        <v>4371</v>
      </c>
      <c r="M223" s="383"/>
      <c r="N223" s="383" t="s">
        <v>4446</v>
      </c>
      <c r="O223" s="383" t="s">
        <v>4441</v>
      </c>
      <c r="P223" s="383"/>
      <c r="Q223" s="383"/>
      <c r="R223" s="383"/>
      <c r="S223" s="384">
        <v>45019</v>
      </c>
      <c r="T223" s="384">
        <v>45019</v>
      </c>
      <c r="U223" s="383" t="s">
        <v>4372</v>
      </c>
      <c r="V223" s="381">
        <v>700</v>
      </c>
      <c r="W223" s="381">
        <v>14050</v>
      </c>
      <c r="X223" s="385">
        <v>831.6</v>
      </c>
      <c r="Y223" s="381">
        <v>14056</v>
      </c>
      <c r="Z223" s="385">
        <v>178.2</v>
      </c>
      <c r="AA223" s="385">
        <f t="shared" si="33"/>
        <v>653.40000000000009</v>
      </c>
      <c r="AB223" s="385">
        <v>89.1</v>
      </c>
      <c r="AC223" s="381">
        <v>54260</v>
      </c>
      <c r="AD223" s="385">
        <v>9.9</v>
      </c>
      <c r="AE223" s="381" t="s">
        <v>944</v>
      </c>
      <c r="AF223" s="383"/>
      <c r="AG223" s="383"/>
      <c r="AH223" s="383" t="s">
        <v>57</v>
      </c>
      <c r="AI223" s="383" t="s">
        <v>4442</v>
      </c>
      <c r="AJ223" s="383" t="s">
        <v>4443</v>
      </c>
      <c r="AK223" s="389" t="s">
        <v>4437</v>
      </c>
      <c r="AL223" s="389"/>
      <c r="AM223" s="389" t="s">
        <v>1019</v>
      </c>
      <c r="AN223" s="393">
        <f t="shared" si="34"/>
        <v>4</v>
      </c>
      <c r="AO223" s="393">
        <f t="shared" si="35"/>
        <v>2023</v>
      </c>
      <c r="AP223" s="394">
        <f t="shared" si="36"/>
        <v>2030</v>
      </c>
      <c r="AQ223" s="395">
        <f t="shared" si="37"/>
        <v>2030.3333333333333</v>
      </c>
      <c r="AR223" s="396">
        <f t="shared" si="38"/>
        <v>9.9</v>
      </c>
      <c r="AS223" s="397">
        <f t="shared" si="39"/>
        <v>118.80000000000001</v>
      </c>
      <c r="AT223" s="397">
        <f t="shared" si="40"/>
        <v>118.80000000000001</v>
      </c>
      <c r="AU223" s="397">
        <f t="shared" si="41"/>
        <v>118.79999999999995</v>
      </c>
      <c r="AV223" s="397">
        <f t="shared" si="42"/>
        <v>237.59999999999997</v>
      </c>
      <c r="AW223" s="398">
        <f t="shared" si="43"/>
        <v>594</v>
      </c>
      <c r="AX223" s="386" t="s">
        <v>62</v>
      </c>
    </row>
    <row r="224" spans="2:50" ht="15.75" outlineLevel="1">
      <c r="B224" s="381">
        <v>2111</v>
      </c>
      <c r="C224" s="382">
        <v>305961</v>
      </c>
      <c r="D224" s="381" t="s">
        <v>944</v>
      </c>
      <c r="E224" s="383" t="s">
        <v>4240</v>
      </c>
      <c r="F224" s="392" t="s">
        <v>4373</v>
      </c>
      <c r="G224" s="392"/>
      <c r="H224" s="392"/>
      <c r="I224" s="381">
        <v>180</v>
      </c>
      <c r="J224" s="383"/>
      <c r="K224" s="381">
        <v>0</v>
      </c>
      <c r="L224" s="383" t="s">
        <v>4371</v>
      </c>
      <c r="M224" s="383"/>
      <c r="N224" s="383" t="s">
        <v>4446</v>
      </c>
      <c r="O224" s="383" t="s">
        <v>4441</v>
      </c>
      <c r="P224" s="383"/>
      <c r="Q224" s="383"/>
      <c r="R224" s="383"/>
      <c r="S224" s="384">
        <v>45019</v>
      </c>
      <c r="T224" s="384">
        <v>45019</v>
      </c>
      <c r="U224" s="383" t="s">
        <v>4372</v>
      </c>
      <c r="V224" s="381">
        <v>700</v>
      </c>
      <c r="W224" s="381">
        <v>14050</v>
      </c>
      <c r="X224" s="385">
        <v>9262.75</v>
      </c>
      <c r="Y224" s="381">
        <v>14056</v>
      </c>
      <c r="Z224" s="385">
        <v>1984.87</v>
      </c>
      <c r="AA224" s="385">
        <f t="shared" si="33"/>
        <v>7277.88</v>
      </c>
      <c r="AB224" s="385">
        <v>992.43</v>
      </c>
      <c r="AC224" s="381">
        <v>54260</v>
      </c>
      <c r="AD224" s="385">
        <v>110.27</v>
      </c>
      <c r="AE224" s="381" t="s">
        <v>944</v>
      </c>
      <c r="AF224" s="383"/>
      <c r="AG224" s="383"/>
      <c r="AH224" s="383" t="s">
        <v>57</v>
      </c>
      <c r="AI224" s="383" t="s">
        <v>4442</v>
      </c>
      <c r="AJ224" s="383" t="s">
        <v>4443</v>
      </c>
      <c r="AK224" s="389" t="s">
        <v>4437</v>
      </c>
      <c r="AL224" s="389"/>
      <c r="AM224" s="389" t="s">
        <v>1019</v>
      </c>
      <c r="AN224" s="393">
        <f t="shared" si="34"/>
        <v>4</v>
      </c>
      <c r="AO224" s="393">
        <f t="shared" si="35"/>
        <v>2023</v>
      </c>
      <c r="AP224" s="394">
        <f t="shared" si="36"/>
        <v>2030</v>
      </c>
      <c r="AQ224" s="395">
        <f t="shared" si="37"/>
        <v>2030.3333333333333</v>
      </c>
      <c r="AR224" s="396">
        <f t="shared" si="38"/>
        <v>110.27083333333333</v>
      </c>
      <c r="AS224" s="397">
        <f t="shared" si="39"/>
        <v>1323.25</v>
      </c>
      <c r="AT224" s="397">
        <f t="shared" si="40"/>
        <v>1323.25</v>
      </c>
      <c r="AU224" s="397">
        <f t="shared" si="41"/>
        <v>1323.25</v>
      </c>
      <c r="AV224" s="397">
        <f t="shared" si="42"/>
        <v>2646.5</v>
      </c>
      <c r="AW224" s="398">
        <f t="shared" si="43"/>
        <v>6616.25</v>
      </c>
      <c r="AX224" s="386" t="s">
        <v>62</v>
      </c>
    </row>
    <row r="225" spans="2:50" ht="15.75" outlineLevel="1">
      <c r="B225" s="381">
        <v>2111</v>
      </c>
      <c r="C225" s="382">
        <v>305960</v>
      </c>
      <c r="D225" s="381" t="s">
        <v>944</v>
      </c>
      <c r="E225" s="383" t="s">
        <v>4240</v>
      </c>
      <c r="F225" s="392" t="s">
        <v>4374</v>
      </c>
      <c r="G225" s="392"/>
      <c r="H225" s="392"/>
      <c r="I225" s="381">
        <v>138</v>
      </c>
      <c r="J225" s="383"/>
      <c r="K225" s="381">
        <v>0</v>
      </c>
      <c r="L225" s="383" t="s">
        <v>4371</v>
      </c>
      <c r="M225" s="383"/>
      <c r="N225" s="383" t="s">
        <v>4446</v>
      </c>
      <c r="O225" s="383" t="s">
        <v>4441</v>
      </c>
      <c r="P225" s="383"/>
      <c r="Q225" s="383"/>
      <c r="R225" s="383"/>
      <c r="S225" s="384">
        <v>45019</v>
      </c>
      <c r="T225" s="384">
        <v>45019</v>
      </c>
      <c r="U225" s="383" t="s">
        <v>4372</v>
      </c>
      <c r="V225" s="381">
        <v>700</v>
      </c>
      <c r="W225" s="381">
        <v>14050</v>
      </c>
      <c r="X225" s="385">
        <v>3557.42</v>
      </c>
      <c r="Y225" s="381">
        <v>14056</v>
      </c>
      <c r="Z225" s="385">
        <v>762.3</v>
      </c>
      <c r="AA225" s="385">
        <f t="shared" si="33"/>
        <v>2795.12</v>
      </c>
      <c r="AB225" s="385">
        <v>381.15</v>
      </c>
      <c r="AC225" s="381">
        <v>54260</v>
      </c>
      <c r="AD225" s="385">
        <v>42.35</v>
      </c>
      <c r="AE225" s="381" t="s">
        <v>944</v>
      </c>
      <c r="AF225" s="383"/>
      <c r="AG225" s="383"/>
      <c r="AH225" s="383" t="s">
        <v>57</v>
      </c>
      <c r="AI225" s="383" t="s">
        <v>4442</v>
      </c>
      <c r="AJ225" s="383" t="s">
        <v>4443</v>
      </c>
      <c r="AK225" s="389" t="s">
        <v>4437</v>
      </c>
      <c r="AL225" s="389"/>
      <c r="AM225" s="389" t="s">
        <v>1019</v>
      </c>
      <c r="AN225" s="393">
        <f t="shared" si="34"/>
        <v>4</v>
      </c>
      <c r="AO225" s="393">
        <f t="shared" si="35"/>
        <v>2023</v>
      </c>
      <c r="AP225" s="394">
        <f t="shared" si="36"/>
        <v>2030</v>
      </c>
      <c r="AQ225" s="395">
        <f t="shared" si="37"/>
        <v>2030.3333333333333</v>
      </c>
      <c r="AR225" s="396">
        <f t="shared" si="38"/>
        <v>42.350238095238097</v>
      </c>
      <c r="AS225" s="397">
        <f t="shared" si="39"/>
        <v>508.20285714285717</v>
      </c>
      <c r="AT225" s="397">
        <f t="shared" si="40"/>
        <v>508.20285714285717</v>
      </c>
      <c r="AU225" s="397">
        <f t="shared" si="41"/>
        <v>508.20285714285728</v>
      </c>
      <c r="AV225" s="397">
        <f t="shared" si="42"/>
        <v>1016.4057142857145</v>
      </c>
      <c r="AW225" s="398">
        <f t="shared" si="43"/>
        <v>2541.0142857142855</v>
      </c>
      <c r="AX225" s="386" t="s">
        <v>62</v>
      </c>
    </row>
    <row r="226" spans="2:50" ht="15.75" outlineLevel="1">
      <c r="B226" s="381">
        <v>2111</v>
      </c>
      <c r="C226" s="382">
        <v>305959</v>
      </c>
      <c r="D226" s="381" t="s">
        <v>944</v>
      </c>
      <c r="E226" s="383" t="s">
        <v>4240</v>
      </c>
      <c r="F226" s="392" t="s">
        <v>4375</v>
      </c>
      <c r="G226" s="392"/>
      <c r="H226" s="392"/>
      <c r="I226" s="381">
        <v>100</v>
      </c>
      <c r="J226" s="383"/>
      <c r="K226" s="381">
        <v>0</v>
      </c>
      <c r="L226" s="383" t="s">
        <v>4376</v>
      </c>
      <c r="M226" s="383"/>
      <c r="N226" s="383" t="s">
        <v>4446</v>
      </c>
      <c r="O226" s="383" t="s">
        <v>4441</v>
      </c>
      <c r="P226" s="383"/>
      <c r="Q226" s="383"/>
      <c r="R226" s="383"/>
      <c r="S226" s="384">
        <v>45019</v>
      </c>
      <c r="T226" s="384">
        <v>45019</v>
      </c>
      <c r="U226" s="383" t="s">
        <v>4372</v>
      </c>
      <c r="V226" s="381">
        <v>700</v>
      </c>
      <c r="W226" s="381">
        <v>14050</v>
      </c>
      <c r="X226" s="385">
        <v>4013.91</v>
      </c>
      <c r="Y226" s="381">
        <v>14056</v>
      </c>
      <c r="Z226" s="385">
        <v>860.07</v>
      </c>
      <c r="AA226" s="385">
        <f t="shared" si="33"/>
        <v>3153.8399999999997</v>
      </c>
      <c r="AB226" s="385">
        <v>430.02</v>
      </c>
      <c r="AC226" s="381">
        <v>54260</v>
      </c>
      <c r="AD226" s="385">
        <v>47.78</v>
      </c>
      <c r="AE226" s="381" t="s">
        <v>944</v>
      </c>
      <c r="AF226" s="383"/>
      <c r="AG226" s="383"/>
      <c r="AH226" s="383" t="s">
        <v>57</v>
      </c>
      <c r="AI226" s="383" t="s">
        <v>4442</v>
      </c>
      <c r="AJ226" s="383" t="s">
        <v>4443</v>
      </c>
      <c r="AK226" s="389" t="s">
        <v>4437</v>
      </c>
      <c r="AL226" s="389"/>
      <c r="AM226" s="389" t="s">
        <v>1019</v>
      </c>
      <c r="AN226" s="393">
        <f t="shared" si="34"/>
        <v>4</v>
      </c>
      <c r="AO226" s="393">
        <f t="shared" si="35"/>
        <v>2023</v>
      </c>
      <c r="AP226" s="394">
        <f t="shared" si="36"/>
        <v>2030</v>
      </c>
      <c r="AQ226" s="395">
        <f t="shared" si="37"/>
        <v>2030.3333333333333</v>
      </c>
      <c r="AR226" s="396">
        <f t="shared" si="38"/>
        <v>47.784642857142849</v>
      </c>
      <c r="AS226" s="397">
        <f t="shared" si="39"/>
        <v>573.41571428571422</v>
      </c>
      <c r="AT226" s="397">
        <f t="shared" si="40"/>
        <v>573.41571428571422</v>
      </c>
      <c r="AU226" s="397">
        <f t="shared" si="41"/>
        <v>573.41571428571478</v>
      </c>
      <c r="AV226" s="397">
        <f t="shared" si="42"/>
        <v>1146.8314285714291</v>
      </c>
      <c r="AW226" s="398">
        <f t="shared" si="43"/>
        <v>2867.0785714285707</v>
      </c>
      <c r="AX226" s="386" t="s">
        <v>62</v>
      </c>
    </row>
    <row r="227" spans="2:50" ht="15.75" outlineLevel="1">
      <c r="B227" s="381">
        <v>2111</v>
      </c>
      <c r="C227" s="382">
        <v>305542</v>
      </c>
      <c r="D227" s="381">
        <v>304390</v>
      </c>
      <c r="E227" s="383" t="s">
        <v>4240</v>
      </c>
      <c r="F227" s="392" t="s">
        <v>4377</v>
      </c>
      <c r="G227" s="392"/>
      <c r="H227" s="392"/>
      <c r="I227" s="381">
        <v>1</v>
      </c>
      <c r="J227" s="383"/>
      <c r="K227" s="381">
        <v>0</v>
      </c>
      <c r="L227" s="383"/>
      <c r="M227" s="383"/>
      <c r="N227" s="383" t="s">
        <v>4451</v>
      </c>
      <c r="O227" s="383" t="s">
        <v>4441</v>
      </c>
      <c r="P227" s="383"/>
      <c r="Q227" s="383"/>
      <c r="R227" s="383"/>
      <c r="S227" s="384">
        <v>44992</v>
      </c>
      <c r="T227" s="384">
        <v>44992</v>
      </c>
      <c r="U227" s="383" t="s">
        <v>4378</v>
      </c>
      <c r="V227" s="381">
        <v>500</v>
      </c>
      <c r="W227" s="381">
        <v>14070</v>
      </c>
      <c r="X227" s="385">
        <v>4116.12</v>
      </c>
      <c r="Y227" s="381">
        <v>14076</v>
      </c>
      <c r="Z227" s="385">
        <v>1303.4100000000001</v>
      </c>
      <c r="AA227" s="385">
        <f t="shared" si="33"/>
        <v>2812.71</v>
      </c>
      <c r="AB227" s="385">
        <v>617.4</v>
      </c>
      <c r="AC227" s="381">
        <v>51260</v>
      </c>
      <c r="AD227" s="385">
        <v>68.599999999999994</v>
      </c>
      <c r="AE227" s="381" t="s">
        <v>944</v>
      </c>
      <c r="AF227" s="383"/>
      <c r="AG227" s="383"/>
      <c r="AH227" s="383" t="s">
        <v>57</v>
      </c>
      <c r="AI227" s="383" t="s">
        <v>4442</v>
      </c>
      <c r="AJ227" s="383" t="s">
        <v>4443</v>
      </c>
      <c r="AK227" s="389" t="s">
        <v>4437</v>
      </c>
      <c r="AL227" s="389"/>
      <c r="AM227" s="389" t="s">
        <v>1341</v>
      </c>
      <c r="AN227" s="393">
        <f t="shared" si="34"/>
        <v>3</v>
      </c>
      <c r="AO227" s="393">
        <f t="shared" si="35"/>
        <v>2023</v>
      </c>
      <c r="AP227" s="394">
        <f t="shared" si="36"/>
        <v>2028</v>
      </c>
      <c r="AQ227" s="395">
        <f t="shared" si="37"/>
        <v>2028.25</v>
      </c>
      <c r="AR227" s="396">
        <f t="shared" si="38"/>
        <v>68.60199999999999</v>
      </c>
      <c r="AS227" s="397">
        <f t="shared" si="39"/>
        <v>823.22399999999993</v>
      </c>
      <c r="AT227" s="397">
        <f t="shared" si="40"/>
        <v>823.22399999999993</v>
      </c>
      <c r="AU227" s="397">
        <f t="shared" si="41"/>
        <v>891.82599999993818</v>
      </c>
      <c r="AV227" s="397">
        <f t="shared" si="42"/>
        <v>1715.0499999999381</v>
      </c>
      <c r="AW227" s="398">
        <f t="shared" si="43"/>
        <v>2401.0700000000616</v>
      </c>
      <c r="AX227" s="386" t="s">
        <v>62</v>
      </c>
    </row>
    <row r="228" spans="2:50" ht="15.75" outlineLevel="1">
      <c r="B228" s="381">
        <v>2111</v>
      </c>
      <c r="C228" s="382">
        <v>305503</v>
      </c>
      <c r="D228" s="381">
        <v>291161</v>
      </c>
      <c r="E228" s="383" t="s">
        <v>4240</v>
      </c>
      <c r="F228" s="392" t="s">
        <v>1077</v>
      </c>
      <c r="G228" s="392"/>
      <c r="H228" s="392"/>
      <c r="I228" s="381">
        <v>1</v>
      </c>
      <c r="J228" s="383"/>
      <c r="K228" s="381">
        <v>0</v>
      </c>
      <c r="L228" s="383"/>
      <c r="M228" s="383"/>
      <c r="N228" s="383" t="s">
        <v>4462</v>
      </c>
      <c r="O228" s="383" t="s">
        <v>4441</v>
      </c>
      <c r="P228" s="383"/>
      <c r="Q228" s="383"/>
      <c r="R228" s="383"/>
      <c r="S228" s="384">
        <v>44928</v>
      </c>
      <c r="T228" s="384">
        <v>44928</v>
      </c>
      <c r="U228" s="383" t="s">
        <v>4379</v>
      </c>
      <c r="V228" s="381">
        <v>1000</v>
      </c>
      <c r="W228" s="381">
        <v>14010</v>
      </c>
      <c r="X228" s="385">
        <v>154.9</v>
      </c>
      <c r="Y228" s="381">
        <v>14016</v>
      </c>
      <c r="Z228" s="385">
        <v>27.09</v>
      </c>
      <c r="AA228" s="385">
        <f t="shared" si="33"/>
        <v>127.81</v>
      </c>
      <c r="AB228" s="385">
        <v>11.61</v>
      </c>
      <c r="AC228" s="381">
        <v>57260</v>
      </c>
      <c r="AD228" s="385">
        <v>1.29</v>
      </c>
      <c r="AE228" s="381" t="s">
        <v>944</v>
      </c>
      <c r="AF228" s="383"/>
      <c r="AG228" s="383"/>
      <c r="AH228" s="383" t="s">
        <v>57</v>
      </c>
      <c r="AI228" s="383" t="s">
        <v>4442</v>
      </c>
      <c r="AJ228" s="383" t="s">
        <v>4443</v>
      </c>
      <c r="AK228" s="389" t="s">
        <v>4437</v>
      </c>
      <c r="AL228" s="389"/>
      <c r="AM228" s="389" t="s">
        <v>1077</v>
      </c>
      <c r="AN228" s="393">
        <f t="shared" si="34"/>
        <v>1</v>
      </c>
      <c r="AO228" s="393">
        <f t="shared" si="35"/>
        <v>2023</v>
      </c>
      <c r="AP228" s="394">
        <f t="shared" si="36"/>
        <v>2033</v>
      </c>
      <c r="AQ228" s="395">
        <f t="shared" si="37"/>
        <v>2033.0833333333333</v>
      </c>
      <c r="AR228" s="396">
        <f t="shared" si="38"/>
        <v>1.2908333333333333</v>
      </c>
      <c r="AS228" s="397">
        <f t="shared" si="39"/>
        <v>15.489999999999998</v>
      </c>
      <c r="AT228" s="397">
        <f t="shared" si="40"/>
        <v>15.489999999999998</v>
      </c>
      <c r="AU228" s="397">
        <f t="shared" si="41"/>
        <v>19.362500000000011</v>
      </c>
      <c r="AV228" s="397">
        <f t="shared" si="42"/>
        <v>34.852500000000006</v>
      </c>
      <c r="AW228" s="398">
        <f t="shared" si="43"/>
        <v>120.0475</v>
      </c>
      <c r="AX228" s="386" t="s">
        <v>62</v>
      </c>
    </row>
    <row r="229" spans="2:50" ht="15.75" outlineLevel="1">
      <c r="B229" s="381">
        <v>2111</v>
      </c>
      <c r="C229" s="382">
        <v>305425</v>
      </c>
      <c r="D229" s="381" t="s">
        <v>944</v>
      </c>
      <c r="E229" s="383" t="s">
        <v>4240</v>
      </c>
      <c r="F229" s="392" t="s">
        <v>4350</v>
      </c>
      <c r="G229" s="392"/>
      <c r="H229" s="392"/>
      <c r="I229" s="381">
        <v>1</v>
      </c>
      <c r="J229" s="383" t="s">
        <v>4362</v>
      </c>
      <c r="K229" s="381">
        <v>2023</v>
      </c>
      <c r="L229" s="383"/>
      <c r="M229" s="383"/>
      <c r="N229" s="383" t="s">
        <v>4445</v>
      </c>
      <c r="O229" s="383" t="s">
        <v>4441</v>
      </c>
      <c r="P229" s="383" t="s">
        <v>4463</v>
      </c>
      <c r="Q229" s="383"/>
      <c r="R229" s="383"/>
      <c r="S229" s="384">
        <v>45065</v>
      </c>
      <c r="T229" s="384">
        <v>45065</v>
      </c>
      <c r="U229" s="383" t="s">
        <v>4364</v>
      </c>
      <c r="V229" s="381">
        <v>1000</v>
      </c>
      <c r="W229" s="381">
        <v>14040</v>
      </c>
      <c r="X229" s="385">
        <v>196281.06</v>
      </c>
      <c r="Y229" s="381">
        <v>14046</v>
      </c>
      <c r="Z229" s="385">
        <v>26170.85</v>
      </c>
      <c r="AA229" s="385">
        <f t="shared" ref="AA229:AA292" si="44">+X229-Z229</f>
        <v>170110.21</v>
      </c>
      <c r="AB229" s="385">
        <v>14721.12</v>
      </c>
      <c r="AC229" s="381">
        <v>51260</v>
      </c>
      <c r="AD229" s="385">
        <v>1635.68</v>
      </c>
      <c r="AE229" s="381" t="s">
        <v>944</v>
      </c>
      <c r="AF229" s="383"/>
      <c r="AG229" s="383"/>
      <c r="AH229" s="383" t="s">
        <v>57</v>
      </c>
      <c r="AI229" s="383" t="s">
        <v>4442</v>
      </c>
      <c r="AJ229" s="383" t="s">
        <v>4443</v>
      </c>
      <c r="AK229" s="389" t="s">
        <v>4437</v>
      </c>
      <c r="AL229" s="389"/>
      <c r="AM229" s="389" t="s">
        <v>3939</v>
      </c>
      <c r="AN229" s="393">
        <f t="shared" ref="AN229:AN292" si="45">MONTH($S229)</f>
        <v>5</v>
      </c>
      <c r="AO229" s="393">
        <f t="shared" ref="AO229:AO292" si="46">YEAR($S229)</f>
        <v>2023</v>
      </c>
      <c r="AP229" s="394">
        <f t="shared" ref="AP229:AP292" si="47">$AO229+($V229/100)</f>
        <v>2033</v>
      </c>
      <c r="AQ229" s="395">
        <f t="shared" ref="AQ229:AQ292" si="48">$AP229+($AN229/12)</f>
        <v>2033.4166666666667</v>
      </c>
      <c r="AR229" s="396">
        <f t="shared" ref="AR229:AR292" si="49">IFERROR($X229/($V229/100)/12,0)</f>
        <v>1635.6755000000001</v>
      </c>
      <c r="AS229" s="397">
        <f t="shared" ref="AS229:AS292" si="50">$AR229*12</f>
        <v>19628.106</v>
      </c>
      <c r="AT229" s="397">
        <f t="shared" ref="AT229:AT292" si="51">IF(AQ229&lt;=$AK$12,0,AS229)</f>
        <v>19628.106</v>
      </c>
      <c r="AU229" s="397">
        <f t="shared" ref="AU229:AU292" si="52">IF(AQ229&lt;=$AK$13,X229,IF(((AO229+AN229/12))&gt;=$AK$13,0,((X229-((AQ229-$AK$13)*12)*AR229))))</f>
        <v>17992.430499997019</v>
      </c>
      <c r="AV229" s="397">
        <f t="shared" ref="AV229:AV292" si="53">IF(AQ229&lt;=$AK$12,X229,AT229+AU229)</f>
        <v>37620.536499997019</v>
      </c>
      <c r="AW229" s="398">
        <f t="shared" ref="AW229:AW292" si="54">+X229-AV229</f>
        <v>158660.52350000298</v>
      </c>
      <c r="AX229" s="386" t="s">
        <v>62</v>
      </c>
    </row>
    <row r="230" spans="2:50" ht="15.75" outlineLevel="1">
      <c r="B230" s="381">
        <v>2111</v>
      </c>
      <c r="C230" s="382">
        <v>305299</v>
      </c>
      <c r="D230" s="381" t="s">
        <v>944</v>
      </c>
      <c r="E230" s="383" t="s">
        <v>4240</v>
      </c>
      <c r="F230" s="392" t="s">
        <v>3716</v>
      </c>
      <c r="G230" s="392"/>
      <c r="H230" s="392"/>
      <c r="I230" s="381">
        <v>8</v>
      </c>
      <c r="J230" s="383"/>
      <c r="K230" s="381">
        <v>0</v>
      </c>
      <c r="L230" s="383" t="s">
        <v>4354</v>
      </c>
      <c r="M230" s="383"/>
      <c r="N230" s="383" t="s">
        <v>4446</v>
      </c>
      <c r="O230" s="383" t="s">
        <v>4441</v>
      </c>
      <c r="P230" s="383"/>
      <c r="Q230" s="383" t="s">
        <v>4459</v>
      </c>
      <c r="R230" s="383" t="s">
        <v>4450</v>
      </c>
      <c r="S230" s="384">
        <v>44994</v>
      </c>
      <c r="T230" s="384">
        <v>44994</v>
      </c>
      <c r="U230" s="383" t="s">
        <v>4356</v>
      </c>
      <c r="V230" s="381">
        <v>1200</v>
      </c>
      <c r="W230" s="381">
        <v>14050</v>
      </c>
      <c r="X230" s="385">
        <v>7480</v>
      </c>
      <c r="Y230" s="381">
        <v>14056</v>
      </c>
      <c r="Z230" s="385">
        <v>986.91</v>
      </c>
      <c r="AA230" s="385">
        <f t="shared" si="44"/>
        <v>6493.09</v>
      </c>
      <c r="AB230" s="385">
        <v>467.46</v>
      </c>
      <c r="AC230" s="381">
        <v>54260</v>
      </c>
      <c r="AD230" s="385">
        <v>51.94</v>
      </c>
      <c r="AE230" s="381" t="s">
        <v>944</v>
      </c>
      <c r="AF230" s="383"/>
      <c r="AG230" s="383"/>
      <c r="AH230" s="383" t="s">
        <v>57</v>
      </c>
      <c r="AI230" s="383" t="s">
        <v>4442</v>
      </c>
      <c r="AJ230" s="383" t="s">
        <v>4443</v>
      </c>
      <c r="AK230" s="389" t="s">
        <v>4437</v>
      </c>
      <c r="AL230" s="389"/>
      <c r="AM230" s="389" t="s">
        <v>1341</v>
      </c>
      <c r="AN230" s="393">
        <f t="shared" si="45"/>
        <v>3</v>
      </c>
      <c r="AO230" s="393">
        <f t="shared" si="46"/>
        <v>2023</v>
      </c>
      <c r="AP230" s="394">
        <f t="shared" si="47"/>
        <v>2035</v>
      </c>
      <c r="AQ230" s="395">
        <f t="shared" si="48"/>
        <v>2035.25</v>
      </c>
      <c r="AR230" s="396">
        <f t="shared" si="49"/>
        <v>51.94444444444445</v>
      </c>
      <c r="AS230" s="397">
        <f t="shared" si="50"/>
        <v>623.33333333333337</v>
      </c>
      <c r="AT230" s="397">
        <f t="shared" si="51"/>
        <v>623.33333333333337</v>
      </c>
      <c r="AU230" s="397">
        <f t="shared" si="52"/>
        <v>675.27777777773008</v>
      </c>
      <c r="AV230" s="397">
        <f t="shared" si="53"/>
        <v>1298.6111111110636</v>
      </c>
      <c r="AW230" s="398">
        <f t="shared" si="54"/>
        <v>6181.388888888936</v>
      </c>
      <c r="AX230" s="386" t="s">
        <v>62</v>
      </c>
    </row>
    <row r="231" spans="2:50" ht="15.75" outlineLevel="1">
      <c r="B231" s="381">
        <v>2111</v>
      </c>
      <c r="C231" s="382">
        <v>305298</v>
      </c>
      <c r="D231" s="381" t="s">
        <v>944</v>
      </c>
      <c r="E231" s="383" t="s">
        <v>4240</v>
      </c>
      <c r="F231" s="392" t="s">
        <v>3716</v>
      </c>
      <c r="G231" s="392"/>
      <c r="H231" s="392"/>
      <c r="I231" s="381">
        <v>16</v>
      </c>
      <c r="J231" s="383"/>
      <c r="K231" s="381">
        <v>0</v>
      </c>
      <c r="L231" s="383" t="s">
        <v>4354</v>
      </c>
      <c r="M231" s="383"/>
      <c r="N231" s="383" t="s">
        <v>4446</v>
      </c>
      <c r="O231" s="383" t="s">
        <v>4441</v>
      </c>
      <c r="P231" s="383"/>
      <c r="Q231" s="383" t="s">
        <v>4459</v>
      </c>
      <c r="R231" s="383" t="s">
        <v>4450</v>
      </c>
      <c r="S231" s="384">
        <v>44994</v>
      </c>
      <c r="T231" s="384">
        <v>44994</v>
      </c>
      <c r="U231" s="383" t="s">
        <v>4356</v>
      </c>
      <c r="V231" s="381">
        <v>1200</v>
      </c>
      <c r="W231" s="381">
        <v>14050</v>
      </c>
      <c r="X231" s="385">
        <v>14960</v>
      </c>
      <c r="Y231" s="381">
        <v>14056</v>
      </c>
      <c r="Z231" s="385">
        <v>1973.9</v>
      </c>
      <c r="AA231" s="385">
        <f t="shared" si="44"/>
        <v>12986.1</v>
      </c>
      <c r="AB231" s="385">
        <v>935.01</v>
      </c>
      <c r="AC231" s="381">
        <v>54260</v>
      </c>
      <c r="AD231" s="385">
        <v>103.89</v>
      </c>
      <c r="AE231" s="381" t="s">
        <v>944</v>
      </c>
      <c r="AF231" s="383"/>
      <c r="AG231" s="383"/>
      <c r="AH231" s="383" t="s">
        <v>57</v>
      </c>
      <c r="AI231" s="383" t="s">
        <v>4442</v>
      </c>
      <c r="AJ231" s="383" t="s">
        <v>4443</v>
      </c>
      <c r="AK231" s="389" t="s">
        <v>4437</v>
      </c>
      <c r="AL231" s="389"/>
      <c r="AM231" s="389" t="s">
        <v>1341</v>
      </c>
      <c r="AN231" s="393">
        <f t="shared" si="45"/>
        <v>3</v>
      </c>
      <c r="AO231" s="393">
        <f t="shared" si="46"/>
        <v>2023</v>
      </c>
      <c r="AP231" s="394">
        <f t="shared" si="47"/>
        <v>2035</v>
      </c>
      <c r="AQ231" s="395">
        <f t="shared" si="48"/>
        <v>2035.25</v>
      </c>
      <c r="AR231" s="396">
        <f t="shared" si="49"/>
        <v>103.8888888888889</v>
      </c>
      <c r="AS231" s="397">
        <f t="shared" si="50"/>
        <v>1246.6666666666667</v>
      </c>
      <c r="AT231" s="397">
        <f t="shared" si="51"/>
        <v>1246.6666666666667</v>
      </c>
      <c r="AU231" s="397">
        <f t="shared" si="52"/>
        <v>1350.5555555554602</v>
      </c>
      <c r="AV231" s="397">
        <f t="shared" si="53"/>
        <v>2597.2222222221271</v>
      </c>
      <c r="AW231" s="398">
        <f t="shared" si="54"/>
        <v>12362.777777777872</v>
      </c>
      <c r="AX231" s="386" t="s">
        <v>62</v>
      </c>
    </row>
    <row r="232" spans="2:50" ht="15.75" outlineLevel="1">
      <c r="B232" s="381">
        <v>2111</v>
      </c>
      <c r="C232" s="382">
        <v>304392</v>
      </c>
      <c r="D232" s="381">
        <v>304390</v>
      </c>
      <c r="E232" s="383" t="s">
        <v>4240</v>
      </c>
      <c r="F232" s="392" t="s">
        <v>4380</v>
      </c>
      <c r="G232" s="392"/>
      <c r="H232" s="392"/>
      <c r="I232" s="381">
        <v>1</v>
      </c>
      <c r="J232" s="383"/>
      <c r="K232" s="381">
        <v>0</v>
      </c>
      <c r="L232" s="383" t="s">
        <v>4381</v>
      </c>
      <c r="M232" s="383"/>
      <c r="N232" s="383" t="s">
        <v>4451</v>
      </c>
      <c r="O232" s="383" t="s">
        <v>4441</v>
      </c>
      <c r="P232" s="383"/>
      <c r="Q232" s="383"/>
      <c r="R232" s="383"/>
      <c r="S232" s="384">
        <v>45012</v>
      </c>
      <c r="T232" s="384">
        <v>45012</v>
      </c>
      <c r="U232" s="383" t="s">
        <v>4378</v>
      </c>
      <c r="V232" s="381">
        <v>500</v>
      </c>
      <c r="W232" s="381">
        <v>14070</v>
      </c>
      <c r="X232" s="385">
        <v>1370.93</v>
      </c>
      <c r="Y232" s="381">
        <v>14076</v>
      </c>
      <c r="Z232" s="385">
        <v>411.29</v>
      </c>
      <c r="AA232" s="385">
        <f t="shared" si="44"/>
        <v>959.6400000000001</v>
      </c>
      <c r="AB232" s="385">
        <v>205.65</v>
      </c>
      <c r="AC232" s="381">
        <v>51260</v>
      </c>
      <c r="AD232" s="385">
        <v>22.85</v>
      </c>
      <c r="AE232" s="381" t="s">
        <v>944</v>
      </c>
      <c r="AF232" s="383"/>
      <c r="AG232" s="383"/>
      <c r="AH232" s="383" t="s">
        <v>57</v>
      </c>
      <c r="AI232" s="383" t="s">
        <v>4442</v>
      </c>
      <c r="AJ232" s="383" t="s">
        <v>4443</v>
      </c>
      <c r="AK232" s="389" t="s">
        <v>4437</v>
      </c>
      <c r="AL232" s="389"/>
      <c r="AM232" s="389" t="s">
        <v>136</v>
      </c>
      <c r="AN232" s="393">
        <f t="shared" si="45"/>
        <v>3</v>
      </c>
      <c r="AO232" s="393">
        <f t="shared" si="46"/>
        <v>2023</v>
      </c>
      <c r="AP232" s="394">
        <f t="shared" si="47"/>
        <v>2028</v>
      </c>
      <c r="AQ232" s="395">
        <f t="shared" si="48"/>
        <v>2028.25</v>
      </c>
      <c r="AR232" s="396">
        <f t="shared" si="49"/>
        <v>22.848833333333335</v>
      </c>
      <c r="AS232" s="397">
        <f t="shared" si="50"/>
        <v>274.18600000000004</v>
      </c>
      <c r="AT232" s="397">
        <f t="shared" si="51"/>
        <v>274.18600000000004</v>
      </c>
      <c r="AU232" s="397">
        <f t="shared" si="52"/>
        <v>297.03483333331246</v>
      </c>
      <c r="AV232" s="397">
        <f t="shared" si="53"/>
        <v>571.2208333333125</v>
      </c>
      <c r="AW232" s="398">
        <f t="shared" si="54"/>
        <v>799.70916666668757</v>
      </c>
      <c r="AX232" s="386" t="s">
        <v>62</v>
      </c>
    </row>
    <row r="233" spans="2:50" ht="15.75" outlineLevel="1">
      <c r="B233" s="381">
        <v>2111</v>
      </c>
      <c r="C233" s="382">
        <v>304391</v>
      </c>
      <c r="D233" s="381">
        <v>301652</v>
      </c>
      <c r="E233" s="383" t="s">
        <v>4240</v>
      </c>
      <c r="F233" s="392" t="s">
        <v>4380</v>
      </c>
      <c r="G233" s="392"/>
      <c r="H233" s="392"/>
      <c r="I233" s="381">
        <v>1</v>
      </c>
      <c r="J233" s="383"/>
      <c r="K233" s="381">
        <v>0</v>
      </c>
      <c r="L233" s="383" t="s">
        <v>4381</v>
      </c>
      <c r="M233" s="383"/>
      <c r="N233" s="383" t="s">
        <v>4451</v>
      </c>
      <c r="O233" s="383" t="s">
        <v>4441</v>
      </c>
      <c r="P233" s="383"/>
      <c r="Q233" s="383"/>
      <c r="R233" s="383"/>
      <c r="S233" s="384">
        <v>44974</v>
      </c>
      <c r="T233" s="384">
        <v>44974</v>
      </c>
      <c r="U233" s="383" t="s">
        <v>4382</v>
      </c>
      <c r="V233" s="381">
        <v>500</v>
      </c>
      <c r="W233" s="381">
        <v>14070</v>
      </c>
      <c r="X233" s="385">
        <v>1033</v>
      </c>
      <c r="Y233" s="381">
        <v>14076</v>
      </c>
      <c r="Z233" s="385">
        <v>327.14999999999998</v>
      </c>
      <c r="AA233" s="385">
        <f t="shared" si="44"/>
        <v>705.85</v>
      </c>
      <c r="AB233" s="385">
        <v>154.97999999999999</v>
      </c>
      <c r="AC233" s="381">
        <v>51260</v>
      </c>
      <c r="AD233" s="385">
        <v>17.22</v>
      </c>
      <c r="AE233" s="381" t="s">
        <v>944</v>
      </c>
      <c r="AF233" s="383"/>
      <c r="AG233" s="383"/>
      <c r="AH233" s="383" t="s">
        <v>57</v>
      </c>
      <c r="AI233" s="383" t="s">
        <v>4442</v>
      </c>
      <c r="AJ233" s="383" t="s">
        <v>4443</v>
      </c>
      <c r="AK233" s="389" t="s">
        <v>4437</v>
      </c>
      <c r="AL233" s="389"/>
      <c r="AM233" s="389" t="s">
        <v>136</v>
      </c>
      <c r="AN233" s="393">
        <f t="shared" si="45"/>
        <v>2</v>
      </c>
      <c r="AO233" s="393">
        <f t="shared" si="46"/>
        <v>2023</v>
      </c>
      <c r="AP233" s="394">
        <f t="shared" si="47"/>
        <v>2028</v>
      </c>
      <c r="AQ233" s="395">
        <f t="shared" si="48"/>
        <v>2028.1666666666667</v>
      </c>
      <c r="AR233" s="396">
        <f t="shared" si="49"/>
        <v>17.216666666666665</v>
      </c>
      <c r="AS233" s="397">
        <f t="shared" si="50"/>
        <v>206.59999999999997</v>
      </c>
      <c r="AT233" s="397">
        <f t="shared" si="51"/>
        <v>206.59999999999997</v>
      </c>
      <c r="AU233" s="397">
        <f t="shared" si="52"/>
        <v>241.03333333330204</v>
      </c>
      <c r="AV233" s="397">
        <f t="shared" si="53"/>
        <v>447.63333333330201</v>
      </c>
      <c r="AW233" s="398">
        <f t="shared" si="54"/>
        <v>585.36666666669794</v>
      </c>
      <c r="AX233" s="386" t="s">
        <v>62</v>
      </c>
    </row>
    <row r="234" spans="2:50" ht="15.75" outlineLevel="1">
      <c r="B234" s="381">
        <v>2111</v>
      </c>
      <c r="C234" s="382">
        <v>304390</v>
      </c>
      <c r="D234" s="381" t="s">
        <v>944</v>
      </c>
      <c r="E234" s="383" t="s">
        <v>4240</v>
      </c>
      <c r="F234" s="392" t="s">
        <v>4377</v>
      </c>
      <c r="G234" s="392"/>
      <c r="H234" s="392"/>
      <c r="I234" s="381">
        <v>1</v>
      </c>
      <c r="J234" s="383"/>
      <c r="K234" s="381">
        <v>0</v>
      </c>
      <c r="L234" s="383" t="s">
        <v>4381</v>
      </c>
      <c r="M234" s="383"/>
      <c r="N234" s="383" t="s">
        <v>4451</v>
      </c>
      <c r="O234" s="383" t="s">
        <v>4441</v>
      </c>
      <c r="P234" s="383"/>
      <c r="Q234" s="383"/>
      <c r="R234" s="383"/>
      <c r="S234" s="384">
        <v>45012</v>
      </c>
      <c r="T234" s="384">
        <v>45012</v>
      </c>
      <c r="U234" s="383" t="s">
        <v>4378</v>
      </c>
      <c r="V234" s="381">
        <v>500</v>
      </c>
      <c r="W234" s="381">
        <v>14070</v>
      </c>
      <c r="X234" s="385">
        <v>3214.81</v>
      </c>
      <c r="Y234" s="381">
        <v>14076</v>
      </c>
      <c r="Z234" s="385">
        <v>964.44</v>
      </c>
      <c r="AA234" s="385">
        <f t="shared" si="44"/>
        <v>2250.37</v>
      </c>
      <c r="AB234" s="385">
        <v>482.22</v>
      </c>
      <c r="AC234" s="381">
        <v>51260</v>
      </c>
      <c r="AD234" s="385">
        <v>53.58</v>
      </c>
      <c r="AE234" s="381" t="s">
        <v>944</v>
      </c>
      <c r="AF234" s="383"/>
      <c r="AG234" s="383"/>
      <c r="AH234" s="383" t="s">
        <v>57</v>
      </c>
      <c r="AI234" s="383" t="s">
        <v>4442</v>
      </c>
      <c r="AJ234" s="383" t="s">
        <v>4443</v>
      </c>
      <c r="AK234" s="389" t="s">
        <v>4437</v>
      </c>
      <c r="AL234" s="389"/>
      <c r="AM234" s="389" t="s">
        <v>1341</v>
      </c>
      <c r="AN234" s="393">
        <f t="shared" si="45"/>
        <v>3</v>
      </c>
      <c r="AO234" s="393">
        <f t="shared" si="46"/>
        <v>2023</v>
      </c>
      <c r="AP234" s="394">
        <f t="shared" si="47"/>
        <v>2028</v>
      </c>
      <c r="AQ234" s="395">
        <f t="shared" si="48"/>
        <v>2028.25</v>
      </c>
      <c r="AR234" s="396">
        <f t="shared" si="49"/>
        <v>53.580166666666663</v>
      </c>
      <c r="AS234" s="397">
        <f t="shared" si="50"/>
        <v>642.96199999999999</v>
      </c>
      <c r="AT234" s="397">
        <f t="shared" si="51"/>
        <v>642.96199999999999</v>
      </c>
      <c r="AU234" s="397">
        <f t="shared" si="52"/>
        <v>696.54216666661796</v>
      </c>
      <c r="AV234" s="397">
        <f t="shared" si="53"/>
        <v>1339.5041666666179</v>
      </c>
      <c r="AW234" s="398">
        <f t="shared" si="54"/>
        <v>1875.305833333382</v>
      </c>
      <c r="AX234" s="386" t="s">
        <v>62</v>
      </c>
    </row>
    <row r="235" spans="2:50" ht="15.75" outlineLevel="1">
      <c r="B235" s="381">
        <v>2111</v>
      </c>
      <c r="C235" s="382">
        <v>304231</v>
      </c>
      <c r="D235" s="381">
        <v>102169</v>
      </c>
      <c r="E235" s="383" t="s">
        <v>4240</v>
      </c>
      <c r="F235" s="392" t="s">
        <v>4383</v>
      </c>
      <c r="G235" s="392"/>
      <c r="H235" s="392"/>
      <c r="I235" s="381">
        <v>1</v>
      </c>
      <c r="J235" s="383"/>
      <c r="K235" s="381">
        <v>0</v>
      </c>
      <c r="L235" s="383" t="s">
        <v>4384</v>
      </c>
      <c r="M235" s="383"/>
      <c r="N235" s="383" t="s">
        <v>4445</v>
      </c>
      <c r="O235" s="383" t="s">
        <v>4441</v>
      </c>
      <c r="P235" s="383" t="s">
        <v>1467</v>
      </c>
      <c r="Q235" s="383"/>
      <c r="R235" s="383"/>
      <c r="S235" s="384">
        <v>45037</v>
      </c>
      <c r="T235" s="384">
        <v>45037</v>
      </c>
      <c r="U235" s="383" t="s">
        <v>4385</v>
      </c>
      <c r="V235" s="381">
        <v>300</v>
      </c>
      <c r="W235" s="381">
        <v>14040</v>
      </c>
      <c r="X235" s="385">
        <v>43585.65</v>
      </c>
      <c r="Y235" s="381">
        <v>14046</v>
      </c>
      <c r="Z235" s="385">
        <v>20582.080000000002</v>
      </c>
      <c r="AA235" s="385">
        <f t="shared" si="44"/>
        <v>23003.57</v>
      </c>
      <c r="AB235" s="385">
        <v>10896.39</v>
      </c>
      <c r="AC235" s="381">
        <v>51260</v>
      </c>
      <c r="AD235" s="385">
        <v>1210.71</v>
      </c>
      <c r="AE235" s="381" t="s">
        <v>944</v>
      </c>
      <c r="AF235" s="383"/>
      <c r="AG235" s="383"/>
      <c r="AH235" s="383" t="s">
        <v>57</v>
      </c>
      <c r="AI235" s="383" t="s">
        <v>4442</v>
      </c>
      <c r="AJ235" s="383" t="s">
        <v>4443</v>
      </c>
      <c r="AK235" s="389" t="s">
        <v>4437</v>
      </c>
      <c r="AL235" s="389"/>
      <c r="AM235" s="389" t="s">
        <v>3939</v>
      </c>
      <c r="AN235" s="393">
        <f t="shared" si="45"/>
        <v>4</v>
      </c>
      <c r="AO235" s="393">
        <f t="shared" si="46"/>
        <v>2023</v>
      </c>
      <c r="AP235" s="394">
        <f t="shared" si="47"/>
        <v>2026</v>
      </c>
      <c r="AQ235" s="395">
        <f t="shared" si="48"/>
        <v>2026.3333333333333</v>
      </c>
      <c r="AR235" s="396">
        <f t="shared" si="49"/>
        <v>1210.7125000000001</v>
      </c>
      <c r="AS235" s="397">
        <f t="shared" si="50"/>
        <v>14528.550000000001</v>
      </c>
      <c r="AT235" s="397">
        <f t="shared" si="51"/>
        <v>14528.550000000001</v>
      </c>
      <c r="AU235" s="397">
        <f t="shared" si="52"/>
        <v>14528.55</v>
      </c>
      <c r="AV235" s="397">
        <f t="shared" si="53"/>
        <v>29057.1</v>
      </c>
      <c r="AW235" s="398">
        <f t="shared" si="54"/>
        <v>14528.550000000003</v>
      </c>
      <c r="AX235" s="386" t="s">
        <v>62</v>
      </c>
    </row>
    <row r="236" spans="2:50" ht="15.75" outlineLevel="1">
      <c r="B236" s="381">
        <v>2111</v>
      </c>
      <c r="C236" s="382">
        <v>303990</v>
      </c>
      <c r="D236" s="381" t="s">
        <v>944</v>
      </c>
      <c r="E236" s="383" t="s">
        <v>4240</v>
      </c>
      <c r="F236" s="392" t="s">
        <v>4386</v>
      </c>
      <c r="G236" s="392"/>
      <c r="H236" s="392"/>
      <c r="I236" s="381">
        <v>1</v>
      </c>
      <c r="J236" s="383" t="s">
        <v>4387</v>
      </c>
      <c r="K236" s="381">
        <v>2022</v>
      </c>
      <c r="L236" s="383"/>
      <c r="M236" s="383"/>
      <c r="N236" s="383" t="s">
        <v>4445</v>
      </c>
      <c r="O236" s="383" t="s">
        <v>4441</v>
      </c>
      <c r="P236" s="383" t="s">
        <v>4463</v>
      </c>
      <c r="Q236" s="383"/>
      <c r="R236" s="383"/>
      <c r="S236" s="384">
        <v>45030</v>
      </c>
      <c r="T236" s="384">
        <v>45030</v>
      </c>
      <c r="U236" s="383" t="s">
        <v>4388</v>
      </c>
      <c r="V236" s="381">
        <v>1000</v>
      </c>
      <c r="W236" s="381">
        <v>14040</v>
      </c>
      <c r="X236" s="385">
        <v>215072.21</v>
      </c>
      <c r="Y236" s="381">
        <v>14046</v>
      </c>
      <c r="Z236" s="385">
        <v>32260.85</v>
      </c>
      <c r="AA236" s="385">
        <f t="shared" si="44"/>
        <v>182811.36</v>
      </c>
      <c r="AB236" s="385">
        <v>16130.43</v>
      </c>
      <c r="AC236" s="381">
        <v>51260</v>
      </c>
      <c r="AD236" s="385">
        <v>1792.27</v>
      </c>
      <c r="AE236" s="381" t="s">
        <v>944</v>
      </c>
      <c r="AF236" s="383"/>
      <c r="AG236" s="383"/>
      <c r="AH236" s="383" t="s">
        <v>57</v>
      </c>
      <c r="AI236" s="383" t="s">
        <v>4442</v>
      </c>
      <c r="AJ236" s="383" t="s">
        <v>4443</v>
      </c>
      <c r="AK236" s="389" t="s">
        <v>4437</v>
      </c>
      <c r="AL236" s="389"/>
      <c r="AM236" s="389" t="s">
        <v>3939</v>
      </c>
      <c r="AN236" s="393">
        <f t="shared" si="45"/>
        <v>4</v>
      </c>
      <c r="AO236" s="393">
        <f t="shared" si="46"/>
        <v>2023</v>
      </c>
      <c r="AP236" s="394">
        <f t="shared" si="47"/>
        <v>2033</v>
      </c>
      <c r="AQ236" s="395">
        <f t="shared" si="48"/>
        <v>2033.3333333333333</v>
      </c>
      <c r="AR236" s="396">
        <f t="shared" si="49"/>
        <v>1792.2684166666666</v>
      </c>
      <c r="AS236" s="397">
        <f t="shared" si="50"/>
        <v>21507.220999999998</v>
      </c>
      <c r="AT236" s="397">
        <f t="shared" si="51"/>
        <v>21507.220999999998</v>
      </c>
      <c r="AU236" s="397">
        <f t="shared" si="52"/>
        <v>21507.22099999999</v>
      </c>
      <c r="AV236" s="397">
        <f t="shared" si="53"/>
        <v>43014.441999999988</v>
      </c>
      <c r="AW236" s="398">
        <f t="shared" si="54"/>
        <v>172057.76800000001</v>
      </c>
      <c r="AX236" s="386" t="s">
        <v>62</v>
      </c>
    </row>
    <row r="237" spans="2:50" ht="15.75" outlineLevel="1">
      <c r="B237" s="381">
        <v>2111</v>
      </c>
      <c r="C237" s="382">
        <v>303699</v>
      </c>
      <c r="D237" s="381" t="s">
        <v>944</v>
      </c>
      <c r="E237" s="383" t="s">
        <v>4240</v>
      </c>
      <c r="F237" s="392" t="s">
        <v>4386</v>
      </c>
      <c r="G237" s="392"/>
      <c r="H237" s="392"/>
      <c r="I237" s="381">
        <v>1</v>
      </c>
      <c r="J237" s="383" t="s">
        <v>4389</v>
      </c>
      <c r="K237" s="381">
        <v>2022</v>
      </c>
      <c r="L237" s="383"/>
      <c r="M237" s="383"/>
      <c r="N237" s="383" t="s">
        <v>4445</v>
      </c>
      <c r="O237" s="383" t="s">
        <v>4441</v>
      </c>
      <c r="P237" s="383" t="s">
        <v>4463</v>
      </c>
      <c r="Q237" s="383"/>
      <c r="R237" s="383"/>
      <c r="S237" s="384">
        <v>45030</v>
      </c>
      <c r="T237" s="384">
        <v>45030</v>
      </c>
      <c r="U237" s="383" t="s">
        <v>4390</v>
      </c>
      <c r="V237" s="381">
        <v>1000</v>
      </c>
      <c r="W237" s="381">
        <v>14040</v>
      </c>
      <c r="X237" s="385">
        <v>215072.21</v>
      </c>
      <c r="Y237" s="381">
        <v>14046</v>
      </c>
      <c r="Z237" s="385">
        <v>32260.85</v>
      </c>
      <c r="AA237" s="385">
        <f t="shared" si="44"/>
        <v>182811.36</v>
      </c>
      <c r="AB237" s="385">
        <v>16130.43</v>
      </c>
      <c r="AC237" s="381">
        <v>51260</v>
      </c>
      <c r="AD237" s="385">
        <v>1792.27</v>
      </c>
      <c r="AE237" s="381" t="s">
        <v>944</v>
      </c>
      <c r="AF237" s="383"/>
      <c r="AG237" s="383"/>
      <c r="AH237" s="383" t="s">
        <v>57</v>
      </c>
      <c r="AI237" s="383" t="s">
        <v>4442</v>
      </c>
      <c r="AJ237" s="383" t="s">
        <v>4443</v>
      </c>
      <c r="AK237" s="389" t="s">
        <v>4437</v>
      </c>
      <c r="AL237" s="389"/>
      <c r="AM237" s="389" t="s">
        <v>3939</v>
      </c>
      <c r="AN237" s="393">
        <f t="shared" si="45"/>
        <v>4</v>
      </c>
      <c r="AO237" s="393">
        <f t="shared" si="46"/>
        <v>2023</v>
      </c>
      <c r="AP237" s="394">
        <f t="shared" si="47"/>
        <v>2033</v>
      </c>
      <c r="AQ237" s="395">
        <f t="shared" si="48"/>
        <v>2033.3333333333333</v>
      </c>
      <c r="AR237" s="396">
        <f t="shared" si="49"/>
        <v>1792.2684166666666</v>
      </c>
      <c r="AS237" s="397">
        <f t="shared" si="50"/>
        <v>21507.220999999998</v>
      </c>
      <c r="AT237" s="397">
        <f t="shared" si="51"/>
        <v>21507.220999999998</v>
      </c>
      <c r="AU237" s="397">
        <f t="shared" si="52"/>
        <v>21507.22099999999</v>
      </c>
      <c r="AV237" s="397">
        <f t="shared" si="53"/>
        <v>43014.441999999988</v>
      </c>
      <c r="AW237" s="398">
        <f t="shared" si="54"/>
        <v>172057.76800000001</v>
      </c>
      <c r="AX237" s="386" t="s">
        <v>62</v>
      </c>
    </row>
    <row r="238" spans="2:50" ht="15.75" outlineLevel="1">
      <c r="B238" s="381">
        <v>2111</v>
      </c>
      <c r="C238" s="382">
        <v>303373</v>
      </c>
      <c r="D238" s="381" t="s">
        <v>944</v>
      </c>
      <c r="E238" s="383" t="s">
        <v>4240</v>
      </c>
      <c r="F238" s="392" t="s">
        <v>4391</v>
      </c>
      <c r="G238" s="392"/>
      <c r="H238" s="392"/>
      <c r="I238" s="381">
        <v>9</v>
      </c>
      <c r="J238" s="383"/>
      <c r="K238" s="381">
        <v>0</v>
      </c>
      <c r="L238" s="383" t="s">
        <v>1726</v>
      </c>
      <c r="M238" s="383"/>
      <c r="N238" s="383" t="s">
        <v>4446</v>
      </c>
      <c r="O238" s="383" t="s">
        <v>4441</v>
      </c>
      <c r="P238" s="383"/>
      <c r="Q238" s="383" t="s">
        <v>4464</v>
      </c>
      <c r="R238" s="383" t="s">
        <v>4450</v>
      </c>
      <c r="S238" s="384">
        <v>44994</v>
      </c>
      <c r="T238" s="384">
        <v>44994</v>
      </c>
      <c r="U238" s="383" t="s">
        <v>4356</v>
      </c>
      <c r="V238" s="381">
        <v>1200</v>
      </c>
      <c r="W238" s="381">
        <v>14050</v>
      </c>
      <c r="X238" s="385">
        <v>10444.5</v>
      </c>
      <c r="Y238" s="381">
        <v>14056</v>
      </c>
      <c r="Z238" s="385">
        <v>1378.08</v>
      </c>
      <c r="AA238" s="385">
        <f t="shared" si="44"/>
        <v>9066.42</v>
      </c>
      <c r="AB238" s="385">
        <v>652.77</v>
      </c>
      <c r="AC238" s="381">
        <v>54260</v>
      </c>
      <c r="AD238" s="385">
        <v>72.53</v>
      </c>
      <c r="AE238" s="381" t="s">
        <v>944</v>
      </c>
      <c r="AF238" s="383"/>
      <c r="AG238" s="383"/>
      <c r="AH238" s="383" t="s">
        <v>57</v>
      </c>
      <c r="AI238" s="383" t="s">
        <v>4442</v>
      </c>
      <c r="AJ238" s="383" t="s">
        <v>4443</v>
      </c>
      <c r="AK238" s="389" t="s">
        <v>4437</v>
      </c>
      <c r="AL238" s="389"/>
      <c r="AM238" s="389" t="s">
        <v>1341</v>
      </c>
      <c r="AN238" s="393">
        <f t="shared" si="45"/>
        <v>3</v>
      </c>
      <c r="AO238" s="393">
        <f t="shared" si="46"/>
        <v>2023</v>
      </c>
      <c r="AP238" s="394">
        <f t="shared" si="47"/>
        <v>2035</v>
      </c>
      <c r="AQ238" s="395">
        <f t="shared" si="48"/>
        <v>2035.25</v>
      </c>
      <c r="AR238" s="396">
        <f t="shared" si="49"/>
        <v>72.53125</v>
      </c>
      <c r="AS238" s="397">
        <f t="shared" si="50"/>
        <v>870.375</v>
      </c>
      <c r="AT238" s="397">
        <f t="shared" si="51"/>
        <v>870.375</v>
      </c>
      <c r="AU238" s="397">
        <f t="shared" si="52"/>
        <v>942.90624999993452</v>
      </c>
      <c r="AV238" s="397">
        <f t="shared" si="53"/>
        <v>1813.2812499999345</v>
      </c>
      <c r="AW238" s="398">
        <f t="shared" si="54"/>
        <v>8631.2187500000655</v>
      </c>
      <c r="AX238" s="386" t="s">
        <v>62</v>
      </c>
    </row>
    <row r="239" spans="2:50" ht="15.75" outlineLevel="1">
      <c r="B239" s="381">
        <v>2111</v>
      </c>
      <c r="C239" s="382">
        <v>303372</v>
      </c>
      <c r="D239" s="381" t="s">
        <v>944</v>
      </c>
      <c r="E239" s="383" t="s">
        <v>4240</v>
      </c>
      <c r="F239" s="392" t="s">
        <v>4392</v>
      </c>
      <c r="G239" s="392"/>
      <c r="H239" s="392"/>
      <c r="I239" s="381">
        <v>4</v>
      </c>
      <c r="J239" s="383"/>
      <c r="K239" s="381">
        <v>0</v>
      </c>
      <c r="L239" s="383" t="s">
        <v>1726</v>
      </c>
      <c r="M239" s="383"/>
      <c r="N239" s="383" t="s">
        <v>4446</v>
      </c>
      <c r="O239" s="383" t="s">
        <v>4441</v>
      </c>
      <c r="P239" s="383"/>
      <c r="Q239" s="383" t="s">
        <v>4464</v>
      </c>
      <c r="R239" s="383" t="s">
        <v>4450</v>
      </c>
      <c r="S239" s="384">
        <v>44994</v>
      </c>
      <c r="T239" s="384">
        <v>44994</v>
      </c>
      <c r="U239" s="383" t="s">
        <v>4355</v>
      </c>
      <c r="V239" s="381">
        <v>1200</v>
      </c>
      <c r="W239" s="381">
        <v>14050</v>
      </c>
      <c r="X239" s="385">
        <v>4642</v>
      </c>
      <c r="Y239" s="381">
        <v>14056</v>
      </c>
      <c r="Z239" s="385">
        <v>612.52</v>
      </c>
      <c r="AA239" s="385">
        <f t="shared" si="44"/>
        <v>4029.48</v>
      </c>
      <c r="AB239" s="385">
        <v>290.16000000000003</v>
      </c>
      <c r="AC239" s="381">
        <v>54260</v>
      </c>
      <c r="AD239" s="385">
        <v>32.24</v>
      </c>
      <c r="AE239" s="381" t="s">
        <v>944</v>
      </c>
      <c r="AF239" s="383"/>
      <c r="AG239" s="383"/>
      <c r="AH239" s="383" t="s">
        <v>57</v>
      </c>
      <c r="AI239" s="383" t="s">
        <v>4442</v>
      </c>
      <c r="AJ239" s="383" t="s">
        <v>4443</v>
      </c>
      <c r="AK239" s="389" t="s">
        <v>4437</v>
      </c>
      <c r="AL239" s="389"/>
      <c r="AM239" s="389" t="s">
        <v>1341</v>
      </c>
      <c r="AN239" s="393">
        <f t="shared" si="45"/>
        <v>3</v>
      </c>
      <c r="AO239" s="393">
        <f t="shared" si="46"/>
        <v>2023</v>
      </c>
      <c r="AP239" s="394">
        <f t="shared" si="47"/>
        <v>2035</v>
      </c>
      <c r="AQ239" s="395">
        <f t="shared" si="48"/>
        <v>2035.25</v>
      </c>
      <c r="AR239" s="396">
        <f t="shared" si="49"/>
        <v>32.236111111111107</v>
      </c>
      <c r="AS239" s="397">
        <f t="shared" si="50"/>
        <v>386.83333333333326</v>
      </c>
      <c r="AT239" s="397">
        <f t="shared" si="51"/>
        <v>386.83333333333326</v>
      </c>
      <c r="AU239" s="397">
        <f t="shared" si="52"/>
        <v>419.06944444441524</v>
      </c>
      <c r="AV239" s="397">
        <f t="shared" si="53"/>
        <v>805.9027777777485</v>
      </c>
      <c r="AW239" s="398">
        <f t="shared" si="54"/>
        <v>3836.0972222222517</v>
      </c>
      <c r="AX239" s="386" t="s">
        <v>62</v>
      </c>
    </row>
    <row r="240" spans="2:50" ht="15.75" outlineLevel="1">
      <c r="B240" s="381">
        <v>2111</v>
      </c>
      <c r="C240" s="382">
        <v>303371</v>
      </c>
      <c r="D240" s="381" t="s">
        <v>944</v>
      </c>
      <c r="E240" s="383" t="s">
        <v>4240</v>
      </c>
      <c r="F240" s="392" t="s">
        <v>4392</v>
      </c>
      <c r="G240" s="392"/>
      <c r="H240" s="392"/>
      <c r="I240" s="381">
        <v>10</v>
      </c>
      <c r="J240" s="383"/>
      <c r="K240" s="381">
        <v>0</v>
      </c>
      <c r="L240" s="383" t="s">
        <v>1726</v>
      </c>
      <c r="M240" s="383"/>
      <c r="N240" s="383" t="s">
        <v>4446</v>
      </c>
      <c r="O240" s="383" t="s">
        <v>4441</v>
      </c>
      <c r="P240" s="383"/>
      <c r="Q240" s="383" t="s">
        <v>4464</v>
      </c>
      <c r="R240" s="383" t="s">
        <v>4450</v>
      </c>
      <c r="S240" s="384">
        <v>44994</v>
      </c>
      <c r="T240" s="384">
        <v>44994</v>
      </c>
      <c r="U240" s="383" t="s">
        <v>4355</v>
      </c>
      <c r="V240" s="381">
        <v>1200</v>
      </c>
      <c r="W240" s="381">
        <v>14050</v>
      </c>
      <c r="X240" s="385">
        <v>11605</v>
      </c>
      <c r="Y240" s="381">
        <v>14056</v>
      </c>
      <c r="Z240" s="385">
        <v>1531.21</v>
      </c>
      <c r="AA240" s="385">
        <f t="shared" si="44"/>
        <v>10073.790000000001</v>
      </c>
      <c r="AB240" s="385">
        <v>725.31</v>
      </c>
      <c r="AC240" s="381">
        <v>54260</v>
      </c>
      <c r="AD240" s="385">
        <v>80.59</v>
      </c>
      <c r="AE240" s="381" t="s">
        <v>944</v>
      </c>
      <c r="AF240" s="383"/>
      <c r="AG240" s="383"/>
      <c r="AH240" s="383" t="s">
        <v>57</v>
      </c>
      <c r="AI240" s="383" t="s">
        <v>4442</v>
      </c>
      <c r="AJ240" s="383" t="s">
        <v>4443</v>
      </c>
      <c r="AK240" s="389" t="s">
        <v>4437</v>
      </c>
      <c r="AL240" s="389"/>
      <c r="AM240" s="389" t="s">
        <v>1341</v>
      </c>
      <c r="AN240" s="393">
        <f t="shared" si="45"/>
        <v>3</v>
      </c>
      <c r="AO240" s="393">
        <f t="shared" si="46"/>
        <v>2023</v>
      </c>
      <c r="AP240" s="394">
        <f t="shared" si="47"/>
        <v>2035</v>
      </c>
      <c r="AQ240" s="395">
        <f t="shared" si="48"/>
        <v>2035.25</v>
      </c>
      <c r="AR240" s="396">
        <f t="shared" si="49"/>
        <v>80.590277777777786</v>
      </c>
      <c r="AS240" s="397">
        <f t="shared" si="50"/>
        <v>967.08333333333348</v>
      </c>
      <c r="AT240" s="397">
        <f t="shared" si="51"/>
        <v>967.08333333333348</v>
      </c>
      <c r="AU240" s="397">
        <f t="shared" si="52"/>
        <v>1047.6736111110367</v>
      </c>
      <c r="AV240" s="397">
        <f t="shared" si="53"/>
        <v>2014.7569444443702</v>
      </c>
      <c r="AW240" s="398">
        <f t="shared" si="54"/>
        <v>9590.2430555556293</v>
      </c>
      <c r="AX240" s="386" t="s">
        <v>62</v>
      </c>
    </row>
    <row r="241" spans="2:50" ht="15.75" outlineLevel="1">
      <c r="B241" s="381">
        <v>2111</v>
      </c>
      <c r="C241" s="382">
        <v>303370</v>
      </c>
      <c r="D241" s="381" t="s">
        <v>944</v>
      </c>
      <c r="E241" s="383" t="s">
        <v>4240</v>
      </c>
      <c r="F241" s="392" t="s">
        <v>4392</v>
      </c>
      <c r="G241" s="392"/>
      <c r="H241" s="392"/>
      <c r="I241" s="381">
        <v>10</v>
      </c>
      <c r="J241" s="383"/>
      <c r="K241" s="381">
        <v>0</v>
      </c>
      <c r="L241" s="383" t="s">
        <v>1726</v>
      </c>
      <c r="M241" s="383"/>
      <c r="N241" s="383" t="s">
        <v>4446</v>
      </c>
      <c r="O241" s="383" t="s">
        <v>4441</v>
      </c>
      <c r="P241" s="383"/>
      <c r="Q241" s="383" t="s">
        <v>4464</v>
      </c>
      <c r="R241" s="383" t="s">
        <v>4450</v>
      </c>
      <c r="S241" s="384">
        <v>44994</v>
      </c>
      <c r="T241" s="384">
        <v>44994</v>
      </c>
      <c r="U241" s="383" t="s">
        <v>4355</v>
      </c>
      <c r="V241" s="381">
        <v>1200</v>
      </c>
      <c r="W241" s="381">
        <v>14050</v>
      </c>
      <c r="X241" s="385">
        <v>11605</v>
      </c>
      <c r="Y241" s="381">
        <v>14056</v>
      </c>
      <c r="Z241" s="385">
        <v>1531.21</v>
      </c>
      <c r="AA241" s="385">
        <f t="shared" si="44"/>
        <v>10073.790000000001</v>
      </c>
      <c r="AB241" s="385">
        <v>725.31</v>
      </c>
      <c r="AC241" s="381">
        <v>54260</v>
      </c>
      <c r="AD241" s="385">
        <v>80.59</v>
      </c>
      <c r="AE241" s="381" t="s">
        <v>944</v>
      </c>
      <c r="AF241" s="383"/>
      <c r="AG241" s="383"/>
      <c r="AH241" s="383" t="s">
        <v>57</v>
      </c>
      <c r="AI241" s="383" t="s">
        <v>4442</v>
      </c>
      <c r="AJ241" s="383" t="s">
        <v>4443</v>
      </c>
      <c r="AK241" s="389" t="s">
        <v>4437</v>
      </c>
      <c r="AL241" s="389"/>
      <c r="AM241" s="389" t="s">
        <v>1341</v>
      </c>
      <c r="AN241" s="393">
        <f t="shared" si="45"/>
        <v>3</v>
      </c>
      <c r="AO241" s="393">
        <f t="shared" si="46"/>
        <v>2023</v>
      </c>
      <c r="AP241" s="394">
        <f t="shared" si="47"/>
        <v>2035</v>
      </c>
      <c r="AQ241" s="395">
        <f t="shared" si="48"/>
        <v>2035.25</v>
      </c>
      <c r="AR241" s="396">
        <f t="shared" si="49"/>
        <v>80.590277777777786</v>
      </c>
      <c r="AS241" s="397">
        <f t="shared" si="50"/>
        <v>967.08333333333348</v>
      </c>
      <c r="AT241" s="397">
        <f t="shared" si="51"/>
        <v>967.08333333333348</v>
      </c>
      <c r="AU241" s="397">
        <f t="shared" si="52"/>
        <v>1047.6736111110367</v>
      </c>
      <c r="AV241" s="397">
        <f t="shared" si="53"/>
        <v>2014.7569444443702</v>
      </c>
      <c r="AW241" s="398">
        <f t="shared" si="54"/>
        <v>9590.2430555556293</v>
      </c>
      <c r="AX241" s="386" t="s">
        <v>62</v>
      </c>
    </row>
    <row r="242" spans="2:50" ht="15.75" outlineLevel="1">
      <c r="B242" s="381">
        <v>2111</v>
      </c>
      <c r="C242" s="382">
        <v>303369</v>
      </c>
      <c r="D242" s="381" t="s">
        <v>944</v>
      </c>
      <c r="E242" s="383" t="s">
        <v>4240</v>
      </c>
      <c r="F242" s="392" t="s">
        <v>4392</v>
      </c>
      <c r="G242" s="392"/>
      <c r="H242" s="392"/>
      <c r="I242" s="381">
        <v>5</v>
      </c>
      <c r="J242" s="383"/>
      <c r="K242" s="381">
        <v>0</v>
      </c>
      <c r="L242" s="383" t="s">
        <v>1726</v>
      </c>
      <c r="M242" s="383"/>
      <c r="N242" s="383" t="s">
        <v>4446</v>
      </c>
      <c r="O242" s="383" t="s">
        <v>4441</v>
      </c>
      <c r="P242" s="383"/>
      <c r="Q242" s="383" t="s">
        <v>4464</v>
      </c>
      <c r="R242" s="383" t="s">
        <v>4450</v>
      </c>
      <c r="S242" s="384">
        <v>44994</v>
      </c>
      <c r="T242" s="384">
        <v>44994</v>
      </c>
      <c r="U242" s="383" t="s">
        <v>4356</v>
      </c>
      <c r="V242" s="381">
        <v>1200</v>
      </c>
      <c r="W242" s="381">
        <v>14050</v>
      </c>
      <c r="X242" s="385">
        <v>5802.5</v>
      </c>
      <c r="Y242" s="381">
        <v>14056</v>
      </c>
      <c r="Z242" s="385">
        <v>765.65</v>
      </c>
      <c r="AA242" s="385">
        <f t="shared" si="44"/>
        <v>5036.8500000000004</v>
      </c>
      <c r="AB242" s="385">
        <v>362.7</v>
      </c>
      <c r="AC242" s="381">
        <v>54260</v>
      </c>
      <c r="AD242" s="385">
        <v>40.299999999999997</v>
      </c>
      <c r="AE242" s="381" t="s">
        <v>944</v>
      </c>
      <c r="AF242" s="383"/>
      <c r="AG242" s="383"/>
      <c r="AH242" s="383" t="s">
        <v>57</v>
      </c>
      <c r="AI242" s="383" t="s">
        <v>4442</v>
      </c>
      <c r="AJ242" s="383" t="s">
        <v>4443</v>
      </c>
      <c r="AK242" s="389" t="s">
        <v>4437</v>
      </c>
      <c r="AL242" s="389"/>
      <c r="AM242" s="389" t="s">
        <v>1341</v>
      </c>
      <c r="AN242" s="393">
        <f t="shared" si="45"/>
        <v>3</v>
      </c>
      <c r="AO242" s="393">
        <f t="shared" si="46"/>
        <v>2023</v>
      </c>
      <c r="AP242" s="394">
        <f t="shared" si="47"/>
        <v>2035</v>
      </c>
      <c r="AQ242" s="395">
        <f t="shared" si="48"/>
        <v>2035.25</v>
      </c>
      <c r="AR242" s="396">
        <f t="shared" si="49"/>
        <v>40.295138888888893</v>
      </c>
      <c r="AS242" s="397">
        <f t="shared" si="50"/>
        <v>483.54166666666674</v>
      </c>
      <c r="AT242" s="397">
        <f t="shared" si="51"/>
        <v>483.54166666666674</v>
      </c>
      <c r="AU242" s="397">
        <f t="shared" si="52"/>
        <v>523.83680555551837</v>
      </c>
      <c r="AV242" s="397">
        <f t="shared" si="53"/>
        <v>1007.3784722221851</v>
      </c>
      <c r="AW242" s="398">
        <f t="shared" si="54"/>
        <v>4795.1215277778147</v>
      </c>
      <c r="AX242" s="386" t="s">
        <v>62</v>
      </c>
    </row>
    <row r="243" spans="2:50" ht="15.75" outlineLevel="1">
      <c r="B243" s="381">
        <v>2111</v>
      </c>
      <c r="C243" s="382">
        <v>303368</v>
      </c>
      <c r="D243" s="381" t="s">
        <v>944</v>
      </c>
      <c r="E243" s="383" t="s">
        <v>4240</v>
      </c>
      <c r="F243" s="392" t="s">
        <v>4392</v>
      </c>
      <c r="G243" s="392"/>
      <c r="H243" s="392"/>
      <c r="I243" s="381">
        <v>2</v>
      </c>
      <c r="J243" s="383"/>
      <c r="K243" s="381">
        <v>0</v>
      </c>
      <c r="L243" s="383" t="s">
        <v>1726</v>
      </c>
      <c r="M243" s="383"/>
      <c r="N243" s="383" t="s">
        <v>4446</v>
      </c>
      <c r="O243" s="383" t="s">
        <v>4441</v>
      </c>
      <c r="P243" s="383"/>
      <c r="Q243" s="383" t="s">
        <v>4464</v>
      </c>
      <c r="R243" s="383" t="s">
        <v>4450</v>
      </c>
      <c r="S243" s="384">
        <v>44994</v>
      </c>
      <c r="T243" s="384">
        <v>44994</v>
      </c>
      <c r="U243" s="383" t="s">
        <v>4356</v>
      </c>
      <c r="V243" s="381">
        <v>1200</v>
      </c>
      <c r="W243" s="381">
        <v>14050</v>
      </c>
      <c r="X243" s="385">
        <v>2321</v>
      </c>
      <c r="Y243" s="381">
        <v>14056</v>
      </c>
      <c r="Z243" s="385">
        <v>306.26</v>
      </c>
      <c r="AA243" s="385">
        <f t="shared" si="44"/>
        <v>2014.74</v>
      </c>
      <c r="AB243" s="385">
        <v>145.08000000000001</v>
      </c>
      <c r="AC243" s="381">
        <v>54260</v>
      </c>
      <c r="AD243" s="385">
        <v>16.12</v>
      </c>
      <c r="AE243" s="381" t="s">
        <v>944</v>
      </c>
      <c r="AF243" s="383"/>
      <c r="AG243" s="383"/>
      <c r="AH243" s="383" t="s">
        <v>57</v>
      </c>
      <c r="AI243" s="383" t="s">
        <v>4442</v>
      </c>
      <c r="AJ243" s="383" t="s">
        <v>4443</v>
      </c>
      <c r="AK243" s="389" t="s">
        <v>4437</v>
      </c>
      <c r="AL243" s="389"/>
      <c r="AM243" s="389" t="s">
        <v>1341</v>
      </c>
      <c r="AN243" s="393">
        <f t="shared" si="45"/>
        <v>3</v>
      </c>
      <c r="AO243" s="393">
        <f t="shared" si="46"/>
        <v>2023</v>
      </c>
      <c r="AP243" s="394">
        <f t="shared" si="47"/>
        <v>2035</v>
      </c>
      <c r="AQ243" s="395">
        <f t="shared" si="48"/>
        <v>2035.25</v>
      </c>
      <c r="AR243" s="396">
        <f t="shared" si="49"/>
        <v>16.118055555555554</v>
      </c>
      <c r="AS243" s="397">
        <f t="shared" si="50"/>
        <v>193.41666666666663</v>
      </c>
      <c r="AT243" s="397">
        <f t="shared" si="51"/>
        <v>193.41666666666663</v>
      </c>
      <c r="AU243" s="397">
        <f t="shared" si="52"/>
        <v>209.53472222220762</v>
      </c>
      <c r="AV243" s="397">
        <f t="shared" si="53"/>
        <v>402.95138888887425</v>
      </c>
      <c r="AW243" s="398">
        <f t="shared" si="54"/>
        <v>1918.0486111111259</v>
      </c>
      <c r="AX243" s="386" t="s">
        <v>62</v>
      </c>
    </row>
    <row r="244" spans="2:50" ht="15.75" outlineLevel="1">
      <c r="B244" s="381">
        <v>2111</v>
      </c>
      <c r="C244" s="382">
        <v>303362</v>
      </c>
      <c r="D244" s="381" t="s">
        <v>944</v>
      </c>
      <c r="E244" s="383" t="s">
        <v>4240</v>
      </c>
      <c r="F244" s="392" t="s">
        <v>3716</v>
      </c>
      <c r="G244" s="392"/>
      <c r="H244" s="392"/>
      <c r="I244" s="381">
        <v>1</v>
      </c>
      <c r="J244" s="383"/>
      <c r="K244" s="381">
        <v>0</v>
      </c>
      <c r="L244" s="383" t="s">
        <v>1726</v>
      </c>
      <c r="M244" s="383"/>
      <c r="N244" s="383" t="s">
        <v>4446</v>
      </c>
      <c r="O244" s="383" t="s">
        <v>4441</v>
      </c>
      <c r="P244" s="383"/>
      <c r="Q244" s="383" t="s">
        <v>4459</v>
      </c>
      <c r="R244" s="383" t="s">
        <v>4450</v>
      </c>
      <c r="S244" s="384">
        <v>44994</v>
      </c>
      <c r="T244" s="384">
        <v>44994</v>
      </c>
      <c r="U244" s="383" t="s">
        <v>4356</v>
      </c>
      <c r="V244" s="381">
        <v>1200</v>
      </c>
      <c r="W244" s="381">
        <v>14050</v>
      </c>
      <c r="X244" s="385">
        <v>874.5</v>
      </c>
      <c r="Y244" s="381">
        <v>14056</v>
      </c>
      <c r="Z244" s="385">
        <v>115.36</v>
      </c>
      <c r="AA244" s="385">
        <f t="shared" si="44"/>
        <v>759.14</v>
      </c>
      <c r="AB244" s="385">
        <v>54.63</v>
      </c>
      <c r="AC244" s="381">
        <v>54260</v>
      </c>
      <c r="AD244" s="385">
        <v>6.07</v>
      </c>
      <c r="AE244" s="381" t="s">
        <v>944</v>
      </c>
      <c r="AF244" s="383"/>
      <c r="AG244" s="383"/>
      <c r="AH244" s="383" t="s">
        <v>57</v>
      </c>
      <c r="AI244" s="383" t="s">
        <v>4442</v>
      </c>
      <c r="AJ244" s="383" t="s">
        <v>4443</v>
      </c>
      <c r="AK244" s="389" t="s">
        <v>4437</v>
      </c>
      <c r="AL244" s="389"/>
      <c r="AM244" s="389" t="s">
        <v>1341</v>
      </c>
      <c r="AN244" s="393">
        <f t="shared" si="45"/>
        <v>3</v>
      </c>
      <c r="AO244" s="393">
        <f t="shared" si="46"/>
        <v>2023</v>
      </c>
      <c r="AP244" s="394">
        <f t="shared" si="47"/>
        <v>2035</v>
      </c>
      <c r="AQ244" s="395">
        <f t="shared" si="48"/>
        <v>2035.25</v>
      </c>
      <c r="AR244" s="396">
        <f t="shared" si="49"/>
        <v>6.072916666666667</v>
      </c>
      <c r="AS244" s="397">
        <f t="shared" si="50"/>
        <v>72.875</v>
      </c>
      <c r="AT244" s="397">
        <f t="shared" si="51"/>
        <v>72.875</v>
      </c>
      <c r="AU244" s="397">
        <f t="shared" si="52"/>
        <v>78.947916666661058</v>
      </c>
      <c r="AV244" s="397">
        <f t="shared" si="53"/>
        <v>151.82291666666106</v>
      </c>
      <c r="AW244" s="398">
        <f t="shared" si="54"/>
        <v>722.67708333333894</v>
      </c>
      <c r="AX244" s="386" t="s">
        <v>62</v>
      </c>
    </row>
    <row r="245" spans="2:50" ht="15.75" outlineLevel="1">
      <c r="B245" s="381">
        <v>2111</v>
      </c>
      <c r="C245" s="382">
        <v>303361</v>
      </c>
      <c r="D245" s="381" t="s">
        <v>944</v>
      </c>
      <c r="E245" s="383" t="s">
        <v>4240</v>
      </c>
      <c r="F245" s="392" t="s">
        <v>3716</v>
      </c>
      <c r="G245" s="392"/>
      <c r="H245" s="392"/>
      <c r="I245" s="381">
        <v>8</v>
      </c>
      <c r="J245" s="383"/>
      <c r="K245" s="381">
        <v>0</v>
      </c>
      <c r="L245" s="383" t="s">
        <v>1726</v>
      </c>
      <c r="M245" s="383"/>
      <c r="N245" s="383" t="s">
        <v>4446</v>
      </c>
      <c r="O245" s="383" t="s">
        <v>4441</v>
      </c>
      <c r="P245" s="383"/>
      <c r="Q245" s="383" t="s">
        <v>4459</v>
      </c>
      <c r="R245" s="383" t="s">
        <v>4450</v>
      </c>
      <c r="S245" s="384">
        <v>44994</v>
      </c>
      <c r="T245" s="384">
        <v>44994</v>
      </c>
      <c r="U245" s="383" t="s">
        <v>4356</v>
      </c>
      <c r="V245" s="381">
        <v>1200</v>
      </c>
      <c r="W245" s="381">
        <v>14050</v>
      </c>
      <c r="X245" s="385">
        <v>6996</v>
      </c>
      <c r="Y245" s="381">
        <v>14056</v>
      </c>
      <c r="Z245" s="385">
        <v>923.05</v>
      </c>
      <c r="AA245" s="385">
        <f t="shared" si="44"/>
        <v>6072.95</v>
      </c>
      <c r="AB245" s="385">
        <v>437.22</v>
      </c>
      <c r="AC245" s="381">
        <v>54260</v>
      </c>
      <c r="AD245" s="385">
        <v>48.58</v>
      </c>
      <c r="AE245" s="381" t="s">
        <v>944</v>
      </c>
      <c r="AF245" s="383"/>
      <c r="AG245" s="383"/>
      <c r="AH245" s="383" t="s">
        <v>57</v>
      </c>
      <c r="AI245" s="383" t="s">
        <v>4442</v>
      </c>
      <c r="AJ245" s="383" t="s">
        <v>4443</v>
      </c>
      <c r="AK245" s="389" t="s">
        <v>4437</v>
      </c>
      <c r="AL245" s="389"/>
      <c r="AM245" s="389" t="s">
        <v>1341</v>
      </c>
      <c r="AN245" s="393">
        <f t="shared" si="45"/>
        <v>3</v>
      </c>
      <c r="AO245" s="393">
        <f t="shared" si="46"/>
        <v>2023</v>
      </c>
      <c r="AP245" s="394">
        <f t="shared" si="47"/>
        <v>2035</v>
      </c>
      <c r="AQ245" s="395">
        <f t="shared" si="48"/>
        <v>2035.25</v>
      </c>
      <c r="AR245" s="396">
        <f t="shared" si="49"/>
        <v>48.583333333333336</v>
      </c>
      <c r="AS245" s="397">
        <f t="shared" si="50"/>
        <v>583</v>
      </c>
      <c r="AT245" s="397">
        <f t="shared" si="51"/>
        <v>583</v>
      </c>
      <c r="AU245" s="397">
        <f t="shared" si="52"/>
        <v>631.58333333328846</v>
      </c>
      <c r="AV245" s="397">
        <f t="shared" si="53"/>
        <v>1214.5833333332885</v>
      </c>
      <c r="AW245" s="398">
        <f t="shared" si="54"/>
        <v>5781.4166666667115</v>
      </c>
      <c r="AX245" s="386" t="s">
        <v>62</v>
      </c>
    </row>
    <row r="246" spans="2:50" ht="15.75" outlineLevel="1">
      <c r="B246" s="381">
        <v>2111</v>
      </c>
      <c r="C246" s="382">
        <v>303360</v>
      </c>
      <c r="D246" s="381" t="s">
        <v>944</v>
      </c>
      <c r="E246" s="383" t="s">
        <v>4240</v>
      </c>
      <c r="F246" s="392" t="s">
        <v>3716</v>
      </c>
      <c r="G246" s="392"/>
      <c r="H246" s="392"/>
      <c r="I246" s="381">
        <v>15</v>
      </c>
      <c r="J246" s="383"/>
      <c r="K246" s="381">
        <v>0</v>
      </c>
      <c r="L246" s="383" t="s">
        <v>1726</v>
      </c>
      <c r="M246" s="383"/>
      <c r="N246" s="383" t="s">
        <v>4446</v>
      </c>
      <c r="O246" s="383" t="s">
        <v>4441</v>
      </c>
      <c r="P246" s="383"/>
      <c r="Q246" s="383" t="s">
        <v>4459</v>
      </c>
      <c r="R246" s="383" t="s">
        <v>4450</v>
      </c>
      <c r="S246" s="384">
        <v>44994</v>
      </c>
      <c r="T246" s="384">
        <v>44994</v>
      </c>
      <c r="U246" s="383" t="s">
        <v>4356</v>
      </c>
      <c r="V246" s="381">
        <v>1200</v>
      </c>
      <c r="W246" s="381">
        <v>14050</v>
      </c>
      <c r="X246" s="385">
        <v>13117.5</v>
      </c>
      <c r="Y246" s="381">
        <v>14056</v>
      </c>
      <c r="Z246" s="385">
        <v>1730.75</v>
      </c>
      <c r="AA246" s="385">
        <f t="shared" si="44"/>
        <v>11386.75</v>
      </c>
      <c r="AB246" s="385">
        <v>819.81</v>
      </c>
      <c r="AC246" s="381">
        <v>54260</v>
      </c>
      <c r="AD246" s="385">
        <v>91.09</v>
      </c>
      <c r="AE246" s="381" t="s">
        <v>944</v>
      </c>
      <c r="AF246" s="383"/>
      <c r="AG246" s="383"/>
      <c r="AH246" s="383" t="s">
        <v>57</v>
      </c>
      <c r="AI246" s="383" t="s">
        <v>4442</v>
      </c>
      <c r="AJ246" s="383" t="s">
        <v>4443</v>
      </c>
      <c r="AK246" s="389" t="s">
        <v>4437</v>
      </c>
      <c r="AL246" s="389"/>
      <c r="AM246" s="389" t="s">
        <v>1341</v>
      </c>
      <c r="AN246" s="393">
        <f t="shared" si="45"/>
        <v>3</v>
      </c>
      <c r="AO246" s="393">
        <f t="shared" si="46"/>
        <v>2023</v>
      </c>
      <c r="AP246" s="394">
        <f t="shared" si="47"/>
        <v>2035</v>
      </c>
      <c r="AQ246" s="395">
        <f t="shared" si="48"/>
        <v>2035.25</v>
      </c>
      <c r="AR246" s="396">
        <f t="shared" si="49"/>
        <v>91.09375</v>
      </c>
      <c r="AS246" s="397">
        <f t="shared" si="50"/>
        <v>1093.125</v>
      </c>
      <c r="AT246" s="397">
        <f t="shared" si="51"/>
        <v>1093.125</v>
      </c>
      <c r="AU246" s="397">
        <f t="shared" si="52"/>
        <v>1184.2187499999163</v>
      </c>
      <c r="AV246" s="397">
        <f t="shared" si="53"/>
        <v>2277.3437499999163</v>
      </c>
      <c r="AW246" s="398">
        <f t="shared" si="54"/>
        <v>10840.156250000084</v>
      </c>
      <c r="AX246" s="386" t="s">
        <v>62</v>
      </c>
    </row>
    <row r="247" spans="2:50" ht="15.75" outlineLevel="1">
      <c r="B247" s="381">
        <v>2111</v>
      </c>
      <c r="C247" s="382">
        <v>303359</v>
      </c>
      <c r="D247" s="381" t="s">
        <v>944</v>
      </c>
      <c r="E247" s="383" t="s">
        <v>4240</v>
      </c>
      <c r="F247" s="392" t="s">
        <v>3716</v>
      </c>
      <c r="G247" s="392"/>
      <c r="H247" s="392"/>
      <c r="I247" s="381">
        <v>1</v>
      </c>
      <c r="J247" s="383"/>
      <c r="K247" s="381">
        <v>0</v>
      </c>
      <c r="L247" s="383" t="s">
        <v>1726</v>
      </c>
      <c r="M247" s="383"/>
      <c r="N247" s="383" t="s">
        <v>4446</v>
      </c>
      <c r="O247" s="383" t="s">
        <v>4441</v>
      </c>
      <c r="P247" s="383"/>
      <c r="Q247" s="383" t="s">
        <v>4459</v>
      </c>
      <c r="R247" s="383" t="s">
        <v>4450</v>
      </c>
      <c r="S247" s="384">
        <v>44994</v>
      </c>
      <c r="T247" s="384">
        <v>44994</v>
      </c>
      <c r="U247" s="383" t="s">
        <v>4356</v>
      </c>
      <c r="V247" s="381">
        <v>1200</v>
      </c>
      <c r="W247" s="381">
        <v>14050</v>
      </c>
      <c r="X247" s="385">
        <v>935</v>
      </c>
      <c r="Y247" s="381">
        <v>14056</v>
      </c>
      <c r="Z247" s="385">
        <v>123.34</v>
      </c>
      <c r="AA247" s="385">
        <f t="shared" si="44"/>
        <v>811.66</v>
      </c>
      <c r="AB247" s="385">
        <v>58.41</v>
      </c>
      <c r="AC247" s="381">
        <v>54260</v>
      </c>
      <c r="AD247" s="385">
        <v>6.49</v>
      </c>
      <c r="AE247" s="381" t="s">
        <v>944</v>
      </c>
      <c r="AF247" s="383"/>
      <c r="AG247" s="383"/>
      <c r="AH247" s="383" t="s">
        <v>57</v>
      </c>
      <c r="AI247" s="383" t="s">
        <v>4442</v>
      </c>
      <c r="AJ247" s="383" t="s">
        <v>4443</v>
      </c>
      <c r="AK247" s="389" t="s">
        <v>4437</v>
      </c>
      <c r="AL247" s="389"/>
      <c r="AM247" s="389" t="s">
        <v>1341</v>
      </c>
      <c r="AN247" s="393">
        <f t="shared" si="45"/>
        <v>3</v>
      </c>
      <c r="AO247" s="393">
        <f t="shared" si="46"/>
        <v>2023</v>
      </c>
      <c r="AP247" s="394">
        <f t="shared" si="47"/>
        <v>2035</v>
      </c>
      <c r="AQ247" s="395">
        <f t="shared" si="48"/>
        <v>2035.25</v>
      </c>
      <c r="AR247" s="396">
        <f t="shared" si="49"/>
        <v>6.4930555555555562</v>
      </c>
      <c r="AS247" s="397">
        <f t="shared" si="50"/>
        <v>77.916666666666671</v>
      </c>
      <c r="AT247" s="397">
        <f t="shared" si="51"/>
        <v>77.916666666666671</v>
      </c>
      <c r="AU247" s="397">
        <f t="shared" si="52"/>
        <v>84.40972222221626</v>
      </c>
      <c r="AV247" s="397">
        <f t="shared" si="53"/>
        <v>162.32638888888295</v>
      </c>
      <c r="AW247" s="398">
        <f t="shared" si="54"/>
        <v>772.673611111117</v>
      </c>
      <c r="AX247" s="386" t="s">
        <v>62</v>
      </c>
    </row>
    <row r="248" spans="2:50" ht="15.75" outlineLevel="1">
      <c r="B248" s="381">
        <v>2111</v>
      </c>
      <c r="C248" s="382">
        <v>303358</v>
      </c>
      <c r="D248" s="381" t="s">
        <v>944</v>
      </c>
      <c r="E248" s="383" t="s">
        <v>4240</v>
      </c>
      <c r="F248" s="392" t="s">
        <v>3716</v>
      </c>
      <c r="G248" s="392"/>
      <c r="H248" s="392"/>
      <c r="I248" s="381">
        <v>8</v>
      </c>
      <c r="J248" s="383"/>
      <c r="K248" s="381">
        <v>0</v>
      </c>
      <c r="L248" s="383" t="s">
        <v>1726</v>
      </c>
      <c r="M248" s="383"/>
      <c r="N248" s="383" t="s">
        <v>4446</v>
      </c>
      <c r="O248" s="383" t="s">
        <v>4441</v>
      </c>
      <c r="P248" s="383"/>
      <c r="Q248" s="383" t="s">
        <v>4459</v>
      </c>
      <c r="R248" s="383" t="s">
        <v>4450</v>
      </c>
      <c r="S248" s="384">
        <v>44994</v>
      </c>
      <c r="T248" s="384">
        <v>44994</v>
      </c>
      <c r="U248" s="383" t="s">
        <v>4356</v>
      </c>
      <c r="V248" s="381">
        <v>1200</v>
      </c>
      <c r="W248" s="381">
        <v>14050</v>
      </c>
      <c r="X248" s="385">
        <v>7480</v>
      </c>
      <c r="Y248" s="381">
        <v>14056</v>
      </c>
      <c r="Z248" s="385">
        <v>986.91</v>
      </c>
      <c r="AA248" s="385">
        <f t="shared" si="44"/>
        <v>6493.09</v>
      </c>
      <c r="AB248" s="385">
        <v>467.46</v>
      </c>
      <c r="AC248" s="381">
        <v>54260</v>
      </c>
      <c r="AD248" s="385">
        <v>51.94</v>
      </c>
      <c r="AE248" s="381" t="s">
        <v>944</v>
      </c>
      <c r="AF248" s="383"/>
      <c r="AG248" s="383"/>
      <c r="AH248" s="383" t="s">
        <v>57</v>
      </c>
      <c r="AI248" s="383" t="s">
        <v>4442</v>
      </c>
      <c r="AJ248" s="383" t="s">
        <v>4443</v>
      </c>
      <c r="AK248" s="389" t="s">
        <v>4437</v>
      </c>
      <c r="AL248" s="389"/>
      <c r="AM248" s="389" t="s">
        <v>1341</v>
      </c>
      <c r="AN248" s="393">
        <f t="shared" si="45"/>
        <v>3</v>
      </c>
      <c r="AO248" s="393">
        <f t="shared" si="46"/>
        <v>2023</v>
      </c>
      <c r="AP248" s="394">
        <f t="shared" si="47"/>
        <v>2035</v>
      </c>
      <c r="AQ248" s="395">
        <f t="shared" si="48"/>
        <v>2035.25</v>
      </c>
      <c r="AR248" s="396">
        <f t="shared" si="49"/>
        <v>51.94444444444445</v>
      </c>
      <c r="AS248" s="397">
        <f t="shared" si="50"/>
        <v>623.33333333333337</v>
      </c>
      <c r="AT248" s="397">
        <f t="shared" si="51"/>
        <v>623.33333333333337</v>
      </c>
      <c r="AU248" s="397">
        <f t="shared" si="52"/>
        <v>675.27777777773008</v>
      </c>
      <c r="AV248" s="397">
        <f t="shared" si="53"/>
        <v>1298.6111111110636</v>
      </c>
      <c r="AW248" s="398">
        <f t="shared" si="54"/>
        <v>6181.388888888936</v>
      </c>
      <c r="AX248" s="386" t="s">
        <v>62</v>
      </c>
    </row>
    <row r="249" spans="2:50" ht="15.75" outlineLevel="1">
      <c r="B249" s="381">
        <v>2111</v>
      </c>
      <c r="C249" s="382">
        <v>303357</v>
      </c>
      <c r="D249" s="381" t="s">
        <v>944</v>
      </c>
      <c r="E249" s="383" t="s">
        <v>4240</v>
      </c>
      <c r="F249" s="392" t="s">
        <v>3716</v>
      </c>
      <c r="G249" s="392"/>
      <c r="H249" s="392"/>
      <c r="I249" s="381">
        <v>16</v>
      </c>
      <c r="J249" s="383"/>
      <c r="K249" s="381">
        <v>0</v>
      </c>
      <c r="L249" s="383" t="s">
        <v>1726</v>
      </c>
      <c r="M249" s="383"/>
      <c r="N249" s="383" t="s">
        <v>4446</v>
      </c>
      <c r="O249" s="383" t="s">
        <v>4441</v>
      </c>
      <c r="P249" s="383"/>
      <c r="Q249" s="383" t="s">
        <v>4459</v>
      </c>
      <c r="R249" s="383" t="s">
        <v>4450</v>
      </c>
      <c r="S249" s="384">
        <v>44994</v>
      </c>
      <c r="T249" s="384">
        <v>44994</v>
      </c>
      <c r="U249" s="383" t="s">
        <v>4356</v>
      </c>
      <c r="V249" s="381">
        <v>1200</v>
      </c>
      <c r="W249" s="381">
        <v>14050</v>
      </c>
      <c r="X249" s="385">
        <v>13992</v>
      </c>
      <c r="Y249" s="381">
        <v>14056</v>
      </c>
      <c r="Z249" s="385">
        <v>1846.2</v>
      </c>
      <c r="AA249" s="385">
        <f t="shared" si="44"/>
        <v>12145.8</v>
      </c>
      <c r="AB249" s="385">
        <v>874.53</v>
      </c>
      <c r="AC249" s="381">
        <v>54260</v>
      </c>
      <c r="AD249" s="385">
        <v>97.17</v>
      </c>
      <c r="AE249" s="381" t="s">
        <v>944</v>
      </c>
      <c r="AF249" s="383"/>
      <c r="AG249" s="383"/>
      <c r="AH249" s="383" t="s">
        <v>57</v>
      </c>
      <c r="AI249" s="383" t="s">
        <v>4442</v>
      </c>
      <c r="AJ249" s="383" t="s">
        <v>4443</v>
      </c>
      <c r="AK249" s="389" t="s">
        <v>4437</v>
      </c>
      <c r="AL249" s="389"/>
      <c r="AM249" s="389" t="s">
        <v>1341</v>
      </c>
      <c r="AN249" s="393">
        <f t="shared" si="45"/>
        <v>3</v>
      </c>
      <c r="AO249" s="393">
        <f t="shared" si="46"/>
        <v>2023</v>
      </c>
      <c r="AP249" s="394">
        <f t="shared" si="47"/>
        <v>2035</v>
      </c>
      <c r="AQ249" s="395">
        <f t="shared" si="48"/>
        <v>2035.25</v>
      </c>
      <c r="AR249" s="396">
        <f t="shared" si="49"/>
        <v>97.166666666666671</v>
      </c>
      <c r="AS249" s="397">
        <f t="shared" si="50"/>
        <v>1166</v>
      </c>
      <c r="AT249" s="397">
        <f t="shared" si="51"/>
        <v>1166</v>
      </c>
      <c r="AU249" s="397">
        <f t="shared" si="52"/>
        <v>1263.1666666665769</v>
      </c>
      <c r="AV249" s="397">
        <f t="shared" si="53"/>
        <v>2429.1666666665769</v>
      </c>
      <c r="AW249" s="398">
        <f t="shared" si="54"/>
        <v>11562.833333333423</v>
      </c>
      <c r="AX249" s="386" t="s">
        <v>62</v>
      </c>
    </row>
    <row r="250" spans="2:50" ht="15.75" outlineLevel="1">
      <c r="B250" s="381">
        <v>2111</v>
      </c>
      <c r="C250" s="382">
        <v>303356</v>
      </c>
      <c r="D250" s="381" t="s">
        <v>944</v>
      </c>
      <c r="E250" s="383" t="s">
        <v>4240</v>
      </c>
      <c r="F250" s="392" t="s">
        <v>3716</v>
      </c>
      <c r="G250" s="392"/>
      <c r="H250" s="392"/>
      <c r="I250" s="381">
        <v>7</v>
      </c>
      <c r="J250" s="383"/>
      <c r="K250" s="381">
        <v>0</v>
      </c>
      <c r="L250" s="383" t="s">
        <v>1726</v>
      </c>
      <c r="M250" s="383"/>
      <c r="N250" s="383" t="s">
        <v>4446</v>
      </c>
      <c r="O250" s="383" t="s">
        <v>4441</v>
      </c>
      <c r="P250" s="383"/>
      <c r="Q250" s="383" t="s">
        <v>4459</v>
      </c>
      <c r="R250" s="383" t="s">
        <v>4450</v>
      </c>
      <c r="S250" s="384">
        <v>44994</v>
      </c>
      <c r="T250" s="384">
        <v>44994</v>
      </c>
      <c r="U250" s="383" t="s">
        <v>4356</v>
      </c>
      <c r="V250" s="381">
        <v>1200</v>
      </c>
      <c r="W250" s="381">
        <v>14050</v>
      </c>
      <c r="X250" s="385">
        <v>6545</v>
      </c>
      <c r="Y250" s="381">
        <v>14056</v>
      </c>
      <c r="Z250" s="385">
        <v>863.56</v>
      </c>
      <c r="AA250" s="385">
        <f t="shared" si="44"/>
        <v>5681.4400000000005</v>
      </c>
      <c r="AB250" s="385">
        <v>409.05</v>
      </c>
      <c r="AC250" s="381">
        <v>54260</v>
      </c>
      <c r="AD250" s="385">
        <v>45.45</v>
      </c>
      <c r="AE250" s="381" t="s">
        <v>944</v>
      </c>
      <c r="AF250" s="383"/>
      <c r="AG250" s="383"/>
      <c r="AH250" s="383" t="s">
        <v>57</v>
      </c>
      <c r="AI250" s="383" t="s">
        <v>4442</v>
      </c>
      <c r="AJ250" s="383" t="s">
        <v>4443</v>
      </c>
      <c r="AK250" s="389" t="s">
        <v>4437</v>
      </c>
      <c r="AL250" s="389"/>
      <c r="AM250" s="389" t="s">
        <v>1341</v>
      </c>
      <c r="AN250" s="393">
        <f t="shared" si="45"/>
        <v>3</v>
      </c>
      <c r="AO250" s="393">
        <f t="shared" si="46"/>
        <v>2023</v>
      </c>
      <c r="AP250" s="394">
        <f t="shared" si="47"/>
        <v>2035</v>
      </c>
      <c r="AQ250" s="395">
        <f t="shared" si="48"/>
        <v>2035.25</v>
      </c>
      <c r="AR250" s="396">
        <f t="shared" si="49"/>
        <v>45.451388888888886</v>
      </c>
      <c r="AS250" s="397">
        <f t="shared" si="50"/>
        <v>545.41666666666663</v>
      </c>
      <c r="AT250" s="397">
        <f t="shared" si="51"/>
        <v>545.41666666666663</v>
      </c>
      <c r="AU250" s="397">
        <f t="shared" si="52"/>
        <v>590.86805555551473</v>
      </c>
      <c r="AV250" s="397">
        <f t="shared" si="53"/>
        <v>1136.2847222221812</v>
      </c>
      <c r="AW250" s="398">
        <f t="shared" si="54"/>
        <v>5408.7152777778192</v>
      </c>
      <c r="AX250" s="386" t="s">
        <v>62</v>
      </c>
    </row>
    <row r="251" spans="2:50" ht="15.75" outlineLevel="1">
      <c r="B251" s="381">
        <v>2111</v>
      </c>
      <c r="C251" s="382">
        <v>302420</v>
      </c>
      <c r="D251" s="381" t="s">
        <v>944</v>
      </c>
      <c r="E251" s="383" t="s">
        <v>4240</v>
      </c>
      <c r="F251" s="392" t="s">
        <v>1177</v>
      </c>
      <c r="G251" s="392"/>
      <c r="H251" s="392"/>
      <c r="I251" s="381">
        <v>1</v>
      </c>
      <c r="J251" s="383" t="s">
        <v>4393</v>
      </c>
      <c r="K251" s="381">
        <v>2019</v>
      </c>
      <c r="L251" s="383"/>
      <c r="M251" s="383"/>
      <c r="N251" s="383" t="s">
        <v>4445</v>
      </c>
      <c r="O251" s="383" t="s">
        <v>4441</v>
      </c>
      <c r="P251" s="383" t="s">
        <v>1591</v>
      </c>
      <c r="Q251" s="383"/>
      <c r="R251" s="383"/>
      <c r="S251" s="384">
        <v>44410</v>
      </c>
      <c r="T251" s="384">
        <v>44410</v>
      </c>
      <c r="U251" s="383" t="s">
        <v>4394</v>
      </c>
      <c r="V251" s="381">
        <v>700</v>
      </c>
      <c r="W251" s="381">
        <v>14040</v>
      </c>
      <c r="X251" s="385">
        <v>131947.5</v>
      </c>
      <c r="Y251" s="381">
        <v>14046</v>
      </c>
      <c r="Z251" s="385">
        <v>59690.5</v>
      </c>
      <c r="AA251" s="385">
        <f t="shared" si="44"/>
        <v>72257</v>
      </c>
      <c r="AB251" s="385">
        <v>14137.2</v>
      </c>
      <c r="AC251" s="381">
        <v>51260</v>
      </c>
      <c r="AD251" s="385">
        <v>1570.8</v>
      </c>
      <c r="AE251" s="381" t="s">
        <v>944</v>
      </c>
      <c r="AF251" s="383"/>
      <c r="AG251" s="383">
        <v>158</v>
      </c>
      <c r="AH251" s="383" t="s">
        <v>57</v>
      </c>
      <c r="AI251" s="383" t="s">
        <v>4442</v>
      </c>
      <c r="AJ251" s="383" t="s">
        <v>4443</v>
      </c>
      <c r="AK251" s="389" t="s">
        <v>4437</v>
      </c>
      <c r="AL251" s="389"/>
      <c r="AM251" s="389" t="s">
        <v>3940</v>
      </c>
      <c r="AN251" s="393">
        <f t="shared" si="45"/>
        <v>8</v>
      </c>
      <c r="AO251" s="393">
        <f t="shared" si="46"/>
        <v>2021</v>
      </c>
      <c r="AP251" s="394">
        <f t="shared" si="47"/>
        <v>2028</v>
      </c>
      <c r="AQ251" s="395">
        <f t="shared" si="48"/>
        <v>2028.6666666666667</v>
      </c>
      <c r="AR251" s="396">
        <f t="shared" si="49"/>
        <v>1570.8035714285716</v>
      </c>
      <c r="AS251" s="397">
        <f t="shared" si="50"/>
        <v>18849.642857142859</v>
      </c>
      <c r="AT251" s="397">
        <f t="shared" si="51"/>
        <v>18849.642857142859</v>
      </c>
      <c r="AU251" s="397">
        <f t="shared" si="52"/>
        <v>50265.714285711423</v>
      </c>
      <c r="AV251" s="397">
        <f t="shared" si="53"/>
        <v>69115.357142854278</v>
      </c>
      <c r="AW251" s="398">
        <f t="shared" si="54"/>
        <v>62832.142857145722</v>
      </c>
      <c r="AX251" s="386" t="s">
        <v>62</v>
      </c>
    </row>
    <row r="252" spans="2:50" ht="15.75" outlineLevel="1">
      <c r="B252" s="381">
        <v>2111</v>
      </c>
      <c r="C252" s="382">
        <v>301699</v>
      </c>
      <c r="D252" s="381">
        <v>301698</v>
      </c>
      <c r="E252" s="383" t="s">
        <v>4240</v>
      </c>
      <c r="F252" s="392" t="s">
        <v>4395</v>
      </c>
      <c r="G252" s="392"/>
      <c r="H252" s="392"/>
      <c r="I252" s="381">
        <v>1</v>
      </c>
      <c r="J252" s="383"/>
      <c r="K252" s="381">
        <v>0</v>
      </c>
      <c r="L252" s="383" t="s">
        <v>4396</v>
      </c>
      <c r="M252" s="383"/>
      <c r="N252" s="383" t="s">
        <v>4440</v>
      </c>
      <c r="O252" s="383" t="s">
        <v>4441</v>
      </c>
      <c r="P252" s="383"/>
      <c r="Q252" s="383"/>
      <c r="R252" s="383"/>
      <c r="S252" s="384">
        <v>44992</v>
      </c>
      <c r="T252" s="384">
        <v>44992</v>
      </c>
      <c r="U252" s="383" t="s">
        <v>4397</v>
      </c>
      <c r="V252" s="381">
        <v>300</v>
      </c>
      <c r="W252" s="381">
        <v>14110</v>
      </c>
      <c r="X252" s="385">
        <v>270.11</v>
      </c>
      <c r="Y252" s="381">
        <v>14116</v>
      </c>
      <c r="Z252" s="385">
        <v>142.53</v>
      </c>
      <c r="AA252" s="385">
        <f t="shared" si="44"/>
        <v>127.58000000000001</v>
      </c>
      <c r="AB252" s="385">
        <v>67.5</v>
      </c>
      <c r="AC252" s="381">
        <v>70260</v>
      </c>
      <c r="AD252" s="385">
        <v>7.5</v>
      </c>
      <c r="AE252" s="381" t="s">
        <v>944</v>
      </c>
      <c r="AF252" s="383"/>
      <c r="AG252" s="383"/>
      <c r="AH252" s="383" t="s">
        <v>57</v>
      </c>
      <c r="AI252" s="383" t="s">
        <v>4442</v>
      </c>
      <c r="AJ252" s="383" t="s">
        <v>4443</v>
      </c>
      <c r="AK252" s="389" t="s">
        <v>4437</v>
      </c>
      <c r="AL252" s="389"/>
      <c r="AM252" s="389" t="s">
        <v>135</v>
      </c>
      <c r="AN252" s="393">
        <f t="shared" si="45"/>
        <v>3</v>
      </c>
      <c r="AO252" s="393">
        <f t="shared" si="46"/>
        <v>2023</v>
      </c>
      <c r="AP252" s="394">
        <f t="shared" si="47"/>
        <v>2026</v>
      </c>
      <c r="AQ252" s="395">
        <f t="shared" si="48"/>
        <v>2026.25</v>
      </c>
      <c r="AR252" s="396">
        <f t="shared" si="49"/>
        <v>7.503055555555556</v>
      </c>
      <c r="AS252" s="397">
        <f t="shared" si="50"/>
        <v>90.036666666666676</v>
      </c>
      <c r="AT252" s="397">
        <f t="shared" si="51"/>
        <v>90.036666666666676</v>
      </c>
      <c r="AU252" s="397">
        <f t="shared" si="52"/>
        <v>97.539722222215403</v>
      </c>
      <c r="AV252" s="397">
        <f t="shared" si="53"/>
        <v>187.57638888888209</v>
      </c>
      <c r="AW252" s="398">
        <f t="shared" si="54"/>
        <v>82.533611111117921</v>
      </c>
      <c r="AX252" s="386" t="s">
        <v>62</v>
      </c>
    </row>
    <row r="253" spans="2:50" ht="15.75" outlineLevel="1">
      <c r="B253" s="381">
        <v>2111</v>
      </c>
      <c r="C253" s="382">
        <v>301698</v>
      </c>
      <c r="D253" s="381" t="s">
        <v>944</v>
      </c>
      <c r="E253" s="383" t="s">
        <v>4240</v>
      </c>
      <c r="F253" s="392" t="s">
        <v>4398</v>
      </c>
      <c r="G253" s="392"/>
      <c r="H253" s="392"/>
      <c r="I253" s="381">
        <v>1</v>
      </c>
      <c r="J253" s="383"/>
      <c r="K253" s="381">
        <v>0</v>
      </c>
      <c r="L253" s="383" t="s">
        <v>4396</v>
      </c>
      <c r="M253" s="383"/>
      <c r="N253" s="383" t="s">
        <v>4440</v>
      </c>
      <c r="O253" s="383" t="s">
        <v>4441</v>
      </c>
      <c r="P253" s="383"/>
      <c r="Q253" s="383"/>
      <c r="R253" s="383"/>
      <c r="S253" s="384">
        <v>44992</v>
      </c>
      <c r="T253" s="384">
        <v>44992</v>
      </c>
      <c r="U253" s="383" t="s">
        <v>4397</v>
      </c>
      <c r="V253" s="381">
        <v>300</v>
      </c>
      <c r="W253" s="381">
        <v>14110</v>
      </c>
      <c r="X253" s="385">
        <v>1033.43</v>
      </c>
      <c r="Y253" s="381">
        <v>14116</v>
      </c>
      <c r="Z253" s="385">
        <v>545.45000000000005</v>
      </c>
      <c r="AA253" s="385">
        <f t="shared" si="44"/>
        <v>487.98</v>
      </c>
      <c r="AB253" s="385">
        <v>258.39</v>
      </c>
      <c r="AC253" s="381">
        <v>70260</v>
      </c>
      <c r="AD253" s="385">
        <v>28.71</v>
      </c>
      <c r="AE253" s="381" t="s">
        <v>944</v>
      </c>
      <c r="AF253" s="383"/>
      <c r="AG253" s="383"/>
      <c r="AH253" s="383" t="s">
        <v>57</v>
      </c>
      <c r="AI253" s="383" t="s">
        <v>4442</v>
      </c>
      <c r="AJ253" s="383" t="s">
        <v>4443</v>
      </c>
      <c r="AK253" s="389" t="s">
        <v>4437</v>
      </c>
      <c r="AL253" s="389"/>
      <c r="AM253" s="389" t="s">
        <v>135</v>
      </c>
      <c r="AN253" s="393">
        <f t="shared" si="45"/>
        <v>3</v>
      </c>
      <c r="AO253" s="393">
        <f t="shared" si="46"/>
        <v>2023</v>
      </c>
      <c r="AP253" s="394">
        <f t="shared" si="47"/>
        <v>2026</v>
      </c>
      <c r="AQ253" s="395">
        <f t="shared" si="48"/>
        <v>2026.25</v>
      </c>
      <c r="AR253" s="396">
        <f t="shared" si="49"/>
        <v>28.706388888888892</v>
      </c>
      <c r="AS253" s="397">
        <f t="shared" si="50"/>
        <v>344.47666666666669</v>
      </c>
      <c r="AT253" s="397">
        <f t="shared" si="51"/>
        <v>344.47666666666669</v>
      </c>
      <c r="AU253" s="397">
        <f t="shared" si="52"/>
        <v>373.18305555552945</v>
      </c>
      <c r="AV253" s="397">
        <f t="shared" si="53"/>
        <v>717.65972222219614</v>
      </c>
      <c r="AW253" s="398">
        <f t="shared" si="54"/>
        <v>315.77027777780393</v>
      </c>
      <c r="AX253" s="386" t="s">
        <v>62</v>
      </c>
    </row>
    <row r="254" spans="2:50" ht="15.75" outlineLevel="1">
      <c r="B254" s="381">
        <v>2111</v>
      </c>
      <c r="C254" s="382">
        <v>301652</v>
      </c>
      <c r="D254" s="381" t="s">
        <v>944</v>
      </c>
      <c r="E254" s="383" t="s">
        <v>4240</v>
      </c>
      <c r="F254" s="392" t="s">
        <v>4399</v>
      </c>
      <c r="G254" s="392"/>
      <c r="H254" s="392"/>
      <c r="I254" s="381">
        <v>1</v>
      </c>
      <c r="J254" s="383"/>
      <c r="K254" s="381">
        <v>0</v>
      </c>
      <c r="L254" s="383" t="s">
        <v>4381</v>
      </c>
      <c r="M254" s="383"/>
      <c r="N254" s="383" t="s">
        <v>4451</v>
      </c>
      <c r="O254" s="383" t="s">
        <v>4441</v>
      </c>
      <c r="P254" s="383"/>
      <c r="Q254" s="383"/>
      <c r="R254" s="383"/>
      <c r="S254" s="384">
        <v>44974</v>
      </c>
      <c r="T254" s="384">
        <v>44974</v>
      </c>
      <c r="U254" s="383" t="s">
        <v>4382</v>
      </c>
      <c r="V254" s="381">
        <v>500</v>
      </c>
      <c r="W254" s="381">
        <v>14070</v>
      </c>
      <c r="X254" s="385">
        <v>1377.77</v>
      </c>
      <c r="Y254" s="381">
        <v>14076</v>
      </c>
      <c r="Z254" s="385">
        <v>436.27</v>
      </c>
      <c r="AA254" s="385">
        <f t="shared" si="44"/>
        <v>941.5</v>
      </c>
      <c r="AB254" s="385">
        <v>206.64</v>
      </c>
      <c r="AC254" s="381">
        <v>51260</v>
      </c>
      <c r="AD254" s="385">
        <v>22.96</v>
      </c>
      <c r="AE254" s="381" t="s">
        <v>944</v>
      </c>
      <c r="AF254" s="383"/>
      <c r="AG254" s="383"/>
      <c r="AH254" s="383" t="s">
        <v>57</v>
      </c>
      <c r="AI254" s="383" t="s">
        <v>4442</v>
      </c>
      <c r="AJ254" s="383" t="s">
        <v>4443</v>
      </c>
      <c r="AK254" s="389" t="s">
        <v>4437</v>
      </c>
      <c r="AL254" s="389"/>
      <c r="AM254" s="389" t="s">
        <v>136</v>
      </c>
      <c r="AN254" s="393">
        <f t="shared" si="45"/>
        <v>2</v>
      </c>
      <c r="AO254" s="393">
        <f t="shared" si="46"/>
        <v>2023</v>
      </c>
      <c r="AP254" s="394">
        <f t="shared" si="47"/>
        <v>2028</v>
      </c>
      <c r="AQ254" s="395">
        <f t="shared" si="48"/>
        <v>2028.1666666666667</v>
      </c>
      <c r="AR254" s="396">
        <f t="shared" si="49"/>
        <v>22.962833333333332</v>
      </c>
      <c r="AS254" s="397">
        <f t="shared" si="50"/>
        <v>275.55399999999997</v>
      </c>
      <c r="AT254" s="397">
        <f t="shared" si="51"/>
        <v>275.55399999999997</v>
      </c>
      <c r="AU254" s="397">
        <f t="shared" si="52"/>
        <v>321.47966666662501</v>
      </c>
      <c r="AV254" s="397">
        <f t="shared" si="53"/>
        <v>597.03366666662498</v>
      </c>
      <c r="AW254" s="398">
        <f t="shared" si="54"/>
        <v>780.736333333375</v>
      </c>
      <c r="AX254" s="386" t="s">
        <v>62</v>
      </c>
    </row>
    <row r="255" spans="2:50" ht="15.75" outlineLevel="1">
      <c r="B255" s="381">
        <v>2111</v>
      </c>
      <c r="C255" s="382">
        <v>301546</v>
      </c>
      <c r="D255" s="381">
        <v>298302</v>
      </c>
      <c r="E255" s="383" t="s">
        <v>4240</v>
      </c>
      <c r="F255" s="392" t="s">
        <v>4400</v>
      </c>
      <c r="G255" s="392"/>
      <c r="H255" s="392"/>
      <c r="I255" s="381">
        <v>1</v>
      </c>
      <c r="J255" s="383"/>
      <c r="K255" s="381">
        <v>0</v>
      </c>
      <c r="L255" s="383" t="s">
        <v>4401</v>
      </c>
      <c r="M255" s="383"/>
      <c r="N255" s="383" t="s">
        <v>4445</v>
      </c>
      <c r="O255" s="383" t="s">
        <v>4441</v>
      </c>
      <c r="P255" s="383" t="s">
        <v>1467</v>
      </c>
      <c r="Q255" s="383"/>
      <c r="R255" s="383"/>
      <c r="S255" s="384">
        <v>44963</v>
      </c>
      <c r="T255" s="384">
        <v>44963</v>
      </c>
      <c r="U255" s="383" t="s">
        <v>4402</v>
      </c>
      <c r="V255" s="381">
        <v>300</v>
      </c>
      <c r="W255" s="381">
        <v>14040</v>
      </c>
      <c r="X255" s="385">
        <v>8811.31</v>
      </c>
      <c r="Y255" s="381">
        <v>14046</v>
      </c>
      <c r="Z255" s="385">
        <v>4895.1899999999996</v>
      </c>
      <c r="AA255" s="385">
        <f t="shared" si="44"/>
        <v>3916.12</v>
      </c>
      <c r="AB255" s="385">
        <v>2202.84</v>
      </c>
      <c r="AC255" s="381">
        <v>51260</v>
      </c>
      <c r="AD255" s="385">
        <v>244.76</v>
      </c>
      <c r="AE255" s="381" t="s">
        <v>944</v>
      </c>
      <c r="AF255" s="383"/>
      <c r="AG255" s="383"/>
      <c r="AH255" s="383" t="s">
        <v>57</v>
      </c>
      <c r="AI255" s="383" t="s">
        <v>4442</v>
      </c>
      <c r="AJ255" s="383" t="s">
        <v>4443</v>
      </c>
      <c r="AK255" s="389" t="s">
        <v>4437</v>
      </c>
      <c r="AL255" s="389"/>
      <c r="AM255" s="389" t="s">
        <v>582</v>
      </c>
      <c r="AN255" s="393">
        <f t="shared" si="45"/>
        <v>2</v>
      </c>
      <c r="AO255" s="393">
        <f t="shared" si="46"/>
        <v>2023</v>
      </c>
      <c r="AP255" s="394">
        <f t="shared" si="47"/>
        <v>2026</v>
      </c>
      <c r="AQ255" s="395">
        <f t="shared" si="48"/>
        <v>2026.1666666666667</v>
      </c>
      <c r="AR255" s="396">
        <f t="shared" si="49"/>
        <v>244.75861111111109</v>
      </c>
      <c r="AS255" s="397">
        <f t="shared" si="50"/>
        <v>2937.103333333333</v>
      </c>
      <c r="AT255" s="397">
        <f t="shared" si="51"/>
        <v>2937.103333333333</v>
      </c>
      <c r="AU255" s="397">
        <f t="shared" si="52"/>
        <v>3426.6205555551105</v>
      </c>
      <c r="AV255" s="397">
        <f t="shared" si="53"/>
        <v>6363.723888888444</v>
      </c>
      <c r="AW255" s="398">
        <f t="shared" si="54"/>
        <v>2447.5861111115555</v>
      </c>
      <c r="AX255" s="386" t="s">
        <v>62</v>
      </c>
    </row>
    <row r="256" spans="2:50" ht="15.75" outlineLevel="1">
      <c r="B256" s="381">
        <v>2111</v>
      </c>
      <c r="C256" s="382">
        <v>300746</v>
      </c>
      <c r="D256" s="381">
        <v>291161</v>
      </c>
      <c r="E256" s="383" t="s">
        <v>4240</v>
      </c>
      <c r="F256" s="392" t="s">
        <v>4403</v>
      </c>
      <c r="G256" s="392"/>
      <c r="H256" s="392"/>
      <c r="I256" s="381">
        <v>1</v>
      </c>
      <c r="J256" s="383"/>
      <c r="K256" s="381">
        <v>0</v>
      </c>
      <c r="L256" s="383" t="s">
        <v>4181</v>
      </c>
      <c r="M256" s="383"/>
      <c r="N256" s="383" t="s">
        <v>4462</v>
      </c>
      <c r="O256" s="383" t="s">
        <v>4441</v>
      </c>
      <c r="P256" s="383"/>
      <c r="Q256" s="383"/>
      <c r="R256" s="383"/>
      <c r="S256" s="384">
        <v>44928</v>
      </c>
      <c r="T256" s="384">
        <v>44928</v>
      </c>
      <c r="U256" s="383" t="s">
        <v>4379</v>
      </c>
      <c r="V256" s="381">
        <v>1000</v>
      </c>
      <c r="W256" s="381">
        <v>14010</v>
      </c>
      <c r="X256" s="385">
        <v>10800.76</v>
      </c>
      <c r="Y256" s="381">
        <v>14016</v>
      </c>
      <c r="Z256" s="385">
        <v>1890.17</v>
      </c>
      <c r="AA256" s="385">
        <f t="shared" si="44"/>
        <v>8910.59</v>
      </c>
      <c r="AB256" s="385">
        <v>810.09</v>
      </c>
      <c r="AC256" s="381">
        <v>57260</v>
      </c>
      <c r="AD256" s="385">
        <v>90.01</v>
      </c>
      <c r="AE256" s="381" t="s">
        <v>944</v>
      </c>
      <c r="AF256" s="383"/>
      <c r="AG256" s="383"/>
      <c r="AH256" s="383" t="s">
        <v>57</v>
      </c>
      <c r="AI256" s="383" t="s">
        <v>4442</v>
      </c>
      <c r="AJ256" s="383" t="s">
        <v>4443</v>
      </c>
      <c r="AK256" s="389" t="s">
        <v>4437</v>
      </c>
      <c r="AL256" s="389"/>
      <c r="AM256" s="389" t="s">
        <v>1077</v>
      </c>
      <c r="AN256" s="393">
        <f t="shared" si="45"/>
        <v>1</v>
      </c>
      <c r="AO256" s="393">
        <f t="shared" si="46"/>
        <v>2023</v>
      </c>
      <c r="AP256" s="394">
        <f t="shared" si="47"/>
        <v>2033</v>
      </c>
      <c r="AQ256" s="395">
        <f t="shared" si="48"/>
        <v>2033.0833333333333</v>
      </c>
      <c r="AR256" s="396">
        <f t="shared" si="49"/>
        <v>90.00633333333333</v>
      </c>
      <c r="AS256" s="397">
        <f t="shared" si="50"/>
        <v>1080.076</v>
      </c>
      <c r="AT256" s="397">
        <f t="shared" si="51"/>
        <v>1080.076</v>
      </c>
      <c r="AU256" s="397">
        <f t="shared" si="52"/>
        <v>1350.0950000000012</v>
      </c>
      <c r="AV256" s="397">
        <f t="shared" si="53"/>
        <v>2430.1710000000012</v>
      </c>
      <c r="AW256" s="398">
        <f t="shared" si="54"/>
        <v>8370.5889999999999</v>
      </c>
      <c r="AX256" s="386" t="s">
        <v>62</v>
      </c>
    </row>
    <row r="257" spans="2:50" ht="15.75" outlineLevel="1">
      <c r="B257" s="381">
        <v>2111</v>
      </c>
      <c r="C257" s="382">
        <v>300332</v>
      </c>
      <c r="D257" s="381" t="s">
        <v>944</v>
      </c>
      <c r="E257" s="383" t="s">
        <v>4240</v>
      </c>
      <c r="F257" s="392" t="s">
        <v>4522</v>
      </c>
      <c r="G257" s="392"/>
      <c r="H257" s="392"/>
      <c r="I257" s="381">
        <v>1</v>
      </c>
      <c r="J257" s="383"/>
      <c r="K257" s="381">
        <v>0</v>
      </c>
      <c r="L257" s="383" t="s">
        <v>4404</v>
      </c>
      <c r="M257" s="383"/>
      <c r="N257" s="383" t="s">
        <v>4440</v>
      </c>
      <c r="O257" s="383" t="s">
        <v>4441</v>
      </c>
      <c r="P257" s="383"/>
      <c r="Q257" s="383"/>
      <c r="R257" s="383"/>
      <c r="S257" s="384">
        <v>44959</v>
      </c>
      <c r="T257" s="384">
        <v>44959</v>
      </c>
      <c r="U257" s="383" t="s">
        <v>4405</v>
      </c>
      <c r="V257" s="381">
        <v>300</v>
      </c>
      <c r="W257" s="381">
        <v>14110</v>
      </c>
      <c r="X257" s="385">
        <v>1304.52</v>
      </c>
      <c r="Y257" s="381">
        <v>14116</v>
      </c>
      <c r="Z257" s="385">
        <v>724.76</v>
      </c>
      <c r="AA257" s="385">
        <f t="shared" si="44"/>
        <v>579.76</v>
      </c>
      <c r="AB257" s="385">
        <v>326.16000000000003</v>
      </c>
      <c r="AC257" s="381">
        <v>70260</v>
      </c>
      <c r="AD257" s="385">
        <v>36.24</v>
      </c>
      <c r="AE257" s="381" t="s">
        <v>944</v>
      </c>
      <c r="AF257" s="383"/>
      <c r="AG257" s="383"/>
      <c r="AH257" s="383" t="s">
        <v>57</v>
      </c>
      <c r="AI257" s="383" t="s">
        <v>4442</v>
      </c>
      <c r="AJ257" s="383" t="s">
        <v>4443</v>
      </c>
      <c r="AK257" s="389" t="s">
        <v>4437</v>
      </c>
      <c r="AL257" s="389"/>
      <c r="AM257" s="389" t="s">
        <v>135</v>
      </c>
      <c r="AN257" s="393">
        <f t="shared" si="45"/>
        <v>2</v>
      </c>
      <c r="AO257" s="393">
        <f t="shared" si="46"/>
        <v>2023</v>
      </c>
      <c r="AP257" s="394">
        <f t="shared" si="47"/>
        <v>2026</v>
      </c>
      <c r="AQ257" s="395">
        <f t="shared" si="48"/>
        <v>2026.1666666666667</v>
      </c>
      <c r="AR257" s="396">
        <f t="shared" si="49"/>
        <v>36.236666666666665</v>
      </c>
      <c r="AS257" s="397">
        <f t="shared" si="50"/>
        <v>434.84</v>
      </c>
      <c r="AT257" s="397">
        <f t="shared" si="51"/>
        <v>434.84</v>
      </c>
      <c r="AU257" s="397">
        <f t="shared" si="52"/>
        <v>507.31333333326745</v>
      </c>
      <c r="AV257" s="397">
        <f t="shared" si="53"/>
        <v>942.15333333326748</v>
      </c>
      <c r="AW257" s="398">
        <f t="shared" si="54"/>
        <v>362.3666666667325</v>
      </c>
      <c r="AX257" s="386" t="s">
        <v>62</v>
      </c>
    </row>
    <row r="258" spans="2:50" ht="15.75" outlineLevel="1">
      <c r="B258" s="381">
        <v>2111</v>
      </c>
      <c r="C258" s="382">
        <v>300331</v>
      </c>
      <c r="D258" s="381" t="s">
        <v>944</v>
      </c>
      <c r="E258" s="383" t="s">
        <v>4240</v>
      </c>
      <c r="F258" s="392" t="s">
        <v>4406</v>
      </c>
      <c r="G258" s="392"/>
      <c r="H258" s="392"/>
      <c r="I258" s="381">
        <v>1</v>
      </c>
      <c r="J258" s="383"/>
      <c r="K258" s="381">
        <v>0</v>
      </c>
      <c r="L258" s="383" t="s">
        <v>4407</v>
      </c>
      <c r="M258" s="383"/>
      <c r="N258" s="383" t="s">
        <v>4451</v>
      </c>
      <c r="O258" s="383" t="s">
        <v>4441</v>
      </c>
      <c r="P258" s="383"/>
      <c r="Q258" s="383"/>
      <c r="R258" s="383"/>
      <c r="S258" s="384">
        <v>44928</v>
      </c>
      <c r="T258" s="384">
        <v>44928</v>
      </c>
      <c r="U258" s="383" t="s">
        <v>4408</v>
      </c>
      <c r="V258" s="381">
        <v>500</v>
      </c>
      <c r="W258" s="381">
        <v>14070</v>
      </c>
      <c r="X258" s="385">
        <v>7112.99</v>
      </c>
      <c r="Y258" s="381">
        <v>14076</v>
      </c>
      <c r="Z258" s="385">
        <v>2489.5500000000002</v>
      </c>
      <c r="AA258" s="385">
        <f t="shared" si="44"/>
        <v>4623.4399999999996</v>
      </c>
      <c r="AB258" s="385">
        <v>1066.95</v>
      </c>
      <c r="AC258" s="381">
        <v>51260</v>
      </c>
      <c r="AD258" s="385">
        <v>118.55</v>
      </c>
      <c r="AE258" s="381" t="s">
        <v>944</v>
      </c>
      <c r="AF258" s="383"/>
      <c r="AG258" s="383"/>
      <c r="AH258" s="383" t="s">
        <v>57</v>
      </c>
      <c r="AI258" s="383" t="s">
        <v>4442</v>
      </c>
      <c r="AJ258" s="383" t="s">
        <v>4443</v>
      </c>
      <c r="AK258" s="389" t="s">
        <v>4437</v>
      </c>
      <c r="AL258" s="389"/>
      <c r="AM258" s="389" t="s">
        <v>136</v>
      </c>
      <c r="AN258" s="393">
        <f t="shared" si="45"/>
        <v>1</v>
      </c>
      <c r="AO258" s="393">
        <f t="shared" si="46"/>
        <v>2023</v>
      </c>
      <c r="AP258" s="394">
        <f t="shared" si="47"/>
        <v>2028</v>
      </c>
      <c r="AQ258" s="395">
        <f t="shared" si="48"/>
        <v>2028.0833333333333</v>
      </c>
      <c r="AR258" s="396">
        <f t="shared" si="49"/>
        <v>118.54983333333332</v>
      </c>
      <c r="AS258" s="397">
        <f t="shared" si="50"/>
        <v>1422.598</v>
      </c>
      <c r="AT258" s="397">
        <f t="shared" si="51"/>
        <v>1422.598</v>
      </c>
      <c r="AU258" s="397">
        <f t="shared" si="52"/>
        <v>1778.2475000000004</v>
      </c>
      <c r="AV258" s="397">
        <f t="shared" si="53"/>
        <v>3200.8455000000004</v>
      </c>
      <c r="AW258" s="398">
        <f t="shared" si="54"/>
        <v>3912.1444999999994</v>
      </c>
      <c r="AX258" s="386" t="s">
        <v>62</v>
      </c>
    </row>
    <row r="259" spans="2:50" ht="15.75" outlineLevel="1">
      <c r="B259" s="381">
        <v>2111</v>
      </c>
      <c r="C259" s="382">
        <v>300330</v>
      </c>
      <c r="D259" s="381" t="s">
        <v>944</v>
      </c>
      <c r="E259" s="383" t="s">
        <v>4240</v>
      </c>
      <c r="F259" s="392" t="s">
        <v>4406</v>
      </c>
      <c r="G259" s="392"/>
      <c r="H259" s="392"/>
      <c r="I259" s="381">
        <v>1</v>
      </c>
      <c r="J259" s="383"/>
      <c r="K259" s="381">
        <v>0</v>
      </c>
      <c r="L259" s="383" t="s">
        <v>4407</v>
      </c>
      <c r="M259" s="383"/>
      <c r="N259" s="383" t="s">
        <v>4451</v>
      </c>
      <c r="O259" s="383" t="s">
        <v>4441</v>
      </c>
      <c r="P259" s="383"/>
      <c r="Q259" s="383"/>
      <c r="R259" s="383"/>
      <c r="S259" s="384">
        <v>44928</v>
      </c>
      <c r="T259" s="384">
        <v>44928</v>
      </c>
      <c r="U259" s="383" t="s">
        <v>4408</v>
      </c>
      <c r="V259" s="381">
        <v>500</v>
      </c>
      <c r="W259" s="381">
        <v>14070</v>
      </c>
      <c r="X259" s="385">
        <v>15012.97</v>
      </c>
      <c r="Y259" s="381">
        <v>14076</v>
      </c>
      <c r="Z259" s="385">
        <v>5254.57</v>
      </c>
      <c r="AA259" s="385">
        <f t="shared" si="44"/>
        <v>9758.4</v>
      </c>
      <c r="AB259" s="385">
        <v>2251.98</v>
      </c>
      <c r="AC259" s="381">
        <v>51260</v>
      </c>
      <c r="AD259" s="385">
        <v>250.22</v>
      </c>
      <c r="AE259" s="381" t="s">
        <v>944</v>
      </c>
      <c r="AF259" s="383"/>
      <c r="AG259" s="383"/>
      <c r="AH259" s="383" t="s">
        <v>57</v>
      </c>
      <c r="AI259" s="383" t="s">
        <v>4442</v>
      </c>
      <c r="AJ259" s="383" t="s">
        <v>4443</v>
      </c>
      <c r="AK259" s="389" t="s">
        <v>4437</v>
      </c>
      <c r="AL259" s="389"/>
      <c r="AM259" s="389" t="s">
        <v>136</v>
      </c>
      <c r="AN259" s="393">
        <f t="shared" si="45"/>
        <v>1</v>
      </c>
      <c r="AO259" s="393">
        <f t="shared" si="46"/>
        <v>2023</v>
      </c>
      <c r="AP259" s="394">
        <f t="shared" si="47"/>
        <v>2028</v>
      </c>
      <c r="AQ259" s="395">
        <f t="shared" si="48"/>
        <v>2028.0833333333333</v>
      </c>
      <c r="AR259" s="396">
        <f t="shared" si="49"/>
        <v>250.21616666666668</v>
      </c>
      <c r="AS259" s="397">
        <f t="shared" si="50"/>
        <v>3002.5940000000001</v>
      </c>
      <c r="AT259" s="397">
        <f t="shared" si="51"/>
        <v>3002.5940000000001</v>
      </c>
      <c r="AU259" s="397">
        <f t="shared" si="52"/>
        <v>3753.2424999999985</v>
      </c>
      <c r="AV259" s="397">
        <f t="shared" si="53"/>
        <v>6755.8364999999985</v>
      </c>
      <c r="AW259" s="398">
        <f t="shared" si="54"/>
        <v>8257.1334999999999</v>
      </c>
      <c r="AX259" s="386" t="s">
        <v>62</v>
      </c>
    </row>
    <row r="260" spans="2:50" ht="15.75" outlineLevel="1">
      <c r="B260" s="381">
        <v>2111</v>
      </c>
      <c r="C260" s="382">
        <v>300329</v>
      </c>
      <c r="D260" s="381" t="s">
        <v>944</v>
      </c>
      <c r="E260" s="383" t="s">
        <v>4240</v>
      </c>
      <c r="F260" s="392" t="s">
        <v>4409</v>
      </c>
      <c r="G260" s="392"/>
      <c r="H260" s="392"/>
      <c r="I260" s="381">
        <v>1</v>
      </c>
      <c r="J260" s="383"/>
      <c r="K260" s="381">
        <v>0</v>
      </c>
      <c r="L260" s="383" t="s">
        <v>4407</v>
      </c>
      <c r="M260" s="383"/>
      <c r="N260" s="383" t="s">
        <v>4451</v>
      </c>
      <c r="O260" s="383" t="s">
        <v>4441</v>
      </c>
      <c r="P260" s="383"/>
      <c r="Q260" s="383"/>
      <c r="R260" s="383"/>
      <c r="S260" s="384">
        <v>44928</v>
      </c>
      <c r="T260" s="384">
        <v>44928</v>
      </c>
      <c r="U260" s="383" t="s">
        <v>4408</v>
      </c>
      <c r="V260" s="381">
        <v>500</v>
      </c>
      <c r="W260" s="381">
        <v>14070</v>
      </c>
      <c r="X260" s="385">
        <v>756.8</v>
      </c>
      <c r="Y260" s="381">
        <v>14076</v>
      </c>
      <c r="Z260" s="385">
        <v>264.85000000000002</v>
      </c>
      <c r="AA260" s="385">
        <f t="shared" si="44"/>
        <v>491.94999999999993</v>
      </c>
      <c r="AB260" s="385">
        <v>113.49</v>
      </c>
      <c r="AC260" s="381">
        <v>51260</v>
      </c>
      <c r="AD260" s="385">
        <v>12.61</v>
      </c>
      <c r="AE260" s="381" t="s">
        <v>944</v>
      </c>
      <c r="AF260" s="383"/>
      <c r="AG260" s="383"/>
      <c r="AH260" s="383" t="s">
        <v>57</v>
      </c>
      <c r="AI260" s="383" t="s">
        <v>4442</v>
      </c>
      <c r="AJ260" s="383" t="s">
        <v>4443</v>
      </c>
      <c r="AK260" s="389" t="s">
        <v>4437</v>
      </c>
      <c r="AL260" s="389"/>
      <c r="AM260" s="389" t="s">
        <v>136</v>
      </c>
      <c r="AN260" s="393">
        <f t="shared" si="45"/>
        <v>1</v>
      </c>
      <c r="AO260" s="393">
        <f t="shared" si="46"/>
        <v>2023</v>
      </c>
      <c r="AP260" s="394">
        <f t="shared" si="47"/>
        <v>2028</v>
      </c>
      <c r="AQ260" s="395">
        <f t="shared" si="48"/>
        <v>2028.0833333333333</v>
      </c>
      <c r="AR260" s="396">
        <f t="shared" si="49"/>
        <v>12.613333333333332</v>
      </c>
      <c r="AS260" s="397">
        <f t="shared" si="50"/>
        <v>151.35999999999999</v>
      </c>
      <c r="AT260" s="397">
        <f t="shared" si="51"/>
        <v>151.35999999999999</v>
      </c>
      <c r="AU260" s="397">
        <f t="shared" si="52"/>
        <v>189.20000000000005</v>
      </c>
      <c r="AV260" s="397">
        <f t="shared" si="53"/>
        <v>340.56000000000006</v>
      </c>
      <c r="AW260" s="398">
        <f t="shared" si="54"/>
        <v>416.2399999999999</v>
      </c>
      <c r="AX260" s="386" t="s">
        <v>62</v>
      </c>
    </row>
    <row r="261" spans="2:50" ht="15.75" outlineLevel="1">
      <c r="B261" s="381">
        <v>2111</v>
      </c>
      <c r="C261" s="382">
        <v>300287</v>
      </c>
      <c r="D261" s="381" t="s">
        <v>944</v>
      </c>
      <c r="E261" s="383" t="s">
        <v>4240</v>
      </c>
      <c r="F261" s="392" t="s">
        <v>4410</v>
      </c>
      <c r="G261" s="392"/>
      <c r="H261" s="392"/>
      <c r="I261" s="381">
        <v>1</v>
      </c>
      <c r="J261" s="383"/>
      <c r="K261" s="381">
        <v>0</v>
      </c>
      <c r="L261" s="383" t="s">
        <v>4381</v>
      </c>
      <c r="M261" s="383"/>
      <c r="N261" s="383" t="s">
        <v>4451</v>
      </c>
      <c r="O261" s="383" t="s">
        <v>4441</v>
      </c>
      <c r="P261" s="383"/>
      <c r="Q261" s="383"/>
      <c r="R261" s="383"/>
      <c r="S261" s="384">
        <v>44985</v>
      </c>
      <c r="T261" s="384">
        <v>44985</v>
      </c>
      <c r="U261" s="383" t="s">
        <v>4408</v>
      </c>
      <c r="V261" s="381">
        <v>500</v>
      </c>
      <c r="W261" s="381">
        <v>14070</v>
      </c>
      <c r="X261" s="385">
        <v>4034</v>
      </c>
      <c r="Y261" s="381">
        <v>14076</v>
      </c>
      <c r="Z261" s="385">
        <v>1277.4000000000001</v>
      </c>
      <c r="AA261" s="385">
        <f t="shared" si="44"/>
        <v>2756.6</v>
      </c>
      <c r="AB261" s="385">
        <v>605.07000000000005</v>
      </c>
      <c r="AC261" s="381">
        <v>51260</v>
      </c>
      <c r="AD261" s="385">
        <v>67.23</v>
      </c>
      <c r="AE261" s="381" t="s">
        <v>944</v>
      </c>
      <c r="AF261" s="383"/>
      <c r="AG261" s="383"/>
      <c r="AH261" s="383" t="s">
        <v>57</v>
      </c>
      <c r="AI261" s="383" t="s">
        <v>4442</v>
      </c>
      <c r="AJ261" s="383" t="s">
        <v>4443</v>
      </c>
      <c r="AK261" s="389" t="s">
        <v>4437</v>
      </c>
      <c r="AL261" s="389"/>
      <c r="AM261" s="389" t="s">
        <v>136</v>
      </c>
      <c r="AN261" s="393">
        <f t="shared" si="45"/>
        <v>2</v>
      </c>
      <c r="AO261" s="393">
        <f t="shared" si="46"/>
        <v>2023</v>
      </c>
      <c r="AP261" s="394">
        <f t="shared" si="47"/>
        <v>2028</v>
      </c>
      <c r="AQ261" s="395">
        <f t="shared" si="48"/>
        <v>2028.1666666666667</v>
      </c>
      <c r="AR261" s="396">
        <f t="shared" si="49"/>
        <v>67.233333333333334</v>
      </c>
      <c r="AS261" s="397">
        <f t="shared" si="50"/>
        <v>806.8</v>
      </c>
      <c r="AT261" s="397">
        <f t="shared" si="51"/>
        <v>806.8</v>
      </c>
      <c r="AU261" s="397">
        <f t="shared" si="52"/>
        <v>941.26666666654455</v>
      </c>
      <c r="AV261" s="397">
        <f t="shared" si="53"/>
        <v>1748.0666666665445</v>
      </c>
      <c r="AW261" s="398">
        <f t="shared" si="54"/>
        <v>2285.9333333334553</v>
      </c>
      <c r="AX261" s="386" t="s">
        <v>62</v>
      </c>
    </row>
    <row r="262" spans="2:50" ht="15.75" outlineLevel="1">
      <c r="B262" s="381">
        <v>2111</v>
      </c>
      <c r="C262" s="382">
        <v>300089</v>
      </c>
      <c r="D262" s="381">
        <v>299121</v>
      </c>
      <c r="E262" s="383" t="s">
        <v>4240</v>
      </c>
      <c r="F262" s="392" t="s">
        <v>4411</v>
      </c>
      <c r="G262" s="392"/>
      <c r="H262" s="392"/>
      <c r="I262" s="381">
        <v>1</v>
      </c>
      <c r="J262" s="383"/>
      <c r="K262" s="381">
        <v>0</v>
      </c>
      <c r="L262" s="383" t="s">
        <v>1554</v>
      </c>
      <c r="M262" s="383"/>
      <c r="N262" s="383" t="s">
        <v>4445</v>
      </c>
      <c r="O262" s="383" t="s">
        <v>4441</v>
      </c>
      <c r="P262" s="383" t="s">
        <v>1467</v>
      </c>
      <c r="Q262" s="383"/>
      <c r="R262" s="383"/>
      <c r="S262" s="384">
        <v>44963</v>
      </c>
      <c r="T262" s="384">
        <v>44963</v>
      </c>
      <c r="U262" s="383" t="s">
        <v>4412</v>
      </c>
      <c r="V262" s="381">
        <v>1000</v>
      </c>
      <c r="W262" s="381">
        <v>14040</v>
      </c>
      <c r="X262" s="385">
        <v>1482.43</v>
      </c>
      <c r="Y262" s="381">
        <v>14046</v>
      </c>
      <c r="Z262" s="385">
        <v>247.04</v>
      </c>
      <c r="AA262" s="385">
        <f t="shared" si="44"/>
        <v>1235.3900000000001</v>
      </c>
      <c r="AB262" s="385">
        <v>111.15</v>
      </c>
      <c r="AC262" s="381">
        <v>51260</v>
      </c>
      <c r="AD262" s="385">
        <v>12.35</v>
      </c>
      <c r="AE262" s="381" t="s">
        <v>944</v>
      </c>
      <c r="AF262" s="383"/>
      <c r="AG262" s="383"/>
      <c r="AH262" s="383" t="s">
        <v>57</v>
      </c>
      <c r="AI262" s="383" t="s">
        <v>4442</v>
      </c>
      <c r="AJ262" s="383" t="s">
        <v>4443</v>
      </c>
      <c r="AK262" s="389" t="s">
        <v>4437</v>
      </c>
      <c r="AL262" s="389"/>
      <c r="AM262" s="389" t="s">
        <v>3939</v>
      </c>
      <c r="AN262" s="393">
        <f t="shared" si="45"/>
        <v>2</v>
      </c>
      <c r="AO262" s="393">
        <f t="shared" si="46"/>
        <v>2023</v>
      </c>
      <c r="AP262" s="394">
        <f t="shared" si="47"/>
        <v>2033</v>
      </c>
      <c r="AQ262" s="395">
        <f t="shared" si="48"/>
        <v>2033.1666666666667</v>
      </c>
      <c r="AR262" s="396">
        <f t="shared" si="49"/>
        <v>12.353583333333333</v>
      </c>
      <c r="AS262" s="397">
        <f t="shared" si="50"/>
        <v>148.24299999999999</v>
      </c>
      <c r="AT262" s="397">
        <f t="shared" si="51"/>
        <v>148.24299999999999</v>
      </c>
      <c r="AU262" s="397">
        <f t="shared" si="52"/>
        <v>172.95016666664424</v>
      </c>
      <c r="AV262" s="397">
        <f t="shared" si="53"/>
        <v>321.19316666664423</v>
      </c>
      <c r="AW262" s="398">
        <f t="shared" si="54"/>
        <v>1161.2368333333559</v>
      </c>
      <c r="AX262" s="386" t="s">
        <v>62</v>
      </c>
    </row>
    <row r="263" spans="2:50" ht="15.75" outlineLevel="1">
      <c r="B263" s="381">
        <v>2111</v>
      </c>
      <c r="C263" s="382">
        <v>299609</v>
      </c>
      <c r="D263" s="381">
        <v>291392</v>
      </c>
      <c r="E263" s="383" t="s">
        <v>4240</v>
      </c>
      <c r="F263" s="392" t="s">
        <v>4202</v>
      </c>
      <c r="G263" s="392"/>
      <c r="H263" s="392"/>
      <c r="I263" s="381">
        <v>1</v>
      </c>
      <c r="J263" s="383"/>
      <c r="K263" s="381">
        <v>0</v>
      </c>
      <c r="L263" s="383"/>
      <c r="M263" s="383"/>
      <c r="N263" s="383" t="s">
        <v>4452</v>
      </c>
      <c r="O263" s="383" t="s">
        <v>4441</v>
      </c>
      <c r="P263" s="383"/>
      <c r="Q263" s="383"/>
      <c r="R263" s="383"/>
      <c r="S263" s="384">
        <v>44928</v>
      </c>
      <c r="T263" s="384">
        <v>44928</v>
      </c>
      <c r="U263" s="383" t="s">
        <v>4413</v>
      </c>
      <c r="V263" s="381">
        <v>1000</v>
      </c>
      <c r="W263" s="381">
        <v>14080</v>
      </c>
      <c r="X263" s="385">
        <v>84926.9</v>
      </c>
      <c r="Y263" s="381">
        <v>14086</v>
      </c>
      <c r="Z263" s="385">
        <v>14862.17</v>
      </c>
      <c r="AA263" s="385">
        <f t="shared" si="44"/>
        <v>70064.73</v>
      </c>
      <c r="AB263" s="385">
        <v>6369.48</v>
      </c>
      <c r="AC263" s="381">
        <v>57260</v>
      </c>
      <c r="AD263" s="385">
        <v>707.72</v>
      </c>
      <c r="AE263" s="381" t="s">
        <v>944</v>
      </c>
      <c r="AF263" s="383"/>
      <c r="AG263" s="383"/>
      <c r="AH263" s="383" t="s">
        <v>57</v>
      </c>
      <c r="AI263" s="383" t="s">
        <v>4442</v>
      </c>
      <c r="AJ263" s="383" t="s">
        <v>4443</v>
      </c>
      <c r="AK263" s="389" t="s">
        <v>4437</v>
      </c>
      <c r="AL263" s="389"/>
      <c r="AM263" s="389" t="s">
        <v>136</v>
      </c>
      <c r="AN263" s="393">
        <f t="shared" si="45"/>
        <v>1</v>
      </c>
      <c r="AO263" s="393">
        <f t="shared" si="46"/>
        <v>2023</v>
      </c>
      <c r="AP263" s="394">
        <f t="shared" si="47"/>
        <v>2033</v>
      </c>
      <c r="AQ263" s="395">
        <f t="shared" si="48"/>
        <v>2033.0833333333333</v>
      </c>
      <c r="AR263" s="396">
        <f t="shared" si="49"/>
        <v>707.72416666666652</v>
      </c>
      <c r="AS263" s="397">
        <f t="shared" si="50"/>
        <v>8492.6899999999987</v>
      </c>
      <c r="AT263" s="397">
        <f t="shared" si="51"/>
        <v>8492.6899999999987</v>
      </c>
      <c r="AU263" s="397">
        <f t="shared" si="52"/>
        <v>10615.862500000003</v>
      </c>
      <c r="AV263" s="397">
        <f t="shared" si="53"/>
        <v>19108.552500000002</v>
      </c>
      <c r="AW263" s="398">
        <f t="shared" si="54"/>
        <v>65818.347499999989</v>
      </c>
      <c r="AX263" s="386" t="s">
        <v>62</v>
      </c>
    </row>
    <row r="264" spans="2:50" ht="15.75" outlineLevel="1">
      <c r="B264" s="381">
        <v>2111</v>
      </c>
      <c r="C264" s="382">
        <v>299571</v>
      </c>
      <c r="D264" s="381">
        <v>299121</v>
      </c>
      <c r="E264" s="383" t="s">
        <v>4240</v>
      </c>
      <c r="F264" s="392" t="s">
        <v>4414</v>
      </c>
      <c r="G264" s="392"/>
      <c r="H264" s="392"/>
      <c r="I264" s="381">
        <v>1</v>
      </c>
      <c r="J264" s="383" t="s">
        <v>4415</v>
      </c>
      <c r="K264" s="381">
        <v>2023</v>
      </c>
      <c r="L264" s="383"/>
      <c r="M264" s="383"/>
      <c r="N264" s="383" t="s">
        <v>4445</v>
      </c>
      <c r="O264" s="383" t="s">
        <v>4441</v>
      </c>
      <c r="P264" s="383" t="s">
        <v>4482</v>
      </c>
      <c r="Q264" s="383"/>
      <c r="R264" s="383"/>
      <c r="S264" s="384">
        <v>44928</v>
      </c>
      <c r="T264" s="384">
        <v>44928</v>
      </c>
      <c r="U264" s="383" t="s">
        <v>4416</v>
      </c>
      <c r="V264" s="381">
        <v>1000</v>
      </c>
      <c r="W264" s="381">
        <v>14040</v>
      </c>
      <c r="X264" s="385">
        <v>203250.03</v>
      </c>
      <c r="Y264" s="381">
        <v>14046</v>
      </c>
      <c r="Z264" s="385">
        <v>35568.75</v>
      </c>
      <c r="AA264" s="385">
        <f t="shared" si="44"/>
        <v>167681.28</v>
      </c>
      <c r="AB264" s="385">
        <v>15243.75</v>
      </c>
      <c r="AC264" s="381">
        <v>51260</v>
      </c>
      <c r="AD264" s="385">
        <v>1693.75</v>
      </c>
      <c r="AE264" s="381" t="s">
        <v>944</v>
      </c>
      <c r="AF264" s="383"/>
      <c r="AG264" s="383"/>
      <c r="AH264" s="383" t="s">
        <v>57</v>
      </c>
      <c r="AI264" s="383" t="s">
        <v>4442</v>
      </c>
      <c r="AJ264" s="383" t="s">
        <v>4443</v>
      </c>
      <c r="AK264" s="389" t="s">
        <v>4437</v>
      </c>
      <c r="AL264" s="389"/>
      <c r="AM264" s="389" t="s">
        <v>3939</v>
      </c>
      <c r="AN264" s="393">
        <f t="shared" si="45"/>
        <v>1</v>
      </c>
      <c r="AO264" s="393">
        <f t="shared" si="46"/>
        <v>2023</v>
      </c>
      <c r="AP264" s="394">
        <f t="shared" si="47"/>
        <v>2033</v>
      </c>
      <c r="AQ264" s="395">
        <f t="shared" si="48"/>
        <v>2033.0833333333333</v>
      </c>
      <c r="AR264" s="396">
        <f t="shared" si="49"/>
        <v>1693.7502500000001</v>
      </c>
      <c r="AS264" s="397">
        <f t="shared" si="50"/>
        <v>20325.003000000001</v>
      </c>
      <c r="AT264" s="397">
        <f t="shared" si="51"/>
        <v>20325.003000000001</v>
      </c>
      <c r="AU264" s="397">
        <f t="shared" si="52"/>
        <v>25406.253750000003</v>
      </c>
      <c r="AV264" s="397">
        <f t="shared" si="53"/>
        <v>45731.25675</v>
      </c>
      <c r="AW264" s="398">
        <f t="shared" si="54"/>
        <v>157518.77325</v>
      </c>
      <c r="AX264" s="386" t="s">
        <v>62</v>
      </c>
    </row>
    <row r="265" spans="2:50" ht="15.75" outlineLevel="1">
      <c r="B265" s="381">
        <v>2111</v>
      </c>
      <c r="C265" s="382">
        <v>299292</v>
      </c>
      <c r="D265" s="381" t="s">
        <v>944</v>
      </c>
      <c r="E265" s="383" t="s">
        <v>4240</v>
      </c>
      <c r="F265" s="392" t="s">
        <v>1134</v>
      </c>
      <c r="G265" s="392"/>
      <c r="H265" s="392"/>
      <c r="I265" s="381">
        <v>936</v>
      </c>
      <c r="J265" s="383"/>
      <c r="K265" s="381">
        <v>0</v>
      </c>
      <c r="L265" s="383" t="s">
        <v>1462</v>
      </c>
      <c r="M265" s="383"/>
      <c r="N265" s="383" t="s">
        <v>4446</v>
      </c>
      <c r="O265" s="383" t="s">
        <v>4441</v>
      </c>
      <c r="P265" s="383"/>
      <c r="Q265" s="383"/>
      <c r="R265" s="383"/>
      <c r="S265" s="384">
        <v>44928</v>
      </c>
      <c r="T265" s="384">
        <v>44928</v>
      </c>
      <c r="U265" s="383" t="s">
        <v>4417</v>
      </c>
      <c r="V265" s="381">
        <v>700</v>
      </c>
      <c r="W265" s="381">
        <v>14050</v>
      </c>
      <c r="X265" s="385">
        <v>52396.35</v>
      </c>
      <c r="Y265" s="381">
        <v>14056</v>
      </c>
      <c r="Z265" s="385">
        <v>13099.12</v>
      </c>
      <c r="AA265" s="385">
        <f t="shared" si="44"/>
        <v>39297.229999999996</v>
      </c>
      <c r="AB265" s="385">
        <v>5613.93</v>
      </c>
      <c r="AC265" s="381">
        <v>54260</v>
      </c>
      <c r="AD265" s="385">
        <v>623.77</v>
      </c>
      <c r="AE265" s="381" t="s">
        <v>944</v>
      </c>
      <c r="AF265" s="383"/>
      <c r="AG265" s="383"/>
      <c r="AH265" s="383" t="s">
        <v>57</v>
      </c>
      <c r="AI265" s="383" t="s">
        <v>4442</v>
      </c>
      <c r="AJ265" s="383" t="s">
        <v>4443</v>
      </c>
      <c r="AK265" s="389" t="s">
        <v>4437</v>
      </c>
      <c r="AL265" s="389"/>
      <c r="AM265" s="389" t="s">
        <v>1019</v>
      </c>
      <c r="AN265" s="393">
        <f t="shared" si="45"/>
        <v>1</v>
      </c>
      <c r="AO265" s="393">
        <f t="shared" si="46"/>
        <v>2023</v>
      </c>
      <c r="AP265" s="394">
        <f t="shared" si="47"/>
        <v>2030</v>
      </c>
      <c r="AQ265" s="395">
        <f t="shared" si="48"/>
        <v>2030.0833333333333</v>
      </c>
      <c r="AR265" s="396">
        <f t="shared" si="49"/>
        <v>623.76607142857142</v>
      </c>
      <c r="AS265" s="397">
        <f t="shared" si="50"/>
        <v>7485.1928571428571</v>
      </c>
      <c r="AT265" s="397">
        <f t="shared" si="51"/>
        <v>7485.1928571428571</v>
      </c>
      <c r="AU265" s="397">
        <f t="shared" si="52"/>
        <v>9356.4910714285725</v>
      </c>
      <c r="AV265" s="397">
        <f t="shared" si="53"/>
        <v>16841.68392857143</v>
      </c>
      <c r="AW265" s="398">
        <f t="shared" si="54"/>
        <v>35554.666071428568</v>
      </c>
      <c r="AX265" s="386" t="s">
        <v>62</v>
      </c>
    </row>
    <row r="266" spans="2:50" ht="15.75" outlineLevel="1">
      <c r="B266" s="381">
        <v>2111</v>
      </c>
      <c r="C266" s="382">
        <v>299121</v>
      </c>
      <c r="D266" s="381" t="s">
        <v>944</v>
      </c>
      <c r="E266" s="383" t="s">
        <v>4240</v>
      </c>
      <c r="F266" s="392" t="s">
        <v>4418</v>
      </c>
      <c r="G266" s="392"/>
      <c r="H266" s="392"/>
      <c r="I266" s="381">
        <v>1</v>
      </c>
      <c r="J266" s="383" t="s">
        <v>4415</v>
      </c>
      <c r="K266" s="381">
        <v>2023</v>
      </c>
      <c r="L266" s="383"/>
      <c r="M266" s="383"/>
      <c r="N266" s="383" t="s">
        <v>4445</v>
      </c>
      <c r="O266" s="383" t="s">
        <v>4441</v>
      </c>
      <c r="P266" s="383" t="s">
        <v>4482</v>
      </c>
      <c r="Q266" s="383"/>
      <c r="R266" s="383"/>
      <c r="S266" s="384">
        <v>44928</v>
      </c>
      <c r="T266" s="384">
        <v>44928</v>
      </c>
      <c r="U266" s="383" t="s">
        <v>4416</v>
      </c>
      <c r="V266" s="381">
        <v>1000</v>
      </c>
      <c r="W266" s="381">
        <v>14040</v>
      </c>
      <c r="X266" s="385">
        <v>201702.8</v>
      </c>
      <c r="Y266" s="381">
        <v>14046</v>
      </c>
      <c r="Z266" s="385">
        <v>35298.019999999997</v>
      </c>
      <c r="AA266" s="385">
        <f t="shared" si="44"/>
        <v>166404.78</v>
      </c>
      <c r="AB266" s="385">
        <v>15127.74</v>
      </c>
      <c r="AC266" s="381">
        <v>51260</v>
      </c>
      <c r="AD266" s="385">
        <v>1680.86</v>
      </c>
      <c r="AE266" s="381" t="s">
        <v>944</v>
      </c>
      <c r="AF266" s="383"/>
      <c r="AG266" s="383"/>
      <c r="AH266" s="383" t="s">
        <v>57</v>
      </c>
      <c r="AI266" s="383" t="s">
        <v>4442</v>
      </c>
      <c r="AJ266" s="383" t="s">
        <v>4443</v>
      </c>
      <c r="AK266" s="389" t="s">
        <v>4437</v>
      </c>
      <c r="AL266" s="389"/>
      <c r="AM266" s="389" t="s">
        <v>3939</v>
      </c>
      <c r="AN266" s="393">
        <f t="shared" si="45"/>
        <v>1</v>
      </c>
      <c r="AO266" s="393">
        <f t="shared" si="46"/>
        <v>2023</v>
      </c>
      <c r="AP266" s="394">
        <f t="shared" si="47"/>
        <v>2033</v>
      </c>
      <c r="AQ266" s="395">
        <f t="shared" si="48"/>
        <v>2033.0833333333333</v>
      </c>
      <c r="AR266" s="396">
        <f t="shared" si="49"/>
        <v>1680.8566666666666</v>
      </c>
      <c r="AS266" s="397">
        <f t="shared" si="50"/>
        <v>20170.28</v>
      </c>
      <c r="AT266" s="397">
        <f t="shared" si="51"/>
        <v>20170.28</v>
      </c>
      <c r="AU266" s="397">
        <f t="shared" si="52"/>
        <v>25212.850000000006</v>
      </c>
      <c r="AV266" s="397">
        <f t="shared" si="53"/>
        <v>45383.130000000005</v>
      </c>
      <c r="AW266" s="398">
        <f t="shared" si="54"/>
        <v>156319.66999999998</v>
      </c>
      <c r="AX266" s="386" t="s">
        <v>62</v>
      </c>
    </row>
    <row r="267" spans="2:50" ht="15.75" outlineLevel="1">
      <c r="B267" s="381">
        <v>2111</v>
      </c>
      <c r="C267" s="382">
        <v>298959</v>
      </c>
      <c r="D267" s="381">
        <v>298243</v>
      </c>
      <c r="E267" s="383" t="s">
        <v>4240</v>
      </c>
      <c r="F267" s="392" t="s">
        <v>4419</v>
      </c>
      <c r="G267" s="392"/>
      <c r="H267" s="392"/>
      <c r="I267" s="381">
        <v>1</v>
      </c>
      <c r="J267" s="383"/>
      <c r="K267" s="381">
        <v>0</v>
      </c>
      <c r="L267" s="383" t="s">
        <v>1684</v>
      </c>
      <c r="M267" s="383"/>
      <c r="N267" s="383" t="s">
        <v>4445</v>
      </c>
      <c r="O267" s="383" t="s">
        <v>4441</v>
      </c>
      <c r="P267" s="383" t="s">
        <v>1467</v>
      </c>
      <c r="Q267" s="383"/>
      <c r="R267" s="383"/>
      <c r="S267" s="384">
        <v>44928</v>
      </c>
      <c r="T267" s="384">
        <v>44928</v>
      </c>
      <c r="U267" s="383" t="s">
        <v>4420</v>
      </c>
      <c r="V267" s="381">
        <v>500</v>
      </c>
      <c r="W267" s="381">
        <v>14040</v>
      </c>
      <c r="X267" s="385">
        <v>353.65</v>
      </c>
      <c r="Y267" s="381">
        <v>14046</v>
      </c>
      <c r="Z267" s="385">
        <v>123.74</v>
      </c>
      <c r="AA267" s="385">
        <f t="shared" si="44"/>
        <v>229.90999999999997</v>
      </c>
      <c r="AB267" s="385">
        <v>53.01</v>
      </c>
      <c r="AC267" s="381">
        <v>51260</v>
      </c>
      <c r="AD267" s="385">
        <v>5.89</v>
      </c>
      <c r="AE267" s="381" t="s">
        <v>944</v>
      </c>
      <c r="AF267" s="383"/>
      <c r="AG267" s="383"/>
      <c r="AH267" s="383" t="s">
        <v>57</v>
      </c>
      <c r="AI267" s="383" t="s">
        <v>4442</v>
      </c>
      <c r="AJ267" s="383" t="s">
        <v>4443</v>
      </c>
      <c r="AK267" s="389" t="s">
        <v>4437</v>
      </c>
      <c r="AL267" s="389"/>
      <c r="AM267" s="389" t="s">
        <v>3939</v>
      </c>
      <c r="AN267" s="393">
        <f t="shared" si="45"/>
        <v>1</v>
      </c>
      <c r="AO267" s="393">
        <f t="shared" si="46"/>
        <v>2023</v>
      </c>
      <c r="AP267" s="394">
        <f t="shared" si="47"/>
        <v>2028</v>
      </c>
      <c r="AQ267" s="395">
        <f t="shared" si="48"/>
        <v>2028.0833333333333</v>
      </c>
      <c r="AR267" s="396">
        <f t="shared" si="49"/>
        <v>5.8941666666666661</v>
      </c>
      <c r="AS267" s="397">
        <f t="shared" si="50"/>
        <v>70.72999999999999</v>
      </c>
      <c r="AT267" s="397">
        <f t="shared" si="51"/>
        <v>70.72999999999999</v>
      </c>
      <c r="AU267" s="397">
        <f t="shared" si="52"/>
        <v>88.412500000000023</v>
      </c>
      <c r="AV267" s="397">
        <f t="shared" si="53"/>
        <v>159.14250000000001</v>
      </c>
      <c r="AW267" s="398">
        <f t="shared" si="54"/>
        <v>194.50749999999996</v>
      </c>
      <c r="AX267" s="386" t="s">
        <v>62</v>
      </c>
    </row>
    <row r="268" spans="2:50" ht="15.75" outlineLevel="1">
      <c r="B268" s="381">
        <v>2111</v>
      </c>
      <c r="C268" s="382">
        <v>298658</v>
      </c>
      <c r="D268" s="381">
        <v>299121</v>
      </c>
      <c r="E268" s="383" t="s">
        <v>4240</v>
      </c>
      <c r="F268" s="392" t="s">
        <v>4421</v>
      </c>
      <c r="G268" s="392"/>
      <c r="H268" s="392"/>
      <c r="I268" s="381">
        <v>1</v>
      </c>
      <c r="J268" s="383"/>
      <c r="K268" s="381">
        <v>0</v>
      </c>
      <c r="L268" s="383" t="s">
        <v>1684</v>
      </c>
      <c r="M268" s="383"/>
      <c r="N268" s="383" t="s">
        <v>4445</v>
      </c>
      <c r="O268" s="383" t="s">
        <v>4441</v>
      </c>
      <c r="P268" s="383" t="s">
        <v>1467</v>
      </c>
      <c r="Q268" s="383"/>
      <c r="R268" s="383"/>
      <c r="S268" s="384">
        <v>44936</v>
      </c>
      <c r="T268" s="384">
        <v>44936</v>
      </c>
      <c r="U268" s="383" t="s">
        <v>4412</v>
      </c>
      <c r="V268" s="381">
        <v>500</v>
      </c>
      <c r="W268" s="381">
        <v>14040</v>
      </c>
      <c r="X268" s="385">
        <v>353.65</v>
      </c>
      <c r="Y268" s="381">
        <v>14046</v>
      </c>
      <c r="Z268" s="385">
        <v>123.74</v>
      </c>
      <c r="AA268" s="385">
        <f t="shared" si="44"/>
        <v>229.90999999999997</v>
      </c>
      <c r="AB268" s="385">
        <v>53.01</v>
      </c>
      <c r="AC268" s="381">
        <v>51260</v>
      </c>
      <c r="AD268" s="385">
        <v>5.89</v>
      </c>
      <c r="AE268" s="381" t="s">
        <v>944</v>
      </c>
      <c r="AF268" s="383"/>
      <c r="AG268" s="383"/>
      <c r="AH268" s="383" t="s">
        <v>57</v>
      </c>
      <c r="AI268" s="383" t="s">
        <v>4442</v>
      </c>
      <c r="AJ268" s="383" t="s">
        <v>4443</v>
      </c>
      <c r="AK268" s="389" t="s">
        <v>4437</v>
      </c>
      <c r="AL268" s="389"/>
      <c r="AM268" s="389" t="s">
        <v>3939</v>
      </c>
      <c r="AN268" s="393">
        <f t="shared" si="45"/>
        <v>1</v>
      </c>
      <c r="AO268" s="393">
        <f t="shared" si="46"/>
        <v>2023</v>
      </c>
      <c r="AP268" s="394">
        <f t="shared" si="47"/>
        <v>2028</v>
      </c>
      <c r="AQ268" s="395">
        <f t="shared" si="48"/>
        <v>2028.0833333333333</v>
      </c>
      <c r="AR268" s="396">
        <f t="shared" si="49"/>
        <v>5.8941666666666661</v>
      </c>
      <c r="AS268" s="397">
        <f t="shared" si="50"/>
        <v>70.72999999999999</v>
      </c>
      <c r="AT268" s="397">
        <f t="shared" si="51"/>
        <v>70.72999999999999</v>
      </c>
      <c r="AU268" s="397">
        <f t="shared" si="52"/>
        <v>88.412500000000023</v>
      </c>
      <c r="AV268" s="397">
        <f t="shared" si="53"/>
        <v>159.14250000000001</v>
      </c>
      <c r="AW268" s="398">
        <f t="shared" si="54"/>
        <v>194.50749999999996</v>
      </c>
      <c r="AX268" s="386" t="s">
        <v>62</v>
      </c>
    </row>
    <row r="269" spans="2:50" ht="15.75" outlineLevel="1">
      <c r="B269" s="381">
        <v>2111</v>
      </c>
      <c r="C269" s="382">
        <v>298538</v>
      </c>
      <c r="D269" s="381" t="s">
        <v>944</v>
      </c>
      <c r="E269" s="383" t="s">
        <v>4240</v>
      </c>
      <c r="F269" s="392" t="s">
        <v>4422</v>
      </c>
      <c r="G269" s="392"/>
      <c r="H269" s="392"/>
      <c r="I269" s="381">
        <v>702</v>
      </c>
      <c r="J269" s="383"/>
      <c r="K269" s="381">
        <v>0</v>
      </c>
      <c r="L269" s="383" t="s">
        <v>1462</v>
      </c>
      <c r="M269" s="383"/>
      <c r="N269" s="383" t="s">
        <v>4446</v>
      </c>
      <c r="O269" s="383" t="s">
        <v>4441</v>
      </c>
      <c r="P269" s="383"/>
      <c r="Q269" s="383"/>
      <c r="R269" s="383"/>
      <c r="S269" s="384">
        <v>44928</v>
      </c>
      <c r="T269" s="384">
        <v>44928</v>
      </c>
      <c r="U269" s="383" t="s">
        <v>4417</v>
      </c>
      <c r="V269" s="381">
        <v>700</v>
      </c>
      <c r="W269" s="381">
        <v>14050</v>
      </c>
      <c r="X269" s="385">
        <v>43660.19</v>
      </c>
      <c r="Y269" s="381">
        <v>14056</v>
      </c>
      <c r="Z269" s="385">
        <v>10915.01</v>
      </c>
      <c r="AA269" s="385">
        <f t="shared" si="44"/>
        <v>32745.18</v>
      </c>
      <c r="AB269" s="385">
        <v>4677.84</v>
      </c>
      <c r="AC269" s="381">
        <v>54260</v>
      </c>
      <c r="AD269" s="385">
        <v>519.76</v>
      </c>
      <c r="AE269" s="381" t="s">
        <v>944</v>
      </c>
      <c r="AF269" s="383"/>
      <c r="AG269" s="383"/>
      <c r="AH269" s="383" t="s">
        <v>57</v>
      </c>
      <c r="AI269" s="383" t="s">
        <v>4442</v>
      </c>
      <c r="AJ269" s="383" t="s">
        <v>4443</v>
      </c>
      <c r="AK269" s="389" t="s">
        <v>4437</v>
      </c>
      <c r="AL269" s="389"/>
      <c r="AM269" s="389" t="s">
        <v>1019</v>
      </c>
      <c r="AN269" s="393">
        <f t="shared" si="45"/>
        <v>1</v>
      </c>
      <c r="AO269" s="393">
        <f t="shared" si="46"/>
        <v>2023</v>
      </c>
      <c r="AP269" s="394">
        <f t="shared" si="47"/>
        <v>2030</v>
      </c>
      <c r="AQ269" s="395">
        <f t="shared" si="48"/>
        <v>2030.0833333333333</v>
      </c>
      <c r="AR269" s="396">
        <f t="shared" si="49"/>
        <v>519.76416666666671</v>
      </c>
      <c r="AS269" s="397">
        <f t="shared" si="50"/>
        <v>6237.17</v>
      </c>
      <c r="AT269" s="397">
        <f t="shared" si="51"/>
        <v>6237.17</v>
      </c>
      <c r="AU269" s="397">
        <f t="shared" si="52"/>
        <v>7796.4625000000015</v>
      </c>
      <c r="AV269" s="397">
        <f t="shared" si="53"/>
        <v>14033.632500000002</v>
      </c>
      <c r="AW269" s="398">
        <f t="shared" si="54"/>
        <v>29626.557500000003</v>
      </c>
      <c r="AX269" s="386" t="s">
        <v>62</v>
      </c>
    </row>
    <row r="270" spans="2:50" ht="15.75" outlineLevel="1">
      <c r="B270" s="381">
        <v>2111</v>
      </c>
      <c r="C270" s="382">
        <v>298537</v>
      </c>
      <c r="D270" s="381" t="s">
        <v>944</v>
      </c>
      <c r="E270" s="383" t="s">
        <v>4240</v>
      </c>
      <c r="F270" s="392" t="s">
        <v>4327</v>
      </c>
      <c r="G270" s="392"/>
      <c r="H270" s="392"/>
      <c r="I270" s="381">
        <v>702</v>
      </c>
      <c r="J270" s="383"/>
      <c r="K270" s="381">
        <v>0</v>
      </c>
      <c r="L270" s="383" t="s">
        <v>1462</v>
      </c>
      <c r="M270" s="383"/>
      <c r="N270" s="383" t="s">
        <v>4446</v>
      </c>
      <c r="O270" s="383" t="s">
        <v>4441</v>
      </c>
      <c r="P270" s="383"/>
      <c r="Q270" s="383"/>
      <c r="R270" s="383"/>
      <c r="S270" s="384">
        <v>44928</v>
      </c>
      <c r="T270" s="384">
        <v>44928</v>
      </c>
      <c r="U270" s="383" t="s">
        <v>4417</v>
      </c>
      <c r="V270" s="381">
        <v>700</v>
      </c>
      <c r="W270" s="381">
        <v>14050</v>
      </c>
      <c r="X270" s="385">
        <v>43660.19</v>
      </c>
      <c r="Y270" s="381">
        <v>14056</v>
      </c>
      <c r="Z270" s="385">
        <v>10915.01</v>
      </c>
      <c r="AA270" s="385">
        <f t="shared" si="44"/>
        <v>32745.18</v>
      </c>
      <c r="AB270" s="385">
        <v>4677.84</v>
      </c>
      <c r="AC270" s="381">
        <v>54260</v>
      </c>
      <c r="AD270" s="385">
        <v>519.76</v>
      </c>
      <c r="AE270" s="381" t="s">
        <v>944</v>
      </c>
      <c r="AF270" s="383"/>
      <c r="AG270" s="383"/>
      <c r="AH270" s="383" t="s">
        <v>57</v>
      </c>
      <c r="AI270" s="383" t="s">
        <v>4442</v>
      </c>
      <c r="AJ270" s="383" t="s">
        <v>4443</v>
      </c>
      <c r="AK270" s="389" t="s">
        <v>4437</v>
      </c>
      <c r="AL270" s="389"/>
      <c r="AM270" s="389" t="s">
        <v>1019</v>
      </c>
      <c r="AN270" s="393">
        <f t="shared" si="45"/>
        <v>1</v>
      </c>
      <c r="AO270" s="393">
        <f t="shared" si="46"/>
        <v>2023</v>
      </c>
      <c r="AP270" s="394">
        <f t="shared" si="47"/>
        <v>2030</v>
      </c>
      <c r="AQ270" s="395">
        <f t="shared" si="48"/>
        <v>2030.0833333333333</v>
      </c>
      <c r="AR270" s="396">
        <f t="shared" si="49"/>
        <v>519.76416666666671</v>
      </c>
      <c r="AS270" s="397">
        <f t="shared" si="50"/>
        <v>6237.17</v>
      </c>
      <c r="AT270" s="397">
        <f t="shared" si="51"/>
        <v>6237.17</v>
      </c>
      <c r="AU270" s="397">
        <f t="shared" si="52"/>
        <v>7796.4625000000015</v>
      </c>
      <c r="AV270" s="397">
        <f t="shared" si="53"/>
        <v>14033.632500000002</v>
      </c>
      <c r="AW270" s="398">
        <f t="shared" si="54"/>
        <v>29626.557500000003</v>
      </c>
      <c r="AX270" s="386" t="s">
        <v>62</v>
      </c>
    </row>
    <row r="271" spans="2:50" ht="15.75" outlineLevel="1">
      <c r="B271" s="381">
        <v>2111</v>
      </c>
      <c r="C271" s="382">
        <v>298536</v>
      </c>
      <c r="D271" s="381" t="s">
        <v>944</v>
      </c>
      <c r="E271" s="383" t="s">
        <v>4240</v>
      </c>
      <c r="F271" s="392" t="s">
        <v>4327</v>
      </c>
      <c r="G271" s="392"/>
      <c r="H271" s="392"/>
      <c r="I271" s="381">
        <v>702</v>
      </c>
      <c r="J271" s="383"/>
      <c r="K271" s="381">
        <v>0</v>
      </c>
      <c r="L271" s="383" t="s">
        <v>1462</v>
      </c>
      <c r="M271" s="383"/>
      <c r="N271" s="383" t="s">
        <v>4446</v>
      </c>
      <c r="O271" s="383" t="s">
        <v>4441</v>
      </c>
      <c r="P271" s="383"/>
      <c r="Q271" s="383"/>
      <c r="R271" s="383"/>
      <c r="S271" s="384">
        <v>44928</v>
      </c>
      <c r="T271" s="384">
        <v>44928</v>
      </c>
      <c r="U271" s="383" t="s">
        <v>4417</v>
      </c>
      <c r="V271" s="381">
        <v>700</v>
      </c>
      <c r="W271" s="381">
        <v>14050</v>
      </c>
      <c r="X271" s="385">
        <v>43660.19</v>
      </c>
      <c r="Y271" s="381">
        <v>14056</v>
      </c>
      <c r="Z271" s="385">
        <v>10915.01</v>
      </c>
      <c r="AA271" s="385">
        <f t="shared" si="44"/>
        <v>32745.18</v>
      </c>
      <c r="AB271" s="385">
        <v>4677.84</v>
      </c>
      <c r="AC271" s="381">
        <v>54260</v>
      </c>
      <c r="AD271" s="385">
        <v>519.76</v>
      </c>
      <c r="AE271" s="381" t="s">
        <v>944</v>
      </c>
      <c r="AF271" s="383"/>
      <c r="AG271" s="383"/>
      <c r="AH271" s="383" t="s">
        <v>57</v>
      </c>
      <c r="AI271" s="383" t="s">
        <v>4442</v>
      </c>
      <c r="AJ271" s="383" t="s">
        <v>4443</v>
      </c>
      <c r="AK271" s="389" t="s">
        <v>4437</v>
      </c>
      <c r="AL271" s="389"/>
      <c r="AM271" s="389" t="s">
        <v>1019</v>
      </c>
      <c r="AN271" s="393">
        <f t="shared" si="45"/>
        <v>1</v>
      </c>
      <c r="AO271" s="393">
        <f t="shared" si="46"/>
        <v>2023</v>
      </c>
      <c r="AP271" s="394">
        <f t="shared" si="47"/>
        <v>2030</v>
      </c>
      <c r="AQ271" s="395">
        <f t="shared" si="48"/>
        <v>2030.0833333333333</v>
      </c>
      <c r="AR271" s="396">
        <f t="shared" si="49"/>
        <v>519.76416666666671</v>
      </c>
      <c r="AS271" s="397">
        <f t="shared" si="50"/>
        <v>6237.17</v>
      </c>
      <c r="AT271" s="397">
        <f t="shared" si="51"/>
        <v>6237.17</v>
      </c>
      <c r="AU271" s="397">
        <f t="shared" si="52"/>
        <v>7796.4625000000015</v>
      </c>
      <c r="AV271" s="397">
        <f t="shared" si="53"/>
        <v>14033.632500000002</v>
      </c>
      <c r="AW271" s="398">
        <f t="shared" si="54"/>
        <v>29626.557500000003</v>
      </c>
      <c r="AX271" s="386" t="s">
        <v>62</v>
      </c>
    </row>
    <row r="272" spans="2:50" ht="15.75" outlineLevel="1">
      <c r="B272" s="381">
        <v>2111</v>
      </c>
      <c r="C272" s="382">
        <v>298302</v>
      </c>
      <c r="D272" s="381" t="s">
        <v>944</v>
      </c>
      <c r="E272" s="383" t="s">
        <v>4240</v>
      </c>
      <c r="F272" s="392" t="s">
        <v>4423</v>
      </c>
      <c r="G272" s="392"/>
      <c r="H272" s="392"/>
      <c r="I272" s="381">
        <v>1</v>
      </c>
      <c r="J272" s="383" t="s">
        <v>4424</v>
      </c>
      <c r="K272" s="381">
        <v>2022</v>
      </c>
      <c r="L272" s="383"/>
      <c r="M272" s="383"/>
      <c r="N272" s="383" t="s">
        <v>4445</v>
      </c>
      <c r="O272" s="383" t="s">
        <v>4441</v>
      </c>
      <c r="P272" s="383" t="s">
        <v>4425</v>
      </c>
      <c r="Q272" s="383"/>
      <c r="R272" s="383"/>
      <c r="S272" s="384">
        <v>44928</v>
      </c>
      <c r="T272" s="384">
        <v>44928</v>
      </c>
      <c r="U272" s="383" t="s">
        <v>4426</v>
      </c>
      <c r="V272" s="381">
        <v>1000</v>
      </c>
      <c r="W272" s="381">
        <v>14040</v>
      </c>
      <c r="X272" s="385">
        <v>64798.29</v>
      </c>
      <c r="Y272" s="381">
        <v>14046</v>
      </c>
      <c r="Z272" s="385">
        <v>11339.74</v>
      </c>
      <c r="AA272" s="385">
        <f t="shared" si="44"/>
        <v>53458.55</v>
      </c>
      <c r="AB272" s="385">
        <v>4859.91</v>
      </c>
      <c r="AC272" s="381">
        <v>51260</v>
      </c>
      <c r="AD272" s="385">
        <v>539.99</v>
      </c>
      <c r="AE272" s="381" t="s">
        <v>944</v>
      </c>
      <c r="AF272" s="383"/>
      <c r="AG272" s="383"/>
      <c r="AH272" s="383" t="s">
        <v>57</v>
      </c>
      <c r="AI272" s="383" t="s">
        <v>4442</v>
      </c>
      <c r="AJ272" s="383" t="s">
        <v>4443</v>
      </c>
      <c r="AK272" s="389" t="s">
        <v>4437</v>
      </c>
      <c r="AL272" s="389"/>
      <c r="AM272" s="389" t="s">
        <v>582</v>
      </c>
      <c r="AN272" s="393">
        <f t="shared" si="45"/>
        <v>1</v>
      </c>
      <c r="AO272" s="393">
        <f t="shared" si="46"/>
        <v>2023</v>
      </c>
      <c r="AP272" s="394">
        <f t="shared" si="47"/>
        <v>2033</v>
      </c>
      <c r="AQ272" s="395">
        <f t="shared" si="48"/>
        <v>2033.0833333333333</v>
      </c>
      <c r="AR272" s="396">
        <f t="shared" si="49"/>
        <v>539.98574999999994</v>
      </c>
      <c r="AS272" s="397">
        <f t="shared" si="50"/>
        <v>6479.8289999999997</v>
      </c>
      <c r="AT272" s="397">
        <f t="shared" si="51"/>
        <v>6479.8289999999997</v>
      </c>
      <c r="AU272" s="397">
        <f t="shared" si="52"/>
        <v>8099.7862500000047</v>
      </c>
      <c r="AV272" s="397">
        <f t="shared" si="53"/>
        <v>14579.615250000004</v>
      </c>
      <c r="AW272" s="398">
        <f t="shared" si="54"/>
        <v>50218.674749999998</v>
      </c>
      <c r="AX272" s="386" t="s">
        <v>62</v>
      </c>
    </row>
    <row r="273" spans="2:50" ht="15.75" outlineLevel="1">
      <c r="B273" s="381">
        <v>2111</v>
      </c>
      <c r="C273" s="382">
        <v>298243</v>
      </c>
      <c r="D273" s="381" t="s">
        <v>944</v>
      </c>
      <c r="E273" s="383" t="s">
        <v>4240</v>
      </c>
      <c r="F273" s="392" t="s">
        <v>4212</v>
      </c>
      <c r="G273" s="392"/>
      <c r="H273" s="392"/>
      <c r="I273" s="381">
        <v>1</v>
      </c>
      <c r="J273" s="383" t="s">
        <v>4427</v>
      </c>
      <c r="K273" s="381">
        <v>2023</v>
      </c>
      <c r="L273" s="383"/>
      <c r="M273" s="383"/>
      <c r="N273" s="383" t="s">
        <v>4445</v>
      </c>
      <c r="O273" s="383" t="s">
        <v>4441</v>
      </c>
      <c r="P273" s="383" t="s">
        <v>4482</v>
      </c>
      <c r="Q273" s="383"/>
      <c r="R273" s="383"/>
      <c r="S273" s="384">
        <v>44928</v>
      </c>
      <c r="T273" s="384">
        <v>44928</v>
      </c>
      <c r="U273" s="383" t="s">
        <v>4428</v>
      </c>
      <c r="V273" s="381">
        <v>1000</v>
      </c>
      <c r="W273" s="381">
        <v>14040</v>
      </c>
      <c r="X273" s="385">
        <v>404952.83</v>
      </c>
      <c r="Y273" s="381">
        <v>14046</v>
      </c>
      <c r="Z273" s="385">
        <v>70866.77</v>
      </c>
      <c r="AA273" s="385">
        <f t="shared" si="44"/>
        <v>334086.06</v>
      </c>
      <c r="AB273" s="385">
        <v>30371.49</v>
      </c>
      <c r="AC273" s="381">
        <v>51260</v>
      </c>
      <c r="AD273" s="385">
        <v>3374.61</v>
      </c>
      <c r="AE273" s="381" t="s">
        <v>944</v>
      </c>
      <c r="AF273" s="383"/>
      <c r="AG273" s="383"/>
      <c r="AH273" s="383" t="s">
        <v>57</v>
      </c>
      <c r="AI273" s="383" t="s">
        <v>4442</v>
      </c>
      <c r="AJ273" s="383" t="s">
        <v>4443</v>
      </c>
      <c r="AK273" s="389" t="s">
        <v>4437</v>
      </c>
      <c r="AL273" s="389"/>
      <c r="AM273" s="389" t="s">
        <v>3939</v>
      </c>
      <c r="AN273" s="393">
        <f t="shared" si="45"/>
        <v>1</v>
      </c>
      <c r="AO273" s="393">
        <f t="shared" si="46"/>
        <v>2023</v>
      </c>
      <c r="AP273" s="394">
        <f t="shared" si="47"/>
        <v>2033</v>
      </c>
      <c r="AQ273" s="395">
        <f t="shared" si="48"/>
        <v>2033.0833333333333</v>
      </c>
      <c r="AR273" s="396">
        <f t="shared" si="49"/>
        <v>3374.6069166666671</v>
      </c>
      <c r="AS273" s="397">
        <f t="shared" si="50"/>
        <v>40495.283000000003</v>
      </c>
      <c r="AT273" s="397">
        <f t="shared" si="51"/>
        <v>40495.283000000003</v>
      </c>
      <c r="AU273" s="397">
        <f t="shared" si="52"/>
        <v>50619.103749999951</v>
      </c>
      <c r="AV273" s="397">
        <f t="shared" si="53"/>
        <v>91114.386749999947</v>
      </c>
      <c r="AW273" s="398">
        <f t="shared" si="54"/>
        <v>313838.44325000007</v>
      </c>
      <c r="AX273" s="386" t="s">
        <v>62</v>
      </c>
    </row>
    <row r="274" spans="2:50" ht="15.75" outlineLevel="1">
      <c r="B274" s="381">
        <v>2111</v>
      </c>
      <c r="C274" s="382">
        <v>297971</v>
      </c>
      <c r="D274" s="381">
        <v>291161</v>
      </c>
      <c r="E274" s="383" t="s">
        <v>4240</v>
      </c>
      <c r="F274" s="392" t="s">
        <v>4429</v>
      </c>
      <c r="G274" s="392"/>
      <c r="H274" s="392"/>
      <c r="I274" s="381">
        <v>1</v>
      </c>
      <c r="J274" s="383"/>
      <c r="K274" s="381">
        <v>0</v>
      </c>
      <c r="L274" s="383" t="s">
        <v>4430</v>
      </c>
      <c r="M274" s="383"/>
      <c r="N274" s="383" t="s">
        <v>4462</v>
      </c>
      <c r="O274" s="383" t="s">
        <v>4441</v>
      </c>
      <c r="P274" s="383"/>
      <c r="Q274" s="383"/>
      <c r="R274" s="383"/>
      <c r="S274" s="384">
        <v>44928</v>
      </c>
      <c r="T274" s="384">
        <v>44928</v>
      </c>
      <c r="U274" s="383" t="s">
        <v>4179</v>
      </c>
      <c r="V274" s="381">
        <v>1000</v>
      </c>
      <c r="W274" s="381">
        <v>14010</v>
      </c>
      <c r="X274" s="385">
        <v>24471.7</v>
      </c>
      <c r="Y274" s="381">
        <v>14016</v>
      </c>
      <c r="Z274" s="385">
        <v>4282.5200000000004</v>
      </c>
      <c r="AA274" s="385">
        <f t="shared" si="44"/>
        <v>20189.18</v>
      </c>
      <c r="AB274" s="385">
        <v>1835.37</v>
      </c>
      <c r="AC274" s="381">
        <v>57260</v>
      </c>
      <c r="AD274" s="385">
        <v>203.93</v>
      </c>
      <c r="AE274" s="381" t="s">
        <v>944</v>
      </c>
      <c r="AF274" s="383"/>
      <c r="AG274" s="383"/>
      <c r="AH274" s="383" t="s">
        <v>57</v>
      </c>
      <c r="AI274" s="383" t="s">
        <v>4442</v>
      </c>
      <c r="AJ274" s="383" t="s">
        <v>4443</v>
      </c>
      <c r="AK274" s="389" t="s">
        <v>4437</v>
      </c>
      <c r="AL274" s="389"/>
      <c r="AM274" s="389" t="s">
        <v>1077</v>
      </c>
      <c r="AN274" s="393">
        <f t="shared" si="45"/>
        <v>1</v>
      </c>
      <c r="AO274" s="393">
        <f t="shared" si="46"/>
        <v>2023</v>
      </c>
      <c r="AP274" s="394">
        <f t="shared" si="47"/>
        <v>2033</v>
      </c>
      <c r="AQ274" s="395">
        <f t="shared" si="48"/>
        <v>2033.0833333333333</v>
      </c>
      <c r="AR274" s="396">
        <f t="shared" si="49"/>
        <v>203.93083333333334</v>
      </c>
      <c r="AS274" s="397">
        <f t="shared" si="50"/>
        <v>2447.17</v>
      </c>
      <c r="AT274" s="397">
        <f t="shared" si="51"/>
        <v>2447.17</v>
      </c>
      <c r="AU274" s="397">
        <f t="shared" si="52"/>
        <v>3058.9625000000015</v>
      </c>
      <c r="AV274" s="397">
        <f t="shared" si="53"/>
        <v>5506.1325000000015</v>
      </c>
      <c r="AW274" s="398">
        <f t="shared" si="54"/>
        <v>18965.567499999997</v>
      </c>
      <c r="AX274" s="386" t="s">
        <v>62</v>
      </c>
    </row>
    <row r="275" spans="2:50" ht="15.75" outlineLevel="1">
      <c r="B275" s="381">
        <v>2111</v>
      </c>
      <c r="C275" s="382">
        <v>297501</v>
      </c>
      <c r="D275" s="381" t="s">
        <v>944</v>
      </c>
      <c r="E275" s="383" t="s">
        <v>4240</v>
      </c>
      <c r="F275" s="392" t="s">
        <v>4431</v>
      </c>
      <c r="G275" s="392"/>
      <c r="H275" s="392"/>
      <c r="I275" s="381">
        <v>1</v>
      </c>
      <c r="J275" s="383"/>
      <c r="K275" s="381">
        <v>0</v>
      </c>
      <c r="L275" s="383"/>
      <c r="M275" s="383"/>
      <c r="N275" s="383" t="s">
        <v>4446</v>
      </c>
      <c r="O275" s="383" t="s">
        <v>4441</v>
      </c>
      <c r="P275" s="383"/>
      <c r="Q275" s="383"/>
      <c r="R275" s="383"/>
      <c r="S275" s="384">
        <v>44926</v>
      </c>
      <c r="T275" s="384">
        <v>44926</v>
      </c>
      <c r="U275" s="383" t="s">
        <v>4215</v>
      </c>
      <c r="V275" s="381">
        <v>1200</v>
      </c>
      <c r="W275" s="381">
        <v>14050</v>
      </c>
      <c r="X275" s="385">
        <v>23770.959999999999</v>
      </c>
      <c r="Y275" s="381">
        <v>14056</v>
      </c>
      <c r="Z275" s="385">
        <v>3466.63</v>
      </c>
      <c r="AA275" s="385">
        <f t="shared" si="44"/>
        <v>20304.329999999998</v>
      </c>
      <c r="AB275" s="385">
        <v>1485.72</v>
      </c>
      <c r="AC275" s="381">
        <v>54260</v>
      </c>
      <c r="AD275" s="385">
        <v>165.08</v>
      </c>
      <c r="AE275" s="381" t="s">
        <v>944</v>
      </c>
      <c r="AF275" s="383"/>
      <c r="AG275" s="383"/>
      <c r="AH275" s="383" t="s">
        <v>57</v>
      </c>
      <c r="AI275" s="383" t="s">
        <v>4442</v>
      </c>
      <c r="AJ275" s="383" t="s">
        <v>4443</v>
      </c>
      <c r="AK275" s="389" t="s">
        <v>4437</v>
      </c>
      <c r="AL275" s="389"/>
      <c r="AM275" s="389" t="s">
        <v>1341</v>
      </c>
      <c r="AN275" s="393">
        <f t="shared" si="45"/>
        <v>12</v>
      </c>
      <c r="AO275" s="393">
        <f t="shared" si="46"/>
        <v>2022</v>
      </c>
      <c r="AP275" s="394">
        <f t="shared" si="47"/>
        <v>2034</v>
      </c>
      <c r="AQ275" s="395">
        <f t="shared" si="48"/>
        <v>2035</v>
      </c>
      <c r="AR275" s="396">
        <f t="shared" si="49"/>
        <v>165.07611111111109</v>
      </c>
      <c r="AS275" s="397">
        <f t="shared" si="50"/>
        <v>1980.913333333333</v>
      </c>
      <c r="AT275" s="397">
        <f t="shared" si="51"/>
        <v>1980.913333333333</v>
      </c>
      <c r="AU275" s="397">
        <f t="shared" si="52"/>
        <v>2641.2177777776305</v>
      </c>
      <c r="AV275" s="397">
        <f t="shared" si="53"/>
        <v>4622.1311111109635</v>
      </c>
      <c r="AW275" s="398">
        <f t="shared" si="54"/>
        <v>19148.828888889035</v>
      </c>
      <c r="AX275" s="386" t="s">
        <v>62</v>
      </c>
    </row>
    <row r="276" spans="2:50" ht="15.75" outlineLevel="1">
      <c r="B276" s="381">
        <v>2111</v>
      </c>
      <c r="C276" s="382">
        <v>297391</v>
      </c>
      <c r="D276" s="381">
        <v>173323</v>
      </c>
      <c r="E276" s="383" t="s">
        <v>4240</v>
      </c>
      <c r="F276" s="392" t="s">
        <v>75</v>
      </c>
      <c r="G276" s="392"/>
      <c r="H276" s="392"/>
      <c r="I276" s="381">
        <v>1</v>
      </c>
      <c r="J276" s="383"/>
      <c r="K276" s="381">
        <v>0</v>
      </c>
      <c r="L276" s="383"/>
      <c r="M276" s="383"/>
      <c r="N276" s="383" t="s">
        <v>4445</v>
      </c>
      <c r="O276" s="383" t="s">
        <v>4441</v>
      </c>
      <c r="P276" s="383" t="s">
        <v>1467</v>
      </c>
      <c r="Q276" s="383"/>
      <c r="R276" s="383"/>
      <c r="S276" s="384">
        <v>44811</v>
      </c>
      <c r="T276" s="384">
        <v>44811</v>
      </c>
      <c r="U276" s="383" t="s">
        <v>4171</v>
      </c>
      <c r="V276" s="381">
        <v>300</v>
      </c>
      <c r="W276" s="381">
        <v>14040</v>
      </c>
      <c r="X276" s="385">
        <v>14508.42</v>
      </c>
      <c r="Y276" s="381">
        <v>14046</v>
      </c>
      <c r="Z276" s="385">
        <v>10075.280000000001</v>
      </c>
      <c r="AA276" s="385">
        <f t="shared" si="44"/>
        <v>4433.1399999999994</v>
      </c>
      <c r="AB276" s="385">
        <v>3627.09</v>
      </c>
      <c r="AC276" s="381">
        <v>51260</v>
      </c>
      <c r="AD276" s="385">
        <v>403.01</v>
      </c>
      <c r="AE276" s="381" t="s">
        <v>944</v>
      </c>
      <c r="AF276" s="383"/>
      <c r="AG276" s="383"/>
      <c r="AH276" s="383" t="s">
        <v>57</v>
      </c>
      <c r="AI276" s="383" t="s">
        <v>4442</v>
      </c>
      <c r="AJ276" s="383" t="s">
        <v>4443</v>
      </c>
      <c r="AK276" s="389" t="s">
        <v>4437</v>
      </c>
      <c r="AL276" s="389"/>
      <c r="AM276" s="389" t="s">
        <v>3939</v>
      </c>
      <c r="AN276" s="393">
        <f t="shared" si="45"/>
        <v>9</v>
      </c>
      <c r="AO276" s="393">
        <f t="shared" si="46"/>
        <v>2022</v>
      </c>
      <c r="AP276" s="394">
        <f t="shared" si="47"/>
        <v>2025</v>
      </c>
      <c r="AQ276" s="395">
        <f t="shared" si="48"/>
        <v>2025.75</v>
      </c>
      <c r="AR276" s="396">
        <f t="shared" si="49"/>
        <v>403.01166666666671</v>
      </c>
      <c r="AS276" s="397">
        <f t="shared" si="50"/>
        <v>4836.1400000000003</v>
      </c>
      <c r="AT276" s="397">
        <f t="shared" si="51"/>
        <v>4836.1400000000003</v>
      </c>
      <c r="AU276" s="397">
        <f t="shared" si="52"/>
        <v>7657.2216666662998</v>
      </c>
      <c r="AV276" s="397">
        <f t="shared" si="53"/>
        <v>12493.3616666663</v>
      </c>
      <c r="AW276" s="398">
        <f t="shared" si="54"/>
        <v>2015.0583333336999</v>
      </c>
      <c r="AX276" s="386" t="s">
        <v>62</v>
      </c>
    </row>
    <row r="277" spans="2:50" ht="15.75" outlineLevel="1">
      <c r="B277" s="381">
        <v>2111</v>
      </c>
      <c r="C277" s="382">
        <v>296257</v>
      </c>
      <c r="D277" s="381" t="s">
        <v>944</v>
      </c>
      <c r="E277" s="383" t="s">
        <v>4240</v>
      </c>
      <c r="F277" s="392" t="s">
        <v>4212</v>
      </c>
      <c r="G277" s="392"/>
      <c r="H277" s="392"/>
      <c r="I277" s="381">
        <v>1</v>
      </c>
      <c r="J277" s="383" t="s">
        <v>4213</v>
      </c>
      <c r="K277" s="381">
        <v>2023</v>
      </c>
      <c r="L277" s="383"/>
      <c r="M277" s="383"/>
      <c r="N277" s="383" t="s">
        <v>4445</v>
      </c>
      <c r="O277" s="383" t="s">
        <v>4441</v>
      </c>
      <c r="P277" s="383" t="s">
        <v>4482</v>
      </c>
      <c r="Q277" s="383"/>
      <c r="R277" s="383"/>
      <c r="S277" s="384">
        <v>44911</v>
      </c>
      <c r="T277" s="384">
        <v>44911</v>
      </c>
      <c r="U277" s="383" t="s">
        <v>4214</v>
      </c>
      <c r="V277" s="381">
        <v>1000</v>
      </c>
      <c r="W277" s="381">
        <v>14040</v>
      </c>
      <c r="X277" s="385">
        <v>404952.83</v>
      </c>
      <c r="Y277" s="381">
        <v>14046</v>
      </c>
      <c r="Z277" s="385">
        <v>70866.77</v>
      </c>
      <c r="AA277" s="385">
        <f t="shared" si="44"/>
        <v>334086.06</v>
      </c>
      <c r="AB277" s="385">
        <v>30371.49</v>
      </c>
      <c r="AC277" s="381">
        <v>51260</v>
      </c>
      <c r="AD277" s="385">
        <v>3374.61</v>
      </c>
      <c r="AE277" s="381" t="s">
        <v>944</v>
      </c>
      <c r="AF277" s="383"/>
      <c r="AG277" s="383"/>
      <c r="AH277" s="383" t="s">
        <v>57</v>
      </c>
      <c r="AI277" s="383" t="s">
        <v>4442</v>
      </c>
      <c r="AJ277" s="383" t="s">
        <v>4443</v>
      </c>
      <c r="AK277" s="389" t="s">
        <v>4437</v>
      </c>
      <c r="AL277" s="389"/>
      <c r="AM277" s="389" t="s">
        <v>3939</v>
      </c>
      <c r="AN277" s="393">
        <f t="shared" si="45"/>
        <v>12</v>
      </c>
      <c r="AO277" s="393">
        <f t="shared" si="46"/>
        <v>2022</v>
      </c>
      <c r="AP277" s="394">
        <f t="shared" si="47"/>
        <v>2032</v>
      </c>
      <c r="AQ277" s="395">
        <f t="shared" si="48"/>
        <v>2033</v>
      </c>
      <c r="AR277" s="396">
        <f t="shared" si="49"/>
        <v>3374.6069166666671</v>
      </c>
      <c r="AS277" s="397">
        <f t="shared" si="50"/>
        <v>40495.283000000003</v>
      </c>
      <c r="AT277" s="397">
        <f t="shared" si="51"/>
        <v>40495.283000000003</v>
      </c>
      <c r="AU277" s="397">
        <f t="shared" si="52"/>
        <v>53993.710666663595</v>
      </c>
      <c r="AV277" s="397">
        <f t="shared" si="53"/>
        <v>94488.993666663591</v>
      </c>
      <c r="AW277" s="398">
        <f t="shared" si="54"/>
        <v>310463.83633333643</v>
      </c>
      <c r="AX277" s="386" t="s">
        <v>62</v>
      </c>
    </row>
    <row r="278" spans="2:50" ht="15.75" outlineLevel="1">
      <c r="B278" s="381">
        <v>2111</v>
      </c>
      <c r="C278" s="382">
        <v>295716</v>
      </c>
      <c r="D278" s="381">
        <v>291161</v>
      </c>
      <c r="E278" s="383" t="s">
        <v>4240</v>
      </c>
      <c r="F278" s="392" t="s">
        <v>4193</v>
      </c>
      <c r="G278" s="392"/>
      <c r="H278" s="392"/>
      <c r="I278" s="381">
        <v>1</v>
      </c>
      <c r="J278" s="383"/>
      <c r="K278" s="381">
        <v>0</v>
      </c>
      <c r="L278" s="383" t="s">
        <v>4194</v>
      </c>
      <c r="M278" s="383"/>
      <c r="N278" s="383" t="s">
        <v>4462</v>
      </c>
      <c r="O278" s="383" t="s">
        <v>4441</v>
      </c>
      <c r="P278" s="383"/>
      <c r="Q278" s="383"/>
      <c r="R278" s="383"/>
      <c r="S278" s="384">
        <v>44803</v>
      </c>
      <c r="T278" s="384">
        <v>44803</v>
      </c>
      <c r="U278" s="383" t="s">
        <v>4179</v>
      </c>
      <c r="V278" s="381">
        <v>1000</v>
      </c>
      <c r="W278" s="381">
        <v>14010</v>
      </c>
      <c r="X278" s="385">
        <v>10120</v>
      </c>
      <c r="Y278" s="381">
        <v>14016</v>
      </c>
      <c r="Z278" s="385">
        <v>2108.3000000000002</v>
      </c>
      <c r="AA278" s="385">
        <f t="shared" si="44"/>
        <v>8011.7</v>
      </c>
      <c r="AB278" s="385">
        <v>758.97</v>
      </c>
      <c r="AC278" s="381">
        <v>57260</v>
      </c>
      <c r="AD278" s="385">
        <v>84.33</v>
      </c>
      <c r="AE278" s="381" t="s">
        <v>944</v>
      </c>
      <c r="AF278" s="383"/>
      <c r="AG278" s="383"/>
      <c r="AH278" s="383" t="s">
        <v>57</v>
      </c>
      <c r="AI278" s="383" t="s">
        <v>4442</v>
      </c>
      <c r="AJ278" s="383" t="s">
        <v>4443</v>
      </c>
      <c r="AK278" s="389" t="s">
        <v>4437</v>
      </c>
      <c r="AL278" s="389"/>
      <c r="AM278" s="389" t="s">
        <v>1077</v>
      </c>
      <c r="AN278" s="393">
        <f t="shared" si="45"/>
        <v>8</v>
      </c>
      <c r="AO278" s="393">
        <f t="shared" si="46"/>
        <v>2022</v>
      </c>
      <c r="AP278" s="394">
        <f t="shared" si="47"/>
        <v>2032</v>
      </c>
      <c r="AQ278" s="395">
        <f t="shared" si="48"/>
        <v>2032.6666666666667</v>
      </c>
      <c r="AR278" s="396">
        <f t="shared" si="49"/>
        <v>84.333333333333329</v>
      </c>
      <c r="AS278" s="397">
        <f t="shared" si="50"/>
        <v>1012</v>
      </c>
      <c r="AT278" s="397">
        <f t="shared" si="51"/>
        <v>1012</v>
      </c>
      <c r="AU278" s="397">
        <f t="shared" si="52"/>
        <v>1686.6666666665133</v>
      </c>
      <c r="AV278" s="397">
        <f t="shared" si="53"/>
        <v>2698.6666666665133</v>
      </c>
      <c r="AW278" s="398">
        <f t="shared" si="54"/>
        <v>7421.3333333334867</v>
      </c>
      <c r="AX278" s="386" t="s">
        <v>62</v>
      </c>
    </row>
    <row r="279" spans="2:50" ht="15.75" outlineLevel="1">
      <c r="B279" s="381">
        <v>2111</v>
      </c>
      <c r="C279" s="382">
        <v>294987</v>
      </c>
      <c r="D279" s="381">
        <v>291161</v>
      </c>
      <c r="E279" s="383" t="s">
        <v>4240</v>
      </c>
      <c r="F279" s="392" t="s">
        <v>4192</v>
      </c>
      <c r="G279" s="392"/>
      <c r="H279" s="392"/>
      <c r="I279" s="381">
        <v>1</v>
      </c>
      <c r="J279" s="383"/>
      <c r="K279" s="381">
        <v>0</v>
      </c>
      <c r="L279" s="383" t="s">
        <v>1784</v>
      </c>
      <c r="M279" s="383"/>
      <c r="N279" s="383" t="s">
        <v>4462</v>
      </c>
      <c r="O279" s="383" t="s">
        <v>4441</v>
      </c>
      <c r="P279" s="383"/>
      <c r="Q279" s="383"/>
      <c r="R279" s="383"/>
      <c r="S279" s="384">
        <v>44803</v>
      </c>
      <c r="T279" s="384">
        <v>44803</v>
      </c>
      <c r="U279" s="383" t="s">
        <v>4179</v>
      </c>
      <c r="V279" s="381">
        <v>1000</v>
      </c>
      <c r="W279" s="381">
        <v>14010</v>
      </c>
      <c r="X279" s="385">
        <v>345</v>
      </c>
      <c r="Y279" s="381">
        <v>14016</v>
      </c>
      <c r="Z279" s="385">
        <v>71.92</v>
      </c>
      <c r="AA279" s="385">
        <f t="shared" si="44"/>
        <v>273.08</v>
      </c>
      <c r="AB279" s="385">
        <v>25.92</v>
      </c>
      <c r="AC279" s="381">
        <v>57260</v>
      </c>
      <c r="AD279" s="385">
        <v>2.88</v>
      </c>
      <c r="AE279" s="381" t="s">
        <v>944</v>
      </c>
      <c r="AF279" s="383"/>
      <c r="AG279" s="383"/>
      <c r="AH279" s="383" t="s">
        <v>57</v>
      </c>
      <c r="AI279" s="383" t="s">
        <v>4442</v>
      </c>
      <c r="AJ279" s="383" t="s">
        <v>4443</v>
      </c>
      <c r="AK279" s="389" t="s">
        <v>4437</v>
      </c>
      <c r="AL279" s="389"/>
      <c r="AM279" s="389" t="s">
        <v>1077</v>
      </c>
      <c r="AN279" s="393">
        <f t="shared" si="45"/>
        <v>8</v>
      </c>
      <c r="AO279" s="393">
        <f t="shared" si="46"/>
        <v>2022</v>
      </c>
      <c r="AP279" s="394">
        <f t="shared" si="47"/>
        <v>2032</v>
      </c>
      <c r="AQ279" s="395">
        <f t="shared" si="48"/>
        <v>2032.6666666666667</v>
      </c>
      <c r="AR279" s="396">
        <f t="shared" si="49"/>
        <v>2.875</v>
      </c>
      <c r="AS279" s="397">
        <f t="shared" si="50"/>
        <v>34.5</v>
      </c>
      <c r="AT279" s="397">
        <f t="shared" si="51"/>
        <v>34.5</v>
      </c>
      <c r="AU279" s="397">
        <f t="shared" si="52"/>
        <v>57.49999999999477</v>
      </c>
      <c r="AV279" s="397">
        <f t="shared" si="53"/>
        <v>91.99999999999477</v>
      </c>
      <c r="AW279" s="398">
        <f t="shared" si="54"/>
        <v>253.00000000000523</v>
      </c>
      <c r="AX279" s="386" t="s">
        <v>62</v>
      </c>
    </row>
    <row r="280" spans="2:50" ht="15.75" outlineLevel="1">
      <c r="B280" s="381">
        <v>2111</v>
      </c>
      <c r="C280" s="382">
        <v>294986</v>
      </c>
      <c r="D280" s="381">
        <v>291161</v>
      </c>
      <c r="E280" s="383" t="s">
        <v>4240</v>
      </c>
      <c r="F280" s="392" t="s">
        <v>4191</v>
      </c>
      <c r="G280" s="392"/>
      <c r="H280" s="392"/>
      <c r="I280" s="381">
        <v>1</v>
      </c>
      <c r="J280" s="383"/>
      <c r="K280" s="381">
        <v>0</v>
      </c>
      <c r="L280" s="383" t="s">
        <v>1784</v>
      </c>
      <c r="M280" s="383"/>
      <c r="N280" s="383" t="s">
        <v>4462</v>
      </c>
      <c r="O280" s="383" t="s">
        <v>4441</v>
      </c>
      <c r="P280" s="383"/>
      <c r="Q280" s="383"/>
      <c r="R280" s="383"/>
      <c r="S280" s="384">
        <v>44803</v>
      </c>
      <c r="T280" s="384">
        <v>44803</v>
      </c>
      <c r="U280" s="383" t="s">
        <v>4179</v>
      </c>
      <c r="V280" s="381">
        <v>1000</v>
      </c>
      <c r="W280" s="381">
        <v>14010</v>
      </c>
      <c r="X280" s="385">
        <v>1381.3</v>
      </c>
      <c r="Y280" s="381">
        <v>14016</v>
      </c>
      <c r="Z280" s="385">
        <v>287.76</v>
      </c>
      <c r="AA280" s="385">
        <f t="shared" si="44"/>
        <v>1093.54</v>
      </c>
      <c r="AB280" s="385">
        <v>103.59</v>
      </c>
      <c r="AC280" s="381">
        <v>57260</v>
      </c>
      <c r="AD280" s="385">
        <v>11.51</v>
      </c>
      <c r="AE280" s="381" t="s">
        <v>944</v>
      </c>
      <c r="AF280" s="383"/>
      <c r="AG280" s="383"/>
      <c r="AH280" s="383" t="s">
        <v>57</v>
      </c>
      <c r="AI280" s="383" t="s">
        <v>4442</v>
      </c>
      <c r="AJ280" s="383" t="s">
        <v>4443</v>
      </c>
      <c r="AK280" s="389" t="s">
        <v>4437</v>
      </c>
      <c r="AL280" s="389"/>
      <c r="AM280" s="389" t="s">
        <v>1077</v>
      </c>
      <c r="AN280" s="393">
        <f t="shared" si="45"/>
        <v>8</v>
      </c>
      <c r="AO280" s="393">
        <f t="shared" si="46"/>
        <v>2022</v>
      </c>
      <c r="AP280" s="394">
        <f t="shared" si="47"/>
        <v>2032</v>
      </c>
      <c r="AQ280" s="395">
        <f t="shared" si="48"/>
        <v>2032.6666666666667</v>
      </c>
      <c r="AR280" s="396">
        <f t="shared" si="49"/>
        <v>11.510833333333332</v>
      </c>
      <c r="AS280" s="397">
        <f t="shared" si="50"/>
        <v>138.13</v>
      </c>
      <c r="AT280" s="397">
        <f t="shared" si="51"/>
        <v>138.13</v>
      </c>
      <c r="AU280" s="397">
        <f t="shared" si="52"/>
        <v>230.21666666664578</v>
      </c>
      <c r="AV280" s="397">
        <f t="shared" si="53"/>
        <v>368.34666666664577</v>
      </c>
      <c r="AW280" s="398">
        <f t="shared" si="54"/>
        <v>1012.9533333333542</v>
      </c>
      <c r="AX280" s="386" t="s">
        <v>62</v>
      </c>
    </row>
    <row r="281" spans="2:50" ht="15.75" outlineLevel="1">
      <c r="B281" s="381">
        <v>2111</v>
      </c>
      <c r="C281" s="382">
        <v>294985</v>
      </c>
      <c r="D281" s="381">
        <v>291161</v>
      </c>
      <c r="E281" s="383" t="s">
        <v>4240</v>
      </c>
      <c r="F281" s="392" t="s">
        <v>4190</v>
      </c>
      <c r="G281" s="392"/>
      <c r="H281" s="392"/>
      <c r="I281" s="381">
        <v>1</v>
      </c>
      <c r="J281" s="383"/>
      <c r="K281" s="381">
        <v>0</v>
      </c>
      <c r="L281" s="383" t="s">
        <v>1456</v>
      </c>
      <c r="M281" s="383"/>
      <c r="N281" s="383" t="s">
        <v>4462</v>
      </c>
      <c r="O281" s="383" t="s">
        <v>4441</v>
      </c>
      <c r="P281" s="383"/>
      <c r="Q281" s="383"/>
      <c r="R281" s="383"/>
      <c r="S281" s="384">
        <v>44803</v>
      </c>
      <c r="T281" s="384">
        <v>44803</v>
      </c>
      <c r="U281" s="383" t="s">
        <v>4179</v>
      </c>
      <c r="V281" s="381">
        <v>1000</v>
      </c>
      <c r="W281" s="381">
        <v>14010</v>
      </c>
      <c r="X281" s="385">
        <v>8422.75</v>
      </c>
      <c r="Y281" s="381">
        <v>14016</v>
      </c>
      <c r="Z281" s="385">
        <v>1754.75</v>
      </c>
      <c r="AA281" s="385">
        <f t="shared" si="44"/>
        <v>6668</v>
      </c>
      <c r="AB281" s="385">
        <v>631.71</v>
      </c>
      <c r="AC281" s="381">
        <v>57260</v>
      </c>
      <c r="AD281" s="385">
        <v>70.19</v>
      </c>
      <c r="AE281" s="381" t="s">
        <v>944</v>
      </c>
      <c r="AF281" s="383"/>
      <c r="AG281" s="383"/>
      <c r="AH281" s="383" t="s">
        <v>57</v>
      </c>
      <c r="AI281" s="383" t="s">
        <v>4442</v>
      </c>
      <c r="AJ281" s="383" t="s">
        <v>4443</v>
      </c>
      <c r="AK281" s="389" t="s">
        <v>4437</v>
      </c>
      <c r="AL281" s="389"/>
      <c r="AM281" s="389" t="s">
        <v>1077</v>
      </c>
      <c r="AN281" s="393">
        <f t="shared" si="45"/>
        <v>8</v>
      </c>
      <c r="AO281" s="393">
        <f t="shared" si="46"/>
        <v>2022</v>
      </c>
      <c r="AP281" s="394">
        <f t="shared" si="47"/>
        <v>2032</v>
      </c>
      <c r="AQ281" s="395">
        <f t="shared" si="48"/>
        <v>2032.6666666666667</v>
      </c>
      <c r="AR281" s="396">
        <f t="shared" si="49"/>
        <v>70.189583333333331</v>
      </c>
      <c r="AS281" s="397">
        <f t="shared" si="50"/>
        <v>842.27499999999998</v>
      </c>
      <c r="AT281" s="397">
        <f t="shared" si="51"/>
        <v>842.27499999999998</v>
      </c>
      <c r="AU281" s="397">
        <f t="shared" si="52"/>
        <v>1403.7916666665387</v>
      </c>
      <c r="AV281" s="397">
        <f t="shared" si="53"/>
        <v>2246.0666666665388</v>
      </c>
      <c r="AW281" s="398">
        <f t="shared" si="54"/>
        <v>6176.6833333334616</v>
      </c>
      <c r="AX281" s="386" t="s">
        <v>62</v>
      </c>
    </row>
    <row r="282" spans="2:50" ht="15.75" outlineLevel="1">
      <c r="B282" s="381">
        <v>2111</v>
      </c>
      <c r="C282" s="382">
        <v>294979</v>
      </c>
      <c r="D282" s="381" t="s">
        <v>944</v>
      </c>
      <c r="E282" s="383" t="s">
        <v>4240</v>
      </c>
      <c r="F282" s="392" t="s">
        <v>4432</v>
      </c>
      <c r="G282" s="392"/>
      <c r="H282" s="392"/>
      <c r="I282" s="381">
        <v>1</v>
      </c>
      <c r="J282" s="383"/>
      <c r="K282" s="381">
        <v>0</v>
      </c>
      <c r="L282" s="383" t="s">
        <v>4433</v>
      </c>
      <c r="M282" s="383"/>
      <c r="N282" s="383" t="s">
        <v>4451</v>
      </c>
      <c r="O282" s="383" t="s">
        <v>4441</v>
      </c>
      <c r="P282" s="383"/>
      <c r="Q282" s="383"/>
      <c r="R282" s="383"/>
      <c r="S282" s="384">
        <v>44865</v>
      </c>
      <c r="T282" s="384">
        <v>44865</v>
      </c>
      <c r="U282" s="383" t="s">
        <v>4434</v>
      </c>
      <c r="V282" s="381">
        <v>500</v>
      </c>
      <c r="W282" s="381">
        <v>14070</v>
      </c>
      <c r="X282" s="385">
        <v>1804</v>
      </c>
      <c r="Y282" s="381">
        <v>14076</v>
      </c>
      <c r="Z282" s="385">
        <v>691.56</v>
      </c>
      <c r="AA282" s="385">
        <f t="shared" si="44"/>
        <v>1112.44</v>
      </c>
      <c r="AB282" s="385">
        <v>270.63</v>
      </c>
      <c r="AC282" s="381">
        <v>51260</v>
      </c>
      <c r="AD282" s="385">
        <v>30.07</v>
      </c>
      <c r="AE282" s="381" t="s">
        <v>944</v>
      </c>
      <c r="AF282" s="383"/>
      <c r="AG282" s="383"/>
      <c r="AH282" s="383" t="s">
        <v>57</v>
      </c>
      <c r="AI282" s="383" t="s">
        <v>4442</v>
      </c>
      <c r="AJ282" s="383" t="s">
        <v>4443</v>
      </c>
      <c r="AK282" s="389" t="s">
        <v>4437</v>
      </c>
      <c r="AL282" s="389"/>
      <c r="AM282" s="389" t="s">
        <v>4101</v>
      </c>
      <c r="AN282" s="393">
        <f t="shared" si="45"/>
        <v>10</v>
      </c>
      <c r="AO282" s="393">
        <f t="shared" si="46"/>
        <v>2022</v>
      </c>
      <c r="AP282" s="394">
        <f t="shared" si="47"/>
        <v>2027</v>
      </c>
      <c r="AQ282" s="395">
        <f t="shared" si="48"/>
        <v>2027.8333333333333</v>
      </c>
      <c r="AR282" s="396">
        <f t="shared" si="49"/>
        <v>30.066666666666666</v>
      </c>
      <c r="AS282" s="397">
        <f t="shared" si="50"/>
        <v>360.8</v>
      </c>
      <c r="AT282" s="397">
        <f t="shared" si="51"/>
        <v>360.8</v>
      </c>
      <c r="AU282" s="397">
        <f t="shared" si="52"/>
        <v>541.20000000000005</v>
      </c>
      <c r="AV282" s="397">
        <f t="shared" si="53"/>
        <v>902</v>
      </c>
      <c r="AW282" s="398">
        <f t="shared" si="54"/>
        <v>902</v>
      </c>
      <c r="AX282" s="386" t="s">
        <v>62</v>
      </c>
    </row>
    <row r="283" spans="2:50" ht="15.75" outlineLevel="1">
      <c r="B283" s="381">
        <v>2111</v>
      </c>
      <c r="C283" s="382">
        <v>294816</v>
      </c>
      <c r="D283" s="381" t="s">
        <v>944</v>
      </c>
      <c r="E283" s="383" t="s">
        <v>4240</v>
      </c>
      <c r="F283" s="392" t="s">
        <v>4210</v>
      </c>
      <c r="G283" s="392"/>
      <c r="H283" s="392"/>
      <c r="I283" s="381">
        <v>1</v>
      </c>
      <c r="J283" s="383"/>
      <c r="K283" s="381">
        <v>0</v>
      </c>
      <c r="L283" s="383" t="s">
        <v>2821</v>
      </c>
      <c r="M283" s="383"/>
      <c r="N283" s="383" t="s">
        <v>4440</v>
      </c>
      <c r="O283" s="383" t="s">
        <v>4441</v>
      </c>
      <c r="P283" s="383"/>
      <c r="Q283" s="383"/>
      <c r="R283" s="383"/>
      <c r="S283" s="384">
        <v>44896</v>
      </c>
      <c r="T283" s="384">
        <v>44896</v>
      </c>
      <c r="U283" s="383" t="s">
        <v>4211</v>
      </c>
      <c r="V283" s="381">
        <v>300</v>
      </c>
      <c r="W283" s="381">
        <v>14110</v>
      </c>
      <c r="X283" s="385">
        <v>29604.04</v>
      </c>
      <c r="Y283" s="381">
        <v>14116</v>
      </c>
      <c r="Z283" s="385">
        <v>18091.32</v>
      </c>
      <c r="AA283" s="385">
        <f t="shared" si="44"/>
        <v>11512.720000000001</v>
      </c>
      <c r="AB283" s="385">
        <v>7400.97</v>
      </c>
      <c r="AC283" s="381">
        <v>70260</v>
      </c>
      <c r="AD283" s="385">
        <v>822.33</v>
      </c>
      <c r="AE283" s="381" t="s">
        <v>944</v>
      </c>
      <c r="AF283" s="383"/>
      <c r="AG283" s="383"/>
      <c r="AH283" s="383" t="s">
        <v>57</v>
      </c>
      <c r="AI283" s="383" t="s">
        <v>4442</v>
      </c>
      <c r="AJ283" s="383" t="s">
        <v>4443</v>
      </c>
      <c r="AK283" s="389" t="s">
        <v>4437</v>
      </c>
      <c r="AL283" s="389"/>
      <c r="AM283" s="389" t="s">
        <v>250</v>
      </c>
      <c r="AN283" s="393">
        <f t="shared" si="45"/>
        <v>12</v>
      </c>
      <c r="AO283" s="393">
        <f t="shared" si="46"/>
        <v>2022</v>
      </c>
      <c r="AP283" s="394">
        <f t="shared" si="47"/>
        <v>2025</v>
      </c>
      <c r="AQ283" s="395">
        <f t="shared" si="48"/>
        <v>2026</v>
      </c>
      <c r="AR283" s="396">
        <f t="shared" si="49"/>
        <v>822.33444444444456</v>
      </c>
      <c r="AS283" s="397">
        <f t="shared" si="50"/>
        <v>9868.0133333333342</v>
      </c>
      <c r="AT283" s="397">
        <f t="shared" si="51"/>
        <v>9868.0133333333342</v>
      </c>
      <c r="AU283" s="397">
        <f t="shared" si="52"/>
        <v>13157.351111110362</v>
      </c>
      <c r="AV283" s="397">
        <f t="shared" si="53"/>
        <v>23025.364444443694</v>
      </c>
      <c r="AW283" s="398">
        <f t="shared" si="54"/>
        <v>6578.6755555563068</v>
      </c>
      <c r="AX283" s="386" t="s">
        <v>62</v>
      </c>
    </row>
    <row r="284" spans="2:50" ht="15.75" outlineLevel="1">
      <c r="B284" s="381">
        <v>2111</v>
      </c>
      <c r="C284" s="382">
        <v>294815</v>
      </c>
      <c r="D284" s="381">
        <v>289376</v>
      </c>
      <c r="E284" s="383" t="s">
        <v>4240</v>
      </c>
      <c r="F284" s="392" t="s">
        <v>4174</v>
      </c>
      <c r="G284" s="392"/>
      <c r="H284" s="392"/>
      <c r="I284" s="381">
        <v>1</v>
      </c>
      <c r="J284" s="383"/>
      <c r="K284" s="381">
        <v>0</v>
      </c>
      <c r="L284" s="383" t="s">
        <v>1686</v>
      </c>
      <c r="M284" s="383"/>
      <c r="N284" s="383" t="s">
        <v>4440</v>
      </c>
      <c r="O284" s="383" t="s">
        <v>4441</v>
      </c>
      <c r="P284" s="383"/>
      <c r="Q284" s="383"/>
      <c r="R284" s="383"/>
      <c r="S284" s="384">
        <v>44750</v>
      </c>
      <c r="T284" s="384">
        <v>44750</v>
      </c>
      <c r="U284" s="383" t="s">
        <v>4159</v>
      </c>
      <c r="V284" s="381">
        <v>300</v>
      </c>
      <c r="W284" s="381">
        <v>14110</v>
      </c>
      <c r="X284" s="385">
        <v>1482.8</v>
      </c>
      <c r="Y284" s="381">
        <v>14116</v>
      </c>
      <c r="Z284" s="385">
        <v>1112.1099999999999</v>
      </c>
      <c r="AA284" s="385">
        <f t="shared" si="44"/>
        <v>370.69000000000005</v>
      </c>
      <c r="AB284" s="385">
        <v>370.71</v>
      </c>
      <c r="AC284" s="381">
        <v>70260</v>
      </c>
      <c r="AD284" s="385">
        <v>41.19</v>
      </c>
      <c r="AE284" s="381" t="s">
        <v>944</v>
      </c>
      <c r="AF284" s="383"/>
      <c r="AG284" s="383"/>
      <c r="AH284" s="383" t="s">
        <v>57</v>
      </c>
      <c r="AI284" s="383" t="s">
        <v>4442</v>
      </c>
      <c r="AJ284" s="383" t="s">
        <v>4443</v>
      </c>
      <c r="AK284" s="389" t="s">
        <v>4437</v>
      </c>
      <c r="AL284" s="389" t="s">
        <v>301</v>
      </c>
      <c r="AM284" s="389" t="s">
        <v>4101</v>
      </c>
      <c r="AN284" s="393">
        <f t="shared" si="45"/>
        <v>7</v>
      </c>
      <c r="AO284" s="393">
        <f t="shared" si="46"/>
        <v>2022</v>
      </c>
      <c r="AP284" s="394">
        <f t="shared" si="47"/>
        <v>2025</v>
      </c>
      <c r="AQ284" s="395">
        <f t="shared" si="48"/>
        <v>2025.5833333333333</v>
      </c>
      <c r="AR284" s="396">
        <f t="shared" si="49"/>
        <v>41.18888888888889</v>
      </c>
      <c r="AS284" s="397">
        <f t="shared" si="50"/>
        <v>494.26666666666665</v>
      </c>
      <c r="AT284" s="397">
        <f t="shared" si="51"/>
        <v>494.26666666666665</v>
      </c>
      <c r="AU284" s="397">
        <f t="shared" si="52"/>
        <v>864.96666666666658</v>
      </c>
      <c r="AV284" s="397">
        <f t="shared" si="53"/>
        <v>1359.2333333333331</v>
      </c>
      <c r="AW284" s="398">
        <f t="shared" si="54"/>
        <v>123.56666666666683</v>
      </c>
      <c r="AX284" s="386" t="s">
        <v>62</v>
      </c>
    </row>
    <row r="285" spans="2:50" ht="15.75" outlineLevel="1">
      <c r="B285" s="381">
        <v>2111</v>
      </c>
      <c r="C285" s="382">
        <v>294773</v>
      </c>
      <c r="D285" s="381" t="s">
        <v>944</v>
      </c>
      <c r="E285" s="383" t="s">
        <v>4240</v>
      </c>
      <c r="F285" s="392" t="s">
        <v>4209</v>
      </c>
      <c r="G285" s="392"/>
      <c r="H285" s="392"/>
      <c r="I285" s="381">
        <v>15</v>
      </c>
      <c r="J285" s="383"/>
      <c r="K285" s="381">
        <v>0</v>
      </c>
      <c r="L285" s="383" t="s">
        <v>1726</v>
      </c>
      <c r="M285" s="383"/>
      <c r="N285" s="383" t="s">
        <v>4446</v>
      </c>
      <c r="O285" s="383" t="s">
        <v>4441</v>
      </c>
      <c r="P285" s="383"/>
      <c r="Q285" s="383" t="s">
        <v>4459</v>
      </c>
      <c r="R285" s="383" t="s">
        <v>4450</v>
      </c>
      <c r="S285" s="384">
        <v>44879</v>
      </c>
      <c r="T285" s="384">
        <v>44879</v>
      </c>
      <c r="U285" s="383" t="s">
        <v>4206</v>
      </c>
      <c r="V285" s="381">
        <v>1200</v>
      </c>
      <c r="W285" s="381">
        <v>14050</v>
      </c>
      <c r="X285" s="385">
        <v>15345</v>
      </c>
      <c r="Y285" s="381">
        <v>14056</v>
      </c>
      <c r="Z285" s="385">
        <v>2450.92</v>
      </c>
      <c r="AA285" s="385">
        <f t="shared" si="44"/>
        <v>12894.08</v>
      </c>
      <c r="AB285" s="385">
        <v>959.04</v>
      </c>
      <c r="AC285" s="381">
        <v>54260</v>
      </c>
      <c r="AD285" s="385">
        <v>106.56</v>
      </c>
      <c r="AE285" s="381" t="s">
        <v>944</v>
      </c>
      <c r="AF285" s="383"/>
      <c r="AG285" s="383"/>
      <c r="AH285" s="383" t="s">
        <v>57</v>
      </c>
      <c r="AI285" s="383" t="s">
        <v>4442</v>
      </c>
      <c r="AJ285" s="383" t="s">
        <v>4443</v>
      </c>
      <c r="AK285" s="389" t="s">
        <v>4437</v>
      </c>
      <c r="AL285" s="404"/>
      <c r="AM285" s="389" t="s">
        <v>1341</v>
      </c>
      <c r="AN285" s="393">
        <f t="shared" si="45"/>
        <v>11</v>
      </c>
      <c r="AO285" s="393">
        <f t="shared" si="46"/>
        <v>2022</v>
      </c>
      <c r="AP285" s="394">
        <f t="shared" si="47"/>
        <v>2034</v>
      </c>
      <c r="AQ285" s="395">
        <f t="shared" si="48"/>
        <v>2034.9166666666667</v>
      </c>
      <c r="AR285" s="396">
        <f t="shared" si="49"/>
        <v>106.5625</v>
      </c>
      <c r="AS285" s="397">
        <f t="shared" si="50"/>
        <v>1278.75</v>
      </c>
      <c r="AT285" s="397">
        <f t="shared" si="51"/>
        <v>1278.75</v>
      </c>
      <c r="AU285" s="397">
        <f t="shared" si="52"/>
        <v>1811.5624999998054</v>
      </c>
      <c r="AV285" s="397">
        <f t="shared" si="53"/>
        <v>3090.3124999998054</v>
      </c>
      <c r="AW285" s="398">
        <f t="shared" si="54"/>
        <v>12254.687500000195</v>
      </c>
      <c r="AX285" s="386" t="s">
        <v>62</v>
      </c>
    </row>
    <row r="286" spans="2:50" ht="15.75" outlineLevel="1">
      <c r="B286" s="381">
        <v>2111</v>
      </c>
      <c r="C286" s="382">
        <v>294699</v>
      </c>
      <c r="D286" s="381">
        <v>291161</v>
      </c>
      <c r="E286" s="383" t="s">
        <v>4240</v>
      </c>
      <c r="F286" s="392" t="s">
        <v>4189</v>
      </c>
      <c r="G286" s="392"/>
      <c r="H286" s="392"/>
      <c r="I286" s="381">
        <v>1</v>
      </c>
      <c r="J286" s="383"/>
      <c r="K286" s="381">
        <v>0</v>
      </c>
      <c r="L286" s="383" t="s">
        <v>4181</v>
      </c>
      <c r="M286" s="383"/>
      <c r="N286" s="383" t="s">
        <v>4462</v>
      </c>
      <c r="O286" s="383" t="s">
        <v>4441</v>
      </c>
      <c r="P286" s="383"/>
      <c r="Q286" s="383"/>
      <c r="R286" s="383"/>
      <c r="S286" s="384">
        <v>44803</v>
      </c>
      <c r="T286" s="384">
        <v>44803</v>
      </c>
      <c r="U286" s="383" t="s">
        <v>4179</v>
      </c>
      <c r="V286" s="381">
        <v>1000</v>
      </c>
      <c r="W286" s="381">
        <v>14010</v>
      </c>
      <c r="X286" s="385">
        <v>31.02</v>
      </c>
      <c r="Y286" s="381">
        <v>14016</v>
      </c>
      <c r="Z286" s="385">
        <v>6.47</v>
      </c>
      <c r="AA286" s="385">
        <f t="shared" si="44"/>
        <v>24.55</v>
      </c>
      <c r="AB286" s="385">
        <v>2.34</v>
      </c>
      <c r="AC286" s="381">
        <v>57260</v>
      </c>
      <c r="AD286" s="385">
        <v>0.26</v>
      </c>
      <c r="AE286" s="381" t="s">
        <v>944</v>
      </c>
      <c r="AF286" s="383"/>
      <c r="AG286" s="383"/>
      <c r="AH286" s="383" t="s">
        <v>57</v>
      </c>
      <c r="AI286" s="383" t="s">
        <v>4442</v>
      </c>
      <c r="AJ286" s="383" t="s">
        <v>4443</v>
      </c>
      <c r="AK286" s="389" t="s">
        <v>4437</v>
      </c>
      <c r="AL286" s="389"/>
      <c r="AM286" s="389" t="s">
        <v>1077</v>
      </c>
      <c r="AN286" s="393">
        <f t="shared" si="45"/>
        <v>8</v>
      </c>
      <c r="AO286" s="393">
        <f t="shared" si="46"/>
        <v>2022</v>
      </c>
      <c r="AP286" s="394">
        <f t="shared" si="47"/>
        <v>2032</v>
      </c>
      <c r="AQ286" s="395">
        <f t="shared" si="48"/>
        <v>2032.6666666666667</v>
      </c>
      <c r="AR286" s="396">
        <f t="shared" si="49"/>
        <v>0.25850000000000001</v>
      </c>
      <c r="AS286" s="397">
        <f t="shared" si="50"/>
        <v>3.1020000000000003</v>
      </c>
      <c r="AT286" s="397">
        <f t="shared" si="51"/>
        <v>3.1020000000000003</v>
      </c>
      <c r="AU286" s="397">
        <f t="shared" si="52"/>
        <v>5.1699999999995292</v>
      </c>
      <c r="AV286" s="397">
        <f t="shared" si="53"/>
        <v>8.2719999999995295</v>
      </c>
      <c r="AW286" s="398">
        <f t="shared" si="54"/>
        <v>22.74800000000047</v>
      </c>
      <c r="AX286" s="386" t="s">
        <v>62</v>
      </c>
    </row>
    <row r="287" spans="2:50" ht="15.75" outlineLevel="1">
      <c r="B287" s="381">
        <v>2111</v>
      </c>
      <c r="C287" s="382">
        <v>294698</v>
      </c>
      <c r="D287" s="381">
        <v>291161</v>
      </c>
      <c r="E287" s="383" t="s">
        <v>4240</v>
      </c>
      <c r="F287" s="392" t="s">
        <v>4188</v>
      </c>
      <c r="G287" s="392"/>
      <c r="H287" s="392"/>
      <c r="I287" s="381">
        <v>1</v>
      </c>
      <c r="J287" s="383"/>
      <c r="K287" s="381">
        <v>0</v>
      </c>
      <c r="L287" s="383" t="s">
        <v>4181</v>
      </c>
      <c r="M287" s="383"/>
      <c r="N287" s="383" t="s">
        <v>4462</v>
      </c>
      <c r="O287" s="383" t="s">
        <v>4441</v>
      </c>
      <c r="P287" s="383"/>
      <c r="Q287" s="383"/>
      <c r="R287" s="383"/>
      <c r="S287" s="384">
        <v>44803</v>
      </c>
      <c r="T287" s="384">
        <v>44803</v>
      </c>
      <c r="U287" s="383" t="s">
        <v>4179</v>
      </c>
      <c r="V287" s="381">
        <v>1000</v>
      </c>
      <c r="W287" s="381">
        <v>14010</v>
      </c>
      <c r="X287" s="385">
        <v>41.14</v>
      </c>
      <c r="Y287" s="381">
        <v>14016</v>
      </c>
      <c r="Z287" s="385">
        <v>8.5399999999999991</v>
      </c>
      <c r="AA287" s="385">
        <f t="shared" si="44"/>
        <v>32.6</v>
      </c>
      <c r="AB287" s="385">
        <v>3.06</v>
      </c>
      <c r="AC287" s="381">
        <v>57260</v>
      </c>
      <c r="AD287" s="385">
        <v>0.34</v>
      </c>
      <c r="AE287" s="381" t="s">
        <v>944</v>
      </c>
      <c r="AF287" s="383"/>
      <c r="AG287" s="383"/>
      <c r="AH287" s="383" t="s">
        <v>57</v>
      </c>
      <c r="AI287" s="383" t="s">
        <v>4442</v>
      </c>
      <c r="AJ287" s="383" t="s">
        <v>4443</v>
      </c>
      <c r="AK287" s="389" t="s">
        <v>4437</v>
      </c>
      <c r="AL287" s="389"/>
      <c r="AM287" s="389" t="s">
        <v>1077</v>
      </c>
      <c r="AN287" s="393">
        <f t="shared" si="45"/>
        <v>8</v>
      </c>
      <c r="AO287" s="393">
        <f t="shared" si="46"/>
        <v>2022</v>
      </c>
      <c r="AP287" s="394">
        <f t="shared" si="47"/>
        <v>2032</v>
      </c>
      <c r="AQ287" s="395">
        <f t="shared" si="48"/>
        <v>2032.6666666666667</v>
      </c>
      <c r="AR287" s="396">
        <f t="shared" si="49"/>
        <v>0.34283333333333332</v>
      </c>
      <c r="AS287" s="397">
        <f t="shared" si="50"/>
        <v>4.1139999999999999</v>
      </c>
      <c r="AT287" s="397">
        <f t="shared" si="51"/>
        <v>4.1139999999999999</v>
      </c>
      <c r="AU287" s="397">
        <f t="shared" si="52"/>
        <v>6.8566666666660439</v>
      </c>
      <c r="AV287" s="397">
        <f t="shared" si="53"/>
        <v>10.970666666666045</v>
      </c>
      <c r="AW287" s="398">
        <f t="shared" si="54"/>
        <v>30.169333333333956</v>
      </c>
      <c r="AX287" s="386" t="s">
        <v>62</v>
      </c>
    </row>
    <row r="288" spans="2:50" ht="15.75" outlineLevel="1">
      <c r="B288" s="381">
        <v>2111</v>
      </c>
      <c r="C288" s="382">
        <v>294697</v>
      </c>
      <c r="D288" s="381">
        <v>291161</v>
      </c>
      <c r="E288" s="383" t="s">
        <v>4240</v>
      </c>
      <c r="F288" s="392" t="s">
        <v>4187</v>
      </c>
      <c r="G288" s="392"/>
      <c r="H288" s="392"/>
      <c r="I288" s="381">
        <v>1</v>
      </c>
      <c r="J288" s="383"/>
      <c r="K288" s="381">
        <v>0</v>
      </c>
      <c r="L288" s="383" t="s">
        <v>4181</v>
      </c>
      <c r="M288" s="383"/>
      <c r="N288" s="383" t="s">
        <v>4462</v>
      </c>
      <c r="O288" s="383" t="s">
        <v>4441</v>
      </c>
      <c r="P288" s="383"/>
      <c r="Q288" s="383"/>
      <c r="R288" s="383"/>
      <c r="S288" s="384">
        <v>44803</v>
      </c>
      <c r="T288" s="384">
        <v>44803</v>
      </c>
      <c r="U288" s="383" t="s">
        <v>4179</v>
      </c>
      <c r="V288" s="381">
        <v>1000</v>
      </c>
      <c r="W288" s="381">
        <v>14010</v>
      </c>
      <c r="X288" s="385">
        <v>8250</v>
      </c>
      <c r="Y288" s="381">
        <v>14016</v>
      </c>
      <c r="Z288" s="385">
        <v>1718.75</v>
      </c>
      <c r="AA288" s="385">
        <f t="shared" si="44"/>
        <v>6531.25</v>
      </c>
      <c r="AB288" s="385">
        <v>618.75</v>
      </c>
      <c r="AC288" s="381">
        <v>57260</v>
      </c>
      <c r="AD288" s="385">
        <v>68.75</v>
      </c>
      <c r="AE288" s="381" t="s">
        <v>944</v>
      </c>
      <c r="AF288" s="383"/>
      <c r="AG288" s="383"/>
      <c r="AH288" s="383" t="s">
        <v>57</v>
      </c>
      <c r="AI288" s="383" t="s">
        <v>4442</v>
      </c>
      <c r="AJ288" s="383" t="s">
        <v>4443</v>
      </c>
      <c r="AK288" s="389" t="s">
        <v>4437</v>
      </c>
      <c r="AL288" s="389"/>
      <c r="AM288" s="389" t="s">
        <v>1077</v>
      </c>
      <c r="AN288" s="393">
        <f t="shared" si="45"/>
        <v>8</v>
      </c>
      <c r="AO288" s="393">
        <f t="shared" si="46"/>
        <v>2022</v>
      </c>
      <c r="AP288" s="394">
        <f t="shared" si="47"/>
        <v>2032</v>
      </c>
      <c r="AQ288" s="395">
        <f t="shared" si="48"/>
        <v>2032.6666666666667</v>
      </c>
      <c r="AR288" s="396">
        <f t="shared" si="49"/>
        <v>68.75</v>
      </c>
      <c r="AS288" s="397">
        <f t="shared" si="50"/>
        <v>825</v>
      </c>
      <c r="AT288" s="397">
        <f t="shared" si="51"/>
        <v>825</v>
      </c>
      <c r="AU288" s="397">
        <f t="shared" si="52"/>
        <v>1374.9999999998745</v>
      </c>
      <c r="AV288" s="397">
        <f t="shared" si="53"/>
        <v>2199.9999999998745</v>
      </c>
      <c r="AW288" s="398">
        <f t="shared" si="54"/>
        <v>6050.0000000001255</v>
      </c>
      <c r="AX288" s="386" t="s">
        <v>62</v>
      </c>
    </row>
    <row r="289" spans="2:50" ht="15.75" outlineLevel="1">
      <c r="B289" s="381">
        <v>2111</v>
      </c>
      <c r="C289" s="382">
        <v>294696</v>
      </c>
      <c r="D289" s="381">
        <v>291161</v>
      </c>
      <c r="E289" s="383" t="s">
        <v>4240</v>
      </c>
      <c r="F289" s="392" t="s">
        <v>4186</v>
      </c>
      <c r="G289" s="392"/>
      <c r="H289" s="392"/>
      <c r="I289" s="381">
        <v>1</v>
      </c>
      <c r="J289" s="383"/>
      <c r="K289" s="381">
        <v>0</v>
      </c>
      <c r="L289" s="383" t="s">
        <v>4181</v>
      </c>
      <c r="M289" s="383"/>
      <c r="N289" s="383" t="s">
        <v>4462</v>
      </c>
      <c r="O289" s="383" t="s">
        <v>4441</v>
      </c>
      <c r="P289" s="383"/>
      <c r="Q289" s="383"/>
      <c r="R289" s="383"/>
      <c r="S289" s="384">
        <v>44803</v>
      </c>
      <c r="T289" s="384">
        <v>44803</v>
      </c>
      <c r="U289" s="383" t="s">
        <v>4179</v>
      </c>
      <c r="V289" s="381">
        <v>1000</v>
      </c>
      <c r="W289" s="381">
        <v>14010</v>
      </c>
      <c r="X289" s="385">
        <v>-357.51</v>
      </c>
      <c r="Y289" s="381">
        <v>14016</v>
      </c>
      <c r="Z289" s="385">
        <v>-74.489999999999995</v>
      </c>
      <c r="AA289" s="385">
        <f t="shared" si="44"/>
        <v>-283.02</v>
      </c>
      <c r="AB289" s="385">
        <v>-26.82</v>
      </c>
      <c r="AC289" s="381">
        <v>57260</v>
      </c>
      <c r="AD289" s="385">
        <v>-2.98</v>
      </c>
      <c r="AE289" s="381" t="s">
        <v>944</v>
      </c>
      <c r="AF289" s="383"/>
      <c r="AG289" s="383"/>
      <c r="AH289" s="383" t="s">
        <v>57</v>
      </c>
      <c r="AI289" s="383" t="s">
        <v>4442</v>
      </c>
      <c r="AJ289" s="383" t="s">
        <v>4443</v>
      </c>
      <c r="AK289" s="389" t="s">
        <v>4437</v>
      </c>
      <c r="AL289" s="389"/>
      <c r="AM289" s="389" t="s">
        <v>1077</v>
      </c>
      <c r="AN289" s="393">
        <f t="shared" si="45"/>
        <v>8</v>
      </c>
      <c r="AO289" s="393">
        <f t="shared" si="46"/>
        <v>2022</v>
      </c>
      <c r="AP289" s="394">
        <f t="shared" si="47"/>
        <v>2032</v>
      </c>
      <c r="AQ289" s="395">
        <f t="shared" si="48"/>
        <v>2032.6666666666667</v>
      </c>
      <c r="AR289" s="396">
        <f t="shared" si="49"/>
        <v>-2.97925</v>
      </c>
      <c r="AS289" s="397">
        <f t="shared" si="50"/>
        <v>-35.750999999999998</v>
      </c>
      <c r="AT289" s="397">
        <f t="shared" si="51"/>
        <v>-35.750999999999998</v>
      </c>
      <c r="AU289" s="397">
        <f t="shared" si="52"/>
        <v>-59.584999999994579</v>
      </c>
      <c r="AV289" s="397">
        <f t="shared" si="53"/>
        <v>-95.335999999994584</v>
      </c>
      <c r="AW289" s="398">
        <f t="shared" si="54"/>
        <v>-262.17400000000544</v>
      </c>
      <c r="AX289" s="386" t="s">
        <v>62</v>
      </c>
    </row>
    <row r="290" spans="2:50" ht="15.75" outlineLevel="1">
      <c r="B290" s="381">
        <v>2111</v>
      </c>
      <c r="C290" s="382">
        <v>294695</v>
      </c>
      <c r="D290" s="381">
        <v>291161</v>
      </c>
      <c r="E290" s="383" t="s">
        <v>4240</v>
      </c>
      <c r="F290" s="392" t="s">
        <v>4185</v>
      </c>
      <c r="G290" s="392"/>
      <c r="H290" s="392"/>
      <c r="I290" s="381">
        <v>1</v>
      </c>
      <c r="J290" s="383"/>
      <c r="K290" s="381">
        <v>0</v>
      </c>
      <c r="L290" s="383" t="s">
        <v>4181</v>
      </c>
      <c r="M290" s="383"/>
      <c r="N290" s="383" t="s">
        <v>4462</v>
      </c>
      <c r="O290" s="383" t="s">
        <v>4441</v>
      </c>
      <c r="P290" s="383"/>
      <c r="Q290" s="383"/>
      <c r="R290" s="383"/>
      <c r="S290" s="384">
        <v>44803</v>
      </c>
      <c r="T290" s="384">
        <v>44803</v>
      </c>
      <c r="U290" s="383" t="s">
        <v>4179</v>
      </c>
      <c r="V290" s="381">
        <v>1000</v>
      </c>
      <c r="W290" s="381">
        <v>14010</v>
      </c>
      <c r="X290" s="385">
        <v>-2800.8</v>
      </c>
      <c r="Y290" s="381">
        <v>14016</v>
      </c>
      <c r="Z290" s="385">
        <v>-583.5</v>
      </c>
      <c r="AA290" s="385">
        <f t="shared" si="44"/>
        <v>-2217.3000000000002</v>
      </c>
      <c r="AB290" s="385">
        <v>-210.06</v>
      </c>
      <c r="AC290" s="381">
        <v>57260</v>
      </c>
      <c r="AD290" s="385">
        <v>-23.34</v>
      </c>
      <c r="AE290" s="381" t="s">
        <v>944</v>
      </c>
      <c r="AF290" s="383"/>
      <c r="AG290" s="383"/>
      <c r="AH290" s="383" t="s">
        <v>57</v>
      </c>
      <c r="AI290" s="383" t="s">
        <v>4442</v>
      </c>
      <c r="AJ290" s="383" t="s">
        <v>4443</v>
      </c>
      <c r="AK290" s="389" t="s">
        <v>4437</v>
      </c>
      <c r="AL290" s="389"/>
      <c r="AM290" s="389" t="s">
        <v>1077</v>
      </c>
      <c r="AN290" s="393">
        <f t="shared" si="45"/>
        <v>8</v>
      </c>
      <c r="AO290" s="393">
        <f t="shared" si="46"/>
        <v>2022</v>
      </c>
      <c r="AP290" s="394">
        <f t="shared" si="47"/>
        <v>2032</v>
      </c>
      <c r="AQ290" s="395">
        <f t="shared" si="48"/>
        <v>2032.6666666666667</v>
      </c>
      <c r="AR290" s="396">
        <f t="shared" si="49"/>
        <v>-23.340000000000003</v>
      </c>
      <c r="AS290" s="397">
        <f t="shared" si="50"/>
        <v>-280.08000000000004</v>
      </c>
      <c r="AT290" s="397">
        <f t="shared" si="51"/>
        <v>-280.08000000000004</v>
      </c>
      <c r="AU290" s="397">
        <f t="shared" si="52"/>
        <v>-466.79999999995744</v>
      </c>
      <c r="AV290" s="397">
        <f t="shared" si="53"/>
        <v>-746.87999999995748</v>
      </c>
      <c r="AW290" s="398">
        <f t="shared" si="54"/>
        <v>-2053.9200000000428</v>
      </c>
      <c r="AX290" s="386" t="s">
        <v>62</v>
      </c>
    </row>
    <row r="291" spans="2:50" ht="15.75" outlineLevel="1">
      <c r="B291" s="381">
        <v>2111</v>
      </c>
      <c r="C291" s="382">
        <v>294157</v>
      </c>
      <c r="D291" s="381" t="s">
        <v>944</v>
      </c>
      <c r="E291" s="383" t="s">
        <v>4240</v>
      </c>
      <c r="F291" s="392" t="s">
        <v>4208</v>
      </c>
      <c r="G291" s="392"/>
      <c r="H291" s="392"/>
      <c r="I291" s="381">
        <v>1</v>
      </c>
      <c r="J291" s="383"/>
      <c r="K291" s="381">
        <v>0</v>
      </c>
      <c r="L291" s="383" t="s">
        <v>1726</v>
      </c>
      <c r="M291" s="383"/>
      <c r="N291" s="383" t="s">
        <v>4446</v>
      </c>
      <c r="O291" s="383" t="s">
        <v>4441</v>
      </c>
      <c r="P291" s="383"/>
      <c r="Q291" s="383" t="s">
        <v>4479</v>
      </c>
      <c r="R291" s="383" t="s">
        <v>4450</v>
      </c>
      <c r="S291" s="384">
        <v>44852</v>
      </c>
      <c r="T291" s="384">
        <v>44852</v>
      </c>
      <c r="U291" s="383" t="s">
        <v>4206</v>
      </c>
      <c r="V291" s="381">
        <v>1200</v>
      </c>
      <c r="W291" s="381">
        <v>14050</v>
      </c>
      <c r="X291" s="385">
        <v>2007.5</v>
      </c>
      <c r="Y291" s="381">
        <v>14056</v>
      </c>
      <c r="Z291" s="385">
        <v>320.63</v>
      </c>
      <c r="AA291" s="385">
        <f t="shared" si="44"/>
        <v>1686.87</v>
      </c>
      <c r="AB291" s="385">
        <v>125.46</v>
      </c>
      <c r="AC291" s="381">
        <v>54260</v>
      </c>
      <c r="AD291" s="385">
        <v>13.94</v>
      </c>
      <c r="AE291" s="381" t="s">
        <v>944</v>
      </c>
      <c r="AF291" s="383"/>
      <c r="AG291" s="383"/>
      <c r="AH291" s="383" t="s">
        <v>57</v>
      </c>
      <c r="AI291" s="383" t="s">
        <v>4442</v>
      </c>
      <c r="AJ291" s="383" t="s">
        <v>4443</v>
      </c>
      <c r="AK291" s="389" t="s">
        <v>4437</v>
      </c>
      <c r="AL291" s="389"/>
      <c r="AM291" s="389" t="s">
        <v>1341</v>
      </c>
      <c r="AN291" s="393">
        <f t="shared" si="45"/>
        <v>10</v>
      </c>
      <c r="AO291" s="393">
        <f t="shared" si="46"/>
        <v>2022</v>
      </c>
      <c r="AP291" s="394">
        <f t="shared" si="47"/>
        <v>2034</v>
      </c>
      <c r="AQ291" s="395">
        <f t="shared" si="48"/>
        <v>2034.8333333333333</v>
      </c>
      <c r="AR291" s="396">
        <f t="shared" si="49"/>
        <v>13.940972222222221</v>
      </c>
      <c r="AS291" s="397">
        <f t="shared" si="50"/>
        <v>167.29166666666666</v>
      </c>
      <c r="AT291" s="397">
        <f t="shared" si="51"/>
        <v>167.29166666666666</v>
      </c>
      <c r="AU291" s="397">
        <f t="shared" si="52"/>
        <v>250.9375</v>
      </c>
      <c r="AV291" s="397">
        <f t="shared" si="53"/>
        <v>418.22916666666663</v>
      </c>
      <c r="AW291" s="398">
        <f t="shared" si="54"/>
        <v>1589.2708333333335</v>
      </c>
      <c r="AX291" s="386" t="s">
        <v>62</v>
      </c>
    </row>
    <row r="292" spans="2:50" ht="15.75" outlineLevel="1">
      <c r="B292" s="381">
        <v>2111</v>
      </c>
      <c r="C292" s="382">
        <v>294156</v>
      </c>
      <c r="D292" s="381" t="s">
        <v>944</v>
      </c>
      <c r="E292" s="383" t="s">
        <v>4240</v>
      </c>
      <c r="F292" s="392" t="s">
        <v>4208</v>
      </c>
      <c r="G292" s="392"/>
      <c r="H292" s="392"/>
      <c r="I292" s="381">
        <v>7</v>
      </c>
      <c r="J292" s="383"/>
      <c r="K292" s="381">
        <v>0</v>
      </c>
      <c r="L292" s="383" t="s">
        <v>1726</v>
      </c>
      <c r="M292" s="383"/>
      <c r="N292" s="383" t="s">
        <v>4446</v>
      </c>
      <c r="O292" s="383" t="s">
        <v>4441</v>
      </c>
      <c r="P292" s="383"/>
      <c r="Q292" s="383" t="s">
        <v>4479</v>
      </c>
      <c r="R292" s="383" t="s">
        <v>4450</v>
      </c>
      <c r="S292" s="384">
        <v>44852</v>
      </c>
      <c r="T292" s="384">
        <v>44852</v>
      </c>
      <c r="U292" s="383" t="s">
        <v>4206</v>
      </c>
      <c r="V292" s="381">
        <v>1200</v>
      </c>
      <c r="W292" s="381">
        <v>14050</v>
      </c>
      <c r="X292" s="385">
        <v>14052.5</v>
      </c>
      <c r="Y292" s="381">
        <v>14056</v>
      </c>
      <c r="Z292" s="385">
        <v>2244.52</v>
      </c>
      <c r="AA292" s="385">
        <f t="shared" si="44"/>
        <v>11807.98</v>
      </c>
      <c r="AB292" s="385">
        <v>878.31</v>
      </c>
      <c r="AC292" s="381">
        <v>54260</v>
      </c>
      <c r="AD292" s="385">
        <v>97.59</v>
      </c>
      <c r="AE292" s="381" t="s">
        <v>944</v>
      </c>
      <c r="AF292" s="383"/>
      <c r="AG292" s="383"/>
      <c r="AH292" s="383" t="s">
        <v>57</v>
      </c>
      <c r="AI292" s="383" t="s">
        <v>4442</v>
      </c>
      <c r="AJ292" s="383" t="s">
        <v>4443</v>
      </c>
      <c r="AK292" s="389" t="s">
        <v>4437</v>
      </c>
      <c r="AL292" s="389"/>
      <c r="AM292" s="389" t="s">
        <v>1341</v>
      </c>
      <c r="AN292" s="393">
        <f t="shared" si="45"/>
        <v>10</v>
      </c>
      <c r="AO292" s="393">
        <f t="shared" si="46"/>
        <v>2022</v>
      </c>
      <c r="AP292" s="394">
        <f t="shared" si="47"/>
        <v>2034</v>
      </c>
      <c r="AQ292" s="395">
        <f t="shared" si="48"/>
        <v>2034.8333333333333</v>
      </c>
      <c r="AR292" s="396">
        <f t="shared" si="49"/>
        <v>97.586805555555557</v>
      </c>
      <c r="AS292" s="397">
        <f t="shared" si="50"/>
        <v>1171.0416666666667</v>
      </c>
      <c r="AT292" s="397">
        <f t="shared" si="51"/>
        <v>1171.0416666666667</v>
      </c>
      <c r="AU292" s="397">
        <f t="shared" si="52"/>
        <v>1756.5625</v>
      </c>
      <c r="AV292" s="397">
        <f t="shared" si="53"/>
        <v>2927.604166666667</v>
      </c>
      <c r="AW292" s="398">
        <f t="shared" si="54"/>
        <v>11124.895833333332</v>
      </c>
      <c r="AX292" s="386" t="s">
        <v>62</v>
      </c>
    </row>
    <row r="293" spans="2:50" ht="15.75" outlineLevel="1">
      <c r="B293" s="381">
        <v>2111</v>
      </c>
      <c r="C293" s="382">
        <v>294155</v>
      </c>
      <c r="D293" s="381" t="s">
        <v>944</v>
      </c>
      <c r="E293" s="383" t="s">
        <v>4240</v>
      </c>
      <c r="F293" s="392" t="s">
        <v>4208</v>
      </c>
      <c r="G293" s="392"/>
      <c r="H293" s="392"/>
      <c r="I293" s="381">
        <v>8</v>
      </c>
      <c r="J293" s="383"/>
      <c r="K293" s="381">
        <v>0</v>
      </c>
      <c r="L293" s="383" t="s">
        <v>1726</v>
      </c>
      <c r="M293" s="383"/>
      <c r="N293" s="383" t="s">
        <v>4446</v>
      </c>
      <c r="O293" s="383" t="s">
        <v>4441</v>
      </c>
      <c r="P293" s="383"/>
      <c r="Q293" s="383" t="s">
        <v>4479</v>
      </c>
      <c r="R293" s="383" t="s">
        <v>4450</v>
      </c>
      <c r="S293" s="384">
        <v>44852</v>
      </c>
      <c r="T293" s="384">
        <v>44852</v>
      </c>
      <c r="U293" s="383" t="s">
        <v>4206</v>
      </c>
      <c r="V293" s="381">
        <v>1200</v>
      </c>
      <c r="W293" s="381">
        <v>14050</v>
      </c>
      <c r="X293" s="385">
        <v>16060</v>
      </c>
      <c r="Y293" s="381">
        <v>14056</v>
      </c>
      <c r="Z293" s="385">
        <v>2565.16</v>
      </c>
      <c r="AA293" s="385">
        <f t="shared" ref="AA293:AA356" si="55">+X293-Z293</f>
        <v>13494.84</v>
      </c>
      <c r="AB293" s="385">
        <v>1003.77</v>
      </c>
      <c r="AC293" s="381">
        <v>54260</v>
      </c>
      <c r="AD293" s="385">
        <v>111.53</v>
      </c>
      <c r="AE293" s="381" t="s">
        <v>944</v>
      </c>
      <c r="AF293" s="383"/>
      <c r="AG293" s="383"/>
      <c r="AH293" s="383" t="s">
        <v>57</v>
      </c>
      <c r="AI293" s="383" t="s">
        <v>4442</v>
      </c>
      <c r="AJ293" s="383" t="s">
        <v>4443</v>
      </c>
      <c r="AK293" s="389" t="s">
        <v>4437</v>
      </c>
      <c r="AL293" s="389"/>
      <c r="AM293" s="389" t="s">
        <v>1341</v>
      </c>
      <c r="AN293" s="393">
        <f t="shared" ref="AN293:AN356" si="56">MONTH($S293)</f>
        <v>10</v>
      </c>
      <c r="AO293" s="393">
        <f t="shared" ref="AO293:AO356" si="57">YEAR($S293)</f>
        <v>2022</v>
      </c>
      <c r="AP293" s="394">
        <f t="shared" ref="AP293:AP356" si="58">$AO293+($V293/100)</f>
        <v>2034</v>
      </c>
      <c r="AQ293" s="395">
        <f t="shared" ref="AQ293:AQ356" si="59">$AP293+($AN293/12)</f>
        <v>2034.8333333333333</v>
      </c>
      <c r="AR293" s="396">
        <f t="shared" ref="AR293:AR356" si="60">IFERROR($X293/($V293/100)/12,0)</f>
        <v>111.52777777777777</v>
      </c>
      <c r="AS293" s="397">
        <f t="shared" ref="AS293:AS356" si="61">$AR293*12</f>
        <v>1338.3333333333333</v>
      </c>
      <c r="AT293" s="397">
        <f t="shared" ref="AT293:AT321" si="62">IF(AQ293&lt;=$AK$12,0,AS293)</f>
        <v>1338.3333333333333</v>
      </c>
      <c r="AU293" s="397">
        <f t="shared" ref="AU293:AU356" si="63">IF(AQ293&lt;=$AK$13,X293,IF(((AO293+AN293/12))&gt;=$AK$13,0,((X293-((AQ293-$AK$13)*12)*AR293))))</f>
        <v>2007.5</v>
      </c>
      <c r="AV293" s="397">
        <f t="shared" ref="AV293:AV356" si="64">IF(AQ293&lt;=$AK$12,X293,AT293+AU293)</f>
        <v>3345.833333333333</v>
      </c>
      <c r="AW293" s="398">
        <f t="shared" ref="AW293:AW356" si="65">+X293-AV293</f>
        <v>12714.166666666668</v>
      </c>
      <c r="AX293" s="386" t="s">
        <v>62</v>
      </c>
    </row>
    <row r="294" spans="2:50" ht="15.75" outlineLevel="1">
      <c r="B294" s="381">
        <v>2111</v>
      </c>
      <c r="C294" s="382">
        <v>294154</v>
      </c>
      <c r="D294" s="381" t="s">
        <v>944</v>
      </c>
      <c r="E294" s="383" t="s">
        <v>4240</v>
      </c>
      <c r="F294" s="392" t="s">
        <v>4208</v>
      </c>
      <c r="G294" s="392"/>
      <c r="H294" s="392"/>
      <c r="I294" s="381">
        <v>1</v>
      </c>
      <c r="J294" s="383"/>
      <c r="K294" s="381">
        <v>0</v>
      </c>
      <c r="L294" s="383" t="s">
        <v>1726</v>
      </c>
      <c r="M294" s="383"/>
      <c r="N294" s="383" t="s">
        <v>4446</v>
      </c>
      <c r="O294" s="383" t="s">
        <v>4441</v>
      </c>
      <c r="P294" s="383"/>
      <c r="Q294" s="383" t="s">
        <v>4479</v>
      </c>
      <c r="R294" s="383" t="s">
        <v>4450</v>
      </c>
      <c r="S294" s="384">
        <v>44852</v>
      </c>
      <c r="T294" s="384">
        <v>44852</v>
      </c>
      <c r="U294" s="383" t="s">
        <v>4206</v>
      </c>
      <c r="V294" s="381">
        <v>1200</v>
      </c>
      <c r="W294" s="381">
        <v>14050</v>
      </c>
      <c r="X294" s="385">
        <v>715</v>
      </c>
      <c r="Y294" s="381">
        <v>14056</v>
      </c>
      <c r="Z294" s="385">
        <v>114.24</v>
      </c>
      <c r="AA294" s="385">
        <f t="shared" si="55"/>
        <v>600.76</v>
      </c>
      <c r="AB294" s="385">
        <v>44.73</v>
      </c>
      <c r="AC294" s="381">
        <v>54260</v>
      </c>
      <c r="AD294" s="385">
        <v>4.97</v>
      </c>
      <c r="AE294" s="381" t="s">
        <v>944</v>
      </c>
      <c r="AF294" s="383"/>
      <c r="AG294" s="383"/>
      <c r="AH294" s="383" t="s">
        <v>57</v>
      </c>
      <c r="AI294" s="383" t="s">
        <v>4442</v>
      </c>
      <c r="AJ294" s="383" t="s">
        <v>4443</v>
      </c>
      <c r="AK294" s="389" t="s">
        <v>4437</v>
      </c>
      <c r="AL294" s="389"/>
      <c r="AM294" s="389" t="s">
        <v>1341</v>
      </c>
      <c r="AN294" s="393">
        <f t="shared" si="56"/>
        <v>10</v>
      </c>
      <c r="AO294" s="393">
        <f t="shared" si="57"/>
        <v>2022</v>
      </c>
      <c r="AP294" s="394">
        <f t="shared" si="58"/>
        <v>2034</v>
      </c>
      <c r="AQ294" s="395">
        <f t="shared" si="59"/>
        <v>2034.8333333333333</v>
      </c>
      <c r="AR294" s="396">
        <f t="shared" si="60"/>
        <v>4.9652777777777777</v>
      </c>
      <c r="AS294" s="397">
        <f t="shared" si="61"/>
        <v>59.583333333333329</v>
      </c>
      <c r="AT294" s="397">
        <f t="shared" si="62"/>
        <v>59.583333333333329</v>
      </c>
      <c r="AU294" s="397">
        <f t="shared" si="63"/>
        <v>89.375</v>
      </c>
      <c r="AV294" s="397">
        <f t="shared" si="64"/>
        <v>148.95833333333331</v>
      </c>
      <c r="AW294" s="398">
        <f t="shared" si="65"/>
        <v>566.04166666666674</v>
      </c>
      <c r="AX294" s="386" t="s">
        <v>62</v>
      </c>
    </row>
    <row r="295" spans="2:50" ht="15.75" outlineLevel="1">
      <c r="B295" s="381">
        <v>2111</v>
      </c>
      <c r="C295" s="382">
        <v>294153</v>
      </c>
      <c r="D295" s="381" t="s">
        <v>944</v>
      </c>
      <c r="E295" s="383" t="s">
        <v>4240</v>
      </c>
      <c r="F295" s="392" t="s">
        <v>4208</v>
      </c>
      <c r="G295" s="392"/>
      <c r="H295" s="392"/>
      <c r="I295" s="381">
        <v>3</v>
      </c>
      <c r="J295" s="383"/>
      <c r="K295" s="381">
        <v>0</v>
      </c>
      <c r="L295" s="383" t="s">
        <v>1726</v>
      </c>
      <c r="M295" s="383"/>
      <c r="N295" s="383" t="s">
        <v>4446</v>
      </c>
      <c r="O295" s="383" t="s">
        <v>4441</v>
      </c>
      <c r="P295" s="383"/>
      <c r="Q295" s="383" t="s">
        <v>4479</v>
      </c>
      <c r="R295" s="383" t="s">
        <v>4450</v>
      </c>
      <c r="S295" s="384">
        <v>44852</v>
      </c>
      <c r="T295" s="384">
        <v>44852</v>
      </c>
      <c r="U295" s="383" t="s">
        <v>4204</v>
      </c>
      <c r="V295" s="381">
        <v>1200</v>
      </c>
      <c r="W295" s="381">
        <v>14050</v>
      </c>
      <c r="X295" s="385">
        <v>7315</v>
      </c>
      <c r="Y295" s="381">
        <v>14056</v>
      </c>
      <c r="Z295" s="385">
        <v>1168.3800000000001</v>
      </c>
      <c r="AA295" s="385">
        <f t="shared" si="55"/>
        <v>6146.62</v>
      </c>
      <c r="AB295" s="385">
        <v>457.2</v>
      </c>
      <c r="AC295" s="381">
        <v>54260</v>
      </c>
      <c r="AD295" s="385">
        <v>50.8</v>
      </c>
      <c r="AE295" s="381" t="s">
        <v>944</v>
      </c>
      <c r="AF295" s="383"/>
      <c r="AG295" s="383"/>
      <c r="AH295" s="383" t="s">
        <v>57</v>
      </c>
      <c r="AI295" s="383" t="s">
        <v>4442</v>
      </c>
      <c r="AJ295" s="383" t="s">
        <v>4443</v>
      </c>
      <c r="AK295" s="389" t="s">
        <v>4437</v>
      </c>
      <c r="AL295" s="389"/>
      <c r="AM295" s="389" t="s">
        <v>1341</v>
      </c>
      <c r="AN295" s="393">
        <f t="shared" si="56"/>
        <v>10</v>
      </c>
      <c r="AO295" s="393">
        <f t="shared" si="57"/>
        <v>2022</v>
      </c>
      <c r="AP295" s="394">
        <f t="shared" si="58"/>
        <v>2034</v>
      </c>
      <c r="AQ295" s="395">
        <f t="shared" si="59"/>
        <v>2034.8333333333333</v>
      </c>
      <c r="AR295" s="396">
        <f t="shared" si="60"/>
        <v>50.798611111111114</v>
      </c>
      <c r="AS295" s="397">
        <f t="shared" si="61"/>
        <v>609.58333333333337</v>
      </c>
      <c r="AT295" s="397">
        <f t="shared" si="62"/>
        <v>609.58333333333337</v>
      </c>
      <c r="AU295" s="397">
        <f t="shared" si="63"/>
        <v>914.375</v>
      </c>
      <c r="AV295" s="397">
        <f t="shared" si="64"/>
        <v>1523.9583333333335</v>
      </c>
      <c r="AW295" s="398">
        <f t="shared" si="65"/>
        <v>5791.0416666666661</v>
      </c>
      <c r="AX295" s="386" t="s">
        <v>62</v>
      </c>
    </row>
    <row r="296" spans="2:50" ht="15.75" outlineLevel="1">
      <c r="B296" s="381">
        <v>2111</v>
      </c>
      <c r="C296" s="382">
        <v>294152</v>
      </c>
      <c r="D296" s="381" t="s">
        <v>944</v>
      </c>
      <c r="E296" s="383" t="s">
        <v>4240</v>
      </c>
      <c r="F296" s="392" t="s">
        <v>4208</v>
      </c>
      <c r="G296" s="392"/>
      <c r="H296" s="392"/>
      <c r="I296" s="381">
        <v>4</v>
      </c>
      <c r="J296" s="383"/>
      <c r="K296" s="381">
        <v>0</v>
      </c>
      <c r="L296" s="383" t="s">
        <v>1726</v>
      </c>
      <c r="M296" s="383"/>
      <c r="N296" s="383" t="s">
        <v>4446</v>
      </c>
      <c r="O296" s="383" t="s">
        <v>4441</v>
      </c>
      <c r="P296" s="383"/>
      <c r="Q296" s="383" t="s">
        <v>4479</v>
      </c>
      <c r="R296" s="383" t="s">
        <v>4450</v>
      </c>
      <c r="S296" s="384">
        <v>44865</v>
      </c>
      <c r="T296" s="384">
        <v>44865</v>
      </c>
      <c r="U296" s="383" t="s">
        <v>4204</v>
      </c>
      <c r="V296" s="381">
        <v>1200</v>
      </c>
      <c r="W296" s="381">
        <v>14050</v>
      </c>
      <c r="X296" s="385">
        <v>8030</v>
      </c>
      <c r="Y296" s="381">
        <v>14056</v>
      </c>
      <c r="Z296" s="385">
        <v>1282.54</v>
      </c>
      <c r="AA296" s="385">
        <f t="shared" si="55"/>
        <v>6747.46</v>
      </c>
      <c r="AB296" s="385">
        <v>501.84</v>
      </c>
      <c r="AC296" s="381">
        <v>54260</v>
      </c>
      <c r="AD296" s="385">
        <v>55.76</v>
      </c>
      <c r="AE296" s="381" t="s">
        <v>944</v>
      </c>
      <c r="AF296" s="383"/>
      <c r="AG296" s="383"/>
      <c r="AH296" s="383" t="s">
        <v>57</v>
      </c>
      <c r="AI296" s="383" t="s">
        <v>4442</v>
      </c>
      <c r="AJ296" s="383" t="s">
        <v>4443</v>
      </c>
      <c r="AK296" s="389" t="s">
        <v>4437</v>
      </c>
      <c r="AL296" s="389"/>
      <c r="AM296" s="389" t="s">
        <v>1341</v>
      </c>
      <c r="AN296" s="393">
        <f t="shared" si="56"/>
        <v>10</v>
      </c>
      <c r="AO296" s="393">
        <f t="shared" si="57"/>
        <v>2022</v>
      </c>
      <c r="AP296" s="394">
        <f t="shared" si="58"/>
        <v>2034</v>
      </c>
      <c r="AQ296" s="395">
        <f t="shared" si="59"/>
        <v>2034.8333333333333</v>
      </c>
      <c r="AR296" s="396">
        <f t="shared" si="60"/>
        <v>55.763888888888886</v>
      </c>
      <c r="AS296" s="397">
        <f t="shared" si="61"/>
        <v>669.16666666666663</v>
      </c>
      <c r="AT296" s="397">
        <f t="shared" si="62"/>
        <v>669.16666666666663</v>
      </c>
      <c r="AU296" s="397">
        <f t="shared" si="63"/>
        <v>1003.75</v>
      </c>
      <c r="AV296" s="397">
        <f t="shared" si="64"/>
        <v>1672.9166666666665</v>
      </c>
      <c r="AW296" s="398">
        <f t="shared" si="65"/>
        <v>6357.0833333333339</v>
      </c>
      <c r="AX296" s="386" t="s">
        <v>62</v>
      </c>
    </row>
    <row r="297" spans="2:50" ht="15.75" outlineLevel="1">
      <c r="B297" s="381">
        <v>2111</v>
      </c>
      <c r="C297" s="382">
        <v>294149</v>
      </c>
      <c r="D297" s="381" t="s">
        <v>944</v>
      </c>
      <c r="E297" s="383" t="s">
        <v>4240</v>
      </c>
      <c r="F297" s="392" t="s">
        <v>4207</v>
      </c>
      <c r="G297" s="392"/>
      <c r="H297" s="392"/>
      <c r="I297" s="381">
        <v>8</v>
      </c>
      <c r="J297" s="383"/>
      <c r="K297" s="381">
        <v>0</v>
      </c>
      <c r="L297" s="383" t="s">
        <v>1726</v>
      </c>
      <c r="M297" s="383"/>
      <c r="N297" s="383" t="s">
        <v>4446</v>
      </c>
      <c r="O297" s="383" t="s">
        <v>4441</v>
      </c>
      <c r="P297" s="383"/>
      <c r="Q297" s="383" t="s">
        <v>4464</v>
      </c>
      <c r="R297" s="383" t="s">
        <v>4450</v>
      </c>
      <c r="S297" s="384">
        <v>44879</v>
      </c>
      <c r="T297" s="384">
        <v>44879</v>
      </c>
      <c r="U297" s="383" t="s">
        <v>4206</v>
      </c>
      <c r="V297" s="381">
        <v>1200</v>
      </c>
      <c r="W297" s="381">
        <v>14050</v>
      </c>
      <c r="X297" s="385">
        <v>11088</v>
      </c>
      <c r="Y297" s="381">
        <v>14056</v>
      </c>
      <c r="Z297" s="385">
        <v>1771</v>
      </c>
      <c r="AA297" s="385">
        <f t="shared" si="55"/>
        <v>9317</v>
      </c>
      <c r="AB297" s="385">
        <v>693</v>
      </c>
      <c r="AC297" s="381">
        <v>54260</v>
      </c>
      <c r="AD297" s="385">
        <v>77</v>
      </c>
      <c r="AE297" s="381" t="s">
        <v>944</v>
      </c>
      <c r="AF297" s="383"/>
      <c r="AG297" s="383"/>
      <c r="AH297" s="383" t="s">
        <v>57</v>
      </c>
      <c r="AI297" s="383" t="s">
        <v>4442</v>
      </c>
      <c r="AJ297" s="383" t="s">
        <v>4443</v>
      </c>
      <c r="AK297" s="389" t="s">
        <v>4437</v>
      </c>
      <c r="AL297" s="389"/>
      <c r="AM297" s="389" t="s">
        <v>1341</v>
      </c>
      <c r="AN297" s="393">
        <f t="shared" si="56"/>
        <v>11</v>
      </c>
      <c r="AO297" s="393">
        <f t="shared" si="57"/>
        <v>2022</v>
      </c>
      <c r="AP297" s="394">
        <f t="shared" si="58"/>
        <v>2034</v>
      </c>
      <c r="AQ297" s="395">
        <f t="shared" si="59"/>
        <v>2034.9166666666667</v>
      </c>
      <c r="AR297" s="396">
        <f t="shared" si="60"/>
        <v>77</v>
      </c>
      <c r="AS297" s="397">
        <f t="shared" si="61"/>
        <v>924</v>
      </c>
      <c r="AT297" s="397">
        <f t="shared" si="62"/>
        <v>924</v>
      </c>
      <c r="AU297" s="397">
        <f t="shared" si="63"/>
        <v>1308.9999999998599</v>
      </c>
      <c r="AV297" s="397">
        <f t="shared" si="64"/>
        <v>2232.9999999998599</v>
      </c>
      <c r="AW297" s="398">
        <f t="shared" si="65"/>
        <v>8855.0000000001401</v>
      </c>
      <c r="AX297" s="386" t="s">
        <v>62</v>
      </c>
    </row>
    <row r="298" spans="2:50" ht="15.75" outlineLevel="1">
      <c r="B298" s="381">
        <v>2111</v>
      </c>
      <c r="C298" s="382">
        <v>294142</v>
      </c>
      <c r="D298" s="381" t="s">
        <v>944</v>
      </c>
      <c r="E298" s="383" t="s">
        <v>4240</v>
      </c>
      <c r="F298" s="392" t="s">
        <v>3157</v>
      </c>
      <c r="G298" s="392"/>
      <c r="H298" s="392"/>
      <c r="I298" s="381">
        <v>12</v>
      </c>
      <c r="J298" s="383"/>
      <c r="K298" s="381">
        <v>0</v>
      </c>
      <c r="L298" s="383" t="s">
        <v>1726</v>
      </c>
      <c r="M298" s="383"/>
      <c r="N298" s="383" t="s">
        <v>4446</v>
      </c>
      <c r="O298" s="383" t="s">
        <v>4441</v>
      </c>
      <c r="P298" s="383"/>
      <c r="Q298" s="383" t="s">
        <v>4459</v>
      </c>
      <c r="R298" s="383" t="s">
        <v>4450</v>
      </c>
      <c r="S298" s="384">
        <v>44865</v>
      </c>
      <c r="T298" s="384">
        <v>44865</v>
      </c>
      <c r="U298" s="383" t="s">
        <v>4204</v>
      </c>
      <c r="V298" s="381">
        <v>1200</v>
      </c>
      <c r="W298" s="381">
        <v>14050</v>
      </c>
      <c r="X298" s="385">
        <v>11616</v>
      </c>
      <c r="Y298" s="381">
        <v>14056</v>
      </c>
      <c r="Z298" s="385">
        <v>1855.36</v>
      </c>
      <c r="AA298" s="385">
        <f t="shared" si="55"/>
        <v>9760.64</v>
      </c>
      <c r="AB298" s="385">
        <v>726.03</v>
      </c>
      <c r="AC298" s="381">
        <v>54260</v>
      </c>
      <c r="AD298" s="385">
        <v>80.67</v>
      </c>
      <c r="AE298" s="381" t="s">
        <v>944</v>
      </c>
      <c r="AF298" s="383"/>
      <c r="AG298" s="383"/>
      <c r="AH298" s="383" t="s">
        <v>57</v>
      </c>
      <c r="AI298" s="383" t="s">
        <v>4442</v>
      </c>
      <c r="AJ298" s="383" t="s">
        <v>4443</v>
      </c>
      <c r="AK298" s="389" t="s">
        <v>4437</v>
      </c>
      <c r="AL298" s="389"/>
      <c r="AM298" s="389" t="s">
        <v>1341</v>
      </c>
      <c r="AN298" s="393">
        <f t="shared" si="56"/>
        <v>10</v>
      </c>
      <c r="AO298" s="393">
        <f t="shared" si="57"/>
        <v>2022</v>
      </c>
      <c r="AP298" s="394">
        <f t="shared" si="58"/>
        <v>2034</v>
      </c>
      <c r="AQ298" s="395">
        <f t="shared" si="59"/>
        <v>2034.8333333333333</v>
      </c>
      <c r="AR298" s="396">
        <f t="shared" si="60"/>
        <v>80.666666666666671</v>
      </c>
      <c r="AS298" s="397">
        <f t="shared" si="61"/>
        <v>968</v>
      </c>
      <c r="AT298" s="397">
        <f t="shared" si="62"/>
        <v>968</v>
      </c>
      <c r="AU298" s="397">
        <f t="shared" si="63"/>
        <v>1452</v>
      </c>
      <c r="AV298" s="397">
        <f t="shared" si="64"/>
        <v>2420</v>
      </c>
      <c r="AW298" s="398">
        <f t="shared" si="65"/>
        <v>9196</v>
      </c>
      <c r="AX298" s="386" t="s">
        <v>62</v>
      </c>
    </row>
    <row r="299" spans="2:50" ht="15.75" outlineLevel="1">
      <c r="B299" s="381">
        <v>2111</v>
      </c>
      <c r="C299" s="382">
        <v>294141</v>
      </c>
      <c r="D299" s="381" t="s">
        <v>944</v>
      </c>
      <c r="E299" s="383" t="s">
        <v>4240</v>
      </c>
      <c r="F299" s="392" t="s">
        <v>3157</v>
      </c>
      <c r="G299" s="392"/>
      <c r="H299" s="392"/>
      <c r="I299" s="381">
        <v>12</v>
      </c>
      <c r="J299" s="383"/>
      <c r="K299" s="381">
        <v>0</v>
      </c>
      <c r="L299" s="383" t="s">
        <v>1726</v>
      </c>
      <c r="M299" s="383"/>
      <c r="N299" s="383" t="s">
        <v>4446</v>
      </c>
      <c r="O299" s="383" t="s">
        <v>4441</v>
      </c>
      <c r="P299" s="383"/>
      <c r="Q299" s="383" t="s">
        <v>4459</v>
      </c>
      <c r="R299" s="383" t="s">
        <v>4450</v>
      </c>
      <c r="S299" s="384">
        <v>44865</v>
      </c>
      <c r="T299" s="384">
        <v>44865</v>
      </c>
      <c r="U299" s="383" t="s">
        <v>4204</v>
      </c>
      <c r="V299" s="381">
        <v>1200</v>
      </c>
      <c r="W299" s="381">
        <v>14050</v>
      </c>
      <c r="X299" s="385">
        <v>11616</v>
      </c>
      <c r="Y299" s="381">
        <v>14056</v>
      </c>
      <c r="Z299" s="385">
        <v>1855.36</v>
      </c>
      <c r="AA299" s="385">
        <f t="shared" si="55"/>
        <v>9760.64</v>
      </c>
      <c r="AB299" s="385">
        <v>726.03</v>
      </c>
      <c r="AC299" s="381">
        <v>54260</v>
      </c>
      <c r="AD299" s="385">
        <v>80.67</v>
      </c>
      <c r="AE299" s="381" t="s">
        <v>944</v>
      </c>
      <c r="AF299" s="383"/>
      <c r="AG299" s="383"/>
      <c r="AH299" s="383" t="s">
        <v>57</v>
      </c>
      <c r="AI299" s="383" t="s">
        <v>4442</v>
      </c>
      <c r="AJ299" s="383" t="s">
        <v>4443</v>
      </c>
      <c r="AK299" s="389" t="s">
        <v>4437</v>
      </c>
      <c r="AL299" s="389"/>
      <c r="AM299" s="389" t="s">
        <v>1341</v>
      </c>
      <c r="AN299" s="393">
        <f t="shared" si="56"/>
        <v>10</v>
      </c>
      <c r="AO299" s="393">
        <f t="shared" si="57"/>
        <v>2022</v>
      </c>
      <c r="AP299" s="394">
        <f t="shared" si="58"/>
        <v>2034</v>
      </c>
      <c r="AQ299" s="395">
        <f t="shared" si="59"/>
        <v>2034.8333333333333</v>
      </c>
      <c r="AR299" s="396">
        <f t="shared" si="60"/>
        <v>80.666666666666671</v>
      </c>
      <c r="AS299" s="397">
        <f t="shared" si="61"/>
        <v>968</v>
      </c>
      <c r="AT299" s="397">
        <f t="shared" si="62"/>
        <v>968</v>
      </c>
      <c r="AU299" s="397">
        <f t="shared" si="63"/>
        <v>1452</v>
      </c>
      <c r="AV299" s="397">
        <f t="shared" si="64"/>
        <v>2420</v>
      </c>
      <c r="AW299" s="398">
        <f t="shared" si="65"/>
        <v>9196</v>
      </c>
      <c r="AX299" s="386" t="s">
        <v>62</v>
      </c>
    </row>
    <row r="300" spans="2:50" ht="15.75" outlineLevel="1">
      <c r="B300" s="381">
        <v>2111</v>
      </c>
      <c r="C300" s="382">
        <v>294138</v>
      </c>
      <c r="D300" s="381" t="s">
        <v>944</v>
      </c>
      <c r="E300" s="383" t="s">
        <v>4240</v>
      </c>
      <c r="F300" s="392" t="s">
        <v>4205</v>
      </c>
      <c r="G300" s="392"/>
      <c r="H300" s="392"/>
      <c r="I300" s="381">
        <v>5</v>
      </c>
      <c r="J300" s="383"/>
      <c r="K300" s="381">
        <v>0</v>
      </c>
      <c r="L300" s="383" t="s">
        <v>1726</v>
      </c>
      <c r="M300" s="383"/>
      <c r="N300" s="383" t="s">
        <v>4446</v>
      </c>
      <c r="O300" s="383" t="s">
        <v>4441</v>
      </c>
      <c r="P300" s="383"/>
      <c r="Q300" s="383" t="s">
        <v>4459</v>
      </c>
      <c r="R300" s="383" t="s">
        <v>4450</v>
      </c>
      <c r="S300" s="384">
        <v>44879</v>
      </c>
      <c r="T300" s="384">
        <v>44879</v>
      </c>
      <c r="U300" s="383" t="s">
        <v>4206</v>
      </c>
      <c r="V300" s="381">
        <v>1200</v>
      </c>
      <c r="W300" s="381">
        <v>14050</v>
      </c>
      <c r="X300" s="385">
        <v>5445</v>
      </c>
      <c r="Y300" s="381">
        <v>14056</v>
      </c>
      <c r="Z300" s="385">
        <v>869.66</v>
      </c>
      <c r="AA300" s="385">
        <f t="shared" si="55"/>
        <v>4575.34</v>
      </c>
      <c r="AB300" s="385">
        <v>340.29</v>
      </c>
      <c r="AC300" s="381">
        <v>54260</v>
      </c>
      <c r="AD300" s="385">
        <v>37.81</v>
      </c>
      <c r="AE300" s="381" t="s">
        <v>944</v>
      </c>
      <c r="AF300" s="383"/>
      <c r="AG300" s="383"/>
      <c r="AH300" s="383" t="s">
        <v>57</v>
      </c>
      <c r="AI300" s="383" t="s">
        <v>4442</v>
      </c>
      <c r="AJ300" s="383" t="s">
        <v>4443</v>
      </c>
      <c r="AK300" s="389" t="s">
        <v>4437</v>
      </c>
      <c r="AL300" s="389"/>
      <c r="AM300" s="389" t="s">
        <v>1341</v>
      </c>
      <c r="AN300" s="393">
        <f t="shared" si="56"/>
        <v>11</v>
      </c>
      <c r="AO300" s="393">
        <f t="shared" si="57"/>
        <v>2022</v>
      </c>
      <c r="AP300" s="394">
        <f t="shared" si="58"/>
        <v>2034</v>
      </c>
      <c r="AQ300" s="395">
        <f t="shared" si="59"/>
        <v>2034.9166666666667</v>
      </c>
      <c r="AR300" s="396">
        <f t="shared" si="60"/>
        <v>37.8125</v>
      </c>
      <c r="AS300" s="397">
        <f t="shared" si="61"/>
        <v>453.75</v>
      </c>
      <c r="AT300" s="397">
        <f t="shared" si="62"/>
        <v>453.75</v>
      </c>
      <c r="AU300" s="397">
        <f t="shared" si="63"/>
        <v>642.81249999993088</v>
      </c>
      <c r="AV300" s="397">
        <f t="shared" si="64"/>
        <v>1096.5624999999309</v>
      </c>
      <c r="AW300" s="398">
        <f t="shared" si="65"/>
        <v>4348.4375000000691</v>
      </c>
      <c r="AX300" s="386" t="s">
        <v>62</v>
      </c>
    </row>
    <row r="301" spans="2:50" ht="15.75" outlineLevel="1">
      <c r="B301" s="381">
        <v>2111</v>
      </c>
      <c r="C301" s="382">
        <v>294137</v>
      </c>
      <c r="D301" s="381" t="s">
        <v>944</v>
      </c>
      <c r="E301" s="383" t="s">
        <v>4240</v>
      </c>
      <c r="F301" s="392" t="s">
        <v>688</v>
      </c>
      <c r="G301" s="392"/>
      <c r="H301" s="392"/>
      <c r="I301" s="381">
        <v>1</v>
      </c>
      <c r="J301" s="383"/>
      <c r="K301" s="381">
        <v>0</v>
      </c>
      <c r="L301" s="383" t="s">
        <v>1726</v>
      </c>
      <c r="M301" s="383"/>
      <c r="N301" s="383" t="s">
        <v>4446</v>
      </c>
      <c r="O301" s="383" t="s">
        <v>4441</v>
      </c>
      <c r="P301" s="383"/>
      <c r="Q301" s="383" t="s">
        <v>4449</v>
      </c>
      <c r="R301" s="383" t="s">
        <v>4450</v>
      </c>
      <c r="S301" s="384">
        <v>44865</v>
      </c>
      <c r="T301" s="384">
        <v>44865</v>
      </c>
      <c r="U301" s="383" t="s">
        <v>4204</v>
      </c>
      <c r="V301" s="381">
        <v>1200</v>
      </c>
      <c r="W301" s="381">
        <v>14050</v>
      </c>
      <c r="X301" s="385">
        <v>935</v>
      </c>
      <c r="Y301" s="381">
        <v>14056</v>
      </c>
      <c r="Z301" s="385">
        <v>149.32</v>
      </c>
      <c r="AA301" s="385">
        <f t="shared" si="55"/>
        <v>785.68000000000006</v>
      </c>
      <c r="AB301" s="385">
        <v>58.41</v>
      </c>
      <c r="AC301" s="381">
        <v>54260</v>
      </c>
      <c r="AD301" s="385">
        <v>6.49</v>
      </c>
      <c r="AE301" s="381" t="s">
        <v>944</v>
      </c>
      <c r="AF301" s="383"/>
      <c r="AG301" s="383"/>
      <c r="AH301" s="383" t="s">
        <v>57</v>
      </c>
      <c r="AI301" s="383" t="s">
        <v>4442</v>
      </c>
      <c r="AJ301" s="383" t="s">
        <v>4443</v>
      </c>
      <c r="AK301" s="389" t="s">
        <v>4437</v>
      </c>
      <c r="AL301" s="389"/>
      <c r="AM301" s="389" t="s">
        <v>1341</v>
      </c>
      <c r="AN301" s="393">
        <f t="shared" si="56"/>
        <v>10</v>
      </c>
      <c r="AO301" s="393">
        <f t="shared" si="57"/>
        <v>2022</v>
      </c>
      <c r="AP301" s="394">
        <f t="shared" si="58"/>
        <v>2034</v>
      </c>
      <c r="AQ301" s="395">
        <f t="shared" si="59"/>
        <v>2034.8333333333333</v>
      </c>
      <c r="AR301" s="396">
        <f t="shared" si="60"/>
        <v>6.4930555555555562</v>
      </c>
      <c r="AS301" s="397">
        <f t="shared" si="61"/>
        <v>77.916666666666671</v>
      </c>
      <c r="AT301" s="397">
        <f t="shared" si="62"/>
        <v>77.916666666666671</v>
      </c>
      <c r="AU301" s="397">
        <f t="shared" si="63"/>
        <v>116.87499999999989</v>
      </c>
      <c r="AV301" s="397">
        <f t="shared" si="64"/>
        <v>194.79166666666657</v>
      </c>
      <c r="AW301" s="398">
        <f t="shared" si="65"/>
        <v>740.20833333333348</v>
      </c>
      <c r="AX301" s="386" t="s">
        <v>62</v>
      </c>
    </row>
    <row r="302" spans="2:50" ht="15.75" outlineLevel="1">
      <c r="B302" s="381">
        <v>2111</v>
      </c>
      <c r="C302" s="382">
        <v>294136</v>
      </c>
      <c r="D302" s="381" t="s">
        <v>944</v>
      </c>
      <c r="E302" s="383" t="s">
        <v>4240</v>
      </c>
      <c r="F302" s="392" t="s">
        <v>688</v>
      </c>
      <c r="G302" s="392"/>
      <c r="H302" s="392"/>
      <c r="I302" s="381">
        <v>9</v>
      </c>
      <c r="J302" s="383"/>
      <c r="K302" s="381">
        <v>0</v>
      </c>
      <c r="L302" s="383" t="s">
        <v>1726</v>
      </c>
      <c r="M302" s="383"/>
      <c r="N302" s="383" t="s">
        <v>4446</v>
      </c>
      <c r="O302" s="383" t="s">
        <v>4441</v>
      </c>
      <c r="P302" s="383"/>
      <c r="Q302" s="383" t="s">
        <v>4449</v>
      </c>
      <c r="R302" s="383" t="s">
        <v>4450</v>
      </c>
      <c r="S302" s="384">
        <v>44865</v>
      </c>
      <c r="T302" s="384">
        <v>44865</v>
      </c>
      <c r="U302" s="383" t="s">
        <v>4204</v>
      </c>
      <c r="V302" s="381">
        <v>1200</v>
      </c>
      <c r="W302" s="381">
        <v>14050</v>
      </c>
      <c r="X302" s="385">
        <v>8415</v>
      </c>
      <c r="Y302" s="381">
        <v>14056</v>
      </c>
      <c r="Z302" s="385">
        <v>1344.09</v>
      </c>
      <c r="AA302" s="385">
        <f t="shared" si="55"/>
        <v>7070.91</v>
      </c>
      <c r="AB302" s="385">
        <v>525.96</v>
      </c>
      <c r="AC302" s="381">
        <v>54260</v>
      </c>
      <c r="AD302" s="385">
        <v>58.44</v>
      </c>
      <c r="AE302" s="381" t="s">
        <v>944</v>
      </c>
      <c r="AF302" s="383"/>
      <c r="AG302" s="383"/>
      <c r="AH302" s="383" t="s">
        <v>57</v>
      </c>
      <c r="AI302" s="383" t="s">
        <v>4442</v>
      </c>
      <c r="AJ302" s="383" t="s">
        <v>4443</v>
      </c>
      <c r="AK302" s="389" t="s">
        <v>4437</v>
      </c>
      <c r="AL302" s="389"/>
      <c r="AM302" s="389" t="s">
        <v>1341</v>
      </c>
      <c r="AN302" s="393">
        <f t="shared" si="56"/>
        <v>10</v>
      </c>
      <c r="AO302" s="393">
        <f t="shared" si="57"/>
        <v>2022</v>
      </c>
      <c r="AP302" s="394">
        <f t="shared" si="58"/>
        <v>2034</v>
      </c>
      <c r="AQ302" s="395">
        <f t="shared" si="59"/>
        <v>2034.8333333333333</v>
      </c>
      <c r="AR302" s="396">
        <f t="shared" si="60"/>
        <v>58.4375</v>
      </c>
      <c r="AS302" s="397">
        <f t="shared" si="61"/>
        <v>701.25</v>
      </c>
      <c r="AT302" s="397">
        <f t="shared" si="62"/>
        <v>701.25</v>
      </c>
      <c r="AU302" s="397">
        <f t="shared" si="63"/>
        <v>1051.875</v>
      </c>
      <c r="AV302" s="397">
        <f t="shared" si="64"/>
        <v>1753.125</v>
      </c>
      <c r="AW302" s="398">
        <f t="shared" si="65"/>
        <v>6661.875</v>
      </c>
      <c r="AX302" s="386" t="s">
        <v>62</v>
      </c>
    </row>
    <row r="303" spans="2:50" ht="15.75" outlineLevel="1">
      <c r="B303" s="381">
        <v>2111</v>
      </c>
      <c r="C303" s="382">
        <v>294135</v>
      </c>
      <c r="D303" s="381" t="s">
        <v>944</v>
      </c>
      <c r="E303" s="383" t="s">
        <v>4240</v>
      </c>
      <c r="F303" s="392" t="s">
        <v>688</v>
      </c>
      <c r="G303" s="392"/>
      <c r="H303" s="392"/>
      <c r="I303" s="381">
        <v>14</v>
      </c>
      <c r="J303" s="383"/>
      <c r="K303" s="381">
        <v>0</v>
      </c>
      <c r="L303" s="383" t="s">
        <v>1726</v>
      </c>
      <c r="M303" s="383"/>
      <c r="N303" s="383" t="s">
        <v>4446</v>
      </c>
      <c r="O303" s="383" t="s">
        <v>4441</v>
      </c>
      <c r="P303" s="383"/>
      <c r="Q303" s="383" t="s">
        <v>4449</v>
      </c>
      <c r="R303" s="383" t="s">
        <v>4450</v>
      </c>
      <c r="S303" s="384">
        <v>44865</v>
      </c>
      <c r="T303" s="384">
        <v>44865</v>
      </c>
      <c r="U303" s="383" t="s">
        <v>4204</v>
      </c>
      <c r="V303" s="381">
        <v>1200</v>
      </c>
      <c r="W303" s="381">
        <v>14050</v>
      </c>
      <c r="X303" s="385">
        <v>13090</v>
      </c>
      <c r="Y303" s="381">
        <v>14056</v>
      </c>
      <c r="Z303" s="385">
        <v>2090.7399999999998</v>
      </c>
      <c r="AA303" s="385">
        <f t="shared" si="55"/>
        <v>10999.26</v>
      </c>
      <c r="AB303" s="385">
        <v>818.1</v>
      </c>
      <c r="AC303" s="381">
        <v>54260</v>
      </c>
      <c r="AD303" s="385">
        <v>90.9</v>
      </c>
      <c r="AE303" s="381" t="s">
        <v>944</v>
      </c>
      <c r="AF303" s="383"/>
      <c r="AG303" s="383"/>
      <c r="AH303" s="383" t="s">
        <v>57</v>
      </c>
      <c r="AI303" s="383" t="s">
        <v>4442</v>
      </c>
      <c r="AJ303" s="383" t="s">
        <v>4443</v>
      </c>
      <c r="AK303" s="389" t="s">
        <v>4437</v>
      </c>
      <c r="AL303" s="389"/>
      <c r="AM303" s="389" t="s">
        <v>1341</v>
      </c>
      <c r="AN303" s="393">
        <f t="shared" si="56"/>
        <v>10</v>
      </c>
      <c r="AO303" s="393">
        <f t="shared" si="57"/>
        <v>2022</v>
      </c>
      <c r="AP303" s="394">
        <f t="shared" si="58"/>
        <v>2034</v>
      </c>
      <c r="AQ303" s="395">
        <f t="shared" si="59"/>
        <v>2034.8333333333333</v>
      </c>
      <c r="AR303" s="396">
        <f t="shared" si="60"/>
        <v>90.902777777777771</v>
      </c>
      <c r="AS303" s="397">
        <f t="shared" si="61"/>
        <v>1090.8333333333333</v>
      </c>
      <c r="AT303" s="397">
        <f t="shared" si="62"/>
        <v>1090.8333333333333</v>
      </c>
      <c r="AU303" s="397">
        <f t="shared" si="63"/>
        <v>1636.25</v>
      </c>
      <c r="AV303" s="397">
        <f t="shared" si="64"/>
        <v>2727.083333333333</v>
      </c>
      <c r="AW303" s="398">
        <f t="shared" si="65"/>
        <v>10362.916666666668</v>
      </c>
      <c r="AX303" s="386" t="s">
        <v>62</v>
      </c>
    </row>
    <row r="304" spans="2:50" ht="15.75" outlineLevel="1">
      <c r="B304" s="381">
        <v>2111</v>
      </c>
      <c r="C304" s="382">
        <v>294134</v>
      </c>
      <c r="D304" s="381" t="s">
        <v>944</v>
      </c>
      <c r="E304" s="383" t="s">
        <v>4240</v>
      </c>
      <c r="F304" s="392" t="s">
        <v>3671</v>
      </c>
      <c r="G304" s="392"/>
      <c r="H304" s="392"/>
      <c r="I304" s="381">
        <v>4</v>
      </c>
      <c r="J304" s="383"/>
      <c r="K304" s="381">
        <v>0</v>
      </c>
      <c r="L304" s="383" t="s">
        <v>1726</v>
      </c>
      <c r="M304" s="383"/>
      <c r="N304" s="383" t="s">
        <v>4446</v>
      </c>
      <c r="O304" s="383" t="s">
        <v>4441</v>
      </c>
      <c r="P304" s="383"/>
      <c r="Q304" s="383" t="s">
        <v>4461</v>
      </c>
      <c r="R304" s="383" t="s">
        <v>4450</v>
      </c>
      <c r="S304" s="384">
        <v>44865</v>
      </c>
      <c r="T304" s="384">
        <v>44865</v>
      </c>
      <c r="U304" s="383" t="s">
        <v>4204</v>
      </c>
      <c r="V304" s="381">
        <v>1200</v>
      </c>
      <c r="W304" s="381">
        <v>14050</v>
      </c>
      <c r="X304" s="385">
        <v>3806</v>
      </c>
      <c r="Y304" s="381">
        <v>14056</v>
      </c>
      <c r="Z304" s="385">
        <v>607.9</v>
      </c>
      <c r="AA304" s="385">
        <f t="shared" si="55"/>
        <v>3198.1</v>
      </c>
      <c r="AB304" s="385">
        <v>237.87</v>
      </c>
      <c r="AC304" s="381">
        <v>54260</v>
      </c>
      <c r="AD304" s="385">
        <v>26.43</v>
      </c>
      <c r="AE304" s="381" t="s">
        <v>944</v>
      </c>
      <c r="AF304" s="383"/>
      <c r="AG304" s="383"/>
      <c r="AH304" s="383" t="s">
        <v>57</v>
      </c>
      <c r="AI304" s="383" t="s">
        <v>4442</v>
      </c>
      <c r="AJ304" s="383" t="s">
        <v>4443</v>
      </c>
      <c r="AK304" s="389" t="s">
        <v>4437</v>
      </c>
      <c r="AL304" s="389"/>
      <c r="AM304" s="389" t="s">
        <v>1341</v>
      </c>
      <c r="AN304" s="393">
        <f t="shared" si="56"/>
        <v>10</v>
      </c>
      <c r="AO304" s="393">
        <f t="shared" si="57"/>
        <v>2022</v>
      </c>
      <c r="AP304" s="394">
        <f t="shared" si="58"/>
        <v>2034</v>
      </c>
      <c r="AQ304" s="395">
        <f t="shared" si="59"/>
        <v>2034.8333333333333</v>
      </c>
      <c r="AR304" s="396">
        <f t="shared" si="60"/>
        <v>26.430555555555557</v>
      </c>
      <c r="AS304" s="397">
        <f t="shared" si="61"/>
        <v>317.16666666666669</v>
      </c>
      <c r="AT304" s="397">
        <f t="shared" si="62"/>
        <v>317.16666666666669</v>
      </c>
      <c r="AU304" s="397">
        <f t="shared" si="63"/>
        <v>475.75</v>
      </c>
      <c r="AV304" s="397">
        <f t="shared" si="64"/>
        <v>792.91666666666674</v>
      </c>
      <c r="AW304" s="398">
        <f t="shared" si="65"/>
        <v>3013.083333333333</v>
      </c>
      <c r="AX304" s="386" t="s">
        <v>62</v>
      </c>
    </row>
    <row r="305" spans="2:50" ht="15.75" outlineLevel="1">
      <c r="B305" s="381">
        <v>2111</v>
      </c>
      <c r="C305" s="382">
        <v>294133</v>
      </c>
      <c r="D305" s="381" t="s">
        <v>944</v>
      </c>
      <c r="E305" s="383" t="s">
        <v>4240</v>
      </c>
      <c r="F305" s="392" t="s">
        <v>3671</v>
      </c>
      <c r="G305" s="392"/>
      <c r="H305" s="392"/>
      <c r="I305" s="381">
        <v>6</v>
      </c>
      <c r="J305" s="383"/>
      <c r="K305" s="381">
        <v>0</v>
      </c>
      <c r="L305" s="383" t="s">
        <v>1726</v>
      </c>
      <c r="M305" s="383"/>
      <c r="N305" s="383" t="s">
        <v>4446</v>
      </c>
      <c r="O305" s="383" t="s">
        <v>4441</v>
      </c>
      <c r="P305" s="383"/>
      <c r="Q305" s="383" t="s">
        <v>4461</v>
      </c>
      <c r="R305" s="383" t="s">
        <v>4450</v>
      </c>
      <c r="S305" s="384">
        <v>44865</v>
      </c>
      <c r="T305" s="384">
        <v>44865</v>
      </c>
      <c r="U305" s="383" t="s">
        <v>4204</v>
      </c>
      <c r="V305" s="381">
        <v>1200</v>
      </c>
      <c r="W305" s="381">
        <v>14050</v>
      </c>
      <c r="X305" s="385">
        <v>5709</v>
      </c>
      <c r="Y305" s="381">
        <v>14056</v>
      </c>
      <c r="Z305" s="385">
        <v>911.89</v>
      </c>
      <c r="AA305" s="385">
        <f t="shared" si="55"/>
        <v>4797.1099999999997</v>
      </c>
      <c r="AB305" s="385">
        <v>356.85</v>
      </c>
      <c r="AC305" s="381">
        <v>54260</v>
      </c>
      <c r="AD305" s="385">
        <v>39.65</v>
      </c>
      <c r="AE305" s="381" t="s">
        <v>944</v>
      </c>
      <c r="AF305" s="383"/>
      <c r="AG305" s="383"/>
      <c r="AH305" s="383" t="s">
        <v>57</v>
      </c>
      <c r="AI305" s="383" t="s">
        <v>4442</v>
      </c>
      <c r="AJ305" s="383" t="s">
        <v>4443</v>
      </c>
      <c r="AK305" s="389" t="s">
        <v>4437</v>
      </c>
      <c r="AL305" s="389"/>
      <c r="AM305" s="389" t="s">
        <v>1341</v>
      </c>
      <c r="AN305" s="393">
        <f t="shared" si="56"/>
        <v>10</v>
      </c>
      <c r="AO305" s="393">
        <f t="shared" si="57"/>
        <v>2022</v>
      </c>
      <c r="AP305" s="394">
        <f t="shared" si="58"/>
        <v>2034</v>
      </c>
      <c r="AQ305" s="395">
        <f t="shared" si="59"/>
        <v>2034.8333333333333</v>
      </c>
      <c r="AR305" s="396">
        <f t="shared" si="60"/>
        <v>39.645833333333336</v>
      </c>
      <c r="AS305" s="397">
        <f t="shared" si="61"/>
        <v>475.75</v>
      </c>
      <c r="AT305" s="397">
        <f t="shared" si="62"/>
        <v>475.75</v>
      </c>
      <c r="AU305" s="397">
        <f t="shared" si="63"/>
        <v>713.625</v>
      </c>
      <c r="AV305" s="397">
        <f t="shared" si="64"/>
        <v>1189.375</v>
      </c>
      <c r="AW305" s="398">
        <f t="shared" si="65"/>
        <v>4519.625</v>
      </c>
      <c r="AX305" s="386" t="s">
        <v>62</v>
      </c>
    </row>
    <row r="306" spans="2:50" ht="15.75" outlineLevel="1">
      <c r="B306" s="381">
        <v>2111</v>
      </c>
      <c r="C306" s="382">
        <v>293905</v>
      </c>
      <c r="D306" s="381">
        <v>291161</v>
      </c>
      <c r="E306" s="383" t="s">
        <v>4240</v>
      </c>
      <c r="F306" s="392" t="s">
        <v>4183</v>
      </c>
      <c r="G306" s="392"/>
      <c r="H306" s="392"/>
      <c r="I306" s="381">
        <v>1</v>
      </c>
      <c r="J306" s="383"/>
      <c r="K306" s="381">
        <v>0</v>
      </c>
      <c r="L306" s="383" t="s">
        <v>4184</v>
      </c>
      <c r="M306" s="383"/>
      <c r="N306" s="383" t="s">
        <v>4462</v>
      </c>
      <c r="O306" s="383" t="s">
        <v>4441</v>
      </c>
      <c r="P306" s="383"/>
      <c r="Q306" s="383"/>
      <c r="R306" s="383"/>
      <c r="S306" s="384">
        <v>44803</v>
      </c>
      <c r="T306" s="384">
        <v>44803</v>
      </c>
      <c r="U306" s="383" t="s">
        <v>4179</v>
      </c>
      <c r="V306" s="381">
        <v>1000</v>
      </c>
      <c r="W306" s="381">
        <v>14010</v>
      </c>
      <c r="X306" s="385">
        <v>731.3</v>
      </c>
      <c r="Y306" s="381">
        <v>14016</v>
      </c>
      <c r="Z306" s="385">
        <v>152.32</v>
      </c>
      <c r="AA306" s="385">
        <f t="shared" si="55"/>
        <v>578.98</v>
      </c>
      <c r="AB306" s="385">
        <v>54.81</v>
      </c>
      <c r="AC306" s="381">
        <v>57260</v>
      </c>
      <c r="AD306" s="385">
        <v>6.09</v>
      </c>
      <c r="AE306" s="381" t="s">
        <v>944</v>
      </c>
      <c r="AF306" s="383"/>
      <c r="AG306" s="383"/>
      <c r="AH306" s="383" t="s">
        <v>57</v>
      </c>
      <c r="AI306" s="383" t="s">
        <v>4442</v>
      </c>
      <c r="AJ306" s="383" t="s">
        <v>4443</v>
      </c>
      <c r="AK306" s="389" t="s">
        <v>4437</v>
      </c>
      <c r="AL306" s="389"/>
      <c r="AM306" s="389" t="s">
        <v>1077</v>
      </c>
      <c r="AN306" s="393">
        <f t="shared" si="56"/>
        <v>8</v>
      </c>
      <c r="AO306" s="393">
        <f t="shared" si="57"/>
        <v>2022</v>
      </c>
      <c r="AP306" s="394">
        <f t="shared" si="58"/>
        <v>2032</v>
      </c>
      <c r="AQ306" s="395">
        <f t="shared" si="59"/>
        <v>2032.6666666666667</v>
      </c>
      <c r="AR306" s="396">
        <f t="shared" si="60"/>
        <v>6.0941666666666663</v>
      </c>
      <c r="AS306" s="397">
        <f t="shared" si="61"/>
        <v>73.13</v>
      </c>
      <c r="AT306" s="397">
        <f t="shared" si="62"/>
        <v>73.13</v>
      </c>
      <c r="AU306" s="397">
        <f t="shared" si="63"/>
        <v>121.88333333332218</v>
      </c>
      <c r="AV306" s="397">
        <f t="shared" si="64"/>
        <v>195.01333333332218</v>
      </c>
      <c r="AW306" s="398">
        <f t="shared" si="65"/>
        <v>536.28666666667777</v>
      </c>
      <c r="AX306" s="386" t="s">
        <v>62</v>
      </c>
    </row>
    <row r="307" spans="2:50" ht="15.75" outlineLevel="1">
      <c r="B307" s="381">
        <v>2111</v>
      </c>
      <c r="C307" s="382">
        <v>293403</v>
      </c>
      <c r="D307" s="381">
        <v>291161</v>
      </c>
      <c r="E307" s="383" t="s">
        <v>4240</v>
      </c>
      <c r="F307" s="392" t="s">
        <v>4182</v>
      </c>
      <c r="G307" s="392"/>
      <c r="H307" s="392"/>
      <c r="I307" s="381">
        <v>1</v>
      </c>
      <c r="J307" s="383"/>
      <c r="K307" s="381">
        <v>0</v>
      </c>
      <c r="L307" s="383"/>
      <c r="M307" s="383"/>
      <c r="N307" s="383" t="s">
        <v>4462</v>
      </c>
      <c r="O307" s="383" t="s">
        <v>4441</v>
      </c>
      <c r="P307" s="383"/>
      <c r="Q307" s="383"/>
      <c r="R307" s="383"/>
      <c r="S307" s="384">
        <v>44803</v>
      </c>
      <c r="T307" s="384">
        <v>44803</v>
      </c>
      <c r="U307" s="383" t="s">
        <v>4179</v>
      </c>
      <c r="V307" s="381">
        <v>1000</v>
      </c>
      <c r="W307" s="381">
        <v>14010</v>
      </c>
      <c r="X307" s="385">
        <v>3895</v>
      </c>
      <c r="Y307" s="381">
        <v>14016</v>
      </c>
      <c r="Z307" s="385">
        <v>811.47</v>
      </c>
      <c r="AA307" s="385">
        <f t="shared" si="55"/>
        <v>3083.5299999999997</v>
      </c>
      <c r="AB307" s="385">
        <v>292.14</v>
      </c>
      <c r="AC307" s="381">
        <v>57260</v>
      </c>
      <c r="AD307" s="385">
        <v>32.46</v>
      </c>
      <c r="AE307" s="381" t="s">
        <v>944</v>
      </c>
      <c r="AF307" s="383"/>
      <c r="AG307" s="383"/>
      <c r="AH307" s="383" t="s">
        <v>57</v>
      </c>
      <c r="AI307" s="383" t="s">
        <v>4442</v>
      </c>
      <c r="AJ307" s="383" t="s">
        <v>4443</v>
      </c>
      <c r="AK307" s="389" t="s">
        <v>4437</v>
      </c>
      <c r="AL307" s="389"/>
      <c r="AM307" s="389" t="s">
        <v>1077</v>
      </c>
      <c r="AN307" s="393">
        <f t="shared" si="56"/>
        <v>8</v>
      </c>
      <c r="AO307" s="393">
        <f t="shared" si="57"/>
        <v>2022</v>
      </c>
      <c r="AP307" s="394">
        <f t="shared" si="58"/>
        <v>2032</v>
      </c>
      <c r="AQ307" s="395">
        <f t="shared" si="59"/>
        <v>2032.6666666666667</v>
      </c>
      <c r="AR307" s="396">
        <f t="shared" si="60"/>
        <v>32.458333333333336</v>
      </c>
      <c r="AS307" s="397">
        <f t="shared" si="61"/>
        <v>389.5</v>
      </c>
      <c r="AT307" s="397">
        <f t="shared" si="62"/>
        <v>389.5</v>
      </c>
      <c r="AU307" s="397">
        <f t="shared" si="63"/>
        <v>649.1666666666074</v>
      </c>
      <c r="AV307" s="397">
        <f t="shared" si="64"/>
        <v>1038.6666666666074</v>
      </c>
      <c r="AW307" s="398">
        <f t="shared" si="65"/>
        <v>2856.3333333333926</v>
      </c>
      <c r="AX307" s="386" t="s">
        <v>62</v>
      </c>
    </row>
    <row r="308" spans="2:50" ht="15.75" outlineLevel="1">
      <c r="B308" s="381">
        <v>2111</v>
      </c>
      <c r="C308" s="382">
        <v>293355</v>
      </c>
      <c r="D308" s="381">
        <v>289376</v>
      </c>
      <c r="E308" s="383" t="s">
        <v>4240</v>
      </c>
      <c r="F308" s="392" t="s">
        <v>4173</v>
      </c>
      <c r="G308" s="392"/>
      <c r="H308" s="392"/>
      <c r="I308" s="381">
        <v>2</v>
      </c>
      <c r="J308" s="383"/>
      <c r="K308" s="381">
        <v>0</v>
      </c>
      <c r="L308" s="383" t="s">
        <v>1686</v>
      </c>
      <c r="M308" s="383"/>
      <c r="N308" s="383" t="s">
        <v>4440</v>
      </c>
      <c r="O308" s="383" t="s">
        <v>4441</v>
      </c>
      <c r="P308" s="383"/>
      <c r="Q308" s="383"/>
      <c r="R308" s="383"/>
      <c r="S308" s="384">
        <v>44750</v>
      </c>
      <c r="T308" s="384">
        <v>44750</v>
      </c>
      <c r="U308" s="383" t="s">
        <v>4159</v>
      </c>
      <c r="V308" s="381">
        <v>300</v>
      </c>
      <c r="W308" s="381">
        <v>14110</v>
      </c>
      <c r="X308" s="385">
        <v>2200</v>
      </c>
      <c r="Y308" s="381">
        <v>14116</v>
      </c>
      <c r="Z308" s="385">
        <v>1649.99</v>
      </c>
      <c r="AA308" s="385">
        <f t="shared" si="55"/>
        <v>550.01</v>
      </c>
      <c r="AB308" s="385">
        <v>549.99</v>
      </c>
      <c r="AC308" s="381">
        <v>70260</v>
      </c>
      <c r="AD308" s="385">
        <v>61.11</v>
      </c>
      <c r="AE308" s="381" t="s">
        <v>944</v>
      </c>
      <c r="AF308" s="383"/>
      <c r="AG308" s="383"/>
      <c r="AH308" s="383" t="s">
        <v>57</v>
      </c>
      <c r="AI308" s="383" t="s">
        <v>4442</v>
      </c>
      <c r="AJ308" s="383" t="s">
        <v>4443</v>
      </c>
      <c r="AK308" s="389" t="s">
        <v>4437</v>
      </c>
      <c r="AL308" s="389" t="s">
        <v>301</v>
      </c>
      <c r="AM308" s="389" t="s">
        <v>4101</v>
      </c>
      <c r="AN308" s="393">
        <f t="shared" si="56"/>
        <v>7</v>
      </c>
      <c r="AO308" s="393">
        <f t="shared" si="57"/>
        <v>2022</v>
      </c>
      <c r="AP308" s="394">
        <f t="shared" si="58"/>
        <v>2025</v>
      </c>
      <c r="AQ308" s="395">
        <f t="shared" si="59"/>
        <v>2025.5833333333333</v>
      </c>
      <c r="AR308" s="396">
        <f t="shared" si="60"/>
        <v>61.111111111111114</v>
      </c>
      <c r="AS308" s="397">
        <f t="shared" si="61"/>
        <v>733.33333333333337</v>
      </c>
      <c r="AT308" s="397">
        <f t="shared" si="62"/>
        <v>733.33333333333337</v>
      </c>
      <c r="AU308" s="397">
        <f t="shared" si="63"/>
        <v>1283.3333333333333</v>
      </c>
      <c r="AV308" s="397">
        <f t="shared" si="64"/>
        <v>2016.6666666666665</v>
      </c>
      <c r="AW308" s="398">
        <f t="shared" si="65"/>
        <v>183.33333333333348</v>
      </c>
      <c r="AX308" s="386" t="s">
        <v>62</v>
      </c>
    </row>
    <row r="309" spans="2:50" ht="15.75" outlineLevel="1">
      <c r="B309" s="381">
        <v>2111</v>
      </c>
      <c r="C309" s="382">
        <v>291392</v>
      </c>
      <c r="D309" s="381" t="s">
        <v>944</v>
      </c>
      <c r="E309" s="383" t="s">
        <v>4240</v>
      </c>
      <c r="F309" s="392" t="s">
        <v>4202</v>
      </c>
      <c r="G309" s="392"/>
      <c r="H309" s="392"/>
      <c r="I309" s="381">
        <v>1</v>
      </c>
      <c r="J309" s="383"/>
      <c r="K309" s="381">
        <v>0</v>
      </c>
      <c r="L309" s="383"/>
      <c r="M309" s="383"/>
      <c r="N309" s="383" t="s">
        <v>4452</v>
      </c>
      <c r="O309" s="383" t="s">
        <v>4441</v>
      </c>
      <c r="P309" s="383"/>
      <c r="Q309" s="383"/>
      <c r="R309" s="383"/>
      <c r="S309" s="384">
        <v>44742</v>
      </c>
      <c r="T309" s="384">
        <v>44742</v>
      </c>
      <c r="U309" s="383" t="s">
        <v>4203</v>
      </c>
      <c r="V309" s="381">
        <v>1000</v>
      </c>
      <c r="W309" s="381">
        <v>14080</v>
      </c>
      <c r="X309" s="385">
        <v>38605</v>
      </c>
      <c r="Y309" s="381">
        <v>14086</v>
      </c>
      <c r="Z309" s="385">
        <v>8686.14</v>
      </c>
      <c r="AA309" s="385">
        <f t="shared" si="55"/>
        <v>29918.86</v>
      </c>
      <c r="AB309" s="385">
        <v>2895.39</v>
      </c>
      <c r="AC309" s="381">
        <v>57260</v>
      </c>
      <c r="AD309" s="385">
        <v>321.70999999999998</v>
      </c>
      <c r="AE309" s="381" t="s">
        <v>944</v>
      </c>
      <c r="AF309" s="383"/>
      <c r="AG309" s="383"/>
      <c r="AH309" s="383" t="s">
        <v>57</v>
      </c>
      <c r="AI309" s="383" t="s">
        <v>4442</v>
      </c>
      <c r="AJ309" s="383" t="s">
        <v>4443</v>
      </c>
      <c r="AK309" s="389" t="s">
        <v>4437</v>
      </c>
      <c r="AL309" s="389"/>
      <c r="AM309" s="389" t="s">
        <v>136</v>
      </c>
      <c r="AN309" s="393">
        <f t="shared" si="56"/>
        <v>6</v>
      </c>
      <c r="AO309" s="393">
        <f t="shared" si="57"/>
        <v>2022</v>
      </c>
      <c r="AP309" s="394">
        <f t="shared" si="58"/>
        <v>2032</v>
      </c>
      <c r="AQ309" s="395">
        <f t="shared" si="59"/>
        <v>2032.5</v>
      </c>
      <c r="AR309" s="396">
        <f t="shared" si="60"/>
        <v>321.70833333333331</v>
      </c>
      <c r="AS309" s="397">
        <f t="shared" si="61"/>
        <v>3860.5</v>
      </c>
      <c r="AT309" s="397">
        <f t="shared" si="62"/>
        <v>3860.5</v>
      </c>
      <c r="AU309" s="397">
        <f t="shared" si="63"/>
        <v>7077.5833333330411</v>
      </c>
      <c r="AV309" s="397">
        <f t="shared" si="64"/>
        <v>10938.083333333041</v>
      </c>
      <c r="AW309" s="398">
        <f t="shared" si="65"/>
        <v>27666.916666666959</v>
      </c>
      <c r="AX309" s="386" t="s">
        <v>62</v>
      </c>
    </row>
    <row r="310" spans="2:50" ht="15.75" outlineLevel="1">
      <c r="B310" s="381">
        <v>2111</v>
      </c>
      <c r="C310" s="382">
        <v>291325</v>
      </c>
      <c r="D310" s="381">
        <v>291321</v>
      </c>
      <c r="E310" s="383" t="s">
        <v>4240</v>
      </c>
      <c r="F310" s="392" t="s">
        <v>4201</v>
      </c>
      <c r="G310" s="392"/>
      <c r="H310" s="392"/>
      <c r="I310" s="381">
        <v>1</v>
      </c>
      <c r="J310" s="383" t="s">
        <v>4196</v>
      </c>
      <c r="K310" s="381">
        <v>0</v>
      </c>
      <c r="L310" s="383"/>
      <c r="M310" s="383"/>
      <c r="N310" s="383" t="s">
        <v>4445</v>
      </c>
      <c r="O310" s="383" t="s">
        <v>4441</v>
      </c>
      <c r="P310" s="383" t="s">
        <v>1467</v>
      </c>
      <c r="Q310" s="383"/>
      <c r="R310" s="383"/>
      <c r="S310" s="384">
        <v>38132</v>
      </c>
      <c r="T310" s="384">
        <v>38132</v>
      </c>
      <c r="U310" s="383">
        <v>42009021</v>
      </c>
      <c r="V310" s="381">
        <v>1000</v>
      </c>
      <c r="W310" s="381">
        <v>14040</v>
      </c>
      <c r="X310" s="385">
        <v>8947.36</v>
      </c>
      <c r="Y310" s="381">
        <v>14046</v>
      </c>
      <c r="Z310" s="385">
        <v>8947.36</v>
      </c>
      <c r="AA310" s="385">
        <f t="shared" si="55"/>
        <v>0</v>
      </c>
      <c r="AB310" s="385">
        <v>0</v>
      </c>
      <c r="AC310" s="381">
        <v>51260</v>
      </c>
      <c r="AD310" s="385">
        <v>0</v>
      </c>
      <c r="AE310" s="381" t="s">
        <v>944</v>
      </c>
      <c r="AF310" s="383">
        <v>0</v>
      </c>
      <c r="AG310" s="383">
        <v>663</v>
      </c>
      <c r="AH310" s="383" t="s">
        <v>57</v>
      </c>
      <c r="AI310" s="383" t="s">
        <v>4442</v>
      </c>
      <c r="AJ310" s="383" t="s">
        <v>4443</v>
      </c>
      <c r="AK310" s="389" t="s">
        <v>4437</v>
      </c>
      <c r="AL310" s="389"/>
      <c r="AM310" s="389" t="s">
        <v>3939</v>
      </c>
      <c r="AN310" s="393">
        <f t="shared" si="56"/>
        <v>5</v>
      </c>
      <c r="AO310" s="393">
        <f t="shared" si="57"/>
        <v>2004</v>
      </c>
      <c r="AP310" s="394">
        <f t="shared" si="58"/>
        <v>2014</v>
      </c>
      <c r="AQ310" s="395">
        <f t="shared" si="59"/>
        <v>2014.4166666666667</v>
      </c>
      <c r="AR310" s="396">
        <f t="shared" si="60"/>
        <v>74.561333333333337</v>
      </c>
      <c r="AS310" s="397">
        <f t="shared" si="61"/>
        <v>894.7360000000001</v>
      </c>
      <c r="AT310" s="397">
        <f t="shared" si="62"/>
        <v>0</v>
      </c>
      <c r="AU310" s="397">
        <f t="shared" si="63"/>
        <v>8947.36</v>
      </c>
      <c r="AV310" s="397">
        <f t="shared" si="64"/>
        <v>8947.36</v>
      </c>
      <c r="AW310" s="398">
        <f t="shared" si="65"/>
        <v>0</v>
      </c>
      <c r="AX310" s="386" t="s">
        <v>62</v>
      </c>
    </row>
    <row r="311" spans="2:50" ht="15.75" outlineLevel="1">
      <c r="B311" s="381">
        <v>2111</v>
      </c>
      <c r="C311" s="382">
        <v>291324</v>
      </c>
      <c r="D311" s="381">
        <v>291321</v>
      </c>
      <c r="E311" s="383" t="s">
        <v>4240</v>
      </c>
      <c r="F311" s="392" t="s">
        <v>4200</v>
      </c>
      <c r="G311" s="392"/>
      <c r="H311" s="392"/>
      <c r="I311" s="381">
        <v>1</v>
      </c>
      <c r="J311" s="383" t="s">
        <v>4196</v>
      </c>
      <c r="K311" s="381">
        <v>0</v>
      </c>
      <c r="L311" s="383"/>
      <c r="M311" s="383"/>
      <c r="N311" s="383" t="s">
        <v>4445</v>
      </c>
      <c r="O311" s="383" t="s">
        <v>4441</v>
      </c>
      <c r="P311" s="383" t="s">
        <v>1467</v>
      </c>
      <c r="Q311" s="383"/>
      <c r="R311" s="383"/>
      <c r="S311" s="384">
        <v>38100</v>
      </c>
      <c r="T311" s="384">
        <v>38100</v>
      </c>
      <c r="U311" s="383">
        <v>42009021</v>
      </c>
      <c r="V311" s="381">
        <v>1000</v>
      </c>
      <c r="W311" s="381">
        <v>14040</v>
      </c>
      <c r="X311" s="385">
        <v>41718.199999999997</v>
      </c>
      <c r="Y311" s="381">
        <v>14046</v>
      </c>
      <c r="Z311" s="385">
        <v>41718.199999999997</v>
      </c>
      <c r="AA311" s="385">
        <f t="shared" si="55"/>
        <v>0</v>
      </c>
      <c r="AB311" s="385">
        <v>0</v>
      </c>
      <c r="AC311" s="381">
        <v>51260</v>
      </c>
      <c r="AD311" s="385">
        <v>0</v>
      </c>
      <c r="AE311" s="381" t="s">
        <v>944</v>
      </c>
      <c r="AF311" s="383">
        <v>0</v>
      </c>
      <c r="AG311" s="383">
        <v>663</v>
      </c>
      <c r="AH311" s="383" t="s">
        <v>57</v>
      </c>
      <c r="AI311" s="383" t="s">
        <v>4442</v>
      </c>
      <c r="AJ311" s="383" t="s">
        <v>4443</v>
      </c>
      <c r="AK311" s="389" t="s">
        <v>4437</v>
      </c>
      <c r="AL311" s="389"/>
      <c r="AM311" s="389" t="s">
        <v>3939</v>
      </c>
      <c r="AN311" s="393">
        <f t="shared" si="56"/>
        <v>4</v>
      </c>
      <c r="AO311" s="393">
        <f t="shared" si="57"/>
        <v>2004</v>
      </c>
      <c r="AP311" s="394">
        <f t="shared" si="58"/>
        <v>2014</v>
      </c>
      <c r="AQ311" s="395">
        <f t="shared" si="59"/>
        <v>2014.3333333333333</v>
      </c>
      <c r="AR311" s="396">
        <f t="shared" si="60"/>
        <v>347.65166666666664</v>
      </c>
      <c r="AS311" s="397">
        <f t="shared" si="61"/>
        <v>4171.82</v>
      </c>
      <c r="AT311" s="397">
        <f t="shared" si="62"/>
        <v>0</v>
      </c>
      <c r="AU311" s="397">
        <f t="shared" si="63"/>
        <v>41718.199999999997</v>
      </c>
      <c r="AV311" s="397">
        <f t="shared" si="64"/>
        <v>41718.199999999997</v>
      </c>
      <c r="AW311" s="398">
        <f t="shared" si="65"/>
        <v>0</v>
      </c>
      <c r="AX311" s="386" t="s">
        <v>62</v>
      </c>
    </row>
    <row r="312" spans="2:50" ht="15.75" outlineLevel="1">
      <c r="B312" s="381">
        <v>2111</v>
      </c>
      <c r="C312" s="382">
        <v>291323</v>
      </c>
      <c r="D312" s="381">
        <v>291321</v>
      </c>
      <c r="E312" s="383" t="s">
        <v>4240</v>
      </c>
      <c r="F312" s="392" t="s">
        <v>4199</v>
      </c>
      <c r="G312" s="392"/>
      <c r="H312" s="392"/>
      <c r="I312" s="381">
        <v>1</v>
      </c>
      <c r="J312" s="383"/>
      <c r="K312" s="381">
        <v>0</v>
      </c>
      <c r="L312" s="383"/>
      <c r="M312" s="383"/>
      <c r="N312" s="383" t="s">
        <v>4445</v>
      </c>
      <c r="O312" s="383" t="s">
        <v>4441</v>
      </c>
      <c r="P312" s="383" t="s">
        <v>1467</v>
      </c>
      <c r="Q312" s="383"/>
      <c r="R312" s="383"/>
      <c r="S312" s="384">
        <v>38128</v>
      </c>
      <c r="T312" s="384">
        <v>38128</v>
      </c>
      <c r="U312" s="383">
        <v>42009021</v>
      </c>
      <c r="V312" s="381">
        <v>1000</v>
      </c>
      <c r="W312" s="381">
        <v>14040</v>
      </c>
      <c r="X312" s="385">
        <v>527.73</v>
      </c>
      <c r="Y312" s="381">
        <v>14046</v>
      </c>
      <c r="Z312" s="385">
        <v>527.73</v>
      </c>
      <c r="AA312" s="385">
        <f t="shared" si="55"/>
        <v>0</v>
      </c>
      <c r="AB312" s="385">
        <v>0</v>
      </c>
      <c r="AC312" s="381">
        <v>51260</v>
      </c>
      <c r="AD312" s="385">
        <v>0</v>
      </c>
      <c r="AE312" s="381" t="s">
        <v>944</v>
      </c>
      <c r="AF312" s="383">
        <v>0</v>
      </c>
      <c r="AG312" s="383">
        <v>663</v>
      </c>
      <c r="AH312" s="383" t="s">
        <v>57</v>
      </c>
      <c r="AI312" s="383" t="s">
        <v>4442</v>
      </c>
      <c r="AJ312" s="383" t="s">
        <v>4443</v>
      </c>
      <c r="AK312" s="389" t="s">
        <v>4437</v>
      </c>
      <c r="AL312" s="389"/>
      <c r="AM312" s="389" t="s">
        <v>3939</v>
      </c>
      <c r="AN312" s="393">
        <f t="shared" si="56"/>
        <v>5</v>
      </c>
      <c r="AO312" s="393">
        <f t="shared" si="57"/>
        <v>2004</v>
      </c>
      <c r="AP312" s="394">
        <f t="shared" si="58"/>
        <v>2014</v>
      </c>
      <c r="AQ312" s="395">
        <f t="shared" si="59"/>
        <v>2014.4166666666667</v>
      </c>
      <c r="AR312" s="396">
        <f t="shared" si="60"/>
        <v>4.3977500000000003</v>
      </c>
      <c r="AS312" s="397">
        <f t="shared" si="61"/>
        <v>52.773000000000003</v>
      </c>
      <c r="AT312" s="397">
        <f t="shared" si="62"/>
        <v>0</v>
      </c>
      <c r="AU312" s="397">
        <f t="shared" si="63"/>
        <v>527.73</v>
      </c>
      <c r="AV312" s="397">
        <f t="shared" si="64"/>
        <v>527.73</v>
      </c>
      <c r="AW312" s="398">
        <f t="shared" si="65"/>
        <v>0</v>
      </c>
      <c r="AX312" s="386" t="s">
        <v>62</v>
      </c>
    </row>
    <row r="313" spans="2:50" ht="15.75" outlineLevel="1">
      <c r="B313" s="381">
        <v>2111</v>
      </c>
      <c r="C313" s="382">
        <v>291322</v>
      </c>
      <c r="D313" s="381">
        <v>291321</v>
      </c>
      <c r="E313" s="383" t="s">
        <v>4240</v>
      </c>
      <c r="F313" s="392" t="s">
        <v>4198</v>
      </c>
      <c r="G313" s="392"/>
      <c r="H313" s="392"/>
      <c r="I313" s="381">
        <v>1</v>
      </c>
      <c r="J313" s="383" t="s">
        <v>4196</v>
      </c>
      <c r="K313" s="381">
        <v>2004</v>
      </c>
      <c r="L313" s="383"/>
      <c r="M313" s="383"/>
      <c r="N313" s="383" t="s">
        <v>4445</v>
      </c>
      <c r="O313" s="383" t="s">
        <v>4441</v>
      </c>
      <c r="P313" s="383" t="s">
        <v>1467</v>
      </c>
      <c r="Q313" s="383"/>
      <c r="R313" s="383"/>
      <c r="S313" s="384">
        <v>38126</v>
      </c>
      <c r="T313" s="384">
        <v>38126</v>
      </c>
      <c r="U313" s="383">
        <v>42009021</v>
      </c>
      <c r="V313" s="381">
        <v>1000</v>
      </c>
      <c r="W313" s="381">
        <v>14040</v>
      </c>
      <c r="X313" s="385">
        <v>919.29</v>
      </c>
      <c r="Y313" s="381">
        <v>14046</v>
      </c>
      <c r="Z313" s="385">
        <v>919.29</v>
      </c>
      <c r="AA313" s="385">
        <f t="shared" si="55"/>
        <v>0</v>
      </c>
      <c r="AB313" s="385">
        <v>0</v>
      </c>
      <c r="AC313" s="381">
        <v>51260</v>
      </c>
      <c r="AD313" s="385">
        <v>0</v>
      </c>
      <c r="AE313" s="381" t="s">
        <v>944</v>
      </c>
      <c r="AF313" s="383">
        <v>0</v>
      </c>
      <c r="AG313" s="383">
        <v>663</v>
      </c>
      <c r="AH313" s="383" t="s">
        <v>57</v>
      </c>
      <c r="AI313" s="383" t="s">
        <v>4442</v>
      </c>
      <c r="AJ313" s="383" t="s">
        <v>4443</v>
      </c>
      <c r="AK313" s="389" t="s">
        <v>4437</v>
      </c>
      <c r="AL313" s="389"/>
      <c r="AM313" s="389" t="s">
        <v>3939</v>
      </c>
      <c r="AN313" s="393">
        <f t="shared" si="56"/>
        <v>5</v>
      </c>
      <c r="AO313" s="393">
        <f t="shared" si="57"/>
        <v>2004</v>
      </c>
      <c r="AP313" s="394">
        <f t="shared" si="58"/>
        <v>2014</v>
      </c>
      <c r="AQ313" s="395">
        <f t="shared" si="59"/>
        <v>2014.4166666666667</v>
      </c>
      <c r="AR313" s="396">
        <f t="shared" si="60"/>
        <v>7.6607500000000002</v>
      </c>
      <c r="AS313" s="397">
        <f t="shared" si="61"/>
        <v>91.929000000000002</v>
      </c>
      <c r="AT313" s="397">
        <f t="shared" si="62"/>
        <v>0</v>
      </c>
      <c r="AU313" s="397">
        <f t="shared" si="63"/>
        <v>919.29</v>
      </c>
      <c r="AV313" s="397">
        <f t="shared" si="64"/>
        <v>919.29</v>
      </c>
      <c r="AW313" s="398">
        <f t="shared" si="65"/>
        <v>0</v>
      </c>
      <c r="AX313" s="386" t="s">
        <v>62</v>
      </c>
    </row>
    <row r="314" spans="2:50" ht="15.75" outlineLevel="1">
      <c r="B314" s="381">
        <v>2111</v>
      </c>
      <c r="C314" s="382">
        <v>291321</v>
      </c>
      <c r="D314" s="381" t="s">
        <v>944</v>
      </c>
      <c r="E314" s="383" t="s">
        <v>4240</v>
      </c>
      <c r="F314" s="392" t="s">
        <v>4195</v>
      </c>
      <c r="G314" s="392"/>
      <c r="H314" s="392"/>
      <c r="I314" s="381">
        <v>1</v>
      </c>
      <c r="J314" s="383" t="s">
        <v>4196</v>
      </c>
      <c r="K314" s="381">
        <v>2004</v>
      </c>
      <c r="L314" s="383" t="s">
        <v>3258</v>
      </c>
      <c r="M314" s="383" t="s">
        <v>4197</v>
      </c>
      <c r="N314" s="383" t="s">
        <v>4445</v>
      </c>
      <c r="O314" s="383" t="s">
        <v>4441</v>
      </c>
      <c r="P314" s="383" t="s">
        <v>4463</v>
      </c>
      <c r="Q314" s="383"/>
      <c r="R314" s="383"/>
      <c r="S314" s="384">
        <v>38029</v>
      </c>
      <c r="T314" s="384">
        <v>38029</v>
      </c>
      <c r="U314" s="383">
        <v>42009021</v>
      </c>
      <c r="V314" s="381">
        <v>1000</v>
      </c>
      <c r="W314" s="381">
        <v>14040</v>
      </c>
      <c r="X314" s="385">
        <v>82716.06</v>
      </c>
      <c r="Y314" s="381">
        <v>14046</v>
      </c>
      <c r="Z314" s="385">
        <v>82716.06</v>
      </c>
      <c r="AA314" s="385">
        <f t="shared" si="55"/>
        <v>0</v>
      </c>
      <c r="AB314" s="385">
        <v>0</v>
      </c>
      <c r="AC314" s="381">
        <v>51260</v>
      </c>
      <c r="AD314" s="385">
        <v>0</v>
      </c>
      <c r="AE314" s="381" t="s">
        <v>410</v>
      </c>
      <c r="AF314" s="383">
        <v>0</v>
      </c>
      <c r="AG314" s="383" t="s">
        <v>2206</v>
      </c>
      <c r="AH314" s="383" t="s">
        <v>57</v>
      </c>
      <c r="AI314" s="383" t="s">
        <v>4442</v>
      </c>
      <c r="AJ314" s="383" t="s">
        <v>4443</v>
      </c>
      <c r="AK314" s="389" t="s">
        <v>4437</v>
      </c>
      <c r="AL314" s="389"/>
      <c r="AM314" s="389" t="s">
        <v>3939</v>
      </c>
      <c r="AN314" s="393">
        <f t="shared" si="56"/>
        <v>2</v>
      </c>
      <c r="AO314" s="393">
        <f t="shared" si="57"/>
        <v>2004</v>
      </c>
      <c r="AP314" s="394">
        <f t="shared" si="58"/>
        <v>2014</v>
      </c>
      <c r="AQ314" s="395">
        <f t="shared" si="59"/>
        <v>2014.1666666666667</v>
      </c>
      <c r="AR314" s="396">
        <f t="shared" si="60"/>
        <v>689.30049999999994</v>
      </c>
      <c r="AS314" s="397">
        <f t="shared" si="61"/>
        <v>8271.6059999999998</v>
      </c>
      <c r="AT314" s="397">
        <f t="shared" si="62"/>
        <v>0</v>
      </c>
      <c r="AU314" s="397">
        <f t="shared" si="63"/>
        <v>82716.06</v>
      </c>
      <c r="AV314" s="397">
        <f t="shared" si="64"/>
        <v>82716.06</v>
      </c>
      <c r="AW314" s="398">
        <f t="shared" si="65"/>
        <v>0</v>
      </c>
      <c r="AX314" s="386" t="s">
        <v>62</v>
      </c>
    </row>
    <row r="315" spans="2:50" ht="15.75" outlineLevel="1">
      <c r="B315" s="381">
        <v>2111</v>
      </c>
      <c r="C315" s="382">
        <v>291184</v>
      </c>
      <c r="D315" s="381">
        <v>291161</v>
      </c>
      <c r="E315" s="383" t="s">
        <v>4240</v>
      </c>
      <c r="F315" s="392" t="s">
        <v>4180</v>
      </c>
      <c r="G315" s="392"/>
      <c r="H315" s="392"/>
      <c r="I315" s="381">
        <v>1</v>
      </c>
      <c r="J315" s="383"/>
      <c r="K315" s="381">
        <v>0</v>
      </c>
      <c r="L315" s="383" t="s">
        <v>4181</v>
      </c>
      <c r="M315" s="383"/>
      <c r="N315" s="383" t="s">
        <v>4462</v>
      </c>
      <c r="O315" s="383" t="s">
        <v>4441</v>
      </c>
      <c r="P315" s="383"/>
      <c r="Q315" s="383"/>
      <c r="R315" s="383"/>
      <c r="S315" s="384">
        <v>44563</v>
      </c>
      <c r="T315" s="384">
        <v>44563</v>
      </c>
      <c r="U315" s="383" t="s">
        <v>4179</v>
      </c>
      <c r="V315" s="381">
        <v>1000</v>
      </c>
      <c r="W315" s="381">
        <v>14010</v>
      </c>
      <c r="X315" s="385">
        <v>6160</v>
      </c>
      <c r="Y315" s="381">
        <v>14016</v>
      </c>
      <c r="Z315" s="385">
        <v>1693.97</v>
      </c>
      <c r="AA315" s="385">
        <f t="shared" si="55"/>
        <v>4466.03</v>
      </c>
      <c r="AB315" s="385">
        <v>461.97</v>
      </c>
      <c r="AC315" s="381">
        <v>57260</v>
      </c>
      <c r="AD315" s="385">
        <v>51.33</v>
      </c>
      <c r="AE315" s="381" t="s">
        <v>944</v>
      </c>
      <c r="AF315" s="383"/>
      <c r="AG315" s="383"/>
      <c r="AH315" s="383" t="s">
        <v>57</v>
      </c>
      <c r="AI315" s="383" t="s">
        <v>4442</v>
      </c>
      <c r="AJ315" s="383" t="s">
        <v>4443</v>
      </c>
      <c r="AK315" s="389" t="s">
        <v>4437</v>
      </c>
      <c r="AL315" s="389"/>
      <c r="AM315" s="389" t="s">
        <v>1077</v>
      </c>
      <c r="AN315" s="393">
        <f t="shared" si="56"/>
        <v>1</v>
      </c>
      <c r="AO315" s="393">
        <f t="shared" si="57"/>
        <v>2022</v>
      </c>
      <c r="AP315" s="394">
        <f t="shared" si="58"/>
        <v>2032</v>
      </c>
      <c r="AQ315" s="395">
        <f t="shared" si="59"/>
        <v>2032.0833333333333</v>
      </c>
      <c r="AR315" s="396">
        <f t="shared" si="60"/>
        <v>51.333333333333336</v>
      </c>
      <c r="AS315" s="397">
        <f t="shared" si="61"/>
        <v>616</v>
      </c>
      <c r="AT315" s="397">
        <f t="shared" si="62"/>
        <v>616</v>
      </c>
      <c r="AU315" s="397">
        <f t="shared" si="63"/>
        <v>1386</v>
      </c>
      <c r="AV315" s="397">
        <f t="shared" si="64"/>
        <v>2002</v>
      </c>
      <c r="AW315" s="398">
        <f t="shared" si="65"/>
        <v>4158</v>
      </c>
      <c r="AX315" s="386" t="s">
        <v>62</v>
      </c>
    </row>
    <row r="316" spans="2:50" ht="15.75" outlineLevel="1">
      <c r="B316" s="381">
        <v>2111</v>
      </c>
      <c r="C316" s="382">
        <v>291161</v>
      </c>
      <c r="D316" s="381" t="s">
        <v>944</v>
      </c>
      <c r="E316" s="383" t="s">
        <v>4240</v>
      </c>
      <c r="F316" s="392" t="s">
        <v>1077</v>
      </c>
      <c r="G316" s="392"/>
      <c r="H316" s="392"/>
      <c r="I316" s="381">
        <v>1</v>
      </c>
      <c r="J316" s="383"/>
      <c r="K316" s="381">
        <v>0</v>
      </c>
      <c r="L316" s="383"/>
      <c r="M316" s="383"/>
      <c r="N316" s="383" t="s">
        <v>4462</v>
      </c>
      <c r="O316" s="383" t="s">
        <v>4441</v>
      </c>
      <c r="P316" s="383"/>
      <c r="Q316" s="383"/>
      <c r="R316" s="383"/>
      <c r="S316" s="384">
        <v>44803</v>
      </c>
      <c r="T316" s="384">
        <v>44803</v>
      </c>
      <c r="U316" s="383" t="s">
        <v>4179</v>
      </c>
      <c r="V316" s="381">
        <v>1000</v>
      </c>
      <c r="W316" s="381">
        <v>14010</v>
      </c>
      <c r="X316" s="385">
        <v>800316.61</v>
      </c>
      <c r="Y316" s="381">
        <v>14016</v>
      </c>
      <c r="Z316" s="385">
        <v>166732.67000000001</v>
      </c>
      <c r="AA316" s="385">
        <f t="shared" si="55"/>
        <v>633583.93999999994</v>
      </c>
      <c r="AB316" s="385">
        <v>60023.79</v>
      </c>
      <c r="AC316" s="381">
        <v>57260</v>
      </c>
      <c r="AD316" s="385">
        <v>6669.31</v>
      </c>
      <c r="AE316" s="381" t="s">
        <v>944</v>
      </c>
      <c r="AF316" s="383"/>
      <c r="AG316" s="383"/>
      <c r="AH316" s="383" t="s">
        <v>57</v>
      </c>
      <c r="AI316" s="383" t="s">
        <v>4442</v>
      </c>
      <c r="AJ316" s="383" t="s">
        <v>4443</v>
      </c>
      <c r="AK316" s="389" t="s">
        <v>4437</v>
      </c>
      <c r="AL316" s="389"/>
      <c r="AM316" s="389" t="s">
        <v>1077</v>
      </c>
      <c r="AN316" s="393">
        <f t="shared" si="56"/>
        <v>8</v>
      </c>
      <c r="AO316" s="393">
        <f t="shared" si="57"/>
        <v>2022</v>
      </c>
      <c r="AP316" s="394">
        <f t="shared" si="58"/>
        <v>2032</v>
      </c>
      <c r="AQ316" s="395">
        <f t="shared" si="59"/>
        <v>2032.6666666666667</v>
      </c>
      <c r="AR316" s="396">
        <f t="shared" si="60"/>
        <v>6669.3050833333327</v>
      </c>
      <c r="AS316" s="397">
        <f t="shared" si="61"/>
        <v>80031.660999999993</v>
      </c>
      <c r="AT316" s="397">
        <f t="shared" si="62"/>
        <v>80031.660999999993</v>
      </c>
      <c r="AU316" s="397">
        <f t="shared" si="63"/>
        <v>133386.10166665458</v>
      </c>
      <c r="AV316" s="397">
        <f t="shared" si="64"/>
        <v>213417.76266665457</v>
      </c>
      <c r="AW316" s="398">
        <f t="shared" si="65"/>
        <v>586898.84733334545</v>
      </c>
      <c r="AX316" s="386" t="s">
        <v>62</v>
      </c>
    </row>
    <row r="317" spans="2:50" ht="15.75" outlineLevel="1">
      <c r="B317" s="381">
        <v>2111</v>
      </c>
      <c r="C317" s="382">
        <v>290881</v>
      </c>
      <c r="D317" s="381" t="s">
        <v>944</v>
      </c>
      <c r="E317" s="383" t="s">
        <v>4240</v>
      </c>
      <c r="F317" s="392" t="s">
        <v>4178</v>
      </c>
      <c r="G317" s="392"/>
      <c r="H317" s="392"/>
      <c r="I317" s="381">
        <v>24</v>
      </c>
      <c r="J317" s="383"/>
      <c r="K317" s="381">
        <v>0</v>
      </c>
      <c r="L317" s="383" t="s">
        <v>1509</v>
      </c>
      <c r="M317" s="383"/>
      <c r="N317" s="383" t="s">
        <v>4446</v>
      </c>
      <c r="O317" s="383" t="s">
        <v>4441</v>
      </c>
      <c r="P317" s="383"/>
      <c r="Q317" s="383" t="s">
        <v>4509</v>
      </c>
      <c r="R317" s="383" t="s">
        <v>4450</v>
      </c>
      <c r="S317" s="384">
        <v>44693</v>
      </c>
      <c r="T317" s="384">
        <v>44693</v>
      </c>
      <c r="U317" s="383" t="s">
        <v>4116</v>
      </c>
      <c r="V317" s="381">
        <v>1200</v>
      </c>
      <c r="W317" s="381">
        <v>14050</v>
      </c>
      <c r="X317" s="385">
        <v>39055.300000000003</v>
      </c>
      <c r="Y317" s="381">
        <v>14056</v>
      </c>
      <c r="Z317" s="385">
        <v>7865.33</v>
      </c>
      <c r="AA317" s="385">
        <f t="shared" si="55"/>
        <v>31189.97</v>
      </c>
      <c r="AB317" s="385">
        <v>2440.98</v>
      </c>
      <c r="AC317" s="381">
        <v>54260</v>
      </c>
      <c r="AD317" s="385">
        <v>271.22000000000003</v>
      </c>
      <c r="AE317" s="381" t="s">
        <v>944</v>
      </c>
      <c r="AF317" s="383"/>
      <c r="AG317" s="383"/>
      <c r="AH317" s="383" t="s">
        <v>57</v>
      </c>
      <c r="AI317" s="383" t="s">
        <v>4442</v>
      </c>
      <c r="AJ317" s="383" t="s">
        <v>4443</v>
      </c>
      <c r="AK317" s="389" t="s">
        <v>4437</v>
      </c>
      <c r="AL317" s="389"/>
      <c r="AM317" s="389" t="s">
        <v>1341</v>
      </c>
      <c r="AN317" s="393">
        <f t="shared" si="56"/>
        <v>5</v>
      </c>
      <c r="AO317" s="393">
        <f t="shared" si="57"/>
        <v>2022</v>
      </c>
      <c r="AP317" s="394">
        <f t="shared" si="58"/>
        <v>2034</v>
      </c>
      <c r="AQ317" s="395">
        <f t="shared" si="59"/>
        <v>2034.4166666666667</v>
      </c>
      <c r="AR317" s="396">
        <f t="shared" si="60"/>
        <v>271.21736111111113</v>
      </c>
      <c r="AS317" s="397">
        <f t="shared" si="61"/>
        <v>3254.6083333333336</v>
      </c>
      <c r="AT317" s="397">
        <f t="shared" si="62"/>
        <v>3254.6083333333336</v>
      </c>
      <c r="AU317" s="397">
        <f t="shared" si="63"/>
        <v>6237.9993055550658</v>
      </c>
      <c r="AV317" s="397">
        <f t="shared" si="64"/>
        <v>9492.6076388883994</v>
      </c>
      <c r="AW317" s="398">
        <f t="shared" si="65"/>
        <v>29562.692361111604</v>
      </c>
      <c r="AX317" s="386" t="s">
        <v>62</v>
      </c>
    </row>
    <row r="318" spans="2:50" ht="15.75" outlineLevel="1">
      <c r="B318" s="381">
        <v>2111</v>
      </c>
      <c r="C318" s="382">
        <v>290734</v>
      </c>
      <c r="D318" s="381" t="s">
        <v>944</v>
      </c>
      <c r="E318" s="383" t="s">
        <v>4240</v>
      </c>
      <c r="F318" s="392" t="s">
        <v>4175</v>
      </c>
      <c r="G318" s="392"/>
      <c r="H318" s="392"/>
      <c r="I318" s="381">
        <v>1</v>
      </c>
      <c r="J318" s="383"/>
      <c r="K318" s="381">
        <v>0</v>
      </c>
      <c r="L318" s="383" t="s">
        <v>4176</v>
      </c>
      <c r="M318" s="383"/>
      <c r="N318" s="383" t="s">
        <v>4462</v>
      </c>
      <c r="O318" s="383" t="s">
        <v>4441</v>
      </c>
      <c r="P318" s="383"/>
      <c r="Q318" s="383"/>
      <c r="R318" s="383"/>
      <c r="S318" s="384">
        <v>44680</v>
      </c>
      <c r="T318" s="384">
        <v>44680</v>
      </c>
      <c r="U318" s="383" t="s">
        <v>4177</v>
      </c>
      <c r="V318" s="381">
        <v>1000</v>
      </c>
      <c r="W318" s="381">
        <v>14010</v>
      </c>
      <c r="X318" s="385">
        <v>17022.5</v>
      </c>
      <c r="Y318" s="381">
        <v>14016</v>
      </c>
      <c r="Z318" s="385">
        <v>4113.7299999999996</v>
      </c>
      <c r="AA318" s="385">
        <f t="shared" si="55"/>
        <v>12908.77</v>
      </c>
      <c r="AB318" s="385">
        <v>1276.6500000000001</v>
      </c>
      <c r="AC318" s="381">
        <v>57260</v>
      </c>
      <c r="AD318" s="385">
        <v>141.85</v>
      </c>
      <c r="AE318" s="381" t="s">
        <v>944</v>
      </c>
      <c r="AF318" s="383"/>
      <c r="AG318" s="383"/>
      <c r="AH318" s="383" t="s">
        <v>57</v>
      </c>
      <c r="AI318" s="383" t="s">
        <v>4442</v>
      </c>
      <c r="AJ318" s="383" t="s">
        <v>4443</v>
      </c>
      <c r="AK318" s="389" t="s">
        <v>4437</v>
      </c>
      <c r="AL318" s="389"/>
      <c r="AM318" s="389" t="s">
        <v>136</v>
      </c>
      <c r="AN318" s="393">
        <f t="shared" si="56"/>
        <v>4</v>
      </c>
      <c r="AO318" s="393">
        <f t="shared" si="57"/>
        <v>2022</v>
      </c>
      <c r="AP318" s="394">
        <f t="shared" si="58"/>
        <v>2032</v>
      </c>
      <c r="AQ318" s="395">
        <f t="shared" si="59"/>
        <v>2032.3333333333333</v>
      </c>
      <c r="AR318" s="396">
        <f t="shared" si="60"/>
        <v>141.85416666666666</v>
      </c>
      <c r="AS318" s="397">
        <f t="shared" si="61"/>
        <v>1702.25</v>
      </c>
      <c r="AT318" s="397">
        <f t="shared" si="62"/>
        <v>1702.25</v>
      </c>
      <c r="AU318" s="397">
        <f t="shared" si="63"/>
        <v>3404.5</v>
      </c>
      <c r="AV318" s="397">
        <f t="shared" si="64"/>
        <v>5106.75</v>
      </c>
      <c r="AW318" s="398">
        <f t="shared" si="65"/>
        <v>11915.75</v>
      </c>
      <c r="AX318" s="386" t="s">
        <v>62</v>
      </c>
    </row>
    <row r="319" spans="2:50" ht="15.75" outlineLevel="1">
      <c r="B319" s="381">
        <v>2111</v>
      </c>
      <c r="C319" s="382">
        <v>290430</v>
      </c>
      <c r="D319" s="381">
        <v>290429</v>
      </c>
      <c r="E319" s="383" t="s">
        <v>4240</v>
      </c>
      <c r="F319" s="392" t="s">
        <v>4104</v>
      </c>
      <c r="G319" s="392"/>
      <c r="H319" s="392"/>
      <c r="I319" s="381">
        <v>1</v>
      </c>
      <c r="J319" s="383" t="s">
        <v>4103</v>
      </c>
      <c r="K319" s="381">
        <v>2022</v>
      </c>
      <c r="L319" s="383"/>
      <c r="M319" s="383"/>
      <c r="N319" s="383" t="s">
        <v>4445</v>
      </c>
      <c r="O319" s="383" t="s">
        <v>4441</v>
      </c>
      <c r="P319" s="383" t="s">
        <v>1467</v>
      </c>
      <c r="Q319" s="383"/>
      <c r="R319" s="383"/>
      <c r="S319" s="384">
        <v>44651</v>
      </c>
      <c r="T319" s="384">
        <v>44651</v>
      </c>
      <c r="U319" s="383" t="s">
        <v>4102</v>
      </c>
      <c r="V319" s="381">
        <v>1000</v>
      </c>
      <c r="W319" s="381">
        <v>14040</v>
      </c>
      <c r="X319" s="385">
        <v>186070.69</v>
      </c>
      <c r="Y319" s="381">
        <v>14046</v>
      </c>
      <c r="Z319" s="385">
        <v>46517.68</v>
      </c>
      <c r="AA319" s="385">
        <f t="shared" si="55"/>
        <v>139553.01</v>
      </c>
      <c r="AB319" s="385">
        <v>13955.31</v>
      </c>
      <c r="AC319" s="381">
        <v>51260</v>
      </c>
      <c r="AD319" s="385">
        <v>1550.59</v>
      </c>
      <c r="AE319" s="381" t="s">
        <v>944</v>
      </c>
      <c r="AF319" s="383"/>
      <c r="AG319" s="383"/>
      <c r="AH319" s="383" t="s">
        <v>57</v>
      </c>
      <c r="AI319" s="383" t="s">
        <v>4442</v>
      </c>
      <c r="AJ319" s="383" t="s">
        <v>4443</v>
      </c>
      <c r="AK319" s="389" t="s">
        <v>4437</v>
      </c>
      <c r="AL319" s="389" t="s">
        <v>4216</v>
      </c>
      <c r="AM319" s="389" t="s">
        <v>3939</v>
      </c>
      <c r="AN319" s="393">
        <f t="shared" si="56"/>
        <v>3</v>
      </c>
      <c r="AO319" s="393">
        <f t="shared" si="57"/>
        <v>2022</v>
      </c>
      <c r="AP319" s="394">
        <f t="shared" si="58"/>
        <v>2032</v>
      </c>
      <c r="AQ319" s="395">
        <f t="shared" si="59"/>
        <v>2032.25</v>
      </c>
      <c r="AR319" s="396">
        <f t="shared" si="60"/>
        <v>1550.5890833333333</v>
      </c>
      <c r="AS319" s="397">
        <f t="shared" si="61"/>
        <v>18607.069</v>
      </c>
      <c r="AT319" s="397">
        <f t="shared" si="62"/>
        <v>18607.069</v>
      </c>
      <c r="AU319" s="397">
        <f t="shared" si="63"/>
        <v>38764.727083331934</v>
      </c>
      <c r="AV319" s="397">
        <f t="shared" si="64"/>
        <v>57371.796083331938</v>
      </c>
      <c r="AW319" s="398">
        <f t="shared" si="65"/>
        <v>128698.89391666806</v>
      </c>
      <c r="AX319" s="386" t="s">
        <v>62</v>
      </c>
    </row>
    <row r="320" spans="2:50" ht="15.75" outlineLevel="1">
      <c r="B320" s="381">
        <v>2111</v>
      </c>
      <c r="C320" s="382">
        <v>290429</v>
      </c>
      <c r="D320" s="381" t="s">
        <v>944</v>
      </c>
      <c r="E320" s="383" t="s">
        <v>4240</v>
      </c>
      <c r="F320" s="392" t="s">
        <v>1175</v>
      </c>
      <c r="G320" s="392"/>
      <c r="H320" s="392"/>
      <c r="I320" s="381">
        <v>1</v>
      </c>
      <c r="J320" s="383" t="s">
        <v>4103</v>
      </c>
      <c r="K320" s="381">
        <v>2022</v>
      </c>
      <c r="L320" s="383"/>
      <c r="M320" s="383"/>
      <c r="N320" s="383" t="s">
        <v>4445</v>
      </c>
      <c r="O320" s="383" t="s">
        <v>4441</v>
      </c>
      <c r="P320" s="383" t="s">
        <v>4482</v>
      </c>
      <c r="Q320" s="383"/>
      <c r="R320" s="383"/>
      <c r="S320" s="384">
        <v>44651</v>
      </c>
      <c r="T320" s="384">
        <v>44651</v>
      </c>
      <c r="U320" s="383" t="s">
        <v>4105</v>
      </c>
      <c r="V320" s="381">
        <v>1000</v>
      </c>
      <c r="W320" s="381">
        <v>14040</v>
      </c>
      <c r="X320" s="385">
        <v>190394.16</v>
      </c>
      <c r="Y320" s="381">
        <v>14046</v>
      </c>
      <c r="Z320" s="385">
        <v>47598.559999999998</v>
      </c>
      <c r="AA320" s="385">
        <f t="shared" si="55"/>
        <v>142795.6</v>
      </c>
      <c r="AB320" s="385">
        <v>14279.58</v>
      </c>
      <c r="AC320" s="381">
        <v>51260</v>
      </c>
      <c r="AD320" s="385">
        <v>1586.62</v>
      </c>
      <c r="AE320" s="381" t="s">
        <v>944</v>
      </c>
      <c r="AF320" s="383"/>
      <c r="AG320" s="383"/>
      <c r="AH320" s="383" t="s">
        <v>57</v>
      </c>
      <c r="AI320" s="383" t="s">
        <v>4442</v>
      </c>
      <c r="AJ320" s="383" t="s">
        <v>4443</v>
      </c>
      <c r="AK320" s="389" t="s">
        <v>4437</v>
      </c>
      <c r="AL320" s="389" t="s">
        <v>4216</v>
      </c>
      <c r="AM320" s="389" t="s">
        <v>3939</v>
      </c>
      <c r="AN320" s="393">
        <f t="shared" si="56"/>
        <v>3</v>
      </c>
      <c r="AO320" s="393">
        <f t="shared" si="57"/>
        <v>2022</v>
      </c>
      <c r="AP320" s="394">
        <f t="shared" si="58"/>
        <v>2032</v>
      </c>
      <c r="AQ320" s="395">
        <f t="shared" si="59"/>
        <v>2032.25</v>
      </c>
      <c r="AR320" s="396">
        <f t="shared" si="60"/>
        <v>1586.6180000000002</v>
      </c>
      <c r="AS320" s="397">
        <f t="shared" si="61"/>
        <v>19039.416000000001</v>
      </c>
      <c r="AT320" s="397">
        <f t="shared" si="62"/>
        <v>19039.416000000001</v>
      </c>
      <c r="AU320" s="397">
        <f t="shared" si="63"/>
        <v>39665.449999998556</v>
      </c>
      <c r="AV320" s="397">
        <f t="shared" si="64"/>
        <v>58704.865999998554</v>
      </c>
      <c r="AW320" s="398">
        <f t="shared" si="65"/>
        <v>131689.29400000145</v>
      </c>
      <c r="AX320" s="386" t="s">
        <v>62</v>
      </c>
    </row>
    <row r="321" spans="2:50" ht="15.75" outlineLevel="1">
      <c r="B321" s="381">
        <v>2111</v>
      </c>
      <c r="C321" s="382">
        <v>289651</v>
      </c>
      <c r="D321" s="381">
        <v>283285</v>
      </c>
      <c r="E321" s="383" t="s">
        <v>4240</v>
      </c>
      <c r="F321" s="392" t="s">
        <v>4151</v>
      </c>
      <c r="G321" s="392"/>
      <c r="H321" s="392"/>
      <c r="I321" s="381">
        <v>1</v>
      </c>
      <c r="J321" s="383"/>
      <c r="K321" s="381">
        <v>0</v>
      </c>
      <c r="L321" s="383" t="s">
        <v>1554</v>
      </c>
      <c r="M321" s="383"/>
      <c r="N321" s="383" t="s">
        <v>4445</v>
      </c>
      <c r="O321" s="383" t="s">
        <v>4441</v>
      </c>
      <c r="P321" s="383" t="s">
        <v>1467</v>
      </c>
      <c r="Q321" s="383"/>
      <c r="R321" s="383"/>
      <c r="S321" s="384">
        <v>44821</v>
      </c>
      <c r="T321" s="384">
        <v>44821</v>
      </c>
      <c r="U321" s="383" t="s">
        <v>4112</v>
      </c>
      <c r="V321" s="381">
        <v>1000</v>
      </c>
      <c r="W321" s="381">
        <v>14040</v>
      </c>
      <c r="X321" s="385">
        <v>1008.11</v>
      </c>
      <c r="Y321" s="381">
        <v>14046</v>
      </c>
      <c r="Z321" s="385">
        <v>201.61</v>
      </c>
      <c r="AA321" s="385">
        <f t="shared" si="55"/>
        <v>806.5</v>
      </c>
      <c r="AB321" s="385">
        <v>75.599999999999994</v>
      </c>
      <c r="AC321" s="381">
        <v>51260</v>
      </c>
      <c r="AD321" s="385">
        <v>8.4</v>
      </c>
      <c r="AE321" s="381" t="s">
        <v>944</v>
      </c>
      <c r="AF321" s="383"/>
      <c r="AG321" s="383"/>
      <c r="AH321" s="383" t="s">
        <v>57</v>
      </c>
      <c r="AI321" s="383" t="s">
        <v>4442</v>
      </c>
      <c r="AJ321" s="383" t="s">
        <v>4443</v>
      </c>
      <c r="AK321" s="389" t="s">
        <v>4437</v>
      </c>
      <c r="AL321" s="389" t="s">
        <v>3939</v>
      </c>
      <c r="AM321" s="389" t="s">
        <v>3939</v>
      </c>
      <c r="AN321" s="393">
        <f t="shared" si="56"/>
        <v>9</v>
      </c>
      <c r="AO321" s="393">
        <f t="shared" si="57"/>
        <v>2022</v>
      </c>
      <c r="AP321" s="394">
        <f t="shared" si="58"/>
        <v>2032</v>
      </c>
      <c r="AQ321" s="395">
        <f t="shared" si="59"/>
        <v>2032.75</v>
      </c>
      <c r="AR321" s="396">
        <f t="shared" si="60"/>
        <v>8.4009166666666673</v>
      </c>
      <c r="AS321" s="397">
        <f t="shared" si="61"/>
        <v>100.81100000000001</v>
      </c>
      <c r="AT321" s="397">
        <f t="shared" si="62"/>
        <v>100.81100000000001</v>
      </c>
      <c r="AU321" s="397">
        <f t="shared" si="63"/>
        <v>159.61741666665898</v>
      </c>
      <c r="AV321" s="397">
        <f t="shared" si="64"/>
        <v>260.42841666665902</v>
      </c>
      <c r="AW321" s="398">
        <f t="shared" si="65"/>
        <v>747.681583333341</v>
      </c>
      <c r="AX321" s="386" t="s">
        <v>62</v>
      </c>
    </row>
    <row r="322" spans="2:50" ht="15.75" outlineLevel="1">
      <c r="B322" s="381">
        <v>2111</v>
      </c>
      <c r="C322" s="382">
        <v>289376</v>
      </c>
      <c r="D322" s="381" t="s">
        <v>944</v>
      </c>
      <c r="E322" s="383" t="s">
        <v>4240</v>
      </c>
      <c r="F322" s="392" t="s">
        <v>4154</v>
      </c>
      <c r="G322" s="392"/>
      <c r="H322" s="392"/>
      <c r="I322" s="381">
        <v>2</v>
      </c>
      <c r="J322" s="383"/>
      <c r="K322" s="381">
        <v>0</v>
      </c>
      <c r="L322" s="383" t="s">
        <v>1686</v>
      </c>
      <c r="M322" s="383"/>
      <c r="N322" s="383" t="s">
        <v>4440</v>
      </c>
      <c r="O322" s="383" t="s">
        <v>4441</v>
      </c>
      <c r="P322" s="383"/>
      <c r="Q322" s="383"/>
      <c r="R322" s="383"/>
      <c r="S322" s="384">
        <v>44750</v>
      </c>
      <c r="T322" s="384">
        <v>44750</v>
      </c>
      <c r="U322" s="383" t="s">
        <v>4159</v>
      </c>
      <c r="V322" s="381">
        <v>200</v>
      </c>
      <c r="W322" s="381">
        <v>14110</v>
      </c>
      <c r="X322" s="385">
        <v>6433.76</v>
      </c>
      <c r="Y322" s="381">
        <v>14116</v>
      </c>
      <c r="Z322" s="385">
        <v>6433.76</v>
      </c>
      <c r="AA322" s="385">
        <f t="shared" si="55"/>
        <v>0</v>
      </c>
      <c r="AB322" s="385">
        <v>1608.44</v>
      </c>
      <c r="AC322" s="381">
        <v>70260</v>
      </c>
      <c r="AD322" s="385">
        <v>268.08999999999997</v>
      </c>
      <c r="AE322" s="381" t="s">
        <v>944</v>
      </c>
      <c r="AF322" s="383"/>
      <c r="AG322" s="383"/>
      <c r="AH322" s="383" t="s">
        <v>57</v>
      </c>
      <c r="AI322" s="383" t="s">
        <v>4442</v>
      </c>
      <c r="AJ322" s="383" t="s">
        <v>4443</v>
      </c>
      <c r="AK322" s="389" t="s">
        <v>4437</v>
      </c>
      <c r="AL322" s="389" t="s">
        <v>301</v>
      </c>
      <c r="AM322" s="389" t="s">
        <v>4101</v>
      </c>
      <c r="AN322" s="393">
        <f t="shared" si="56"/>
        <v>7</v>
      </c>
      <c r="AO322" s="393">
        <f t="shared" si="57"/>
        <v>2022</v>
      </c>
      <c r="AP322" s="394">
        <f t="shared" si="58"/>
        <v>2024</v>
      </c>
      <c r="AQ322" s="395">
        <f t="shared" si="59"/>
        <v>2024.5833333333333</v>
      </c>
      <c r="AR322" s="396">
        <f t="shared" si="60"/>
        <v>268.07333333333332</v>
      </c>
      <c r="AS322" s="397">
        <f t="shared" si="61"/>
        <v>3216.88</v>
      </c>
      <c r="AT322" s="410" t="e">
        <f>+#REF!</f>
        <v>#REF!</v>
      </c>
      <c r="AU322" s="397">
        <f t="shared" si="63"/>
        <v>5629.54</v>
      </c>
      <c r="AV322" s="397">
        <f t="shared" si="64"/>
        <v>6433.76</v>
      </c>
      <c r="AW322" s="398">
        <f t="shared" si="65"/>
        <v>0</v>
      </c>
      <c r="AX322" s="386" t="s">
        <v>62</v>
      </c>
    </row>
    <row r="323" spans="2:50" ht="15.75" outlineLevel="1">
      <c r="B323" s="381">
        <v>2111</v>
      </c>
      <c r="C323" s="382">
        <v>289030</v>
      </c>
      <c r="D323" s="381" t="s">
        <v>944</v>
      </c>
      <c r="E323" s="383" t="s">
        <v>4240</v>
      </c>
      <c r="F323" s="392" t="s">
        <v>4155</v>
      </c>
      <c r="G323" s="392"/>
      <c r="H323" s="392"/>
      <c r="I323" s="381">
        <v>1</v>
      </c>
      <c r="J323" s="383" t="s">
        <v>4172</v>
      </c>
      <c r="K323" s="381">
        <v>2021</v>
      </c>
      <c r="L323" s="383" t="s">
        <v>3967</v>
      </c>
      <c r="M323" s="383"/>
      <c r="N323" s="383" t="s">
        <v>4445</v>
      </c>
      <c r="O323" s="383" t="s">
        <v>4441</v>
      </c>
      <c r="P323" s="383" t="s">
        <v>4170</v>
      </c>
      <c r="Q323" s="383"/>
      <c r="R323" s="383"/>
      <c r="S323" s="384">
        <v>44740</v>
      </c>
      <c r="T323" s="384">
        <v>44740</v>
      </c>
      <c r="U323" s="383" t="s">
        <v>4160</v>
      </c>
      <c r="V323" s="381">
        <v>800</v>
      </c>
      <c r="W323" s="381">
        <v>14040</v>
      </c>
      <c r="X323" s="385">
        <v>100168.51</v>
      </c>
      <c r="Y323" s="381">
        <v>14046</v>
      </c>
      <c r="Z323" s="385">
        <v>28172.36</v>
      </c>
      <c r="AA323" s="385">
        <f t="shared" si="55"/>
        <v>71996.149999999994</v>
      </c>
      <c r="AB323" s="385">
        <v>9390.7800000000007</v>
      </c>
      <c r="AC323" s="381">
        <v>51260</v>
      </c>
      <c r="AD323" s="385">
        <v>1043.42</v>
      </c>
      <c r="AE323" s="381" t="s">
        <v>944</v>
      </c>
      <c r="AF323" s="383"/>
      <c r="AG323" s="383"/>
      <c r="AH323" s="383" t="s">
        <v>57</v>
      </c>
      <c r="AI323" s="383" t="s">
        <v>4442</v>
      </c>
      <c r="AJ323" s="383" t="s">
        <v>4443</v>
      </c>
      <c r="AK323" s="389" t="s">
        <v>4437</v>
      </c>
      <c r="AL323" s="389" t="s">
        <v>4101</v>
      </c>
      <c r="AM323" s="389" t="s">
        <v>4101</v>
      </c>
      <c r="AN323" s="393">
        <f t="shared" si="56"/>
        <v>6</v>
      </c>
      <c r="AO323" s="393">
        <f t="shared" si="57"/>
        <v>2022</v>
      </c>
      <c r="AP323" s="394">
        <f t="shared" si="58"/>
        <v>2030</v>
      </c>
      <c r="AQ323" s="395">
        <f t="shared" si="59"/>
        <v>2030.5</v>
      </c>
      <c r="AR323" s="396">
        <f t="shared" si="60"/>
        <v>1043.4219791666667</v>
      </c>
      <c r="AS323" s="397">
        <f t="shared" si="61"/>
        <v>12521.063750000001</v>
      </c>
      <c r="AT323" s="397">
        <f t="shared" ref="AT323:AT359" si="66">IF(AQ323&lt;=$AK$12,0,AS323)</f>
        <v>12521.063750000001</v>
      </c>
      <c r="AU323" s="397">
        <f t="shared" si="63"/>
        <v>22955.283541665718</v>
      </c>
      <c r="AV323" s="397">
        <f t="shared" si="64"/>
        <v>35476.347291665719</v>
      </c>
      <c r="AW323" s="398">
        <f t="shared" si="65"/>
        <v>64692.162708334276</v>
      </c>
      <c r="AX323" s="386" t="s">
        <v>62</v>
      </c>
    </row>
    <row r="324" spans="2:50" ht="15.75" outlineLevel="1">
      <c r="B324" s="381">
        <v>2111</v>
      </c>
      <c r="C324" s="382">
        <v>289029</v>
      </c>
      <c r="D324" s="381" t="s">
        <v>944</v>
      </c>
      <c r="E324" s="383" t="s">
        <v>4240</v>
      </c>
      <c r="F324" s="392" t="s">
        <v>4152</v>
      </c>
      <c r="G324" s="392"/>
      <c r="H324" s="392"/>
      <c r="I324" s="381">
        <v>702</v>
      </c>
      <c r="J324" s="383"/>
      <c r="K324" s="381">
        <v>0</v>
      </c>
      <c r="L324" s="383" t="s">
        <v>1462</v>
      </c>
      <c r="M324" s="383"/>
      <c r="N324" s="383" t="s">
        <v>4446</v>
      </c>
      <c r="O324" s="383" t="s">
        <v>4441</v>
      </c>
      <c r="P324" s="383"/>
      <c r="Q324" s="383"/>
      <c r="R324" s="383"/>
      <c r="S324" s="384">
        <v>44788</v>
      </c>
      <c r="T324" s="384">
        <v>44788</v>
      </c>
      <c r="U324" s="383" t="s">
        <v>4158</v>
      </c>
      <c r="V324" s="381">
        <v>700</v>
      </c>
      <c r="W324" s="381">
        <v>14050</v>
      </c>
      <c r="X324" s="385">
        <v>46841.65</v>
      </c>
      <c r="Y324" s="381">
        <v>14056</v>
      </c>
      <c r="Z324" s="385">
        <v>14498.62</v>
      </c>
      <c r="AA324" s="385">
        <f t="shared" si="55"/>
        <v>32343.03</v>
      </c>
      <c r="AB324" s="385">
        <v>5018.76</v>
      </c>
      <c r="AC324" s="381">
        <v>54260</v>
      </c>
      <c r="AD324" s="385">
        <v>557.64</v>
      </c>
      <c r="AE324" s="381" t="s">
        <v>944</v>
      </c>
      <c r="AF324" s="383"/>
      <c r="AG324" s="383"/>
      <c r="AH324" s="383" t="s">
        <v>57</v>
      </c>
      <c r="AI324" s="383" t="s">
        <v>4442</v>
      </c>
      <c r="AJ324" s="383" t="s">
        <v>4443</v>
      </c>
      <c r="AK324" s="389" t="s">
        <v>4437</v>
      </c>
      <c r="AL324" s="389" t="s">
        <v>1019</v>
      </c>
      <c r="AM324" s="389" t="s">
        <v>1019</v>
      </c>
      <c r="AN324" s="393">
        <f t="shared" si="56"/>
        <v>8</v>
      </c>
      <c r="AO324" s="393">
        <f t="shared" si="57"/>
        <v>2022</v>
      </c>
      <c r="AP324" s="394">
        <f t="shared" si="58"/>
        <v>2029</v>
      </c>
      <c r="AQ324" s="395">
        <f t="shared" si="59"/>
        <v>2029.6666666666667</v>
      </c>
      <c r="AR324" s="396">
        <f t="shared" si="60"/>
        <v>557.6386904761905</v>
      </c>
      <c r="AS324" s="397">
        <f t="shared" si="61"/>
        <v>6691.6642857142861</v>
      </c>
      <c r="AT324" s="397">
        <f t="shared" si="66"/>
        <v>6691.6642857142861</v>
      </c>
      <c r="AU324" s="397">
        <f t="shared" si="63"/>
        <v>11152.773809522798</v>
      </c>
      <c r="AV324" s="397">
        <f t="shared" si="64"/>
        <v>17844.438095237085</v>
      </c>
      <c r="AW324" s="398">
        <f t="shared" si="65"/>
        <v>28997.211904762917</v>
      </c>
      <c r="AX324" s="386" t="s">
        <v>62</v>
      </c>
    </row>
    <row r="325" spans="2:50" ht="15.75" outlineLevel="1">
      <c r="B325" s="381">
        <v>2111</v>
      </c>
      <c r="C325" s="382">
        <v>289028</v>
      </c>
      <c r="D325" s="381" t="s">
        <v>944</v>
      </c>
      <c r="E325" s="383" t="s">
        <v>4240</v>
      </c>
      <c r="F325" s="392" t="s">
        <v>4153</v>
      </c>
      <c r="G325" s="392"/>
      <c r="H325" s="392"/>
      <c r="I325" s="381">
        <v>936</v>
      </c>
      <c r="J325" s="383"/>
      <c r="K325" s="381">
        <v>0</v>
      </c>
      <c r="L325" s="383" t="s">
        <v>1462</v>
      </c>
      <c r="M325" s="383"/>
      <c r="N325" s="383" t="s">
        <v>4446</v>
      </c>
      <c r="O325" s="383" t="s">
        <v>4441</v>
      </c>
      <c r="P325" s="383"/>
      <c r="Q325" s="383"/>
      <c r="R325" s="383"/>
      <c r="S325" s="384">
        <v>44788</v>
      </c>
      <c r="T325" s="384">
        <v>44788</v>
      </c>
      <c r="U325" s="383" t="s">
        <v>4158</v>
      </c>
      <c r="V325" s="381">
        <v>700</v>
      </c>
      <c r="W325" s="381">
        <v>14050</v>
      </c>
      <c r="X325" s="385">
        <v>54249.62</v>
      </c>
      <c r="Y325" s="381">
        <v>14056</v>
      </c>
      <c r="Z325" s="385">
        <v>16791.560000000001</v>
      </c>
      <c r="AA325" s="385">
        <f t="shared" si="55"/>
        <v>37458.06</v>
      </c>
      <c r="AB325" s="385">
        <v>5812.47</v>
      </c>
      <c r="AC325" s="381">
        <v>54260</v>
      </c>
      <c r="AD325" s="385">
        <v>645.83000000000004</v>
      </c>
      <c r="AE325" s="381" t="s">
        <v>944</v>
      </c>
      <c r="AF325" s="383"/>
      <c r="AG325" s="383"/>
      <c r="AH325" s="383" t="s">
        <v>57</v>
      </c>
      <c r="AI325" s="383" t="s">
        <v>4442</v>
      </c>
      <c r="AJ325" s="383" t="s">
        <v>4443</v>
      </c>
      <c r="AK325" s="389" t="s">
        <v>4437</v>
      </c>
      <c r="AL325" s="389" t="s">
        <v>1019</v>
      </c>
      <c r="AM325" s="389" t="s">
        <v>1019</v>
      </c>
      <c r="AN325" s="393">
        <f t="shared" si="56"/>
        <v>8</v>
      </c>
      <c r="AO325" s="393">
        <f t="shared" si="57"/>
        <v>2022</v>
      </c>
      <c r="AP325" s="394">
        <f t="shared" si="58"/>
        <v>2029</v>
      </c>
      <c r="AQ325" s="395">
        <f t="shared" si="59"/>
        <v>2029.6666666666667</v>
      </c>
      <c r="AR325" s="396">
        <f t="shared" si="60"/>
        <v>645.82880952380958</v>
      </c>
      <c r="AS325" s="397">
        <f t="shared" si="61"/>
        <v>7749.9457142857154</v>
      </c>
      <c r="AT325" s="397">
        <f t="shared" si="66"/>
        <v>7749.9457142857154</v>
      </c>
      <c r="AU325" s="397">
        <f t="shared" si="63"/>
        <v>12916.576190475018</v>
      </c>
      <c r="AV325" s="397">
        <f t="shared" si="64"/>
        <v>20666.521904760732</v>
      </c>
      <c r="AW325" s="398">
        <f t="shared" si="65"/>
        <v>33583.098095239271</v>
      </c>
      <c r="AX325" s="386" t="s">
        <v>62</v>
      </c>
    </row>
    <row r="326" spans="2:50" ht="15.75" outlineLevel="1">
      <c r="B326" s="381">
        <v>2111</v>
      </c>
      <c r="C326" s="382">
        <v>289027</v>
      </c>
      <c r="D326" s="381" t="s">
        <v>944</v>
      </c>
      <c r="E326" s="383" t="s">
        <v>4240</v>
      </c>
      <c r="F326" s="392" t="s">
        <v>1149</v>
      </c>
      <c r="G326" s="392"/>
      <c r="H326" s="392"/>
      <c r="I326" s="381">
        <v>1404</v>
      </c>
      <c r="J326" s="383"/>
      <c r="K326" s="381">
        <v>0</v>
      </c>
      <c r="L326" s="383" t="s">
        <v>1462</v>
      </c>
      <c r="M326" s="383"/>
      <c r="N326" s="383" t="s">
        <v>4446</v>
      </c>
      <c r="O326" s="383" t="s">
        <v>4441</v>
      </c>
      <c r="P326" s="383"/>
      <c r="Q326" s="383"/>
      <c r="R326" s="383"/>
      <c r="S326" s="384">
        <v>44788</v>
      </c>
      <c r="T326" s="384">
        <v>44788</v>
      </c>
      <c r="U326" s="383" t="s">
        <v>4158</v>
      </c>
      <c r="V326" s="381">
        <v>700</v>
      </c>
      <c r="W326" s="381">
        <v>14050</v>
      </c>
      <c r="X326" s="385">
        <v>93683.31</v>
      </c>
      <c r="Y326" s="381">
        <v>14056</v>
      </c>
      <c r="Z326" s="385">
        <v>28997.24</v>
      </c>
      <c r="AA326" s="385">
        <f t="shared" si="55"/>
        <v>64686.069999999992</v>
      </c>
      <c r="AB326" s="385">
        <v>10037.52</v>
      </c>
      <c r="AC326" s="381">
        <v>54260</v>
      </c>
      <c r="AD326" s="385">
        <v>1115.28</v>
      </c>
      <c r="AE326" s="381" t="s">
        <v>944</v>
      </c>
      <c r="AF326" s="383"/>
      <c r="AG326" s="383"/>
      <c r="AH326" s="383" t="s">
        <v>57</v>
      </c>
      <c r="AI326" s="383" t="s">
        <v>4442</v>
      </c>
      <c r="AJ326" s="383" t="s">
        <v>4443</v>
      </c>
      <c r="AK326" s="389" t="s">
        <v>4437</v>
      </c>
      <c r="AL326" s="389" t="s">
        <v>4217</v>
      </c>
      <c r="AM326" s="389" t="s">
        <v>3947</v>
      </c>
      <c r="AN326" s="393">
        <f t="shared" si="56"/>
        <v>8</v>
      </c>
      <c r="AO326" s="393">
        <f t="shared" si="57"/>
        <v>2022</v>
      </c>
      <c r="AP326" s="394">
        <f t="shared" si="58"/>
        <v>2029</v>
      </c>
      <c r="AQ326" s="395">
        <f t="shared" si="59"/>
        <v>2029.6666666666667</v>
      </c>
      <c r="AR326" s="396">
        <f t="shared" si="60"/>
        <v>1115.2774999999999</v>
      </c>
      <c r="AS326" s="397">
        <f t="shared" si="61"/>
        <v>13383.329999999998</v>
      </c>
      <c r="AT326" s="397">
        <f t="shared" si="66"/>
        <v>13383.329999999998</v>
      </c>
      <c r="AU326" s="397">
        <f t="shared" si="63"/>
        <v>22305.54999999798</v>
      </c>
      <c r="AV326" s="397">
        <f t="shared" si="64"/>
        <v>35688.879999997982</v>
      </c>
      <c r="AW326" s="398">
        <f t="shared" si="65"/>
        <v>57994.430000002016</v>
      </c>
      <c r="AX326" s="386" t="s">
        <v>62</v>
      </c>
    </row>
    <row r="327" spans="2:50" ht="15.75" outlineLevel="1">
      <c r="B327" s="381">
        <v>2111</v>
      </c>
      <c r="C327" s="382">
        <v>288539</v>
      </c>
      <c r="D327" s="381">
        <v>282796</v>
      </c>
      <c r="E327" s="383" t="s">
        <v>4240</v>
      </c>
      <c r="F327" s="392" t="s">
        <v>4156</v>
      </c>
      <c r="G327" s="392"/>
      <c r="H327" s="392"/>
      <c r="I327" s="381">
        <v>1</v>
      </c>
      <c r="J327" s="383"/>
      <c r="K327" s="381">
        <v>2022</v>
      </c>
      <c r="L327" s="383" t="s">
        <v>4136</v>
      </c>
      <c r="M327" s="383" t="s">
        <v>4136</v>
      </c>
      <c r="N327" s="383" t="s">
        <v>4445</v>
      </c>
      <c r="O327" s="383" t="s">
        <v>4441</v>
      </c>
      <c r="P327" s="383" t="s">
        <v>1467</v>
      </c>
      <c r="Q327" s="383"/>
      <c r="R327" s="383"/>
      <c r="S327" s="384">
        <v>44734</v>
      </c>
      <c r="T327" s="384">
        <v>44734</v>
      </c>
      <c r="U327" s="383" t="s">
        <v>4134</v>
      </c>
      <c r="V327" s="381">
        <v>1000</v>
      </c>
      <c r="W327" s="381">
        <v>14040</v>
      </c>
      <c r="X327" s="385">
        <v>39028</v>
      </c>
      <c r="Y327" s="381">
        <v>14046</v>
      </c>
      <c r="Z327" s="385">
        <v>8781.27</v>
      </c>
      <c r="AA327" s="385">
        <f t="shared" si="55"/>
        <v>30246.73</v>
      </c>
      <c r="AB327" s="385">
        <v>2927.07</v>
      </c>
      <c r="AC327" s="381">
        <v>51260</v>
      </c>
      <c r="AD327" s="385">
        <v>325.23</v>
      </c>
      <c r="AE327" s="381" t="s">
        <v>944</v>
      </c>
      <c r="AF327" s="383"/>
      <c r="AG327" s="383"/>
      <c r="AH327" s="383" t="s">
        <v>57</v>
      </c>
      <c r="AI327" s="383" t="s">
        <v>4442</v>
      </c>
      <c r="AJ327" s="383" t="s">
        <v>4443</v>
      </c>
      <c r="AK327" s="389" t="s">
        <v>4437</v>
      </c>
      <c r="AL327" s="389" t="s">
        <v>3939</v>
      </c>
      <c r="AM327" s="389" t="s">
        <v>3939</v>
      </c>
      <c r="AN327" s="393">
        <f t="shared" si="56"/>
        <v>6</v>
      </c>
      <c r="AO327" s="393">
        <f t="shared" si="57"/>
        <v>2022</v>
      </c>
      <c r="AP327" s="394">
        <f t="shared" si="58"/>
        <v>2032</v>
      </c>
      <c r="AQ327" s="395">
        <f t="shared" si="59"/>
        <v>2032.5</v>
      </c>
      <c r="AR327" s="396">
        <f t="shared" si="60"/>
        <v>325.23333333333335</v>
      </c>
      <c r="AS327" s="397">
        <f t="shared" si="61"/>
        <v>3902.8</v>
      </c>
      <c r="AT327" s="397">
        <f t="shared" si="66"/>
        <v>3902.8</v>
      </c>
      <c r="AU327" s="397">
        <f t="shared" si="63"/>
        <v>7155.1333333330367</v>
      </c>
      <c r="AV327" s="397">
        <f t="shared" si="64"/>
        <v>11057.933333333036</v>
      </c>
      <c r="AW327" s="398">
        <f t="shared" si="65"/>
        <v>27970.066666666964</v>
      </c>
      <c r="AX327" s="386" t="s">
        <v>62</v>
      </c>
    </row>
    <row r="328" spans="2:50" ht="15.75" outlineLevel="1">
      <c r="B328" s="381">
        <v>2111</v>
      </c>
      <c r="C328" s="382">
        <v>285785</v>
      </c>
      <c r="D328" s="381" t="s">
        <v>944</v>
      </c>
      <c r="E328" s="383" t="s">
        <v>4240</v>
      </c>
      <c r="F328" s="392" t="s">
        <v>4107</v>
      </c>
      <c r="G328" s="392"/>
      <c r="H328" s="392"/>
      <c r="I328" s="381">
        <v>7</v>
      </c>
      <c r="J328" s="383"/>
      <c r="K328" s="381">
        <v>0</v>
      </c>
      <c r="L328" s="383" t="s">
        <v>1684</v>
      </c>
      <c r="M328" s="383"/>
      <c r="N328" s="383" t="s">
        <v>4451</v>
      </c>
      <c r="O328" s="383" t="s">
        <v>4441</v>
      </c>
      <c r="P328" s="383"/>
      <c r="Q328" s="383"/>
      <c r="R328" s="383"/>
      <c r="S328" s="384">
        <v>44741</v>
      </c>
      <c r="T328" s="384">
        <v>44741</v>
      </c>
      <c r="U328" s="383" t="s">
        <v>4106</v>
      </c>
      <c r="V328" s="381">
        <v>500</v>
      </c>
      <c r="W328" s="381">
        <v>14070</v>
      </c>
      <c r="X328" s="385">
        <v>2265.46</v>
      </c>
      <c r="Y328" s="381">
        <v>14076</v>
      </c>
      <c r="Z328" s="385">
        <v>1019.48</v>
      </c>
      <c r="AA328" s="385">
        <f t="shared" si="55"/>
        <v>1245.98</v>
      </c>
      <c r="AB328" s="385">
        <v>339.84</v>
      </c>
      <c r="AC328" s="381">
        <v>51260</v>
      </c>
      <c r="AD328" s="385">
        <v>37.76</v>
      </c>
      <c r="AE328" s="381" t="s">
        <v>944</v>
      </c>
      <c r="AF328" s="383"/>
      <c r="AG328" s="383"/>
      <c r="AH328" s="383" t="s">
        <v>57</v>
      </c>
      <c r="AI328" s="383" t="s">
        <v>4442</v>
      </c>
      <c r="AJ328" s="383" t="s">
        <v>4443</v>
      </c>
      <c r="AK328" s="389" t="s">
        <v>4437</v>
      </c>
      <c r="AL328" s="389" t="s">
        <v>4218</v>
      </c>
      <c r="AM328" s="389" t="s">
        <v>133</v>
      </c>
      <c r="AN328" s="393">
        <f t="shared" si="56"/>
        <v>6</v>
      </c>
      <c r="AO328" s="393">
        <f t="shared" si="57"/>
        <v>2022</v>
      </c>
      <c r="AP328" s="394">
        <f t="shared" si="58"/>
        <v>2027</v>
      </c>
      <c r="AQ328" s="395">
        <f t="shared" si="59"/>
        <v>2027.5</v>
      </c>
      <c r="AR328" s="396">
        <f t="shared" si="60"/>
        <v>37.757666666666665</v>
      </c>
      <c r="AS328" s="397">
        <f t="shared" si="61"/>
        <v>453.09199999999998</v>
      </c>
      <c r="AT328" s="397">
        <f t="shared" si="66"/>
        <v>453.09199999999998</v>
      </c>
      <c r="AU328" s="397">
        <f t="shared" si="63"/>
        <v>830.66866666663236</v>
      </c>
      <c r="AV328" s="397">
        <f t="shared" si="64"/>
        <v>1283.7606666666325</v>
      </c>
      <c r="AW328" s="398">
        <f t="shared" si="65"/>
        <v>981.69933333336758</v>
      </c>
      <c r="AX328" s="386" t="s">
        <v>62</v>
      </c>
    </row>
    <row r="329" spans="2:50" ht="15.75" outlineLevel="1">
      <c r="B329" s="381">
        <v>2111</v>
      </c>
      <c r="C329" s="382">
        <v>285393</v>
      </c>
      <c r="D329" s="381" t="s">
        <v>944</v>
      </c>
      <c r="E329" s="383" t="s">
        <v>4240</v>
      </c>
      <c r="F329" s="392" t="s">
        <v>1136</v>
      </c>
      <c r="G329" s="392"/>
      <c r="H329" s="392"/>
      <c r="I329" s="381">
        <v>351</v>
      </c>
      <c r="J329" s="383"/>
      <c r="K329" s="381">
        <v>0</v>
      </c>
      <c r="L329" s="383" t="s">
        <v>1462</v>
      </c>
      <c r="M329" s="383"/>
      <c r="N329" s="383" t="s">
        <v>4446</v>
      </c>
      <c r="O329" s="383" t="s">
        <v>4441</v>
      </c>
      <c r="P329" s="383"/>
      <c r="Q329" s="383"/>
      <c r="R329" s="383"/>
      <c r="S329" s="384">
        <v>44757</v>
      </c>
      <c r="T329" s="384">
        <v>44757</v>
      </c>
      <c r="U329" s="383" t="s">
        <v>4108</v>
      </c>
      <c r="V329" s="381">
        <v>700</v>
      </c>
      <c r="W329" s="381">
        <v>14050</v>
      </c>
      <c r="X329" s="385">
        <v>23718.13</v>
      </c>
      <c r="Y329" s="381">
        <v>14056</v>
      </c>
      <c r="Z329" s="385">
        <v>7623.7</v>
      </c>
      <c r="AA329" s="385">
        <f t="shared" si="55"/>
        <v>16094.43</v>
      </c>
      <c r="AB329" s="385">
        <v>2541.2399999999998</v>
      </c>
      <c r="AC329" s="381">
        <v>54260</v>
      </c>
      <c r="AD329" s="385">
        <v>282.36</v>
      </c>
      <c r="AE329" s="381" t="s">
        <v>944</v>
      </c>
      <c r="AF329" s="383"/>
      <c r="AG329" s="383"/>
      <c r="AH329" s="383" t="s">
        <v>57</v>
      </c>
      <c r="AI329" s="383" t="s">
        <v>4442</v>
      </c>
      <c r="AJ329" s="383" t="s">
        <v>4443</v>
      </c>
      <c r="AK329" s="389" t="s">
        <v>4437</v>
      </c>
      <c r="AL329" s="389" t="s">
        <v>1019</v>
      </c>
      <c r="AM329" s="389" t="s">
        <v>1019</v>
      </c>
      <c r="AN329" s="393">
        <f t="shared" si="56"/>
        <v>7</v>
      </c>
      <c r="AO329" s="393">
        <f t="shared" si="57"/>
        <v>2022</v>
      </c>
      <c r="AP329" s="394">
        <f t="shared" si="58"/>
        <v>2029</v>
      </c>
      <c r="AQ329" s="395">
        <f t="shared" si="59"/>
        <v>2029.5833333333333</v>
      </c>
      <c r="AR329" s="396">
        <f t="shared" si="60"/>
        <v>282.35869047619047</v>
      </c>
      <c r="AS329" s="397">
        <f t="shared" si="61"/>
        <v>3388.3042857142855</v>
      </c>
      <c r="AT329" s="397">
        <f t="shared" si="66"/>
        <v>3388.3042857142855</v>
      </c>
      <c r="AU329" s="397">
        <f t="shared" si="63"/>
        <v>5929.5325000000012</v>
      </c>
      <c r="AV329" s="397">
        <f t="shared" si="64"/>
        <v>9317.8367857142875</v>
      </c>
      <c r="AW329" s="398">
        <f t="shared" si="65"/>
        <v>14400.293214285713</v>
      </c>
      <c r="AX329" s="386" t="s">
        <v>62</v>
      </c>
    </row>
    <row r="330" spans="2:50" ht="15.75" outlineLevel="1">
      <c r="B330" s="381">
        <v>2111</v>
      </c>
      <c r="C330" s="382">
        <v>285392</v>
      </c>
      <c r="D330" s="381" t="s">
        <v>944</v>
      </c>
      <c r="E330" s="383" t="s">
        <v>4240</v>
      </c>
      <c r="F330" s="392" t="s">
        <v>1149</v>
      </c>
      <c r="G330" s="392"/>
      <c r="H330" s="392"/>
      <c r="I330" s="381">
        <v>351</v>
      </c>
      <c r="J330" s="383"/>
      <c r="K330" s="381">
        <v>0</v>
      </c>
      <c r="L330" s="383" t="s">
        <v>1462</v>
      </c>
      <c r="M330" s="383"/>
      <c r="N330" s="383" t="s">
        <v>4446</v>
      </c>
      <c r="O330" s="383" t="s">
        <v>4441</v>
      </c>
      <c r="P330" s="383"/>
      <c r="Q330" s="383"/>
      <c r="R330" s="383"/>
      <c r="S330" s="384">
        <v>44757</v>
      </c>
      <c r="T330" s="384">
        <v>44757</v>
      </c>
      <c r="U330" s="383" t="s">
        <v>4108</v>
      </c>
      <c r="V330" s="381">
        <v>700</v>
      </c>
      <c r="W330" s="381">
        <v>14050</v>
      </c>
      <c r="X330" s="385">
        <v>23718.13</v>
      </c>
      <c r="Y330" s="381">
        <v>14056</v>
      </c>
      <c r="Z330" s="385">
        <v>7623.7</v>
      </c>
      <c r="AA330" s="385">
        <f t="shared" si="55"/>
        <v>16094.43</v>
      </c>
      <c r="AB330" s="385">
        <v>2541.2399999999998</v>
      </c>
      <c r="AC330" s="381">
        <v>54260</v>
      </c>
      <c r="AD330" s="385">
        <v>282.36</v>
      </c>
      <c r="AE330" s="381" t="s">
        <v>944</v>
      </c>
      <c r="AF330" s="383"/>
      <c r="AG330" s="383"/>
      <c r="AH330" s="383" t="s">
        <v>57</v>
      </c>
      <c r="AI330" s="383" t="s">
        <v>4442</v>
      </c>
      <c r="AJ330" s="383" t="s">
        <v>4443</v>
      </c>
      <c r="AK330" s="389" t="s">
        <v>4437</v>
      </c>
      <c r="AL330" s="389" t="s">
        <v>4217</v>
      </c>
      <c r="AM330" s="389" t="s">
        <v>3947</v>
      </c>
      <c r="AN330" s="393">
        <f t="shared" si="56"/>
        <v>7</v>
      </c>
      <c r="AO330" s="393">
        <f t="shared" si="57"/>
        <v>2022</v>
      </c>
      <c r="AP330" s="394">
        <f t="shared" si="58"/>
        <v>2029</v>
      </c>
      <c r="AQ330" s="395">
        <f t="shared" si="59"/>
        <v>2029.5833333333333</v>
      </c>
      <c r="AR330" s="396">
        <f t="shared" si="60"/>
        <v>282.35869047619047</v>
      </c>
      <c r="AS330" s="397">
        <f t="shared" si="61"/>
        <v>3388.3042857142855</v>
      </c>
      <c r="AT330" s="397">
        <f t="shared" si="66"/>
        <v>3388.3042857142855</v>
      </c>
      <c r="AU330" s="397">
        <f t="shared" si="63"/>
        <v>5929.5325000000012</v>
      </c>
      <c r="AV330" s="397">
        <f t="shared" si="64"/>
        <v>9317.8367857142875</v>
      </c>
      <c r="AW330" s="398">
        <f t="shared" si="65"/>
        <v>14400.293214285713</v>
      </c>
      <c r="AX330" s="386" t="s">
        <v>62</v>
      </c>
    </row>
    <row r="331" spans="2:50" ht="15.75" outlineLevel="1">
      <c r="B331" s="381">
        <v>2111</v>
      </c>
      <c r="C331" s="382">
        <v>285391</v>
      </c>
      <c r="D331" s="381" t="s">
        <v>944</v>
      </c>
      <c r="E331" s="383" t="s">
        <v>4240</v>
      </c>
      <c r="F331" s="392" t="s">
        <v>1149</v>
      </c>
      <c r="G331" s="392"/>
      <c r="H331" s="392"/>
      <c r="I331" s="381">
        <v>702</v>
      </c>
      <c r="J331" s="383"/>
      <c r="K331" s="381">
        <v>0</v>
      </c>
      <c r="L331" s="383" t="s">
        <v>1462</v>
      </c>
      <c r="M331" s="383"/>
      <c r="N331" s="383" t="s">
        <v>4446</v>
      </c>
      <c r="O331" s="383" t="s">
        <v>4441</v>
      </c>
      <c r="P331" s="383"/>
      <c r="Q331" s="383"/>
      <c r="R331" s="383"/>
      <c r="S331" s="384">
        <v>44757</v>
      </c>
      <c r="T331" s="384">
        <v>44757</v>
      </c>
      <c r="U331" s="383" t="s">
        <v>4108</v>
      </c>
      <c r="V331" s="381">
        <v>700</v>
      </c>
      <c r="W331" s="381">
        <v>14050</v>
      </c>
      <c r="X331" s="385">
        <v>47436.25</v>
      </c>
      <c r="Y331" s="381">
        <v>14056</v>
      </c>
      <c r="Z331" s="385">
        <v>15247.39</v>
      </c>
      <c r="AA331" s="385">
        <f t="shared" si="55"/>
        <v>32188.86</v>
      </c>
      <c r="AB331" s="385">
        <v>5082.4799999999996</v>
      </c>
      <c r="AC331" s="381">
        <v>54260</v>
      </c>
      <c r="AD331" s="385">
        <v>564.72</v>
      </c>
      <c r="AE331" s="381" t="s">
        <v>944</v>
      </c>
      <c r="AF331" s="383"/>
      <c r="AG331" s="383"/>
      <c r="AH331" s="383" t="s">
        <v>57</v>
      </c>
      <c r="AI331" s="383" t="s">
        <v>4442</v>
      </c>
      <c r="AJ331" s="383" t="s">
        <v>4443</v>
      </c>
      <c r="AK331" s="389" t="s">
        <v>4437</v>
      </c>
      <c r="AL331" s="389" t="s">
        <v>4217</v>
      </c>
      <c r="AM331" s="389" t="s">
        <v>3947</v>
      </c>
      <c r="AN331" s="393">
        <f t="shared" si="56"/>
        <v>7</v>
      </c>
      <c r="AO331" s="393">
        <f t="shared" si="57"/>
        <v>2022</v>
      </c>
      <c r="AP331" s="394">
        <f t="shared" si="58"/>
        <v>2029</v>
      </c>
      <c r="AQ331" s="395">
        <f t="shared" si="59"/>
        <v>2029.5833333333333</v>
      </c>
      <c r="AR331" s="396">
        <f t="shared" si="60"/>
        <v>564.71726190476193</v>
      </c>
      <c r="AS331" s="397">
        <f t="shared" si="61"/>
        <v>6776.6071428571431</v>
      </c>
      <c r="AT331" s="397">
        <f t="shared" si="66"/>
        <v>6776.6071428571431</v>
      </c>
      <c r="AU331" s="397">
        <f t="shared" si="63"/>
        <v>11859.0625</v>
      </c>
      <c r="AV331" s="397">
        <f t="shared" si="64"/>
        <v>18635.669642857145</v>
      </c>
      <c r="AW331" s="398">
        <f t="shared" si="65"/>
        <v>28800.580357142855</v>
      </c>
      <c r="AX331" s="386" t="s">
        <v>62</v>
      </c>
    </row>
    <row r="332" spans="2:50" ht="15.75" outlineLevel="1">
      <c r="B332" s="381">
        <v>2111</v>
      </c>
      <c r="C332" s="382">
        <v>285276</v>
      </c>
      <c r="D332" s="381" t="s">
        <v>944</v>
      </c>
      <c r="E332" s="383" t="s">
        <v>4240</v>
      </c>
      <c r="F332" s="392" t="s">
        <v>4109</v>
      </c>
      <c r="G332" s="392"/>
      <c r="H332" s="392"/>
      <c r="I332" s="381">
        <v>936</v>
      </c>
      <c r="J332" s="383"/>
      <c r="K332" s="381">
        <v>0</v>
      </c>
      <c r="L332" s="383" t="s">
        <v>1462</v>
      </c>
      <c r="M332" s="383"/>
      <c r="N332" s="383" t="s">
        <v>4446</v>
      </c>
      <c r="O332" s="383" t="s">
        <v>4441</v>
      </c>
      <c r="P332" s="383"/>
      <c r="Q332" s="383"/>
      <c r="R332" s="383"/>
      <c r="S332" s="384">
        <v>44757</v>
      </c>
      <c r="T332" s="384">
        <v>44757</v>
      </c>
      <c r="U332" s="383" t="s">
        <v>4108</v>
      </c>
      <c r="V332" s="381">
        <v>700</v>
      </c>
      <c r="W332" s="381">
        <v>14050</v>
      </c>
      <c r="X332" s="385">
        <v>55423.360000000001</v>
      </c>
      <c r="Y332" s="381">
        <v>14056</v>
      </c>
      <c r="Z332" s="385">
        <v>17814.63</v>
      </c>
      <c r="AA332" s="385">
        <f t="shared" si="55"/>
        <v>37608.729999999996</v>
      </c>
      <c r="AB332" s="385">
        <v>5938.2</v>
      </c>
      <c r="AC332" s="381">
        <v>54260</v>
      </c>
      <c r="AD332" s="385">
        <v>659.8</v>
      </c>
      <c r="AE332" s="381" t="s">
        <v>944</v>
      </c>
      <c r="AF332" s="383"/>
      <c r="AG332" s="383"/>
      <c r="AH332" s="383" t="s">
        <v>57</v>
      </c>
      <c r="AI332" s="383" t="s">
        <v>4442</v>
      </c>
      <c r="AJ332" s="383" t="s">
        <v>4443</v>
      </c>
      <c r="AK332" s="389" t="s">
        <v>4437</v>
      </c>
      <c r="AL332" s="389" t="s">
        <v>1019</v>
      </c>
      <c r="AM332" s="389" t="s">
        <v>1019</v>
      </c>
      <c r="AN332" s="393">
        <f t="shared" si="56"/>
        <v>7</v>
      </c>
      <c r="AO332" s="393">
        <f t="shared" si="57"/>
        <v>2022</v>
      </c>
      <c r="AP332" s="394">
        <f t="shared" si="58"/>
        <v>2029</v>
      </c>
      <c r="AQ332" s="395">
        <f t="shared" si="59"/>
        <v>2029.5833333333333</v>
      </c>
      <c r="AR332" s="396">
        <f t="shared" si="60"/>
        <v>659.80190476190478</v>
      </c>
      <c r="AS332" s="397">
        <f t="shared" si="61"/>
        <v>7917.6228571428574</v>
      </c>
      <c r="AT332" s="397">
        <f t="shared" si="66"/>
        <v>7917.6228571428574</v>
      </c>
      <c r="AU332" s="397">
        <f t="shared" si="63"/>
        <v>13855.839999999997</v>
      </c>
      <c r="AV332" s="397">
        <f t="shared" si="64"/>
        <v>21773.462857142855</v>
      </c>
      <c r="AW332" s="398">
        <f t="shared" si="65"/>
        <v>33649.897142857146</v>
      </c>
      <c r="AX332" s="386" t="s">
        <v>62</v>
      </c>
    </row>
    <row r="333" spans="2:50" ht="15.75" outlineLevel="1">
      <c r="B333" s="381">
        <v>2111</v>
      </c>
      <c r="C333" s="382">
        <v>284945</v>
      </c>
      <c r="D333" s="381" t="s">
        <v>944</v>
      </c>
      <c r="E333" s="383" t="s">
        <v>4240</v>
      </c>
      <c r="F333" s="392" t="s">
        <v>4111</v>
      </c>
      <c r="G333" s="392"/>
      <c r="H333" s="392"/>
      <c r="I333" s="381">
        <v>1</v>
      </c>
      <c r="J333" s="383"/>
      <c r="K333" s="381">
        <v>0</v>
      </c>
      <c r="L333" s="383"/>
      <c r="M333" s="383"/>
      <c r="N333" s="383" t="s">
        <v>4462</v>
      </c>
      <c r="O333" s="383" t="s">
        <v>4441</v>
      </c>
      <c r="P333" s="383"/>
      <c r="Q333" s="383"/>
      <c r="R333" s="383"/>
      <c r="S333" s="384">
        <v>44773</v>
      </c>
      <c r="T333" s="384">
        <v>44773</v>
      </c>
      <c r="U333" s="383" t="s">
        <v>4110</v>
      </c>
      <c r="V333" s="381">
        <v>1000</v>
      </c>
      <c r="W333" s="381">
        <v>14010</v>
      </c>
      <c r="X333" s="385">
        <v>115428.5</v>
      </c>
      <c r="Y333" s="381">
        <v>14016</v>
      </c>
      <c r="Z333" s="385">
        <v>25009.47</v>
      </c>
      <c r="AA333" s="385">
        <f t="shared" si="55"/>
        <v>90419.03</v>
      </c>
      <c r="AB333" s="385">
        <v>8657.1</v>
      </c>
      <c r="AC333" s="381">
        <v>57260</v>
      </c>
      <c r="AD333" s="385">
        <v>961.9</v>
      </c>
      <c r="AE333" s="381" t="s">
        <v>944</v>
      </c>
      <c r="AF333" s="383"/>
      <c r="AG333" s="383"/>
      <c r="AH333" s="383" t="s">
        <v>57</v>
      </c>
      <c r="AI333" s="383" t="s">
        <v>4442</v>
      </c>
      <c r="AJ333" s="383" t="s">
        <v>4443</v>
      </c>
      <c r="AK333" s="389" t="s">
        <v>4437</v>
      </c>
      <c r="AL333" s="389" t="s">
        <v>1077</v>
      </c>
      <c r="AM333" s="389" t="s">
        <v>1077</v>
      </c>
      <c r="AN333" s="393">
        <f t="shared" si="56"/>
        <v>7</v>
      </c>
      <c r="AO333" s="393">
        <f t="shared" si="57"/>
        <v>2022</v>
      </c>
      <c r="AP333" s="394">
        <f t="shared" si="58"/>
        <v>2032</v>
      </c>
      <c r="AQ333" s="395">
        <f t="shared" si="59"/>
        <v>2032.5833333333333</v>
      </c>
      <c r="AR333" s="396">
        <f t="shared" si="60"/>
        <v>961.9041666666667</v>
      </c>
      <c r="AS333" s="397">
        <f t="shared" si="61"/>
        <v>11542.85</v>
      </c>
      <c r="AT333" s="397">
        <f t="shared" si="66"/>
        <v>11542.85</v>
      </c>
      <c r="AU333" s="397">
        <f t="shared" si="63"/>
        <v>20199.987500000003</v>
      </c>
      <c r="AV333" s="397">
        <f t="shared" si="64"/>
        <v>31742.837500000001</v>
      </c>
      <c r="AW333" s="398">
        <f t="shared" si="65"/>
        <v>83685.662500000006</v>
      </c>
      <c r="AX333" s="386" t="s">
        <v>62</v>
      </c>
    </row>
    <row r="334" spans="2:50" ht="15.75" outlineLevel="1">
      <c r="B334" s="381">
        <v>2111</v>
      </c>
      <c r="C334" s="382">
        <v>284455</v>
      </c>
      <c r="D334" s="381">
        <v>283285</v>
      </c>
      <c r="E334" s="383" t="s">
        <v>4240</v>
      </c>
      <c r="F334" s="392" t="s">
        <v>4114</v>
      </c>
      <c r="G334" s="392"/>
      <c r="H334" s="392"/>
      <c r="I334" s="381">
        <v>1</v>
      </c>
      <c r="J334" s="383" t="s">
        <v>4113</v>
      </c>
      <c r="K334" s="381">
        <v>2022</v>
      </c>
      <c r="L334" s="383"/>
      <c r="M334" s="383"/>
      <c r="N334" s="383" t="s">
        <v>4445</v>
      </c>
      <c r="O334" s="383" t="s">
        <v>4441</v>
      </c>
      <c r="P334" s="383" t="s">
        <v>4487</v>
      </c>
      <c r="Q334" s="383"/>
      <c r="R334" s="383"/>
      <c r="S334" s="384">
        <v>44735</v>
      </c>
      <c r="T334" s="384">
        <v>44735</v>
      </c>
      <c r="U334" s="383" t="s">
        <v>4112</v>
      </c>
      <c r="V334" s="381">
        <v>1000</v>
      </c>
      <c r="W334" s="381">
        <v>14040</v>
      </c>
      <c r="X334" s="385">
        <v>183091.43</v>
      </c>
      <c r="Y334" s="381">
        <v>14046</v>
      </c>
      <c r="Z334" s="385">
        <v>41195.550000000003</v>
      </c>
      <c r="AA334" s="385">
        <f t="shared" si="55"/>
        <v>141895.88</v>
      </c>
      <c r="AB334" s="385">
        <v>13731.84</v>
      </c>
      <c r="AC334" s="381">
        <v>51260</v>
      </c>
      <c r="AD334" s="385">
        <v>1525.76</v>
      </c>
      <c r="AE334" s="381" t="s">
        <v>944</v>
      </c>
      <c r="AF334" s="383"/>
      <c r="AG334" s="383"/>
      <c r="AH334" s="383" t="s">
        <v>57</v>
      </c>
      <c r="AI334" s="383" t="s">
        <v>4442</v>
      </c>
      <c r="AJ334" s="383" t="s">
        <v>4443</v>
      </c>
      <c r="AK334" s="389" t="s">
        <v>4437</v>
      </c>
      <c r="AL334" s="389" t="s">
        <v>3939</v>
      </c>
      <c r="AM334" s="389" t="s">
        <v>3939</v>
      </c>
      <c r="AN334" s="393">
        <f t="shared" si="56"/>
        <v>6</v>
      </c>
      <c r="AO334" s="393">
        <f t="shared" si="57"/>
        <v>2022</v>
      </c>
      <c r="AP334" s="394">
        <f t="shared" si="58"/>
        <v>2032</v>
      </c>
      <c r="AQ334" s="395">
        <f t="shared" si="59"/>
        <v>2032.5</v>
      </c>
      <c r="AR334" s="396">
        <f t="shared" si="60"/>
        <v>1525.7619166666666</v>
      </c>
      <c r="AS334" s="397">
        <f t="shared" si="61"/>
        <v>18309.143</v>
      </c>
      <c r="AT334" s="397">
        <f t="shared" si="66"/>
        <v>18309.143</v>
      </c>
      <c r="AU334" s="397">
        <f t="shared" si="63"/>
        <v>33566.762166665285</v>
      </c>
      <c r="AV334" s="397">
        <f t="shared" si="64"/>
        <v>51875.905166665281</v>
      </c>
      <c r="AW334" s="398">
        <f t="shared" si="65"/>
        <v>131215.52483333473</v>
      </c>
      <c r="AX334" s="386" t="s">
        <v>62</v>
      </c>
    </row>
    <row r="335" spans="2:50" ht="15.75" outlineLevel="1">
      <c r="B335" s="381">
        <v>2111</v>
      </c>
      <c r="C335" s="382">
        <v>284394</v>
      </c>
      <c r="D335" s="381">
        <v>284368</v>
      </c>
      <c r="E335" s="383" t="s">
        <v>4240</v>
      </c>
      <c r="F335" s="392" t="s">
        <v>4118</v>
      </c>
      <c r="G335" s="392"/>
      <c r="H335" s="392"/>
      <c r="I335" s="381">
        <v>108</v>
      </c>
      <c r="J335" s="383"/>
      <c r="K335" s="381">
        <v>0</v>
      </c>
      <c r="L335" s="383" t="s">
        <v>1509</v>
      </c>
      <c r="M335" s="383"/>
      <c r="N335" s="383" t="s">
        <v>4446</v>
      </c>
      <c r="O335" s="383" t="s">
        <v>4441</v>
      </c>
      <c r="P335" s="383"/>
      <c r="Q335" s="383"/>
      <c r="R335" s="383"/>
      <c r="S335" s="384">
        <v>44693</v>
      </c>
      <c r="T335" s="384">
        <v>44693</v>
      </c>
      <c r="U335" s="383" t="s">
        <v>4116</v>
      </c>
      <c r="V335" s="381">
        <v>1200</v>
      </c>
      <c r="W335" s="381">
        <v>14050</v>
      </c>
      <c r="X335" s="385">
        <v>11975.04</v>
      </c>
      <c r="Y335" s="381">
        <v>14056</v>
      </c>
      <c r="Z335" s="385">
        <v>2411.64</v>
      </c>
      <c r="AA335" s="385">
        <f t="shared" si="55"/>
        <v>9563.4000000000015</v>
      </c>
      <c r="AB335" s="385">
        <v>748.44</v>
      </c>
      <c r="AC335" s="381">
        <v>54260</v>
      </c>
      <c r="AD335" s="385">
        <v>83.16</v>
      </c>
      <c r="AE335" s="381" t="s">
        <v>944</v>
      </c>
      <c r="AF335" s="383"/>
      <c r="AG335" s="383"/>
      <c r="AH335" s="383" t="s">
        <v>57</v>
      </c>
      <c r="AI335" s="383" t="s">
        <v>4442</v>
      </c>
      <c r="AJ335" s="383" t="s">
        <v>4443</v>
      </c>
      <c r="AK335" s="389" t="s">
        <v>4437</v>
      </c>
      <c r="AL335" s="389" t="s">
        <v>1341</v>
      </c>
      <c r="AM335" s="389" t="s">
        <v>1341</v>
      </c>
      <c r="AN335" s="393">
        <f t="shared" si="56"/>
        <v>5</v>
      </c>
      <c r="AO335" s="393">
        <f t="shared" si="57"/>
        <v>2022</v>
      </c>
      <c r="AP335" s="394">
        <f t="shared" si="58"/>
        <v>2034</v>
      </c>
      <c r="AQ335" s="395">
        <f t="shared" si="59"/>
        <v>2034.4166666666667</v>
      </c>
      <c r="AR335" s="396">
        <f t="shared" si="60"/>
        <v>83.160000000000011</v>
      </c>
      <c r="AS335" s="397">
        <f t="shared" si="61"/>
        <v>997.92000000000007</v>
      </c>
      <c r="AT335" s="397">
        <f t="shared" si="66"/>
        <v>997.92000000000007</v>
      </c>
      <c r="AU335" s="397">
        <f t="shared" si="63"/>
        <v>1912.6799999998475</v>
      </c>
      <c r="AV335" s="397">
        <f t="shared" si="64"/>
        <v>2910.5999999998476</v>
      </c>
      <c r="AW335" s="398">
        <f t="shared" si="65"/>
        <v>9064.4400000001533</v>
      </c>
      <c r="AX335" s="386" t="s">
        <v>62</v>
      </c>
    </row>
    <row r="336" spans="2:50" ht="15.75" outlineLevel="1">
      <c r="B336" s="381">
        <v>2111</v>
      </c>
      <c r="C336" s="382">
        <v>284368</v>
      </c>
      <c r="D336" s="381" t="s">
        <v>944</v>
      </c>
      <c r="E336" s="383" t="s">
        <v>4240</v>
      </c>
      <c r="F336" s="392" t="s">
        <v>4119</v>
      </c>
      <c r="G336" s="392"/>
      <c r="H336" s="392"/>
      <c r="I336" s="381">
        <v>36</v>
      </c>
      <c r="J336" s="383"/>
      <c r="K336" s="381">
        <v>0</v>
      </c>
      <c r="L336" s="383" t="s">
        <v>1509</v>
      </c>
      <c r="M336" s="383"/>
      <c r="N336" s="383" t="s">
        <v>4446</v>
      </c>
      <c r="O336" s="383" t="s">
        <v>4441</v>
      </c>
      <c r="P336" s="383"/>
      <c r="Q336" s="383" t="s">
        <v>4459</v>
      </c>
      <c r="R336" s="383" t="s">
        <v>4450</v>
      </c>
      <c r="S336" s="384">
        <v>44693</v>
      </c>
      <c r="T336" s="384">
        <v>44693</v>
      </c>
      <c r="U336" s="383" t="s">
        <v>4116</v>
      </c>
      <c r="V336" s="381">
        <v>1200</v>
      </c>
      <c r="W336" s="381">
        <v>14050</v>
      </c>
      <c r="X336" s="385">
        <v>37669.730000000003</v>
      </c>
      <c r="Y336" s="381">
        <v>14056</v>
      </c>
      <c r="Z336" s="385">
        <v>7586.31</v>
      </c>
      <c r="AA336" s="385">
        <f t="shared" si="55"/>
        <v>30083.420000000002</v>
      </c>
      <c r="AB336" s="385">
        <v>2354.4</v>
      </c>
      <c r="AC336" s="381">
        <v>54260</v>
      </c>
      <c r="AD336" s="385">
        <v>261.60000000000002</v>
      </c>
      <c r="AE336" s="381" t="s">
        <v>944</v>
      </c>
      <c r="AF336" s="383"/>
      <c r="AG336" s="383"/>
      <c r="AH336" s="383" t="s">
        <v>57</v>
      </c>
      <c r="AI336" s="383" t="s">
        <v>4442</v>
      </c>
      <c r="AJ336" s="383" t="s">
        <v>4443</v>
      </c>
      <c r="AK336" s="389" t="s">
        <v>4437</v>
      </c>
      <c r="AL336" s="389" t="s">
        <v>1341</v>
      </c>
      <c r="AM336" s="389" t="s">
        <v>1341</v>
      </c>
      <c r="AN336" s="393">
        <f t="shared" si="56"/>
        <v>5</v>
      </c>
      <c r="AO336" s="393">
        <f t="shared" si="57"/>
        <v>2022</v>
      </c>
      <c r="AP336" s="394">
        <f t="shared" si="58"/>
        <v>2034</v>
      </c>
      <c r="AQ336" s="395">
        <f t="shared" si="59"/>
        <v>2034.4166666666667</v>
      </c>
      <c r="AR336" s="396">
        <f t="shared" si="60"/>
        <v>261.59534722222224</v>
      </c>
      <c r="AS336" s="397">
        <f t="shared" si="61"/>
        <v>3139.1441666666669</v>
      </c>
      <c r="AT336" s="397">
        <f t="shared" si="66"/>
        <v>3139.1441666666669</v>
      </c>
      <c r="AU336" s="397">
        <f t="shared" si="63"/>
        <v>6016.6929861106364</v>
      </c>
      <c r="AV336" s="397">
        <f t="shared" si="64"/>
        <v>9155.8371527773033</v>
      </c>
      <c r="AW336" s="398">
        <f t="shared" si="65"/>
        <v>28513.892847222698</v>
      </c>
      <c r="AX336" s="386" t="s">
        <v>62</v>
      </c>
    </row>
    <row r="337" spans="2:50" ht="15.75" outlineLevel="1">
      <c r="B337" s="381">
        <v>2111</v>
      </c>
      <c r="C337" s="382">
        <v>284367</v>
      </c>
      <c r="D337" s="381" t="s">
        <v>944</v>
      </c>
      <c r="E337" s="383" t="s">
        <v>4240</v>
      </c>
      <c r="F337" s="392" t="s">
        <v>4119</v>
      </c>
      <c r="G337" s="392"/>
      <c r="H337" s="392"/>
      <c r="I337" s="381">
        <v>24</v>
      </c>
      <c r="J337" s="383"/>
      <c r="K337" s="381">
        <v>0</v>
      </c>
      <c r="L337" s="383" t="s">
        <v>1509</v>
      </c>
      <c r="M337" s="383"/>
      <c r="N337" s="383" t="s">
        <v>4446</v>
      </c>
      <c r="O337" s="383" t="s">
        <v>4441</v>
      </c>
      <c r="P337" s="383"/>
      <c r="Q337" s="383" t="s">
        <v>4459</v>
      </c>
      <c r="R337" s="383" t="s">
        <v>4450</v>
      </c>
      <c r="S337" s="384">
        <v>44693</v>
      </c>
      <c r="T337" s="384">
        <v>44693</v>
      </c>
      <c r="U337" s="383" t="s">
        <v>4116</v>
      </c>
      <c r="V337" s="381">
        <v>1200</v>
      </c>
      <c r="W337" s="381">
        <v>14050</v>
      </c>
      <c r="X337" s="385">
        <v>24121.25</v>
      </c>
      <c r="Y337" s="381">
        <v>14056</v>
      </c>
      <c r="Z337" s="385">
        <v>4857.7700000000004</v>
      </c>
      <c r="AA337" s="385">
        <f t="shared" si="55"/>
        <v>19263.48</v>
      </c>
      <c r="AB337" s="385">
        <v>1507.59</v>
      </c>
      <c r="AC337" s="381">
        <v>54260</v>
      </c>
      <c r="AD337" s="385">
        <v>167.51</v>
      </c>
      <c r="AE337" s="381" t="s">
        <v>944</v>
      </c>
      <c r="AF337" s="383"/>
      <c r="AG337" s="383"/>
      <c r="AH337" s="383" t="s">
        <v>57</v>
      </c>
      <c r="AI337" s="383" t="s">
        <v>4442</v>
      </c>
      <c r="AJ337" s="383" t="s">
        <v>4443</v>
      </c>
      <c r="AK337" s="389" t="s">
        <v>4437</v>
      </c>
      <c r="AL337" s="389" t="s">
        <v>1341</v>
      </c>
      <c r="AM337" s="389" t="s">
        <v>1341</v>
      </c>
      <c r="AN337" s="393">
        <f t="shared" si="56"/>
        <v>5</v>
      </c>
      <c r="AO337" s="393">
        <f t="shared" si="57"/>
        <v>2022</v>
      </c>
      <c r="AP337" s="394">
        <f t="shared" si="58"/>
        <v>2034</v>
      </c>
      <c r="AQ337" s="395">
        <f t="shared" si="59"/>
        <v>2034.4166666666667</v>
      </c>
      <c r="AR337" s="396">
        <f t="shared" si="60"/>
        <v>167.50868055555557</v>
      </c>
      <c r="AS337" s="397">
        <f t="shared" si="61"/>
        <v>2010.104166666667</v>
      </c>
      <c r="AT337" s="397">
        <f t="shared" si="66"/>
        <v>2010.104166666667</v>
      </c>
      <c r="AU337" s="397">
        <f t="shared" si="63"/>
        <v>3852.6996527774718</v>
      </c>
      <c r="AV337" s="397">
        <f t="shared" si="64"/>
        <v>5862.8038194441388</v>
      </c>
      <c r="AW337" s="398">
        <f t="shared" si="65"/>
        <v>18258.44618055586</v>
      </c>
      <c r="AX337" s="386" t="s">
        <v>62</v>
      </c>
    </row>
    <row r="338" spans="2:50" ht="15.75" outlineLevel="1">
      <c r="B338" s="381">
        <v>2111</v>
      </c>
      <c r="C338" s="382">
        <v>284340</v>
      </c>
      <c r="D338" s="381" t="s">
        <v>944</v>
      </c>
      <c r="E338" s="383" t="s">
        <v>4240</v>
      </c>
      <c r="F338" s="392" t="s">
        <v>2703</v>
      </c>
      <c r="G338" s="392"/>
      <c r="H338" s="392"/>
      <c r="I338" s="381">
        <v>351</v>
      </c>
      <c r="J338" s="383"/>
      <c r="K338" s="381">
        <v>0</v>
      </c>
      <c r="L338" s="383" t="s">
        <v>1462</v>
      </c>
      <c r="M338" s="383"/>
      <c r="N338" s="383" t="s">
        <v>4446</v>
      </c>
      <c r="O338" s="383" t="s">
        <v>4441</v>
      </c>
      <c r="P338" s="383"/>
      <c r="Q338" s="383"/>
      <c r="R338" s="383"/>
      <c r="S338" s="384">
        <v>44707</v>
      </c>
      <c r="T338" s="384">
        <v>44707</v>
      </c>
      <c r="U338" s="383" t="s">
        <v>4120</v>
      </c>
      <c r="V338" s="381">
        <v>700</v>
      </c>
      <c r="W338" s="381">
        <v>14050</v>
      </c>
      <c r="X338" s="385">
        <v>23579.13</v>
      </c>
      <c r="Y338" s="381">
        <v>14056</v>
      </c>
      <c r="Z338" s="385">
        <v>7859.68</v>
      </c>
      <c r="AA338" s="385">
        <f t="shared" si="55"/>
        <v>15719.45</v>
      </c>
      <c r="AB338" s="385">
        <v>2526.3000000000002</v>
      </c>
      <c r="AC338" s="381">
        <v>54260</v>
      </c>
      <c r="AD338" s="385">
        <v>280.7</v>
      </c>
      <c r="AE338" s="381" t="s">
        <v>944</v>
      </c>
      <c r="AF338" s="383"/>
      <c r="AG338" s="383"/>
      <c r="AH338" s="383" t="s">
        <v>57</v>
      </c>
      <c r="AI338" s="383" t="s">
        <v>4442</v>
      </c>
      <c r="AJ338" s="383" t="s">
        <v>4443</v>
      </c>
      <c r="AK338" s="389" t="s">
        <v>4437</v>
      </c>
      <c r="AL338" s="389" t="s">
        <v>4217</v>
      </c>
      <c r="AM338" s="389" t="s">
        <v>3947</v>
      </c>
      <c r="AN338" s="393">
        <f t="shared" si="56"/>
        <v>5</v>
      </c>
      <c r="AO338" s="393">
        <f t="shared" si="57"/>
        <v>2022</v>
      </c>
      <c r="AP338" s="394">
        <f t="shared" si="58"/>
        <v>2029</v>
      </c>
      <c r="AQ338" s="395">
        <f t="shared" si="59"/>
        <v>2029.4166666666667</v>
      </c>
      <c r="AR338" s="396">
        <f t="shared" si="60"/>
        <v>280.70392857142855</v>
      </c>
      <c r="AS338" s="397">
        <f t="shared" si="61"/>
        <v>3368.4471428571424</v>
      </c>
      <c r="AT338" s="397">
        <f t="shared" si="66"/>
        <v>3368.4471428571424</v>
      </c>
      <c r="AU338" s="397">
        <f t="shared" si="63"/>
        <v>6456.19035714235</v>
      </c>
      <c r="AV338" s="397">
        <f t="shared" si="64"/>
        <v>9824.6374999994914</v>
      </c>
      <c r="AW338" s="398">
        <f t="shared" si="65"/>
        <v>13754.49250000051</v>
      </c>
      <c r="AX338" s="386" t="s">
        <v>62</v>
      </c>
    </row>
    <row r="339" spans="2:50" ht="15.75" outlineLevel="1">
      <c r="B339" s="381">
        <v>2111</v>
      </c>
      <c r="C339" s="382">
        <v>284339</v>
      </c>
      <c r="D339" s="381" t="s">
        <v>944</v>
      </c>
      <c r="E339" s="383" t="s">
        <v>4240</v>
      </c>
      <c r="F339" s="392" t="s">
        <v>4121</v>
      </c>
      <c r="G339" s="392"/>
      <c r="H339" s="392"/>
      <c r="I339" s="381">
        <v>351</v>
      </c>
      <c r="J339" s="383"/>
      <c r="K339" s="381">
        <v>0</v>
      </c>
      <c r="L339" s="383" t="s">
        <v>1462</v>
      </c>
      <c r="M339" s="383"/>
      <c r="N339" s="383" t="s">
        <v>4446</v>
      </c>
      <c r="O339" s="383" t="s">
        <v>4441</v>
      </c>
      <c r="P339" s="383"/>
      <c r="Q339" s="383"/>
      <c r="R339" s="383"/>
      <c r="S339" s="384">
        <v>44707</v>
      </c>
      <c r="T339" s="384">
        <v>44707</v>
      </c>
      <c r="U339" s="383" t="s">
        <v>4120</v>
      </c>
      <c r="V339" s="381">
        <v>700</v>
      </c>
      <c r="W339" s="381">
        <v>14050</v>
      </c>
      <c r="X339" s="385">
        <v>23579.119999999999</v>
      </c>
      <c r="Y339" s="381">
        <v>14056</v>
      </c>
      <c r="Z339" s="385">
        <v>7859.68</v>
      </c>
      <c r="AA339" s="385">
        <f t="shared" si="55"/>
        <v>15719.439999999999</v>
      </c>
      <c r="AB339" s="385">
        <v>2526.3000000000002</v>
      </c>
      <c r="AC339" s="381">
        <v>54260</v>
      </c>
      <c r="AD339" s="385">
        <v>280.7</v>
      </c>
      <c r="AE339" s="381" t="s">
        <v>944</v>
      </c>
      <c r="AF339" s="383"/>
      <c r="AG339" s="383"/>
      <c r="AH339" s="383" t="s">
        <v>57</v>
      </c>
      <c r="AI339" s="383" t="s">
        <v>4442</v>
      </c>
      <c r="AJ339" s="383" t="s">
        <v>4443</v>
      </c>
      <c r="AK339" s="389" t="s">
        <v>4437</v>
      </c>
      <c r="AL339" s="389" t="s">
        <v>1019</v>
      </c>
      <c r="AM339" s="389" t="s">
        <v>1019</v>
      </c>
      <c r="AN339" s="393">
        <f t="shared" si="56"/>
        <v>5</v>
      </c>
      <c r="AO339" s="393">
        <f t="shared" si="57"/>
        <v>2022</v>
      </c>
      <c r="AP339" s="394">
        <f t="shared" si="58"/>
        <v>2029</v>
      </c>
      <c r="AQ339" s="395">
        <f t="shared" si="59"/>
        <v>2029.4166666666667</v>
      </c>
      <c r="AR339" s="396">
        <f t="shared" si="60"/>
        <v>280.70380952380953</v>
      </c>
      <c r="AS339" s="397">
        <f t="shared" si="61"/>
        <v>3368.4457142857145</v>
      </c>
      <c r="AT339" s="397">
        <f t="shared" si="66"/>
        <v>3368.4457142857145</v>
      </c>
      <c r="AU339" s="397">
        <f t="shared" si="63"/>
        <v>6456.1876190471085</v>
      </c>
      <c r="AV339" s="397">
        <f t="shared" si="64"/>
        <v>9824.6333333328221</v>
      </c>
      <c r="AW339" s="398">
        <f t="shared" si="65"/>
        <v>13754.486666667177</v>
      </c>
      <c r="AX339" s="386" t="s">
        <v>62</v>
      </c>
    </row>
    <row r="340" spans="2:50" ht="15.75" outlineLevel="1">
      <c r="B340" s="381">
        <v>2111</v>
      </c>
      <c r="C340" s="382">
        <v>284177</v>
      </c>
      <c r="D340" s="381" t="s">
        <v>944</v>
      </c>
      <c r="E340" s="383" t="s">
        <v>4240</v>
      </c>
      <c r="F340" s="392" t="s">
        <v>4127</v>
      </c>
      <c r="G340" s="392"/>
      <c r="H340" s="392"/>
      <c r="I340" s="381">
        <v>1</v>
      </c>
      <c r="J340" s="383"/>
      <c r="K340" s="381">
        <v>0</v>
      </c>
      <c r="L340" s="383" t="s">
        <v>4126</v>
      </c>
      <c r="M340" s="383"/>
      <c r="N340" s="383" t="s">
        <v>4440</v>
      </c>
      <c r="O340" s="383" t="s">
        <v>4441</v>
      </c>
      <c r="P340" s="383"/>
      <c r="Q340" s="383"/>
      <c r="R340" s="383"/>
      <c r="S340" s="384">
        <v>44733</v>
      </c>
      <c r="T340" s="384">
        <v>44733</v>
      </c>
      <c r="U340" s="383" t="s">
        <v>4122</v>
      </c>
      <c r="V340" s="381">
        <v>300</v>
      </c>
      <c r="W340" s="381">
        <v>14110</v>
      </c>
      <c r="X340" s="385">
        <v>1245.58</v>
      </c>
      <c r="Y340" s="381">
        <v>14116</v>
      </c>
      <c r="Z340" s="385">
        <v>934.19</v>
      </c>
      <c r="AA340" s="385">
        <f t="shared" si="55"/>
        <v>311.38999999999987</v>
      </c>
      <c r="AB340" s="385">
        <v>311.39999999999998</v>
      </c>
      <c r="AC340" s="381">
        <v>70260</v>
      </c>
      <c r="AD340" s="385">
        <v>34.6</v>
      </c>
      <c r="AE340" s="381" t="s">
        <v>944</v>
      </c>
      <c r="AF340" s="383"/>
      <c r="AG340" s="383"/>
      <c r="AH340" s="383" t="s">
        <v>57</v>
      </c>
      <c r="AI340" s="383" t="s">
        <v>4442</v>
      </c>
      <c r="AJ340" s="383" t="s">
        <v>4443</v>
      </c>
      <c r="AK340" s="389" t="s">
        <v>4437</v>
      </c>
      <c r="AL340" s="389" t="s">
        <v>370</v>
      </c>
      <c r="AM340" s="389" t="s">
        <v>135</v>
      </c>
      <c r="AN340" s="393">
        <f t="shared" si="56"/>
        <v>6</v>
      </c>
      <c r="AO340" s="393">
        <f t="shared" si="57"/>
        <v>2022</v>
      </c>
      <c r="AP340" s="394">
        <f t="shared" si="58"/>
        <v>2025</v>
      </c>
      <c r="AQ340" s="395">
        <f t="shared" si="59"/>
        <v>2025.5</v>
      </c>
      <c r="AR340" s="396">
        <f t="shared" si="60"/>
        <v>34.599444444444444</v>
      </c>
      <c r="AS340" s="397">
        <f t="shared" si="61"/>
        <v>415.19333333333333</v>
      </c>
      <c r="AT340" s="397">
        <f t="shared" si="66"/>
        <v>415.19333333333333</v>
      </c>
      <c r="AU340" s="397">
        <f t="shared" si="63"/>
        <v>761.18777777774631</v>
      </c>
      <c r="AV340" s="397">
        <f t="shared" si="64"/>
        <v>1176.3811111110797</v>
      </c>
      <c r="AW340" s="398">
        <f t="shared" si="65"/>
        <v>69.198888888920237</v>
      </c>
      <c r="AX340" s="386" t="s">
        <v>62</v>
      </c>
    </row>
    <row r="341" spans="2:50" ht="15.75" outlineLevel="1">
      <c r="B341" s="381">
        <v>2111</v>
      </c>
      <c r="C341" s="382">
        <v>284176</v>
      </c>
      <c r="D341" s="381" t="s">
        <v>944</v>
      </c>
      <c r="E341" s="383" t="s">
        <v>4240</v>
      </c>
      <c r="F341" s="392" t="s">
        <v>4129</v>
      </c>
      <c r="G341" s="392"/>
      <c r="H341" s="392"/>
      <c r="I341" s="381">
        <v>1</v>
      </c>
      <c r="J341" s="383"/>
      <c r="K341" s="381">
        <v>0</v>
      </c>
      <c r="L341" s="383" t="s">
        <v>4128</v>
      </c>
      <c r="M341" s="383"/>
      <c r="N341" s="383" t="s">
        <v>4440</v>
      </c>
      <c r="O341" s="383" t="s">
        <v>4441</v>
      </c>
      <c r="P341" s="383"/>
      <c r="Q341" s="383"/>
      <c r="R341" s="383"/>
      <c r="S341" s="384">
        <v>44677</v>
      </c>
      <c r="T341" s="384">
        <v>44677</v>
      </c>
      <c r="U341" s="383" t="s">
        <v>4050</v>
      </c>
      <c r="V341" s="381">
        <v>300</v>
      </c>
      <c r="W341" s="381">
        <v>14110</v>
      </c>
      <c r="X341" s="385">
        <v>306.3</v>
      </c>
      <c r="Y341" s="381">
        <v>14116</v>
      </c>
      <c r="Z341" s="385">
        <v>246.76</v>
      </c>
      <c r="AA341" s="385">
        <f t="shared" si="55"/>
        <v>59.54000000000002</v>
      </c>
      <c r="AB341" s="385">
        <v>76.59</v>
      </c>
      <c r="AC341" s="381">
        <v>70260</v>
      </c>
      <c r="AD341" s="385">
        <v>8.51</v>
      </c>
      <c r="AE341" s="381" t="s">
        <v>944</v>
      </c>
      <c r="AF341" s="383"/>
      <c r="AG341" s="383"/>
      <c r="AH341" s="383" t="s">
        <v>57</v>
      </c>
      <c r="AI341" s="383" t="s">
        <v>4442</v>
      </c>
      <c r="AJ341" s="383" t="s">
        <v>4443</v>
      </c>
      <c r="AK341" s="389" t="s">
        <v>4437</v>
      </c>
      <c r="AL341" s="389" t="s">
        <v>370</v>
      </c>
      <c r="AM341" s="389" t="s">
        <v>135</v>
      </c>
      <c r="AN341" s="393">
        <f t="shared" si="56"/>
        <v>4</v>
      </c>
      <c r="AO341" s="393">
        <f t="shared" si="57"/>
        <v>2022</v>
      </c>
      <c r="AP341" s="394">
        <f t="shared" si="58"/>
        <v>2025</v>
      </c>
      <c r="AQ341" s="395">
        <f t="shared" si="59"/>
        <v>2025.3333333333333</v>
      </c>
      <c r="AR341" s="396">
        <f t="shared" si="60"/>
        <v>8.5083333333333346</v>
      </c>
      <c r="AS341" s="397">
        <f t="shared" si="61"/>
        <v>102.10000000000002</v>
      </c>
      <c r="AT341" s="397">
        <f t="shared" si="66"/>
        <v>102.10000000000002</v>
      </c>
      <c r="AU341" s="397">
        <f t="shared" si="63"/>
        <v>204.2</v>
      </c>
      <c r="AV341" s="397">
        <f t="shared" si="64"/>
        <v>306.3</v>
      </c>
      <c r="AW341" s="398">
        <f t="shared" si="65"/>
        <v>0</v>
      </c>
      <c r="AX341" s="386" t="s">
        <v>62</v>
      </c>
    </row>
    <row r="342" spans="2:50" ht="15.75" outlineLevel="1">
      <c r="B342" s="381">
        <v>2111</v>
      </c>
      <c r="C342" s="382">
        <v>284175</v>
      </c>
      <c r="D342" s="381">
        <v>284177</v>
      </c>
      <c r="E342" s="383" t="s">
        <v>4240</v>
      </c>
      <c r="F342" s="392" t="s">
        <v>4124</v>
      </c>
      <c r="G342" s="392"/>
      <c r="H342" s="392"/>
      <c r="I342" s="381">
        <v>1</v>
      </c>
      <c r="J342" s="383"/>
      <c r="K342" s="381">
        <v>0</v>
      </c>
      <c r="L342" s="383" t="s">
        <v>4123</v>
      </c>
      <c r="M342" s="383"/>
      <c r="N342" s="383" t="s">
        <v>4440</v>
      </c>
      <c r="O342" s="383" t="s">
        <v>4441</v>
      </c>
      <c r="P342" s="383"/>
      <c r="Q342" s="383"/>
      <c r="R342" s="383"/>
      <c r="S342" s="384">
        <v>44733</v>
      </c>
      <c r="T342" s="384">
        <v>44733</v>
      </c>
      <c r="U342" s="383" t="s">
        <v>4122</v>
      </c>
      <c r="V342" s="381">
        <v>300</v>
      </c>
      <c r="W342" s="381">
        <v>14110</v>
      </c>
      <c r="X342" s="385">
        <v>306.3</v>
      </c>
      <c r="Y342" s="381">
        <v>14116</v>
      </c>
      <c r="Z342" s="385">
        <v>229.74</v>
      </c>
      <c r="AA342" s="385">
        <f t="shared" si="55"/>
        <v>76.56</v>
      </c>
      <c r="AB342" s="385">
        <v>76.59</v>
      </c>
      <c r="AC342" s="381">
        <v>70260</v>
      </c>
      <c r="AD342" s="385">
        <v>8.51</v>
      </c>
      <c r="AE342" s="381" t="s">
        <v>944</v>
      </c>
      <c r="AF342" s="383"/>
      <c r="AG342" s="383"/>
      <c r="AH342" s="383" t="s">
        <v>57</v>
      </c>
      <c r="AI342" s="383" t="s">
        <v>4442</v>
      </c>
      <c r="AJ342" s="383" t="s">
        <v>4443</v>
      </c>
      <c r="AK342" s="389" t="s">
        <v>4437</v>
      </c>
      <c r="AL342" s="389" t="s">
        <v>370</v>
      </c>
      <c r="AM342" s="389" t="s">
        <v>135</v>
      </c>
      <c r="AN342" s="393">
        <f t="shared" si="56"/>
        <v>6</v>
      </c>
      <c r="AO342" s="393">
        <f t="shared" si="57"/>
        <v>2022</v>
      </c>
      <c r="AP342" s="394">
        <f t="shared" si="58"/>
        <v>2025</v>
      </c>
      <c r="AQ342" s="395">
        <f t="shared" si="59"/>
        <v>2025.5</v>
      </c>
      <c r="AR342" s="396">
        <f t="shared" si="60"/>
        <v>8.5083333333333346</v>
      </c>
      <c r="AS342" s="397">
        <f t="shared" si="61"/>
        <v>102.10000000000002</v>
      </c>
      <c r="AT342" s="397">
        <f t="shared" si="66"/>
        <v>102.10000000000002</v>
      </c>
      <c r="AU342" s="397">
        <f t="shared" si="63"/>
        <v>187.18333333332561</v>
      </c>
      <c r="AV342" s="397">
        <f t="shared" si="64"/>
        <v>289.28333333332563</v>
      </c>
      <c r="AW342" s="398">
        <f t="shared" si="65"/>
        <v>17.016666666674382</v>
      </c>
      <c r="AX342" s="386" t="s">
        <v>62</v>
      </c>
    </row>
    <row r="343" spans="2:50" ht="15.75" outlineLevel="1">
      <c r="B343" s="381">
        <v>2111</v>
      </c>
      <c r="C343" s="382">
        <v>283286</v>
      </c>
      <c r="D343" s="381">
        <v>282634</v>
      </c>
      <c r="E343" s="383" t="s">
        <v>4240</v>
      </c>
      <c r="F343" s="392" t="s">
        <v>4132</v>
      </c>
      <c r="G343" s="392"/>
      <c r="H343" s="392"/>
      <c r="I343" s="381">
        <v>1</v>
      </c>
      <c r="J343" s="383" t="s">
        <v>4131</v>
      </c>
      <c r="K343" s="381">
        <v>2022</v>
      </c>
      <c r="L343" s="383"/>
      <c r="M343" s="383"/>
      <c r="N343" s="383" t="s">
        <v>4445</v>
      </c>
      <c r="O343" s="383" t="s">
        <v>4441</v>
      </c>
      <c r="P343" s="383" t="s">
        <v>2868</v>
      </c>
      <c r="Q343" s="383"/>
      <c r="R343" s="383"/>
      <c r="S343" s="384">
        <v>44620</v>
      </c>
      <c r="T343" s="384">
        <v>44620</v>
      </c>
      <c r="U343" s="383" t="s">
        <v>4130</v>
      </c>
      <c r="V343" s="381">
        <v>1000</v>
      </c>
      <c r="W343" s="381">
        <v>14040</v>
      </c>
      <c r="X343" s="385">
        <v>52371</v>
      </c>
      <c r="Y343" s="381">
        <v>14046</v>
      </c>
      <c r="Z343" s="385">
        <v>13529.22</v>
      </c>
      <c r="AA343" s="385">
        <f t="shared" si="55"/>
        <v>38841.78</v>
      </c>
      <c r="AB343" s="385">
        <v>3927.87</v>
      </c>
      <c r="AC343" s="381">
        <v>51260</v>
      </c>
      <c r="AD343" s="385">
        <v>436.43</v>
      </c>
      <c r="AE343" s="381" t="s">
        <v>944</v>
      </c>
      <c r="AF343" s="383"/>
      <c r="AG343" s="383"/>
      <c r="AH343" s="383" t="s">
        <v>57</v>
      </c>
      <c r="AI343" s="383" t="s">
        <v>4442</v>
      </c>
      <c r="AJ343" s="383" t="s">
        <v>4443</v>
      </c>
      <c r="AK343" s="389" t="s">
        <v>4437</v>
      </c>
      <c r="AL343" s="389" t="s">
        <v>3939</v>
      </c>
      <c r="AM343" s="389" t="s">
        <v>3939</v>
      </c>
      <c r="AN343" s="393">
        <f t="shared" si="56"/>
        <v>2</v>
      </c>
      <c r="AO343" s="393">
        <f t="shared" si="57"/>
        <v>2022</v>
      </c>
      <c r="AP343" s="394">
        <f t="shared" si="58"/>
        <v>2032</v>
      </c>
      <c r="AQ343" s="395">
        <f t="shared" si="59"/>
        <v>2032.1666666666667</v>
      </c>
      <c r="AR343" s="396">
        <f t="shared" si="60"/>
        <v>436.42500000000001</v>
      </c>
      <c r="AS343" s="397">
        <f t="shared" si="61"/>
        <v>5237.1000000000004</v>
      </c>
      <c r="AT343" s="397">
        <f t="shared" si="66"/>
        <v>5237.1000000000004</v>
      </c>
      <c r="AU343" s="397">
        <f t="shared" si="63"/>
        <v>11347.049999999203</v>
      </c>
      <c r="AV343" s="397">
        <f t="shared" si="64"/>
        <v>16584.149999999201</v>
      </c>
      <c r="AW343" s="398">
        <f t="shared" si="65"/>
        <v>35786.850000000799</v>
      </c>
      <c r="AX343" s="386" t="s">
        <v>62</v>
      </c>
    </row>
    <row r="344" spans="2:50" ht="15.75" outlineLevel="1">
      <c r="B344" s="381">
        <v>2111</v>
      </c>
      <c r="C344" s="382">
        <v>283285</v>
      </c>
      <c r="D344" s="381" t="s">
        <v>944</v>
      </c>
      <c r="E344" s="383" t="s">
        <v>4240</v>
      </c>
      <c r="F344" s="392" t="s">
        <v>4114</v>
      </c>
      <c r="G344" s="392"/>
      <c r="H344" s="392"/>
      <c r="I344" s="381">
        <v>1</v>
      </c>
      <c r="J344" s="383" t="s">
        <v>4113</v>
      </c>
      <c r="K344" s="381">
        <v>2022</v>
      </c>
      <c r="L344" s="383"/>
      <c r="M344" s="383"/>
      <c r="N344" s="383" t="s">
        <v>4445</v>
      </c>
      <c r="O344" s="383" t="s">
        <v>4441</v>
      </c>
      <c r="P344" s="383" t="s">
        <v>4487</v>
      </c>
      <c r="Q344" s="383"/>
      <c r="R344" s="383"/>
      <c r="S344" s="384">
        <v>44714</v>
      </c>
      <c r="T344" s="384">
        <v>44714</v>
      </c>
      <c r="U344" s="383" t="s">
        <v>4112</v>
      </c>
      <c r="V344" s="381">
        <v>1000</v>
      </c>
      <c r="W344" s="381">
        <v>14040</v>
      </c>
      <c r="X344" s="385">
        <v>196566.87</v>
      </c>
      <c r="Y344" s="381">
        <v>14046</v>
      </c>
      <c r="Z344" s="385">
        <v>45865.63</v>
      </c>
      <c r="AA344" s="385">
        <f t="shared" si="55"/>
        <v>150701.24</v>
      </c>
      <c r="AB344" s="385">
        <v>14742.54</v>
      </c>
      <c r="AC344" s="381">
        <v>51260</v>
      </c>
      <c r="AD344" s="385">
        <v>1638.06</v>
      </c>
      <c r="AE344" s="381" t="s">
        <v>944</v>
      </c>
      <c r="AF344" s="383"/>
      <c r="AG344" s="383"/>
      <c r="AH344" s="383" t="s">
        <v>57</v>
      </c>
      <c r="AI344" s="383" t="s">
        <v>4442</v>
      </c>
      <c r="AJ344" s="383" t="s">
        <v>4443</v>
      </c>
      <c r="AK344" s="389" t="s">
        <v>4437</v>
      </c>
      <c r="AL344" s="389" t="s">
        <v>3939</v>
      </c>
      <c r="AM344" s="389" t="s">
        <v>3939</v>
      </c>
      <c r="AN344" s="393">
        <f t="shared" si="56"/>
        <v>6</v>
      </c>
      <c r="AO344" s="393">
        <f t="shared" si="57"/>
        <v>2022</v>
      </c>
      <c r="AP344" s="394">
        <f t="shared" si="58"/>
        <v>2032</v>
      </c>
      <c r="AQ344" s="395">
        <f t="shared" si="59"/>
        <v>2032.5</v>
      </c>
      <c r="AR344" s="396">
        <f t="shared" si="60"/>
        <v>1638.0572499999998</v>
      </c>
      <c r="AS344" s="397">
        <f t="shared" si="61"/>
        <v>19656.686999999998</v>
      </c>
      <c r="AT344" s="397">
        <f t="shared" si="66"/>
        <v>19656.686999999998</v>
      </c>
      <c r="AU344" s="397">
        <f t="shared" si="63"/>
        <v>36037.25949999853</v>
      </c>
      <c r="AV344" s="397">
        <f t="shared" si="64"/>
        <v>55693.946499998528</v>
      </c>
      <c r="AW344" s="398">
        <f t="shared" si="65"/>
        <v>140872.92350000146</v>
      </c>
      <c r="AX344" s="386" t="s">
        <v>62</v>
      </c>
    </row>
    <row r="345" spans="2:50" ht="15.75" outlineLevel="1">
      <c r="B345" s="381">
        <v>2111</v>
      </c>
      <c r="C345" s="382">
        <v>282797</v>
      </c>
      <c r="D345" s="381" t="s">
        <v>944</v>
      </c>
      <c r="E345" s="383" t="s">
        <v>4240</v>
      </c>
      <c r="F345" s="392" t="s">
        <v>1134</v>
      </c>
      <c r="G345" s="392"/>
      <c r="H345" s="392"/>
      <c r="I345" s="381">
        <v>648</v>
      </c>
      <c r="J345" s="383"/>
      <c r="K345" s="381">
        <v>0</v>
      </c>
      <c r="L345" s="383" t="s">
        <v>1462</v>
      </c>
      <c r="M345" s="383"/>
      <c r="N345" s="383" t="s">
        <v>4446</v>
      </c>
      <c r="O345" s="383" t="s">
        <v>4441</v>
      </c>
      <c r="P345" s="383"/>
      <c r="Q345" s="383"/>
      <c r="R345" s="383"/>
      <c r="S345" s="384">
        <v>44707</v>
      </c>
      <c r="T345" s="384">
        <v>44707</v>
      </c>
      <c r="U345" s="383" t="s">
        <v>4120</v>
      </c>
      <c r="V345" s="381">
        <v>700</v>
      </c>
      <c r="W345" s="381">
        <v>14050</v>
      </c>
      <c r="X345" s="385">
        <v>42140.74</v>
      </c>
      <c r="Y345" s="381">
        <v>14056</v>
      </c>
      <c r="Z345" s="385">
        <v>14046.96</v>
      </c>
      <c r="AA345" s="385">
        <f t="shared" si="55"/>
        <v>28093.78</v>
      </c>
      <c r="AB345" s="385">
        <v>4515.12</v>
      </c>
      <c r="AC345" s="381">
        <v>54260</v>
      </c>
      <c r="AD345" s="385">
        <v>501.68</v>
      </c>
      <c r="AE345" s="381" t="s">
        <v>944</v>
      </c>
      <c r="AF345" s="383"/>
      <c r="AG345" s="383"/>
      <c r="AH345" s="383" t="s">
        <v>57</v>
      </c>
      <c r="AI345" s="383" t="s">
        <v>4442</v>
      </c>
      <c r="AJ345" s="383" t="s">
        <v>4443</v>
      </c>
      <c r="AK345" s="389" t="s">
        <v>4437</v>
      </c>
      <c r="AL345" s="389" t="s">
        <v>1019</v>
      </c>
      <c r="AM345" s="389" t="s">
        <v>1019</v>
      </c>
      <c r="AN345" s="393">
        <f t="shared" si="56"/>
        <v>5</v>
      </c>
      <c r="AO345" s="393">
        <f t="shared" si="57"/>
        <v>2022</v>
      </c>
      <c r="AP345" s="394">
        <f t="shared" si="58"/>
        <v>2029</v>
      </c>
      <c r="AQ345" s="395">
        <f t="shared" si="59"/>
        <v>2029.4166666666667</v>
      </c>
      <c r="AR345" s="396">
        <f t="shared" si="60"/>
        <v>501.67547619047622</v>
      </c>
      <c r="AS345" s="397">
        <f t="shared" si="61"/>
        <v>6020.1057142857144</v>
      </c>
      <c r="AT345" s="397">
        <f t="shared" si="66"/>
        <v>6020.1057142857144</v>
      </c>
      <c r="AU345" s="397">
        <f t="shared" si="63"/>
        <v>11538.535952380036</v>
      </c>
      <c r="AV345" s="397">
        <f t="shared" si="64"/>
        <v>17558.64166666575</v>
      </c>
      <c r="AW345" s="398">
        <f t="shared" si="65"/>
        <v>24582.098333334248</v>
      </c>
      <c r="AX345" s="386" t="s">
        <v>62</v>
      </c>
    </row>
    <row r="346" spans="2:50" ht="15.75" outlineLevel="1">
      <c r="B346" s="381">
        <v>2111</v>
      </c>
      <c r="C346" s="382">
        <v>282796</v>
      </c>
      <c r="D346" s="381" t="s">
        <v>944</v>
      </c>
      <c r="E346" s="383" t="s">
        <v>4240</v>
      </c>
      <c r="F346" s="392" t="s">
        <v>4138</v>
      </c>
      <c r="G346" s="392"/>
      <c r="H346" s="392"/>
      <c r="I346" s="381">
        <v>1</v>
      </c>
      <c r="J346" s="383" t="s">
        <v>4157</v>
      </c>
      <c r="K346" s="381">
        <v>2022</v>
      </c>
      <c r="L346" s="383"/>
      <c r="M346" s="383" t="s">
        <v>4136</v>
      </c>
      <c r="N346" s="383" t="s">
        <v>4445</v>
      </c>
      <c r="O346" s="383" t="s">
        <v>4441</v>
      </c>
      <c r="P346" s="383" t="s">
        <v>4521</v>
      </c>
      <c r="Q346" s="383"/>
      <c r="R346" s="383"/>
      <c r="S346" s="384">
        <v>44734</v>
      </c>
      <c r="T346" s="384">
        <v>44734</v>
      </c>
      <c r="U346" s="383" t="s">
        <v>4134</v>
      </c>
      <c r="V346" s="381">
        <v>1000</v>
      </c>
      <c r="W346" s="381">
        <v>14040</v>
      </c>
      <c r="X346" s="385">
        <v>85840.62</v>
      </c>
      <c r="Y346" s="381">
        <v>14046</v>
      </c>
      <c r="Z346" s="385">
        <v>19314.150000000001</v>
      </c>
      <c r="AA346" s="385">
        <f t="shared" si="55"/>
        <v>66526.47</v>
      </c>
      <c r="AB346" s="385">
        <v>6438.06</v>
      </c>
      <c r="AC346" s="381">
        <v>51260</v>
      </c>
      <c r="AD346" s="385">
        <v>715.34</v>
      </c>
      <c r="AE346" s="381" t="s">
        <v>944</v>
      </c>
      <c r="AF346" s="383"/>
      <c r="AG346" s="383"/>
      <c r="AH346" s="383" t="s">
        <v>57</v>
      </c>
      <c r="AI346" s="383" t="s">
        <v>4442</v>
      </c>
      <c r="AJ346" s="383" t="s">
        <v>4443</v>
      </c>
      <c r="AK346" s="389" t="s">
        <v>4437</v>
      </c>
      <c r="AL346" s="389" t="s">
        <v>3939</v>
      </c>
      <c r="AM346" s="389" t="s">
        <v>3939</v>
      </c>
      <c r="AN346" s="393">
        <f t="shared" si="56"/>
        <v>6</v>
      </c>
      <c r="AO346" s="393">
        <f t="shared" si="57"/>
        <v>2022</v>
      </c>
      <c r="AP346" s="394">
        <f t="shared" si="58"/>
        <v>2032</v>
      </c>
      <c r="AQ346" s="395">
        <f t="shared" si="59"/>
        <v>2032.5</v>
      </c>
      <c r="AR346" s="396">
        <f t="shared" si="60"/>
        <v>715.33849999999995</v>
      </c>
      <c r="AS346" s="397">
        <f t="shared" si="61"/>
        <v>8584.0619999999999</v>
      </c>
      <c r="AT346" s="397">
        <f t="shared" si="66"/>
        <v>8584.0619999999999</v>
      </c>
      <c r="AU346" s="397">
        <f t="shared" si="63"/>
        <v>15737.446999999345</v>
      </c>
      <c r="AV346" s="397">
        <f t="shared" si="64"/>
        <v>24321.508999999343</v>
      </c>
      <c r="AW346" s="398">
        <f t="shared" si="65"/>
        <v>61519.111000000652</v>
      </c>
      <c r="AX346" s="386" t="s">
        <v>62</v>
      </c>
    </row>
    <row r="347" spans="2:50" ht="15.75" outlineLevel="1">
      <c r="B347" s="381">
        <v>2111</v>
      </c>
      <c r="C347" s="382">
        <v>282795</v>
      </c>
      <c r="D347" s="381" t="s">
        <v>944</v>
      </c>
      <c r="E347" s="383" t="s">
        <v>4240</v>
      </c>
      <c r="F347" s="392" t="s">
        <v>4142</v>
      </c>
      <c r="G347" s="392"/>
      <c r="H347" s="392"/>
      <c r="I347" s="381">
        <v>1</v>
      </c>
      <c r="J347" s="383" t="s">
        <v>4141</v>
      </c>
      <c r="K347" s="381">
        <v>2018</v>
      </c>
      <c r="L347" s="383" t="s">
        <v>2038</v>
      </c>
      <c r="M347" s="383"/>
      <c r="N347" s="383" t="s">
        <v>4445</v>
      </c>
      <c r="O347" s="383" t="s">
        <v>4441</v>
      </c>
      <c r="P347" s="383" t="s">
        <v>2868</v>
      </c>
      <c r="Q347" s="383"/>
      <c r="R347" s="383"/>
      <c r="S347" s="384">
        <v>44665</v>
      </c>
      <c r="T347" s="384">
        <v>44665</v>
      </c>
      <c r="U347" s="383" t="s">
        <v>4140</v>
      </c>
      <c r="V347" s="381">
        <v>600</v>
      </c>
      <c r="W347" s="381">
        <v>14040</v>
      </c>
      <c r="X347" s="385">
        <v>95409.38</v>
      </c>
      <c r="Y347" s="381">
        <v>14046</v>
      </c>
      <c r="Z347" s="385">
        <v>39753.9</v>
      </c>
      <c r="AA347" s="385">
        <f t="shared" si="55"/>
        <v>55655.48</v>
      </c>
      <c r="AB347" s="385">
        <v>11926.17</v>
      </c>
      <c r="AC347" s="381">
        <v>51260</v>
      </c>
      <c r="AD347" s="385">
        <v>1325.13</v>
      </c>
      <c r="AE347" s="381" t="s">
        <v>944</v>
      </c>
      <c r="AF347" s="383"/>
      <c r="AG347" s="383"/>
      <c r="AH347" s="383" t="s">
        <v>57</v>
      </c>
      <c r="AI347" s="383" t="s">
        <v>4442</v>
      </c>
      <c r="AJ347" s="383" t="s">
        <v>4443</v>
      </c>
      <c r="AK347" s="389" t="s">
        <v>4437</v>
      </c>
      <c r="AL347" s="389" t="s">
        <v>582</v>
      </c>
      <c r="AM347" s="389" t="s">
        <v>582</v>
      </c>
      <c r="AN347" s="393">
        <f t="shared" si="56"/>
        <v>4</v>
      </c>
      <c r="AO347" s="393">
        <f t="shared" si="57"/>
        <v>2022</v>
      </c>
      <c r="AP347" s="394">
        <f t="shared" si="58"/>
        <v>2028</v>
      </c>
      <c r="AQ347" s="395">
        <f t="shared" si="59"/>
        <v>2028.3333333333333</v>
      </c>
      <c r="AR347" s="396">
        <f t="shared" si="60"/>
        <v>1325.1302777777778</v>
      </c>
      <c r="AS347" s="397">
        <f t="shared" si="61"/>
        <v>15901.563333333334</v>
      </c>
      <c r="AT347" s="397">
        <f t="shared" si="66"/>
        <v>15901.563333333334</v>
      </c>
      <c r="AU347" s="397">
        <f t="shared" si="63"/>
        <v>31803.126666666671</v>
      </c>
      <c r="AV347" s="397">
        <f t="shared" si="64"/>
        <v>47704.69</v>
      </c>
      <c r="AW347" s="398">
        <f t="shared" si="65"/>
        <v>47704.69</v>
      </c>
      <c r="AX347" s="386" t="s">
        <v>62</v>
      </c>
    </row>
    <row r="348" spans="2:50" ht="15.75" outlineLevel="1">
      <c r="B348" s="381">
        <v>2111</v>
      </c>
      <c r="C348" s="382">
        <v>282687</v>
      </c>
      <c r="D348" s="381" t="s">
        <v>944</v>
      </c>
      <c r="E348" s="383" t="s">
        <v>4240</v>
      </c>
      <c r="F348" s="392" t="s">
        <v>4145</v>
      </c>
      <c r="G348" s="392"/>
      <c r="H348" s="392"/>
      <c r="I348" s="381">
        <v>24</v>
      </c>
      <c r="J348" s="383"/>
      <c r="K348" s="381">
        <v>0</v>
      </c>
      <c r="L348" s="383" t="s">
        <v>1509</v>
      </c>
      <c r="M348" s="383"/>
      <c r="N348" s="383" t="s">
        <v>4446</v>
      </c>
      <c r="O348" s="383" t="s">
        <v>4441</v>
      </c>
      <c r="P348" s="383"/>
      <c r="Q348" s="383" t="s">
        <v>4509</v>
      </c>
      <c r="R348" s="383" t="s">
        <v>4450</v>
      </c>
      <c r="S348" s="384">
        <v>44693</v>
      </c>
      <c r="T348" s="384">
        <v>44693</v>
      </c>
      <c r="U348" s="383" t="s">
        <v>4116</v>
      </c>
      <c r="V348" s="381">
        <v>1200</v>
      </c>
      <c r="W348" s="381">
        <v>14050</v>
      </c>
      <c r="X348" s="385">
        <v>39634.42</v>
      </c>
      <c r="Y348" s="381">
        <v>14056</v>
      </c>
      <c r="Z348" s="385">
        <v>7981.94</v>
      </c>
      <c r="AA348" s="385">
        <f t="shared" si="55"/>
        <v>31652.48</v>
      </c>
      <c r="AB348" s="385">
        <v>2477.16</v>
      </c>
      <c r="AC348" s="381">
        <v>54260</v>
      </c>
      <c r="AD348" s="385">
        <v>275.24</v>
      </c>
      <c r="AE348" s="381" t="s">
        <v>944</v>
      </c>
      <c r="AF348" s="383"/>
      <c r="AG348" s="383"/>
      <c r="AH348" s="383" t="s">
        <v>57</v>
      </c>
      <c r="AI348" s="383" t="s">
        <v>4442</v>
      </c>
      <c r="AJ348" s="383" t="s">
        <v>4443</v>
      </c>
      <c r="AK348" s="389" t="s">
        <v>4437</v>
      </c>
      <c r="AL348" s="389" t="s">
        <v>1341</v>
      </c>
      <c r="AM348" s="389" t="s">
        <v>1341</v>
      </c>
      <c r="AN348" s="393">
        <f t="shared" si="56"/>
        <v>5</v>
      </c>
      <c r="AO348" s="393">
        <f t="shared" si="57"/>
        <v>2022</v>
      </c>
      <c r="AP348" s="394">
        <f t="shared" si="58"/>
        <v>2034</v>
      </c>
      <c r="AQ348" s="395">
        <f t="shared" si="59"/>
        <v>2034.4166666666667</v>
      </c>
      <c r="AR348" s="396">
        <f t="shared" si="60"/>
        <v>275.23902777777778</v>
      </c>
      <c r="AS348" s="397">
        <f t="shared" si="61"/>
        <v>3302.8683333333333</v>
      </c>
      <c r="AT348" s="397">
        <f t="shared" si="66"/>
        <v>3302.8683333333333</v>
      </c>
      <c r="AU348" s="397">
        <f t="shared" si="63"/>
        <v>6330.4976388883879</v>
      </c>
      <c r="AV348" s="397">
        <f t="shared" si="64"/>
        <v>9633.3659722217217</v>
      </c>
      <c r="AW348" s="398">
        <f t="shared" si="65"/>
        <v>30001.054027778278</v>
      </c>
      <c r="AX348" s="386" t="s">
        <v>62</v>
      </c>
    </row>
    <row r="349" spans="2:50" ht="15.75" outlineLevel="1">
      <c r="B349" s="381">
        <v>2111</v>
      </c>
      <c r="C349" s="382">
        <v>282634</v>
      </c>
      <c r="D349" s="381" t="s">
        <v>944</v>
      </c>
      <c r="E349" s="383" t="s">
        <v>4240</v>
      </c>
      <c r="F349" s="392" t="s">
        <v>4147</v>
      </c>
      <c r="G349" s="392"/>
      <c r="H349" s="392"/>
      <c r="I349" s="381">
        <v>1</v>
      </c>
      <c r="J349" s="383" t="s">
        <v>4131</v>
      </c>
      <c r="K349" s="381">
        <v>2022</v>
      </c>
      <c r="L349" s="383" t="s">
        <v>4136</v>
      </c>
      <c r="M349" s="383" t="s">
        <v>4136</v>
      </c>
      <c r="N349" s="383" t="s">
        <v>4445</v>
      </c>
      <c r="O349" s="383" t="s">
        <v>4441</v>
      </c>
      <c r="P349" s="383" t="s">
        <v>2868</v>
      </c>
      <c r="Q349" s="383"/>
      <c r="R349" s="383"/>
      <c r="S349" s="384">
        <v>44699</v>
      </c>
      <c r="T349" s="384">
        <v>44699</v>
      </c>
      <c r="U349" s="383" t="s">
        <v>4130</v>
      </c>
      <c r="V349" s="381">
        <v>1000</v>
      </c>
      <c r="W349" s="381">
        <v>14040</v>
      </c>
      <c r="X349" s="385">
        <v>85390.76</v>
      </c>
      <c r="Y349" s="381">
        <v>14046</v>
      </c>
      <c r="Z349" s="385">
        <v>19924.52</v>
      </c>
      <c r="AA349" s="385">
        <f t="shared" si="55"/>
        <v>65466.239999999991</v>
      </c>
      <c r="AB349" s="385">
        <v>6404.31</v>
      </c>
      <c r="AC349" s="381">
        <v>51260</v>
      </c>
      <c r="AD349" s="385">
        <v>711.59</v>
      </c>
      <c r="AE349" s="381" t="s">
        <v>944</v>
      </c>
      <c r="AF349" s="383"/>
      <c r="AG349" s="383"/>
      <c r="AH349" s="383" t="s">
        <v>57</v>
      </c>
      <c r="AI349" s="383" t="s">
        <v>4442</v>
      </c>
      <c r="AJ349" s="383" t="s">
        <v>4443</v>
      </c>
      <c r="AK349" s="389" t="s">
        <v>4437</v>
      </c>
      <c r="AL349" s="389" t="s">
        <v>3939</v>
      </c>
      <c r="AM349" s="389" t="s">
        <v>3939</v>
      </c>
      <c r="AN349" s="393">
        <f t="shared" si="56"/>
        <v>5</v>
      </c>
      <c r="AO349" s="393">
        <f t="shared" si="57"/>
        <v>2022</v>
      </c>
      <c r="AP349" s="394">
        <f t="shared" si="58"/>
        <v>2032</v>
      </c>
      <c r="AQ349" s="395">
        <f t="shared" si="59"/>
        <v>2032.4166666666667</v>
      </c>
      <c r="AR349" s="396">
        <f t="shared" si="60"/>
        <v>711.58966666666663</v>
      </c>
      <c r="AS349" s="397">
        <f t="shared" si="61"/>
        <v>8539.0759999999991</v>
      </c>
      <c r="AT349" s="397">
        <f t="shared" si="66"/>
        <v>8539.0759999999991</v>
      </c>
      <c r="AU349" s="397">
        <f t="shared" si="63"/>
        <v>16366.56233333204</v>
      </c>
      <c r="AV349" s="397">
        <f t="shared" si="64"/>
        <v>24905.638333332041</v>
      </c>
      <c r="AW349" s="398">
        <f t="shared" si="65"/>
        <v>60485.121666667954</v>
      </c>
      <c r="AX349" s="386" t="s">
        <v>62</v>
      </c>
    </row>
    <row r="350" spans="2:50" ht="15.75" outlineLevel="1">
      <c r="B350" s="381">
        <v>2111</v>
      </c>
      <c r="C350" s="382">
        <v>282055</v>
      </c>
      <c r="D350" s="381">
        <v>282053</v>
      </c>
      <c r="E350" s="383" t="s">
        <v>4240</v>
      </c>
      <c r="F350" s="392" t="s">
        <v>4095</v>
      </c>
      <c r="G350" s="392"/>
      <c r="H350" s="392"/>
      <c r="I350" s="381">
        <v>1</v>
      </c>
      <c r="J350" s="383"/>
      <c r="K350" s="381">
        <v>0</v>
      </c>
      <c r="L350" s="383" t="s">
        <v>4097</v>
      </c>
      <c r="M350" s="383"/>
      <c r="N350" s="383" t="s">
        <v>4440</v>
      </c>
      <c r="O350" s="383" t="s">
        <v>4441</v>
      </c>
      <c r="P350" s="383"/>
      <c r="Q350" s="383"/>
      <c r="R350" s="383"/>
      <c r="S350" s="384">
        <v>44677</v>
      </c>
      <c r="T350" s="384">
        <v>44677</v>
      </c>
      <c r="U350" s="383" t="s">
        <v>4050</v>
      </c>
      <c r="V350" s="381">
        <v>300</v>
      </c>
      <c r="W350" s="381">
        <v>14110</v>
      </c>
      <c r="X350" s="385">
        <v>306.89</v>
      </c>
      <c r="Y350" s="381">
        <v>14116</v>
      </c>
      <c r="Z350" s="385">
        <v>247.18</v>
      </c>
      <c r="AA350" s="385">
        <f t="shared" si="55"/>
        <v>59.70999999999998</v>
      </c>
      <c r="AB350" s="385">
        <v>76.680000000000007</v>
      </c>
      <c r="AC350" s="381">
        <v>70260</v>
      </c>
      <c r="AD350" s="385">
        <v>8.52</v>
      </c>
      <c r="AE350" s="381" t="s">
        <v>944</v>
      </c>
      <c r="AF350" s="383"/>
      <c r="AG350" s="383"/>
      <c r="AH350" s="383" t="s">
        <v>57</v>
      </c>
      <c r="AI350" s="383" t="s">
        <v>4442</v>
      </c>
      <c r="AJ350" s="383" t="s">
        <v>4443</v>
      </c>
      <c r="AK350" s="389" t="s">
        <v>4437</v>
      </c>
      <c r="AL350" s="389" t="s">
        <v>370</v>
      </c>
      <c r="AM350" s="389" t="s">
        <v>135</v>
      </c>
      <c r="AN350" s="393">
        <f t="shared" si="56"/>
        <v>4</v>
      </c>
      <c r="AO350" s="393">
        <f t="shared" si="57"/>
        <v>2022</v>
      </c>
      <c r="AP350" s="394">
        <f t="shared" si="58"/>
        <v>2025</v>
      </c>
      <c r="AQ350" s="395">
        <f t="shared" si="59"/>
        <v>2025.3333333333333</v>
      </c>
      <c r="AR350" s="396">
        <f t="shared" si="60"/>
        <v>8.5247222222222216</v>
      </c>
      <c r="AS350" s="397">
        <f t="shared" si="61"/>
        <v>102.29666666666665</v>
      </c>
      <c r="AT350" s="397">
        <f t="shared" si="66"/>
        <v>102.29666666666665</v>
      </c>
      <c r="AU350" s="397">
        <f t="shared" si="63"/>
        <v>204.59333333333333</v>
      </c>
      <c r="AV350" s="397">
        <f t="shared" si="64"/>
        <v>306.89</v>
      </c>
      <c r="AW350" s="398">
        <f t="shared" si="65"/>
        <v>0</v>
      </c>
      <c r="AX350" s="386" t="s">
        <v>62</v>
      </c>
    </row>
    <row r="351" spans="2:50" ht="15.75" outlineLevel="1">
      <c r="B351" s="381">
        <v>2111</v>
      </c>
      <c r="C351" s="382">
        <v>282054</v>
      </c>
      <c r="D351" s="381">
        <v>282053</v>
      </c>
      <c r="E351" s="383" t="s">
        <v>4240</v>
      </c>
      <c r="F351" s="392" t="s">
        <v>4095</v>
      </c>
      <c r="G351" s="392"/>
      <c r="H351" s="392"/>
      <c r="I351" s="381">
        <v>1</v>
      </c>
      <c r="J351" s="383"/>
      <c r="K351" s="381">
        <v>0</v>
      </c>
      <c r="L351" s="383" t="s">
        <v>4096</v>
      </c>
      <c r="M351" s="383"/>
      <c r="N351" s="383" t="s">
        <v>4440</v>
      </c>
      <c r="O351" s="383" t="s">
        <v>4441</v>
      </c>
      <c r="P351" s="383"/>
      <c r="Q351" s="383"/>
      <c r="R351" s="383"/>
      <c r="S351" s="384">
        <v>44677</v>
      </c>
      <c r="T351" s="384">
        <v>44677</v>
      </c>
      <c r="U351" s="383" t="s">
        <v>4050</v>
      </c>
      <c r="V351" s="381">
        <v>300</v>
      </c>
      <c r="W351" s="381">
        <v>14110</v>
      </c>
      <c r="X351" s="385">
        <v>305.22000000000003</v>
      </c>
      <c r="Y351" s="381">
        <v>14116</v>
      </c>
      <c r="Z351" s="385">
        <v>245.89</v>
      </c>
      <c r="AA351" s="385">
        <f t="shared" si="55"/>
        <v>59.330000000000041</v>
      </c>
      <c r="AB351" s="385">
        <v>76.319999999999993</v>
      </c>
      <c r="AC351" s="381">
        <v>70260</v>
      </c>
      <c r="AD351" s="385">
        <v>8.48</v>
      </c>
      <c r="AE351" s="381" t="s">
        <v>944</v>
      </c>
      <c r="AF351" s="383"/>
      <c r="AG351" s="383"/>
      <c r="AH351" s="383" t="s">
        <v>57</v>
      </c>
      <c r="AI351" s="383" t="s">
        <v>4442</v>
      </c>
      <c r="AJ351" s="383" t="s">
        <v>4443</v>
      </c>
      <c r="AK351" s="389" t="s">
        <v>4437</v>
      </c>
      <c r="AL351" s="389" t="s">
        <v>370</v>
      </c>
      <c r="AM351" s="389" t="s">
        <v>135</v>
      </c>
      <c r="AN351" s="393">
        <f t="shared" si="56"/>
        <v>4</v>
      </c>
      <c r="AO351" s="393">
        <f t="shared" si="57"/>
        <v>2022</v>
      </c>
      <c r="AP351" s="394">
        <f t="shared" si="58"/>
        <v>2025</v>
      </c>
      <c r="AQ351" s="395">
        <f t="shared" si="59"/>
        <v>2025.3333333333333</v>
      </c>
      <c r="AR351" s="396">
        <f t="shared" si="60"/>
        <v>8.4783333333333335</v>
      </c>
      <c r="AS351" s="397">
        <f t="shared" si="61"/>
        <v>101.74000000000001</v>
      </c>
      <c r="AT351" s="397">
        <f t="shared" si="66"/>
        <v>101.74000000000001</v>
      </c>
      <c r="AU351" s="397">
        <f t="shared" si="63"/>
        <v>203.48000000000002</v>
      </c>
      <c r="AV351" s="397">
        <f t="shared" si="64"/>
        <v>305.22000000000003</v>
      </c>
      <c r="AW351" s="398">
        <f t="shared" si="65"/>
        <v>0</v>
      </c>
      <c r="AX351" s="386" t="s">
        <v>62</v>
      </c>
    </row>
    <row r="352" spans="2:50" ht="15.75" outlineLevel="1">
      <c r="B352" s="381">
        <v>2111</v>
      </c>
      <c r="C352" s="382">
        <v>282053</v>
      </c>
      <c r="D352" s="381" t="s">
        <v>944</v>
      </c>
      <c r="E352" s="383" t="s">
        <v>4240</v>
      </c>
      <c r="F352" s="392" t="s">
        <v>4093</v>
      </c>
      <c r="G352" s="392"/>
      <c r="H352" s="392"/>
      <c r="I352" s="381">
        <v>1</v>
      </c>
      <c r="J352" s="383"/>
      <c r="K352" s="381">
        <v>0</v>
      </c>
      <c r="L352" s="383" t="s">
        <v>4046</v>
      </c>
      <c r="M352" s="383"/>
      <c r="N352" s="383" t="s">
        <v>4440</v>
      </c>
      <c r="O352" s="383" t="s">
        <v>4441</v>
      </c>
      <c r="P352" s="383"/>
      <c r="Q352" s="383"/>
      <c r="R352" s="383"/>
      <c r="S352" s="384">
        <v>44677</v>
      </c>
      <c r="T352" s="384">
        <v>44677</v>
      </c>
      <c r="U352" s="383" t="s">
        <v>4047</v>
      </c>
      <c r="V352" s="381">
        <v>300</v>
      </c>
      <c r="W352" s="381">
        <v>14110</v>
      </c>
      <c r="X352" s="385">
        <v>547.62</v>
      </c>
      <c r="Y352" s="381">
        <v>14116</v>
      </c>
      <c r="Z352" s="385">
        <v>441.12</v>
      </c>
      <c r="AA352" s="385">
        <f t="shared" si="55"/>
        <v>106.5</v>
      </c>
      <c r="AB352" s="385">
        <v>136.88999999999999</v>
      </c>
      <c r="AC352" s="381">
        <v>70260</v>
      </c>
      <c r="AD352" s="385">
        <v>15.21</v>
      </c>
      <c r="AE352" s="381" t="s">
        <v>944</v>
      </c>
      <c r="AF352" s="383"/>
      <c r="AG352" s="383"/>
      <c r="AH352" s="383" t="s">
        <v>57</v>
      </c>
      <c r="AI352" s="383" t="s">
        <v>4442</v>
      </c>
      <c r="AJ352" s="383" t="s">
        <v>4443</v>
      </c>
      <c r="AK352" s="389" t="s">
        <v>4437</v>
      </c>
      <c r="AL352" s="389" t="s">
        <v>370</v>
      </c>
      <c r="AM352" s="389" t="s">
        <v>135</v>
      </c>
      <c r="AN352" s="393">
        <f t="shared" si="56"/>
        <v>4</v>
      </c>
      <c r="AO352" s="393">
        <f t="shared" si="57"/>
        <v>2022</v>
      </c>
      <c r="AP352" s="394">
        <f t="shared" si="58"/>
        <v>2025</v>
      </c>
      <c r="AQ352" s="395">
        <f t="shared" si="59"/>
        <v>2025.3333333333333</v>
      </c>
      <c r="AR352" s="396">
        <f t="shared" si="60"/>
        <v>15.211666666666666</v>
      </c>
      <c r="AS352" s="397">
        <f t="shared" si="61"/>
        <v>182.54</v>
      </c>
      <c r="AT352" s="397">
        <f t="shared" si="66"/>
        <v>182.54</v>
      </c>
      <c r="AU352" s="397">
        <f t="shared" si="63"/>
        <v>365.08000000000004</v>
      </c>
      <c r="AV352" s="397">
        <f t="shared" si="64"/>
        <v>547.62</v>
      </c>
      <c r="AW352" s="398">
        <f t="shared" si="65"/>
        <v>0</v>
      </c>
      <c r="AX352" s="386" t="s">
        <v>62</v>
      </c>
    </row>
    <row r="353" spans="2:50" ht="15.75" outlineLevel="1">
      <c r="B353" s="381">
        <v>2111</v>
      </c>
      <c r="C353" s="382">
        <v>281814</v>
      </c>
      <c r="D353" s="381" t="s">
        <v>944</v>
      </c>
      <c r="E353" s="383" t="s">
        <v>4240</v>
      </c>
      <c r="F353" s="392" t="s">
        <v>4091</v>
      </c>
      <c r="G353" s="392"/>
      <c r="H353" s="392"/>
      <c r="I353" s="381">
        <v>1</v>
      </c>
      <c r="J353" s="383" t="s">
        <v>4092</v>
      </c>
      <c r="K353" s="381">
        <v>2001</v>
      </c>
      <c r="L353" s="383" t="s">
        <v>2325</v>
      </c>
      <c r="M353" s="383" t="s">
        <v>2326</v>
      </c>
      <c r="N353" s="383" t="s">
        <v>4445</v>
      </c>
      <c r="O353" s="383" t="s">
        <v>4441</v>
      </c>
      <c r="P353" s="383" t="s">
        <v>4478</v>
      </c>
      <c r="Q353" s="383"/>
      <c r="R353" s="383"/>
      <c r="S353" s="384">
        <v>38167</v>
      </c>
      <c r="T353" s="384">
        <v>38167</v>
      </c>
      <c r="U353" s="383">
        <v>42150002</v>
      </c>
      <c r="V353" s="381">
        <v>300</v>
      </c>
      <c r="W353" s="381">
        <v>14040</v>
      </c>
      <c r="X353" s="385">
        <v>18999.91</v>
      </c>
      <c r="Y353" s="381">
        <v>14046</v>
      </c>
      <c r="Z353" s="385">
        <v>18999.91</v>
      </c>
      <c r="AA353" s="385">
        <f t="shared" si="55"/>
        <v>0</v>
      </c>
      <c r="AB353" s="385">
        <v>0</v>
      </c>
      <c r="AC353" s="381">
        <v>51260</v>
      </c>
      <c r="AD353" s="385">
        <v>0</v>
      </c>
      <c r="AE353" s="381" t="s">
        <v>944</v>
      </c>
      <c r="AF353" s="383">
        <v>0</v>
      </c>
      <c r="AG353" s="383">
        <v>4</v>
      </c>
      <c r="AH353" s="383" t="s">
        <v>57</v>
      </c>
      <c r="AI353" s="383" t="s">
        <v>4442</v>
      </c>
      <c r="AJ353" s="383" t="s">
        <v>4443</v>
      </c>
      <c r="AK353" s="389" t="s">
        <v>4437</v>
      </c>
      <c r="AL353" s="389" t="s">
        <v>4101</v>
      </c>
      <c r="AM353" s="389" t="s">
        <v>4101</v>
      </c>
      <c r="AN353" s="393">
        <f t="shared" si="56"/>
        <v>6</v>
      </c>
      <c r="AO353" s="393">
        <f t="shared" si="57"/>
        <v>2004</v>
      </c>
      <c r="AP353" s="394">
        <f t="shared" si="58"/>
        <v>2007</v>
      </c>
      <c r="AQ353" s="395">
        <f t="shared" si="59"/>
        <v>2007.5</v>
      </c>
      <c r="AR353" s="396">
        <f t="shared" si="60"/>
        <v>527.77527777777777</v>
      </c>
      <c r="AS353" s="397">
        <f t="shared" si="61"/>
        <v>6333.3033333333333</v>
      </c>
      <c r="AT353" s="397">
        <f t="shared" si="66"/>
        <v>0</v>
      </c>
      <c r="AU353" s="397">
        <f t="shared" si="63"/>
        <v>18999.91</v>
      </c>
      <c r="AV353" s="397">
        <f t="shared" si="64"/>
        <v>18999.91</v>
      </c>
      <c r="AW353" s="398">
        <f t="shared" si="65"/>
        <v>0</v>
      </c>
      <c r="AX353" s="386" t="s">
        <v>62</v>
      </c>
    </row>
    <row r="354" spans="2:50" ht="15.75" outlineLevel="1">
      <c r="B354" s="381">
        <v>2111</v>
      </c>
      <c r="C354" s="382">
        <v>281813</v>
      </c>
      <c r="D354" s="381" t="s">
        <v>944</v>
      </c>
      <c r="E354" s="383" t="s">
        <v>4240</v>
      </c>
      <c r="F354" s="392" t="s">
        <v>4088</v>
      </c>
      <c r="G354" s="392"/>
      <c r="H354" s="392"/>
      <c r="I354" s="381">
        <v>1</v>
      </c>
      <c r="J354" s="383" t="s">
        <v>4089</v>
      </c>
      <c r="K354" s="381">
        <v>2001</v>
      </c>
      <c r="L354" s="383" t="s">
        <v>3400</v>
      </c>
      <c r="M354" s="383" t="s">
        <v>2214</v>
      </c>
      <c r="N354" s="383" t="s">
        <v>4445</v>
      </c>
      <c r="O354" s="383" t="s">
        <v>4441</v>
      </c>
      <c r="P354" s="383" t="s">
        <v>4478</v>
      </c>
      <c r="Q354" s="383"/>
      <c r="R354" s="383"/>
      <c r="S354" s="384">
        <v>38100</v>
      </c>
      <c r="T354" s="384">
        <v>38100</v>
      </c>
      <c r="U354" s="383">
        <v>42132002</v>
      </c>
      <c r="V354" s="381">
        <v>300</v>
      </c>
      <c r="W354" s="381">
        <v>14040</v>
      </c>
      <c r="X354" s="385">
        <v>18996.36</v>
      </c>
      <c r="Y354" s="381">
        <v>14046</v>
      </c>
      <c r="Z354" s="385">
        <v>18996.36</v>
      </c>
      <c r="AA354" s="385">
        <f t="shared" si="55"/>
        <v>0</v>
      </c>
      <c r="AB354" s="385">
        <v>0</v>
      </c>
      <c r="AC354" s="381">
        <v>51260</v>
      </c>
      <c r="AD354" s="385">
        <v>0</v>
      </c>
      <c r="AE354" s="381" t="s">
        <v>944</v>
      </c>
      <c r="AF354" s="383">
        <v>0</v>
      </c>
      <c r="AG354" s="383">
        <v>105</v>
      </c>
      <c r="AH354" s="383" t="s">
        <v>57</v>
      </c>
      <c r="AI354" s="383" t="s">
        <v>4442</v>
      </c>
      <c r="AJ354" s="383" t="s">
        <v>4443</v>
      </c>
      <c r="AK354" s="389" t="s">
        <v>4437</v>
      </c>
      <c r="AL354" s="389" t="s">
        <v>4101</v>
      </c>
      <c r="AM354" s="389" t="s">
        <v>4101</v>
      </c>
      <c r="AN354" s="393">
        <f t="shared" si="56"/>
        <v>4</v>
      </c>
      <c r="AO354" s="393">
        <f t="shared" si="57"/>
        <v>2004</v>
      </c>
      <c r="AP354" s="394">
        <f t="shared" si="58"/>
        <v>2007</v>
      </c>
      <c r="AQ354" s="395">
        <f t="shared" si="59"/>
        <v>2007.3333333333333</v>
      </c>
      <c r="AR354" s="396">
        <f t="shared" si="60"/>
        <v>527.67666666666662</v>
      </c>
      <c r="AS354" s="397">
        <f t="shared" si="61"/>
        <v>6332.119999999999</v>
      </c>
      <c r="AT354" s="397">
        <f t="shared" si="66"/>
        <v>0</v>
      </c>
      <c r="AU354" s="397">
        <f t="shared" si="63"/>
        <v>18996.36</v>
      </c>
      <c r="AV354" s="397">
        <f t="shared" si="64"/>
        <v>18996.36</v>
      </c>
      <c r="AW354" s="398">
        <f t="shared" si="65"/>
        <v>0</v>
      </c>
      <c r="AX354" s="386" t="s">
        <v>62</v>
      </c>
    </row>
    <row r="355" spans="2:50" ht="15.75" outlineLevel="1">
      <c r="B355" s="381">
        <v>2111</v>
      </c>
      <c r="C355" s="382">
        <v>281812</v>
      </c>
      <c r="D355" s="381" t="s">
        <v>944</v>
      </c>
      <c r="E355" s="383" t="s">
        <v>4240</v>
      </c>
      <c r="F355" s="392" t="s">
        <v>584</v>
      </c>
      <c r="G355" s="392"/>
      <c r="H355" s="392"/>
      <c r="I355" s="381">
        <v>1</v>
      </c>
      <c r="J355" s="383" t="s">
        <v>4086</v>
      </c>
      <c r="K355" s="381">
        <v>2012</v>
      </c>
      <c r="L355" s="383" t="s">
        <v>4084</v>
      </c>
      <c r="M355" s="383" t="s">
        <v>2166</v>
      </c>
      <c r="N355" s="383" t="s">
        <v>4445</v>
      </c>
      <c r="O355" s="383" t="s">
        <v>4441</v>
      </c>
      <c r="P355" s="383" t="s">
        <v>2868</v>
      </c>
      <c r="Q355" s="383"/>
      <c r="R355" s="383"/>
      <c r="S355" s="384">
        <v>42364</v>
      </c>
      <c r="T355" s="384">
        <v>42364</v>
      </c>
      <c r="U355" s="383" t="s">
        <v>4087</v>
      </c>
      <c r="V355" s="381">
        <v>600</v>
      </c>
      <c r="W355" s="381">
        <v>14040</v>
      </c>
      <c r="X355" s="385">
        <v>37503.75</v>
      </c>
      <c r="Y355" s="381">
        <v>14046</v>
      </c>
      <c r="Z355" s="385">
        <v>37503.75</v>
      </c>
      <c r="AA355" s="385">
        <f t="shared" si="55"/>
        <v>0</v>
      </c>
      <c r="AB355" s="385">
        <v>0</v>
      </c>
      <c r="AC355" s="381">
        <v>51260</v>
      </c>
      <c r="AD355" s="385">
        <v>0</v>
      </c>
      <c r="AE355" s="381" t="s">
        <v>944</v>
      </c>
      <c r="AF355" s="383">
        <v>0</v>
      </c>
      <c r="AG355" s="383" t="s">
        <v>923</v>
      </c>
      <c r="AH355" s="383" t="s">
        <v>57</v>
      </c>
      <c r="AI355" s="383" t="s">
        <v>4442</v>
      </c>
      <c r="AJ355" s="383" t="s">
        <v>4443</v>
      </c>
      <c r="AK355" s="389" t="s">
        <v>4437</v>
      </c>
      <c r="AL355" s="389" t="s">
        <v>582</v>
      </c>
      <c r="AM355" s="389" t="s">
        <v>582</v>
      </c>
      <c r="AN355" s="393">
        <f t="shared" si="56"/>
        <v>12</v>
      </c>
      <c r="AO355" s="393">
        <f t="shared" si="57"/>
        <v>2015</v>
      </c>
      <c r="AP355" s="394">
        <f t="shared" si="58"/>
        <v>2021</v>
      </c>
      <c r="AQ355" s="395">
        <f t="shared" si="59"/>
        <v>2022</v>
      </c>
      <c r="AR355" s="396">
        <f t="shared" si="60"/>
        <v>520.88541666666663</v>
      </c>
      <c r="AS355" s="397">
        <f t="shared" si="61"/>
        <v>6250.625</v>
      </c>
      <c r="AT355" s="397">
        <f t="shared" si="66"/>
        <v>0</v>
      </c>
      <c r="AU355" s="397">
        <f t="shared" si="63"/>
        <v>37503.75</v>
      </c>
      <c r="AV355" s="397">
        <f t="shared" si="64"/>
        <v>37503.75</v>
      </c>
      <c r="AW355" s="398">
        <f t="shared" si="65"/>
        <v>0</v>
      </c>
      <c r="AX355" s="386" t="s">
        <v>62</v>
      </c>
    </row>
    <row r="356" spans="2:50" ht="15.75" outlineLevel="1">
      <c r="B356" s="381">
        <v>2111</v>
      </c>
      <c r="C356" s="382">
        <v>281811</v>
      </c>
      <c r="D356" s="381" t="s">
        <v>944</v>
      </c>
      <c r="E356" s="383" t="s">
        <v>4240</v>
      </c>
      <c r="F356" s="392" t="s">
        <v>584</v>
      </c>
      <c r="G356" s="392"/>
      <c r="H356" s="392"/>
      <c r="I356" s="381">
        <v>1</v>
      </c>
      <c r="J356" s="383" t="s">
        <v>4083</v>
      </c>
      <c r="K356" s="381">
        <v>2012</v>
      </c>
      <c r="L356" s="383" t="s">
        <v>4084</v>
      </c>
      <c r="M356" s="383" t="s">
        <v>2166</v>
      </c>
      <c r="N356" s="383" t="s">
        <v>4445</v>
      </c>
      <c r="O356" s="383" t="s">
        <v>4441</v>
      </c>
      <c r="P356" s="383" t="s">
        <v>2868</v>
      </c>
      <c r="Q356" s="383"/>
      <c r="R356" s="383"/>
      <c r="S356" s="384">
        <v>42363</v>
      </c>
      <c r="T356" s="384">
        <v>42363</v>
      </c>
      <c r="U356" s="383" t="s">
        <v>4085</v>
      </c>
      <c r="V356" s="381">
        <v>600</v>
      </c>
      <c r="W356" s="381">
        <v>14040</v>
      </c>
      <c r="X356" s="385">
        <v>37777.5</v>
      </c>
      <c r="Y356" s="381">
        <v>14046</v>
      </c>
      <c r="Z356" s="385">
        <v>37777.5</v>
      </c>
      <c r="AA356" s="385">
        <f t="shared" si="55"/>
        <v>0</v>
      </c>
      <c r="AB356" s="385">
        <v>0</v>
      </c>
      <c r="AC356" s="381">
        <v>51260</v>
      </c>
      <c r="AD356" s="385">
        <v>0</v>
      </c>
      <c r="AE356" s="381" t="s">
        <v>944</v>
      </c>
      <c r="AF356" s="383">
        <v>0</v>
      </c>
      <c r="AG356" s="383" t="s">
        <v>924</v>
      </c>
      <c r="AH356" s="383" t="s">
        <v>57</v>
      </c>
      <c r="AI356" s="383" t="s">
        <v>4442</v>
      </c>
      <c r="AJ356" s="383" t="s">
        <v>4443</v>
      </c>
      <c r="AK356" s="389" t="s">
        <v>4437</v>
      </c>
      <c r="AL356" s="389" t="s">
        <v>582</v>
      </c>
      <c r="AM356" s="389" t="s">
        <v>582</v>
      </c>
      <c r="AN356" s="393">
        <f t="shared" si="56"/>
        <v>12</v>
      </c>
      <c r="AO356" s="393">
        <f t="shared" si="57"/>
        <v>2015</v>
      </c>
      <c r="AP356" s="394">
        <f t="shared" si="58"/>
        <v>2021</v>
      </c>
      <c r="AQ356" s="395">
        <f t="shared" si="59"/>
        <v>2022</v>
      </c>
      <c r="AR356" s="396">
        <f t="shared" si="60"/>
        <v>524.6875</v>
      </c>
      <c r="AS356" s="397">
        <f t="shared" si="61"/>
        <v>6296.25</v>
      </c>
      <c r="AT356" s="397">
        <f t="shared" si="66"/>
        <v>0</v>
      </c>
      <c r="AU356" s="397">
        <f t="shared" si="63"/>
        <v>37777.5</v>
      </c>
      <c r="AV356" s="397">
        <f t="shared" si="64"/>
        <v>37777.5</v>
      </c>
      <c r="AW356" s="398">
        <f t="shared" si="65"/>
        <v>0</v>
      </c>
      <c r="AX356" s="386" t="s">
        <v>62</v>
      </c>
    </row>
    <row r="357" spans="2:50" ht="15.75" outlineLevel="1">
      <c r="B357" s="381">
        <v>2111</v>
      </c>
      <c r="C357" s="382">
        <v>281809</v>
      </c>
      <c r="D357" s="381" t="s">
        <v>944</v>
      </c>
      <c r="E357" s="383" t="s">
        <v>4240</v>
      </c>
      <c r="F357" s="392" t="s">
        <v>4074</v>
      </c>
      <c r="G357" s="392"/>
      <c r="H357" s="392"/>
      <c r="I357" s="381">
        <v>1</v>
      </c>
      <c r="J357" s="383" t="s">
        <v>4075</v>
      </c>
      <c r="K357" s="381">
        <v>2010</v>
      </c>
      <c r="L357" s="383" t="s">
        <v>3400</v>
      </c>
      <c r="M357" s="383" t="s">
        <v>2326</v>
      </c>
      <c r="N357" s="383" t="s">
        <v>4445</v>
      </c>
      <c r="O357" s="383" t="s">
        <v>4441</v>
      </c>
      <c r="P357" s="383" t="s">
        <v>4478</v>
      </c>
      <c r="Q357" s="383"/>
      <c r="R357" s="383"/>
      <c r="S357" s="384">
        <v>40238</v>
      </c>
      <c r="T357" s="384">
        <v>40238</v>
      </c>
      <c r="U357" s="383" t="s">
        <v>4076</v>
      </c>
      <c r="V357" s="381">
        <v>500</v>
      </c>
      <c r="W357" s="381">
        <v>14040</v>
      </c>
      <c r="X357" s="385">
        <v>29841.64</v>
      </c>
      <c r="Y357" s="381">
        <v>14046</v>
      </c>
      <c r="Z357" s="385">
        <v>29841.64</v>
      </c>
      <c r="AA357" s="385">
        <f t="shared" ref="AA357:AA420" si="67">+X357-Z357</f>
        <v>0</v>
      </c>
      <c r="AB357" s="385">
        <v>0</v>
      </c>
      <c r="AC357" s="381">
        <v>51260</v>
      </c>
      <c r="AD357" s="385">
        <v>0</v>
      </c>
      <c r="AE357" s="381" t="s">
        <v>944</v>
      </c>
      <c r="AF357" s="383"/>
      <c r="AG357" s="383">
        <v>7</v>
      </c>
      <c r="AH357" s="383" t="s">
        <v>57</v>
      </c>
      <c r="AI357" s="383" t="s">
        <v>4442</v>
      </c>
      <c r="AJ357" s="383" t="s">
        <v>4443</v>
      </c>
      <c r="AK357" s="389" t="s">
        <v>4437</v>
      </c>
      <c r="AL357" s="389" t="s">
        <v>4219</v>
      </c>
      <c r="AM357" s="389" t="s">
        <v>133</v>
      </c>
      <c r="AN357" s="393">
        <f t="shared" ref="AN357:AN420" si="68">MONTH($S357)</f>
        <v>3</v>
      </c>
      <c r="AO357" s="393">
        <f t="shared" ref="AO357:AO420" si="69">YEAR($S357)</f>
        <v>2010</v>
      </c>
      <c r="AP357" s="394">
        <f t="shared" ref="AP357:AP420" si="70">$AO357+($V357/100)</f>
        <v>2015</v>
      </c>
      <c r="AQ357" s="395">
        <f t="shared" ref="AQ357:AQ420" si="71">$AP357+($AN357/12)</f>
        <v>2015.25</v>
      </c>
      <c r="AR357" s="396">
        <f t="shared" ref="AR357:AR420" si="72">IFERROR($X357/($V357/100)/12,0)</f>
        <v>497.36066666666665</v>
      </c>
      <c r="AS357" s="397">
        <f t="shared" ref="AS357:AS420" si="73">$AR357*12</f>
        <v>5968.3279999999995</v>
      </c>
      <c r="AT357" s="397">
        <f t="shared" si="66"/>
        <v>0</v>
      </c>
      <c r="AU357" s="397">
        <f t="shared" ref="AU357:AU420" si="74">IF(AQ357&lt;=$AK$13,X357,IF(((AO357+AN357/12))&gt;=$AK$13,0,((X357-((AQ357-$AK$13)*12)*AR357))))</f>
        <v>29841.64</v>
      </c>
      <c r="AV357" s="397">
        <f t="shared" ref="AV357:AV420" si="75">IF(AQ357&lt;=$AK$12,X357,AT357+AU357)</f>
        <v>29841.64</v>
      </c>
      <c r="AW357" s="398">
        <f t="shared" ref="AW357:AW420" si="76">+X357-AV357</f>
        <v>0</v>
      </c>
      <c r="AX357" s="386" t="s">
        <v>62</v>
      </c>
    </row>
    <row r="358" spans="2:50" ht="15.75" outlineLevel="1">
      <c r="B358" s="381">
        <v>2111</v>
      </c>
      <c r="C358" s="382">
        <v>281567</v>
      </c>
      <c r="D358" s="381" t="s">
        <v>944</v>
      </c>
      <c r="E358" s="383" t="s">
        <v>4240</v>
      </c>
      <c r="F358" s="392" t="s">
        <v>270</v>
      </c>
      <c r="G358" s="392"/>
      <c r="H358" s="392"/>
      <c r="I358" s="381">
        <v>5</v>
      </c>
      <c r="J358" s="383"/>
      <c r="K358" s="381">
        <v>0</v>
      </c>
      <c r="L358" s="383"/>
      <c r="M358" s="383"/>
      <c r="N358" s="383" t="s">
        <v>4446</v>
      </c>
      <c r="O358" s="383" t="s">
        <v>4441</v>
      </c>
      <c r="P358" s="383"/>
      <c r="Q358" s="383" t="s">
        <v>4479</v>
      </c>
      <c r="R358" s="383" t="s">
        <v>4450</v>
      </c>
      <c r="S358" s="384">
        <v>40360</v>
      </c>
      <c r="T358" s="384">
        <v>40360</v>
      </c>
      <c r="U358" s="383"/>
      <c r="V358" s="381">
        <v>700</v>
      </c>
      <c r="W358" s="381">
        <v>14050</v>
      </c>
      <c r="X358" s="385">
        <v>681.8</v>
      </c>
      <c r="Y358" s="381">
        <v>14056</v>
      </c>
      <c r="Z358" s="385">
        <v>681.8</v>
      </c>
      <c r="AA358" s="385">
        <f t="shared" si="67"/>
        <v>0</v>
      </c>
      <c r="AB358" s="385">
        <v>0</v>
      </c>
      <c r="AC358" s="381">
        <v>54260</v>
      </c>
      <c r="AD358" s="385">
        <v>0</v>
      </c>
      <c r="AE358" s="381" t="s">
        <v>410</v>
      </c>
      <c r="AF358" s="383" t="s">
        <v>4071</v>
      </c>
      <c r="AG358" s="383" t="s">
        <v>2206</v>
      </c>
      <c r="AH358" s="383" t="s">
        <v>57</v>
      </c>
      <c r="AI358" s="383" t="s">
        <v>4442</v>
      </c>
      <c r="AJ358" s="383" t="s">
        <v>4443</v>
      </c>
      <c r="AK358" s="389" t="s">
        <v>4437</v>
      </c>
      <c r="AL358" s="389" t="s">
        <v>1341</v>
      </c>
      <c r="AM358" s="389" t="s">
        <v>1341</v>
      </c>
      <c r="AN358" s="393">
        <f t="shared" si="68"/>
        <v>7</v>
      </c>
      <c r="AO358" s="393">
        <f t="shared" si="69"/>
        <v>2010</v>
      </c>
      <c r="AP358" s="394">
        <f t="shared" si="70"/>
        <v>2017</v>
      </c>
      <c r="AQ358" s="395">
        <f t="shared" si="71"/>
        <v>2017.5833333333333</v>
      </c>
      <c r="AR358" s="396">
        <f t="shared" si="72"/>
        <v>8.1166666666666654</v>
      </c>
      <c r="AS358" s="397">
        <f t="shared" si="73"/>
        <v>97.399999999999977</v>
      </c>
      <c r="AT358" s="397">
        <f t="shared" si="66"/>
        <v>0</v>
      </c>
      <c r="AU358" s="397">
        <f t="shared" si="74"/>
        <v>681.8</v>
      </c>
      <c r="AV358" s="397">
        <f t="shared" si="75"/>
        <v>681.8</v>
      </c>
      <c r="AW358" s="398">
        <f t="shared" si="76"/>
        <v>0</v>
      </c>
      <c r="AX358" s="386" t="s">
        <v>62</v>
      </c>
    </row>
    <row r="359" spans="2:50" ht="15.75" outlineLevel="1">
      <c r="B359" s="381">
        <v>2111</v>
      </c>
      <c r="C359" s="382">
        <v>281477</v>
      </c>
      <c r="D359" s="381" t="s">
        <v>944</v>
      </c>
      <c r="E359" s="383" t="s">
        <v>4240</v>
      </c>
      <c r="F359" s="392" t="s">
        <v>4069</v>
      </c>
      <c r="G359" s="392"/>
      <c r="H359" s="392"/>
      <c r="I359" s="381">
        <v>2</v>
      </c>
      <c r="J359" s="383"/>
      <c r="K359" s="381">
        <v>0</v>
      </c>
      <c r="L359" s="383"/>
      <c r="M359" s="383"/>
      <c r="N359" s="383" t="s">
        <v>4446</v>
      </c>
      <c r="O359" s="383" t="s">
        <v>4441</v>
      </c>
      <c r="P359" s="383"/>
      <c r="Q359" s="383" t="s">
        <v>4473</v>
      </c>
      <c r="R359" s="383" t="s">
        <v>4448</v>
      </c>
      <c r="S359" s="384">
        <v>36404</v>
      </c>
      <c r="T359" s="384">
        <v>36404</v>
      </c>
      <c r="U359" s="383"/>
      <c r="V359" s="381">
        <v>1000</v>
      </c>
      <c r="W359" s="381">
        <v>14050</v>
      </c>
      <c r="X359" s="385">
        <v>60</v>
      </c>
      <c r="Y359" s="381">
        <v>14056</v>
      </c>
      <c r="Z359" s="385">
        <v>60</v>
      </c>
      <c r="AA359" s="385">
        <f t="shared" si="67"/>
        <v>0</v>
      </c>
      <c r="AB359" s="385">
        <v>0</v>
      </c>
      <c r="AC359" s="381">
        <v>54260</v>
      </c>
      <c r="AD359" s="385">
        <v>0</v>
      </c>
      <c r="AE359" s="381" t="s">
        <v>410</v>
      </c>
      <c r="AF359" s="383" t="s">
        <v>4070</v>
      </c>
      <c r="AG359" s="383" t="s">
        <v>2206</v>
      </c>
      <c r="AH359" s="383" t="s">
        <v>57</v>
      </c>
      <c r="AI359" s="383" t="s">
        <v>4442</v>
      </c>
      <c r="AJ359" s="383" t="s">
        <v>4443</v>
      </c>
      <c r="AK359" s="389" t="s">
        <v>4437</v>
      </c>
      <c r="AL359" s="389"/>
      <c r="AM359" s="389" t="s">
        <v>1341</v>
      </c>
      <c r="AN359" s="393">
        <f t="shared" si="68"/>
        <v>9</v>
      </c>
      <c r="AO359" s="393">
        <f t="shared" si="69"/>
        <v>1999</v>
      </c>
      <c r="AP359" s="394">
        <f t="shared" si="70"/>
        <v>2009</v>
      </c>
      <c r="AQ359" s="395">
        <f t="shared" si="71"/>
        <v>2009.75</v>
      </c>
      <c r="AR359" s="396">
        <f t="shared" si="72"/>
        <v>0.5</v>
      </c>
      <c r="AS359" s="397">
        <f t="shared" si="73"/>
        <v>6</v>
      </c>
      <c r="AT359" s="397">
        <f t="shared" si="66"/>
        <v>0</v>
      </c>
      <c r="AU359" s="397">
        <f t="shared" si="74"/>
        <v>60</v>
      </c>
      <c r="AV359" s="397">
        <f t="shared" si="75"/>
        <v>60</v>
      </c>
      <c r="AW359" s="398">
        <f t="shared" si="76"/>
        <v>0</v>
      </c>
      <c r="AX359" s="386" t="s">
        <v>62</v>
      </c>
    </row>
    <row r="360" spans="2:50" ht="15.75" outlineLevel="1">
      <c r="B360" s="381">
        <v>2111</v>
      </c>
      <c r="C360" s="382">
        <v>281398</v>
      </c>
      <c r="D360" s="381" t="s">
        <v>944</v>
      </c>
      <c r="E360" s="383" t="s">
        <v>4240</v>
      </c>
      <c r="F360" s="392" t="s">
        <v>4068</v>
      </c>
      <c r="G360" s="392"/>
      <c r="H360" s="392"/>
      <c r="I360" s="381">
        <v>14</v>
      </c>
      <c r="J360" s="383"/>
      <c r="K360" s="381">
        <v>0</v>
      </c>
      <c r="L360" s="383"/>
      <c r="M360" s="383"/>
      <c r="N360" s="383" t="s">
        <v>4446</v>
      </c>
      <c r="O360" s="383" t="s">
        <v>4441</v>
      </c>
      <c r="P360" s="383"/>
      <c r="Q360" s="383" t="s">
        <v>4449</v>
      </c>
      <c r="R360" s="383" t="s">
        <v>4450</v>
      </c>
      <c r="S360" s="384">
        <v>42738</v>
      </c>
      <c r="T360" s="384">
        <v>42738</v>
      </c>
      <c r="U360" s="383"/>
      <c r="V360" s="381">
        <v>700</v>
      </c>
      <c r="W360" s="381">
        <v>14050</v>
      </c>
      <c r="X360" s="385">
        <v>2100</v>
      </c>
      <c r="Y360" s="381">
        <v>14056</v>
      </c>
      <c r="Z360" s="385">
        <v>2100</v>
      </c>
      <c r="AA360" s="385">
        <f t="shared" si="67"/>
        <v>0</v>
      </c>
      <c r="AB360" s="385">
        <v>0</v>
      </c>
      <c r="AC360" s="381">
        <v>54260</v>
      </c>
      <c r="AD360" s="385">
        <v>0</v>
      </c>
      <c r="AE360" s="381" t="s">
        <v>410</v>
      </c>
      <c r="AF360" s="383" t="s">
        <v>4062</v>
      </c>
      <c r="AG360" s="383" t="s">
        <v>2206</v>
      </c>
      <c r="AH360" s="383" t="s">
        <v>57</v>
      </c>
      <c r="AI360" s="383" t="s">
        <v>4442</v>
      </c>
      <c r="AJ360" s="383" t="s">
        <v>4443</v>
      </c>
      <c r="AK360" s="389" t="s">
        <v>4437</v>
      </c>
      <c r="AL360" s="389" t="s">
        <v>1341</v>
      </c>
      <c r="AM360" s="389" t="s">
        <v>1341</v>
      </c>
      <c r="AN360" s="393">
        <f t="shared" si="68"/>
        <v>1</v>
      </c>
      <c r="AO360" s="393">
        <f t="shared" si="69"/>
        <v>2017</v>
      </c>
      <c r="AP360" s="394">
        <f t="shared" si="70"/>
        <v>2024</v>
      </c>
      <c r="AQ360" s="395">
        <f t="shared" si="71"/>
        <v>2024.0833333333333</v>
      </c>
      <c r="AR360" s="396">
        <f t="shared" si="72"/>
        <v>25</v>
      </c>
      <c r="AS360" s="397">
        <f t="shared" si="73"/>
        <v>300</v>
      </c>
      <c r="AT360" s="410" t="e">
        <f>+#REF!</f>
        <v>#REF!</v>
      </c>
      <c r="AU360" s="397">
        <f t="shared" si="74"/>
        <v>2100</v>
      </c>
      <c r="AV360" s="397">
        <f t="shared" si="75"/>
        <v>2100</v>
      </c>
      <c r="AW360" s="398">
        <f t="shared" si="76"/>
        <v>0</v>
      </c>
      <c r="AX360" s="386" t="s">
        <v>62</v>
      </c>
    </row>
    <row r="361" spans="2:50" ht="15.75" outlineLevel="1">
      <c r="B361" s="381">
        <v>2111</v>
      </c>
      <c r="C361" s="382">
        <v>281249</v>
      </c>
      <c r="D361" s="381" t="s">
        <v>944</v>
      </c>
      <c r="E361" s="383" t="s">
        <v>4240</v>
      </c>
      <c r="F361" s="392" t="s">
        <v>4066</v>
      </c>
      <c r="G361" s="392"/>
      <c r="H361" s="392"/>
      <c r="I361" s="381">
        <v>12</v>
      </c>
      <c r="J361" s="383"/>
      <c r="K361" s="381">
        <v>0</v>
      </c>
      <c r="L361" s="383"/>
      <c r="M361" s="383"/>
      <c r="N361" s="383" t="s">
        <v>4446</v>
      </c>
      <c r="O361" s="383" t="s">
        <v>4441</v>
      </c>
      <c r="P361" s="383"/>
      <c r="Q361" s="383" t="s">
        <v>4501</v>
      </c>
      <c r="R361" s="383" t="s">
        <v>4448</v>
      </c>
      <c r="S361" s="384">
        <v>43556</v>
      </c>
      <c r="T361" s="384">
        <v>43556</v>
      </c>
      <c r="U361" s="383"/>
      <c r="V361" s="381">
        <v>700</v>
      </c>
      <c r="W361" s="381">
        <v>14050</v>
      </c>
      <c r="X361" s="385">
        <v>36000</v>
      </c>
      <c r="Y361" s="381">
        <v>14056</v>
      </c>
      <c r="Z361" s="385">
        <v>28285.7</v>
      </c>
      <c r="AA361" s="385">
        <f t="shared" si="67"/>
        <v>7714.2999999999993</v>
      </c>
      <c r="AB361" s="385">
        <v>3857.13</v>
      </c>
      <c r="AC361" s="381">
        <v>54260</v>
      </c>
      <c r="AD361" s="385">
        <v>428.57</v>
      </c>
      <c r="AE361" s="381" t="s">
        <v>410</v>
      </c>
      <c r="AF361" s="383" t="s">
        <v>4067</v>
      </c>
      <c r="AG361" s="383">
        <v>14050</v>
      </c>
      <c r="AH361" s="383" t="s">
        <v>57</v>
      </c>
      <c r="AI361" s="383" t="s">
        <v>4442</v>
      </c>
      <c r="AJ361" s="383" t="s">
        <v>4443</v>
      </c>
      <c r="AK361" s="389" t="s">
        <v>4437</v>
      </c>
      <c r="AL361" s="389" t="s">
        <v>130</v>
      </c>
      <c r="AM361" s="389" t="s">
        <v>130</v>
      </c>
      <c r="AN361" s="393">
        <f t="shared" si="68"/>
        <v>4</v>
      </c>
      <c r="AO361" s="393">
        <f t="shared" si="69"/>
        <v>2019</v>
      </c>
      <c r="AP361" s="394">
        <f t="shared" si="70"/>
        <v>2026</v>
      </c>
      <c r="AQ361" s="395">
        <f t="shared" si="71"/>
        <v>2026.3333333333333</v>
      </c>
      <c r="AR361" s="396">
        <f t="shared" si="72"/>
        <v>428.57142857142861</v>
      </c>
      <c r="AS361" s="397">
        <f t="shared" si="73"/>
        <v>5142.8571428571431</v>
      </c>
      <c r="AT361" s="397">
        <f>IF(AQ361&lt;=$AK$12,0,AS361)</f>
        <v>5142.8571428571431</v>
      </c>
      <c r="AU361" s="397">
        <f t="shared" si="74"/>
        <v>25714.285714285714</v>
      </c>
      <c r="AV361" s="397">
        <f t="shared" si="75"/>
        <v>30857.142857142855</v>
      </c>
      <c r="AW361" s="398">
        <f t="shared" si="76"/>
        <v>5142.8571428571449</v>
      </c>
      <c r="AX361" s="386" t="s">
        <v>62</v>
      </c>
    </row>
    <row r="362" spans="2:50" ht="15.75" outlineLevel="1">
      <c r="B362" s="381">
        <v>2111</v>
      </c>
      <c r="C362" s="382">
        <v>281236</v>
      </c>
      <c r="D362" s="381" t="s">
        <v>944</v>
      </c>
      <c r="E362" s="383" t="s">
        <v>4240</v>
      </c>
      <c r="F362" s="392" t="s">
        <v>4064</v>
      </c>
      <c r="G362" s="392"/>
      <c r="H362" s="392"/>
      <c r="I362" s="381">
        <v>13</v>
      </c>
      <c r="J362" s="383"/>
      <c r="K362" s="381">
        <v>0</v>
      </c>
      <c r="L362" s="383">
        <v>0</v>
      </c>
      <c r="M362" s="383"/>
      <c r="N362" s="383" t="s">
        <v>4446</v>
      </c>
      <c r="O362" s="383" t="s">
        <v>4441</v>
      </c>
      <c r="P362" s="383"/>
      <c r="Q362" s="383" t="s">
        <v>4501</v>
      </c>
      <c r="R362" s="383" t="s">
        <v>4448</v>
      </c>
      <c r="S362" s="384">
        <v>43101</v>
      </c>
      <c r="T362" s="384">
        <v>43101</v>
      </c>
      <c r="U362" s="383"/>
      <c r="V362" s="381">
        <v>700</v>
      </c>
      <c r="W362" s="381">
        <v>14050</v>
      </c>
      <c r="X362" s="385">
        <v>30500</v>
      </c>
      <c r="Y362" s="381">
        <v>14056</v>
      </c>
      <c r="Z362" s="385">
        <v>29410.75</v>
      </c>
      <c r="AA362" s="385">
        <f t="shared" si="67"/>
        <v>1089.25</v>
      </c>
      <c r="AB362" s="385">
        <v>3267.9</v>
      </c>
      <c r="AC362" s="381">
        <v>54260</v>
      </c>
      <c r="AD362" s="385">
        <v>363.1</v>
      </c>
      <c r="AE362" s="381" t="s">
        <v>410</v>
      </c>
      <c r="AF362" s="383" t="s">
        <v>4065</v>
      </c>
      <c r="AG362" s="383" t="s">
        <v>2206</v>
      </c>
      <c r="AH362" s="383" t="s">
        <v>57</v>
      </c>
      <c r="AI362" s="383" t="s">
        <v>4442</v>
      </c>
      <c r="AJ362" s="383" t="s">
        <v>4443</v>
      </c>
      <c r="AK362" s="389" t="s">
        <v>4437</v>
      </c>
      <c r="AL362" s="389" t="s">
        <v>130</v>
      </c>
      <c r="AM362" s="389" t="s">
        <v>130</v>
      </c>
      <c r="AN362" s="393">
        <f t="shared" si="68"/>
        <v>1</v>
      </c>
      <c r="AO362" s="393">
        <f t="shared" si="69"/>
        <v>2018</v>
      </c>
      <c r="AP362" s="394">
        <f t="shared" si="70"/>
        <v>2025</v>
      </c>
      <c r="AQ362" s="395">
        <f t="shared" si="71"/>
        <v>2025.0833333333333</v>
      </c>
      <c r="AR362" s="396">
        <f t="shared" si="72"/>
        <v>363.09523809523807</v>
      </c>
      <c r="AS362" s="397">
        <f t="shared" si="73"/>
        <v>4357.1428571428569</v>
      </c>
      <c r="AT362" s="410" t="e">
        <f>+#REF!</f>
        <v>#REF!</v>
      </c>
      <c r="AU362" s="397">
        <f t="shared" si="74"/>
        <v>27232.142857142859</v>
      </c>
      <c r="AV362" s="397">
        <f t="shared" si="75"/>
        <v>30500</v>
      </c>
      <c r="AW362" s="398">
        <f t="shared" si="76"/>
        <v>0</v>
      </c>
      <c r="AX362" s="386" t="s">
        <v>62</v>
      </c>
    </row>
    <row r="363" spans="2:50" ht="15.75" outlineLevel="1">
      <c r="B363" s="381">
        <v>2111</v>
      </c>
      <c r="C363" s="382">
        <v>281229</v>
      </c>
      <c r="D363" s="381" t="s">
        <v>944</v>
      </c>
      <c r="E363" s="383" t="s">
        <v>4240</v>
      </c>
      <c r="F363" s="392" t="s">
        <v>4063</v>
      </c>
      <c r="G363" s="392"/>
      <c r="H363" s="392"/>
      <c r="I363" s="381">
        <v>8</v>
      </c>
      <c r="J363" s="383"/>
      <c r="K363" s="381">
        <v>0</v>
      </c>
      <c r="L363" s="383"/>
      <c r="M363" s="383"/>
      <c r="N363" s="383" t="s">
        <v>4446</v>
      </c>
      <c r="O363" s="383" t="s">
        <v>4441</v>
      </c>
      <c r="P363" s="383"/>
      <c r="Q363" s="383" t="s">
        <v>4501</v>
      </c>
      <c r="R363" s="383" t="s">
        <v>4448</v>
      </c>
      <c r="S363" s="384">
        <v>42522</v>
      </c>
      <c r="T363" s="384">
        <v>42522</v>
      </c>
      <c r="U363" s="383"/>
      <c r="V363" s="381">
        <v>700</v>
      </c>
      <c r="W363" s="381">
        <v>14050</v>
      </c>
      <c r="X363" s="385">
        <v>12000</v>
      </c>
      <c r="Y363" s="381">
        <v>14056</v>
      </c>
      <c r="Z363" s="385">
        <v>12000</v>
      </c>
      <c r="AA363" s="385">
        <f t="shared" si="67"/>
        <v>0</v>
      </c>
      <c r="AB363" s="385">
        <v>0</v>
      </c>
      <c r="AC363" s="381">
        <v>54260</v>
      </c>
      <c r="AD363" s="385">
        <v>0</v>
      </c>
      <c r="AE363" s="381" t="s">
        <v>944</v>
      </c>
      <c r="AF363" s="383"/>
      <c r="AG363" s="383"/>
      <c r="AH363" s="383" t="s">
        <v>57</v>
      </c>
      <c r="AI363" s="383" t="s">
        <v>4442</v>
      </c>
      <c r="AJ363" s="383" t="s">
        <v>4443</v>
      </c>
      <c r="AK363" s="389" t="s">
        <v>4437</v>
      </c>
      <c r="AL363" s="389" t="s">
        <v>130</v>
      </c>
      <c r="AM363" s="389" t="s">
        <v>130</v>
      </c>
      <c r="AN363" s="393">
        <f t="shared" si="68"/>
        <v>6</v>
      </c>
      <c r="AO363" s="393">
        <f t="shared" si="69"/>
        <v>2016</v>
      </c>
      <c r="AP363" s="394">
        <f t="shared" si="70"/>
        <v>2023</v>
      </c>
      <c r="AQ363" s="395">
        <f t="shared" si="71"/>
        <v>2023.5</v>
      </c>
      <c r="AR363" s="396">
        <f t="shared" si="72"/>
        <v>142.85714285714286</v>
      </c>
      <c r="AS363" s="397">
        <f t="shared" si="73"/>
        <v>1714.2857142857142</v>
      </c>
      <c r="AT363" s="397">
        <f>IF(AQ363&lt;=$AK$12,0,AS363)</f>
        <v>0</v>
      </c>
      <c r="AU363" s="397">
        <f t="shared" si="74"/>
        <v>12000</v>
      </c>
      <c r="AV363" s="397">
        <f t="shared" si="75"/>
        <v>12000</v>
      </c>
      <c r="AW363" s="398">
        <f t="shared" si="76"/>
        <v>0</v>
      </c>
      <c r="AX363" s="386" t="s">
        <v>62</v>
      </c>
    </row>
    <row r="364" spans="2:50" ht="15.75" outlineLevel="1">
      <c r="B364" s="381">
        <v>2111</v>
      </c>
      <c r="C364" s="382">
        <v>281223</v>
      </c>
      <c r="D364" s="381" t="s">
        <v>944</v>
      </c>
      <c r="E364" s="383" t="s">
        <v>4240</v>
      </c>
      <c r="F364" s="392" t="s">
        <v>4061</v>
      </c>
      <c r="G364" s="392"/>
      <c r="H364" s="392"/>
      <c r="I364" s="381">
        <v>20</v>
      </c>
      <c r="J364" s="383"/>
      <c r="K364" s="381">
        <v>0</v>
      </c>
      <c r="L364" s="383"/>
      <c r="M364" s="383"/>
      <c r="N364" s="383" t="s">
        <v>4446</v>
      </c>
      <c r="O364" s="383" t="s">
        <v>4441</v>
      </c>
      <c r="P364" s="383"/>
      <c r="Q364" s="383" t="s">
        <v>4501</v>
      </c>
      <c r="R364" s="383" t="s">
        <v>4448</v>
      </c>
      <c r="S364" s="384">
        <v>42738</v>
      </c>
      <c r="T364" s="384">
        <v>42738</v>
      </c>
      <c r="U364" s="383"/>
      <c r="V364" s="381">
        <v>700</v>
      </c>
      <c r="W364" s="381">
        <v>14050</v>
      </c>
      <c r="X364" s="385">
        <v>50000</v>
      </c>
      <c r="Y364" s="381">
        <v>14056</v>
      </c>
      <c r="Z364" s="385">
        <v>50000</v>
      </c>
      <c r="AA364" s="385">
        <f t="shared" si="67"/>
        <v>0</v>
      </c>
      <c r="AB364" s="385">
        <v>0</v>
      </c>
      <c r="AC364" s="381">
        <v>54260</v>
      </c>
      <c r="AD364" s="385">
        <v>0</v>
      </c>
      <c r="AE364" s="381" t="s">
        <v>410</v>
      </c>
      <c r="AF364" s="383" t="s">
        <v>4062</v>
      </c>
      <c r="AG364" s="383" t="s">
        <v>2206</v>
      </c>
      <c r="AH364" s="383" t="s">
        <v>57</v>
      </c>
      <c r="AI364" s="383" t="s">
        <v>4442</v>
      </c>
      <c r="AJ364" s="383" t="s">
        <v>4443</v>
      </c>
      <c r="AK364" s="389" t="s">
        <v>4437</v>
      </c>
      <c r="AL364" s="389" t="s">
        <v>130</v>
      </c>
      <c r="AM364" s="389" t="s">
        <v>130</v>
      </c>
      <c r="AN364" s="393">
        <f t="shared" si="68"/>
        <v>1</v>
      </c>
      <c r="AO364" s="393">
        <f t="shared" si="69"/>
        <v>2017</v>
      </c>
      <c r="AP364" s="394">
        <f t="shared" si="70"/>
        <v>2024</v>
      </c>
      <c r="AQ364" s="395">
        <f t="shared" si="71"/>
        <v>2024.0833333333333</v>
      </c>
      <c r="AR364" s="396">
        <f t="shared" si="72"/>
        <v>595.2380952380953</v>
      </c>
      <c r="AS364" s="397">
        <f t="shared" si="73"/>
        <v>7142.8571428571431</v>
      </c>
      <c r="AT364" s="410" t="e">
        <f>+#REF!</f>
        <v>#REF!</v>
      </c>
      <c r="AU364" s="397">
        <f t="shared" si="74"/>
        <v>50000</v>
      </c>
      <c r="AV364" s="397">
        <f t="shared" si="75"/>
        <v>50000</v>
      </c>
      <c r="AW364" s="398">
        <f t="shared" si="76"/>
        <v>0</v>
      </c>
      <c r="AX364" s="386" t="s">
        <v>62</v>
      </c>
    </row>
    <row r="365" spans="2:50" ht="15.75" outlineLevel="1">
      <c r="B365" s="381">
        <v>2111</v>
      </c>
      <c r="C365" s="382">
        <v>281175</v>
      </c>
      <c r="D365" s="381" t="s">
        <v>944</v>
      </c>
      <c r="E365" s="383" t="s">
        <v>4240</v>
      </c>
      <c r="F365" s="392" t="s">
        <v>4060</v>
      </c>
      <c r="G365" s="392"/>
      <c r="H365" s="392"/>
      <c r="I365" s="381">
        <v>8</v>
      </c>
      <c r="J365" s="383"/>
      <c r="K365" s="381">
        <v>0</v>
      </c>
      <c r="L365" s="383"/>
      <c r="M365" s="383"/>
      <c r="N365" s="383" t="s">
        <v>4446</v>
      </c>
      <c r="O365" s="383" t="s">
        <v>4441</v>
      </c>
      <c r="P365" s="383"/>
      <c r="Q365" s="383" t="s">
        <v>4501</v>
      </c>
      <c r="R365" s="383" t="s">
        <v>4448</v>
      </c>
      <c r="S365" s="384">
        <v>41207</v>
      </c>
      <c r="T365" s="384">
        <v>41207</v>
      </c>
      <c r="U365" s="383"/>
      <c r="V365" s="381">
        <v>1000</v>
      </c>
      <c r="W365" s="381">
        <v>14050</v>
      </c>
      <c r="X365" s="385">
        <v>138250</v>
      </c>
      <c r="Y365" s="381">
        <v>14056</v>
      </c>
      <c r="Z365" s="385">
        <v>138250</v>
      </c>
      <c r="AA365" s="385">
        <f t="shared" si="67"/>
        <v>0</v>
      </c>
      <c r="AB365" s="385">
        <v>0</v>
      </c>
      <c r="AC365" s="381">
        <v>54260</v>
      </c>
      <c r="AD365" s="385">
        <v>0</v>
      </c>
      <c r="AE365" s="381" t="s">
        <v>410</v>
      </c>
      <c r="AF365" s="383" t="s">
        <v>4059</v>
      </c>
      <c r="AG365" s="383" t="s">
        <v>2206</v>
      </c>
      <c r="AH365" s="383" t="s">
        <v>57</v>
      </c>
      <c r="AI365" s="383" t="s">
        <v>4442</v>
      </c>
      <c r="AJ365" s="383" t="s">
        <v>4443</v>
      </c>
      <c r="AK365" s="389" t="s">
        <v>4437</v>
      </c>
      <c r="AL365" s="389" t="s">
        <v>130</v>
      </c>
      <c r="AM365" s="389" t="s">
        <v>130</v>
      </c>
      <c r="AN365" s="393">
        <f t="shared" si="68"/>
        <v>10</v>
      </c>
      <c r="AO365" s="393">
        <f t="shared" si="69"/>
        <v>2012</v>
      </c>
      <c r="AP365" s="394">
        <f t="shared" si="70"/>
        <v>2022</v>
      </c>
      <c r="AQ365" s="395">
        <f t="shared" si="71"/>
        <v>2022.8333333333333</v>
      </c>
      <c r="AR365" s="396">
        <f t="shared" si="72"/>
        <v>1152.0833333333333</v>
      </c>
      <c r="AS365" s="397">
        <f t="shared" si="73"/>
        <v>13825</v>
      </c>
      <c r="AT365" s="397">
        <f t="shared" ref="AT365:AT379" si="77">IF(AQ365&lt;=$AK$12,0,AS365)</f>
        <v>0</v>
      </c>
      <c r="AU365" s="397">
        <f t="shared" si="74"/>
        <v>138250</v>
      </c>
      <c r="AV365" s="397">
        <f t="shared" si="75"/>
        <v>138250</v>
      </c>
      <c r="AW365" s="398">
        <f t="shared" si="76"/>
        <v>0</v>
      </c>
      <c r="AX365" s="386" t="s">
        <v>62</v>
      </c>
    </row>
    <row r="366" spans="2:50" ht="15.75" outlineLevel="1">
      <c r="B366" s="381">
        <v>2111</v>
      </c>
      <c r="C366" s="382">
        <v>281173</v>
      </c>
      <c r="D366" s="381" t="s">
        <v>944</v>
      </c>
      <c r="E366" s="383" t="s">
        <v>4240</v>
      </c>
      <c r="F366" s="392" t="s">
        <v>4058</v>
      </c>
      <c r="G366" s="392"/>
      <c r="H366" s="392"/>
      <c r="I366" s="381">
        <v>1</v>
      </c>
      <c r="J366" s="383"/>
      <c r="K366" s="381">
        <v>0</v>
      </c>
      <c r="L366" s="383"/>
      <c r="M366" s="383"/>
      <c r="N366" s="383" t="s">
        <v>4446</v>
      </c>
      <c r="O366" s="383" t="s">
        <v>4441</v>
      </c>
      <c r="P366" s="383"/>
      <c r="Q366" s="383" t="s">
        <v>4501</v>
      </c>
      <c r="R366" s="383" t="s">
        <v>4448</v>
      </c>
      <c r="S366" s="384">
        <v>41207</v>
      </c>
      <c r="T366" s="384">
        <v>41207</v>
      </c>
      <c r="U366" s="383"/>
      <c r="V366" s="381">
        <v>1000</v>
      </c>
      <c r="W366" s="381">
        <v>14050</v>
      </c>
      <c r="X366" s="385">
        <v>12666.67</v>
      </c>
      <c r="Y366" s="381">
        <v>14056</v>
      </c>
      <c r="Z366" s="385">
        <v>12666.67</v>
      </c>
      <c r="AA366" s="385">
        <f t="shared" si="67"/>
        <v>0</v>
      </c>
      <c r="AB366" s="385">
        <v>0</v>
      </c>
      <c r="AC366" s="381">
        <v>54260</v>
      </c>
      <c r="AD366" s="385">
        <v>0</v>
      </c>
      <c r="AE366" s="381" t="s">
        <v>410</v>
      </c>
      <c r="AF366" s="383" t="s">
        <v>4059</v>
      </c>
      <c r="AG366" s="383" t="s">
        <v>2206</v>
      </c>
      <c r="AH366" s="383" t="s">
        <v>57</v>
      </c>
      <c r="AI366" s="383" t="s">
        <v>4442</v>
      </c>
      <c r="AJ366" s="383" t="s">
        <v>4443</v>
      </c>
      <c r="AK366" s="389" t="s">
        <v>4437</v>
      </c>
      <c r="AL366" s="389" t="s">
        <v>130</v>
      </c>
      <c r="AM366" s="389" t="s">
        <v>130</v>
      </c>
      <c r="AN366" s="393">
        <f t="shared" si="68"/>
        <v>10</v>
      </c>
      <c r="AO366" s="393">
        <f t="shared" si="69"/>
        <v>2012</v>
      </c>
      <c r="AP366" s="394">
        <f t="shared" si="70"/>
        <v>2022</v>
      </c>
      <c r="AQ366" s="395">
        <f t="shared" si="71"/>
        <v>2022.8333333333333</v>
      </c>
      <c r="AR366" s="396">
        <f t="shared" si="72"/>
        <v>105.55558333333333</v>
      </c>
      <c r="AS366" s="397">
        <f t="shared" si="73"/>
        <v>1266.6669999999999</v>
      </c>
      <c r="AT366" s="397">
        <f t="shared" si="77"/>
        <v>0</v>
      </c>
      <c r="AU366" s="397">
        <f t="shared" si="74"/>
        <v>12666.67</v>
      </c>
      <c r="AV366" s="397">
        <f t="shared" si="75"/>
        <v>12666.67</v>
      </c>
      <c r="AW366" s="398">
        <f t="shared" si="76"/>
        <v>0</v>
      </c>
      <c r="AX366" s="386" t="s">
        <v>62</v>
      </c>
    </row>
    <row r="367" spans="2:50" ht="15.75" outlineLevel="1">
      <c r="B367" s="381">
        <v>2111</v>
      </c>
      <c r="C367" s="382">
        <v>281056</v>
      </c>
      <c r="D367" s="381" t="s">
        <v>944</v>
      </c>
      <c r="E367" s="383" t="s">
        <v>4240</v>
      </c>
      <c r="F367" s="392" t="s">
        <v>4055</v>
      </c>
      <c r="G367" s="392"/>
      <c r="H367" s="392"/>
      <c r="I367" s="381">
        <v>34</v>
      </c>
      <c r="J367" s="383"/>
      <c r="K367" s="381">
        <v>0</v>
      </c>
      <c r="L367" s="383"/>
      <c r="M367" s="383"/>
      <c r="N367" s="383" t="s">
        <v>4446</v>
      </c>
      <c r="O367" s="383" t="s">
        <v>4441</v>
      </c>
      <c r="P367" s="383"/>
      <c r="Q367" s="383" t="s">
        <v>4447</v>
      </c>
      <c r="R367" s="383" t="s">
        <v>4448</v>
      </c>
      <c r="S367" s="384">
        <v>36647</v>
      </c>
      <c r="T367" s="384">
        <v>36647</v>
      </c>
      <c r="U367" s="383"/>
      <c r="V367" s="381">
        <v>500</v>
      </c>
      <c r="W367" s="381">
        <v>14050</v>
      </c>
      <c r="X367" s="385">
        <v>12706.48</v>
      </c>
      <c r="Y367" s="381">
        <v>14056</v>
      </c>
      <c r="Z367" s="385">
        <v>12706.48</v>
      </c>
      <c r="AA367" s="385">
        <f t="shared" si="67"/>
        <v>0</v>
      </c>
      <c r="AB367" s="385">
        <v>0</v>
      </c>
      <c r="AC367" s="381">
        <v>54260</v>
      </c>
      <c r="AD367" s="385">
        <v>0</v>
      </c>
      <c r="AE367" s="381" t="s">
        <v>410</v>
      </c>
      <c r="AF367" s="383" t="s">
        <v>4057</v>
      </c>
      <c r="AG367" s="383" t="s">
        <v>2206</v>
      </c>
      <c r="AH367" s="383" t="s">
        <v>57</v>
      </c>
      <c r="AI367" s="383" t="s">
        <v>4442</v>
      </c>
      <c r="AJ367" s="383" t="s">
        <v>4443</v>
      </c>
      <c r="AK367" s="389" t="s">
        <v>4437</v>
      </c>
      <c r="AL367" s="389" t="s">
        <v>130</v>
      </c>
      <c r="AM367" s="389" t="s">
        <v>130</v>
      </c>
      <c r="AN367" s="393">
        <f t="shared" si="68"/>
        <v>5</v>
      </c>
      <c r="AO367" s="393">
        <f t="shared" si="69"/>
        <v>2000</v>
      </c>
      <c r="AP367" s="394">
        <f t="shared" si="70"/>
        <v>2005</v>
      </c>
      <c r="AQ367" s="395">
        <f t="shared" si="71"/>
        <v>2005.4166666666667</v>
      </c>
      <c r="AR367" s="396">
        <f t="shared" si="72"/>
        <v>211.77466666666666</v>
      </c>
      <c r="AS367" s="397">
        <f t="shared" si="73"/>
        <v>2541.2959999999998</v>
      </c>
      <c r="AT367" s="397">
        <f t="shared" si="77"/>
        <v>0</v>
      </c>
      <c r="AU367" s="397">
        <f t="shared" si="74"/>
        <v>12706.48</v>
      </c>
      <c r="AV367" s="397">
        <f t="shared" si="75"/>
        <v>12706.48</v>
      </c>
      <c r="AW367" s="398">
        <f t="shared" si="76"/>
        <v>0</v>
      </c>
      <c r="AX367" s="386" t="s">
        <v>62</v>
      </c>
    </row>
    <row r="368" spans="2:50" ht="15.75" outlineLevel="1">
      <c r="B368" s="381">
        <v>2111</v>
      </c>
      <c r="C368" s="382">
        <v>280497</v>
      </c>
      <c r="D368" s="381" t="s">
        <v>944</v>
      </c>
      <c r="E368" s="383" t="s">
        <v>4240</v>
      </c>
      <c r="F368" s="392" t="s">
        <v>1664</v>
      </c>
      <c r="G368" s="392"/>
      <c r="H368" s="392"/>
      <c r="I368" s="381">
        <v>4</v>
      </c>
      <c r="J368" s="383"/>
      <c r="K368" s="381">
        <v>0</v>
      </c>
      <c r="L368" s="383"/>
      <c r="M368" s="383" t="s">
        <v>4054</v>
      </c>
      <c r="N368" s="383" t="s">
        <v>4446</v>
      </c>
      <c r="O368" s="383" t="s">
        <v>4441</v>
      </c>
      <c r="P368" s="383"/>
      <c r="Q368" s="383" t="s">
        <v>4464</v>
      </c>
      <c r="R368" s="383" t="s">
        <v>4450</v>
      </c>
      <c r="S368" s="384">
        <v>44682</v>
      </c>
      <c r="T368" s="384">
        <v>44682</v>
      </c>
      <c r="U368" s="383"/>
      <c r="V368" s="381">
        <v>0</v>
      </c>
      <c r="W368" s="381">
        <v>14050</v>
      </c>
      <c r="X368" s="385">
        <v>0</v>
      </c>
      <c r="Y368" s="381">
        <v>14056</v>
      </c>
      <c r="Z368" s="385">
        <v>0</v>
      </c>
      <c r="AA368" s="385">
        <f t="shared" si="67"/>
        <v>0</v>
      </c>
      <c r="AB368" s="385">
        <v>0</v>
      </c>
      <c r="AC368" s="381">
        <v>54260</v>
      </c>
      <c r="AD368" s="385">
        <v>0</v>
      </c>
      <c r="AE368" s="381" t="s">
        <v>944</v>
      </c>
      <c r="AF368" s="383"/>
      <c r="AG368" s="383"/>
      <c r="AH368" s="383" t="s">
        <v>57</v>
      </c>
      <c r="AI368" s="383" t="s">
        <v>4442</v>
      </c>
      <c r="AJ368" s="383" t="s">
        <v>1660</v>
      </c>
      <c r="AK368" s="389" t="s">
        <v>4437</v>
      </c>
      <c r="AL368" s="389" t="s">
        <v>1341</v>
      </c>
      <c r="AM368" s="389" t="s">
        <v>1341</v>
      </c>
      <c r="AN368" s="393">
        <f t="shared" si="68"/>
        <v>5</v>
      </c>
      <c r="AO368" s="393">
        <f t="shared" si="69"/>
        <v>2022</v>
      </c>
      <c r="AP368" s="394">
        <f t="shared" si="70"/>
        <v>2022</v>
      </c>
      <c r="AQ368" s="395">
        <f t="shared" si="71"/>
        <v>2022.4166666666667</v>
      </c>
      <c r="AR368" s="396">
        <f t="shared" si="72"/>
        <v>0</v>
      </c>
      <c r="AS368" s="397">
        <f t="shared" si="73"/>
        <v>0</v>
      </c>
      <c r="AT368" s="397">
        <f t="shared" si="77"/>
        <v>0</v>
      </c>
      <c r="AU368" s="397">
        <f t="shared" si="74"/>
        <v>0</v>
      </c>
      <c r="AV368" s="397">
        <f t="shared" si="75"/>
        <v>0</v>
      </c>
      <c r="AW368" s="398">
        <f t="shared" si="76"/>
        <v>0</v>
      </c>
      <c r="AX368" s="386" t="s">
        <v>62</v>
      </c>
    </row>
    <row r="369" spans="2:50" ht="15.75" outlineLevel="1">
      <c r="B369" s="381">
        <v>2111</v>
      </c>
      <c r="C369" s="382">
        <v>279876</v>
      </c>
      <c r="D369" s="381" t="s">
        <v>944</v>
      </c>
      <c r="E369" s="383" t="s">
        <v>4240</v>
      </c>
      <c r="F369" s="392" t="s">
        <v>4053</v>
      </c>
      <c r="G369" s="392"/>
      <c r="H369" s="392"/>
      <c r="I369" s="381">
        <v>16</v>
      </c>
      <c r="J369" s="383"/>
      <c r="K369" s="381">
        <v>0</v>
      </c>
      <c r="L369" s="383"/>
      <c r="M369" s="383"/>
      <c r="N369" s="383" t="s">
        <v>4446</v>
      </c>
      <c r="O369" s="383" t="s">
        <v>4441</v>
      </c>
      <c r="P369" s="383"/>
      <c r="Q369" s="383" t="s">
        <v>4449</v>
      </c>
      <c r="R369" s="383" t="s">
        <v>4450</v>
      </c>
      <c r="S369" s="384">
        <v>39755</v>
      </c>
      <c r="T369" s="384">
        <v>39755</v>
      </c>
      <c r="U369" s="383"/>
      <c r="V369" s="381">
        <v>1200</v>
      </c>
      <c r="W369" s="381">
        <v>14050</v>
      </c>
      <c r="X369" s="385">
        <v>1519.98</v>
      </c>
      <c r="Y369" s="381">
        <v>14056</v>
      </c>
      <c r="Z369" s="385">
        <v>1519.98</v>
      </c>
      <c r="AA369" s="385">
        <f t="shared" si="67"/>
        <v>0</v>
      </c>
      <c r="AB369" s="385">
        <v>0</v>
      </c>
      <c r="AC369" s="381">
        <v>54260</v>
      </c>
      <c r="AD369" s="385">
        <v>0</v>
      </c>
      <c r="AE369" s="381" t="s">
        <v>410</v>
      </c>
      <c r="AF369" s="383" t="s">
        <v>1828</v>
      </c>
      <c r="AG369" s="383" t="s">
        <v>2206</v>
      </c>
      <c r="AH369" s="383" t="s">
        <v>57</v>
      </c>
      <c r="AI369" s="383" t="s">
        <v>4442</v>
      </c>
      <c r="AJ369" s="383" t="s">
        <v>4443</v>
      </c>
      <c r="AK369" s="389" t="s">
        <v>4437</v>
      </c>
      <c r="AL369" s="389" t="s">
        <v>1341</v>
      </c>
      <c r="AM369" s="389" t="s">
        <v>1341</v>
      </c>
      <c r="AN369" s="393">
        <f t="shared" si="68"/>
        <v>11</v>
      </c>
      <c r="AO369" s="393">
        <f t="shared" si="69"/>
        <v>2008</v>
      </c>
      <c r="AP369" s="394">
        <f t="shared" si="70"/>
        <v>2020</v>
      </c>
      <c r="AQ369" s="395">
        <f t="shared" si="71"/>
        <v>2020.9166666666667</v>
      </c>
      <c r="AR369" s="396">
        <f t="shared" si="72"/>
        <v>10.555416666666668</v>
      </c>
      <c r="AS369" s="397">
        <f t="shared" si="73"/>
        <v>126.66500000000002</v>
      </c>
      <c r="AT369" s="397">
        <f t="shared" si="77"/>
        <v>0</v>
      </c>
      <c r="AU369" s="397">
        <f t="shared" si="74"/>
        <v>1519.98</v>
      </c>
      <c r="AV369" s="397">
        <f t="shared" si="75"/>
        <v>1519.98</v>
      </c>
      <c r="AW369" s="398">
        <f t="shared" si="76"/>
        <v>0</v>
      </c>
      <c r="AX369" s="386" t="s">
        <v>62</v>
      </c>
    </row>
    <row r="370" spans="2:50" ht="15.75" outlineLevel="1">
      <c r="B370" s="381">
        <v>2111</v>
      </c>
      <c r="C370" s="382">
        <v>279852</v>
      </c>
      <c r="D370" s="381" t="s">
        <v>944</v>
      </c>
      <c r="E370" s="383" t="s">
        <v>4240</v>
      </c>
      <c r="F370" s="392" t="s">
        <v>2997</v>
      </c>
      <c r="G370" s="392"/>
      <c r="H370" s="392"/>
      <c r="I370" s="381">
        <v>12</v>
      </c>
      <c r="J370" s="383"/>
      <c r="K370" s="381">
        <v>0</v>
      </c>
      <c r="L370" s="383"/>
      <c r="M370" s="383"/>
      <c r="N370" s="383" t="s">
        <v>4446</v>
      </c>
      <c r="O370" s="383" t="s">
        <v>4441</v>
      </c>
      <c r="P370" s="383"/>
      <c r="Q370" s="383" t="s">
        <v>4479</v>
      </c>
      <c r="R370" s="383" t="s">
        <v>4450</v>
      </c>
      <c r="S370" s="384">
        <v>39755</v>
      </c>
      <c r="T370" s="384">
        <v>39755</v>
      </c>
      <c r="U370" s="383"/>
      <c r="V370" s="381">
        <v>700</v>
      </c>
      <c r="W370" s="381">
        <v>14050</v>
      </c>
      <c r="X370" s="385">
        <v>4776.6099999999997</v>
      </c>
      <c r="Y370" s="381">
        <v>14056</v>
      </c>
      <c r="Z370" s="385">
        <v>4776.6099999999997</v>
      </c>
      <c r="AA370" s="385">
        <f t="shared" si="67"/>
        <v>0</v>
      </c>
      <c r="AB370" s="385">
        <v>0</v>
      </c>
      <c r="AC370" s="381">
        <v>54260</v>
      </c>
      <c r="AD370" s="385">
        <v>0</v>
      </c>
      <c r="AE370" s="381" t="s">
        <v>410</v>
      </c>
      <c r="AF370" s="383" t="s">
        <v>1828</v>
      </c>
      <c r="AG370" s="383" t="s">
        <v>2206</v>
      </c>
      <c r="AH370" s="383" t="s">
        <v>57</v>
      </c>
      <c r="AI370" s="383" t="s">
        <v>4442</v>
      </c>
      <c r="AJ370" s="383" t="s">
        <v>4443</v>
      </c>
      <c r="AK370" s="389" t="s">
        <v>4437</v>
      </c>
      <c r="AL370" s="389" t="s">
        <v>1341</v>
      </c>
      <c r="AM370" s="389" t="s">
        <v>1341</v>
      </c>
      <c r="AN370" s="393">
        <f t="shared" si="68"/>
        <v>11</v>
      </c>
      <c r="AO370" s="393">
        <f t="shared" si="69"/>
        <v>2008</v>
      </c>
      <c r="AP370" s="394">
        <f t="shared" si="70"/>
        <v>2015</v>
      </c>
      <c r="AQ370" s="395">
        <f t="shared" si="71"/>
        <v>2015.9166666666667</v>
      </c>
      <c r="AR370" s="396">
        <f t="shared" si="72"/>
        <v>56.864404761904758</v>
      </c>
      <c r="AS370" s="397">
        <f t="shared" si="73"/>
        <v>682.37285714285713</v>
      </c>
      <c r="AT370" s="397">
        <f t="shared" si="77"/>
        <v>0</v>
      </c>
      <c r="AU370" s="397">
        <f t="shared" si="74"/>
        <v>4776.6099999999997</v>
      </c>
      <c r="AV370" s="397">
        <f t="shared" si="75"/>
        <v>4776.6099999999997</v>
      </c>
      <c r="AW370" s="398">
        <f t="shared" si="76"/>
        <v>0</v>
      </c>
      <c r="AX370" s="386" t="s">
        <v>62</v>
      </c>
    </row>
    <row r="371" spans="2:50" ht="15.75" outlineLevel="1">
      <c r="B371" s="381">
        <v>2111</v>
      </c>
      <c r="C371" s="382">
        <v>278661</v>
      </c>
      <c r="D371" s="381" t="s">
        <v>944</v>
      </c>
      <c r="E371" s="383" t="s">
        <v>4240</v>
      </c>
      <c r="F371" s="392" t="s">
        <v>4052</v>
      </c>
      <c r="G371" s="392"/>
      <c r="H371" s="392"/>
      <c r="I371" s="381">
        <v>1</v>
      </c>
      <c r="J371" s="383"/>
      <c r="K371" s="381">
        <v>0</v>
      </c>
      <c r="L371" s="383" t="s">
        <v>4046</v>
      </c>
      <c r="M371" s="383"/>
      <c r="N371" s="383" t="s">
        <v>4440</v>
      </c>
      <c r="O371" s="383" t="s">
        <v>4441</v>
      </c>
      <c r="P371" s="383"/>
      <c r="Q371" s="383"/>
      <c r="R371" s="383"/>
      <c r="S371" s="384">
        <v>44677</v>
      </c>
      <c r="T371" s="384">
        <v>44677</v>
      </c>
      <c r="U371" s="383" t="s">
        <v>4050</v>
      </c>
      <c r="V371" s="381">
        <v>300</v>
      </c>
      <c r="W371" s="381">
        <v>14110</v>
      </c>
      <c r="X371" s="385">
        <v>1440.22</v>
      </c>
      <c r="Y371" s="381">
        <v>14116</v>
      </c>
      <c r="Z371" s="385">
        <v>1160.21</v>
      </c>
      <c r="AA371" s="385">
        <f t="shared" si="67"/>
        <v>280.01</v>
      </c>
      <c r="AB371" s="385">
        <v>360.09</v>
      </c>
      <c r="AC371" s="381">
        <v>70260</v>
      </c>
      <c r="AD371" s="385">
        <v>40.01</v>
      </c>
      <c r="AE371" s="381" t="s">
        <v>944</v>
      </c>
      <c r="AF371" s="383"/>
      <c r="AG371" s="383"/>
      <c r="AH371" s="383" t="s">
        <v>57</v>
      </c>
      <c r="AI371" s="383" t="s">
        <v>4442</v>
      </c>
      <c r="AJ371" s="383" t="s">
        <v>4443</v>
      </c>
      <c r="AK371" s="389" t="s">
        <v>4437</v>
      </c>
      <c r="AL371" s="389" t="s">
        <v>370</v>
      </c>
      <c r="AM371" s="389" t="s">
        <v>135</v>
      </c>
      <c r="AN371" s="393">
        <f t="shared" si="68"/>
        <v>4</v>
      </c>
      <c r="AO371" s="393">
        <f t="shared" si="69"/>
        <v>2022</v>
      </c>
      <c r="AP371" s="394">
        <f t="shared" si="70"/>
        <v>2025</v>
      </c>
      <c r="AQ371" s="395">
        <f t="shared" si="71"/>
        <v>2025.3333333333333</v>
      </c>
      <c r="AR371" s="396">
        <f t="shared" si="72"/>
        <v>40.00611111111111</v>
      </c>
      <c r="AS371" s="397">
        <f t="shared" si="73"/>
        <v>480.07333333333332</v>
      </c>
      <c r="AT371" s="397">
        <f t="shared" si="77"/>
        <v>480.07333333333332</v>
      </c>
      <c r="AU371" s="397">
        <f t="shared" si="74"/>
        <v>960.14666666666676</v>
      </c>
      <c r="AV371" s="397">
        <f t="shared" si="75"/>
        <v>1440.22</v>
      </c>
      <c r="AW371" s="398">
        <f t="shared" si="76"/>
        <v>0</v>
      </c>
      <c r="AX371" s="386" t="s">
        <v>62</v>
      </c>
    </row>
    <row r="372" spans="2:50" ht="15.75" outlineLevel="1">
      <c r="B372" s="381">
        <v>2111</v>
      </c>
      <c r="C372" s="382">
        <v>278660</v>
      </c>
      <c r="D372" s="381" t="s">
        <v>944</v>
      </c>
      <c r="E372" s="383" t="s">
        <v>4240</v>
      </c>
      <c r="F372" s="392" t="s">
        <v>4051</v>
      </c>
      <c r="G372" s="392"/>
      <c r="H372" s="392"/>
      <c r="I372" s="381">
        <v>1</v>
      </c>
      <c r="J372" s="383"/>
      <c r="K372" s="381">
        <v>0</v>
      </c>
      <c r="L372" s="383" t="s">
        <v>4046</v>
      </c>
      <c r="M372" s="383"/>
      <c r="N372" s="383" t="s">
        <v>4440</v>
      </c>
      <c r="O372" s="383" t="s">
        <v>4441</v>
      </c>
      <c r="P372" s="383"/>
      <c r="Q372" s="383"/>
      <c r="R372" s="383"/>
      <c r="S372" s="384">
        <v>44677</v>
      </c>
      <c r="T372" s="384">
        <v>44677</v>
      </c>
      <c r="U372" s="383" t="s">
        <v>4050</v>
      </c>
      <c r="V372" s="381">
        <v>300</v>
      </c>
      <c r="W372" s="381">
        <v>14110</v>
      </c>
      <c r="X372" s="385">
        <v>1440.22</v>
      </c>
      <c r="Y372" s="381">
        <v>14116</v>
      </c>
      <c r="Z372" s="385">
        <v>1160.21</v>
      </c>
      <c r="AA372" s="385">
        <f t="shared" si="67"/>
        <v>280.01</v>
      </c>
      <c r="AB372" s="385">
        <v>360.09</v>
      </c>
      <c r="AC372" s="381">
        <v>70260</v>
      </c>
      <c r="AD372" s="385">
        <v>40.01</v>
      </c>
      <c r="AE372" s="381" t="s">
        <v>944</v>
      </c>
      <c r="AF372" s="383"/>
      <c r="AG372" s="383"/>
      <c r="AH372" s="383" t="s">
        <v>57</v>
      </c>
      <c r="AI372" s="383" t="s">
        <v>4442</v>
      </c>
      <c r="AJ372" s="383" t="s">
        <v>4443</v>
      </c>
      <c r="AK372" s="389" t="s">
        <v>4437</v>
      </c>
      <c r="AL372" s="389" t="s">
        <v>370</v>
      </c>
      <c r="AM372" s="389" t="s">
        <v>135</v>
      </c>
      <c r="AN372" s="393">
        <f t="shared" si="68"/>
        <v>4</v>
      </c>
      <c r="AO372" s="393">
        <f t="shared" si="69"/>
        <v>2022</v>
      </c>
      <c r="AP372" s="394">
        <f t="shared" si="70"/>
        <v>2025</v>
      </c>
      <c r="AQ372" s="395">
        <f t="shared" si="71"/>
        <v>2025.3333333333333</v>
      </c>
      <c r="AR372" s="396">
        <f t="shared" si="72"/>
        <v>40.00611111111111</v>
      </c>
      <c r="AS372" s="397">
        <f t="shared" si="73"/>
        <v>480.07333333333332</v>
      </c>
      <c r="AT372" s="397">
        <f t="shared" si="77"/>
        <v>480.07333333333332</v>
      </c>
      <c r="AU372" s="397">
        <f t="shared" si="74"/>
        <v>960.14666666666676</v>
      </c>
      <c r="AV372" s="397">
        <f t="shared" si="75"/>
        <v>1440.22</v>
      </c>
      <c r="AW372" s="398">
        <f t="shared" si="76"/>
        <v>0</v>
      </c>
      <c r="AX372" s="386" t="s">
        <v>62</v>
      </c>
    </row>
    <row r="373" spans="2:50" ht="15.75" outlineLevel="1">
      <c r="B373" s="381">
        <v>2111</v>
      </c>
      <c r="C373" s="382">
        <v>278659</v>
      </c>
      <c r="D373" s="381" t="s">
        <v>944</v>
      </c>
      <c r="E373" s="383" t="s">
        <v>4240</v>
      </c>
      <c r="F373" s="392" t="s">
        <v>4049</v>
      </c>
      <c r="G373" s="392"/>
      <c r="H373" s="392"/>
      <c r="I373" s="381">
        <v>1</v>
      </c>
      <c r="J373" s="383"/>
      <c r="K373" s="381">
        <v>0</v>
      </c>
      <c r="L373" s="383" t="s">
        <v>4046</v>
      </c>
      <c r="M373" s="383"/>
      <c r="N373" s="383" t="s">
        <v>4440</v>
      </c>
      <c r="O373" s="383" t="s">
        <v>4441</v>
      </c>
      <c r="P373" s="383"/>
      <c r="Q373" s="383"/>
      <c r="R373" s="383"/>
      <c r="S373" s="384">
        <v>44677</v>
      </c>
      <c r="T373" s="384">
        <v>44677</v>
      </c>
      <c r="U373" s="383" t="s">
        <v>4050</v>
      </c>
      <c r="V373" s="381">
        <v>300</v>
      </c>
      <c r="W373" s="381">
        <v>14110</v>
      </c>
      <c r="X373" s="385">
        <v>1440.22</v>
      </c>
      <c r="Y373" s="381">
        <v>14116</v>
      </c>
      <c r="Z373" s="385">
        <v>1160.21</v>
      </c>
      <c r="AA373" s="385">
        <f t="shared" si="67"/>
        <v>280.01</v>
      </c>
      <c r="AB373" s="385">
        <v>360.09</v>
      </c>
      <c r="AC373" s="381">
        <v>70260</v>
      </c>
      <c r="AD373" s="385">
        <v>40.01</v>
      </c>
      <c r="AE373" s="381" t="s">
        <v>944</v>
      </c>
      <c r="AF373" s="383"/>
      <c r="AG373" s="383"/>
      <c r="AH373" s="383" t="s">
        <v>57</v>
      </c>
      <c r="AI373" s="383" t="s">
        <v>4442</v>
      </c>
      <c r="AJ373" s="383" t="s">
        <v>4443</v>
      </c>
      <c r="AK373" s="389" t="s">
        <v>4437</v>
      </c>
      <c r="AL373" s="389" t="s">
        <v>370</v>
      </c>
      <c r="AM373" s="389" t="s">
        <v>135</v>
      </c>
      <c r="AN373" s="393">
        <f t="shared" si="68"/>
        <v>4</v>
      </c>
      <c r="AO373" s="393">
        <f t="shared" si="69"/>
        <v>2022</v>
      </c>
      <c r="AP373" s="394">
        <f t="shared" si="70"/>
        <v>2025</v>
      </c>
      <c r="AQ373" s="395">
        <f t="shared" si="71"/>
        <v>2025.3333333333333</v>
      </c>
      <c r="AR373" s="396">
        <f t="shared" si="72"/>
        <v>40.00611111111111</v>
      </c>
      <c r="AS373" s="397">
        <f t="shared" si="73"/>
        <v>480.07333333333332</v>
      </c>
      <c r="AT373" s="397">
        <f t="shared" si="77"/>
        <v>480.07333333333332</v>
      </c>
      <c r="AU373" s="397">
        <f t="shared" si="74"/>
        <v>960.14666666666676</v>
      </c>
      <c r="AV373" s="397">
        <f t="shared" si="75"/>
        <v>1440.22</v>
      </c>
      <c r="AW373" s="398">
        <f t="shared" si="76"/>
        <v>0</v>
      </c>
      <c r="AX373" s="386" t="s">
        <v>62</v>
      </c>
    </row>
    <row r="374" spans="2:50" ht="15.75" outlineLevel="1">
      <c r="B374" s="381">
        <v>2111</v>
      </c>
      <c r="C374" s="382">
        <v>278658</v>
      </c>
      <c r="D374" s="381" t="s">
        <v>944</v>
      </c>
      <c r="E374" s="383" t="s">
        <v>4240</v>
      </c>
      <c r="F374" s="392" t="s">
        <v>4045</v>
      </c>
      <c r="G374" s="392"/>
      <c r="H374" s="392"/>
      <c r="I374" s="381">
        <v>1</v>
      </c>
      <c r="J374" s="383"/>
      <c r="K374" s="381">
        <v>0</v>
      </c>
      <c r="L374" s="383" t="s">
        <v>4046</v>
      </c>
      <c r="M374" s="383"/>
      <c r="N374" s="383" t="s">
        <v>4440</v>
      </c>
      <c r="O374" s="383" t="s">
        <v>4441</v>
      </c>
      <c r="P374" s="383"/>
      <c r="Q374" s="383"/>
      <c r="R374" s="383"/>
      <c r="S374" s="384">
        <v>44677</v>
      </c>
      <c r="T374" s="384">
        <v>44677</v>
      </c>
      <c r="U374" s="383" t="s">
        <v>4047</v>
      </c>
      <c r="V374" s="381">
        <v>300</v>
      </c>
      <c r="W374" s="381">
        <v>14110</v>
      </c>
      <c r="X374" s="385">
        <v>871.38</v>
      </c>
      <c r="Y374" s="381">
        <v>14116</v>
      </c>
      <c r="Z374" s="385">
        <v>701.99</v>
      </c>
      <c r="AA374" s="385">
        <f t="shared" si="67"/>
        <v>169.39</v>
      </c>
      <c r="AB374" s="385">
        <v>217.89</v>
      </c>
      <c r="AC374" s="381">
        <v>70260</v>
      </c>
      <c r="AD374" s="385">
        <v>24.21</v>
      </c>
      <c r="AE374" s="381" t="s">
        <v>944</v>
      </c>
      <c r="AF374" s="383"/>
      <c r="AG374" s="383"/>
      <c r="AH374" s="383" t="s">
        <v>57</v>
      </c>
      <c r="AI374" s="383" t="s">
        <v>4442</v>
      </c>
      <c r="AJ374" s="383" t="s">
        <v>4443</v>
      </c>
      <c r="AK374" s="389" t="s">
        <v>4437</v>
      </c>
      <c r="AL374" s="389" t="s">
        <v>370</v>
      </c>
      <c r="AM374" s="389" t="s">
        <v>135</v>
      </c>
      <c r="AN374" s="393">
        <f t="shared" si="68"/>
        <v>4</v>
      </c>
      <c r="AO374" s="393">
        <f t="shared" si="69"/>
        <v>2022</v>
      </c>
      <c r="AP374" s="394">
        <f t="shared" si="70"/>
        <v>2025</v>
      </c>
      <c r="AQ374" s="395">
        <f t="shared" si="71"/>
        <v>2025.3333333333333</v>
      </c>
      <c r="AR374" s="396">
        <f t="shared" si="72"/>
        <v>24.204999999999998</v>
      </c>
      <c r="AS374" s="397">
        <f t="shared" si="73"/>
        <v>290.45999999999998</v>
      </c>
      <c r="AT374" s="397">
        <f t="shared" si="77"/>
        <v>290.45999999999998</v>
      </c>
      <c r="AU374" s="397">
        <f t="shared" si="74"/>
        <v>580.92000000000007</v>
      </c>
      <c r="AV374" s="397">
        <f t="shared" si="75"/>
        <v>871.38000000000011</v>
      </c>
      <c r="AW374" s="398">
        <f t="shared" si="76"/>
        <v>0</v>
      </c>
      <c r="AX374" s="386" t="s">
        <v>62</v>
      </c>
    </row>
    <row r="375" spans="2:50" ht="15.75" outlineLevel="1">
      <c r="B375" s="381">
        <v>2111</v>
      </c>
      <c r="C375" s="382">
        <v>278098</v>
      </c>
      <c r="D375" s="381" t="s">
        <v>944</v>
      </c>
      <c r="E375" s="383" t="s">
        <v>4240</v>
      </c>
      <c r="F375" s="392" t="s">
        <v>1277</v>
      </c>
      <c r="G375" s="392"/>
      <c r="H375" s="392"/>
      <c r="I375" s="381">
        <v>1</v>
      </c>
      <c r="J375" s="383" t="s">
        <v>4043</v>
      </c>
      <c r="K375" s="381">
        <v>2003</v>
      </c>
      <c r="L375" s="383" t="s">
        <v>2378</v>
      </c>
      <c r="M375" s="383" t="s">
        <v>1522</v>
      </c>
      <c r="N375" s="383" t="s">
        <v>4445</v>
      </c>
      <c r="O375" s="383" t="s">
        <v>4441</v>
      </c>
      <c r="P375" s="383" t="s">
        <v>4463</v>
      </c>
      <c r="Q375" s="383"/>
      <c r="R375" s="383"/>
      <c r="S375" s="384">
        <v>37712</v>
      </c>
      <c r="T375" s="384">
        <v>37652</v>
      </c>
      <c r="U375" s="383" t="s">
        <v>4044</v>
      </c>
      <c r="V375" s="381">
        <v>1000</v>
      </c>
      <c r="W375" s="381">
        <v>14040</v>
      </c>
      <c r="X375" s="385">
        <v>123452.02</v>
      </c>
      <c r="Y375" s="381">
        <v>14046</v>
      </c>
      <c r="Z375" s="385">
        <v>123452.02</v>
      </c>
      <c r="AA375" s="385">
        <f t="shared" si="67"/>
        <v>0</v>
      </c>
      <c r="AB375" s="385">
        <v>0</v>
      </c>
      <c r="AC375" s="381">
        <v>51260</v>
      </c>
      <c r="AD375" s="385">
        <v>0</v>
      </c>
      <c r="AE375" s="381" t="s">
        <v>944</v>
      </c>
      <c r="AF375" s="383"/>
      <c r="AG375" s="383">
        <v>603</v>
      </c>
      <c r="AH375" s="383" t="s">
        <v>57</v>
      </c>
      <c r="AI375" s="383" t="s">
        <v>4442</v>
      </c>
      <c r="AJ375" s="383" t="s">
        <v>4443</v>
      </c>
      <c r="AK375" s="389" t="s">
        <v>4437</v>
      </c>
      <c r="AL375" s="389" t="s">
        <v>3939</v>
      </c>
      <c r="AM375" s="389" t="s">
        <v>3939</v>
      </c>
      <c r="AN375" s="393">
        <f t="shared" si="68"/>
        <v>4</v>
      </c>
      <c r="AO375" s="393">
        <f t="shared" si="69"/>
        <v>2003</v>
      </c>
      <c r="AP375" s="394">
        <f t="shared" si="70"/>
        <v>2013</v>
      </c>
      <c r="AQ375" s="395">
        <f t="shared" si="71"/>
        <v>2013.3333333333333</v>
      </c>
      <c r="AR375" s="396">
        <f t="shared" si="72"/>
        <v>1028.7668333333334</v>
      </c>
      <c r="AS375" s="397">
        <f t="shared" si="73"/>
        <v>12345.202000000001</v>
      </c>
      <c r="AT375" s="397">
        <f t="shared" si="77"/>
        <v>0</v>
      </c>
      <c r="AU375" s="397">
        <f t="shared" si="74"/>
        <v>123452.02</v>
      </c>
      <c r="AV375" s="397">
        <f t="shared" si="75"/>
        <v>123452.02</v>
      </c>
      <c r="AW375" s="398">
        <f t="shared" si="76"/>
        <v>0</v>
      </c>
      <c r="AX375" s="386" t="s">
        <v>62</v>
      </c>
    </row>
    <row r="376" spans="2:50" ht="15.75" outlineLevel="1">
      <c r="B376" s="381">
        <v>2111</v>
      </c>
      <c r="C376" s="382">
        <v>278097</v>
      </c>
      <c r="D376" s="381" t="s">
        <v>944</v>
      </c>
      <c r="E376" s="383" t="s">
        <v>4240</v>
      </c>
      <c r="F376" s="392" t="s">
        <v>1277</v>
      </c>
      <c r="G376" s="392"/>
      <c r="H376" s="392"/>
      <c r="I376" s="381">
        <v>1</v>
      </c>
      <c r="J376" s="383" t="s">
        <v>4041</v>
      </c>
      <c r="K376" s="381">
        <v>2003</v>
      </c>
      <c r="L376" s="383" t="s">
        <v>2378</v>
      </c>
      <c r="M376" s="383" t="s">
        <v>1522</v>
      </c>
      <c r="N376" s="383" t="s">
        <v>4445</v>
      </c>
      <c r="O376" s="383" t="s">
        <v>4441</v>
      </c>
      <c r="P376" s="383" t="s">
        <v>4463</v>
      </c>
      <c r="Q376" s="383"/>
      <c r="R376" s="383"/>
      <c r="S376" s="384">
        <v>37712</v>
      </c>
      <c r="T376" s="384">
        <v>37652</v>
      </c>
      <c r="U376" s="383" t="s">
        <v>4042</v>
      </c>
      <c r="V376" s="381">
        <v>1000</v>
      </c>
      <c r="W376" s="381">
        <v>14040</v>
      </c>
      <c r="X376" s="385">
        <v>123452.02</v>
      </c>
      <c r="Y376" s="381">
        <v>14046</v>
      </c>
      <c r="Z376" s="385">
        <v>123452.02</v>
      </c>
      <c r="AA376" s="385">
        <f t="shared" si="67"/>
        <v>0</v>
      </c>
      <c r="AB376" s="385">
        <v>0</v>
      </c>
      <c r="AC376" s="381">
        <v>51260</v>
      </c>
      <c r="AD376" s="385">
        <v>0</v>
      </c>
      <c r="AE376" s="381" t="s">
        <v>944</v>
      </c>
      <c r="AF376" s="383"/>
      <c r="AG376" s="383">
        <v>605</v>
      </c>
      <c r="AH376" s="383" t="s">
        <v>57</v>
      </c>
      <c r="AI376" s="383" t="s">
        <v>4442</v>
      </c>
      <c r="AJ376" s="383" t="s">
        <v>4443</v>
      </c>
      <c r="AK376" s="389" t="s">
        <v>4437</v>
      </c>
      <c r="AL376" s="389" t="s">
        <v>3939</v>
      </c>
      <c r="AM376" s="389" t="s">
        <v>3939</v>
      </c>
      <c r="AN376" s="393">
        <f t="shared" si="68"/>
        <v>4</v>
      </c>
      <c r="AO376" s="393">
        <f t="shared" si="69"/>
        <v>2003</v>
      </c>
      <c r="AP376" s="394">
        <f t="shared" si="70"/>
        <v>2013</v>
      </c>
      <c r="AQ376" s="395">
        <f t="shared" si="71"/>
        <v>2013.3333333333333</v>
      </c>
      <c r="AR376" s="396">
        <f t="shared" si="72"/>
        <v>1028.7668333333334</v>
      </c>
      <c r="AS376" s="397">
        <f t="shared" si="73"/>
        <v>12345.202000000001</v>
      </c>
      <c r="AT376" s="397">
        <f t="shared" si="77"/>
        <v>0</v>
      </c>
      <c r="AU376" s="397">
        <f t="shared" si="74"/>
        <v>123452.02</v>
      </c>
      <c r="AV376" s="397">
        <f t="shared" si="75"/>
        <v>123452.02</v>
      </c>
      <c r="AW376" s="398">
        <f t="shared" si="76"/>
        <v>0</v>
      </c>
      <c r="AX376" s="386" t="s">
        <v>62</v>
      </c>
    </row>
    <row r="377" spans="2:50" ht="15.75" outlineLevel="1">
      <c r="B377" s="381">
        <v>2111</v>
      </c>
      <c r="C377" s="382">
        <v>278096</v>
      </c>
      <c r="D377" s="381">
        <v>278095</v>
      </c>
      <c r="E377" s="383" t="s">
        <v>4240</v>
      </c>
      <c r="F377" s="392" t="s">
        <v>389</v>
      </c>
      <c r="G377" s="392"/>
      <c r="H377" s="392"/>
      <c r="I377" s="381">
        <v>1</v>
      </c>
      <c r="J377" s="383"/>
      <c r="K377" s="381">
        <v>0</v>
      </c>
      <c r="L377" s="383" t="s">
        <v>2698</v>
      </c>
      <c r="M377" s="383"/>
      <c r="N377" s="383" t="s">
        <v>4445</v>
      </c>
      <c r="O377" s="383" t="s">
        <v>4441</v>
      </c>
      <c r="P377" s="383" t="s">
        <v>1467</v>
      </c>
      <c r="Q377" s="383"/>
      <c r="R377" s="383"/>
      <c r="S377" s="384">
        <v>42460</v>
      </c>
      <c r="T377" s="384">
        <v>42460</v>
      </c>
      <c r="U377" s="383" t="s">
        <v>4040</v>
      </c>
      <c r="V377" s="381">
        <v>300</v>
      </c>
      <c r="W377" s="381">
        <v>14040</v>
      </c>
      <c r="X377" s="385">
        <v>20149.599999999999</v>
      </c>
      <c r="Y377" s="381">
        <v>14046</v>
      </c>
      <c r="Z377" s="385">
        <v>20149.599999999999</v>
      </c>
      <c r="AA377" s="385">
        <f t="shared" si="67"/>
        <v>0</v>
      </c>
      <c r="AB377" s="385">
        <v>0</v>
      </c>
      <c r="AC377" s="381">
        <v>51260</v>
      </c>
      <c r="AD377" s="385">
        <v>0</v>
      </c>
      <c r="AE377" s="381" t="s">
        <v>944</v>
      </c>
      <c r="AF377" s="383"/>
      <c r="AG377" s="383"/>
      <c r="AH377" s="383" t="s">
        <v>57</v>
      </c>
      <c r="AI377" s="383" t="s">
        <v>4442</v>
      </c>
      <c r="AJ377" s="383" t="s">
        <v>4443</v>
      </c>
      <c r="AK377" s="389" t="s">
        <v>4437</v>
      </c>
      <c r="AL377" s="389" t="s">
        <v>3939</v>
      </c>
      <c r="AM377" s="389" t="s">
        <v>3939</v>
      </c>
      <c r="AN377" s="393">
        <f t="shared" si="68"/>
        <v>3</v>
      </c>
      <c r="AO377" s="393">
        <f t="shared" si="69"/>
        <v>2016</v>
      </c>
      <c r="AP377" s="394">
        <f t="shared" si="70"/>
        <v>2019</v>
      </c>
      <c r="AQ377" s="395">
        <f t="shared" si="71"/>
        <v>2019.25</v>
      </c>
      <c r="AR377" s="396">
        <f t="shared" si="72"/>
        <v>559.71111111111111</v>
      </c>
      <c r="AS377" s="397">
        <f t="shared" si="73"/>
        <v>6716.5333333333328</v>
      </c>
      <c r="AT377" s="397">
        <f t="shared" si="77"/>
        <v>0</v>
      </c>
      <c r="AU377" s="397">
        <f t="shared" si="74"/>
        <v>20149.599999999999</v>
      </c>
      <c r="AV377" s="397">
        <f t="shared" si="75"/>
        <v>20149.599999999999</v>
      </c>
      <c r="AW377" s="398">
        <f t="shared" si="76"/>
        <v>0</v>
      </c>
      <c r="AX377" s="386" t="s">
        <v>62</v>
      </c>
    </row>
    <row r="378" spans="2:50" ht="15.75" outlineLevel="1">
      <c r="B378" s="381">
        <v>2111</v>
      </c>
      <c r="C378" s="382">
        <v>278095</v>
      </c>
      <c r="D378" s="381" t="s">
        <v>944</v>
      </c>
      <c r="E378" s="383" t="s">
        <v>4240</v>
      </c>
      <c r="F378" s="392" t="s">
        <v>1277</v>
      </c>
      <c r="G378" s="392"/>
      <c r="H378" s="392"/>
      <c r="I378" s="381">
        <v>1</v>
      </c>
      <c r="J378" s="383" t="s">
        <v>4038</v>
      </c>
      <c r="K378" s="381">
        <v>2003</v>
      </c>
      <c r="L378" s="383" t="s">
        <v>2378</v>
      </c>
      <c r="M378" s="383" t="s">
        <v>1522</v>
      </c>
      <c r="N378" s="383" t="s">
        <v>4445</v>
      </c>
      <c r="O378" s="383" t="s">
        <v>4441</v>
      </c>
      <c r="P378" s="383" t="s">
        <v>4463</v>
      </c>
      <c r="Q378" s="383"/>
      <c r="R378" s="383"/>
      <c r="S378" s="384">
        <v>37712</v>
      </c>
      <c r="T378" s="384">
        <v>37652</v>
      </c>
      <c r="U378" s="383" t="s">
        <v>4039</v>
      </c>
      <c r="V378" s="381">
        <v>1000</v>
      </c>
      <c r="W378" s="381">
        <v>14040</v>
      </c>
      <c r="X378" s="385">
        <v>123452.02</v>
      </c>
      <c r="Y378" s="381">
        <v>14046</v>
      </c>
      <c r="Z378" s="385">
        <v>123452.02</v>
      </c>
      <c r="AA378" s="385">
        <f t="shared" si="67"/>
        <v>0</v>
      </c>
      <c r="AB378" s="385">
        <v>0</v>
      </c>
      <c r="AC378" s="381">
        <v>51260</v>
      </c>
      <c r="AD378" s="385">
        <v>0</v>
      </c>
      <c r="AE378" s="381" t="s">
        <v>944</v>
      </c>
      <c r="AF378" s="383"/>
      <c r="AG378" s="383">
        <v>607</v>
      </c>
      <c r="AH378" s="383" t="s">
        <v>57</v>
      </c>
      <c r="AI378" s="383" t="s">
        <v>4442</v>
      </c>
      <c r="AJ378" s="383" t="s">
        <v>4443</v>
      </c>
      <c r="AK378" s="389" t="s">
        <v>4437</v>
      </c>
      <c r="AL378" s="389" t="s">
        <v>3939</v>
      </c>
      <c r="AM378" s="389" t="s">
        <v>3939</v>
      </c>
      <c r="AN378" s="393">
        <f t="shared" si="68"/>
        <v>4</v>
      </c>
      <c r="AO378" s="393">
        <f t="shared" si="69"/>
        <v>2003</v>
      </c>
      <c r="AP378" s="394">
        <f t="shared" si="70"/>
        <v>2013</v>
      </c>
      <c r="AQ378" s="395">
        <f t="shared" si="71"/>
        <v>2013.3333333333333</v>
      </c>
      <c r="AR378" s="396">
        <f t="shared" si="72"/>
        <v>1028.7668333333334</v>
      </c>
      <c r="AS378" s="397">
        <f t="shared" si="73"/>
        <v>12345.202000000001</v>
      </c>
      <c r="AT378" s="397">
        <f t="shared" si="77"/>
        <v>0</v>
      </c>
      <c r="AU378" s="397">
        <f t="shared" si="74"/>
        <v>123452.02</v>
      </c>
      <c r="AV378" s="397">
        <f t="shared" si="75"/>
        <v>123452.02</v>
      </c>
      <c r="AW378" s="398">
        <f t="shared" si="76"/>
        <v>0</v>
      </c>
      <c r="AX378" s="386" t="s">
        <v>62</v>
      </c>
    </row>
    <row r="379" spans="2:50" ht="15.75" outlineLevel="1">
      <c r="B379" s="381">
        <v>2111</v>
      </c>
      <c r="C379" s="382">
        <v>278093</v>
      </c>
      <c r="D379" s="381" t="s">
        <v>944</v>
      </c>
      <c r="E379" s="383" t="s">
        <v>4240</v>
      </c>
      <c r="F379" s="392" t="s">
        <v>1243</v>
      </c>
      <c r="G379" s="392"/>
      <c r="H379" s="392"/>
      <c r="I379" s="381">
        <v>1</v>
      </c>
      <c r="J379" s="383" t="s">
        <v>4032</v>
      </c>
      <c r="K379" s="381">
        <v>2016</v>
      </c>
      <c r="L379" s="383"/>
      <c r="M379" s="383" t="s">
        <v>4024</v>
      </c>
      <c r="N379" s="383" t="s">
        <v>4445</v>
      </c>
      <c r="O379" s="383" t="s">
        <v>4441</v>
      </c>
      <c r="P379" s="383" t="s">
        <v>4482</v>
      </c>
      <c r="Q379" s="383"/>
      <c r="R379" s="383"/>
      <c r="S379" s="384">
        <v>42369</v>
      </c>
      <c r="T379" s="384">
        <v>42369</v>
      </c>
      <c r="U379" s="383" t="s">
        <v>4033</v>
      </c>
      <c r="V379" s="381">
        <v>1000</v>
      </c>
      <c r="W379" s="381">
        <v>14040</v>
      </c>
      <c r="X379" s="385">
        <v>325201.34000000003</v>
      </c>
      <c r="Y379" s="381">
        <v>14046</v>
      </c>
      <c r="Z379" s="385">
        <v>284551.13</v>
      </c>
      <c r="AA379" s="385">
        <f t="shared" si="67"/>
        <v>40650.210000000021</v>
      </c>
      <c r="AB379" s="385">
        <v>24390.09</v>
      </c>
      <c r="AC379" s="381">
        <v>51260</v>
      </c>
      <c r="AD379" s="385">
        <v>2710.01</v>
      </c>
      <c r="AE379" s="381" t="s">
        <v>944</v>
      </c>
      <c r="AF379" s="383"/>
      <c r="AG379" s="383">
        <v>835</v>
      </c>
      <c r="AH379" s="383" t="s">
        <v>57</v>
      </c>
      <c r="AI379" s="383" t="s">
        <v>4442</v>
      </c>
      <c r="AJ379" s="383" t="s">
        <v>4443</v>
      </c>
      <c r="AK379" s="389" t="s">
        <v>4437</v>
      </c>
      <c r="AL379" s="389" t="s">
        <v>3940</v>
      </c>
      <c r="AM379" s="389" t="s">
        <v>3940</v>
      </c>
      <c r="AN379" s="393">
        <f t="shared" si="68"/>
        <v>12</v>
      </c>
      <c r="AO379" s="393">
        <f t="shared" si="69"/>
        <v>2015</v>
      </c>
      <c r="AP379" s="394">
        <f t="shared" si="70"/>
        <v>2025</v>
      </c>
      <c r="AQ379" s="395">
        <f t="shared" si="71"/>
        <v>2026</v>
      </c>
      <c r="AR379" s="396">
        <f t="shared" si="72"/>
        <v>2710.0111666666667</v>
      </c>
      <c r="AS379" s="397">
        <f t="shared" si="73"/>
        <v>32520.133999999998</v>
      </c>
      <c r="AT379" s="397">
        <f t="shared" si="77"/>
        <v>32520.133999999998</v>
      </c>
      <c r="AU379" s="397">
        <f t="shared" si="74"/>
        <v>271001.11666666425</v>
      </c>
      <c r="AV379" s="397">
        <f t="shared" si="75"/>
        <v>303521.25066666427</v>
      </c>
      <c r="AW379" s="398">
        <f t="shared" si="76"/>
        <v>21680.089333335753</v>
      </c>
      <c r="AX379" s="386" t="s">
        <v>62</v>
      </c>
    </row>
    <row r="380" spans="2:50" ht="15.75" outlineLevel="1">
      <c r="B380" s="381">
        <v>2111</v>
      </c>
      <c r="C380" s="382">
        <v>278092</v>
      </c>
      <c r="D380" s="381" t="s">
        <v>944</v>
      </c>
      <c r="E380" s="383" t="s">
        <v>4240</v>
      </c>
      <c r="F380" s="392" t="s">
        <v>1243</v>
      </c>
      <c r="G380" s="392"/>
      <c r="H380" s="392"/>
      <c r="I380" s="381">
        <v>1</v>
      </c>
      <c r="J380" s="383" t="s">
        <v>4030</v>
      </c>
      <c r="K380" s="381">
        <v>2016</v>
      </c>
      <c r="L380" s="383"/>
      <c r="M380" s="383" t="s">
        <v>4024</v>
      </c>
      <c r="N380" s="383" t="s">
        <v>4445</v>
      </c>
      <c r="O380" s="383" t="s">
        <v>4441</v>
      </c>
      <c r="P380" s="383" t="s">
        <v>4482</v>
      </c>
      <c r="Q380" s="383"/>
      <c r="R380" s="383"/>
      <c r="S380" s="384">
        <v>42369</v>
      </c>
      <c r="T380" s="384">
        <v>42369</v>
      </c>
      <c r="U380" s="383" t="s">
        <v>4031</v>
      </c>
      <c r="V380" s="381">
        <v>900</v>
      </c>
      <c r="W380" s="381">
        <v>14040</v>
      </c>
      <c r="X380" s="385">
        <v>325233.34000000003</v>
      </c>
      <c r="Y380" s="381">
        <v>14046</v>
      </c>
      <c r="Z380" s="385">
        <v>316199.09999999998</v>
      </c>
      <c r="AA380" s="385">
        <f t="shared" si="67"/>
        <v>9034.2400000000489</v>
      </c>
      <c r="AB380" s="385">
        <v>27102.78</v>
      </c>
      <c r="AC380" s="381">
        <v>51260</v>
      </c>
      <c r="AD380" s="385">
        <v>3011.42</v>
      </c>
      <c r="AE380" s="381" t="s">
        <v>944</v>
      </c>
      <c r="AF380" s="383"/>
      <c r="AG380" s="383">
        <v>834</v>
      </c>
      <c r="AH380" s="383" t="s">
        <v>57</v>
      </c>
      <c r="AI380" s="383" t="s">
        <v>4442</v>
      </c>
      <c r="AJ380" s="383" t="s">
        <v>4443</v>
      </c>
      <c r="AK380" s="389" t="s">
        <v>4437</v>
      </c>
      <c r="AL380" s="389" t="s">
        <v>3940</v>
      </c>
      <c r="AM380" s="389" t="s">
        <v>3940</v>
      </c>
      <c r="AN380" s="393">
        <f t="shared" si="68"/>
        <v>12</v>
      </c>
      <c r="AO380" s="393">
        <f t="shared" si="69"/>
        <v>2015</v>
      </c>
      <c r="AP380" s="394">
        <f t="shared" si="70"/>
        <v>2024</v>
      </c>
      <c r="AQ380" s="395">
        <f t="shared" si="71"/>
        <v>2025</v>
      </c>
      <c r="AR380" s="396">
        <f t="shared" si="72"/>
        <v>3011.4198148148153</v>
      </c>
      <c r="AS380" s="397">
        <f t="shared" si="73"/>
        <v>36137.037777777783</v>
      </c>
      <c r="AT380" s="410" t="e">
        <f>+#REF!</f>
        <v>#REF!</v>
      </c>
      <c r="AU380" s="397">
        <f t="shared" si="74"/>
        <v>301141.98148147878</v>
      </c>
      <c r="AV380" s="397">
        <f t="shared" si="75"/>
        <v>325233.34000000003</v>
      </c>
      <c r="AW380" s="398">
        <f t="shared" si="76"/>
        <v>0</v>
      </c>
      <c r="AX380" s="386" t="s">
        <v>62</v>
      </c>
    </row>
    <row r="381" spans="2:50" ht="15.75" outlineLevel="1">
      <c r="B381" s="381">
        <v>2111</v>
      </c>
      <c r="C381" s="382">
        <v>278091</v>
      </c>
      <c r="D381" s="381" t="s">
        <v>944</v>
      </c>
      <c r="E381" s="383" t="s">
        <v>4240</v>
      </c>
      <c r="F381" s="392" t="s">
        <v>1243</v>
      </c>
      <c r="G381" s="392"/>
      <c r="H381" s="392"/>
      <c r="I381" s="381">
        <v>1</v>
      </c>
      <c r="J381" s="383" t="s">
        <v>4027</v>
      </c>
      <c r="K381" s="381">
        <v>2016</v>
      </c>
      <c r="L381" s="383"/>
      <c r="M381" s="383"/>
      <c r="N381" s="383" t="s">
        <v>4445</v>
      </c>
      <c r="O381" s="383" t="s">
        <v>4441</v>
      </c>
      <c r="P381" s="383" t="s">
        <v>4482</v>
      </c>
      <c r="Q381" s="383"/>
      <c r="R381" s="383"/>
      <c r="S381" s="384">
        <v>42312</v>
      </c>
      <c r="T381" s="384">
        <v>42312</v>
      </c>
      <c r="U381" s="383" t="s">
        <v>4028</v>
      </c>
      <c r="V381" s="381">
        <v>1000</v>
      </c>
      <c r="W381" s="381">
        <v>14040</v>
      </c>
      <c r="X381" s="385">
        <v>326369.78000000003</v>
      </c>
      <c r="Y381" s="381">
        <v>14046</v>
      </c>
      <c r="Z381" s="385">
        <v>291013.09000000003</v>
      </c>
      <c r="AA381" s="385">
        <f t="shared" si="67"/>
        <v>35356.69</v>
      </c>
      <c r="AB381" s="385">
        <v>24477.75</v>
      </c>
      <c r="AC381" s="381">
        <v>51260</v>
      </c>
      <c r="AD381" s="385">
        <v>2719.75</v>
      </c>
      <c r="AE381" s="381" t="s">
        <v>944</v>
      </c>
      <c r="AF381" s="383"/>
      <c r="AG381" s="383">
        <v>833</v>
      </c>
      <c r="AH381" s="383" t="s">
        <v>57</v>
      </c>
      <c r="AI381" s="383" t="s">
        <v>4442</v>
      </c>
      <c r="AJ381" s="383" t="s">
        <v>4443</v>
      </c>
      <c r="AK381" s="389" t="s">
        <v>4437</v>
      </c>
      <c r="AL381" s="389" t="s">
        <v>3940</v>
      </c>
      <c r="AM381" s="389" t="s">
        <v>3940</v>
      </c>
      <c r="AN381" s="393">
        <f t="shared" si="68"/>
        <v>11</v>
      </c>
      <c r="AO381" s="393">
        <f t="shared" si="69"/>
        <v>2015</v>
      </c>
      <c r="AP381" s="394">
        <f t="shared" si="70"/>
        <v>2025</v>
      </c>
      <c r="AQ381" s="395">
        <f t="shared" si="71"/>
        <v>2025.9166666666667</v>
      </c>
      <c r="AR381" s="396">
        <f t="shared" si="72"/>
        <v>2719.7481666666667</v>
      </c>
      <c r="AS381" s="397">
        <f t="shared" si="73"/>
        <v>32636.978000000003</v>
      </c>
      <c r="AT381" s="397">
        <f t="shared" ref="AT381:AT395" si="78">IF(AQ381&lt;=$AK$12,0,AS381)</f>
        <v>32636.978000000003</v>
      </c>
      <c r="AU381" s="397">
        <f t="shared" si="74"/>
        <v>274694.56483332842</v>
      </c>
      <c r="AV381" s="397">
        <f t="shared" si="75"/>
        <v>307331.54283332842</v>
      </c>
      <c r="AW381" s="398">
        <f t="shared" si="76"/>
        <v>19038.237166671606</v>
      </c>
      <c r="AX381" s="386" t="s">
        <v>62</v>
      </c>
    </row>
    <row r="382" spans="2:50" ht="15.75" outlineLevel="1">
      <c r="B382" s="381">
        <v>2111</v>
      </c>
      <c r="C382" s="382">
        <v>278090</v>
      </c>
      <c r="D382" s="381" t="s">
        <v>944</v>
      </c>
      <c r="E382" s="383" t="s">
        <v>4240</v>
      </c>
      <c r="F382" s="392" t="s">
        <v>1243</v>
      </c>
      <c r="G382" s="392"/>
      <c r="H382" s="392"/>
      <c r="I382" s="381">
        <v>1</v>
      </c>
      <c r="J382" s="383" t="s">
        <v>4023</v>
      </c>
      <c r="K382" s="381">
        <v>2015</v>
      </c>
      <c r="L382" s="383"/>
      <c r="M382" s="383" t="s">
        <v>4024</v>
      </c>
      <c r="N382" s="383" t="s">
        <v>4445</v>
      </c>
      <c r="O382" s="383" t="s">
        <v>4441</v>
      </c>
      <c r="P382" s="383" t="s">
        <v>4482</v>
      </c>
      <c r="Q382" s="383"/>
      <c r="R382" s="383"/>
      <c r="S382" s="384">
        <v>42125</v>
      </c>
      <c r="T382" s="384">
        <v>42125</v>
      </c>
      <c r="U382" s="383" t="s">
        <v>4025</v>
      </c>
      <c r="V382" s="381">
        <v>1000</v>
      </c>
      <c r="W382" s="381">
        <v>14040</v>
      </c>
      <c r="X382" s="385">
        <v>329760.08</v>
      </c>
      <c r="Y382" s="381">
        <v>14046</v>
      </c>
      <c r="Z382" s="385">
        <v>310524.09000000003</v>
      </c>
      <c r="AA382" s="385">
        <f t="shared" si="67"/>
        <v>19235.989999999991</v>
      </c>
      <c r="AB382" s="385">
        <v>24732</v>
      </c>
      <c r="AC382" s="381">
        <v>51260</v>
      </c>
      <c r="AD382" s="385">
        <v>2748</v>
      </c>
      <c r="AE382" s="381" t="s">
        <v>944</v>
      </c>
      <c r="AF382" s="383"/>
      <c r="AG382" s="383">
        <v>830</v>
      </c>
      <c r="AH382" s="383" t="s">
        <v>57</v>
      </c>
      <c r="AI382" s="383" t="s">
        <v>4442</v>
      </c>
      <c r="AJ382" s="383" t="s">
        <v>4443</v>
      </c>
      <c r="AK382" s="389" t="s">
        <v>4437</v>
      </c>
      <c r="AL382" s="389" t="s">
        <v>3940</v>
      </c>
      <c r="AM382" s="389" t="s">
        <v>3940</v>
      </c>
      <c r="AN382" s="393">
        <f t="shared" si="68"/>
        <v>5</v>
      </c>
      <c r="AO382" s="393">
        <f t="shared" si="69"/>
        <v>2015</v>
      </c>
      <c r="AP382" s="394">
        <f t="shared" si="70"/>
        <v>2025</v>
      </c>
      <c r="AQ382" s="395">
        <f t="shared" si="71"/>
        <v>2025.4166666666667</v>
      </c>
      <c r="AR382" s="396">
        <f t="shared" si="72"/>
        <v>2748.0006666666668</v>
      </c>
      <c r="AS382" s="397">
        <f t="shared" si="73"/>
        <v>32976.008000000002</v>
      </c>
      <c r="AT382" s="397">
        <f t="shared" si="78"/>
        <v>32976.008000000002</v>
      </c>
      <c r="AU382" s="397">
        <f t="shared" si="74"/>
        <v>294036.07133332838</v>
      </c>
      <c r="AV382" s="397">
        <f t="shared" si="75"/>
        <v>327012.07933332841</v>
      </c>
      <c r="AW382" s="398">
        <f t="shared" si="76"/>
        <v>2748.0006666716072</v>
      </c>
      <c r="AX382" s="386" t="s">
        <v>62</v>
      </c>
    </row>
    <row r="383" spans="2:50" ht="15.75" outlineLevel="1">
      <c r="B383" s="381">
        <v>2111</v>
      </c>
      <c r="C383" s="382">
        <v>278089</v>
      </c>
      <c r="D383" s="381" t="s">
        <v>944</v>
      </c>
      <c r="E383" s="383" t="s">
        <v>4240</v>
      </c>
      <c r="F383" s="392" t="s">
        <v>4019</v>
      </c>
      <c r="G383" s="392"/>
      <c r="H383" s="392"/>
      <c r="I383" s="381">
        <v>1</v>
      </c>
      <c r="J383" s="383" t="s">
        <v>4020</v>
      </c>
      <c r="K383" s="381">
        <v>1994</v>
      </c>
      <c r="L383" s="383" t="s">
        <v>4022</v>
      </c>
      <c r="M383" s="383" t="s">
        <v>2214</v>
      </c>
      <c r="N383" s="383" t="s">
        <v>4445</v>
      </c>
      <c r="O383" s="383" t="s">
        <v>4441</v>
      </c>
      <c r="P383" s="383" t="s">
        <v>4497</v>
      </c>
      <c r="Q383" s="383"/>
      <c r="R383" s="383"/>
      <c r="S383" s="384">
        <v>39755</v>
      </c>
      <c r="T383" s="384">
        <v>39755</v>
      </c>
      <c r="U383" s="383"/>
      <c r="V383" s="381">
        <v>300</v>
      </c>
      <c r="W383" s="381">
        <v>14040</v>
      </c>
      <c r="X383" s="385">
        <v>2500</v>
      </c>
      <c r="Y383" s="381">
        <v>14046</v>
      </c>
      <c r="Z383" s="385">
        <v>2500</v>
      </c>
      <c r="AA383" s="385">
        <f t="shared" si="67"/>
        <v>0</v>
      </c>
      <c r="AB383" s="385">
        <v>0</v>
      </c>
      <c r="AC383" s="381">
        <v>51260</v>
      </c>
      <c r="AD383" s="385">
        <v>0</v>
      </c>
      <c r="AE383" s="381" t="s">
        <v>410</v>
      </c>
      <c r="AF383" s="383" t="s">
        <v>1828</v>
      </c>
      <c r="AG383" s="383">
        <v>8404</v>
      </c>
      <c r="AH383" s="383" t="s">
        <v>57</v>
      </c>
      <c r="AI383" s="383" t="s">
        <v>4442</v>
      </c>
      <c r="AJ383" s="383" t="s">
        <v>4443</v>
      </c>
      <c r="AK383" s="389" t="s">
        <v>4437</v>
      </c>
      <c r="AL383" s="389" t="s">
        <v>3940</v>
      </c>
      <c r="AM383" s="389" t="s">
        <v>3940</v>
      </c>
      <c r="AN383" s="393">
        <f t="shared" si="68"/>
        <v>11</v>
      </c>
      <c r="AO383" s="393">
        <f t="shared" si="69"/>
        <v>2008</v>
      </c>
      <c r="AP383" s="394">
        <f t="shared" si="70"/>
        <v>2011</v>
      </c>
      <c r="AQ383" s="395">
        <f t="shared" si="71"/>
        <v>2011.9166666666667</v>
      </c>
      <c r="AR383" s="396">
        <f t="shared" si="72"/>
        <v>69.444444444444443</v>
      </c>
      <c r="AS383" s="397">
        <f t="shared" si="73"/>
        <v>833.33333333333326</v>
      </c>
      <c r="AT383" s="397">
        <f t="shared" si="78"/>
        <v>0</v>
      </c>
      <c r="AU383" s="397">
        <f t="shared" si="74"/>
        <v>2500</v>
      </c>
      <c r="AV383" s="397">
        <f t="shared" si="75"/>
        <v>2500</v>
      </c>
      <c r="AW383" s="398">
        <f t="shared" si="76"/>
        <v>0</v>
      </c>
      <c r="AX383" s="386" t="s">
        <v>62</v>
      </c>
    </row>
    <row r="384" spans="2:50" ht="15.75" outlineLevel="1">
      <c r="B384" s="381">
        <v>2111</v>
      </c>
      <c r="C384" s="382">
        <v>278088</v>
      </c>
      <c r="D384" s="381" t="s">
        <v>944</v>
      </c>
      <c r="E384" s="383" t="s">
        <v>4240</v>
      </c>
      <c r="F384" s="392" t="s">
        <v>1242</v>
      </c>
      <c r="G384" s="392"/>
      <c r="H384" s="392"/>
      <c r="I384" s="381">
        <v>1</v>
      </c>
      <c r="J384" s="383" t="s">
        <v>4017</v>
      </c>
      <c r="K384" s="381">
        <v>2015</v>
      </c>
      <c r="L384" s="383"/>
      <c r="M384" s="383" t="s">
        <v>1483</v>
      </c>
      <c r="N384" s="383" t="s">
        <v>4445</v>
      </c>
      <c r="O384" s="383" t="s">
        <v>4441</v>
      </c>
      <c r="P384" s="383" t="s">
        <v>4482</v>
      </c>
      <c r="Q384" s="383"/>
      <c r="R384" s="383"/>
      <c r="S384" s="384">
        <v>41942</v>
      </c>
      <c r="T384" s="384">
        <v>41942</v>
      </c>
      <c r="U384" s="383" t="s">
        <v>4018</v>
      </c>
      <c r="V384" s="381">
        <v>1000</v>
      </c>
      <c r="W384" s="381">
        <v>14040</v>
      </c>
      <c r="X384" s="385">
        <v>325021.65999999997</v>
      </c>
      <c r="Y384" s="381">
        <v>14046</v>
      </c>
      <c r="Z384" s="385">
        <v>322313.15000000002</v>
      </c>
      <c r="AA384" s="385">
        <f t="shared" si="67"/>
        <v>2708.5099999999511</v>
      </c>
      <c r="AB384" s="385">
        <v>24376.59</v>
      </c>
      <c r="AC384" s="381">
        <v>51260</v>
      </c>
      <c r="AD384" s="385">
        <v>2708.51</v>
      </c>
      <c r="AE384" s="381" t="s">
        <v>944</v>
      </c>
      <c r="AF384" s="383"/>
      <c r="AG384" s="383">
        <v>827</v>
      </c>
      <c r="AH384" s="383" t="s">
        <v>57</v>
      </c>
      <c r="AI384" s="383" t="s">
        <v>4442</v>
      </c>
      <c r="AJ384" s="383" t="s">
        <v>4443</v>
      </c>
      <c r="AK384" s="389" t="s">
        <v>4437</v>
      </c>
      <c r="AL384" s="389" t="s">
        <v>3940</v>
      </c>
      <c r="AM384" s="389" t="s">
        <v>3940</v>
      </c>
      <c r="AN384" s="393">
        <f t="shared" si="68"/>
        <v>10</v>
      </c>
      <c r="AO384" s="393">
        <f t="shared" si="69"/>
        <v>2014</v>
      </c>
      <c r="AP384" s="394">
        <f t="shared" si="70"/>
        <v>2024</v>
      </c>
      <c r="AQ384" s="395">
        <f t="shared" si="71"/>
        <v>2024.8333333333333</v>
      </c>
      <c r="AR384" s="396">
        <f t="shared" si="72"/>
        <v>2708.513833333333</v>
      </c>
      <c r="AS384" s="397">
        <f t="shared" si="73"/>
        <v>32502.165999999997</v>
      </c>
      <c r="AT384" s="397">
        <f t="shared" si="78"/>
        <v>0</v>
      </c>
      <c r="AU384" s="397">
        <f t="shared" si="74"/>
        <v>308770.57699999999</v>
      </c>
      <c r="AV384" s="397">
        <f t="shared" si="75"/>
        <v>325021.65999999997</v>
      </c>
      <c r="AW384" s="398">
        <f t="shared" si="76"/>
        <v>0</v>
      </c>
      <c r="AX384" s="386" t="s">
        <v>62</v>
      </c>
    </row>
    <row r="385" spans="2:50" ht="15.75" outlineLevel="1">
      <c r="B385" s="381">
        <v>2111</v>
      </c>
      <c r="C385" s="382">
        <v>278087</v>
      </c>
      <c r="D385" s="381" t="s">
        <v>944</v>
      </c>
      <c r="E385" s="383" t="s">
        <v>4240</v>
      </c>
      <c r="F385" s="392" t="s">
        <v>1242</v>
      </c>
      <c r="G385" s="392"/>
      <c r="H385" s="392"/>
      <c r="I385" s="381">
        <v>1</v>
      </c>
      <c r="J385" s="383" t="s">
        <v>4015</v>
      </c>
      <c r="K385" s="381">
        <v>2015</v>
      </c>
      <c r="L385" s="383"/>
      <c r="M385" s="383" t="s">
        <v>1483</v>
      </c>
      <c r="N385" s="383" t="s">
        <v>4445</v>
      </c>
      <c r="O385" s="383" t="s">
        <v>4441</v>
      </c>
      <c r="P385" s="383" t="s">
        <v>4482</v>
      </c>
      <c r="Q385" s="383"/>
      <c r="R385" s="383"/>
      <c r="S385" s="384">
        <v>41881</v>
      </c>
      <c r="T385" s="384">
        <v>41881</v>
      </c>
      <c r="U385" s="383" t="s">
        <v>4016</v>
      </c>
      <c r="V385" s="381">
        <v>1000</v>
      </c>
      <c r="W385" s="381">
        <v>14040</v>
      </c>
      <c r="X385" s="385">
        <v>325021.64</v>
      </c>
      <c r="Y385" s="381">
        <v>14046</v>
      </c>
      <c r="Z385" s="385">
        <v>325021.64</v>
      </c>
      <c r="AA385" s="385">
        <f t="shared" si="67"/>
        <v>0</v>
      </c>
      <c r="AB385" s="385">
        <v>21668.14</v>
      </c>
      <c r="AC385" s="381">
        <v>51260</v>
      </c>
      <c r="AD385" s="385">
        <v>2708.57</v>
      </c>
      <c r="AE385" s="381" t="s">
        <v>944</v>
      </c>
      <c r="AF385" s="383"/>
      <c r="AG385" s="383">
        <v>828</v>
      </c>
      <c r="AH385" s="383" t="s">
        <v>57</v>
      </c>
      <c r="AI385" s="383" t="s">
        <v>4442</v>
      </c>
      <c r="AJ385" s="383" t="s">
        <v>4443</v>
      </c>
      <c r="AK385" s="389" t="s">
        <v>4437</v>
      </c>
      <c r="AL385" s="389" t="s">
        <v>3940</v>
      </c>
      <c r="AM385" s="389" t="s">
        <v>3940</v>
      </c>
      <c r="AN385" s="393">
        <f t="shared" si="68"/>
        <v>8</v>
      </c>
      <c r="AO385" s="393">
        <f t="shared" si="69"/>
        <v>2014</v>
      </c>
      <c r="AP385" s="394">
        <f t="shared" si="70"/>
        <v>2024</v>
      </c>
      <c r="AQ385" s="395">
        <f t="shared" si="71"/>
        <v>2024.6666666666667</v>
      </c>
      <c r="AR385" s="396">
        <f t="shared" si="72"/>
        <v>2708.5136666666667</v>
      </c>
      <c r="AS385" s="397">
        <f t="shared" si="73"/>
        <v>32502.164000000001</v>
      </c>
      <c r="AT385" s="397">
        <f t="shared" si="78"/>
        <v>0</v>
      </c>
      <c r="AU385" s="397">
        <f t="shared" si="74"/>
        <v>314187.5853333284</v>
      </c>
      <c r="AV385" s="397">
        <f t="shared" si="75"/>
        <v>325021.64</v>
      </c>
      <c r="AW385" s="398">
        <f t="shared" si="76"/>
        <v>0</v>
      </c>
      <c r="AX385" s="386" t="s">
        <v>62</v>
      </c>
    </row>
    <row r="386" spans="2:50" ht="15.75" outlineLevel="1">
      <c r="B386" s="381">
        <v>2111</v>
      </c>
      <c r="C386" s="382">
        <v>278086</v>
      </c>
      <c r="D386" s="381" t="s">
        <v>944</v>
      </c>
      <c r="E386" s="383" t="s">
        <v>4240</v>
      </c>
      <c r="F386" s="392" t="s">
        <v>1242</v>
      </c>
      <c r="G386" s="392"/>
      <c r="H386" s="392"/>
      <c r="I386" s="381">
        <v>1</v>
      </c>
      <c r="J386" s="383" t="s">
        <v>4013</v>
      </c>
      <c r="K386" s="381">
        <v>2014</v>
      </c>
      <c r="L386" s="383" t="s">
        <v>2294</v>
      </c>
      <c r="M386" s="383" t="s">
        <v>1483</v>
      </c>
      <c r="N386" s="383" t="s">
        <v>4445</v>
      </c>
      <c r="O386" s="383" t="s">
        <v>4441</v>
      </c>
      <c r="P386" s="383" t="s">
        <v>4482</v>
      </c>
      <c r="Q386" s="383"/>
      <c r="R386" s="383"/>
      <c r="S386" s="384">
        <v>41673</v>
      </c>
      <c r="T386" s="384">
        <v>41673</v>
      </c>
      <c r="U386" s="383" t="s">
        <v>4014</v>
      </c>
      <c r="V386" s="381">
        <v>1000</v>
      </c>
      <c r="W386" s="381">
        <v>14040</v>
      </c>
      <c r="X386" s="385">
        <v>318992.86</v>
      </c>
      <c r="Y386" s="381">
        <v>14046</v>
      </c>
      <c r="Z386" s="385">
        <v>318992.86</v>
      </c>
      <c r="AA386" s="385">
        <f t="shared" si="67"/>
        <v>0</v>
      </c>
      <c r="AB386" s="385">
        <v>2658.24</v>
      </c>
      <c r="AC386" s="381">
        <v>51260</v>
      </c>
      <c r="AD386" s="385">
        <v>2658.24</v>
      </c>
      <c r="AE386" s="381" t="s">
        <v>944</v>
      </c>
      <c r="AF386" s="383"/>
      <c r="AG386" s="383">
        <v>824</v>
      </c>
      <c r="AH386" s="383" t="s">
        <v>57</v>
      </c>
      <c r="AI386" s="383" t="s">
        <v>4442</v>
      </c>
      <c r="AJ386" s="383" t="s">
        <v>4443</v>
      </c>
      <c r="AK386" s="389" t="s">
        <v>4437</v>
      </c>
      <c r="AL386" s="389" t="s">
        <v>3940</v>
      </c>
      <c r="AM386" s="389" t="s">
        <v>3940</v>
      </c>
      <c r="AN386" s="393">
        <f t="shared" si="68"/>
        <v>2</v>
      </c>
      <c r="AO386" s="393">
        <f t="shared" si="69"/>
        <v>2014</v>
      </c>
      <c r="AP386" s="394">
        <f t="shared" si="70"/>
        <v>2024</v>
      </c>
      <c r="AQ386" s="395">
        <f t="shared" si="71"/>
        <v>2024.1666666666667</v>
      </c>
      <c r="AR386" s="396">
        <f t="shared" si="72"/>
        <v>2658.2738333333332</v>
      </c>
      <c r="AS386" s="397">
        <f t="shared" si="73"/>
        <v>31899.286</v>
      </c>
      <c r="AT386" s="397">
        <f t="shared" si="78"/>
        <v>0</v>
      </c>
      <c r="AU386" s="397">
        <f t="shared" si="74"/>
        <v>318992.86</v>
      </c>
      <c r="AV386" s="397">
        <f t="shared" si="75"/>
        <v>318992.86</v>
      </c>
      <c r="AW386" s="398">
        <f t="shared" si="76"/>
        <v>0</v>
      </c>
      <c r="AX386" s="386" t="s">
        <v>62</v>
      </c>
    </row>
    <row r="387" spans="2:50" ht="15.75" outlineLevel="1">
      <c r="B387" s="381">
        <v>2111</v>
      </c>
      <c r="C387" s="382">
        <v>278085</v>
      </c>
      <c r="D387" s="381">
        <v>278083</v>
      </c>
      <c r="E387" s="383" t="s">
        <v>4240</v>
      </c>
      <c r="F387" s="392" t="s">
        <v>4010</v>
      </c>
      <c r="G387" s="392"/>
      <c r="H387" s="392"/>
      <c r="I387" s="381">
        <v>1</v>
      </c>
      <c r="J387" s="383"/>
      <c r="K387" s="381">
        <v>0</v>
      </c>
      <c r="L387" s="383" t="s">
        <v>4011</v>
      </c>
      <c r="M387" s="383"/>
      <c r="N387" s="383" t="s">
        <v>4445</v>
      </c>
      <c r="O387" s="383" t="s">
        <v>4441</v>
      </c>
      <c r="P387" s="383" t="s">
        <v>1467</v>
      </c>
      <c r="Q387" s="383"/>
      <c r="R387" s="383"/>
      <c r="S387" s="384">
        <v>41551</v>
      </c>
      <c r="T387" s="384">
        <v>41551</v>
      </c>
      <c r="U387" s="383" t="s">
        <v>4012</v>
      </c>
      <c r="V387" s="381">
        <v>300</v>
      </c>
      <c r="W387" s="381">
        <v>14040</v>
      </c>
      <c r="X387" s="385">
        <v>5032.3999999999996</v>
      </c>
      <c r="Y387" s="381">
        <v>14046</v>
      </c>
      <c r="Z387" s="385">
        <v>5032.3999999999996</v>
      </c>
      <c r="AA387" s="385">
        <f t="shared" si="67"/>
        <v>0</v>
      </c>
      <c r="AB387" s="385">
        <v>0</v>
      </c>
      <c r="AC387" s="381">
        <v>51260</v>
      </c>
      <c r="AD387" s="385">
        <v>0</v>
      </c>
      <c r="AE387" s="381" t="s">
        <v>944</v>
      </c>
      <c r="AF387" s="383"/>
      <c r="AG387" s="383"/>
      <c r="AH387" s="383" t="s">
        <v>57</v>
      </c>
      <c r="AI387" s="383" t="s">
        <v>4442</v>
      </c>
      <c r="AJ387" s="383" t="s">
        <v>4443</v>
      </c>
      <c r="AK387" s="389" t="s">
        <v>4437</v>
      </c>
      <c r="AL387" s="389" t="s">
        <v>3940</v>
      </c>
      <c r="AM387" s="389" t="s">
        <v>3940</v>
      </c>
      <c r="AN387" s="393">
        <f t="shared" si="68"/>
        <v>10</v>
      </c>
      <c r="AO387" s="393">
        <f t="shared" si="69"/>
        <v>2013</v>
      </c>
      <c r="AP387" s="394">
        <f t="shared" si="70"/>
        <v>2016</v>
      </c>
      <c r="AQ387" s="395">
        <f t="shared" si="71"/>
        <v>2016.8333333333333</v>
      </c>
      <c r="AR387" s="396">
        <f t="shared" si="72"/>
        <v>139.78888888888886</v>
      </c>
      <c r="AS387" s="397">
        <f t="shared" si="73"/>
        <v>1677.4666666666662</v>
      </c>
      <c r="AT387" s="397">
        <f t="shared" si="78"/>
        <v>0</v>
      </c>
      <c r="AU387" s="397">
        <f t="shared" si="74"/>
        <v>5032.3999999999996</v>
      </c>
      <c r="AV387" s="397">
        <f t="shared" si="75"/>
        <v>5032.3999999999996</v>
      </c>
      <c r="AW387" s="398">
        <f t="shared" si="76"/>
        <v>0</v>
      </c>
      <c r="AX387" s="386" t="s">
        <v>62</v>
      </c>
    </row>
    <row r="388" spans="2:50" ht="15.75" outlineLevel="1">
      <c r="B388" s="381">
        <v>2111</v>
      </c>
      <c r="C388" s="382">
        <v>278084</v>
      </c>
      <c r="D388" s="381">
        <v>278083</v>
      </c>
      <c r="E388" s="383" t="s">
        <v>4240</v>
      </c>
      <c r="F388" s="392" t="s">
        <v>4008</v>
      </c>
      <c r="G388" s="392"/>
      <c r="H388" s="392"/>
      <c r="I388" s="381">
        <v>1</v>
      </c>
      <c r="J388" s="383" t="s">
        <v>4006</v>
      </c>
      <c r="K388" s="381">
        <v>2003</v>
      </c>
      <c r="L388" s="383"/>
      <c r="M388" s="383"/>
      <c r="N388" s="383" t="s">
        <v>4445</v>
      </c>
      <c r="O388" s="383" t="s">
        <v>4441</v>
      </c>
      <c r="P388" s="383" t="s">
        <v>1467</v>
      </c>
      <c r="Q388" s="383"/>
      <c r="R388" s="383"/>
      <c r="S388" s="384">
        <v>38878</v>
      </c>
      <c r="T388" s="384">
        <v>38878</v>
      </c>
      <c r="U388" s="383" t="s">
        <v>4007</v>
      </c>
      <c r="V388" s="381">
        <v>900</v>
      </c>
      <c r="W388" s="381">
        <v>14040</v>
      </c>
      <c r="X388" s="385">
        <v>11830</v>
      </c>
      <c r="Y388" s="381">
        <v>14046</v>
      </c>
      <c r="Z388" s="385">
        <v>11830</v>
      </c>
      <c r="AA388" s="385">
        <f t="shared" si="67"/>
        <v>0</v>
      </c>
      <c r="AB388" s="385">
        <v>0</v>
      </c>
      <c r="AC388" s="381">
        <v>51260</v>
      </c>
      <c r="AD388" s="385">
        <v>0</v>
      </c>
      <c r="AE388" s="381" t="s">
        <v>944</v>
      </c>
      <c r="AF388" s="383"/>
      <c r="AG388" s="383"/>
      <c r="AH388" s="383" t="s">
        <v>57</v>
      </c>
      <c r="AI388" s="383" t="s">
        <v>4442</v>
      </c>
      <c r="AJ388" s="383" t="s">
        <v>4443</v>
      </c>
      <c r="AK388" s="389" t="s">
        <v>4437</v>
      </c>
      <c r="AL388" s="389" t="s">
        <v>3940</v>
      </c>
      <c r="AM388" s="389" t="s">
        <v>3940</v>
      </c>
      <c r="AN388" s="393">
        <f t="shared" si="68"/>
        <v>6</v>
      </c>
      <c r="AO388" s="393">
        <f t="shared" si="69"/>
        <v>2006</v>
      </c>
      <c r="AP388" s="394">
        <f t="shared" si="70"/>
        <v>2015</v>
      </c>
      <c r="AQ388" s="395">
        <f t="shared" si="71"/>
        <v>2015.5</v>
      </c>
      <c r="AR388" s="396">
        <f t="shared" si="72"/>
        <v>109.53703703703702</v>
      </c>
      <c r="AS388" s="397">
        <f t="shared" si="73"/>
        <v>1314.4444444444443</v>
      </c>
      <c r="AT388" s="397">
        <f t="shared" si="78"/>
        <v>0</v>
      </c>
      <c r="AU388" s="397">
        <f t="shared" si="74"/>
        <v>11830</v>
      </c>
      <c r="AV388" s="397">
        <f t="shared" si="75"/>
        <v>11830</v>
      </c>
      <c r="AW388" s="398">
        <f t="shared" si="76"/>
        <v>0</v>
      </c>
      <c r="AX388" s="386" t="s">
        <v>62</v>
      </c>
    </row>
    <row r="389" spans="2:50" ht="15.75" outlineLevel="1">
      <c r="B389" s="381">
        <v>2111</v>
      </c>
      <c r="C389" s="382">
        <v>278083</v>
      </c>
      <c r="D389" s="381" t="s">
        <v>944</v>
      </c>
      <c r="E389" s="383" t="s">
        <v>4240</v>
      </c>
      <c r="F389" s="392" t="s">
        <v>4005</v>
      </c>
      <c r="G389" s="392"/>
      <c r="H389" s="392"/>
      <c r="I389" s="381">
        <v>1</v>
      </c>
      <c r="J389" s="383" t="s">
        <v>4006</v>
      </c>
      <c r="K389" s="381">
        <v>2003</v>
      </c>
      <c r="L389" s="383" t="s">
        <v>2393</v>
      </c>
      <c r="M389" s="383" t="s">
        <v>1522</v>
      </c>
      <c r="N389" s="383" t="s">
        <v>4445</v>
      </c>
      <c r="O389" s="383" t="s">
        <v>4441</v>
      </c>
      <c r="P389" s="383" t="s">
        <v>4463</v>
      </c>
      <c r="Q389" s="383"/>
      <c r="R389" s="383"/>
      <c r="S389" s="384">
        <v>38808</v>
      </c>
      <c r="T389" s="384">
        <v>38808</v>
      </c>
      <c r="U389" s="383" t="s">
        <v>4007</v>
      </c>
      <c r="V389" s="381">
        <v>900</v>
      </c>
      <c r="W389" s="381">
        <v>14040</v>
      </c>
      <c r="X389" s="385">
        <v>130000</v>
      </c>
      <c r="Y389" s="381">
        <v>14046</v>
      </c>
      <c r="Z389" s="385">
        <v>130000</v>
      </c>
      <c r="AA389" s="385">
        <f t="shared" si="67"/>
        <v>0</v>
      </c>
      <c r="AB389" s="385">
        <v>0</v>
      </c>
      <c r="AC389" s="381">
        <v>51260</v>
      </c>
      <c r="AD389" s="385">
        <v>0</v>
      </c>
      <c r="AE389" s="381" t="s">
        <v>944</v>
      </c>
      <c r="AF389" s="383"/>
      <c r="AG389" s="383">
        <v>811</v>
      </c>
      <c r="AH389" s="383" t="s">
        <v>57</v>
      </c>
      <c r="AI389" s="383" t="s">
        <v>4442</v>
      </c>
      <c r="AJ389" s="383" t="s">
        <v>4443</v>
      </c>
      <c r="AK389" s="389" t="s">
        <v>4437</v>
      </c>
      <c r="AL389" s="389" t="s">
        <v>3940</v>
      </c>
      <c r="AM389" s="389" t="s">
        <v>3940</v>
      </c>
      <c r="AN389" s="393">
        <f t="shared" si="68"/>
        <v>4</v>
      </c>
      <c r="AO389" s="393">
        <f t="shared" si="69"/>
        <v>2006</v>
      </c>
      <c r="AP389" s="394">
        <f t="shared" si="70"/>
        <v>2015</v>
      </c>
      <c r="AQ389" s="395">
        <f t="shared" si="71"/>
        <v>2015.3333333333333</v>
      </c>
      <c r="AR389" s="396">
        <f t="shared" si="72"/>
        <v>1203.7037037037037</v>
      </c>
      <c r="AS389" s="397">
        <f t="shared" si="73"/>
        <v>14444.444444444445</v>
      </c>
      <c r="AT389" s="397">
        <f t="shared" si="78"/>
        <v>0</v>
      </c>
      <c r="AU389" s="397">
        <f t="shared" si="74"/>
        <v>130000</v>
      </c>
      <c r="AV389" s="397">
        <f t="shared" si="75"/>
        <v>130000</v>
      </c>
      <c r="AW389" s="398">
        <f t="shared" si="76"/>
        <v>0</v>
      </c>
      <c r="AX389" s="386" t="s">
        <v>62</v>
      </c>
    </row>
    <row r="390" spans="2:50" ht="15.75" outlineLevel="1">
      <c r="B390" s="381">
        <v>2111</v>
      </c>
      <c r="C390" s="382">
        <v>278082</v>
      </c>
      <c r="D390" s="381">
        <v>278081</v>
      </c>
      <c r="E390" s="383" t="s">
        <v>4240</v>
      </c>
      <c r="F390" s="392" t="s">
        <v>1241</v>
      </c>
      <c r="G390" s="392"/>
      <c r="H390" s="392"/>
      <c r="I390" s="381">
        <v>1</v>
      </c>
      <c r="J390" s="383"/>
      <c r="K390" s="381">
        <v>0</v>
      </c>
      <c r="L390" s="383" t="s">
        <v>4003</v>
      </c>
      <c r="M390" s="383"/>
      <c r="N390" s="383" t="s">
        <v>4445</v>
      </c>
      <c r="O390" s="383" t="s">
        <v>4441</v>
      </c>
      <c r="P390" s="383" t="s">
        <v>4482</v>
      </c>
      <c r="Q390" s="383"/>
      <c r="R390" s="383"/>
      <c r="S390" s="384">
        <v>41182</v>
      </c>
      <c r="T390" s="384">
        <v>41182</v>
      </c>
      <c r="U390" s="383" t="s">
        <v>4002</v>
      </c>
      <c r="V390" s="381">
        <v>900</v>
      </c>
      <c r="W390" s="381">
        <v>14040</v>
      </c>
      <c r="X390" s="385">
        <v>4462</v>
      </c>
      <c r="Y390" s="381">
        <v>14046</v>
      </c>
      <c r="Z390" s="385">
        <v>4462</v>
      </c>
      <c r="AA390" s="385">
        <f t="shared" si="67"/>
        <v>0</v>
      </c>
      <c r="AB390" s="385">
        <v>0</v>
      </c>
      <c r="AC390" s="381">
        <v>51260</v>
      </c>
      <c r="AD390" s="385">
        <v>0</v>
      </c>
      <c r="AE390" s="381" t="s">
        <v>944</v>
      </c>
      <c r="AF390" s="383"/>
      <c r="AG390" s="383"/>
      <c r="AH390" s="383" t="s">
        <v>57</v>
      </c>
      <c r="AI390" s="383" t="s">
        <v>4442</v>
      </c>
      <c r="AJ390" s="383" t="s">
        <v>4443</v>
      </c>
      <c r="AK390" s="389" t="s">
        <v>4437</v>
      </c>
      <c r="AL390" s="389" t="s">
        <v>3940</v>
      </c>
      <c r="AM390" s="389" t="s">
        <v>3940</v>
      </c>
      <c r="AN390" s="393">
        <f t="shared" si="68"/>
        <v>9</v>
      </c>
      <c r="AO390" s="393">
        <f t="shared" si="69"/>
        <v>2012</v>
      </c>
      <c r="AP390" s="394">
        <f t="shared" si="70"/>
        <v>2021</v>
      </c>
      <c r="AQ390" s="395">
        <f t="shared" si="71"/>
        <v>2021.75</v>
      </c>
      <c r="AR390" s="396">
        <f t="shared" si="72"/>
        <v>41.314814814814817</v>
      </c>
      <c r="AS390" s="397">
        <f t="shared" si="73"/>
        <v>495.77777777777783</v>
      </c>
      <c r="AT390" s="397">
        <f t="shared" si="78"/>
        <v>0</v>
      </c>
      <c r="AU390" s="397">
        <f t="shared" si="74"/>
        <v>4462</v>
      </c>
      <c r="AV390" s="397">
        <f t="shared" si="75"/>
        <v>4462</v>
      </c>
      <c r="AW390" s="398">
        <f t="shared" si="76"/>
        <v>0</v>
      </c>
      <c r="AX390" s="386" t="s">
        <v>62</v>
      </c>
    </row>
    <row r="391" spans="2:50" ht="15.75" outlineLevel="1">
      <c r="B391" s="381">
        <v>2111</v>
      </c>
      <c r="C391" s="382">
        <v>278081</v>
      </c>
      <c r="D391" s="381" t="s">
        <v>944</v>
      </c>
      <c r="E391" s="383" t="s">
        <v>4240</v>
      </c>
      <c r="F391" s="392" t="s">
        <v>1240</v>
      </c>
      <c r="G391" s="392"/>
      <c r="H391" s="392"/>
      <c r="I391" s="381">
        <v>1</v>
      </c>
      <c r="J391" s="383" t="s">
        <v>4001</v>
      </c>
      <c r="K391" s="381">
        <v>2012</v>
      </c>
      <c r="L391" s="383" t="s">
        <v>2300</v>
      </c>
      <c r="M391" s="383" t="s">
        <v>2190</v>
      </c>
      <c r="N391" s="383" t="s">
        <v>4445</v>
      </c>
      <c r="O391" s="383" t="s">
        <v>4441</v>
      </c>
      <c r="P391" s="383" t="s">
        <v>4482</v>
      </c>
      <c r="Q391" s="383"/>
      <c r="R391" s="383"/>
      <c r="S391" s="384">
        <v>41182</v>
      </c>
      <c r="T391" s="384">
        <v>41182</v>
      </c>
      <c r="U391" s="383" t="s">
        <v>4002</v>
      </c>
      <c r="V391" s="381">
        <v>900</v>
      </c>
      <c r="W391" s="381">
        <v>14040</v>
      </c>
      <c r="X391" s="385">
        <v>317737.38</v>
      </c>
      <c r="Y391" s="381">
        <v>14046</v>
      </c>
      <c r="Z391" s="385">
        <v>317737.38</v>
      </c>
      <c r="AA391" s="385">
        <f t="shared" si="67"/>
        <v>0</v>
      </c>
      <c r="AB391" s="385">
        <v>0</v>
      </c>
      <c r="AC391" s="381">
        <v>51260</v>
      </c>
      <c r="AD391" s="385">
        <v>0</v>
      </c>
      <c r="AE391" s="381" t="s">
        <v>944</v>
      </c>
      <c r="AF391" s="383"/>
      <c r="AG391" s="383">
        <v>821</v>
      </c>
      <c r="AH391" s="383" t="s">
        <v>57</v>
      </c>
      <c r="AI391" s="383" t="s">
        <v>4442</v>
      </c>
      <c r="AJ391" s="383" t="s">
        <v>4443</v>
      </c>
      <c r="AK391" s="389" t="s">
        <v>4437</v>
      </c>
      <c r="AL391" s="389" t="s">
        <v>3940</v>
      </c>
      <c r="AM391" s="389" t="s">
        <v>3940</v>
      </c>
      <c r="AN391" s="393">
        <f t="shared" si="68"/>
        <v>9</v>
      </c>
      <c r="AO391" s="393">
        <f t="shared" si="69"/>
        <v>2012</v>
      </c>
      <c r="AP391" s="394">
        <f t="shared" si="70"/>
        <v>2021</v>
      </c>
      <c r="AQ391" s="395">
        <f t="shared" si="71"/>
        <v>2021.75</v>
      </c>
      <c r="AR391" s="396">
        <f t="shared" si="72"/>
        <v>2942.012777777778</v>
      </c>
      <c r="AS391" s="397">
        <f t="shared" si="73"/>
        <v>35304.153333333335</v>
      </c>
      <c r="AT391" s="397">
        <f t="shared" si="78"/>
        <v>0</v>
      </c>
      <c r="AU391" s="397">
        <f t="shared" si="74"/>
        <v>317737.38</v>
      </c>
      <c r="AV391" s="397">
        <f t="shared" si="75"/>
        <v>317737.38</v>
      </c>
      <c r="AW391" s="398">
        <f t="shared" si="76"/>
        <v>0</v>
      </c>
      <c r="AX391" s="386" t="s">
        <v>62</v>
      </c>
    </row>
    <row r="392" spans="2:50" ht="15.75" outlineLevel="1">
      <c r="B392" s="381">
        <v>2111</v>
      </c>
      <c r="C392" s="382">
        <v>278080</v>
      </c>
      <c r="D392" s="381">
        <v>278078</v>
      </c>
      <c r="E392" s="383" t="s">
        <v>4240</v>
      </c>
      <c r="F392" s="392" t="s">
        <v>1239</v>
      </c>
      <c r="G392" s="392"/>
      <c r="H392" s="392"/>
      <c r="I392" s="381">
        <v>1</v>
      </c>
      <c r="J392" s="383" t="s">
        <v>3996</v>
      </c>
      <c r="K392" s="381">
        <v>2011</v>
      </c>
      <c r="L392" s="383"/>
      <c r="M392" s="383"/>
      <c r="N392" s="383" t="s">
        <v>4445</v>
      </c>
      <c r="O392" s="383" t="s">
        <v>4441</v>
      </c>
      <c r="P392" s="383" t="s">
        <v>1467</v>
      </c>
      <c r="Q392" s="383"/>
      <c r="R392" s="383"/>
      <c r="S392" s="384">
        <v>40424</v>
      </c>
      <c r="T392" s="384">
        <v>40424</v>
      </c>
      <c r="U392" s="383" t="s">
        <v>3997</v>
      </c>
      <c r="V392" s="381">
        <v>1000</v>
      </c>
      <c r="W392" s="381">
        <v>14040</v>
      </c>
      <c r="X392" s="385">
        <v>134123.07</v>
      </c>
      <c r="Y392" s="381">
        <v>14046</v>
      </c>
      <c r="Z392" s="385">
        <v>134123.07</v>
      </c>
      <c r="AA392" s="385">
        <f t="shared" si="67"/>
        <v>0</v>
      </c>
      <c r="AB392" s="385">
        <v>0</v>
      </c>
      <c r="AC392" s="381">
        <v>51260</v>
      </c>
      <c r="AD392" s="385">
        <v>0</v>
      </c>
      <c r="AE392" s="381" t="s">
        <v>944</v>
      </c>
      <c r="AF392" s="383"/>
      <c r="AG392" s="383"/>
      <c r="AH392" s="383" t="s">
        <v>57</v>
      </c>
      <c r="AI392" s="383" t="s">
        <v>4442</v>
      </c>
      <c r="AJ392" s="383" t="s">
        <v>4443</v>
      </c>
      <c r="AK392" s="389" t="s">
        <v>4437</v>
      </c>
      <c r="AL392" s="389" t="s">
        <v>3940</v>
      </c>
      <c r="AM392" s="389" t="s">
        <v>3940</v>
      </c>
      <c r="AN392" s="393">
        <f t="shared" si="68"/>
        <v>9</v>
      </c>
      <c r="AO392" s="393">
        <f t="shared" si="69"/>
        <v>2010</v>
      </c>
      <c r="AP392" s="394">
        <f t="shared" si="70"/>
        <v>2020</v>
      </c>
      <c r="AQ392" s="395">
        <f t="shared" si="71"/>
        <v>2020.75</v>
      </c>
      <c r="AR392" s="396">
        <f t="shared" si="72"/>
        <v>1117.6922500000001</v>
      </c>
      <c r="AS392" s="397">
        <f t="shared" si="73"/>
        <v>13412.307000000001</v>
      </c>
      <c r="AT392" s="397">
        <f t="shared" si="78"/>
        <v>0</v>
      </c>
      <c r="AU392" s="397">
        <f t="shared" si="74"/>
        <v>134123.07</v>
      </c>
      <c r="AV392" s="397">
        <f t="shared" si="75"/>
        <v>134123.07</v>
      </c>
      <c r="AW392" s="398">
        <f t="shared" si="76"/>
        <v>0</v>
      </c>
      <c r="AX392" s="386" t="s">
        <v>62</v>
      </c>
    </row>
    <row r="393" spans="2:50" ht="15.75" outlineLevel="1">
      <c r="B393" s="381">
        <v>2111</v>
      </c>
      <c r="C393" s="382">
        <v>278079</v>
      </c>
      <c r="D393" s="381">
        <v>278078</v>
      </c>
      <c r="E393" s="383" t="s">
        <v>4240</v>
      </c>
      <c r="F393" s="392" t="s">
        <v>1238</v>
      </c>
      <c r="G393" s="392"/>
      <c r="H393" s="392"/>
      <c r="I393" s="381">
        <v>1</v>
      </c>
      <c r="J393" s="383" t="s">
        <v>3996</v>
      </c>
      <c r="K393" s="381">
        <v>2011</v>
      </c>
      <c r="L393" s="383"/>
      <c r="M393" s="383"/>
      <c r="N393" s="383" t="s">
        <v>4445</v>
      </c>
      <c r="O393" s="383" t="s">
        <v>4441</v>
      </c>
      <c r="P393" s="383" t="s">
        <v>4482</v>
      </c>
      <c r="Q393" s="383"/>
      <c r="R393" s="383"/>
      <c r="S393" s="384">
        <v>40424</v>
      </c>
      <c r="T393" s="384">
        <v>40424</v>
      </c>
      <c r="U393" s="383" t="s">
        <v>3997</v>
      </c>
      <c r="V393" s="381">
        <v>1000</v>
      </c>
      <c r="W393" s="381">
        <v>14040</v>
      </c>
      <c r="X393" s="385">
        <v>1916.25</v>
      </c>
      <c r="Y393" s="381">
        <v>14046</v>
      </c>
      <c r="Z393" s="385">
        <v>1916.25</v>
      </c>
      <c r="AA393" s="385">
        <f t="shared" si="67"/>
        <v>0</v>
      </c>
      <c r="AB393" s="385">
        <v>0</v>
      </c>
      <c r="AC393" s="381">
        <v>51260</v>
      </c>
      <c r="AD393" s="385">
        <v>0</v>
      </c>
      <c r="AE393" s="381" t="s">
        <v>944</v>
      </c>
      <c r="AF393" s="383"/>
      <c r="AG393" s="383"/>
      <c r="AH393" s="383" t="s">
        <v>57</v>
      </c>
      <c r="AI393" s="383" t="s">
        <v>4442</v>
      </c>
      <c r="AJ393" s="383" t="s">
        <v>4443</v>
      </c>
      <c r="AK393" s="389" t="s">
        <v>4437</v>
      </c>
      <c r="AL393" s="389" t="s">
        <v>3940</v>
      </c>
      <c r="AM393" s="389" t="s">
        <v>3940</v>
      </c>
      <c r="AN393" s="393">
        <f t="shared" si="68"/>
        <v>9</v>
      </c>
      <c r="AO393" s="393">
        <f t="shared" si="69"/>
        <v>2010</v>
      </c>
      <c r="AP393" s="394">
        <f t="shared" si="70"/>
        <v>2020</v>
      </c>
      <c r="AQ393" s="395">
        <f t="shared" si="71"/>
        <v>2020.75</v>
      </c>
      <c r="AR393" s="396">
        <f t="shared" si="72"/>
        <v>15.96875</v>
      </c>
      <c r="AS393" s="397">
        <f t="shared" si="73"/>
        <v>191.625</v>
      </c>
      <c r="AT393" s="397">
        <f t="shared" si="78"/>
        <v>0</v>
      </c>
      <c r="AU393" s="397">
        <f t="shared" si="74"/>
        <v>1916.25</v>
      </c>
      <c r="AV393" s="397">
        <f t="shared" si="75"/>
        <v>1916.25</v>
      </c>
      <c r="AW393" s="398">
        <f t="shared" si="76"/>
        <v>0</v>
      </c>
      <c r="AX393" s="386" t="s">
        <v>62</v>
      </c>
    </row>
    <row r="394" spans="2:50" ht="15.75" outlineLevel="1">
      <c r="B394" s="381">
        <v>2111</v>
      </c>
      <c r="C394" s="382">
        <v>278078</v>
      </c>
      <c r="D394" s="381" t="s">
        <v>944</v>
      </c>
      <c r="E394" s="383" t="s">
        <v>4240</v>
      </c>
      <c r="F394" s="392" t="s">
        <v>1237</v>
      </c>
      <c r="G394" s="392"/>
      <c r="H394" s="392"/>
      <c r="I394" s="381">
        <v>1</v>
      </c>
      <c r="J394" s="383" t="s">
        <v>3996</v>
      </c>
      <c r="K394" s="381">
        <v>2011</v>
      </c>
      <c r="L394" s="383" t="s">
        <v>2300</v>
      </c>
      <c r="M394" s="383" t="s">
        <v>2190</v>
      </c>
      <c r="N394" s="383" t="s">
        <v>4445</v>
      </c>
      <c r="O394" s="383" t="s">
        <v>4441</v>
      </c>
      <c r="P394" s="383" t="s">
        <v>4482</v>
      </c>
      <c r="Q394" s="383"/>
      <c r="R394" s="383"/>
      <c r="S394" s="384">
        <v>40424</v>
      </c>
      <c r="T394" s="384">
        <v>40424</v>
      </c>
      <c r="U394" s="383" t="s">
        <v>3997</v>
      </c>
      <c r="V394" s="381">
        <v>1000</v>
      </c>
      <c r="W394" s="381">
        <v>14040</v>
      </c>
      <c r="X394" s="385">
        <v>143529.4</v>
      </c>
      <c r="Y394" s="381">
        <v>14046</v>
      </c>
      <c r="Z394" s="385">
        <v>143529.4</v>
      </c>
      <c r="AA394" s="385">
        <f t="shared" si="67"/>
        <v>0</v>
      </c>
      <c r="AB394" s="385">
        <v>0</v>
      </c>
      <c r="AC394" s="381">
        <v>51260</v>
      </c>
      <c r="AD394" s="385">
        <v>0</v>
      </c>
      <c r="AE394" s="381" t="s">
        <v>944</v>
      </c>
      <c r="AF394" s="383"/>
      <c r="AG394" s="383">
        <v>819</v>
      </c>
      <c r="AH394" s="383" t="s">
        <v>57</v>
      </c>
      <c r="AI394" s="383" t="s">
        <v>4442</v>
      </c>
      <c r="AJ394" s="383" t="s">
        <v>4443</v>
      </c>
      <c r="AK394" s="389" t="s">
        <v>4437</v>
      </c>
      <c r="AL394" s="389" t="s">
        <v>3940</v>
      </c>
      <c r="AM394" s="389" t="s">
        <v>3940</v>
      </c>
      <c r="AN394" s="393">
        <f t="shared" si="68"/>
        <v>9</v>
      </c>
      <c r="AO394" s="393">
        <f t="shared" si="69"/>
        <v>2010</v>
      </c>
      <c r="AP394" s="394">
        <f t="shared" si="70"/>
        <v>2020</v>
      </c>
      <c r="AQ394" s="395">
        <f t="shared" si="71"/>
        <v>2020.75</v>
      </c>
      <c r="AR394" s="396">
        <f t="shared" si="72"/>
        <v>1196.0783333333331</v>
      </c>
      <c r="AS394" s="397">
        <f t="shared" si="73"/>
        <v>14352.939999999999</v>
      </c>
      <c r="AT394" s="397">
        <f t="shared" si="78"/>
        <v>0</v>
      </c>
      <c r="AU394" s="397">
        <f t="shared" si="74"/>
        <v>143529.4</v>
      </c>
      <c r="AV394" s="397">
        <f t="shared" si="75"/>
        <v>143529.4</v>
      </c>
      <c r="AW394" s="398">
        <f t="shared" si="76"/>
        <v>0</v>
      </c>
      <c r="AX394" s="386" t="s">
        <v>62</v>
      </c>
    </row>
    <row r="395" spans="2:50" ht="15.75" outlineLevel="1">
      <c r="B395" s="381">
        <v>2111</v>
      </c>
      <c r="C395" s="382">
        <v>276902</v>
      </c>
      <c r="D395" s="381" t="s">
        <v>944</v>
      </c>
      <c r="E395" s="383" t="s">
        <v>4240</v>
      </c>
      <c r="F395" s="392" t="s">
        <v>3993</v>
      </c>
      <c r="G395" s="392"/>
      <c r="H395" s="392"/>
      <c r="I395" s="381">
        <v>4</v>
      </c>
      <c r="J395" s="383"/>
      <c r="K395" s="381">
        <v>0</v>
      </c>
      <c r="L395" s="383" t="s">
        <v>3994</v>
      </c>
      <c r="M395" s="383"/>
      <c r="N395" s="383" t="s">
        <v>4451</v>
      </c>
      <c r="O395" s="383" t="s">
        <v>4441</v>
      </c>
      <c r="P395" s="383"/>
      <c r="Q395" s="383"/>
      <c r="R395" s="383"/>
      <c r="S395" s="384">
        <v>44634</v>
      </c>
      <c r="T395" s="384">
        <v>44634</v>
      </c>
      <c r="U395" s="383" t="s">
        <v>3995</v>
      </c>
      <c r="V395" s="381">
        <v>500</v>
      </c>
      <c r="W395" s="381">
        <v>14070</v>
      </c>
      <c r="X395" s="385">
        <v>62131.08</v>
      </c>
      <c r="Y395" s="381">
        <v>14076</v>
      </c>
      <c r="Z395" s="385">
        <v>32101.08</v>
      </c>
      <c r="AA395" s="385">
        <f t="shared" si="67"/>
        <v>30030</v>
      </c>
      <c r="AB395" s="385">
        <v>9319.68</v>
      </c>
      <c r="AC395" s="381">
        <v>51260</v>
      </c>
      <c r="AD395" s="385">
        <v>1035.52</v>
      </c>
      <c r="AE395" s="381" t="s">
        <v>944</v>
      </c>
      <c r="AF395" s="383"/>
      <c r="AG395" s="383"/>
      <c r="AH395" s="383" t="s">
        <v>57</v>
      </c>
      <c r="AI395" s="383" t="s">
        <v>4442</v>
      </c>
      <c r="AJ395" s="383" t="s">
        <v>4443</v>
      </c>
      <c r="AK395" s="389" t="s">
        <v>4437</v>
      </c>
      <c r="AL395" s="389" t="s">
        <v>301</v>
      </c>
      <c r="AM395" s="389" t="s">
        <v>4101</v>
      </c>
      <c r="AN395" s="393">
        <f t="shared" si="68"/>
        <v>3</v>
      </c>
      <c r="AO395" s="393">
        <f t="shared" si="69"/>
        <v>2022</v>
      </c>
      <c r="AP395" s="394">
        <f t="shared" si="70"/>
        <v>2027</v>
      </c>
      <c r="AQ395" s="395">
        <f t="shared" si="71"/>
        <v>2027.25</v>
      </c>
      <c r="AR395" s="396">
        <f t="shared" si="72"/>
        <v>1035.518</v>
      </c>
      <c r="AS395" s="397">
        <f t="shared" si="73"/>
        <v>12426.216</v>
      </c>
      <c r="AT395" s="397">
        <f t="shared" si="78"/>
        <v>12426.216</v>
      </c>
      <c r="AU395" s="397">
        <f t="shared" si="74"/>
        <v>25887.949999999058</v>
      </c>
      <c r="AV395" s="397">
        <f t="shared" si="75"/>
        <v>38314.165999999059</v>
      </c>
      <c r="AW395" s="398">
        <f t="shared" si="76"/>
        <v>23816.914000000943</v>
      </c>
      <c r="AX395" s="386" t="s">
        <v>62</v>
      </c>
    </row>
    <row r="396" spans="2:50" ht="15.75" outlineLevel="1">
      <c r="B396" s="381">
        <v>2111</v>
      </c>
      <c r="C396" s="382">
        <v>276810</v>
      </c>
      <c r="D396" s="381">
        <v>276806</v>
      </c>
      <c r="E396" s="383" t="s">
        <v>4240</v>
      </c>
      <c r="F396" s="392" t="s">
        <v>3992</v>
      </c>
      <c r="G396" s="392"/>
      <c r="H396" s="392"/>
      <c r="I396" s="381">
        <v>1</v>
      </c>
      <c r="J396" s="383" t="s">
        <v>3987</v>
      </c>
      <c r="K396" s="381">
        <v>2014</v>
      </c>
      <c r="L396" s="383" t="s">
        <v>3988</v>
      </c>
      <c r="M396" s="383" t="s">
        <v>2879</v>
      </c>
      <c r="N396" s="383" t="s">
        <v>4458</v>
      </c>
      <c r="O396" s="383" t="s">
        <v>4441</v>
      </c>
      <c r="P396" s="383" t="s">
        <v>1041</v>
      </c>
      <c r="Q396" s="383"/>
      <c r="R396" s="383"/>
      <c r="S396" s="384">
        <v>44578</v>
      </c>
      <c r="T396" s="384">
        <v>44578</v>
      </c>
      <c r="U396" s="383" t="s">
        <v>3989</v>
      </c>
      <c r="V396" s="381">
        <v>300</v>
      </c>
      <c r="W396" s="381">
        <v>14030</v>
      </c>
      <c r="X396" s="385">
        <v>1949.75</v>
      </c>
      <c r="Y396" s="381">
        <v>14036</v>
      </c>
      <c r="Z396" s="385">
        <v>1733.12</v>
      </c>
      <c r="AA396" s="385">
        <f t="shared" si="67"/>
        <v>216.63000000000011</v>
      </c>
      <c r="AB396" s="385">
        <v>487.44</v>
      </c>
      <c r="AC396" s="381">
        <v>51260</v>
      </c>
      <c r="AD396" s="385">
        <v>54.16</v>
      </c>
      <c r="AE396" s="381" t="s">
        <v>944</v>
      </c>
      <c r="AF396" s="383"/>
      <c r="AG396" s="383"/>
      <c r="AH396" s="383" t="s">
        <v>57</v>
      </c>
      <c r="AI396" s="383" t="s">
        <v>4442</v>
      </c>
      <c r="AJ396" s="383" t="s">
        <v>4443</v>
      </c>
      <c r="AK396" s="389" t="s">
        <v>4437</v>
      </c>
      <c r="AL396" s="389" t="s">
        <v>4220</v>
      </c>
      <c r="AM396" s="389" t="s">
        <v>178</v>
      </c>
      <c r="AN396" s="393">
        <f t="shared" si="68"/>
        <v>1</v>
      </c>
      <c r="AO396" s="393">
        <f t="shared" si="69"/>
        <v>2022</v>
      </c>
      <c r="AP396" s="394">
        <f t="shared" si="70"/>
        <v>2025</v>
      </c>
      <c r="AQ396" s="395">
        <f t="shared" si="71"/>
        <v>2025.0833333333333</v>
      </c>
      <c r="AR396" s="396">
        <f t="shared" si="72"/>
        <v>54.159722222222221</v>
      </c>
      <c r="AS396" s="397">
        <f t="shared" si="73"/>
        <v>649.91666666666663</v>
      </c>
      <c r="AT396" s="410" t="e">
        <f>+#REF!</f>
        <v>#REF!</v>
      </c>
      <c r="AU396" s="397">
        <f t="shared" si="74"/>
        <v>1462.3125</v>
      </c>
      <c r="AV396" s="397">
        <f t="shared" si="75"/>
        <v>1949.75</v>
      </c>
      <c r="AW396" s="398">
        <f t="shared" si="76"/>
        <v>0</v>
      </c>
      <c r="AX396" s="386" t="s">
        <v>62</v>
      </c>
    </row>
    <row r="397" spans="2:50" ht="15.75" outlineLevel="1">
      <c r="B397" s="381">
        <v>2111</v>
      </c>
      <c r="C397" s="382">
        <v>276809</v>
      </c>
      <c r="D397" s="381">
        <v>276806</v>
      </c>
      <c r="E397" s="383" t="s">
        <v>4240</v>
      </c>
      <c r="F397" s="392" t="s">
        <v>3991</v>
      </c>
      <c r="G397" s="392"/>
      <c r="H397" s="392"/>
      <c r="I397" s="381">
        <v>1</v>
      </c>
      <c r="J397" s="383" t="s">
        <v>3987</v>
      </c>
      <c r="K397" s="381">
        <v>2014</v>
      </c>
      <c r="L397" s="383" t="s">
        <v>3988</v>
      </c>
      <c r="M397" s="383" t="s">
        <v>2879</v>
      </c>
      <c r="N397" s="383" t="s">
        <v>4458</v>
      </c>
      <c r="O397" s="383" t="s">
        <v>4441</v>
      </c>
      <c r="P397" s="383" t="s">
        <v>1041</v>
      </c>
      <c r="Q397" s="383"/>
      <c r="R397" s="383"/>
      <c r="S397" s="384">
        <v>44578</v>
      </c>
      <c r="T397" s="384">
        <v>44578</v>
      </c>
      <c r="U397" s="383" t="s">
        <v>3989</v>
      </c>
      <c r="V397" s="381">
        <v>300</v>
      </c>
      <c r="W397" s="381">
        <v>14030</v>
      </c>
      <c r="X397" s="385">
        <v>1949.75</v>
      </c>
      <c r="Y397" s="381">
        <v>14036</v>
      </c>
      <c r="Z397" s="385">
        <v>1733.12</v>
      </c>
      <c r="AA397" s="385">
        <f t="shared" si="67"/>
        <v>216.63000000000011</v>
      </c>
      <c r="AB397" s="385">
        <v>487.44</v>
      </c>
      <c r="AC397" s="381">
        <v>51260</v>
      </c>
      <c r="AD397" s="385">
        <v>54.16</v>
      </c>
      <c r="AE397" s="381" t="s">
        <v>944</v>
      </c>
      <c r="AF397" s="383"/>
      <c r="AG397" s="383"/>
      <c r="AH397" s="383" t="s">
        <v>57</v>
      </c>
      <c r="AI397" s="383" t="s">
        <v>4442</v>
      </c>
      <c r="AJ397" s="383" t="s">
        <v>4443</v>
      </c>
      <c r="AK397" s="389" t="s">
        <v>4437</v>
      </c>
      <c r="AL397" s="389" t="s">
        <v>4220</v>
      </c>
      <c r="AM397" s="389" t="s">
        <v>178</v>
      </c>
      <c r="AN397" s="393">
        <f t="shared" si="68"/>
        <v>1</v>
      </c>
      <c r="AO397" s="393">
        <f t="shared" si="69"/>
        <v>2022</v>
      </c>
      <c r="AP397" s="394">
        <f t="shared" si="70"/>
        <v>2025</v>
      </c>
      <c r="AQ397" s="395">
        <f t="shared" si="71"/>
        <v>2025.0833333333333</v>
      </c>
      <c r="AR397" s="396">
        <f t="shared" si="72"/>
        <v>54.159722222222221</v>
      </c>
      <c r="AS397" s="397">
        <f t="shared" si="73"/>
        <v>649.91666666666663</v>
      </c>
      <c r="AT397" s="410" t="e">
        <f>+#REF!</f>
        <v>#REF!</v>
      </c>
      <c r="AU397" s="397">
        <f t="shared" si="74"/>
        <v>1462.3125</v>
      </c>
      <c r="AV397" s="397">
        <f t="shared" si="75"/>
        <v>1949.75</v>
      </c>
      <c r="AW397" s="398">
        <f t="shared" si="76"/>
        <v>0</v>
      </c>
      <c r="AX397" s="386" t="s">
        <v>62</v>
      </c>
    </row>
    <row r="398" spans="2:50" ht="15.75" outlineLevel="1">
      <c r="B398" s="381">
        <v>2111</v>
      </c>
      <c r="C398" s="382">
        <v>276808</v>
      </c>
      <c r="D398" s="381">
        <v>276806</v>
      </c>
      <c r="E398" s="383" t="s">
        <v>4240</v>
      </c>
      <c r="F398" s="392" t="s">
        <v>3990</v>
      </c>
      <c r="G398" s="392"/>
      <c r="H398" s="392"/>
      <c r="I398" s="381">
        <v>1</v>
      </c>
      <c r="J398" s="383" t="s">
        <v>3987</v>
      </c>
      <c r="K398" s="381">
        <v>2014</v>
      </c>
      <c r="L398" s="383" t="s">
        <v>3988</v>
      </c>
      <c r="M398" s="383" t="s">
        <v>2879</v>
      </c>
      <c r="N398" s="383" t="s">
        <v>4458</v>
      </c>
      <c r="O398" s="383" t="s">
        <v>4441</v>
      </c>
      <c r="P398" s="383" t="s">
        <v>1041</v>
      </c>
      <c r="Q398" s="383"/>
      <c r="R398" s="383"/>
      <c r="S398" s="384">
        <v>44578</v>
      </c>
      <c r="T398" s="384">
        <v>44578</v>
      </c>
      <c r="U398" s="383" t="s">
        <v>3989</v>
      </c>
      <c r="V398" s="381">
        <v>300</v>
      </c>
      <c r="W398" s="381">
        <v>14030</v>
      </c>
      <c r="X398" s="385">
        <v>3119.6</v>
      </c>
      <c r="Y398" s="381">
        <v>14036</v>
      </c>
      <c r="Z398" s="385">
        <v>2773.02</v>
      </c>
      <c r="AA398" s="385">
        <f t="shared" si="67"/>
        <v>346.57999999999993</v>
      </c>
      <c r="AB398" s="385">
        <v>779.94</v>
      </c>
      <c r="AC398" s="381">
        <v>51260</v>
      </c>
      <c r="AD398" s="385">
        <v>86.66</v>
      </c>
      <c r="AE398" s="381" t="s">
        <v>944</v>
      </c>
      <c r="AF398" s="383"/>
      <c r="AG398" s="383"/>
      <c r="AH398" s="383" t="s">
        <v>57</v>
      </c>
      <c r="AI398" s="383" t="s">
        <v>4442</v>
      </c>
      <c r="AJ398" s="383" t="s">
        <v>4443</v>
      </c>
      <c r="AK398" s="389" t="s">
        <v>4437</v>
      </c>
      <c r="AL398" s="389" t="s">
        <v>4220</v>
      </c>
      <c r="AM398" s="389" t="s">
        <v>178</v>
      </c>
      <c r="AN398" s="393">
        <f t="shared" si="68"/>
        <v>1</v>
      </c>
      <c r="AO398" s="393">
        <f t="shared" si="69"/>
        <v>2022</v>
      </c>
      <c r="AP398" s="394">
        <f t="shared" si="70"/>
        <v>2025</v>
      </c>
      <c r="AQ398" s="395">
        <f t="shared" si="71"/>
        <v>2025.0833333333333</v>
      </c>
      <c r="AR398" s="396">
        <f t="shared" si="72"/>
        <v>86.655555555555551</v>
      </c>
      <c r="AS398" s="397">
        <f t="shared" si="73"/>
        <v>1039.8666666666666</v>
      </c>
      <c r="AT398" s="410" t="e">
        <f>+#REF!</f>
        <v>#REF!</v>
      </c>
      <c r="AU398" s="397">
        <f t="shared" si="74"/>
        <v>2339.6999999999998</v>
      </c>
      <c r="AV398" s="397">
        <f t="shared" si="75"/>
        <v>3119.6</v>
      </c>
      <c r="AW398" s="398">
        <f t="shared" si="76"/>
        <v>0</v>
      </c>
      <c r="AX398" s="386" t="s">
        <v>62</v>
      </c>
    </row>
    <row r="399" spans="2:50" ht="15.75" outlineLevel="1">
      <c r="B399" s="381">
        <v>2111</v>
      </c>
      <c r="C399" s="382">
        <v>276807</v>
      </c>
      <c r="D399" s="381">
        <v>276806</v>
      </c>
      <c r="E399" s="383" t="s">
        <v>4240</v>
      </c>
      <c r="F399" s="392" t="s">
        <v>1517</v>
      </c>
      <c r="G399" s="392"/>
      <c r="H399" s="392"/>
      <c r="I399" s="381">
        <v>1</v>
      </c>
      <c r="J399" s="383" t="s">
        <v>3987</v>
      </c>
      <c r="K399" s="381">
        <v>2014</v>
      </c>
      <c r="L399" s="383" t="s">
        <v>3988</v>
      </c>
      <c r="M399" s="383" t="s">
        <v>2879</v>
      </c>
      <c r="N399" s="383" t="s">
        <v>4458</v>
      </c>
      <c r="O399" s="383" t="s">
        <v>4441</v>
      </c>
      <c r="P399" s="383" t="s">
        <v>1041</v>
      </c>
      <c r="Q399" s="383"/>
      <c r="R399" s="383"/>
      <c r="S399" s="384">
        <v>44578</v>
      </c>
      <c r="T399" s="384">
        <v>44578</v>
      </c>
      <c r="U399" s="383" t="s">
        <v>3989</v>
      </c>
      <c r="V399" s="381">
        <v>300</v>
      </c>
      <c r="W399" s="381">
        <v>14030</v>
      </c>
      <c r="X399" s="385">
        <v>4679.3999999999996</v>
      </c>
      <c r="Y399" s="381">
        <v>14036</v>
      </c>
      <c r="Z399" s="385">
        <v>4159.4399999999996</v>
      </c>
      <c r="AA399" s="385">
        <f t="shared" si="67"/>
        <v>519.96</v>
      </c>
      <c r="AB399" s="385">
        <v>1169.82</v>
      </c>
      <c r="AC399" s="381">
        <v>51260</v>
      </c>
      <c r="AD399" s="385">
        <v>129.97999999999999</v>
      </c>
      <c r="AE399" s="381" t="s">
        <v>944</v>
      </c>
      <c r="AF399" s="383"/>
      <c r="AG399" s="383"/>
      <c r="AH399" s="383" t="s">
        <v>57</v>
      </c>
      <c r="AI399" s="383" t="s">
        <v>4442</v>
      </c>
      <c r="AJ399" s="383" t="s">
        <v>4443</v>
      </c>
      <c r="AK399" s="389" t="s">
        <v>4437</v>
      </c>
      <c r="AL399" s="389" t="s">
        <v>4220</v>
      </c>
      <c r="AM399" s="389" t="s">
        <v>178</v>
      </c>
      <c r="AN399" s="393">
        <f t="shared" si="68"/>
        <v>1</v>
      </c>
      <c r="AO399" s="393">
        <f t="shared" si="69"/>
        <v>2022</v>
      </c>
      <c r="AP399" s="394">
        <f t="shared" si="70"/>
        <v>2025</v>
      </c>
      <c r="AQ399" s="395">
        <f t="shared" si="71"/>
        <v>2025.0833333333333</v>
      </c>
      <c r="AR399" s="396">
        <f t="shared" si="72"/>
        <v>129.98333333333332</v>
      </c>
      <c r="AS399" s="397">
        <f t="shared" si="73"/>
        <v>1559.7999999999997</v>
      </c>
      <c r="AT399" s="410" t="e">
        <f>+#REF!</f>
        <v>#REF!</v>
      </c>
      <c r="AU399" s="397">
        <f t="shared" si="74"/>
        <v>3509.5499999999997</v>
      </c>
      <c r="AV399" s="397">
        <f t="shared" si="75"/>
        <v>4679.3999999999996</v>
      </c>
      <c r="AW399" s="398">
        <f t="shared" si="76"/>
        <v>0</v>
      </c>
      <c r="AX399" s="386" t="s">
        <v>62</v>
      </c>
    </row>
    <row r="400" spans="2:50" ht="15.75" outlineLevel="1">
      <c r="B400" s="381">
        <v>2111</v>
      </c>
      <c r="C400" s="382">
        <v>276806</v>
      </c>
      <c r="D400" s="381" t="s">
        <v>944</v>
      </c>
      <c r="E400" s="383" t="s">
        <v>4240</v>
      </c>
      <c r="F400" s="392" t="s">
        <v>3986</v>
      </c>
      <c r="G400" s="392"/>
      <c r="H400" s="392"/>
      <c r="I400" s="381">
        <v>1</v>
      </c>
      <c r="J400" s="383" t="s">
        <v>3987</v>
      </c>
      <c r="K400" s="381">
        <v>2014</v>
      </c>
      <c r="L400" s="383" t="s">
        <v>3988</v>
      </c>
      <c r="M400" s="383" t="s">
        <v>2879</v>
      </c>
      <c r="N400" s="383" t="s">
        <v>4458</v>
      </c>
      <c r="O400" s="383" t="s">
        <v>4441</v>
      </c>
      <c r="P400" s="383" t="s">
        <v>1041</v>
      </c>
      <c r="Q400" s="383"/>
      <c r="R400" s="383"/>
      <c r="S400" s="384">
        <v>44578</v>
      </c>
      <c r="T400" s="384">
        <v>44578</v>
      </c>
      <c r="U400" s="383" t="s">
        <v>3989</v>
      </c>
      <c r="V400" s="381">
        <v>400</v>
      </c>
      <c r="W400" s="381">
        <v>14030</v>
      </c>
      <c r="X400" s="385">
        <v>27296.5</v>
      </c>
      <c r="Y400" s="381">
        <v>14036</v>
      </c>
      <c r="Z400" s="385">
        <v>18197.7</v>
      </c>
      <c r="AA400" s="385">
        <f t="shared" si="67"/>
        <v>9098.7999999999993</v>
      </c>
      <c r="AB400" s="385">
        <v>5118.12</v>
      </c>
      <c r="AC400" s="381">
        <v>51260</v>
      </c>
      <c r="AD400" s="385">
        <v>568.67999999999995</v>
      </c>
      <c r="AE400" s="381" t="s">
        <v>944</v>
      </c>
      <c r="AF400" s="383"/>
      <c r="AG400" s="383"/>
      <c r="AH400" s="383" t="s">
        <v>57</v>
      </c>
      <c r="AI400" s="383" t="s">
        <v>4442</v>
      </c>
      <c r="AJ400" s="383" t="s">
        <v>4443</v>
      </c>
      <c r="AK400" s="389" t="s">
        <v>4437</v>
      </c>
      <c r="AL400" s="389" t="s">
        <v>4220</v>
      </c>
      <c r="AM400" s="389" t="s">
        <v>178</v>
      </c>
      <c r="AN400" s="393">
        <f t="shared" si="68"/>
        <v>1</v>
      </c>
      <c r="AO400" s="393">
        <f t="shared" si="69"/>
        <v>2022</v>
      </c>
      <c r="AP400" s="394">
        <f t="shared" si="70"/>
        <v>2026</v>
      </c>
      <c r="AQ400" s="395">
        <f t="shared" si="71"/>
        <v>2026.0833333333333</v>
      </c>
      <c r="AR400" s="396">
        <f t="shared" si="72"/>
        <v>568.67708333333337</v>
      </c>
      <c r="AS400" s="397">
        <f t="shared" si="73"/>
        <v>6824.125</v>
      </c>
      <c r="AT400" s="397">
        <f t="shared" ref="AT400:AT418" si="79">IF(AQ400&lt;=$AK$12,0,AS400)</f>
        <v>6824.125</v>
      </c>
      <c r="AU400" s="397">
        <f t="shared" si="74"/>
        <v>15354.28125</v>
      </c>
      <c r="AV400" s="397">
        <f t="shared" si="75"/>
        <v>22178.40625</v>
      </c>
      <c r="AW400" s="398">
        <f t="shared" si="76"/>
        <v>5118.09375</v>
      </c>
      <c r="AX400" s="386" t="s">
        <v>62</v>
      </c>
    </row>
    <row r="401" spans="2:50" ht="15.75" outlineLevel="1">
      <c r="B401" s="381">
        <v>2111</v>
      </c>
      <c r="C401" s="382">
        <v>275500</v>
      </c>
      <c r="D401" s="381">
        <v>275496</v>
      </c>
      <c r="E401" s="383" t="s">
        <v>4240</v>
      </c>
      <c r="F401" s="392" t="s">
        <v>3982</v>
      </c>
      <c r="G401" s="392"/>
      <c r="H401" s="392"/>
      <c r="I401" s="381">
        <v>36</v>
      </c>
      <c r="J401" s="383"/>
      <c r="K401" s="381">
        <v>0</v>
      </c>
      <c r="L401" s="383" t="s">
        <v>1509</v>
      </c>
      <c r="M401" s="383"/>
      <c r="N401" s="383" t="s">
        <v>4446</v>
      </c>
      <c r="O401" s="383" t="s">
        <v>4441</v>
      </c>
      <c r="P401" s="383"/>
      <c r="Q401" s="383"/>
      <c r="R401" s="383"/>
      <c r="S401" s="384">
        <v>44592</v>
      </c>
      <c r="T401" s="384">
        <v>44592</v>
      </c>
      <c r="U401" s="383" t="s">
        <v>3980</v>
      </c>
      <c r="V401" s="381">
        <v>1200</v>
      </c>
      <c r="W401" s="381">
        <v>14050</v>
      </c>
      <c r="X401" s="385">
        <v>3991.68</v>
      </c>
      <c r="Y401" s="381">
        <v>14056</v>
      </c>
      <c r="Z401" s="385">
        <v>887.04</v>
      </c>
      <c r="AA401" s="385">
        <f t="shared" si="67"/>
        <v>3104.64</v>
      </c>
      <c r="AB401" s="385">
        <v>249.48</v>
      </c>
      <c r="AC401" s="381">
        <v>54260</v>
      </c>
      <c r="AD401" s="385">
        <v>27.72</v>
      </c>
      <c r="AE401" s="381" t="s">
        <v>944</v>
      </c>
      <c r="AF401" s="383"/>
      <c r="AG401" s="383"/>
      <c r="AH401" s="383" t="s">
        <v>57</v>
      </c>
      <c r="AI401" s="383" t="s">
        <v>4442</v>
      </c>
      <c r="AJ401" s="383" t="s">
        <v>4443</v>
      </c>
      <c r="AK401" s="389" t="s">
        <v>4437</v>
      </c>
      <c r="AL401" s="389" t="s">
        <v>1341</v>
      </c>
      <c r="AM401" s="389" t="s">
        <v>1341</v>
      </c>
      <c r="AN401" s="393">
        <f t="shared" si="68"/>
        <v>1</v>
      </c>
      <c r="AO401" s="393">
        <f t="shared" si="69"/>
        <v>2022</v>
      </c>
      <c r="AP401" s="394">
        <f t="shared" si="70"/>
        <v>2034</v>
      </c>
      <c r="AQ401" s="395">
        <f t="shared" si="71"/>
        <v>2034.0833333333333</v>
      </c>
      <c r="AR401" s="396">
        <f t="shared" si="72"/>
        <v>27.72</v>
      </c>
      <c r="AS401" s="397">
        <f t="shared" si="73"/>
        <v>332.64</v>
      </c>
      <c r="AT401" s="397">
        <f t="shared" si="79"/>
        <v>332.64</v>
      </c>
      <c r="AU401" s="397">
        <f t="shared" si="74"/>
        <v>748.44</v>
      </c>
      <c r="AV401" s="397">
        <f t="shared" si="75"/>
        <v>1081.08</v>
      </c>
      <c r="AW401" s="398">
        <f t="shared" si="76"/>
        <v>2910.6</v>
      </c>
      <c r="AX401" s="386" t="s">
        <v>62</v>
      </c>
    </row>
    <row r="402" spans="2:50" ht="15.75" outlineLevel="1">
      <c r="B402" s="381">
        <v>2111</v>
      </c>
      <c r="C402" s="382">
        <v>275499</v>
      </c>
      <c r="D402" s="381" t="s">
        <v>944</v>
      </c>
      <c r="E402" s="383" t="s">
        <v>4240</v>
      </c>
      <c r="F402" s="392" t="s">
        <v>3985</v>
      </c>
      <c r="G402" s="392"/>
      <c r="H402" s="392"/>
      <c r="I402" s="381">
        <v>24</v>
      </c>
      <c r="J402" s="383"/>
      <c r="K402" s="381">
        <v>0</v>
      </c>
      <c r="L402" s="383" t="s">
        <v>1509</v>
      </c>
      <c r="M402" s="383"/>
      <c r="N402" s="383" t="s">
        <v>4446</v>
      </c>
      <c r="O402" s="383" t="s">
        <v>4441</v>
      </c>
      <c r="P402" s="383"/>
      <c r="Q402" s="383" t="s">
        <v>4479</v>
      </c>
      <c r="R402" s="383" t="s">
        <v>4450</v>
      </c>
      <c r="S402" s="384">
        <v>44592</v>
      </c>
      <c r="T402" s="384">
        <v>44592</v>
      </c>
      <c r="U402" s="383" t="s">
        <v>3980</v>
      </c>
      <c r="V402" s="381">
        <v>1200</v>
      </c>
      <c r="W402" s="381">
        <v>14050</v>
      </c>
      <c r="X402" s="385">
        <v>43527.92</v>
      </c>
      <c r="Y402" s="381">
        <v>14056</v>
      </c>
      <c r="Z402" s="385">
        <v>9672.9</v>
      </c>
      <c r="AA402" s="385">
        <f t="shared" si="67"/>
        <v>33855.019999999997</v>
      </c>
      <c r="AB402" s="385">
        <v>2720.52</v>
      </c>
      <c r="AC402" s="381">
        <v>54260</v>
      </c>
      <c r="AD402" s="385">
        <v>302.27999999999997</v>
      </c>
      <c r="AE402" s="381" t="s">
        <v>944</v>
      </c>
      <c r="AF402" s="383"/>
      <c r="AG402" s="383"/>
      <c r="AH402" s="383" t="s">
        <v>57</v>
      </c>
      <c r="AI402" s="383" t="s">
        <v>4442</v>
      </c>
      <c r="AJ402" s="383" t="s">
        <v>4443</v>
      </c>
      <c r="AK402" s="389" t="s">
        <v>4437</v>
      </c>
      <c r="AL402" s="389" t="s">
        <v>1341</v>
      </c>
      <c r="AM402" s="389" t="s">
        <v>1341</v>
      </c>
      <c r="AN402" s="393">
        <f t="shared" si="68"/>
        <v>1</v>
      </c>
      <c r="AO402" s="393">
        <f t="shared" si="69"/>
        <v>2022</v>
      </c>
      <c r="AP402" s="394">
        <f t="shared" si="70"/>
        <v>2034</v>
      </c>
      <c r="AQ402" s="395">
        <f t="shared" si="71"/>
        <v>2034.0833333333333</v>
      </c>
      <c r="AR402" s="396">
        <f t="shared" si="72"/>
        <v>302.27722222222218</v>
      </c>
      <c r="AS402" s="397">
        <f t="shared" si="73"/>
        <v>3627.3266666666659</v>
      </c>
      <c r="AT402" s="397">
        <f t="shared" si="79"/>
        <v>3627.3266666666659</v>
      </c>
      <c r="AU402" s="397">
        <f t="shared" si="74"/>
        <v>8161.4850000000006</v>
      </c>
      <c r="AV402" s="397">
        <f t="shared" si="75"/>
        <v>11788.811666666666</v>
      </c>
      <c r="AW402" s="398">
        <f t="shared" si="76"/>
        <v>31739.10833333333</v>
      </c>
      <c r="AX402" s="386" t="s">
        <v>62</v>
      </c>
    </row>
    <row r="403" spans="2:50" ht="15.75" outlineLevel="1">
      <c r="B403" s="381">
        <v>2111</v>
      </c>
      <c r="C403" s="382">
        <v>275498</v>
      </c>
      <c r="D403" s="381" t="s">
        <v>944</v>
      </c>
      <c r="E403" s="383" t="s">
        <v>4240</v>
      </c>
      <c r="F403" s="392" t="s">
        <v>3979</v>
      </c>
      <c r="G403" s="392"/>
      <c r="H403" s="392"/>
      <c r="I403" s="381">
        <v>24</v>
      </c>
      <c r="J403" s="383"/>
      <c r="K403" s="381">
        <v>0</v>
      </c>
      <c r="L403" s="383" t="s">
        <v>1509</v>
      </c>
      <c r="M403" s="383"/>
      <c r="N403" s="383" t="s">
        <v>4446</v>
      </c>
      <c r="O403" s="383" t="s">
        <v>4441</v>
      </c>
      <c r="P403" s="383"/>
      <c r="Q403" s="383" t="s">
        <v>4459</v>
      </c>
      <c r="R403" s="383" t="s">
        <v>4450</v>
      </c>
      <c r="S403" s="384">
        <v>44592</v>
      </c>
      <c r="T403" s="384">
        <v>44592</v>
      </c>
      <c r="U403" s="383" t="s">
        <v>3980</v>
      </c>
      <c r="V403" s="381">
        <v>1200</v>
      </c>
      <c r="W403" s="381">
        <v>14050</v>
      </c>
      <c r="X403" s="385">
        <v>27320.45</v>
      </c>
      <c r="Y403" s="381">
        <v>14056</v>
      </c>
      <c r="Z403" s="385">
        <v>6071.26</v>
      </c>
      <c r="AA403" s="385">
        <f t="shared" si="67"/>
        <v>21249.190000000002</v>
      </c>
      <c r="AB403" s="385">
        <v>1707.57</v>
      </c>
      <c r="AC403" s="381">
        <v>54260</v>
      </c>
      <c r="AD403" s="385">
        <v>189.73</v>
      </c>
      <c r="AE403" s="381" t="s">
        <v>944</v>
      </c>
      <c r="AF403" s="383"/>
      <c r="AG403" s="383"/>
      <c r="AH403" s="383" t="s">
        <v>57</v>
      </c>
      <c r="AI403" s="383" t="s">
        <v>4442</v>
      </c>
      <c r="AJ403" s="383" t="s">
        <v>4443</v>
      </c>
      <c r="AK403" s="389" t="s">
        <v>4437</v>
      </c>
      <c r="AL403" s="389" t="s">
        <v>1341</v>
      </c>
      <c r="AM403" s="389" t="s">
        <v>1341</v>
      </c>
      <c r="AN403" s="393">
        <f t="shared" si="68"/>
        <v>1</v>
      </c>
      <c r="AO403" s="393">
        <f t="shared" si="69"/>
        <v>2022</v>
      </c>
      <c r="AP403" s="394">
        <f t="shared" si="70"/>
        <v>2034</v>
      </c>
      <c r="AQ403" s="395">
        <f t="shared" si="71"/>
        <v>2034.0833333333333</v>
      </c>
      <c r="AR403" s="396">
        <f t="shared" si="72"/>
        <v>189.72534722222224</v>
      </c>
      <c r="AS403" s="397">
        <f t="shared" si="73"/>
        <v>2276.7041666666669</v>
      </c>
      <c r="AT403" s="397">
        <f t="shared" si="79"/>
        <v>2276.7041666666669</v>
      </c>
      <c r="AU403" s="397">
        <f t="shared" si="74"/>
        <v>5122.5843749999985</v>
      </c>
      <c r="AV403" s="397">
        <f t="shared" si="75"/>
        <v>7399.288541666665</v>
      </c>
      <c r="AW403" s="398">
        <f t="shared" si="76"/>
        <v>19921.161458333336</v>
      </c>
      <c r="AX403" s="386" t="s">
        <v>62</v>
      </c>
    </row>
    <row r="404" spans="2:50" ht="15.75" outlineLevel="1">
      <c r="B404" s="381">
        <v>2111</v>
      </c>
      <c r="C404" s="382">
        <v>275497</v>
      </c>
      <c r="D404" s="381" t="s">
        <v>944</v>
      </c>
      <c r="E404" s="383" t="s">
        <v>4240</v>
      </c>
      <c r="F404" s="392" t="s">
        <v>3984</v>
      </c>
      <c r="G404" s="392"/>
      <c r="H404" s="392"/>
      <c r="I404" s="381">
        <v>36</v>
      </c>
      <c r="J404" s="383"/>
      <c r="K404" s="381">
        <v>0</v>
      </c>
      <c r="L404" s="383" t="s">
        <v>1509</v>
      </c>
      <c r="M404" s="383"/>
      <c r="N404" s="383" t="s">
        <v>4446</v>
      </c>
      <c r="O404" s="383" t="s">
        <v>4441</v>
      </c>
      <c r="P404" s="383"/>
      <c r="Q404" s="383" t="s">
        <v>4464</v>
      </c>
      <c r="R404" s="383" t="s">
        <v>4450</v>
      </c>
      <c r="S404" s="384">
        <v>44592</v>
      </c>
      <c r="T404" s="384">
        <v>44592</v>
      </c>
      <c r="U404" s="383" t="s">
        <v>3980</v>
      </c>
      <c r="V404" s="381">
        <v>1200</v>
      </c>
      <c r="W404" s="381">
        <v>14050</v>
      </c>
      <c r="X404" s="385">
        <v>48818.21</v>
      </c>
      <c r="Y404" s="381">
        <v>14056</v>
      </c>
      <c r="Z404" s="385">
        <v>10848.54</v>
      </c>
      <c r="AA404" s="385">
        <f t="shared" si="67"/>
        <v>37969.67</v>
      </c>
      <c r="AB404" s="385">
        <v>3051.18</v>
      </c>
      <c r="AC404" s="381">
        <v>54260</v>
      </c>
      <c r="AD404" s="385">
        <v>339.02</v>
      </c>
      <c r="AE404" s="381" t="s">
        <v>944</v>
      </c>
      <c r="AF404" s="383"/>
      <c r="AG404" s="383"/>
      <c r="AH404" s="383" t="s">
        <v>57</v>
      </c>
      <c r="AI404" s="383" t="s">
        <v>4442</v>
      </c>
      <c r="AJ404" s="383" t="s">
        <v>4443</v>
      </c>
      <c r="AK404" s="389" t="s">
        <v>4437</v>
      </c>
      <c r="AL404" s="389" t="s">
        <v>1341</v>
      </c>
      <c r="AM404" s="389" t="s">
        <v>1341</v>
      </c>
      <c r="AN404" s="393">
        <f t="shared" si="68"/>
        <v>1</v>
      </c>
      <c r="AO404" s="393">
        <f t="shared" si="69"/>
        <v>2022</v>
      </c>
      <c r="AP404" s="394">
        <f t="shared" si="70"/>
        <v>2034</v>
      </c>
      <c r="AQ404" s="395">
        <f t="shared" si="71"/>
        <v>2034.0833333333333</v>
      </c>
      <c r="AR404" s="396">
        <f t="shared" si="72"/>
        <v>339.0153472222222</v>
      </c>
      <c r="AS404" s="397">
        <f t="shared" si="73"/>
        <v>4068.1841666666664</v>
      </c>
      <c r="AT404" s="397">
        <f t="shared" si="79"/>
        <v>4068.1841666666664</v>
      </c>
      <c r="AU404" s="397">
        <f t="shared" si="74"/>
        <v>9153.4143750000003</v>
      </c>
      <c r="AV404" s="397">
        <f t="shared" si="75"/>
        <v>13221.598541666666</v>
      </c>
      <c r="AW404" s="398">
        <f t="shared" si="76"/>
        <v>35596.611458333333</v>
      </c>
      <c r="AX404" s="386" t="s">
        <v>62</v>
      </c>
    </row>
    <row r="405" spans="2:50" ht="15.75" outlineLevel="1">
      <c r="B405" s="381">
        <v>2111</v>
      </c>
      <c r="C405" s="382">
        <v>275496</v>
      </c>
      <c r="D405" s="381" t="s">
        <v>944</v>
      </c>
      <c r="E405" s="383" t="s">
        <v>4240</v>
      </c>
      <c r="F405" s="392" t="s">
        <v>3979</v>
      </c>
      <c r="G405" s="392"/>
      <c r="H405" s="392"/>
      <c r="I405" s="381">
        <v>12</v>
      </c>
      <c r="J405" s="383"/>
      <c r="K405" s="381">
        <v>0</v>
      </c>
      <c r="L405" s="383" t="s">
        <v>1509</v>
      </c>
      <c r="M405" s="383"/>
      <c r="N405" s="383" t="s">
        <v>4446</v>
      </c>
      <c r="O405" s="383" t="s">
        <v>4441</v>
      </c>
      <c r="P405" s="383"/>
      <c r="Q405" s="383" t="s">
        <v>4459</v>
      </c>
      <c r="R405" s="383" t="s">
        <v>4450</v>
      </c>
      <c r="S405" s="384">
        <v>44592</v>
      </c>
      <c r="T405" s="384">
        <v>44592</v>
      </c>
      <c r="U405" s="383" t="s">
        <v>3980</v>
      </c>
      <c r="V405" s="381">
        <v>1200</v>
      </c>
      <c r="W405" s="381">
        <v>14050</v>
      </c>
      <c r="X405" s="385">
        <v>13527.73</v>
      </c>
      <c r="Y405" s="381">
        <v>14056</v>
      </c>
      <c r="Z405" s="385">
        <v>3006.14</v>
      </c>
      <c r="AA405" s="385">
        <f t="shared" si="67"/>
        <v>10521.59</v>
      </c>
      <c r="AB405" s="385">
        <v>845.46</v>
      </c>
      <c r="AC405" s="381">
        <v>54260</v>
      </c>
      <c r="AD405" s="385">
        <v>93.94</v>
      </c>
      <c r="AE405" s="381" t="s">
        <v>944</v>
      </c>
      <c r="AF405" s="383"/>
      <c r="AG405" s="383"/>
      <c r="AH405" s="383" t="s">
        <v>57</v>
      </c>
      <c r="AI405" s="383" t="s">
        <v>4442</v>
      </c>
      <c r="AJ405" s="383" t="s">
        <v>4443</v>
      </c>
      <c r="AK405" s="389" t="s">
        <v>4437</v>
      </c>
      <c r="AL405" s="389" t="s">
        <v>1341</v>
      </c>
      <c r="AM405" s="389" t="s">
        <v>1341</v>
      </c>
      <c r="AN405" s="393">
        <f t="shared" si="68"/>
        <v>1</v>
      </c>
      <c r="AO405" s="393">
        <f t="shared" si="69"/>
        <v>2022</v>
      </c>
      <c r="AP405" s="394">
        <f t="shared" si="70"/>
        <v>2034</v>
      </c>
      <c r="AQ405" s="395">
        <f t="shared" si="71"/>
        <v>2034.0833333333333</v>
      </c>
      <c r="AR405" s="396">
        <f t="shared" si="72"/>
        <v>93.94256944444443</v>
      </c>
      <c r="AS405" s="397">
        <f t="shared" si="73"/>
        <v>1127.3108333333332</v>
      </c>
      <c r="AT405" s="397">
        <f t="shared" si="79"/>
        <v>1127.3108333333332</v>
      </c>
      <c r="AU405" s="397">
        <f t="shared" si="74"/>
        <v>2536.449375000002</v>
      </c>
      <c r="AV405" s="397">
        <f t="shared" si="75"/>
        <v>3663.760208333335</v>
      </c>
      <c r="AW405" s="398">
        <f t="shared" si="76"/>
        <v>9863.9697916666646</v>
      </c>
      <c r="AX405" s="386" t="s">
        <v>62</v>
      </c>
    </row>
    <row r="406" spans="2:50" ht="15.75" outlineLevel="1">
      <c r="B406" s="381">
        <v>2111</v>
      </c>
      <c r="C406" s="382">
        <v>275276</v>
      </c>
      <c r="D406" s="381" t="s">
        <v>944</v>
      </c>
      <c r="E406" s="383" t="s">
        <v>4240</v>
      </c>
      <c r="F406" s="392" t="s">
        <v>4518</v>
      </c>
      <c r="G406" s="392"/>
      <c r="H406" s="392"/>
      <c r="I406" s="381">
        <v>1</v>
      </c>
      <c r="J406" s="383" t="s">
        <v>4519</v>
      </c>
      <c r="K406" s="381">
        <v>2006</v>
      </c>
      <c r="L406" s="383" t="s">
        <v>2978</v>
      </c>
      <c r="M406" s="383" t="s">
        <v>2214</v>
      </c>
      <c r="N406" s="383" t="s">
        <v>4445</v>
      </c>
      <c r="O406" s="383" t="s">
        <v>4441</v>
      </c>
      <c r="P406" s="383" t="s">
        <v>2077</v>
      </c>
      <c r="Q406" s="383"/>
      <c r="R406" s="383"/>
      <c r="S406" s="384">
        <v>39059</v>
      </c>
      <c r="T406" s="384">
        <v>39059</v>
      </c>
      <c r="U406" s="383" t="s">
        <v>4520</v>
      </c>
      <c r="V406" s="381">
        <v>700</v>
      </c>
      <c r="W406" s="381">
        <v>14040</v>
      </c>
      <c r="X406" s="385">
        <v>41353.599999999999</v>
      </c>
      <c r="Y406" s="381">
        <v>14046</v>
      </c>
      <c r="Z406" s="385">
        <v>41353.599999999999</v>
      </c>
      <c r="AA406" s="385">
        <f t="shared" si="67"/>
        <v>0</v>
      </c>
      <c r="AB406" s="385">
        <v>0</v>
      </c>
      <c r="AC406" s="381">
        <v>51260</v>
      </c>
      <c r="AD406" s="385">
        <v>0</v>
      </c>
      <c r="AE406" s="381" t="s">
        <v>944</v>
      </c>
      <c r="AF406" s="383">
        <v>0</v>
      </c>
      <c r="AG406" s="383" t="s">
        <v>583</v>
      </c>
      <c r="AH406" s="383" t="s">
        <v>57</v>
      </c>
      <c r="AI406" s="383" t="s">
        <v>4442</v>
      </c>
      <c r="AJ406" s="383" t="s">
        <v>4443</v>
      </c>
      <c r="AK406" s="389" t="s">
        <v>4651</v>
      </c>
      <c r="AL406" s="389" t="s">
        <v>1582</v>
      </c>
      <c r="AM406" s="389" t="s">
        <v>1316</v>
      </c>
      <c r="AN406" s="393">
        <f t="shared" si="68"/>
        <v>12</v>
      </c>
      <c r="AO406" s="393">
        <f t="shared" si="69"/>
        <v>2006</v>
      </c>
      <c r="AP406" s="394">
        <f t="shared" si="70"/>
        <v>2013</v>
      </c>
      <c r="AQ406" s="395">
        <f t="shared" si="71"/>
        <v>2014</v>
      </c>
      <c r="AR406" s="396">
        <f t="shared" si="72"/>
        <v>492.30476190476185</v>
      </c>
      <c r="AS406" s="397">
        <f t="shared" si="73"/>
        <v>5907.6571428571424</v>
      </c>
      <c r="AT406" s="397">
        <f t="shared" si="79"/>
        <v>0</v>
      </c>
      <c r="AU406" s="397">
        <f t="shared" si="74"/>
        <v>41353.599999999999</v>
      </c>
      <c r="AV406" s="397">
        <f t="shared" si="75"/>
        <v>41353.599999999999</v>
      </c>
      <c r="AW406" s="398">
        <f t="shared" si="76"/>
        <v>0</v>
      </c>
      <c r="AX406" s="386" t="s">
        <v>62</v>
      </c>
    </row>
    <row r="407" spans="2:50" ht="15.75" outlineLevel="1">
      <c r="B407" s="381">
        <v>2111</v>
      </c>
      <c r="C407" s="382">
        <v>275229</v>
      </c>
      <c r="D407" s="381" t="s">
        <v>944</v>
      </c>
      <c r="E407" s="383" t="s">
        <v>4240</v>
      </c>
      <c r="F407" s="392" t="s">
        <v>1136</v>
      </c>
      <c r="G407" s="392"/>
      <c r="H407" s="392"/>
      <c r="I407" s="381">
        <v>351</v>
      </c>
      <c r="J407" s="383"/>
      <c r="K407" s="381">
        <v>0</v>
      </c>
      <c r="L407" s="383" t="s">
        <v>1462</v>
      </c>
      <c r="M407" s="383"/>
      <c r="N407" s="383" t="s">
        <v>4446</v>
      </c>
      <c r="O407" s="383" t="s">
        <v>4441</v>
      </c>
      <c r="P407" s="383"/>
      <c r="Q407" s="383"/>
      <c r="R407" s="383"/>
      <c r="S407" s="384">
        <v>44629</v>
      </c>
      <c r="T407" s="384">
        <v>44629</v>
      </c>
      <c r="U407" s="383" t="s">
        <v>3978</v>
      </c>
      <c r="V407" s="381">
        <v>700</v>
      </c>
      <c r="W407" s="381">
        <v>14050</v>
      </c>
      <c r="X407" s="385">
        <v>23613.88</v>
      </c>
      <c r="Y407" s="381">
        <v>14056</v>
      </c>
      <c r="Z407" s="385">
        <v>8714.67</v>
      </c>
      <c r="AA407" s="385">
        <f t="shared" si="67"/>
        <v>14899.210000000001</v>
      </c>
      <c r="AB407" s="385">
        <v>2530.08</v>
      </c>
      <c r="AC407" s="381">
        <v>54260</v>
      </c>
      <c r="AD407" s="385">
        <v>281.12</v>
      </c>
      <c r="AE407" s="381" t="s">
        <v>944</v>
      </c>
      <c r="AF407" s="383"/>
      <c r="AG407" s="383"/>
      <c r="AH407" s="383" t="s">
        <v>57</v>
      </c>
      <c r="AI407" s="383" t="s">
        <v>4442</v>
      </c>
      <c r="AJ407" s="383" t="s">
        <v>4443</v>
      </c>
      <c r="AK407" s="389" t="s">
        <v>4437</v>
      </c>
      <c r="AL407" s="389" t="s">
        <v>1019</v>
      </c>
      <c r="AM407" s="389" t="s">
        <v>1019</v>
      </c>
      <c r="AN407" s="393">
        <f t="shared" si="68"/>
        <v>3</v>
      </c>
      <c r="AO407" s="393">
        <f t="shared" si="69"/>
        <v>2022</v>
      </c>
      <c r="AP407" s="394">
        <f t="shared" si="70"/>
        <v>2029</v>
      </c>
      <c r="AQ407" s="395">
        <f t="shared" si="71"/>
        <v>2029.25</v>
      </c>
      <c r="AR407" s="396">
        <f t="shared" si="72"/>
        <v>281.11761904761903</v>
      </c>
      <c r="AS407" s="397">
        <f t="shared" si="73"/>
        <v>3373.4114285714286</v>
      </c>
      <c r="AT407" s="397">
        <f t="shared" si="79"/>
        <v>3373.4114285714286</v>
      </c>
      <c r="AU407" s="397">
        <f t="shared" si="74"/>
        <v>7027.9404761902224</v>
      </c>
      <c r="AV407" s="397">
        <f t="shared" si="75"/>
        <v>10401.35190476165</v>
      </c>
      <c r="AW407" s="398">
        <f t="shared" si="76"/>
        <v>13212.528095238351</v>
      </c>
      <c r="AX407" s="386" t="s">
        <v>62</v>
      </c>
    </row>
    <row r="408" spans="2:50" ht="15.75" outlineLevel="1">
      <c r="B408" s="381">
        <v>2111</v>
      </c>
      <c r="C408" s="382">
        <v>275228</v>
      </c>
      <c r="D408" s="381" t="s">
        <v>944</v>
      </c>
      <c r="E408" s="383" t="s">
        <v>4240</v>
      </c>
      <c r="F408" s="392" t="s">
        <v>1134</v>
      </c>
      <c r="G408" s="392"/>
      <c r="H408" s="392"/>
      <c r="I408" s="381">
        <v>468</v>
      </c>
      <c r="J408" s="383"/>
      <c r="K408" s="381">
        <v>0</v>
      </c>
      <c r="L408" s="383" t="s">
        <v>1462</v>
      </c>
      <c r="M408" s="383"/>
      <c r="N408" s="383" t="s">
        <v>4446</v>
      </c>
      <c r="O408" s="383" t="s">
        <v>4441</v>
      </c>
      <c r="P408" s="383"/>
      <c r="Q408" s="383"/>
      <c r="R408" s="383"/>
      <c r="S408" s="384">
        <v>44629</v>
      </c>
      <c r="T408" s="384">
        <v>44629</v>
      </c>
      <c r="U408" s="383" t="s">
        <v>3978</v>
      </c>
      <c r="V408" s="381">
        <v>700</v>
      </c>
      <c r="W408" s="381">
        <v>14050</v>
      </c>
      <c r="X408" s="385">
        <v>28648.62</v>
      </c>
      <c r="Y408" s="381">
        <v>14056</v>
      </c>
      <c r="Z408" s="385">
        <v>10572.75</v>
      </c>
      <c r="AA408" s="385">
        <f t="shared" si="67"/>
        <v>18075.87</v>
      </c>
      <c r="AB408" s="385">
        <v>3069.54</v>
      </c>
      <c r="AC408" s="381">
        <v>54260</v>
      </c>
      <c r="AD408" s="385">
        <v>341.06</v>
      </c>
      <c r="AE408" s="381" t="s">
        <v>944</v>
      </c>
      <c r="AF408" s="383"/>
      <c r="AG408" s="383"/>
      <c r="AH408" s="383" t="s">
        <v>57</v>
      </c>
      <c r="AI408" s="383" t="s">
        <v>4442</v>
      </c>
      <c r="AJ408" s="383" t="s">
        <v>4443</v>
      </c>
      <c r="AK408" s="389" t="s">
        <v>4437</v>
      </c>
      <c r="AL408" s="389" t="s">
        <v>1019</v>
      </c>
      <c r="AM408" s="389" t="s">
        <v>1019</v>
      </c>
      <c r="AN408" s="393">
        <f t="shared" si="68"/>
        <v>3</v>
      </c>
      <c r="AO408" s="393">
        <f t="shared" si="69"/>
        <v>2022</v>
      </c>
      <c r="AP408" s="394">
        <f t="shared" si="70"/>
        <v>2029</v>
      </c>
      <c r="AQ408" s="395">
        <f t="shared" si="71"/>
        <v>2029.25</v>
      </c>
      <c r="AR408" s="396">
        <f t="shared" si="72"/>
        <v>341.05500000000001</v>
      </c>
      <c r="AS408" s="397">
        <f t="shared" si="73"/>
        <v>4092.66</v>
      </c>
      <c r="AT408" s="397">
        <f t="shared" si="79"/>
        <v>4092.66</v>
      </c>
      <c r="AU408" s="397">
        <f t="shared" si="74"/>
        <v>8526.3749999996871</v>
      </c>
      <c r="AV408" s="397">
        <f t="shared" si="75"/>
        <v>12619.034999999687</v>
      </c>
      <c r="AW408" s="398">
        <f t="shared" si="76"/>
        <v>16029.585000000312</v>
      </c>
      <c r="AX408" s="386" t="s">
        <v>62</v>
      </c>
    </row>
    <row r="409" spans="2:50" ht="15.75" outlineLevel="1">
      <c r="B409" s="381">
        <v>2111</v>
      </c>
      <c r="C409" s="382">
        <v>275227</v>
      </c>
      <c r="D409" s="381" t="s">
        <v>944</v>
      </c>
      <c r="E409" s="383" t="s">
        <v>4240</v>
      </c>
      <c r="F409" s="392" t="s">
        <v>1149</v>
      </c>
      <c r="G409" s="392"/>
      <c r="H409" s="392"/>
      <c r="I409" s="381">
        <v>702</v>
      </c>
      <c r="J409" s="383"/>
      <c r="K409" s="381">
        <v>0</v>
      </c>
      <c r="L409" s="383" t="s">
        <v>1462</v>
      </c>
      <c r="M409" s="383"/>
      <c r="N409" s="383" t="s">
        <v>4446</v>
      </c>
      <c r="O409" s="383" t="s">
        <v>4441</v>
      </c>
      <c r="P409" s="383"/>
      <c r="Q409" s="383"/>
      <c r="R409" s="383"/>
      <c r="S409" s="384">
        <v>44629</v>
      </c>
      <c r="T409" s="384">
        <v>44629</v>
      </c>
      <c r="U409" s="383" t="s">
        <v>3978</v>
      </c>
      <c r="V409" s="381">
        <v>700</v>
      </c>
      <c r="W409" s="381">
        <v>14050</v>
      </c>
      <c r="X409" s="385">
        <v>47227.75</v>
      </c>
      <c r="Y409" s="381">
        <v>14056</v>
      </c>
      <c r="Z409" s="385">
        <v>17429.330000000002</v>
      </c>
      <c r="AA409" s="385">
        <f t="shared" si="67"/>
        <v>29798.42</v>
      </c>
      <c r="AB409" s="385">
        <v>5060.16</v>
      </c>
      <c r="AC409" s="381">
        <v>54260</v>
      </c>
      <c r="AD409" s="385">
        <v>562.24</v>
      </c>
      <c r="AE409" s="381" t="s">
        <v>944</v>
      </c>
      <c r="AF409" s="383"/>
      <c r="AG409" s="383"/>
      <c r="AH409" s="383" t="s">
        <v>57</v>
      </c>
      <c r="AI409" s="383" t="s">
        <v>4442</v>
      </c>
      <c r="AJ409" s="383" t="s">
        <v>4443</v>
      </c>
      <c r="AK409" s="389" t="s">
        <v>4437</v>
      </c>
      <c r="AL409" s="389" t="s">
        <v>4217</v>
      </c>
      <c r="AM409" s="389" t="s">
        <v>3947</v>
      </c>
      <c r="AN409" s="393">
        <f t="shared" si="68"/>
        <v>3</v>
      </c>
      <c r="AO409" s="393">
        <f t="shared" si="69"/>
        <v>2022</v>
      </c>
      <c r="AP409" s="394">
        <f t="shared" si="70"/>
        <v>2029</v>
      </c>
      <c r="AQ409" s="395">
        <f t="shared" si="71"/>
        <v>2029.25</v>
      </c>
      <c r="AR409" s="396">
        <f t="shared" si="72"/>
        <v>562.23511904761904</v>
      </c>
      <c r="AS409" s="397">
        <f t="shared" si="73"/>
        <v>6746.8214285714284</v>
      </c>
      <c r="AT409" s="397">
        <f t="shared" si="79"/>
        <v>6746.8214285714284</v>
      </c>
      <c r="AU409" s="397">
        <f t="shared" si="74"/>
        <v>14055.877976189964</v>
      </c>
      <c r="AV409" s="397">
        <f t="shared" si="75"/>
        <v>20802.699404761392</v>
      </c>
      <c r="AW409" s="398">
        <f t="shared" si="76"/>
        <v>26425.050595238608</v>
      </c>
      <c r="AX409" s="386" t="s">
        <v>62</v>
      </c>
    </row>
    <row r="410" spans="2:50" ht="15.75" outlineLevel="1">
      <c r="B410" s="381">
        <v>2111</v>
      </c>
      <c r="C410" s="382">
        <v>275226</v>
      </c>
      <c r="D410" s="381" t="s">
        <v>944</v>
      </c>
      <c r="E410" s="383" t="s">
        <v>4240</v>
      </c>
      <c r="F410" s="392" t="s">
        <v>1135</v>
      </c>
      <c r="G410" s="392"/>
      <c r="H410" s="392"/>
      <c r="I410" s="381">
        <v>702</v>
      </c>
      <c r="J410" s="383"/>
      <c r="K410" s="381">
        <v>0</v>
      </c>
      <c r="L410" s="383" t="s">
        <v>1462</v>
      </c>
      <c r="M410" s="383"/>
      <c r="N410" s="383" t="s">
        <v>4446</v>
      </c>
      <c r="O410" s="383" t="s">
        <v>4441</v>
      </c>
      <c r="P410" s="383"/>
      <c r="Q410" s="383"/>
      <c r="R410" s="383"/>
      <c r="S410" s="384">
        <v>44629</v>
      </c>
      <c r="T410" s="384">
        <v>44629</v>
      </c>
      <c r="U410" s="383" t="s">
        <v>3978</v>
      </c>
      <c r="V410" s="381">
        <v>700</v>
      </c>
      <c r="W410" s="381">
        <v>14050</v>
      </c>
      <c r="X410" s="385">
        <v>47227.75</v>
      </c>
      <c r="Y410" s="381">
        <v>14056</v>
      </c>
      <c r="Z410" s="385">
        <v>17429.330000000002</v>
      </c>
      <c r="AA410" s="385">
        <f t="shared" si="67"/>
        <v>29798.42</v>
      </c>
      <c r="AB410" s="385">
        <v>5060.16</v>
      </c>
      <c r="AC410" s="381">
        <v>54260</v>
      </c>
      <c r="AD410" s="385">
        <v>562.24</v>
      </c>
      <c r="AE410" s="381" t="s">
        <v>944</v>
      </c>
      <c r="AF410" s="383"/>
      <c r="AG410" s="383"/>
      <c r="AH410" s="383" t="s">
        <v>57</v>
      </c>
      <c r="AI410" s="383" t="s">
        <v>4442</v>
      </c>
      <c r="AJ410" s="383" t="s">
        <v>4443</v>
      </c>
      <c r="AK410" s="389" t="s">
        <v>4437</v>
      </c>
      <c r="AL410" s="389" t="s">
        <v>4221</v>
      </c>
      <c r="AM410" s="389" t="s">
        <v>1014</v>
      </c>
      <c r="AN410" s="393">
        <f t="shared" si="68"/>
        <v>3</v>
      </c>
      <c r="AO410" s="393">
        <f t="shared" si="69"/>
        <v>2022</v>
      </c>
      <c r="AP410" s="394">
        <f t="shared" si="70"/>
        <v>2029</v>
      </c>
      <c r="AQ410" s="395">
        <f t="shared" si="71"/>
        <v>2029.25</v>
      </c>
      <c r="AR410" s="396">
        <f t="shared" si="72"/>
        <v>562.23511904761904</v>
      </c>
      <c r="AS410" s="397">
        <f t="shared" si="73"/>
        <v>6746.8214285714284</v>
      </c>
      <c r="AT410" s="397">
        <f t="shared" si="79"/>
        <v>6746.8214285714284</v>
      </c>
      <c r="AU410" s="397">
        <f t="shared" si="74"/>
        <v>14055.877976189964</v>
      </c>
      <c r="AV410" s="397">
        <f t="shared" si="75"/>
        <v>20802.699404761392</v>
      </c>
      <c r="AW410" s="398">
        <f t="shared" si="76"/>
        <v>26425.050595238608</v>
      </c>
      <c r="AX410" s="386" t="s">
        <v>62</v>
      </c>
    </row>
    <row r="411" spans="2:50" ht="15.75" outlineLevel="1">
      <c r="B411" s="381">
        <v>2111</v>
      </c>
      <c r="C411" s="382">
        <v>275225</v>
      </c>
      <c r="D411" s="381" t="s">
        <v>944</v>
      </c>
      <c r="E411" s="383" t="s">
        <v>4240</v>
      </c>
      <c r="F411" s="392" t="s">
        <v>1149</v>
      </c>
      <c r="G411" s="392"/>
      <c r="H411" s="392"/>
      <c r="I411" s="381">
        <v>702</v>
      </c>
      <c r="J411" s="383"/>
      <c r="K411" s="381">
        <v>0</v>
      </c>
      <c r="L411" s="383" t="s">
        <v>1462</v>
      </c>
      <c r="M411" s="383"/>
      <c r="N411" s="383" t="s">
        <v>4446</v>
      </c>
      <c r="O411" s="383" t="s">
        <v>4441</v>
      </c>
      <c r="P411" s="383"/>
      <c r="Q411" s="383"/>
      <c r="R411" s="383"/>
      <c r="S411" s="384">
        <v>44629</v>
      </c>
      <c r="T411" s="384">
        <v>44629</v>
      </c>
      <c r="U411" s="383" t="s">
        <v>3978</v>
      </c>
      <c r="V411" s="381">
        <v>700</v>
      </c>
      <c r="W411" s="381">
        <v>14050</v>
      </c>
      <c r="X411" s="385">
        <v>47227.75</v>
      </c>
      <c r="Y411" s="381">
        <v>14056</v>
      </c>
      <c r="Z411" s="385">
        <v>17429.330000000002</v>
      </c>
      <c r="AA411" s="385">
        <f t="shared" si="67"/>
        <v>29798.42</v>
      </c>
      <c r="AB411" s="385">
        <v>5060.16</v>
      </c>
      <c r="AC411" s="381">
        <v>54260</v>
      </c>
      <c r="AD411" s="385">
        <v>562.24</v>
      </c>
      <c r="AE411" s="381" t="s">
        <v>944</v>
      </c>
      <c r="AF411" s="383"/>
      <c r="AG411" s="383"/>
      <c r="AH411" s="383" t="s">
        <v>57</v>
      </c>
      <c r="AI411" s="383" t="s">
        <v>4442</v>
      </c>
      <c r="AJ411" s="383" t="s">
        <v>4443</v>
      </c>
      <c r="AK411" s="389" t="s">
        <v>4437</v>
      </c>
      <c r="AL411" s="389" t="s">
        <v>4217</v>
      </c>
      <c r="AM411" s="389" t="s">
        <v>3947</v>
      </c>
      <c r="AN411" s="393">
        <f t="shared" si="68"/>
        <v>3</v>
      </c>
      <c r="AO411" s="393">
        <f t="shared" si="69"/>
        <v>2022</v>
      </c>
      <c r="AP411" s="394">
        <f t="shared" si="70"/>
        <v>2029</v>
      </c>
      <c r="AQ411" s="395">
        <f t="shared" si="71"/>
        <v>2029.25</v>
      </c>
      <c r="AR411" s="396">
        <f t="shared" si="72"/>
        <v>562.23511904761904</v>
      </c>
      <c r="AS411" s="397">
        <f t="shared" si="73"/>
        <v>6746.8214285714284</v>
      </c>
      <c r="AT411" s="397">
        <f t="shared" si="79"/>
        <v>6746.8214285714284</v>
      </c>
      <c r="AU411" s="397">
        <f t="shared" si="74"/>
        <v>14055.877976189964</v>
      </c>
      <c r="AV411" s="397">
        <f t="shared" si="75"/>
        <v>20802.699404761392</v>
      </c>
      <c r="AW411" s="398">
        <f t="shared" si="76"/>
        <v>26425.050595238608</v>
      </c>
      <c r="AX411" s="386" t="s">
        <v>62</v>
      </c>
    </row>
    <row r="412" spans="2:50" ht="15.75" outlineLevel="1">
      <c r="B412" s="381">
        <v>2111</v>
      </c>
      <c r="C412" s="382">
        <v>274392</v>
      </c>
      <c r="D412" s="381" t="s">
        <v>944</v>
      </c>
      <c r="E412" s="383" t="s">
        <v>4240</v>
      </c>
      <c r="F412" s="392" t="s">
        <v>1149</v>
      </c>
      <c r="G412" s="392"/>
      <c r="H412" s="392"/>
      <c r="I412" s="381">
        <v>351</v>
      </c>
      <c r="J412" s="383"/>
      <c r="K412" s="381">
        <v>0</v>
      </c>
      <c r="L412" s="383" t="s">
        <v>1462</v>
      </c>
      <c r="M412" s="383"/>
      <c r="N412" s="383" t="s">
        <v>4446</v>
      </c>
      <c r="O412" s="383" t="s">
        <v>4441</v>
      </c>
      <c r="P412" s="383"/>
      <c r="Q412" s="383"/>
      <c r="R412" s="383"/>
      <c r="S412" s="384">
        <v>44565</v>
      </c>
      <c r="T412" s="384">
        <v>44565</v>
      </c>
      <c r="U412" s="383" t="s">
        <v>3976</v>
      </c>
      <c r="V412" s="381">
        <v>700</v>
      </c>
      <c r="W412" s="381">
        <v>14050</v>
      </c>
      <c r="X412" s="385">
        <v>24146.69</v>
      </c>
      <c r="Y412" s="381">
        <v>14056</v>
      </c>
      <c r="Z412" s="385">
        <v>9486.08</v>
      </c>
      <c r="AA412" s="385">
        <f t="shared" si="67"/>
        <v>14660.609999999999</v>
      </c>
      <c r="AB412" s="385">
        <v>2587.14</v>
      </c>
      <c r="AC412" s="381">
        <v>54260</v>
      </c>
      <c r="AD412" s="385">
        <v>287.45999999999998</v>
      </c>
      <c r="AE412" s="381" t="s">
        <v>944</v>
      </c>
      <c r="AF412" s="383"/>
      <c r="AG412" s="383"/>
      <c r="AH412" s="383" t="s">
        <v>57</v>
      </c>
      <c r="AI412" s="383" t="s">
        <v>4442</v>
      </c>
      <c r="AJ412" s="383" t="s">
        <v>4443</v>
      </c>
      <c r="AK412" s="389" t="s">
        <v>4437</v>
      </c>
      <c r="AL412" s="389" t="s">
        <v>4217</v>
      </c>
      <c r="AM412" s="389" t="s">
        <v>3947</v>
      </c>
      <c r="AN412" s="393">
        <f t="shared" si="68"/>
        <v>1</v>
      </c>
      <c r="AO412" s="393">
        <f t="shared" si="69"/>
        <v>2022</v>
      </c>
      <c r="AP412" s="394">
        <f t="shared" si="70"/>
        <v>2029</v>
      </c>
      <c r="AQ412" s="395">
        <f t="shared" si="71"/>
        <v>2029.0833333333333</v>
      </c>
      <c r="AR412" s="396">
        <f t="shared" si="72"/>
        <v>287.46059523809521</v>
      </c>
      <c r="AS412" s="397">
        <f t="shared" si="73"/>
        <v>3449.5271428571423</v>
      </c>
      <c r="AT412" s="397">
        <f t="shared" si="79"/>
        <v>3449.5271428571423</v>
      </c>
      <c r="AU412" s="397">
        <f t="shared" si="74"/>
        <v>7761.4360714285722</v>
      </c>
      <c r="AV412" s="397">
        <f t="shared" si="75"/>
        <v>11210.963214285715</v>
      </c>
      <c r="AW412" s="398">
        <f t="shared" si="76"/>
        <v>12935.726785714283</v>
      </c>
      <c r="AX412" s="386" t="s">
        <v>62</v>
      </c>
    </row>
    <row r="413" spans="2:50" ht="15.75" outlineLevel="1">
      <c r="B413" s="381">
        <v>2111</v>
      </c>
      <c r="C413" s="382">
        <v>274388</v>
      </c>
      <c r="D413" s="381" t="s">
        <v>944</v>
      </c>
      <c r="E413" s="383" t="s">
        <v>4240</v>
      </c>
      <c r="F413" s="392" t="s">
        <v>1134</v>
      </c>
      <c r="G413" s="392"/>
      <c r="H413" s="392"/>
      <c r="I413" s="381">
        <v>324</v>
      </c>
      <c r="J413" s="383"/>
      <c r="K413" s="381">
        <v>0</v>
      </c>
      <c r="L413" s="383" t="s">
        <v>1462</v>
      </c>
      <c r="M413" s="383"/>
      <c r="N413" s="383" t="s">
        <v>4446</v>
      </c>
      <c r="O413" s="383" t="s">
        <v>4441</v>
      </c>
      <c r="P413" s="383"/>
      <c r="Q413" s="383"/>
      <c r="R413" s="383"/>
      <c r="S413" s="384">
        <v>44565</v>
      </c>
      <c r="T413" s="384">
        <v>44565</v>
      </c>
      <c r="U413" s="383" t="s">
        <v>3976</v>
      </c>
      <c r="V413" s="381">
        <v>700</v>
      </c>
      <c r="W413" s="381">
        <v>14050</v>
      </c>
      <c r="X413" s="385">
        <v>20161.55</v>
      </c>
      <c r="Y413" s="381">
        <v>14056</v>
      </c>
      <c r="Z413" s="385">
        <v>7920.62</v>
      </c>
      <c r="AA413" s="385">
        <f t="shared" si="67"/>
        <v>12240.93</v>
      </c>
      <c r="AB413" s="385">
        <v>2160.1799999999998</v>
      </c>
      <c r="AC413" s="381">
        <v>54260</v>
      </c>
      <c r="AD413" s="385">
        <v>240.02</v>
      </c>
      <c r="AE413" s="381" t="s">
        <v>944</v>
      </c>
      <c r="AF413" s="383"/>
      <c r="AG413" s="383"/>
      <c r="AH413" s="383" t="s">
        <v>57</v>
      </c>
      <c r="AI413" s="383" t="s">
        <v>4442</v>
      </c>
      <c r="AJ413" s="383" t="s">
        <v>4443</v>
      </c>
      <c r="AK413" s="389" t="s">
        <v>4437</v>
      </c>
      <c r="AL413" s="389" t="s">
        <v>1019</v>
      </c>
      <c r="AM413" s="389" t="s">
        <v>1019</v>
      </c>
      <c r="AN413" s="393">
        <f t="shared" si="68"/>
        <v>1</v>
      </c>
      <c r="AO413" s="393">
        <f t="shared" si="69"/>
        <v>2022</v>
      </c>
      <c r="AP413" s="394">
        <f t="shared" si="70"/>
        <v>2029</v>
      </c>
      <c r="AQ413" s="395">
        <f t="shared" si="71"/>
        <v>2029.0833333333333</v>
      </c>
      <c r="AR413" s="396">
        <f t="shared" si="72"/>
        <v>240.01845238095237</v>
      </c>
      <c r="AS413" s="397">
        <f t="shared" si="73"/>
        <v>2880.2214285714285</v>
      </c>
      <c r="AT413" s="397">
        <f t="shared" si="79"/>
        <v>2880.2214285714285</v>
      </c>
      <c r="AU413" s="397">
        <f t="shared" si="74"/>
        <v>6480.4982142857134</v>
      </c>
      <c r="AV413" s="397">
        <f t="shared" si="75"/>
        <v>9360.7196428571424</v>
      </c>
      <c r="AW413" s="398">
        <f t="shared" si="76"/>
        <v>10800.830357142857</v>
      </c>
      <c r="AX413" s="386" t="s">
        <v>62</v>
      </c>
    </row>
    <row r="414" spans="2:50" ht="15.75" outlineLevel="1">
      <c r="B414" s="381">
        <v>2111</v>
      </c>
      <c r="C414" s="382">
        <v>273023</v>
      </c>
      <c r="D414" s="381" t="s">
        <v>944</v>
      </c>
      <c r="E414" s="383" t="s">
        <v>4240</v>
      </c>
      <c r="F414" s="392" t="s">
        <v>3974</v>
      </c>
      <c r="G414" s="392"/>
      <c r="H414" s="392"/>
      <c r="I414" s="381">
        <v>200</v>
      </c>
      <c r="J414" s="383"/>
      <c r="K414" s="381">
        <v>0</v>
      </c>
      <c r="L414" s="383" t="s">
        <v>1462</v>
      </c>
      <c r="M414" s="383"/>
      <c r="N414" s="383" t="s">
        <v>4446</v>
      </c>
      <c r="O414" s="383" t="s">
        <v>4441</v>
      </c>
      <c r="P414" s="383"/>
      <c r="Q414" s="383"/>
      <c r="R414" s="383"/>
      <c r="S414" s="384">
        <v>44565</v>
      </c>
      <c r="T414" s="384">
        <v>44565</v>
      </c>
      <c r="U414" s="383" t="s">
        <v>3976</v>
      </c>
      <c r="V414" s="381">
        <v>700</v>
      </c>
      <c r="W414" s="381">
        <v>14050</v>
      </c>
      <c r="X414" s="385">
        <v>4947.8</v>
      </c>
      <c r="Y414" s="381">
        <v>14056</v>
      </c>
      <c r="Z414" s="385">
        <v>1943.76</v>
      </c>
      <c r="AA414" s="385">
        <f t="shared" si="67"/>
        <v>3004.04</v>
      </c>
      <c r="AB414" s="385">
        <v>530.1</v>
      </c>
      <c r="AC414" s="381">
        <v>54260</v>
      </c>
      <c r="AD414" s="385">
        <v>58.9</v>
      </c>
      <c r="AE414" s="381" t="s">
        <v>944</v>
      </c>
      <c r="AF414" s="383"/>
      <c r="AG414" s="383"/>
      <c r="AH414" s="383" t="s">
        <v>57</v>
      </c>
      <c r="AI414" s="383" t="s">
        <v>4442</v>
      </c>
      <c r="AJ414" s="383" t="s">
        <v>4443</v>
      </c>
      <c r="AK414" s="389" t="s">
        <v>4437</v>
      </c>
      <c r="AL414" s="389" t="s">
        <v>1019</v>
      </c>
      <c r="AM414" s="389" t="s">
        <v>1019</v>
      </c>
      <c r="AN414" s="393">
        <f t="shared" si="68"/>
        <v>1</v>
      </c>
      <c r="AO414" s="393">
        <f t="shared" si="69"/>
        <v>2022</v>
      </c>
      <c r="AP414" s="394">
        <f t="shared" si="70"/>
        <v>2029</v>
      </c>
      <c r="AQ414" s="395">
        <f t="shared" si="71"/>
        <v>2029.0833333333333</v>
      </c>
      <c r="AR414" s="396">
        <f t="shared" si="72"/>
        <v>58.902380952380952</v>
      </c>
      <c r="AS414" s="397">
        <f t="shared" si="73"/>
        <v>706.82857142857142</v>
      </c>
      <c r="AT414" s="397">
        <f t="shared" si="79"/>
        <v>706.82857142857142</v>
      </c>
      <c r="AU414" s="397">
        <f t="shared" si="74"/>
        <v>1590.3642857142859</v>
      </c>
      <c r="AV414" s="397">
        <f t="shared" si="75"/>
        <v>2297.1928571428571</v>
      </c>
      <c r="AW414" s="398">
        <f t="shared" si="76"/>
        <v>2650.6071428571431</v>
      </c>
      <c r="AX414" s="386" t="s">
        <v>62</v>
      </c>
    </row>
    <row r="415" spans="2:50" ht="15.75" outlineLevel="1">
      <c r="B415" s="381">
        <v>2111</v>
      </c>
      <c r="C415" s="382">
        <v>273022</v>
      </c>
      <c r="D415" s="381" t="s">
        <v>944</v>
      </c>
      <c r="E415" s="383" t="s">
        <v>4240</v>
      </c>
      <c r="F415" s="392" t="s">
        <v>3977</v>
      </c>
      <c r="G415" s="392"/>
      <c r="H415" s="392"/>
      <c r="I415" s="381">
        <v>702</v>
      </c>
      <c r="J415" s="383"/>
      <c r="K415" s="381">
        <v>0</v>
      </c>
      <c r="L415" s="383" t="s">
        <v>1462</v>
      </c>
      <c r="M415" s="383"/>
      <c r="N415" s="383" t="s">
        <v>4446</v>
      </c>
      <c r="O415" s="383" t="s">
        <v>4441</v>
      </c>
      <c r="P415" s="383"/>
      <c r="Q415" s="383"/>
      <c r="R415" s="383"/>
      <c r="S415" s="384">
        <v>44565</v>
      </c>
      <c r="T415" s="384">
        <v>44565</v>
      </c>
      <c r="U415" s="383" t="s">
        <v>3976</v>
      </c>
      <c r="V415" s="381">
        <v>700</v>
      </c>
      <c r="W415" s="381">
        <v>14050</v>
      </c>
      <c r="X415" s="385">
        <v>48293.39</v>
      </c>
      <c r="Y415" s="381">
        <v>14056</v>
      </c>
      <c r="Z415" s="385">
        <v>18972.34</v>
      </c>
      <c r="AA415" s="385">
        <f t="shared" si="67"/>
        <v>29321.05</v>
      </c>
      <c r="AB415" s="385">
        <v>5174.28</v>
      </c>
      <c r="AC415" s="381">
        <v>54260</v>
      </c>
      <c r="AD415" s="385">
        <v>574.91999999999996</v>
      </c>
      <c r="AE415" s="381" t="s">
        <v>944</v>
      </c>
      <c r="AF415" s="383"/>
      <c r="AG415" s="383"/>
      <c r="AH415" s="383" t="s">
        <v>57</v>
      </c>
      <c r="AI415" s="383" t="s">
        <v>4442</v>
      </c>
      <c r="AJ415" s="383" t="s">
        <v>4443</v>
      </c>
      <c r="AK415" s="389" t="s">
        <v>4437</v>
      </c>
      <c r="AL415" s="389" t="s">
        <v>4221</v>
      </c>
      <c r="AM415" s="389" t="s">
        <v>1014</v>
      </c>
      <c r="AN415" s="393">
        <f t="shared" si="68"/>
        <v>1</v>
      </c>
      <c r="AO415" s="393">
        <f t="shared" si="69"/>
        <v>2022</v>
      </c>
      <c r="AP415" s="394">
        <f t="shared" si="70"/>
        <v>2029</v>
      </c>
      <c r="AQ415" s="395">
        <f t="shared" si="71"/>
        <v>2029.0833333333333</v>
      </c>
      <c r="AR415" s="396">
        <f t="shared" si="72"/>
        <v>574.92130952380955</v>
      </c>
      <c r="AS415" s="397">
        <f t="shared" si="73"/>
        <v>6899.0557142857142</v>
      </c>
      <c r="AT415" s="397">
        <f t="shared" si="79"/>
        <v>6899.0557142857142</v>
      </c>
      <c r="AU415" s="397">
        <f t="shared" si="74"/>
        <v>15522.875357142853</v>
      </c>
      <c r="AV415" s="397">
        <f t="shared" si="75"/>
        <v>22421.931071428568</v>
      </c>
      <c r="AW415" s="398">
        <f t="shared" si="76"/>
        <v>25871.458928571432</v>
      </c>
      <c r="AX415" s="386" t="s">
        <v>62</v>
      </c>
    </row>
    <row r="416" spans="2:50" ht="15.75" outlineLevel="1">
      <c r="B416" s="381">
        <v>2111</v>
      </c>
      <c r="C416" s="382">
        <v>273021</v>
      </c>
      <c r="D416" s="381" t="s">
        <v>944</v>
      </c>
      <c r="E416" s="383" t="s">
        <v>4240</v>
      </c>
      <c r="F416" s="392" t="s">
        <v>3975</v>
      </c>
      <c r="G416" s="392"/>
      <c r="H416" s="392"/>
      <c r="I416" s="381">
        <v>702</v>
      </c>
      <c r="J416" s="383"/>
      <c r="K416" s="381">
        <v>0</v>
      </c>
      <c r="L416" s="383" t="s">
        <v>1462</v>
      </c>
      <c r="M416" s="383"/>
      <c r="N416" s="383" t="s">
        <v>4446</v>
      </c>
      <c r="O416" s="383" t="s">
        <v>4441</v>
      </c>
      <c r="P416" s="383"/>
      <c r="Q416" s="383"/>
      <c r="R416" s="383"/>
      <c r="S416" s="384">
        <v>44565</v>
      </c>
      <c r="T416" s="384">
        <v>44565</v>
      </c>
      <c r="U416" s="383" t="s">
        <v>3976</v>
      </c>
      <c r="V416" s="381">
        <v>700</v>
      </c>
      <c r="W416" s="381">
        <v>14050</v>
      </c>
      <c r="X416" s="385">
        <v>48293.39</v>
      </c>
      <c r="Y416" s="381">
        <v>14056</v>
      </c>
      <c r="Z416" s="385">
        <v>18972.34</v>
      </c>
      <c r="AA416" s="385">
        <f t="shared" si="67"/>
        <v>29321.05</v>
      </c>
      <c r="AB416" s="385">
        <v>5174.28</v>
      </c>
      <c r="AC416" s="381">
        <v>54260</v>
      </c>
      <c r="AD416" s="385">
        <v>574.91999999999996</v>
      </c>
      <c r="AE416" s="381" t="s">
        <v>944</v>
      </c>
      <c r="AF416" s="383"/>
      <c r="AG416" s="383"/>
      <c r="AH416" s="383" t="s">
        <v>57</v>
      </c>
      <c r="AI416" s="383" t="s">
        <v>4442</v>
      </c>
      <c r="AJ416" s="383" t="s">
        <v>4443</v>
      </c>
      <c r="AK416" s="389" t="s">
        <v>4437</v>
      </c>
      <c r="AL416" s="389" t="s">
        <v>4217</v>
      </c>
      <c r="AM416" s="389" t="s">
        <v>3947</v>
      </c>
      <c r="AN416" s="393">
        <f t="shared" si="68"/>
        <v>1</v>
      </c>
      <c r="AO416" s="393">
        <f t="shared" si="69"/>
        <v>2022</v>
      </c>
      <c r="AP416" s="394">
        <f t="shared" si="70"/>
        <v>2029</v>
      </c>
      <c r="AQ416" s="395">
        <f t="shared" si="71"/>
        <v>2029.0833333333333</v>
      </c>
      <c r="AR416" s="396">
        <f t="shared" si="72"/>
        <v>574.92130952380955</v>
      </c>
      <c r="AS416" s="397">
        <f t="shared" si="73"/>
        <v>6899.0557142857142</v>
      </c>
      <c r="AT416" s="397">
        <f t="shared" si="79"/>
        <v>6899.0557142857142</v>
      </c>
      <c r="AU416" s="397">
        <f t="shared" si="74"/>
        <v>15522.875357142853</v>
      </c>
      <c r="AV416" s="397">
        <f t="shared" si="75"/>
        <v>22421.931071428568</v>
      </c>
      <c r="AW416" s="398">
        <f t="shared" si="76"/>
        <v>25871.458928571432</v>
      </c>
      <c r="AX416" s="386" t="s">
        <v>62</v>
      </c>
    </row>
    <row r="417" spans="2:50" ht="15.75" outlineLevel="1">
      <c r="B417" s="381">
        <v>2111</v>
      </c>
      <c r="C417" s="382">
        <v>273020</v>
      </c>
      <c r="D417" s="381" t="s">
        <v>944</v>
      </c>
      <c r="E417" s="383" t="s">
        <v>4240</v>
      </c>
      <c r="F417" s="392" t="s">
        <v>3974</v>
      </c>
      <c r="G417" s="392"/>
      <c r="H417" s="392"/>
      <c r="I417" s="381">
        <v>220</v>
      </c>
      <c r="J417" s="383"/>
      <c r="K417" s="381">
        <v>0</v>
      </c>
      <c r="L417" s="383" t="s">
        <v>1462</v>
      </c>
      <c r="M417" s="383"/>
      <c r="N417" s="383" t="s">
        <v>4446</v>
      </c>
      <c r="O417" s="383" t="s">
        <v>4441</v>
      </c>
      <c r="P417" s="383"/>
      <c r="Q417" s="383"/>
      <c r="R417" s="383"/>
      <c r="S417" s="384">
        <v>44563</v>
      </c>
      <c r="T417" s="384">
        <v>44563</v>
      </c>
      <c r="U417" s="383" t="s">
        <v>1464</v>
      </c>
      <c r="V417" s="381">
        <v>700</v>
      </c>
      <c r="W417" s="381">
        <v>14050</v>
      </c>
      <c r="X417" s="385">
        <v>5442.58</v>
      </c>
      <c r="Y417" s="381">
        <v>14056</v>
      </c>
      <c r="Z417" s="385">
        <v>2138.13</v>
      </c>
      <c r="AA417" s="385">
        <f t="shared" si="67"/>
        <v>3304.45</v>
      </c>
      <c r="AB417" s="385">
        <v>583.11</v>
      </c>
      <c r="AC417" s="381">
        <v>54260</v>
      </c>
      <c r="AD417" s="385">
        <v>64.790000000000006</v>
      </c>
      <c r="AE417" s="381" t="s">
        <v>944</v>
      </c>
      <c r="AF417" s="383"/>
      <c r="AG417" s="383"/>
      <c r="AH417" s="383" t="s">
        <v>57</v>
      </c>
      <c r="AI417" s="383" t="s">
        <v>4442</v>
      </c>
      <c r="AJ417" s="383" t="s">
        <v>4443</v>
      </c>
      <c r="AK417" s="389" t="s">
        <v>4437</v>
      </c>
      <c r="AL417" s="389" t="s">
        <v>1019</v>
      </c>
      <c r="AM417" s="389" t="s">
        <v>1019</v>
      </c>
      <c r="AN417" s="393">
        <f t="shared" si="68"/>
        <v>1</v>
      </c>
      <c r="AO417" s="393">
        <f t="shared" si="69"/>
        <v>2022</v>
      </c>
      <c r="AP417" s="394">
        <f t="shared" si="70"/>
        <v>2029</v>
      </c>
      <c r="AQ417" s="395">
        <f t="shared" si="71"/>
        <v>2029.0833333333333</v>
      </c>
      <c r="AR417" s="396">
        <f t="shared" si="72"/>
        <v>64.792619047619056</v>
      </c>
      <c r="AS417" s="397">
        <f t="shared" si="73"/>
        <v>777.51142857142872</v>
      </c>
      <c r="AT417" s="397">
        <f t="shared" si="79"/>
        <v>777.51142857142872</v>
      </c>
      <c r="AU417" s="397">
        <f t="shared" si="74"/>
        <v>1749.4007142857135</v>
      </c>
      <c r="AV417" s="397">
        <f t="shared" si="75"/>
        <v>2526.9121428571425</v>
      </c>
      <c r="AW417" s="398">
        <f t="shared" si="76"/>
        <v>2915.6678571428574</v>
      </c>
      <c r="AX417" s="386" t="s">
        <v>62</v>
      </c>
    </row>
    <row r="418" spans="2:50" ht="15.75" outlineLevel="1">
      <c r="B418" s="381">
        <v>2111</v>
      </c>
      <c r="C418" s="382">
        <v>272987</v>
      </c>
      <c r="D418" s="381" t="s">
        <v>944</v>
      </c>
      <c r="E418" s="383" t="s">
        <v>4240</v>
      </c>
      <c r="F418" s="392" t="s">
        <v>3970</v>
      </c>
      <c r="G418" s="392"/>
      <c r="H418" s="392"/>
      <c r="I418" s="381">
        <v>1</v>
      </c>
      <c r="J418" s="383" t="s">
        <v>3971</v>
      </c>
      <c r="K418" s="381">
        <v>2021</v>
      </c>
      <c r="L418" s="383" t="s">
        <v>2038</v>
      </c>
      <c r="M418" s="383"/>
      <c r="N418" s="383" t="s">
        <v>4445</v>
      </c>
      <c r="O418" s="383" t="s">
        <v>4441</v>
      </c>
      <c r="P418" s="383" t="s">
        <v>2662</v>
      </c>
      <c r="Q418" s="383"/>
      <c r="R418" s="383"/>
      <c r="S418" s="384">
        <v>44567</v>
      </c>
      <c r="T418" s="384">
        <v>44567</v>
      </c>
      <c r="U418" s="383" t="s">
        <v>3972</v>
      </c>
      <c r="V418" s="381">
        <v>900</v>
      </c>
      <c r="W418" s="381">
        <v>14040</v>
      </c>
      <c r="X418" s="385">
        <v>124165</v>
      </c>
      <c r="Y418" s="381">
        <v>14046</v>
      </c>
      <c r="Z418" s="385">
        <v>37939.339999999997</v>
      </c>
      <c r="AA418" s="385">
        <f t="shared" si="67"/>
        <v>86225.66</v>
      </c>
      <c r="AB418" s="385">
        <v>10347.120000000001</v>
      </c>
      <c r="AC418" s="381">
        <v>51260</v>
      </c>
      <c r="AD418" s="385">
        <v>1149.68</v>
      </c>
      <c r="AE418" s="381" t="s">
        <v>944</v>
      </c>
      <c r="AF418" s="383">
        <v>0</v>
      </c>
      <c r="AG418" s="383" t="s">
        <v>4435</v>
      </c>
      <c r="AH418" s="383" t="s">
        <v>57</v>
      </c>
      <c r="AI418" s="383" t="s">
        <v>4442</v>
      </c>
      <c r="AJ418" s="383" t="s">
        <v>4443</v>
      </c>
      <c r="AK418" s="389" t="s">
        <v>4437</v>
      </c>
      <c r="AL418" s="389" t="s">
        <v>4220</v>
      </c>
      <c r="AM418" s="389" t="s">
        <v>178</v>
      </c>
      <c r="AN418" s="393">
        <f t="shared" si="68"/>
        <v>1</v>
      </c>
      <c r="AO418" s="393">
        <f t="shared" si="69"/>
        <v>2022</v>
      </c>
      <c r="AP418" s="394">
        <f t="shared" si="70"/>
        <v>2031</v>
      </c>
      <c r="AQ418" s="395">
        <f t="shared" si="71"/>
        <v>2031.0833333333333</v>
      </c>
      <c r="AR418" s="396">
        <f t="shared" si="72"/>
        <v>1149.6759259259259</v>
      </c>
      <c r="AS418" s="397">
        <f t="shared" si="73"/>
        <v>13796.111111111109</v>
      </c>
      <c r="AT418" s="397">
        <f t="shared" si="79"/>
        <v>13796.111111111109</v>
      </c>
      <c r="AU418" s="397">
        <f t="shared" si="74"/>
        <v>31041.25</v>
      </c>
      <c r="AV418" s="397">
        <f t="shared" si="75"/>
        <v>44837.361111111109</v>
      </c>
      <c r="AW418" s="398">
        <f t="shared" si="76"/>
        <v>79327.638888888891</v>
      </c>
      <c r="AX418" s="386" t="s">
        <v>62</v>
      </c>
    </row>
    <row r="419" spans="2:50" ht="15.75" outlineLevel="1">
      <c r="B419" s="381">
        <v>2111</v>
      </c>
      <c r="C419" s="382">
        <v>272986</v>
      </c>
      <c r="D419" s="381" t="s">
        <v>944</v>
      </c>
      <c r="E419" s="383" t="s">
        <v>4240</v>
      </c>
      <c r="F419" s="392" t="s">
        <v>3965</v>
      </c>
      <c r="G419" s="392"/>
      <c r="H419" s="392"/>
      <c r="I419" s="381">
        <v>1</v>
      </c>
      <c r="J419" s="383" t="s">
        <v>3966</v>
      </c>
      <c r="K419" s="381">
        <v>0</v>
      </c>
      <c r="L419" s="383" t="s">
        <v>3967</v>
      </c>
      <c r="M419" s="383"/>
      <c r="N419" s="383" t="s">
        <v>4445</v>
      </c>
      <c r="O419" s="383" t="s">
        <v>4441</v>
      </c>
      <c r="P419" s="383" t="s">
        <v>4478</v>
      </c>
      <c r="Q419" s="383"/>
      <c r="R419" s="383"/>
      <c r="S419" s="384">
        <v>44563</v>
      </c>
      <c r="T419" s="384">
        <v>44563</v>
      </c>
      <c r="U419" s="383" t="s">
        <v>3969</v>
      </c>
      <c r="V419" s="381">
        <v>300</v>
      </c>
      <c r="W419" s="381">
        <v>14040</v>
      </c>
      <c r="X419" s="385">
        <v>37671.769999999997</v>
      </c>
      <c r="Y419" s="381">
        <v>14046</v>
      </c>
      <c r="Z419" s="385">
        <v>34532.480000000003</v>
      </c>
      <c r="AA419" s="385">
        <f t="shared" si="67"/>
        <v>3139.2899999999936</v>
      </c>
      <c r="AB419" s="385">
        <v>9417.9599999999991</v>
      </c>
      <c r="AC419" s="381">
        <v>51260</v>
      </c>
      <c r="AD419" s="385">
        <v>1046.44</v>
      </c>
      <c r="AE419" s="381" t="s">
        <v>944</v>
      </c>
      <c r="AF419" s="383"/>
      <c r="AG419" s="383">
        <v>17</v>
      </c>
      <c r="AH419" s="383" t="s">
        <v>57</v>
      </c>
      <c r="AI419" s="383" t="s">
        <v>4442</v>
      </c>
      <c r="AJ419" s="383" t="s">
        <v>4443</v>
      </c>
      <c r="AK419" s="389" t="s">
        <v>4437</v>
      </c>
      <c r="AL419" s="389" t="s">
        <v>4222</v>
      </c>
      <c r="AM419" s="389" t="s">
        <v>133</v>
      </c>
      <c r="AN419" s="393">
        <f t="shared" si="68"/>
        <v>1</v>
      </c>
      <c r="AO419" s="393">
        <f t="shared" si="69"/>
        <v>2022</v>
      </c>
      <c r="AP419" s="394">
        <f t="shared" si="70"/>
        <v>2025</v>
      </c>
      <c r="AQ419" s="395">
        <f t="shared" si="71"/>
        <v>2025.0833333333333</v>
      </c>
      <c r="AR419" s="396">
        <f t="shared" si="72"/>
        <v>1046.4380555555556</v>
      </c>
      <c r="AS419" s="397">
        <f t="shared" si="73"/>
        <v>12557.256666666668</v>
      </c>
      <c r="AT419" s="410" t="e">
        <f>+#REF!</f>
        <v>#REF!</v>
      </c>
      <c r="AU419" s="397">
        <f t="shared" si="74"/>
        <v>28253.827499999996</v>
      </c>
      <c r="AV419" s="397">
        <f t="shared" si="75"/>
        <v>37671.769999999997</v>
      </c>
      <c r="AW419" s="398">
        <f t="shared" si="76"/>
        <v>0</v>
      </c>
      <c r="AX419" s="386" t="s">
        <v>62</v>
      </c>
    </row>
    <row r="420" spans="2:50" ht="15.75" outlineLevel="1">
      <c r="B420" s="381">
        <v>2111</v>
      </c>
      <c r="C420" s="382">
        <v>272354</v>
      </c>
      <c r="D420" s="381" t="s">
        <v>944</v>
      </c>
      <c r="E420" s="383" t="s">
        <v>4240</v>
      </c>
      <c r="F420" s="392" t="s">
        <v>3950</v>
      </c>
      <c r="G420" s="392"/>
      <c r="H420" s="392"/>
      <c r="I420" s="381">
        <v>1</v>
      </c>
      <c r="J420" s="383" t="s">
        <v>3951</v>
      </c>
      <c r="K420" s="381">
        <v>2022</v>
      </c>
      <c r="L420" s="383"/>
      <c r="M420" s="383"/>
      <c r="N420" s="383" t="s">
        <v>4445</v>
      </c>
      <c r="O420" s="383" t="s">
        <v>4441</v>
      </c>
      <c r="P420" s="383" t="s">
        <v>4490</v>
      </c>
      <c r="Q420" s="383"/>
      <c r="R420" s="383"/>
      <c r="S420" s="384">
        <v>44563</v>
      </c>
      <c r="T420" s="384">
        <v>44563</v>
      </c>
      <c r="U420" s="383" t="s">
        <v>3952</v>
      </c>
      <c r="V420" s="381">
        <v>1000</v>
      </c>
      <c r="W420" s="381">
        <v>14040</v>
      </c>
      <c r="X420" s="385">
        <v>153317</v>
      </c>
      <c r="Y420" s="381">
        <v>14046</v>
      </c>
      <c r="Z420" s="385">
        <v>42162.14</v>
      </c>
      <c r="AA420" s="385">
        <f t="shared" si="67"/>
        <v>111154.86</v>
      </c>
      <c r="AB420" s="385">
        <v>11498.76</v>
      </c>
      <c r="AC420" s="381">
        <v>51260</v>
      </c>
      <c r="AD420" s="385">
        <v>1277.6400000000001</v>
      </c>
      <c r="AE420" s="381" t="s">
        <v>944</v>
      </c>
      <c r="AF420" s="383"/>
      <c r="AG420" s="383">
        <v>305</v>
      </c>
      <c r="AH420" s="383" t="s">
        <v>57</v>
      </c>
      <c r="AI420" s="383" t="s">
        <v>4442</v>
      </c>
      <c r="AJ420" s="383" t="s">
        <v>4443</v>
      </c>
      <c r="AK420" s="389" t="s">
        <v>4437</v>
      </c>
      <c r="AL420" s="389" t="s">
        <v>582</v>
      </c>
      <c r="AM420" s="389" t="s">
        <v>582</v>
      </c>
      <c r="AN420" s="393">
        <f t="shared" si="68"/>
        <v>1</v>
      </c>
      <c r="AO420" s="393">
        <f t="shared" si="69"/>
        <v>2022</v>
      </c>
      <c r="AP420" s="394">
        <f t="shared" si="70"/>
        <v>2032</v>
      </c>
      <c r="AQ420" s="395">
        <f t="shared" si="71"/>
        <v>2032.0833333333333</v>
      </c>
      <c r="AR420" s="396">
        <f t="shared" si="72"/>
        <v>1277.6416666666667</v>
      </c>
      <c r="AS420" s="397">
        <f t="shared" si="73"/>
        <v>15331.7</v>
      </c>
      <c r="AT420" s="397">
        <f t="shared" ref="AT420:AT463" si="80">IF(AQ420&lt;=$AK$12,0,AS420)</f>
        <v>15331.7</v>
      </c>
      <c r="AU420" s="397">
        <f t="shared" si="74"/>
        <v>34496.324999999997</v>
      </c>
      <c r="AV420" s="397">
        <f t="shared" si="75"/>
        <v>49828.024999999994</v>
      </c>
      <c r="AW420" s="398">
        <f t="shared" si="76"/>
        <v>103488.97500000001</v>
      </c>
      <c r="AX420" s="386" t="s">
        <v>62</v>
      </c>
    </row>
    <row r="421" spans="2:50" ht="15.75" outlineLevel="1">
      <c r="B421" s="381">
        <v>2111</v>
      </c>
      <c r="C421" s="382">
        <v>270739</v>
      </c>
      <c r="D421" s="381" t="s">
        <v>944</v>
      </c>
      <c r="E421" s="383" t="s">
        <v>4240</v>
      </c>
      <c r="F421" s="392" t="s">
        <v>1444</v>
      </c>
      <c r="G421" s="392"/>
      <c r="H421" s="392"/>
      <c r="I421" s="381">
        <v>1</v>
      </c>
      <c r="J421" s="383"/>
      <c r="K421" s="381">
        <v>0</v>
      </c>
      <c r="L421" s="383"/>
      <c r="M421" s="383"/>
      <c r="N421" s="383" t="s">
        <v>4451</v>
      </c>
      <c r="O421" s="383" t="s">
        <v>4441</v>
      </c>
      <c r="P421" s="383"/>
      <c r="Q421" s="383"/>
      <c r="R421" s="383"/>
      <c r="S421" s="384">
        <v>44561</v>
      </c>
      <c r="T421" s="384">
        <v>44561</v>
      </c>
      <c r="U421" s="383" t="s">
        <v>1445</v>
      </c>
      <c r="V421" s="381">
        <v>500</v>
      </c>
      <c r="W421" s="381">
        <v>14070</v>
      </c>
      <c r="X421" s="385">
        <v>95.88</v>
      </c>
      <c r="Y421" s="381">
        <v>14076</v>
      </c>
      <c r="Z421" s="385">
        <v>52.76</v>
      </c>
      <c r="AA421" s="385">
        <f t="shared" ref="AA421:AA484" si="81">+X421-Z421</f>
        <v>43.12</v>
      </c>
      <c r="AB421" s="385">
        <v>14.4</v>
      </c>
      <c r="AC421" s="381">
        <v>51260</v>
      </c>
      <c r="AD421" s="385">
        <v>1.6</v>
      </c>
      <c r="AE421" s="381" t="s">
        <v>944</v>
      </c>
      <c r="AF421" s="383"/>
      <c r="AG421" s="383"/>
      <c r="AH421" s="383" t="s">
        <v>57</v>
      </c>
      <c r="AI421" s="383" t="s">
        <v>4442</v>
      </c>
      <c r="AJ421" s="383" t="s">
        <v>4443</v>
      </c>
      <c r="AK421" s="389" t="s">
        <v>4437</v>
      </c>
      <c r="AL421" s="389" t="s">
        <v>4222</v>
      </c>
      <c r="AM421" s="389" t="s">
        <v>133</v>
      </c>
      <c r="AN421" s="393">
        <f t="shared" ref="AN421:AN469" si="82">MONTH($S421)</f>
        <v>12</v>
      </c>
      <c r="AO421" s="393">
        <f t="shared" ref="AO421:AO469" si="83">YEAR($S421)</f>
        <v>2021</v>
      </c>
      <c r="AP421" s="394">
        <f t="shared" ref="AP421:AP469" si="84">$AO421+($V421/100)</f>
        <v>2026</v>
      </c>
      <c r="AQ421" s="395">
        <f t="shared" ref="AQ421:AQ469" si="85">$AP421+($AN421/12)</f>
        <v>2027</v>
      </c>
      <c r="AR421" s="396">
        <f t="shared" ref="AR421:AR469" si="86">IFERROR($X421/($V421/100)/12,0)</f>
        <v>1.5979999999999999</v>
      </c>
      <c r="AS421" s="397">
        <f t="shared" ref="AS421:AS469" si="87">$AR421*12</f>
        <v>19.175999999999998</v>
      </c>
      <c r="AT421" s="397">
        <f t="shared" si="80"/>
        <v>19.175999999999998</v>
      </c>
      <c r="AU421" s="397">
        <f t="shared" ref="AU421:AU469" si="88">IF(AQ421&lt;=$AK$13,X421,IF(((AO421+AN421/12))&gt;=$AK$13,0,((X421-((AQ421-$AK$13)*12)*AR421))))</f>
        <v>44.743999999998543</v>
      </c>
      <c r="AV421" s="397">
        <f t="shared" ref="AV421:AV469" si="89">IF(AQ421&lt;=$AK$12,X421,AT421+AU421)</f>
        <v>63.919999999998538</v>
      </c>
      <c r="AW421" s="398">
        <f t="shared" ref="AW421:AW469" si="90">+X421-AV421</f>
        <v>31.960000000001457</v>
      </c>
      <c r="AX421" s="386" t="s">
        <v>62</v>
      </c>
    </row>
    <row r="422" spans="2:50" ht="15.75" outlineLevel="1">
      <c r="B422" s="381">
        <v>2111</v>
      </c>
      <c r="C422" s="382">
        <v>270717</v>
      </c>
      <c r="D422" s="381" t="s">
        <v>944</v>
      </c>
      <c r="E422" s="383" t="s">
        <v>4240</v>
      </c>
      <c r="F422" s="392" t="s">
        <v>1449</v>
      </c>
      <c r="G422" s="392"/>
      <c r="H422" s="392"/>
      <c r="I422" s="381">
        <v>15</v>
      </c>
      <c r="J422" s="383"/>
      <c r="K422" s="381">
        <v>0</v>
      </c>
      <c r="L422" s="383"/>
      <c r="M422" s="383"/>
      <c r="N422" s="383" t="s">
        <v>4451</v>
      </c>
      <c r="O422" s="383" t="s">
        <v>4441</v>
      </c>
      <c r="P422" s="383"/>
      <c r="Q422" s="383"/>
      <c r="R422" s="383"/>
      <c r="S422" s="384">
        <v>44561</v>
      </c>
      <c r="T422" s="384">
        <v>44561</v>
      </c>
      <c r="U422" s="383" t="s">
        <v>1445</v>
      </c>
      <c r="V422" s="381">
        <v>500</v>
      </c>
      <c r="W422" s="381">
        <v>14070</v>
      </c>
      <c r="X422" s="385">
        <v>6943.97</v>
      </c>
      <c r="Y422" s="381">
        <v>14076</v>
      </c>
      <c r="Z422" s="385">
        <v>3819.15</v>
      </c>
      <c r="AA422" s="385">
        <f t="shared" si="81"/>
        <v>3124.82</v>
      </c>
      <c r="AB422" s="385">
        <v>1041.57</v>
      </c>
      <c r="AC422" s="381">
        <v>51260</v>
      </c>
      <c r="AD422" s="385">
        <v>115.73</v>
      </c>
      <c r="AE422" s="381" t="s">
        <v>944</v>
      </c>
      <c r="AF422" s="383"/>
      <c r="AG422" s="383"/>
      <c r="AH422" s="383" t="s">
        <v>57</v>
      </c>
      <c r="AI422" s="383" t="s">
        <v>4442</v>
      </c>
      <c r="AJ422" s="383" t="s">
        <v>4443</v>
      </c>
      <c r="AK422" s="389" t="s">
        <v>4437</v>
      </c>
      <c r="AL422" s="389" t="s">
        <v>4222</v>
      </c>
      <c r="AM422" s="389" t="s">
        <v>133</v>
      </c>
      <c r="AN422" s="393">
        <f t="shared" si="82"/>
        <v>12</v>
      </c>
      <c r="AO422" s="393">
        <f t="shared" si="83"/>
        <v>2021</v>
      </c>
      <c r="AP422" s="394">
        <f t="shared" si="84"/>
        <v>2026</v>
      </c>
      <c r="AQ422" s="395">
        <f t="shared" si="85"/>
        <v>2027</v>
      </c>
      <c r="AR422" s="396">
        <f t="shared" si="86"/>
        <v>115.73283333333335</v>
      </c>
      <c r="AS422" s="397">
        <f t="shared" si="87"/>
        <v>1388.7940000000001</v>
      </c>
      <c r="AT422" s="397">
        <f t="shared" si="80"/>
        <v>1388.7940000000001</v>
      </c>
      <c r="AU422" s="397">
        <f t="shared" si="88"/>
        <v>3240.5193333332281</v>
      </c>
      <c r="AV422" s="397">
        <f t="shared" si="89"/>
        <v>4629.313333333228</v>
      </c>
      <c r="AW422" s="398">
        <f t="shared" si="90"/>
        <v>2314.6566666667723</v>
      </c>
      <c r="AX422" s="386" t="s">
        <v>62</v>
      </c>
    </row>
    <row r="423" spans="2:50" ht="15.75" outlineLevel="1">
      <c r="B423" s="381">
        <v>2111</v>
      </c>
      <c r="C423" s="382">
        <v>270659</v>
      </c>
      <c r="D423" s="381" t="s">
        <v>944</v>
      </c>
      <c r="E423" s="383" t="s">
        <v>4240</v>
      </c>
      <c r="F423" s="392" t="s">
        <v>1450</v>
      </c>
      <c r="G423" s="392"/>
      <c r="H423" s="392"/>
      <c r="I423" s="381">
        <v>1</v>
      </c>
      <c r="J423" s="383"/>
      <c r="K423" s="381">
        <v>0</v>
      </c>
      <c r="L423" s="383"/>
      <c r="M423" s="383"/>
      <c r="N423" s="383" t="s">
        <v>4451</v>
      </c>
      <c r="O423" s="383" t="s">
        <v>4441</v>
      </c>
      <c r="P423" s="383"/>
      <c r="Q423" s="383"/>
      <c r="R423" s="383"/>
      <c r="S423" s="384">
        <v>44561</v>
      </c>
      <c r="T423" s="384">
        <v>44561</v>
      </c>
      <c r="U423" s="383" t="s">
        <v>1445</v>
      </c>
      <c r="V423" s="381">
        <v>500</v>
      </c>
      <c r="W423" s="381">
        <v>14070</v>
      </c>
      <c r="X423" s="385">
        <v>-577.51</v>
      </c>
      <c r="Y423" s="381">
        <v>14076</v>
      </c>
      <c r="Z423" s="385">
        <v>-317.64999999999998</v>
      </c>
      <c r="AA423" s="385">
        <f t="shared" si="81"/>
        <v>-259.86</v>
      </c>
      <c r="AB423" s="385">
        <v>-86.67</v>
      </c>
      <c r="AC423" s="381">
        <v>51260</v>
      </c>
      <c r="AD423" s="385">
        <v>-9.6300000000000008</v>
      </c>
      <c r="AE423" s="381" t="s">
        <v>944</v>
      </c>
      <c r="AF423" s="383"/>
      <c r="AG423" s="383"/>
      <c r="AH423" s="383" t="s">
        <v>57</v>
      </c>
      <c r="AI423" s="383" t="s">
        <v>4442</v>
      </c>
      <c r="AJ423" s="383" t="s">
        <v>4443</v>
      </c>
      <c r="AK423" s="389" t="s">
        <v>4437</v>
      </c>
      <c r="AL423" s="389" t="s">
        <v>4222</v>
      </c>
      <c r="AM423" s="389" t="s">
        <v>133</v>
      </c>
      <c r="AN423" s="393">
        <f t="shared" si="82"/>
        <v>12</v>
      </c>
      <c r="AO423" s="393">
        <f t="shared" si="83"/>
        <v>2021</v>
      </c>
      <c r="AP423" s="394">
        <f t="shared" si="84"/>
        <v>2026</v>
      </c>
      <c r="AQ423" s="395">
        <f t="shared" si="85"/>
        <v>2027</v>
      </c>
      <c r="AR423" s="396">
        <f t="shared" si="86"/>
        <v>-9.6251666666666669</v>
      </c>
      <c r="AS423" s="397">
        <f t="shared" si="87"/>
        <v>-115.50200000000001</v>
      </c>
      <c r="AT423" s="397">
        <f t="shared" si="80"/>
        <v>-115.50200000000001</v>
      </c>
      <c r="AU423" s="397">
        <f t="shared" si="88"/>
        <v>-269.5046666666579</v>
      </c>
      <c r="AV423" s="397">
        <f t="shared" si="89"/>
        <v>-385.00666666665791</v>
      </c>
      <c r="AW423" s="398">
        <f t="shared" si="90"/>
        <v>-192.50333333334208</v>
      </c>
      <c r="AX423" s="386" t="s">
        <v>62</v>
      </c>
    </row>
    <row r="424" spans="2:50" ht="15.75" outlineLevel="1">
      <c r="B424" s="381">
        <v>2111</v>
      </c>
      <c r="C424" s="382">
        <v>270658</v>
      </c>
      <c r="D424" s="381" t="s">
        <v>944</v>
      </c>
      <c r="E424" s="383" t="s">
        <v>4240</v>
      </c>
      <c r="F424" s="392" t="s">
        <v>1449</v>
      </c>
      <c r="G424" s="392"/>
      <c r="H424" s="392"/>
      <c r="I424" s="381">
        <v>20</v>
      </c>
      <c r="J424" s="383"/>
      <c r="K424" s="381">
        <v>0</v>
      </c>
      <c r="L424" s="383"/>
      <c r="M424" s="383"/>
      <c r="N424" s="383" t="s">
        <v>4451</v>
      </c>
      <c r="O424" s="383" t="s">
        <v>4441</v>
      </c>
      <c r="P424" s="383"/>
      <c r="Q424" s="383"/>
      <c r="R424" s="383"/>
      <c r="S424" s="384">
        <v>44561</v>
      </c>
      <c r="T424" s="384">
        <v>44561</v>
      </c>
      <c r="U424" s="383" t="s">
        <v>1445</v>
      </c>
      <c r="V424" s="381">
        <v>500</v>
      </c>
      <c r="W424" s="381">
        <v>14070</v>
      </c>
      <c r="X424" s="385">
        <v>5282.62</v>
      </c>
      <c r="Y424" s="381">
        <v>14076</v>
      </c>
      <c r="Z424" s="385">
        <v>2905.4</v>
      </c>
      <c r="AA424" s="385">
        <f t="shared" si="81"/>
        <v>2377.2199999999998</v>
      </c>
      <c r="AB424" s="385">
        <v>792.36</v>
      </c>
      <c r="AC424" s="381">
        <v>51260</v>
      </c>
      <c r="AD424" s="385">
        <v>88.04</v>
      </c>
      <c r="AE424" s="381" t="s">
        <v>944</v>
      </c>
      <c r="AF424" s="383"/>
      <c r="AG424" s="383"/>
      <c r="AH424" s="383" t="s">
        <v>57</v>
      </c>
      <c r="AI424" s="383" t="s">
        <v>4442</v>
      </c>
      <c r="AJ424" s="383" t="s">
        <v>4443</v>
      </c>
      <c r="AK424" s="389" t="s">
        <v>4437</v>
      </c>
      <c r="AL424" s="389" t="s">
        <v>4222</v>
      </c>
      <c r="AM424" s="389" t="s">
        <v>133</v>
      </c>
      <c r="AN424" s="393">
        <f t="shared" si="82"/>
        <v>12</v>
      </c>
      <c r="AO424" s="393">
        <f t="shared" si="83"/>
        <v>2021</v>
      </c>
      <c r="AP424" s="394">
        <f t="shared" si="84"/>
        <v>2026</v>
      </c>
      <c r="AQ424" s="395">
        <f t="shared" si="85"/>
        <v>2027</v>
      </c>
      <c r="AR424" s="396">
        <f t="shared" si="86"/>
        <v>88.043666666666653</v>
      </c>
      <c r="AS424" s="397">
        <f t="shared" si="87"/>
        <v>1056.5239999999999</v>
      </c>
      <c r="AT424" s="397">
        <f t="shared" si="80"/>
        <v>1056.5239999999999</v>
      </c>
      <c r="AU424" s="397">
        <f t="shared" si="88"/>
        <v>2465.222666666587</v>
      </c>
      <c r="AV424" s="397">
        <f t="shared" si="89"/>
        <v>3521.7466666665869</v>
      </c>
      <c r="AW424" s="398">
        <f t="shared" si="90"/>
        <v>1760.873333333413</v>
      </c>
      <c r="AX424" s="386" t="s">
        <v>62</v>
      </c>
    </row>
    <row r="425" spans="2:50" ht="15.75" outlineLevel="1">
      <c r="B425" s="381">
        <v>2111</v>
      </c>
      <c r="C425" s="382">
        <v>270324</v>
      </c>
      <c r="D425" s="381" t="s">
        <v>944</v>
      </c>
      <c r="E425" s="383" t="s">
        <v>4240</v>
      </c>
      <c r="F425" s="392" t="s">
        <v>1451</v>
      </c>
      <c r="G425" s="392"/>
      <c r="H425" s="392"/>
      <c r="I425" s="381">
        <v>1</v>
      </c>
      <c r="J425" s="383"/>
      <c r="K425" s="381">
        <v>0</v>
      </c>
      <c r="L425" s="383" t="s">
        <v>1452</v>
      </c>
      <c r="M425" s="383"/>
      <c r="N425" s="383" t="s">
        <v>4440</v>
      </c>
      <c r="O425" s="383" t="s">
        <v>4441</v>
      </c>
      <c r="P425" s="383"/>
      <c r="Q425" s="383"/>
      <c r="R425" s="383"/>
      <c r="S425" s="384">
        <v>43946</v>
      </c>
      <c r="T425" s="384">
        <v>43946</v>
      </c>
      <c r="U425" s="383" t="s">
        <v>1453</v>
      </c>
      <c r="V425" s="381">
        <v>300</v>
      </c>
      <c r="W425" s="381">
        <v>14110</v>
      </c>
      <c r="X425" s="385">
        <v>8236.7000000000007</v>
      </c>
      <c r="Y425" s="381">
        <v>14116</v>
      </c>
      <c r="Z425" s="385">
        <v>8236.7000000000007</v>
      </c>
      <c r="AA425" s="385">
        <f t="shared" si="81"/>
        <v>0</v>
      </c>
      <c r="AB425" s="385">
        <v>0</v>
      </c>
      <c r="AC425" s="381">
        <v>70260</v>
      </c>
      <c r="AD425" s="385">
        <v>0</v>
      </c>
      <c r="AE425" s="381" t="s">
        <v>944</v>
      </c>
      <c r="AF425" s="383"/>
      <c r="AG425" s="383"/>
      <c r="AH425" s="383" t="s">
        <v>57</v>
      </c>
      <c r="AI425" s="383" t="s">
        <v>4442</v>
      </c>
      <c r="AJ425" s="383" t="s">
        <v>4443</v>
      </c>
      <c r="AK425" s="389" t="s">
        <v>4437</v>
      </c>
      <c r="AL425" s="389" t="s">
        <v>4222</v>
      </c>
      <c r="AM425" s="389" t="s">
        <v>133</v>
      </c>
      <c r="AN425" s="393">
        <f t="shared" si="82"/>
        <v>4</v>
      </c>
      <c r="AO425" s="393">
        <f t="shared" si="83"/>
        <v>2020</v>
      </c>
      <c r="AP425" s="394">
        <f t="shared" si="84"/>
        <v>2023</v>
      </c>
      <c r="AQ425" s="395">
        <f t="shared" si="85"/>
        <v>2023.3333333333333</v>
      </c>
      <c r="AR425" s="396">
        <f t="shared" si="86"/>
        <v>228.79722222222225</v>
      </c>
      <c r="AS425" s="397">
        <f t="shared" si="87"/>
        <v>2745.5666666666671</v>
      </c>
      <c r="AT425" s="397">
        <f t="shared" si="80"/>
        <v>0</v>
      </c>
      <c r="AU425" s="397">
        <f t="shared" si="88"/>
        <v>8236.7000000000007</v>
      </c>
      <c r="AV425" s="397">
        <f t="shared" si="89"/>
        <v>8236.7000000000007</v>
      </c>
      <c r="AW425" s="398">
        <f t="shared" si="90"/>
        <v>0</v>
      </c>
      <c r="AX425" s="386" t="s">
        <v>62</v>
      </c>
    </row>
    <row r="426" spans="2:50" ht="15.75" outlineLevel="1">
      <c r="B426" s="381">
        <v>2111</v>
      </c>
      <c r="C426" s="382">
        <v>269874</v>
      </c>
      <c r="D426" s="381">
        <v>252489</v>
      </c>
      <c r="E426" s="383" t="s">
        <v>4240</v>
      </c>
      <c r="F426" s="392" t="s">
        <v>1455</v>
      </c>
      <c r="G426" s="392"/>
      <c r="H426" s="392"/>
      <c r="I426" s="381">
        <v>1</v>
      </c>
      <c r="J426" s="383"/>
      <c r="K426" s="381">
        <v>0</v>
      </c>
      <c r="L426" s="383" t="s">
        <v>1456</v>
      </c>
      <c r="M426" s="383"/>
      <c r="N426" s="383" t="s">
        <v>4462</v>
      </c>
      <c r="O426" s="383" t="s">
        <v>4441</v>
      </c>
      <c r="P426" s="383"/>
      <c r="Q426" s="383"/>
      <c r="R426" s="383"/>
      <c r="S426" s="384">
        <v>44347</v>
      </c>
      <c r="T426" s="384">
        <v>44347</v>
      </c>
      <c r="U426" s="383" t="s">
        <v>1457</v>
      </c>
      <c r="V426" s="381">
        <v>1000</v>
      </c>
      <c r="W426" s="381">
        <v>14010</v>
      </c>
      <c r="X426" s="385">
        <v>752.5</v>
      </c>
      <c r="Y426" s="381">
        <v>14016</v>
      </c>
      <c r="Z426" s="385">
        <v>250.83</v>
      </c>
      <c r="AA426" s="385">
        <f t="shared" si="81"/>
        <v>501.66999999999996</v>
      </c>
      <c r="AB426" s="385">
        <v>56.43</v>
      </c>
      <c r="AC426" s="381">
        <v>57260</v>
      </c>
      <c r="AD426" s="385">
        <v>6.27</v>
      </c>
      <c r="AE426" s="381" t="s">
        <v>944</v>
      </c>
      <c r="AF426" s="383"/>
      <c r="AG426" s="383"/>
      <c r="AH426" s="383" t="s">
        <v>57</v>
      </c>
      <c r="AI426" s="383" t="s">
        <v>4442</v>
      </c>
      <c r="AJ426" s="383" t="s">
        <v>4443</v>
      </c>
      <c r="AK426" s="389" t="s">
        <v>4437</v>
      </c>
      <c r="AL426" s="389" t="s">
        <v>4223</v>
      </c>
      <c r="AM426" s="389" t="s">
        <v>1077</v>
      </c>
      <c r="AN426" s="393">
        <f t="shared" si="82"/>
        <v>5</v>
      </c>
      <c r="AO426" s="393">
        <f t="shared" si="83"/>
        <v>2021</v>
      </c>
      <c r="AP426" s="394">
        <f t="shared" si="84"/>
        <v>2031</v>
      </c>
      <c r="AQ426" s="395">
        <f t="shared" si="85"/>
        <v>2031.4166666666667</v>
      </c>
      <c r="AR426" s="396">
        <f t="shared" si="86"/>
        <v>6.270833333333333</v>
      </c>
      <c r="AS426" s="397">
        <f t="shared" si="87"/>
        <v>75.25</v>
      </c>
      <c r="AT426" s="397">
        <f t="shared" si="80"/>
        <v>75.25</v>
      </c>
      <c r="AU426" s="397">
        <f t="shared" si="88"/>
        <v>219.47916666665526</v>
      </c>
      <c r="AV426" s="397">
        <f t="shared" si="89"/>
        <v>294.72916666665526</v>
      </c>
      <c r="AW426" s="398">
        <f t="shared" si="90"/>
        <v>457.77083333334474</v>
      </c>
      <c r="AX426" s="386" t="s">
        <v>62</v>
      </c>
    </row>
    <row r="427" spans="2:50" ht="15.75" outlineLevel="1">
      <c r="B427" s="381">
        <v>2111</v>
      </c>
      <c r="C427" s="382">
        <v>267265</v>
      </c>
      <c r="D427" s="381" t="s">
        <v>944</v>
      </c>
      <c r="E427" s="383" t="s">
        <v>4240</v>
      </c>
      <c r="F427" s="392" t="s">
        <v>1459</v>
      </c>
      <c r="G427" s="392"/>
      <c r="H427" s="392"/>
      <c r="I427" s="381">
        <v>1</v>
      </c>
      <c r="J427" s="383"/>
      <c r="K427" s="381">
        <v>0</v>
      </c>
      <c r="L427" s="383" t="s">
        <v>1460</v>
      </c>
      <c r="M427" s="383"/>
      <c r="N427" s="383" t="s">
        <v>4452</v>
      </c>
      <c r="O427" s="383" t="s">
        <v>4441</v>
      </c>
      <c r="P427" s="383"/>
      <c r="Q427" s="383"/>
      <c r="R427" s="383"/>
      <c r="S427" s="384">
        <v>44511</v>
      </c>
      <c r="T427" s="384">
        <v>44511</v>
      </c>
      <c r="U427" s="383" t="s">
        <v>1461</v>
      </c>
      <c r="V427" s="381">
        <v>1000</v>
      </c>
      <c r="W427" s="381">
        <v>14080</v>
      </c>
      <c r="X427" s="385">
        <v>10635.6</v>
      </c>
      <c r="Y427" s="381">
        <v>14086</v>
      </c>
      <c r="Z427" s="385">
        <v>3102.05</v>
      </c>
      <c r="AA427" s="385">
        <f t="shared" si="81"/>
        <v>7533.55</v>
      </c>
      <c r="AB427" s="385">
        <v>797.67</v>
      </c>
      <c r="AC427" s="381">
        <v>57260</v>
      </c>
      <c r="AD427" s="385">
        <v>88.63</v>
      </c>
      <c r="AE427" s="381" t="s">
        <v>944</v>
      </c>
      <c r="AF427" s="383"/>
      <c r="AG427" s="383"/>
      <c r="AH427" s="383" t="s">
        <v>57</v>
      </c>
      <c r="AI427" s="383" t="s">
        <v>4442</v>
      </c>
      <c r="AJ427" s="383" t="s">
        <v>4443</v>
      </c>
      <c r="AK427" s="389" t="s">
        <v>4437</v>
      </c>
      <c r="AL427" s="389" t="s">
        <v>301</v>
      </c>
      <c r="AM427" s="389" t="s">
        <v>4101</v>
      </c>
      <c r="AN427" s="393">
        <f t="shared" si="82"/>
        <v>11</v>
      </c>
      <c r="AO427" s="393">
        <f t="shared" si="83"/>
        <v>2021</v>
      </c>
      <c r="AP427" s="394">
        <f t="shared" si="84"/>
        <v>2031</v>
      </c>
      <c r="AQ427" s="395">
        <f t="shared" si="85"/>
        <v>2031.9166666666667</v>
      </c>
      <c r="AR427" s="396">
        <f t="shared" si="86"/>
        <v>88.63</v>
      </c>
      <c r="AS427" s="397">
        <f t="shared" si="87"/>
        <v>1063.56</v>
      </c>
      <c r="AT427" s="397">
        <f t="shared" si="80"/>
        <v>1063.56</v>
      </c>
      <c r="AU427" s="397">
        <f t="shared" si="88"/>
        <v>2570.2699999998395</v>
      </c>
      <c r="AV427" s="397">
        <f t="shared" si="89"/>
        <v>3633.8299999998394</v>
      </c>
      <c r="AW427" s="398">
        <f t="shared" si="90"/>
        <v>7001.7700000001605</v>
      </c>
      <c r="AX427" s="386" t="s">
        <v>62</v>
      </c>
    </row>
    <row r="428" spans="2:50" ht="15.75" outlineLevel="1">
      <c r="B428" s="381">
        <v>2111</v>
      </c>
      <c r="C428" s="382">
        <v>267248</v>
      </c>
      <c r="D428" s="381" t="s">
        <v>944</v>
      </c>
      <c r="E428" s="383" t="s">
        <v>4240</v>
      </c>
      <c r="F428" s="392" t="s">
        <v>1135</v>
      </c>
      <c r="G428" s="392"/>
      <c r="H428" s="392"/>
      <c r="I428" s="381">
        <v>702</v>
      </c>
      <c r="J428" s="383"/>
      <c r="K428" s="381">
        <v>0</v>
      </c>
      <c r="L428" s="383" t="s">
        <v>1462</v>
      </c>
      <c r="M428" s="383"/>
      <c r="N428" s="383" t="s">
        <v>4446</v>
      </c>
      <c r="O428" s="383" t="s">
        <v>4441</v>
      </c>
      <c r="P428" s="383"/>
      <c r="Q428" s="383"/>
      <c r="R428" s="383"/>
      <c r="S428" s="384">
        <v>44488</v>
      </c>
      <c r="T428" s="384">
        <v>44488</v>
      </c>
      <c r="U428" s="383" t="s">
        <v>1464</v>
      </c>
      <c r="V428" s="381">
        <v>700</v>
      </c>
      <c r="W428" s="381">
        <v>14050</v>
      </c>
      <c r="X428" s="385">
        <v>47830.06</v>
      </c>
      <c r="Y428" s="381">
        <v>14056</v>
      </c>
      <c r="Z428" s="385">
        <v>19929.240000000002</v>
      </c>
      <c r="AA428" s="385">
        <f t="shared" si="81"/>
        <v>27900.819999999996</v>
      </c>
      <c r="AB428" s="385">
        <v>5124.6899999999996</v>
      </c>
      <c r="AC428" s="381">
        <v>54260</v>
      </c>
      <c r="AD428" s="385">
        <v>569.41</v>
      </c>
      <c r="AE428" s="381" t="s">
        <v>944</v>
      </c>
      <c r="AF428" s="383"/>
      <c r="AG428" s="383"/>
      <c r="AH428" s="383" t="s">
        <v>57</v>
      </c>
      <c r="AI428" s="383" t="s">
        <v>4442</v>
      </c>
      <c r="AJ428" s="383" t="s">
        <v>4443</v>
      </c>
      <c r="AK428" s="389" t="s">
        <v>4437</v>
      </c>
      <c r="AL428" s="389" t="s">
        <v>4221</v>
      </c>
      <c r="AM428" s="389" t="s">
        <v>1014</v>
      </c>
      <c r="AN428" s="393">
        <f t="shared" si="82"/>
        <v>10</v>
      </c>
      <c r="AO428" s="393">
        <f t="shared" si="83"/>
        <v>2021</v>
      </c>
      <c r="AP428" s="394">
        <f t="shared" si="84"/>
        <v>2028</v>
      </c>
      <c r="AQ428" s="395">
        <f t="shared" si="85"/>
        <v>2028.8333333333333</v>
      </c>
      <c r="AR428" s="396">
        <f t="shared" si="86"/>
        <v>569.40547619047618</v>
      </c>
      <c r="AS428" s="397">
        <f t="shared" si="87"/>
        <v>6832.8657142857137</v>
      </c>
      <c r="AT428" s="397">
        <f t="shared" si="80"/>
        <v>6832.8657142857137</v>
      </c>
      <c r="AU428" s="397">
        <f t="shared" si="88"/>
        <v>17082.164285714283</v>
      </c>
      <c r="AV428" s="397">
        <f t="shared" si="89"/>
        <v>23915.03</v>
      </c>
      <c r="AW428" s="398">
        <f t="shared" si="90"/>
        <v>23915.03</v>
      </c>
      <c r="AX428" s="386" t="s">
        <v>62</v>
      </c>
    </row>
    <row r="429" spans="2:50" ht="15.75" outlineLevel="1">
      <c r="B429" s="381">
        <v>2111</v>
      </c>
      <c r="C429" s="382">
        <v>267247</v>
      </c>
      <c r="D429" s="381" t="s">
        <v>944</v>
      </c>
      <c r="E429" s="383" t="s">
        <v>4240</v>
      </c>
      <c r="F429" s="392" t="s">
        <v>1136</v>
      </c>
      <c r="G429" s="392"/>
      <c r="H429" s="392"/>
      <c r="I429" s="381">
        <v>702</v>
      </c>
      <c r="J429" s="383"/>
      <c r="K429" s="381">
        <v>0</v>
      </c>
      <c r="L429" s="383" t="s">
        <v>1462</v>
      </c>
      <c r="M429" s="383"/>
      <c r="N429" s="383" t="s">
        <v>4446</v>
      </c>
      <c r="O429" s="383" t="s">
        <v>4441</v>
      </c>
      <c r="P429" s="383"/>
      <c r="Q429" s="383"/>
      <c r="R429" s="383"/>
      <c r="S429" s="384">
        <v>44488</v>
      </c>
      <c r="T429" s="384">
        <v>44488</v>
      </c>
      <c r="U429" s="383" t="s">
        <v>1464</v>
      </c>
      <c r="V429" s="381">
        <v>700</v>
      </c>
      <c r="W429" s="381">
        <v>14050</v>
      </c>
      <c r="X429" s="385">
        <v>47830.07</v>
      </c>
      <c r="Y429" s="381">
        <v>14056</v>
      </c>
      <c r="Z429" s="385">
        <v>19929.240000000002</v>
      </c>
      <c r="AA429" s="385">
        <f t="shared" si="81"/>
        <v>27900.829999999998</v>
      </c>
      <c r="AB429" s="385">
        <v>5124.6899999999996</v>
      </c>
      <c r="AC429" s="381">
        <v>54260</v>
      </c>
      <c r="AD429" s="385">
        <v>569.41</v>
      </c>
      <c r="AE429" s="381" t="s">
        <v>944</v>
      </c>
      <c r="AF429" s="383"/>
      <c r="AG429" s="383"/>
      <c r="AH429" s="383" t="s">
        <v>57</v>
      </c>
      <c r="AI429" s="383" t="s">
        <v>4442</v>
      </c>
      <c r="AJ429" s="383" t="s">
        <v>4443</v>
      </c>
      <c r="AK429" s="389" t="s">
        <v>4437</v>
      </c>
      <c r="AL429" s="389" t="s">
        <v>1019</v>
      </c>
      <c r="AM429" s="389" t="s">
        <v>1019</v>
      </c>
      <c r="AN429" s="393">
        <f t="shared" si="82"/>
        <v>10</v>
      </c>
      <c r="AO429" s="393">
        <f t="shared" si="83"/>
        <v>2021</v>
      </c>
      <c r="AP429" s="394">
        <f t="shared" si="84"/>
        <v>2028</v>
      </c>
      <c r="AQ429" s="395">
        <f t="shared" si="85"/>
        <v>2028.8333333333333</v>
      </c>
      <c r="AR429" s="396">
        <f t="shared" si="86"/>
        <v>569.4055952380952</v>
      </c>
      <c r="AS429" s="397">
        <f t="shared" si="87"/>
        <v>6832.8671428571424</v>
      </c>
      <c r="AT429" s="397">
        <f t="shared" si="80"/>
        <v>6832.8671428571424</v>
      </c>
      <c r="AU429" s="397">
        <f t="shared" si="88"/>
        <v>17082.16785714286</v>
      </c>
      <c r="AV429" s="397">
        <f t="shared" si="89"/>
        <v>23915.035000000003</v>
      </c>
      <c r="AW429" s="398">
        <f t="shared" si="90"/>
        <v>23915.034999999996</v>
      </c>
      <c r="AX429" s="386" t="s">
        <v>62</v>
      </c>
    </row>
    <row r="430" spans="2:50" ht="15.75" outlineLevel="1">
      <c r="B430" s="381">
        <v>2111</v>
      </c>
      <c r="C430" s="382">
        <v>266033</v>
      </c>
      <c r="D430" s="381" t="s">
        <v>944</v>
      </c>
      <c r="E430" s="383" t="s">
        <v>4240</v>
      </c>
      <c r="F430" s="392" t="s">
        <v>1470</v>
      </c>
      <c r="G430" s="392"/>
      <c r="H430" s="392"/>
      <c r="I430" s="381">
        <v>1</v>
      </c>
      <c r="J430" s="383"/>
      <c r="K430" s="381">
        <v>0</v>
      </c>
      <c r="L430" s="383" t="s">
        <v>1471</v>
      </c>
      <c r="M430" s="383"/>
      <c r="N430" s="383" t="s">
        <v>4440</v>
      </c>
      <c r="O430" s="383" t="s">
        <v>4441</v>
      </c>
      <c r="P430" s="383"/>
      <c r="Q430" s="383"/>
      <c r="R430" s="383"/>
      <c r="S430" s="384">
        <v>44523</v>
      </c>
      <c r="T430" s="384">
        <v>44523</v>
      </c>
      <c r="U430" s="383" t="s">
        <v>1472</v>
      </c>
      <c r="V430" s="381">
        <v>300</v>
      </c>
      <c r="W430" s="381">
        <v>14110</v>
      </c>
      <c r="X430" s="385">
        <v>273.49</v>
      </c>
      <c r="Y430" s="381">
        <v>14116</v>
      </c>
      <c r="Z430" s="385">
        <v>258.32</v>
      </c>
      <c r="AA430" s="385">
        <f t="shared" si="81"/>
        <v>15.170000000000016</v>
      </c>
      <c r="AB430" s="385">
        <v>68.400000000000006</v>
      </c>
      <c r="AC430" s="381">
        <v>70260</v>
      </c>
      <c r="AD430" s="385">
        <v>7.6</v>
      </c>
      <c r="AE430" s="381" t="s">
        <v>944</v>
      </c>
      <c r="AF430" s="383"/>
      <c r="AG430" s="383"/>
      <c r="AH430" s="383" t="s">
        <v>57</v>
      </c>
      <c r="AI430" s="383" t="s">
        <v>4442</v>
      </c>
      <c r="AJ430" s="383" t="s">
        <v>4443</v>
      </c>
      <c r="AK430" s="389" t="s">
        <v>4437</v>
      </c>
      <c r="AL430" s="389" t="s">
        <v>370</v>
      </c>
      <c r="AM430" s="389" t="s">
        <v>135</v>
      </c>
      <c r="AN430" s="393">
        <f t="shared" si="82"/>
        <v>11</v>
      </c>
      <c r="AO430" s="393">
        <f t="shared" si="83"/>
        <v>2021</v>
      </c>
      <c r="AP430" s="394">
        <f t="shared" si="84"/>
        <v>2024</v>
      </c>
      <c r="AQ430" s="395">
        <f t="shared" si="85"/>
        <v>2024.9166666666667</v>
      </c>
      <c r="AR430" s="396">
        <f t="shared" si="86"/>
        <v>7.5969444444444454</v>
      </c>
      <c r="AS430" s="397">
        <f t="shared" si="87"/>
        <v>91.163333333333341</v>
      </c>
      <c r="AT430" s="397">
        <f t="shared" si="80"/>
        <v>0</v>
      </c>
      <c r="AU430" s="397">
        <f t="shared" si="88"/>
        <v>220.31138888887506</v>
      </c>
      <c r="AV430" s="397">
        <f t="shared" si="89"/>
        <v>273.49</v>
      </c>
      <c r="AW430" s="398">
        <f t="shared" si="90"/>
        <v>0</v>
      </c>
      <c r="AX430" s="386" t="s">
        <v>62</v>
      </c>
    </row>
    <row r="431" spans="2:50" ht="15.75" outlineLevel="1">
      <c r="B431" s="381">
        <v>2111</v>
      </c>
      <c r="C431" s="382">
        <v>266032</v>
      </c>
      <c r="D431" s="381" t="s">
        <v>944</v>
      </c>
      <c r="E431" s="383" t="s">
        <v>4240</v>
      </c>
      <c r="F431" s="392" t="s">
        <v>1473</v>
      </c>
      <c r="G431" s="392"/>
      <c r="H431" s="392"/>
      <c r="I431" s="381">
        <v>1</v>
      </c>
      <c r="J431" s="383"/>
      <c r="K431" s="381">
        <v>0</v>
      </c>
      <c r="L431" s="383" t="s">
        <v>1474</v>
      </c>
      <c r="M431" s="383"/>
      <c r="N431" s="383" t="s">
        <v>4440</v>
      </c>
      <c r="O431" s="383" t="s">
        <v>4441</v>
      </c>
      <c r="P431" s="383"/>
      <c r="Q431" s="383"/>
      <c r="R431" s="383"/>
      <c r="S431" s="384">
        <v>44523</v>
      </c>
      <c r="T431" s="384">
        <v>44523</v>
      </c>
      <c r="U431" s="383" t="s">
        <v>1472</v>
      </c>
      <c r="V431" s="381">
        <v>300</v>
      </c>
      <c r="W431" s="381">
        <v>14110</v>
      </c>
      <c r="X431" s="385">
        <v>1494.07</v>
      </c>
      <c r="Y431" s="381">
        <v>14116</v>
      </c>
      <c r="Z431" s="385">
        <v>1411.04</v>
      </c>
      <c r="AA431" s="385">
        <f t="shared" si="81"/>
        <v>83.029999999999973</v>
      </c>
      <c r="AB431" s="385">
        <v>373.5</v>
      </c>
      <c r="AC431" s="381">
        <v>70260</v>
      </c>
      <c r="AD431" s="385">
        <v>41.5</v>
      </c>
      <c r="AE431" s="381" t="s">
        <v>944</v>
      </c>
      <c r="AF431" s="383"/>
      <c r="AG431" s="383"/>
      <c r="AH431" s="383" t="s">
        <v>57</v>
      </c>
      <c r="AI431" s="383" t="s">
        <v>4442</v>
      </c>
      <c r="AJ431" s="383" t="s">
        <v>4443</v>
      </c>
      <c r="AK431" s="389" t="s">
        <v>4437</v>
      </c>
      <c r="AL431" s="389" t="s">
        <v>370</v>
      </c>
      <c r="AM431" s="389" t="s">
        <v>135</v>
      </c>
      <c r="AN431" s="393">
        <f t="shared" si="82"/>
        <v>11</v>
      </c>
      <c r="AO431" s="393">
        <f t="shared" si="83"/>
        <v>2021</v>
      </c>
      <c r="AP431" s="394">
        <f t="shared" si="84"/>
        <v>2024</v>
      </c>
      <c r="AQ431" s="395">
        <f t="shared" si="85"/>
        <v>2024.9166666666667</v>
      </c>
      <c r="AR431" s="396">
        <f t="shared" si="86"/>
        <v>41.50194444444444</v>
      </c>
      <c r="AS431" s="397">
        <f t="shared" si="87"/>
        <v>498.02333333333331</v>
      </c>
      <c r="AT431" s="397">
        <f t="shared" si="80"/>
        <v>0</v>
      </c>
      <c r="AU431" s="397">
        <f t="shared" si="88"/>
        <v>1203.5563888888134</v>
      </c>
      <c r="AV431" s="397">
        <f t="shared" si="89"/>
        <v>1494.07</v>
      </c>
      <c r="AW431" s="398">
        <f t="shared" si="90"/>
        <v>0</v>
      </c>
      <c r="AX431" s="386" t="s">
        <v>62</v>
      </c>
    </row>
    <row r="432" spans="2:50" ht="15.75" outlineLevel="1">
      <c r="B432" s="381">
        <v>2111</v>
      </c>
      <c r="C432" s="382">
        <v>266031</v>
      </c>
      <c r="D432" s="381" t="s">
        <v>944</v>
      </c>
      <c r="E432" s="383" t="s">
        <v>4240</v>
      </c>
      <c r="F432" s="392" t="s">
        <v>1476</v>
      </c>
      <c r="G432" s="392"/>
      <c r="H432" s="392"/>
      <c r="I432" s="381">
        <v>1</v>
      </c>
      <c r="J432" s="383"/>
      <c r="K432" s="381">
        <v>0</v>
      </c>
      <c r="L432" s="383" t="s">
        <v>1477</v>
      </c>
      <c r="M432" s="383"/>
      <c r="N432" s="383" t="s">
        <v>4440</v>
      </c>
      <c r="O432" s="383" t="s">
        <v>4441</v>
      </c>
      <c r="P432" s="383"/>
      <c r="Q432" s="383"/>
      <c r="R432" s="383"/>
      <c r="S432" s="384">
        <v>44523</v>
      </c>
      <c r="T432" s="384">
        <v>44523</v>
      </c>
      <c r="U432" s="383" t="s">
        <v>1478</v>
      </c>
      <c r="V432" s="381">
        <v>300</v>
      </c>
      <c r="W432" s="381">
        <v>14110</v>
      </c>
      <c r="X432" s="385">
        <v>274.99</v>
      </c>
      <c r="Y432" s="381">
        <v>14116</v>
      </c>
      <c r="Z432" s="385">
        <v>259.72000000000003</v>
      </c>
      <c r="AA432" s="385">
        <f t="shared" si="81"/>
        <v>15.269999999999982</v>
      </c>
      <c r="AB432" s="385">
        <v>68.760000000000005</v>
      </c>
      <c r="AC432" s="381">
        <v>70260</v>
      </c>
      <c r="AD432" s="385">
        <v>7.64</v>
      </c>
      <c r="AE432" s="381" t="s">
        <v>944</v>
      </c>
      <c r="AF432" s="383"/>
      <c r="AG432" s="383"/>
      <c r="AH432" s="383" t="s">
        <v>57</v>
      </c>
      <c r="AI432" s="383" t="s">
        <v>4442</v>
      </c>
      <c r="AJ432" s="383" t="s">
        <v>4443</v>
      </c>
      <c r="AK432" s="389" t="s">
        <v>4437</v>
      </c>
      <c r="AL432" s="389" t="s">
        <v>301</v>
      </c>
      <c r="AM432" s="389" t="s">
        <v>4101</v>
      </c>
      <c r="AN432" s="393">
        <f t="shared" si="82"/>
        <v>11</v>
      </c>
      <c r="AO432" s="393">
        <f t="shared" si="83"/>
        <v>2021</v>
      </c>
      <c r="AP432" s="394">
        <f t="shared" si="84"/>
        <v>2024</v>
      </c>
      <c r="AQ432" s="395">
        <f t="shared" si="85"/>
        <v>2024.9166666666667</v>
      </c>
      <c r="AR432" s="396">
        <f t="shared" si="86"/>
        <v>7.6386111111111115</v>
      </c>
      <c r="AS432" s="397">
        <f t="shared" si="87"/>
        <v>91.663333333333341</v>
      </c>
      <c r="AT432" s="397">
        <f t="shared" si="80"/>
        <v>0</v>
      </c>
      <c r="AU432" s="397">
        <f t="shared" si="88"/>
        <v>221.51972222220834</v>
      </c>
      <c r="AV432" s="397">
        <f t="shared" si="89"/>
        <v>274.99</v>
      </c>
      <c r="AW432" s="398">
        <f t="shared" si="90"/>
        <v>0</v>
      </c>
      <c r="AX432" s="386" t="s">
        <v>62</v>
      </c>
    </row>
    <row r="433" spans="2:50" ht="15.75" outlineLevel="1">
      <c r="B433" s="381">
        <v>2111</v>
      </c>
      <c r="C433" s="382">
        <v>266030</v>
      </c>
      <c r="D433" s="381" t="s">
        <v>944</v>
      </c>
      <c r="E433" s="383" t="s">
        <v>4240</v>
      </c>
      <c r="F433" s="392" t="s">
        <v>1479</v>
      </c>
      <c r="G433" s="392"/>
      <c r="H433" s="392"/>
      <c r="I433" s="381">
        <v>1</v>
      </c>
      <c r="J433" s="383"/>
      <c r="K433" s="381">
        <v>0</v>
      </c>
      <c r="L433" s="383" t="s">
        <v>1480</v>
      </c>
      <c r="M433" s="383"/>
      <c r="N433" s="383" t="s">
        <v>4440</v>
      </c>
      <c r="O433" s="383" t="s">
        <v>4441</v>
      </c>
      <c r="P433" s="383"/>
      <c r="Q433" s="383"/>
      <c r="R433" s="383"/>
      <c r="S433" s="384">
        <v>44523</v>
      </c>
      <c r="T433" s="384">
        <v>44523</v>
      </c>
      <c r="U433" s="383" t="s">
        <v>1478</v>
      </c>
      <c r="V433" s="381">
        <v>300</v>
      </c>
      <c r="W433" s="381">
        <v>14110</v>
      </c>
      <c r="X433" s="385">
        <v>1093.1600000000001</v>
      </c>
      <c r="Y433" s="381">
        <v>14116</v>
      </c>
      <c r="Z433" s="385">
        <v>1032.48</v>
      </c>
      <c r="AA433" s="385">
        <f t="shared" si="81"/>
        <v>60.680000000000064</v>
      </c>
      <c r="AB433" s="385">
        <v>273.33</v>
      </c>
      <c r="AC433" s="381">
        <v>70260</v>
      </c>
      <c r="AD433" s="385">
        <v>30.37</v>
      </c>
      <c r="AE433" s="381" t="s">
        <v>944</v>
      </c>
      <c r="AF433" s="383"/>
      <c r="AG433" s="383"/>
      <c r="AH433" s="383" t="s">
        <v>57</v>
      </c>
      <c r="AI433" s="383" t="s">
        <v>4442</v>
      </c>
      <c r="AJ433" s="383" t="s">
        <v>4443</v>
      </c>
      <c r="AK433" s="389" t="s">
        <v>4437</v>
      </c>
      <c r="AL433" s="389" t="s">
        <v>301</v>
      </c>
      <c r="AM433" s="389" t="s">
        <v>4101</v>
      </c>
      <c r="AN433" s="393">
        <f t="shared" si="82"/>
        <v>11</v>
      </c>
      <c r="AO433" s="393">
        <f t="shared" si="83"/>
        <v>2021</v>
      </c>
      <c r="AP433" s="394">
        <f t="shared" si="84"/>
        <v>2024</v>
      </c>
      <c r="AQ433" s="395">
        <f t="shared" si="85"/>
        <v>2024.9166666666667</v>
      </c>
      <c r="AR433" s="396">
        <f t="shared" si="86"/>
        <v>30.365555555555559</v>
      </c>
      <c r="AS433" s="397">
        <f t="shared" si="87"/>
        <v>364.38666666666671</v>
      </c>
      <c r="AT433" s="397">
        <f t="shared" si="80"/>
        <v>0</v>
      </c>
      <c r="AU433" s="397">
        <f t="shared" si="88"/>
        <v>880.60111111105596</v>
      </c>
      <c r="AV433" s="397">
        <f t="shared" si="89"/>
        <v>1093.1600000000001</v>
      </c>
      <c r="AW433" s="398">
        <f t="shared" si="90"/>
        <v>0</v>
      </c>
      <c r="AX433" s="386" t="s">
        <v>62</v>
      </c>
    </row>
    <row r="434" spans="2:50" ht="15.75" outlineLevel="1">
      <c r="B434" s="381">
        <v>2111</v>
      </c>
      <c r="C434" s="382">
        <v>265897</v>
      </c>
      <c r="D434" s="381">
        <v>264430</v>
      </c>
      <c r="E434" s="383" t="s">
        <v>4240</v>
      </c>
      <c r="F434" s="392" t="s">
        <v>1482</v>
      </c>
      <c r="G434" s="392"/>
      <c r="H434" s="392"/>
      <c r="I434" s="381">
        <v>1</v>
      </c>
      <c r="J434" s="383"/>
      <c r="K434" s="381">
        <v>2021</v>
      </c>
      <c r="L434" s="383" t="s">
        <v>1483</v>
      </c>
      <c r="M434" s="383" t="s">
        <v>1484</v>
      </c>
      <c r="N434" s="383" t="s">
        <v>4445</v>
      </c>
      <c r="O434" s="383" t="s">
        <v>4441</v>
      </c>
      <c r="P434" s="383" t="s">
        <v>1467</v>
      </c>
      <c r="Q434" s="383"/>
      <c r="R434" s="383"/>
      <c r="S434" s="384">
        <v>44517</v>
      </c>
      <c r="T434" s="384">
        <v>44517</v>
      </c>
      <c r="U434" s="383" t="s">
        <v>1485</v>
      </c>
      <c r="V434" s="381">
        <v>1000</v>
      </c>
      <c r="W434" s="381">
        <v>14040</v>
      </c>
      <c r="X434" s="385">
        <v>1107.24</v>
      </c>
      <c r="Y434" s="381">
        <v>14046</v>
      </c>
      <c r="Z434" s="385">
        <v>313.74</v>
      </c>
      <c r="AA434" s="385">
        <f t="shared" si="81"/>
        <v>793.5</v>
      </c>
      <c r="AB434" s="385">
        <v>83.07</v>
      </c>
      <c r="AC434" s="381">
        <v>51260</v>
      </c>
      <c r="AD434" s="385">
        <v>9.23</v>
      </c>
      <c r="AE434" s="381" t="s">
        <v>944</v>
      </c>
      <c r="AF434" s="383"/>
      <c r="AG434" s="383"/>
      <c r="AH434" s="383" t="s">
        <v>57</v>
      </c>
      <c r="AI434" s="383" t="s">
        <v>4442</v>
      </c>
      <c r="AJ434" s="383" t="s">
        <v>4443</v>
      </c>
      <c r="AK434" s="389" t="s">
        <v>4437</v>
      </c>
      <c r="AL434" s="389" t="s">
        <v>4216</v>
      </c>
      <c r="AM434" s="389" t="s">
        <v>3939</v>
      </c>
      <c r="AN434" s="393">
        <f t="shared" si="82"/>
        <v>11</v>
      </c>
      <c r="AO434" s="393">
        <f t="shared" si="83"/>
        <v>2021</v>
      </c>
      <c r="AP434" s="394">
        <f t="shared" si="84"/>
        <v>2031</v>
      </c>
      <c r="AQ434" s="395">
        <f t="shared" si="85"/>
        <v>2031.9166666666667</v>
      </c>
      <c r="AR434" s="396">
        <f t="shared" si="86"/>
        <v>9.2270000000000003</v>
      </c>
      <c r="AS434" s="397">
        <f t="shared" si="87"/>
        <v>110.724</v>
      </c>
      <c r="AT434" s="397">
        <f t="shared" si="80"/>
        <v>110.724</v>
      </c>
      <c r="AU434" s="397">
        <f t="shared" si="88"/>
        <v>267.58299999998314</v>
      </c>
      <c r="AV434" s="397">
        <f t="shared" si="89"/>
        <v>378.30699999998313</v>
      </c>
      <c r="AW434" s="398">
        <f t="shared" si="90"/>
        <v>728.93300000001682</v>
      </c>
      <c r="AX434" s="386" t="s">
        <v>62</v>
      </c>
    </row>
    <row r="435" spans="2:50" ht="15.75" outlineLevel="1">
      <c r="B435" s="381">
        <v>2111</v>
      </c>
      <c r="C435" s="382">
        <v>265896</v>
      </c>
      <c r="D435" s="381">
        <v>264429</v>
      </c>
      <c r="E435" s="383" t="s">
        <v>4240</v>
      </c>
      <c r="F435" s="392" t="s">
        <v>1487</v>
      </c>
      <c r="G435" s="392"/>
      <c r="H435" s="392"/>
      <c r="I435" s="381">
        <v>1</v>
      </c>
      <c r="J435" s="383"/>
      <c r="K435" s="381">
        <v>2021</v>
      </c>
      <c r="L435" s="383" t="s">
        <v>1484</v>
      </c>
      <c r="M435" s="383" t="s">
        <v>1483</v>
      </c>
      <c r="N435" s="383" t="s">
        <v>4445</v>
      </c>
      <c r="O435" s="383" t="s">
        <v>4441</v>
      </c>
      <c r="P435" s="383" t="s">
        <v>1467</v>
      </c>
      <c r="Q435" s="383"/>
      <c r="R435" s="383"/>
      <c r="S435" s="384">
        <v>44474</v>
      </c>
      <c r="T435" s="384">
        <v>44474</v>
      </c>
      <c r="U435" s="383" t="s">
        <v>1488</v>
      </c>
      <c r="V435" s="381">
        <v>1000</v>
      </c>
      <c r="W435" s="381">
        <v>14040</v>
      </c>
      <c r="X435" s="385">
        <v>1112.23</v>
      </c>
      <c r="Y435" s="381">
        <v>14046</v>
      </c>
      <c r="Z435" s="385">
        <v>333.68</v>
      </c>
      <c r="AA435" s="385">
        <f t="shared" si="81"/>
        <v>778.55</v>
      </c>
      <c r="AB435" s="385">
        <v>83.43</v>
      </c>
      <c r="AC435" s="381">
        <v>51260</v>
      </c>
      <c r="AD435" s="385">
        <v>9.27</v>
      </c>
      <c r="AE435" s="381" t="s">
        <v>944</v>
      </c>
      <c r="AF435" s="383"/>
      <c r="AG435" s="383"/>
      <c r="AH435" s="383" t="s">
        <v>57</v>
      </c>
      <c r="AI435" s="383" t="s">
        <v>4442</v>
      </c>
      <c r="AJ435" s="383" t="s">
        <v>4443</v>
      </c>
      <c r="AK435" s="389" t="s">
        <v>4437</v>
      </c>
      <c r="AL435" s="389" t="s">
        <v>4216</v>
      </c>
      <c r="AM435" s="389" t="s">
        <v>3939</v>
      </c>
      <c r="AN435" s="393">
        <f t="shared" si="82"/>
        <v>10</v>
      </c>
      <c r="AO435" s="393">
        <f t="shared" si="83"/>
        <v>2021</v>
      </c>
      <c r="AP435" s="394">
        <f t="shared" si="84"/>
        <v>2031</v>
      </c>
      <c r="AQ435" s="395">
        <f t="shared" si="85"/>
        <v>2031.8333333333333</v>
      </c>
      <c r="AR435" s="396">
        <f t="shared" si="86"/>
        <v>9.2685833333333338</v>
      </c>
      <c r="AS435" s="397">
        <f t="shared" si="87"/>
        <v>111.22300000000001</v>
      </c>
      <c r="AT435" s="397">
        <f t="shared" si="80"/>
        <v>111.22300000000001</v>
      </c>
      <c r="AU435" s="397">
        <f t="shared" si="88"/>
        <v>278.0575</v>
      </c>
      <c r="AV435" s="397">
        <f t="shared" si="89"/>
        <v>389.28050000000002</v>
      </c>
      <c r="AW435" s="398">
        <f t="shared" si="90"/>
        <v>722.94949999999994</v>
      </c>
      <c r="AX435" s="386" t="s">
        <v>62</v>
      </c>
    </row>
    <row r="436" spans="2:50" ht="15.75" outlineLevel="1">
      <c r="B436" s="381">
        <v>2111</v>
      </c>
      <c r="C436" s="382">
        <v>265454</v>
      </c>
      <c r="D436" s="381" t="s">
        <v>944</v>
      </c>
      <c r="E436" s="383" t="s">
        <v>4240</v>
      </c>
      <c r="F436" s="392" t="s">
        <v>1490</v>
      </c>
      <c r="G436" s="392"/>
      <c r="H436" s="392"/>
      <c r="I436" s="381">
        <v>8</v>
      </c>
      <c r="J436" s="383"/>
      <c r="K436" s="381">
        <v>0</v>
      </c>
      <c r="L436" s="383"/>
      <c r="M436" s="383"/>
      <c r="N436" s="383" t="s">
        <v>4451</v>
      </c>
      <c r="O436" s="383" t="s">
        <v>4441</v>
      </c>
      <c r="P436" s="383"/>
      <c r="Q436" s="383"/>
      <c r="R436" s="383"/>
      <c r="S436" s="384">
        <v>44501</v>
      </c>
      <c r="T436" s="384">
        <v>44501</v>
      </c>
      <c r="U436" s="383" t="s">
        <v>1491</v>
      </c>
      <c r="V436" s="381">
        <v>500</v>
      </c>
      <c r="W436" s="381">
        <v>14070</v>
      </c>
      <c r="X436" s="385">
        <v>4312.3999999999996</v>
      </c>
      <c r="Y436" s="381">
        <v>14076</v>
      </c>
      <c r="Z436" s="385">
        <v>2515.54</v>
      </c>
      <c r="AA436" s="385">
        <f t="shared" si="81"/>
        <v>1796.8599999999997</v>
      </c>
      <c r="AB436" s="385">
        <v>646.83000000000004</v>
      </c>
      <c r="AC436" s="381">
        <v>51260</v>
      </c>
      <c r="AD436" s="385">
        <v>71.87</v>
      </c>
      <c r="AE436" s="381" t="s">
        <v>944</v>
      </c>
      <c r="AF436" s="383"/>
      <c r="AG436" s="383"/>
      <c r="AH436" s="383" t="s">
        <v>57</v>
      </c>
      <c r="AI436" s="383" t="s">
        <v>4442</v>
      </c>
      <c r="AJ436" s="383" t="s">
        <v>4443</v>
      </c>
      <c r="AK436" s="389" t="s">
        <v>4437</v>
      </c>
      <c r="AL436" s="389" t="s">
        <v>4222</v>
      </c>
      <c r="AM436" s="389" t="s">
        <v>133</v>
      </c>
      <c r="AN436" s="393">
        <f t="shared" si="82"/>
        <v>11</v>
      </c>
      <c r="AO436" s="393">
        <f t="shared" si="83"/>
        <v>2021</v>
      </c>
      <c r="AP436" s="394">
        <f t="shared" si="84"/>
        <v>2026</v>
      </c>
      <c r="AQ436" s="395">
        <f t="shared" si="85"/>
        <v>2026.9166666666667</v>
      </c>
      <c r="AR436" s="396">
        <f t="shared" si="86"/>
        <v>71.873333333333321</v>
      </c>
      <c r="AS436" s="397">
        <f t="shared" si="87"/>
        <v>862.47999999999979</v>
      </c>
      <c r="AT436" s="397">
        <f t="shared" si="80"/>
        <v>862.47999999999979</v>
      </c>
      <c r="AU436" s="397">
        <f t="shared" si="88"/>
        <v>2084.3266666665359</v>
      </c>
      <c r="AV436" s="397">
        <f t="shared" si="89"/>
        <v>2946.8066666665354</v>
      </c>
      <c r="AW436" s="398">
        <f t="shared" si="90"/>
        <v>1365.5933333334642</v>
      </c>
      <c r="AX436" s="386" t="s">
        <v>62</v>
      </c>
    </row>
    <row r="437" spans="2:50" ht="15.75" outlineLevel="1">
      <c r="B437" s="381">
        <v>2111</v>
      </c>
      <c r="C437" s="382">
        <v>264650</v>
      </c>
      <c r="D437" s="381">
        <v>252489</v>
      </c>
      <c r="E437" s="383" t="s">
        <v>4240</v>
      </c>
      <c r="F437" s="392" t="s">
        <v>1492</v>
      </c>
      <c r="G437" s="392"/>
      <c r="H437" s="392"/>
      <c r="I437" s="381">
        <v>1</v>
      </c>
      <c r="J437" s="383"/>
      <c r="K437" s="381">
        <v>0</v>
      </c>
      <c r="L437" s="383" t="s">
        <v>1456</v>
      </c>
      <c r="M437" s="383"/>
      <c r="N437" s="383" t="s">
        <v>4462</v>
      </c>
      <c r="O437" s="383" t="s">
        <v>4441</v>
      </c>
      <c r="P437" s="383"/>
      <c r="Q437" s="383"/>
      <c r="R437" s="383"/>
      <c r="S437" s="384">
        <v>44347</v>
      </c>
      <c r="T437" s="384">
        <v>44347</v>
      </c>
      <c r="U437" s="383" t="s">
        <v>1457</v>
      </c>
      <c r="V437" s="381">
        <v>1000</v>
      </c>
      <c r="W437" s="381">
        <v>14010</v>
      </c>
      <c r="X437" s="385">
        <v>2055.67</v>
      </c>
      <c r="Y437" s="381">
        <v>14016</v>
      </c>
      <c r="Z437" s="385">
        <v>685.22</v>
      </c>
      <c r="AA437" s="385">
        <f t="shared" si="81"/>
        <v>1370.45</v>
      </c>
      <c r="AB437" s="385">
        <v>154.16999999999999</v>
      </c>
      <c r="AC437" s="381">
        <v>57260</v>
      </c>
      <c r="AD437" s="385">
        <v>17.13</v>
      </c>
      <c r="AE437" s="381" t="s">
        <v>944</v>
      </c>
      <c r="AF437" s="383"/>
      <c r="AG437" s="383"/>
      <c r="AH437" s="383" t="s">
        <v>57</v>
      </c>
      <c r="AI437" s="383" t="s">
        <v>4442</v>
      </c>
      <c r="AJ437" s="383" t="s">
        <v>4443</v>
      </c>
      <c r="AK437" s="389" t="s">
        <v>4437</v>
      </c>
      <c r="AL437" s="389" t="s">
        <v>4223</v>
      </c>
      <c r="AM437" s="389" t="s">
        <v>1077</v>
      </c>
      <c r="AN437" s="393">
        <f t="shared" si="82"/>
        <v>5</v>
      </c>
      <c r="AO437" s="393">
        <f t="shared" si="83"/>
        <v>2021</v>
      </c>
      <c r="AP437" s="394">
        <f t="shared" si="84"/>
        <v>2031</v>
      </c>
      <c r="AQ437" s="395">
        <f t="shared" si="85"/>
        <v>2031.4166666666667</v>
      </c>
      <c r="AR437" s="396">
        <f t="shared" si="86"/>
        <v>17.130583333333334</v>
      </c>
      <c r="AS437" s="397">
        <f t="shared" si="87"/>
        <v>205.56700000000001</v>
      </c>
      <c r="AT437" s="397">
        <f t="shared" si="80"/>
        <v>205.56700000000001</v>
      </c>
      <c r="AU437" s="397">
        <f t="shared" si="88"/>
        <v>599.57041666663554</v>
      </c>
      <c r="AV437" s="397">
        <f t="shared" si="89"/>
        <v>805.13741666663554</v>
      </c>
      <c r="AW437" s="398">
        <f t="shared" si="90"/>
        <v>1250.5325833333645</v>
      </c>
      <c r="AX437" s="386" t="s">
        <v>62</v>
      </c>
    </row>
    <row r="438" spans="2:50" ht="15.75" outlineLevel="1">
      <c r="B438" s="381">
        <v>2111</v>
      </c>
      <c r="C438" s="382">
        <v>264430</v>
      </c>
      <c r="D438" s="381" t="s">
        <v>944</v>
      </c>
      <c r="E438" s="383" t="s">
        <v>4240</v>
      </c>
      <c r="F438" s="392" t="s">
        <v>1175</v>
      </c>
      <c r="G438" s="392"/>
      <c r="H438" s="392"/>
      <c r="I438" s="381">
        <v>1</v>
      </c>
      <c r="J438" s="383" t="s">
        <v>1494</v>
      </c>
      <c r="K438" s="381">
        <v>2022</v>
      </c>
      <c r="L438" s="383"/>
      <c r="M438" s="383"/>
      <c r="N438" s="383" t="s">
        <v>4445</v>
      </c>
      <c r="O438" s="383" t="s">
        <v>4441</v>
      </c>
      <c r="P438" s="383" t="s">
        <v>4482</v>
      </c>
      <c r="Q438" s="383"/>
      <c r="R438" s="383"/>
      <c r="S438" s="384">
        <v>44462</v>
      </c>
      <c r="T438" s="384">
        <v>44462</v>
      </c>
      <c r="U438" s="383" t="s">
        <v>1496</v>
      </c>
      <c r="V438" s="381">
        <v>1000</v>
      </c>
      <c r="W438" s="381">
        <v>14040</v>
      </c>
      <c r="X438" s="385">
        <v>379664.17</v>
      </c>
      <c r="Y438" s="381">
        <v>14046</v>
      </c>
      <c r="Z438" s="385">
        <v>113899.28</v>
      </c>
      <c r="AA438" s="385">
        <f t="shared" si="81"/>
        <v>265764.89</v>
      </c>
      <c r="AB438" s="385">
        <v>28474.83</v>
      </c>
      <c r="AC438" s="381">
        <v>51260</v>
      </c>
      <c r="AD438" s="385">
        <v>3163.87</v>
      </c>
      <c r="AE438" s="381" t="s">
        <v>944</v>
      </c>
      <c r="AF438" s="383"/>
      <c r="AG438" s="383">
        <v>871</v>
      </c>
      <c r="AH438" s="383" t="s">
        <v>57</v>
      </c>
      <c r="AI438" s="383" t="s">
        <v>4442</v>
      </c>
      <c r="AJ438" s="383" t="s">
        <v>4443</v>
      </c>
      <c r="AK438" s="389" t="s">
        <v>4437</v>
      </c>
      <c r="AL438" s="389" t="s">
        <v>4216</v>
      </c>
      <c r="AM438" s="389" t="s">
        <v>3939</v>
      </c>
      <c r="AN438" s="393">
        <f t="shared" si="82"/>
        <v>9</v>
      </c>
      <c r="AO438" s="393">
        <f t="shared" si="83"/>
        <v>2021</v>
      </c>
      <c r="AP438" s="394">
        <f t="shared" si="84"/>
        <v>2031</v>
      </c>
      <c r="AQ438" s="395">
        <f t="shared" si="85"/>
        <v>2031.75</v>
      </c>
      <c r="AR438" s="396">
        <f t="shared" si="86"/>
        <v>3163.8680833333333</v>
      </c>
      <c r="AS438" s="397">
        <f t="shared" si="87"/>
        <v>37966.417000000001</v>
      </c>
      <c r="AT438" s="397">
        <f t="shared" si="80"/>
        <v>37966.417000000001</v>
      </c>
      <c r="AU438" s="397">
        <f t="shared" si="88"/>
        <v>98079.910583330435</v>
      </c>
      <c r="AV438" s="397">
        <f t="shared" si="89"/>
        <v>136046.32758333045</v>
      </c>
      <c r="AW438" s="398">
        <f t="shared" si="90"/>
        <v>243617.84241666953</v>
      </c>
      <c r="AX438" s="386" t="s">
        <v>62</v>
      </c>
    </row>
    <row r="439" spans="2:50" ht="15.75" outlineLevel="1">
      <c r="B439" s="381">
        <v>2111</v>
      </c>
      <c r="C439" s="382">
        <v>264429</v>
      </c>
      <c r="D439" s="381" t="s">
        <v>944</v>
      </c>
      <c r="E439" s="383" t="s">
        <v>4240</v>
      </c>
      <c r="F439" s="392" t="s">
        <v>1175</v>
      </c>
      <c r="G439" s="392"/>
      <c r="H439" s="392"/>
      <c r="I439" s="381">
        <v>1</v>
      </c>
      <c r="J439" s="383" t="s">
        <v>1497</v>
      </c>
      <c r="K439" s="381">
        <v>2022</v>
      </c>
      <c r="L439" s="383"/>
      <c r="M439" s="383"/>
      <c r="N439" s="383" t="s">
        <v>4445</v>
      </c>
      <c r="O439" s="383" t="s">
        <v>4441</v>
      </c>
      <c r="P439" s="383" t="s">
        <v>4482</v>
      </c>
      <c r="Q439" s="383"/>
      <c r="R439" s="383"/>
      <c r="S439" s="384">
        <v>44474</v>
      </c>
      <c r="T439" s="384">
        <v>44474</v>
      </c>
      <c r="U439" s="383" t="s">
        <v>1498</v>
      </c>
      <c r="V439" s="381">
        <v>1000</v>
      </c>
      <c r="W439" s="381">
        <v>14040</v>
      </c>
      <c r="X439" s="385">
        <v>379393.6</v>
      </c>
      <c r="Y439" s="381">
        <v>14046</v>
      </c>
      <c r="Z439" s="385">
        <v>113818.03</v>
      </c>
      <c r="AA439" s="385">
        <f t="shared" si="81"/>
        <v>265575.56999999995</v>
      </c>
      <c r="AB439" s="385">
        <v>28454.49</v>
      </c>
      <c r="AC439" s="381">
        <v>51260</v>
      </c>
      <c r="AD439" s="385">
        <v>3161.61</v>
      </c>
      <c r="AE439" s="381" t="s">
        <v>944</v>
      </c>
      <c r="AF439" s="383"/>
      <c r="AG439" s="383">
        <v>872</v>
      </c>
      <c r="AH439" s="383" t="s">
        <v>57</v>
      </c>
      <c r="AI439" s="383" t="s">
        <v>4442</v>
      </c>
      <c r="AJ439" s="383" t="s">
        <v>4443</v>
      </c>
      <c r="AK439" s="389" t="s">
        <v>4437</v>
      </c>
      <c r="AL439" s="389" t="s">
        <v>4216</v>
      </c>
      <c r="AM439" s="389" t="s">
        <v>3939</v>
      </c>
      <c r="AN439" s="393">
        <f t="shared" si="82"/>
        <v>10</v>
      </c>
      <c r="AO439" s="393">
        <f t="shared" si="83"/>
        <v>2021</v>
      </c>
      <c r="AP439" s="394">
        <f t="shared" si="84"/>
        <v>2031</v>
      </c>
      <c r="AQ439" s="395">
        <f t="shared" si="85"/>
        <v>2031.8333333333333</v>
      </c>
      <c r="AR439" s="396">
        <f t="shared" si="86"/>
        <v>3161.6133333333332</v>
      </c>
      <c r="AS439" s="397">
        <f t="shared" si="87"/>
        <v>37939.360000000001</v>
      </c>
      <c r="AT439" s="397">
        <f t="shared" si="80"/>
        <v>37939.360000000001</v>
      </c>
      <c r="AU439" s="397">
        <f t="shared" si="88"/>
        <v>94848.399999999965</v>
      </c>
      <c r="AV439" s="397">
        <f t="shared" si="89"/>
        <v>132787.75999999995</v>
      </c>
      <c r="AW439" s="398">
        <f t="shared" si="90"/>
        <v>246605.84000000003</v>
      </c>
      <c r="AX439" s="386" t="s">
        <v>62</v>
      </c>
    </row>
    <row r="440" spans="2:50" ht="15.75" outlineLevel="1">
      <c r="B440" s="381">
        <v>2111</v>
      </c>
      <c r="C440" s="382">
        <v>264428</v>
      </c>
      <c r="D440" s="381" t="s">
        <v>944</v>
      </c>
      <c r="E440" s="383" t="s">
        <v>4240</v>
      </c>
      <c r="F440" s="392" t="s">
        <v>1175</v>
      </c>
      <c r="G440" s="392"/>
      <c r="H440" s="392"/>
      <c r="I440" s="381">
        <v>1</v>
      </c>
      <c r="J440" s="383" t="s">
        <v>1499</v>
      </c>
      <c r="K440" s="381">
        <v>2022</v>
      </c>
      <c r="L440" s="383"/>
      <c r="M440" s="383"/>
      <c r="N440" s="383" t="s">
        <v>4445</v>
      </c>
      <c r="O440" s="383" t="s">
        <v>4441</v>
      </c>
      <c r="P440" s="383" t="s">
        <v>4482</v>
      </c>
      <c r="Q440" s="383"/>
      <c r="R440" s="383"/>
      <c r="S440" s="384">
        <v>44433</v>
      </c>
      <c r="T440" s="384">
        <v>44433</v>
      </c>
      <c r="U440" s="383" t="s">
        <v>1500</v>
      </c>
      <c r="V440" s="381">
        <v>1000</v>
      </c>
      <c r="W440" s="381">
        <v>14040</v>
      </c>
      <c r="X440" s="385">
        <v>374782.76</v>
      </c>
      <c r="Y440" s="381">
        <v>14046</v>
      </c>
      <c r="Z440" s="385">
        <v>115558.03</v>
      </c>
      <c r="AA440" s="385">
        <f t="shared" si="81"/>
        <v>259224.73</v>
      </c>
      <c r="AB440" s="385">
        <v>28108.71</v>
      </c>
      <c r="AC440" s="381">
        <v>51260</v>
      </c>
      <c r="AD440" s="385">
        <v>3123.19</v>
      </c>
      <c r="AE440" s="381" t="s">
        <v>944</v>
      </c>
      <c r="AF440" s="383"/>
      <c r="AG440" s="383">
        <v>870</v>
      </c>
      <c r="AH440" s="383" t="s">
        <v>57</v>
      </c>
      <c r="AI440" s="383" t="s">
        <v>4442</v>
      </c>
      <c r="AJ440" s="383" t="s">
        <v>4443</v>
      </c>
      <c r="AK440" s="389" t="s">
        <v>4437</v>
      </c>
      <c r="AL440" s="389" t="s">
        <v>4216</v>
      </c>
      <c r="AM440" s="389" t="s">
        <v>3939</v>
      </c>
      <c r="AN440" s="393">
        <f t="shared" si="82"/>
        <v>8</v>
      </c>
      <c r="AO440" s="393">
        <f t="shared" si="83"/>
        <v>2021</v>
      </c>
      <c r="AP440" s="394">
        <f t="shared" si="84"/>
        <v>2031</v>
      </c>
      <c r="AQ440" s="395">
        <f t="shared" si="85"/>
        <v>2031.6666666666667</v>
      </c>
      <c r="AR440" s="396">
        <f t="shared" si="86"/>
        <v>3123.1896666666667</v>
      </c>
      <c r="AS440" s="397">
        <f t="shared" si="87"/>
        <v>37478.275999999998</v>
      </c>
      <c r="AT440" s="397">
        <f t="shared" si="80"/>
        <v>37478.275999999998</v>
      </c>
      <c r="AU440" s="397">
        <f t="shared" si="88"/>
        <v>99942.069333327643</v>
      </c>
      <c r="AV440" s="397">
        <f t="shared" si="89"/>
        <v>137420.34533332766</v>
      </c>
      <c r="AW440" s="398">
        <f t="shared" si="90"/>
        <v>237362.41466667235</v>
      </c>
      <c r="AX440" s="386" t="s">
        <v>62</v>
      </c>
    </row>
    <row r="441" spans="2:50" ht="15.75" outlineLevel="1">
      <c r="B441" s="381">
        <v>2111</v>
      </c>
      <c r="C441" s="382">
        <v>264315</v>
      </c>
      <c r="D441" s="381" t="s">
        <v>944</v>
      </c>
      <c r="E441" s="383" t="s">
        <v>4240</v>
      </c>
      <c r="F441" s="392" t="s">
        <v>1149</v>
      </c>
      <c r="G441" s="392"/>
      <c r="H441" s="392"/>
      <c r="I441" s="381">
        <v>1404</v>
      </c>
      <c r="J441" s="383"/>
      <c r="K441" s="381">
        <v>0</v>
      </c>
      <c r="L441" s="383" t="s">
        <v>1462</v>
      </c>
      <c r="M441" s="383"/>
      <c r="N441" s="383" t="s">
        <v>4446</v>
      </c>
      <c r="O441" s="383" t="s">
        <v>4441</v>
      </c>
      <c r="P441" s="383"/>
      <c r="Q441" s="383"/>
      <c r="R441" s="383"/>
      <c r="S441" s="384">
        <v>44445</v>
      </c>
      <c r="T441" s="384">
        <v>44445</v>
      </c>
      <c r="U441" s="383" t="s">
        <v>1501</v>
      </c>
      <c r="V441" s="381">
        <v>700</v>
      </c>
      <c r="W441" s="381">
        <v>14050</v>
      </c>
      <c r="X441" s="385">
        <v>89945.85</v>
      </c>
      <c r="Y441" s="381">
        <v>14056</v>
      </c>
      <c r="Z441" s="385">
        <v>39618.980000000003</v>
      </c>
      <c r="AA441" s="385">
        <f t="shared" si="81"/>
        <v>50326.87</v>
      </c>
      <c r="AB441" s="385">
        <v>9637.02</v>
      </c>
      <c r="AC441" s="381">
        <v>54260</v>
      </c>
      <c r="AD441" s="385">
        <v>1070.78</v>
      </c>
      <c r="AE441" s="381" t="s">
        <v>944</v>
      </c>
      <c r="AF441" s="383"/>
      <c r="AG441" s="383"/>
      <c r="AH441" s="383" t="s">
        <v>57</v>
      </c>
      <c r="AI441" s="383" t="s">
        <v>4442</v>
      </c>
      <c r="AJ441" s="383" t="s">
        <v>4443</v>
      </c>
      <c r="AK441" s="389" t="s">
        <v>4437</v>
      </c>
      <c r="AL441" s="389" t="s">
        <v>4217</v>
      </c>
      <c r="AM441" s="389" t="s">
        <v>3947</v>
      </c>
      <c r="AN441" s="393">
        <f t="shared" si="82"/>
        <v>9</v>
      </c>
      <c r="AO441" s="393">
        <f t="shared" si="83"/>
        <v>2021</v>
      </c>
      <c r="AP441" s="394">
        <f t="shared" si="84"/>
        <v>2028</v>
      </c>
      <c r="AQ441" s="395">
        <f t="shared" si="85"/>
        <v>2028.75</v>
      </c>
      <c r="AR441" s="396">
        <f t="shared" si="86"/>
        <v>1070.7839285714288</v>
      </c>
      <c r="AS441" s="397">
        <f t="shared" si="87"/>
        <v>12849.407142857144</v>
      </c>
      <c r="AT441" s="397">
        <f t="shared" si="80"/>
        <v>12849.407142857144</v>
      </c>
      <c r="AU441" s="397">
        <f t="shared" si="88"/>
        <v>33194.301785713309</v>
      </c>
      <c r="AV441" s="397">
        <f t="shared" si="89"/>
        <v>46043.708928570457</v>
      </c>
      <c r="AW441" s="398">
        <f t="shared" si="90"/>
        <v>43902.141071429549</v>
      </c>
      <c r="AX441" s="386" t="s">
        <v>62</v>
      </c>
    </row>
    <row r="442" spans="2:50" ht="15.75" outlineLevel="1">
      <c r="B442" s="381">
        <v>2111</v>
      </c>
      <c r="C442" s="382">
        <v>264052</v>
      </c>
      <c r="D442" s="381">
        <v>264051</v>
      </c>
      <c r="E442" s="383" t="s">
        <v>4240</v>
      </c>
      <c r="F442" s="392" t="s">
        <v>1502</v>
      </c>
      <c r="G442" s="392"/>
      <c r="H442" s="392"/>
      <c r="I442" s="381">
        <v>1</v>
      </c>
      <c r="J442" s="383"/>
      <c r="K442" s="381">
        <v>0</v>
      </c>
      <c r="L442" s="383" t="s">
        <v>1503</v>
      </c>
      <c r="M442" s="383"/>
      <c r="N442" s="383" t="s">
        <v>4440</v>
      </c>
      <c r="O442" s="383" t="s">
        <v>4441</v>
      </c>
      <c r="P442" s="383"/>
      <c r="Q442" s="383"/>
      <c r="R442" s="383"/>
      <c r="S442" s="384">
        <v>44470</v>
      </c>
      <c r="T442" s="384">
        <v>44470</v>
      </c>
      <c r="U442" s="383" t="s">
        <v>1504</v>
      </c>
      <c r="V442" s="381">
        <v>300</v>
      </c>
      <c r="W442" s="381">
        <v>14110</v>
      </c>
      <c r="X442" s="385">
        <v>260.33</v>
      </c>
      <c r="Y442" s="381">
        <v>14116</v>
      </c>
      <c r="Z442" s="385">
        <v>260.33</v>
      </c>
      <c r="AA442" s="385">
        <f t="shared" si="81"/>
        <v>0</v>
      </c>
      <c r="AB442" s="385">
        <v>65.069999999999993</v>
      </c>
      <c r="AC442" s="381">
        <v>70260</v>
      </c>
      <c r="AD442" s="385">
        <v>7.23</v>
      </c>
      <c r="AE442" s="381" t="s">
        <v>944</v>
      </c>
      <c r="AF442" s="383"/>
      <c r="AG442" s="383"/>
      <c r="AH442" s="383" t="s">
        <v>57</v>
      </c>
      <c r="AI442" s="383" t="s">
        <v>4442</v>
      </c>
      <c r="AJ442" s="383" t="s">
        <v>4443</v>
      </c>
      <c r="AK442" s="389" t="s">
        <v>4437</v>
      </c>
      <c r="AL442" s="389" t="s">
        <v>370</v>
      </c>
      <c r="AM442" s="389" t="s">
        <v>135</v>
      </c>
      <c r="AN442" s="393">
        <f t="shared" si="82"/>
        <v>10</v>
      </c>
      <c r="AO442" s="393">
        <f t="shared" si="83"/>
        <v>2021</v>
      </c>
      <c r="AP442" s="394">
        <f t="shared" si="84"/>
        <v>2024</v>
      </c>
      <c r="AQ442" s="395">
        <f t="shared" si="85"/>
        <v>2024.8333333333333</v>
      </c>
      <c r="AR442" s="396">
        <f t="shared" si="86"/>
        <v>7.2313888888888878</v>
      </c>
      <c r="AS442" s="397">
        <f t="shared" si="87"/>
        <v>86.776666666666657</v>
      </c>
      <c r="AT442" s="397">
        <f t="shared" si="80"/>
        <v>0</v>
      </c>
      <c r="AU442" s="397">
        <f t="shared" si="88"/>
        <v>216.94166666666666</v>
      </c>
      <c r="AV442" s="397">
        <f t="shared" si="89"/>
        <v>260.33</v>
      </c>
      <c r="AW442" s="398">
        <f t="shared" si="90"/>
        <v>0</v>
      </c>
      <c r="AX442" s="386" t="s">
        <v>62</v>
      </c>
    </row>
    <row r="443" spans="2:50" ht="15.75" outlineLevel="1">
      <c r="B443" s="381">
        <v>2111</v>
      </c>
      <c r="C443" s="382">
        <v>264051</v>
      </c>
      <c r="D443" s="381" t="s">
        <v>944</v>
      </c>
      <c r="E443" s="383" t="s">
        <v>4240</v>
      </c>
      <c r="F443" s="392" t="s">
        <v>1505</v>
      </c>
      <c r="G443" s="392"/>
      <c r="H443" s="392"/>
      <c r="I443" s="381">
        <v>1</v>
      </c>
      <c r="J443" s="383"/>
      <c r="K443" s="381">
        <v>0</v>
      </c>
      <c r="L443" s="383" t="s">
        <v>1480</v>
      </c>
      <c r="M443" s="383"/>
      <c r="N443" s="383" t="s">
        <v>4440</v>
      </c>
      <c r="O443" s="383" t="s">
        <v>4441</v>
      </c>
      <c r="P443" s="383"/>
      <c r="Q443" s="383"/>
      <c r="R443" s="383"/>
      <c r="S443" s="384">
        <v>44470</v>
      </c>
      <c r="T443" s="384">
        <v>44470</v>
      </c>
      <c r="U443" s="383" t="s">
        <v>1504</v>
      </c>
      <c r="V443" s="381">
        <v>300</v>
      </c>
      <c r="W443" s="381">
        <v>14110</v>
      </c>
      <c r="X443" s="385">
        <v>1300.04</v>
      </c>
      <c r="Y443" s="381">
        <v>14116</v>
      </c>
      <c r="Z443" s="385">
        <v>1300.04</v>
      </c>
      <c r="AA443" s="385">
        <f t="shared" si="81"/>
        <v>0</v>
      </c>
      <c r="AB443" s="385">
        <v>325</v>
      </c>
      <c r="AC443" s="381">
        <v>70260</v>
      </c>
      <c r="AD443" s="385">
        <v>36.119999999999997</v>
      </c>
      <c r="AE443" s="381" t="s">
        <v>944</v>
      </c>
      <c r="AF443" s="383"/>
      <c r="AG443" s="383"/>
      <c r="AH443" s="383" t="s">
        <v>57</v>
      </c>
      <c r="AI443" s="383" t="s">
        <v>4442</v>
      </c>
      <c r="AJ443" s="383" t="s">
        <v>4443</v>
      </c>
      <c r="AK443" s="389" t="s">
        <v>4437</v>
      </c>
      <c r="AL443" s="389" t="s">
        <v>370</v>
      </c>
      <c r="AM443" s="389" t="s">
        <v>135</v>
      </c>
      <c r="AN443" s="393">
        <f t="shared" si="82"/>
        <v>10</v>
      </c>
      <c r="AO443" s="393">
        <f t="shared" si="83"/>
        <v>2021</v>
      </c>
      <c r="AP443" s="394">
        <f t="shared" si="84"/>
        <v>2024</v>
      </c>
      <c r="AQ443" s="395">
        <f t="shared" si="85"/>
        <v>2024.8333333333333</v>
      </c>
      <c r="AR443" s="396">
        <f t="shared" si="86"/>
        <v>36.112222222222222</v>
      </c>
      <c r="AS443" s="397">
        <f t="shared" si="87"/>
        <v>433.34666666666669</v>
      </c>
      <c r="AT443" s="397">
        <f t="shared" si="80"/>
        <v>0</v>
      </c>
      <c r="AU443" s="397">
        <f t="shared" si="88"/>
        <v>1083.3666666666666</v>
      </c>
      <c r="AV443" s="397">
        <f t="shared" si="89"/>
        <v>1300.04</v>
      </c>
      <c r="AW443" s="398">
        <f t="shared" si="90"/>
        <v>0</v>
      </c>
      <c r="AX443" s="386" t="s">
        <v>62</v>
      </c>
    </row>
    <row r="444" spans="2:50" ht="15.75" outlineLevel="1">
      <c r="B444" s="381">
        <v>2111</v>
      </c>
      <c r="C444" s="382">
        <v>263289</v>
      </c>
      <c r="D444" s="381" t="s">
        <v>944</v>
      </c>
      <c r="E444" s="383" t="s">
        <v>4240</v>
      </c>
      <c r="F444" s="392" t="s">
        <v>1134</v>
      </c>
      <c r="G444" s="392"/>
      <c r="H444" s="392"/>
      <c r="I444" s="381">
        <v>936</v>
      </c>
      <c r="J444" s="383"/>
      <c r="K444" s="381">
        <v>0</v>
      </c>
      <c r="L444" s="383" t="s">
        <v>1462</v>
      </c>
      <c r="M444" s="383"/>
      <c r="N444" s="383" t="s">
        <v>4446</v>
      </c>
      <c r="O444" s="383" t="s">
        <v>4441</v>
      </c>
      <c r="P444" s="383"/>
      <c r="Q444" s="383"/>
      <c r="R444" s="383"/>
      <c r="S444" s="384">
        <v>44488</v>
      </c>
      <c r="T444" s="384">
        <v>44488</v>
      </c>
      <c r="U444" s="383" t="s">
        <v>1464</v>
      </c>
      <c r="V444" s="381">
        <v>700</v>
      </c>
      <c r="W444" s="381">
        <v>14050</v>
      </c>
      <c r="X444" s="385">
        <v>56947.17</v>
      </c>
      <c r="Y444" s="381">
        <v>14056</v>
      </c>
      <c r="Z444" s="385">
        <v>23727.97</v>
      </c>
      <c r="AA444" s="385">
        <f t="shared" si="81"/>
        <v>33219.199999999997</v>
      </c>
      <c r="AB444" s="385">
        <v>6101.46</v>
      </c>
      <c r="AC444" s="381">
        <v>54260</v>
      </c>
      <c r="AD444" s="385">
        <v>677.94</v>
      </c>
      <c r="AE444" s="381" t="s">
        <v>944</v>
      </c>
      <c r="AF444" s="383"/>
      <c r="AG444" s="383"/>
      <c r="AH444" s="383" t="s">
        <v>57</v>
      </c>
      <c r="AI444" s="383" t="s">
        <v>4442</v>
      </c>
      <c r="AJ444" s="383" t="s">
        <v>4443</v>
      </c>
      <c r="AK444" s="389" t="s">
        <v>4437</v>
      </c>
      <c r="AL444" s="389" t="s">
        <v>1019</v>
      </c>
      <c r="AM444" s="389" t="s">
        <v>1019</v>
      </c>
      <c r="AN444" s="393">
        <f t="shared" si="82"/>
        <v>10</v>
      </c>
      <c r="AO444" s="393">
        <f t="shared" si="83"/>
        <v>2021</v>
      </c>
      <c r="AP444" s="394">
        <f t="shared" si="84"/>
        <v>2028</v>
      </c>
      <c r="AQ444" s="395">
        <f t="shared" si="85"/>
        <v>2028.8333333333333</v>
      </c>
      <c r="AR444" s="396">
        <f t="shared" si="86"/>
        <v>677.9425</v>
      </c>
      <c r="AS444" s="397">
        <f t="shared" si="87"/>
        <v>8135.3099999999995</v>
      </c>
      <c r="AT444" s="397">
        <f t="shared" si="80"/>
        <v>8135.3099999999995</v>
      </c>
      <c r="AU444" s="397">
        <f t="shared" si="88"/>
        <v>20338.275000000001</v>
      </c>
      <c r="AV444" s="397">
        <f t="shared" si="89"/>
        <v>28473.584999999999</v>
      </c>
      <c r="AW444" s="398">
        <f t="shared" si="90"/>
        <v>28473.584999999999</v>
      </c>
      <c r="AX444" s="386" t="s">
        <v>62</v>
      </c>
    </row>
    <row r="445" spans="2:50" ht="15.75" outlineLevel="1">
      <c r="B445" s="381">
        <v>2111</v>
      </c>
      <c r="C445" s="382">
        <v>263288</v>
      </c>
      <c r="D445" s="381" t="s">
        <v>944</v>
      </c>
      <c r="E445" s="383" t="s">
        <v>4240</v>
      </c>
      <c r="F445" s="392" t="s">
        <v>1507</v>
      </c>
      <c r="G445" s="392"/>
      <c r="H445" s="392"/>
      <c r="I445" s="381">
        <v>220</v>
      </c>
      <c r="J445" s="383"/>
      <c r="K445" s="381">
        <v>0</v>
      </c>
      <c r="L445" s="383" t="s">
        <v>1462</v>
      </c>
      <c r="M445" s="383"/>
      <c r="N445" s="383" t="s">
        <v>4446</v>
      </c>
      <c r="O445" s="383" t="s">
        <v>4441</v>
      </c>
      <c r="P445" s="383"/>
      <c r="Q445" s="383"/>
      <c r="R445" s="383"/>
      <c r="S445" s="384">
        <v>44445</v>
      </c>
      <c r="T445" s="384">
        <v>44445</v>
      </c>
      <c r="U445" s="383" t="s">
        <v>1501</v>
      </c>
      <c r="V445" s="381">
        <v>700</v>
      </c>
      <c r="W445" s="381">
        <v>14050</v>
      </c>
      <c r="X445" s="385">
        <v>11412.72</v>
      </c>
      <c r="Y445" s="381">
        <v>14056</v>
      </c>
      <c r="Z445" s="385">
        <v>5027.07</v>
      </c>
      <c r="AA445" s="385">
        <f t="shared" si="81"/>
        <v>6385.65</v>
      </c>
      <c r="AB445" s="385">
        <v>1222.83</v>
      </c>
      <c r="AC445" s="381">
        <v>54260</v>
      </c>
      <c r="AD445" s="385">
        <v>135.87</v>
      </c>
      <c r="AE445" s="381" t="s">
        <v>944</v>
      </c>
      <c r="AF445" s="383"/>
      <c r="AG445" s="383"/>
      <c r="AH445" s="383" t="s">
        <v>57</v>
      </c>
      <c r="AI445" s="383" t="s">
        <v>4442</v>
      </c>
      <c r="AJ445" s="383" t="s">
        <v>4443</v>
      </c>
      <c r="AK445" s="389" t="s">
        <v>4437</v>
      </c>
      <c r="AL445" s="389" t="s">
        <v>1019</v>
      </c>
      <c r="AM445" s="389" t="s">
        <v>1019</v>
      </c>
      <c r="AN445" s="393">
        <f t="shared" si="82"/>
        <v>9</v>
      </c>
      <c r="AO445" s="393">
        <f t="shared" si="83"/>
        <v>2021</v>
      </c>
      <c r="AP445" s="394">
        <f t="shared" si="84"/>
        <v>2028</v>
      </c>
      <c r="AQ445" s="395">
        <f t="shared" si="85"/>
        <v>2028.75</v>
      </c>
      <c r="AR445" s="396">
        <f t="shared" si="86"/>
        <v>135.86571428571429</v>
      </c>
      <c r="AS445" s="397">
        <f t="shared" si="87"/>
        <v>1630.3885714285716</v>
      </c>
      <c r="AT445" s="397">
        <f t="shared" si="80"/>
        <v>1630.3885714285716</v>
      </c>
      <c r="AU445" s="397">
        <f t="shared" si="88"/>
        <v>4211.8371428570181</v>
      </c>
      <c r="AV445" s="397">
        <f t="shared" si="89"/>
        <v>5842.2257142855897</v>
      </c>
      <c r="AW445" s="398">
        <f t="shared" si="90"/>
        <v>5570.4942857144097</v>
      </c>
      <c r="AX445" s="386" t="s">
        <v>62</v>
      </c>
    </row>
    <row r="446" spans="2:50" ht="15.75" outlineLevel="1">
      <c r="B446" s="381">
        <v>2111</v>
      </c>
      <c r="C446" s="382">
        <v>263287</v>
      </c>
      <c r="D446" s="381" t="s">
        <v>944</v>
      </c>
      <c r="E446" s="383" t="s">
        <v>4240</v>
      </c>
      <c r="F446" s="392" t="s">
        <v>1508</v>
      </c>
      <c r="G446" s="392"/>
      <c r="H446" s="392"/>
      <c r="I446" s="381">
        <v>34</v>
      </c>
      <c r="J446" s="383"/>
      <c r="K446" s="381">
        <v>0</v>
      </c>
      <c r="L446" s="383" t="s">
        <v>1509</v>
      </c>
      <c r="M446" s="383"/>
      <c r="N446" s="383" t="s">
        <v>4446</v>
      </c>
      <c r="O446" s="383" t="s">
        <v>4441</v>
      </c>
      <c r="P446" s="383"/>
      <c r="Q446" s="383" t="s">
        <v>4479</v>
      </c>
      <c r="R446" s="383" t="s">
        <v>4450</v>
      </c>
      <c r="S446" s="384">
        <v>44448</v>
      </c>
      <c r="T446" s="384">
        <v>44448</v>
      </c>
      <c r="U446" s="383" t="s">
        <v>1510</v>
      </c>
      <c r="V446" s="381">
        <v>1200</v>
      </c>
      <c r="W446" s="381">
        <v>14050</v>
      </c>
      <c r="X446" s="385">
        <v>59372.81</v>
      </c>
      <c r="Y446" s="381">
        <v>14056</v>
      </c>
      <c r="Z446" s="385">
        <v>15255.52</v>
      </c>
      <c r="AA446" s="385">
        <f t="shared" si="81"/>
        <v>44117.289999999994</v>
      </c>
      <c r="AB446" s="385">
        <v>3710.79</v>
      </c>
      <c r="AC446" s="381">
        <v>54260</v>
      </c>
      <c r="AD446" s="385">
        <v>412.31</v>
      </c>
      <c r="AE446" s="381" t="s">
        <v>944</v>
      </c>
      <c r="AF446" s="383"/>
      <c r="AG446" s="383"/>
      <c r="AH446" s="383" t="s">
        <v>57</v>
      </c>
      <c r="AI446" s="383" t="s">
        <v>4442</v>
      </c>
      <c r="AJ446" s="383" t="s">
        <v>4443</v>
      </c>
      <c r="AK446" s="389" t="s">
        <v>4437</v>
      </c>
      <c r="AL446" s="389" t="s">
        <v>1341</v>
      </c>
      <c r="AM446" s="389" t="s">
        <v>1341</v>
      </c>
      <c r="AN446" s="393">
        <f t="shared" si="82"/>
        <v>9</v>
      </c>
      <c r="AO446" s="393">
        <f t="shared" si="83"/>
        <v>2021</v>
      </c>
      <c r="AP446" s="394">
        <f t="shared" si="84"/>
        <v>2033</v>
      </c>
      <c r="AQ446" s="395">
        <f t="shared" si="85"/>
        <v>2033.75</v>
      </c>
      <c r="AR446" s="396">
        <f t="shared" si="86"/>
        <v>412.3111805555555</v>
      </c>
      <c r="AS446" s="397">
        <f t="shared" si="87"/>
        <v>4947.7341666666662</v>
      </c>
      <c r="AT446" s="397">
        <f t="shared" si="80"/>
        <v>4947.7341666666662</v>
      </c>
      <c r="AU446" s="397">
        <f t="shared" si="88"/>
        <v>12781.64659722185</v>
      </c>
      <c r="AV446" s="397">
        <f t="shared" si="89"/>
        <v>17729.380763888516</v>
      </c>
      <c r="AW446" s="398">
        <f t="shared" si="90"/>
        <v>41643.429236111479</v>
      </c>
      <c r="AX446" s="386" t="s">
        <v>62</v>
      </c>
    </row>
    <row r="447" spans="2:50" ht="15.75" outlineLevel="1">
      <c r="B447" s="381">
        <v>2111</v>
      </c>
      <c r="C447" s="382">
        <v>263275</v>
      </c>
      <c r="D447" s="381">
        <v>263272</v>
      </c>
      <c r="E447" s="383" t="s">
        <v>4240</v>
      </c>
      <c r="F447" s="392" t="s">
        <v>1512</v>
      </c>
      <c r="G447" s="392"/>
      <c r="H447" s="392"/>
      <c r="I447" s="381">
        <v>1</v>
      </c>
      <c r="J447" s="383" t="s">
        <v>1513</v>
      </c>
      <c r="K447" s="381">
        <v>2020</v>
      </c>
      <c r="L447" s="383" t="s">
        <v>1514</v>
      </c>
      <c r="M447" s="383" t="s">
        <v>1514</v>
      </c>
      <c r="N447" s="383" t="s">
        <v>4458</v>
      </c>
      <c r="O447" s="383" t="s">
        <v>4441</v>
      </c>
      <c r="P447" s="383" t="s">
        <v>1467</v>
      </c>
      <c r="Q447" s="383"/>
      <c r="R447" s="383"/>
      <c r="S447" s="384">
        <v>44408</v>
      </c>
      <c r="T447" s="384">
        <v>44408</v>
      </c>
      <c r="U447" s="383" t="s">
        <v>1515</v>
      </c>
      <c r="V447" s="381">
        <v>300</v>
      </c>
      <c r="W447" s="381">
        <v>14030</v>
      </c>
      <c r="X447" s="385">
        <v>22513.29</v>
      </c>
      <c r="Y447" s="381">
        <v>14036</v>
      </c>
      <c r="Z447" s="385">
        <v>22513.29</v>
      </c>
      <c r="AA447" s="385">
        <f t="shared" si="81"/>
        <v>0</v>
      </c>
      <c r="AB447" s="385">
        <v>4377.58</v>
      </c>
      <c r="AC447" s="381">
        <v>51260</v>
      </c>
      <c r="AD447" s="385">
        <v>625.36</v>
      </c>
      <c r="AE447" s="381" t="s">
        <v>944</v>
      </c>
      <c r="AF447" s="383"/>
      <c r="AG447" s="383"/>
      <c r="AH447" s="383" t="s">
        <v>57</v>
      </c>
      <c r="AI447" s="383" t="s">
        <v>4442</v>
      </c>
      <c r="AJ447" s="383" t="s">
        <v>4443</v>
      </c>
      <c r="AK447" s="389" t="s">
        <v>4437</v>
      </c>
      <c r="AL447" s="389" t="s">
        <v>4220</v>
      </c>
      <c r="AM447" s="389" t="s">
        <v>178</v>
      </c>
      <c r="AN447" s="393">
        <f t="shared" si="82"/>
        <v>7</v>
      </c>
      <c r="AO447" s="393">
        <f t="shared" si="83"/>
        <v>2021</v>
      </c>
      <c r="AP447" s="394">
        <f t="shared" si="84"/>
        <v>2024</v>
      </c>
      <c r="AQ447" s="395">
        <f t="shared" si="85"/>
        <v>2024.5833333333333</v>
      </c>
      <c r="AR447" s="396">
        <f t="shared" si="86"/>
        <v>625.36916666666673</v>
      </c>
      <c r="AS447" s="397">
        <f t="shared" si="87"/>
        <v>7504.43</v>
      </c>
      <c r="AT447" s="397">
        <f t="shared" si="80"/>
        <v>0</v>
      </c>
      <c r="AU447" s="397">
        <f t="shared" si="88"/>
        <v>20637.182500000003</v>
      </c>
      <c r="AV447" s="397">
        <f t="shared" si="89"/>
        <v>22513.29</v>
      </c>
      <c r="AW447" s="398">
        <f t="shared" si="90"/>
        <v>0</v>
      </c>
      <c r="AX447" s="386" t="s">
        <v>62</v>
      </c>
    </row>
    <row r="448" spans="2:50" ht="15.75" outlineLevel="1">
      <c r="B448" s="381">
        <v>2111</v>
      </c>
      <c r="C448" s="382">
        <v>263274</v>
      </c>
      <c r="D448" s="381">
        <v>263272</v>
      </c>
      <c r="E448" s="383" t="s">
        <v>4240</v>
      </c>
      <c r="F448" s="392" t="s">
        <v>1516</v>
      </c>
      <c r="G448" s="392"/>
      <c r="H448" s="392"/>
      <c r="I448" s="381">
        <v>1</v>
      </c>
      <c r="J448" s="383" t="s">
        <v>1513</v>
      </c>
      <c r="K448" s="381">
        <v>2020</v>
      </c>
      <c r="L448" s="383" t="s">
        <v>1514</v>
      </c>
      <c r="M448" s="383" t="s">
        <v>1514</v>
      </c>
      <c r="N448" s="383" t="s">
        <v>4458</v>
      </c>
      <c r="O448" s="383" t="s">
        <v>4441</v>
      </c>
      <c r="P448" s="383" t="s">
        <v>1467</v>
      </c>
      <c r="Q448" s="383"/>
      <c r="R448" s="383"/>
      <c r="S448" s="384">
        <v>44408</v>
      </c>
      <c r="T448" s="384">
        <v>44408</v>
      </c>
      <c r="U448" s="383" t="s">
        <v>1515</v>
      </c>
      <c r="V448" s="381">
        <v>300</v>
      </c>
      <c r="W448" s="381">
        <v>14030</v>
      </c>
      <c r="X448" s="385">
        <v>8733.7900000000009</v>
      </c>
      <c r="Y448" s="381">
        <v>14036</v>
      </c>
      <c r="Z448" s="385">
        <v>8733.7900000000009</v>
      </c>
      <c r="AA448" s="385">
        <f t="shared" si="81"/>
        <v>0</v>
      </c>
      <c r="AB448" s="385">
        <v>1698.24</v>
      </c>
      <c r="AC448" s="381">
        <v>51260</v>
      </c>
      <c r="AD448" s="385">
        <v>242.58</v>
      </c>
      <c r="AE448" s="381" t="s">
        <v>944</v>
      </c>
      <c r="AF448" s="383"/>
      <c r="AG448" s="383"/>
      <c r="AH448" s="383" t="s">
        <v>57</v>
      </c>
      <c r="AI448" s="383" t="s">
        <v>4442</v>
      </c>
      <c r="AJ448" s="383" t="s">
        <v>4443</v>
      </c>
      <c r="AK448" s="389" t="s">
        <v>4437</v>
      </c>
      <c r="AL448" s="389" t="s">
        <v>4220</v>
      </c>
      <c r="AM448" s="389" t="s">
        <v>178</v>
      </c>
      <c r="AN448" s="393">
        <f t="shared" si="82"/>
        <v>7</v>
      </c>
      <c r="AO448" s="393">
        <f t="shared" si="83"/>
        <v>2021</v>
      </c>
      <c r="AP448" s="394">
        <f t="shared" si="84"/>
        <v>2024</v>
      </c>
      <c r="AQ448" s="395">
        <f t="shared" si="85"/>
        <v>2024.5833333333333</v>
      </c>
      <c r="AR448" s="396">
        <f t="shared" si="86"/>
        <v>242.60527777777781</v>
      </c>
      <c r="AS448" s="397">
        <f t="shared" si="87"/>
        <v>2911.2633333333338</v>
      </c>
      <c r="AT448" s="397">
        <f t="shared" si="80"/>
        <v>0</v>
      </c>
      <c r="AU448" s="397">
        <f t="shared" si="88"/>
        <v>8005.9741666666678</v>
      </c>
      <c r="AV448" s="397">
        <f t="shared" si="89"/>
        <v>8733.7900000000009</v>
      </c>
      <c r="AW448" s="398">
        <f t="shared" si="90"/>
        <v>0</v>
      </c>
      <c r="AX448" s="386" t="s">
        <v>62</v>
      </c>
    </row>
    <row r="449" spans="2:50" ht="15.75" outlineLevel="1">
      <c r="B449" s="381">
        <v>2111</v>
      </c>
      <c r="C449" s="382">
        <v>263273</v>
      </c>
      <c r="D449" s="381">
        <v>263272</v>
      </c>
      <c r="E449" s="383" t="s">
        <v>4240</v>
      </c>
      <c r="F449" s="392" t="s">
        <v>1517</v>
      </c>
      <c r="G449" s="392"/>
      <c r="H449" s="392"/>
      <c r="I449" s="381">
        <v>1</v>
      </c>
      <c r="J449" s="383" t="s">
        <v>1513</v>
      </c>
      <c r="K449" s="381">
        <v>2020</v>
      </c>
      <c r="L449" s="383" t="s">
        <v>1514</v>
      </c>
      <c r="M449" s="383" t="s">
        <v>1514</v>
      </c>
      <c r="N449" s="383" t="s">
        <v>4458</v>
      </c>
      <c r="O449" s="383" t="s">
        <v>4441</v>
      </c>
      <c r="P449" s="383" t="s">
        <v>1467</v>
      </c>
      <c r="Q449" s="383"/>
      <c r="R449" s="383"/>
      <c r="S449" s="384">
        <v>44408</v>
      </c>
      <c r="T449" s="384">
        <v>44408</v>
      </c>
      <c r="U449" s="383" t="s">
        <v>1515</v>
      </c>
      <c r="V449" s="381">
        <v>300</v>
      </c>
      <c r="W449" s="381">
        <v>14030</v>
      </c>
      <c r="X449" s="385">
        <v>26201.360000000001</v>
      </c>
      <c r="Y449" s="381">
        <v>14036</v>
      </c>
      <c r="Z449" s="385">
        <v>26201.360000000001</v>
      </c>
      <c r="AA449" s="385">
        <f t="shared" si="81"/>
        <v>0</v>
      </c>
      <c r="AB449" s="385">
        <v>5094.7</v>
      </c>
      <c r="AC449" s="381">
        <v>51260</v>
      </c>
      <c r="AD449" s="385">
        <v>727.78</v>
      </c>
      <c r="AE449" s="381" t="s">
        <v>944</v>
      </c>
      <c r="AF449" s="383"/>
      <c r="AG449" s="383"/>
      <c r="AH449" s="383" t="s">
        <v>57</v>
      </c>
      <c r="AI449" s="383" t="s">
        <v>4442</v>
      </c>
      <c r="AJ449" s="383" t="s">
        <v>4443</v>
      </c>
      <c r="AK449" s="389" t="s">
        <v>4437</v>
      </c>
      <c r="AL449" s="389" t="s">
        <v>4220</v>
      </c>
      <c r="AM449" s="389" t="s">
        <v>178</v>
      </c>
      <c r="AN449" s="393">
        <f t="shared" si="82"/>
        <v>7</v>
      </c>
      <c r="AO449" s="393">
        <f t="shared" si="83"/>
        <v>2021</v>
      </c>
      <c r="AP449" s="394">
        <f t="shared" si="84"/>
        <v>2024</v>
      </c>
      <c r="AQ449" s="395">
        <f t="shared" si="85"/>
        <v>2024.5833333333333</v>
      </c>
      <c r="AR449" s="396">
        <f t="shared" si="86"/>
        <v>727.81555555555553</v>
      </c>
      <c r="AS449" s="397">
        <f t="shared" si="87"/>
        <v>8733.7866666666669</v>
      </c>
      <c r="AT449" s="397">
        <f t="shared" si="80"/>
        <v>0</v>
      </c>
      <c r="AU449" s="397">
        <f t="shared" si="88"/>
        <v>24017.913333333334</v>
      </c>
      <c r="AV449" s="397">
        <f t="shared" si="89"/>
        <v>26201.360000000001</v>
      </c>
      <c r="AW449" s="398">
        <f t="shared" si="90"/>
        <v>0</v>
      </c>
      <c r="AX449" s="386" t="s">
        <v>62</v>
      </c>
    </row>
    <row r="450" spans="2:50" ht="15.75" outlineLevel="1">
      <c r="B450" s="381">
        <v>2111</v>
      </c>
      <c r="C450" s="382">
        <v>263272</v>
      </c>
      <c r="D450" s="381" t="s">
        <v>944</v>
      </c>
      <c r="E450" s="383" t="s">
        <v>4240</v>
      </c>
      <c r="F450" s="392" t="s">
        <v>1518</v>
      </c>
      <c r="G450" s="392"/>
      <c r="H450" s="392"/>
      <c r="I450" s="381">
        <v>1</v>
      </c>
      <c r="J450" s="383" t="s">
        <v>1513</v>
      </c>
      <c r="K450" s="381">
        <v>2020</v>
      </c>
      <c r="L450" s="383" t="s">
        <v>1514</v>
      </c>
      <c r="M450" s="383" t="s">
        <v>1514</v>
      </c>
      <c r="N450" s="383" t="s">
        <v>4458</v>
      </c>
      <c r="O450" s="383" t="s">
        <v>4441</v>
      </c>
      <c r="P450" s="383" t="s">
        <v>1044</v>
      </c>
      <c r="Q450" s="383"/>
      <c r="R450" s="383"/>
      <c r="S450" s="384">
        <v>44408</v>
      </c>
      <c r="T450" s="384">
        <v>44408</v>
      </c>
      <c r="U450" s="383" t="s">
        <v>1515</v>
      </c>
      <c r="V450" s="381">
        <v>1000</v>
      </c>
      <c r="W450" s="381">
        <v>14030</v>
      </c>
      <c r="X450" s="385">
        <v>183409.55</v>
      </c>
      <c r="Y450" s="381">
        <v>14036</v>
      </c>
      <c r="Z450" s="385">
        <v>58079.68</v>
      </c>
      <c r="AA450" s="385">
        <f t="shared" si="81"/>
        <v>125329.87</v>
      </c>
      <c r="AB450" s="385">
        <v>13755.69</v>
      </c>
      <c r="AC450" s="381">
        <v>51260</v>
      </c>
      <c r="AD450" s="385">
        <v>1528.41</v>
      </c>
      <c r="AE450" s="381" t="s">
        <v>944</v>
      </c>
      <c r="AF450" s="383">
        <v>0</v>
      </c>
      <c r="AG450" s="383" t="s">
        <v>4436</v>
      </c>
      <c r="AH450" s="383" t="s">
        <v>57</v>
      </c>
      <c r="AI450" s="383" t="s">
        <v>4442</v>
      </c>
      <c r="AJ450" s="383" t="s">
        <v>4443</v>
      </c>
      <c r="AK450" s="389" t="s">
        <v>4437</v>
      </c>
      <c r="AL450" s="389" t="s">
        <v>4220</v>
      </c>
      <c r="AM450" s="389" t="s">
        <v>178</v>
      </c>
      <c r="AN450" s="393">
        <f t="shared" si="82"/>
        <v>7</v>
      </c>
      <c r="AO450" s="393">
        <f t="shared" si="83"/>
        <v>2021</v>
      </c>
      <c r="AP450" s="394">
        <f t="shared" si="84"/>
        <v>2031</v>
      </c>
      <c r="AQ450" s="395">
        <f t="shared" si="85"/>
        <v>2031.5833333333333</v>
      </c>
      <c r="AR450" s="396">
        <f t="shared" si="86"/>
        <v>1528.4129166666664</v>
      </c>
      <c r="AS450" s="397">
        <f t="shared" si="87"/>
        <v>18340.954999999998</v>
      </c>
      <c r="AT450" s="397">
        <f t="shared" si="80"/>
        <v>18340.954999999998</v>
      </c>
      <c r="AU450" s="397">
        <f t="shared" si="88"/>
        <v>50437.626250000001</v>
      </c>
      <c r="AV450" s="397">
        <f t="shared" si="89"/>
        <v>68778.581250000003</v>
      </c>
      <c r="AW450" s="398">
        <f t="shared" si="90"/>
        <v>114630.96874999999</v>
      </c>
      <c r="AX450" s="386" t="s">
        <v>62</v>
      </c>
    </row>
    <row r="451" spans="2:50" ht="15.75" outlineLevel="1">
      <c r="B451" s="381">
        <v>2111</v>
      </c>
      <c r="C451" s="382">
        <v>262700</v>
      </c>
      <c r="D451" s="381">
        <v>262699</v>
      </c>
      <c r="E451" s="383" t="s">
        <v>4240</v>
      </c>
      <c r="F451" s="392" t="s">
        <v>1525</v>
      </c>
      <c r="G451" s="392"/>
      <c r="H451" s="392"/>
      <c r="I451" s="381">
        <v>84</v>
      </c>
      <c r="J451" s="383"/>
      <c r="K451" s="381">
        <v>0</v>
      </c>
      <c r="L451" s="383" t="s">
        <v>1509</v>
      </c>
      <c r="M451" s="383"/>
      <c r="N451" s="383" t="s">
        <v>4446</v>
      </c>
      <c r="O451" s="383" t="s">
        <v>4441</v>
      </c>
      <c r="P451" s="383"/>
      <c r="Q451" s="383"/>
      <c r="R451" s="383"/>
      <c r="S451" s="384">
        <v>44448</v>
      </c>
      <c r="T451" s="384">
        <v>44448</v>
      </c>
      <c r="U451" s="383" t="s">
        <v>1510</v>
      </c>
      <c r="V451" s="381">
        <v>1200</v>
      </c>
      <c r="W451" s="381">
        <v>14050</v>
      </c>
      <c r="X451" s="385">
        <v>9223.3700000000008</v>
      </c>
      <c r="Y451" s="381">
        <v>14056</v>
      </c>
      <c r="Z451" s="385">
        <v>2369.9</v>
      </c>
      <c r="AA451" s="385">
        <f t="shared" si="81"/>
        <v>6853.4700000000012</v>
      </c>
      <c r="AB451" s="385">
        <v>576.45000000000005</v>
      </c>
      <c r="AC451" s="381">
        <v>54260</v>
      </c>
      <c r="AD451" s="385">
        <v>64.05</v>
      </c>
      <c r="AE451" s="381" t="s">
        <v>944</v>
      </c>
      <c r="AF451" s="383"/>
      <c r="AG451" s="383"/>
      <c r="AH451" s="383" t="s">
        <v>57</v>
      </c>
      <c r="AI451" s="383" t="s">
        <v>4442</v>
      </c>
      <c r="AJ451" s="383" t="s">
        <v>4443</v>
      </c>
      <c r="AK451" s="389" t="s">
        <v>4437</v>
      </c>
      <c r="AL451" s="389" t="s">
        <v>1341</v>
      </c>
      <c r="AM451" s="389" t="s">
        <v>1341</v>
      </c>
      <c r="AN451" s="393">
        <f t="shared" si="82"/>
        <v>9</v>
      </c>
      <c r="AO451" s="393">
        <f t="shared" si="83"/>
        <v>2021</v>
      </c>
      <c r="AP451" s="394">
        <f t="shared" si="84"/>
        <v>2033</v>
      </c>
      <c r="AQ451" s="395">
        <f t="shared" si="85"/>
        <v>2033.75</v>
      </c>
      <c r="AR451" s="396">
        <f t="shared" si="86"/>
        <v>64.051180555555561</v>
      </c>
      <c r="AS451" s="397">
        <f t="shared" si="87"/>
        <v>768.61416666666673</v>
      </c>
      <c r="AT451" s="397">
        <f t="shared" si="80"/>
        <v>768.61416666666673</v>
      </c>
      <c r="AU451" s="397">
        <f t="shared" si="88"/>
        <v>1985.5865972221645</v>
      </c>
      <c r="AV451" s="397">
        <f t="shared" si="89"/>
        <v>2754.2007638888313</v>
      </c>
      <c r="AW451" s="398">
        <f t="shared" si="90"/>
        <v>6469.1692361111691</v>
      </c>
      <c r="AX451" s="386" t="s">
        <v>62</v>
      </c>
    </row>
    <row r="452" spans="2:50" ht="15.75" outlineLevel="1">
      <c r="B452" s="381">
        <v>2111</v>
      </c>
      <c r="C452" s="382">
        <v>262699</v>
      </c>
      <c r="D452" s="381" t="s">
        <v>944</v>
      </c>
      <c r="E452" s="383" t="s">
        <v>4240</v>
      </c>
      <c r="F452" s="392" t="s">
        <v>1527</v>
      </c>
      <c r="G452" s="392"/>
      <c r="H452" s="392"/>
      <c r="I452" s="381">
        <v>3</v>
      </c>
      <c r="J452" s="383"/>
      <c r="K452" s="381">
        <v>0</v>
      </c>
      <c r="L452" s="383" t="s">
        <v>1509</v>
      </c>
      <c r="M452" s="383"/>
      <c r="N452" s="383" t="s">
        <v>4446</v>
      </c>
      <c r="O452" s="383" t="s">
        <v>4441</v>
      </c>
      <c r="P452" s="383"/>
      <c r="Q452" s="383" t="s">
        <v>4479</v>
      </c>
      <c r="R452" s="383" t="s">
        <v>4450</v>
      </c>
      <c r="S452" s="384">
        <v>44448</v>
      </c>
      <c r="T452" s="384">
        <v>44448</v>
      </c>
      <c r="U452" s="383" t="s">
        <v>1510</v>
      </c>
      <c r="V452" s="381">
        <v>1200</v>
      </c>
      <c r="W452" s="381">
        <v>14050</v>
      </c>
      <c r="X452" s="385">
        <v>5024.3</v>
      </c>
      <c r="Y452" s="381">
        <v>14056</v>
      </c>
      <c r="Z452" s="385">
        <v>1290.95</v>
      </c>
      <c r="AA452" s="385">
        <f t="shared" si="81"/>
        <v>3733.3500000000004</v>
      </c>
      <c r="AB452" s="385">
        <v>314.01</v>
      </c>
      <c r="AC452" s="381">
        <v>54260</v>
      </c>
      <c r="AD452" s="385">
        <v>34.89</v>
      </c>
      <c r="AE452" s="381" t="s">
        <v>944</v>
      </c>
      <c r="AF452" s="383"/>
      <c r="AG452" s="383"/>
      <c r="AH452" s="383" t="s">
        <v>57</v>
      </c>
      <c r="AI452" s="383" t="s">
        <v>4442</v>
      </c>
      <c r="AJ452" s="383" t="s">
        <v>4443</v>
      </c>
      <c r="AK452" s="389" t="s">
        <v>4437</v>
      </c>
      <c r="AL452" s="389" t="s">
        <v>1341</v>
      </c>
      <c r="AM452" s="389" t="s">
        <v>1341</v>
      </c>
      <c r="AN452" s="393">
        <f t="shared" si="82"/>
        <v>9</v>
      </c>
      <c r="AO452" s="393">
        <f t="shared" si="83"/>
        <v>2021</v>
      </c>
      <c r="AP452" s="394">
        <f t="shared" si="84"/>
        <v>2033</v>
      </c>
      <c r="AQ452" s="395">
        <f t="shared" si="85"/>
        <v>2033.75</v>
      </c>
      <c r="AR452" s="396">
        <f t="shared" si="86"/>
        <v>34.890972222222224</v>
      </c>
      <c r="AS452" s="397">
        <f t="shared" si="87"/>
        <v>418.69166666666672</v>
      </c>
      <c r="AT452" s="397">
        <f t="shared" si="80"/>
        <v>418.69166666666672</v>
      </c>
      <c r="AU452" s="397">
        <f t="shared" si="88"/>
        <v>1081.6201388888571</v>
      </c>
      <c r="AV452" s="397">
        <f t="shared" si="89"/>
        <v>1500.3118055555237</v>
      </c>
      <c r="AW452" s="398">
        <f t="shared" si="90"/>
        <v>3523.9881944444764</v>
      </c>
      <c r="AX452" s="386" t="s">
        <v>62</v>
      </c>
    </row>
    <row r="453" spans="2:50" ht="15.75" outlineLevel="1">
      <c r="B453" s="381">
        <v>2111</v>
      </c>
      <c r="C453" s="382">
        <v>262698</v>
      </c>
      <c r="D453" s="381" t="s">
        <v>944</v>
      </c>
      <c r="E453" s="383" t="s">
        <v>4240</v>
      </c>
      <c r="F453" s="392" t="s">
        <v>1528</v>
      </c>
      <c r="G453" s="392"/>
      <c r="H453" s="392"/>
      <c r="I453" s="381">
        <v>8</v>
      </c>
      <c r="J453" s="383"/>
      <c r="K453" s="381">
        <v>0</v>
      </c>
      <c r="L453" s="383" t="s">
        <v>1509</v>
      </c>
      <c r="M453" s="383"/>
      <c r="N453" s="383" t="s">
        <v>4446</v>
      </c>
      <c r="O453" s="383" t="s">
        <v>4441</v>
      </c>
      <c r="P453" s="383"/>
      <c r="Q453" s="383" t="s">
        <v>4464</v>
      </c>
      <c r="R453" s="383" t="s">
        <v>4450</v>
      </c>
      <c r="S453" s="384">
        <v>44448</v>
      </c>
      <c r="T453" s="384">
        <v>44448</v>
      </c>
      <c r="U453" s="383" t="s">
        <v>1510</v>
      </c>
      <c r="V453" s="381">
        <v>1200</v>
      </c>
      <c r="W453" s="381">
        <v>14050</v>
      </c>
      <c r="X453" s="385">
        <v>10357.9</v>
      </c>
      <c r="Y453" s="381">
        <v>14056</v>
      </c>
      <c r="Z453" s="385">
        <v>2661.41</v>
      </c>
      <c r="AA453" s="385">
        <f t="shared" si="81"/>
        <v>7696.49</v>
      </c>
      <c r="AB453" s="385">
        <v>647.37</v>
      </c>
      <c r="AC453" s="381">
        <v>54260</v>
      </c>
      <c r="AD453" s="385">
        <v>71.930000000000007</v>
      </c>
      <c r="AE453" s="381" t="s">
        <v>944</v>
      </c>
      <c r="AF453" s="383"/>
      <c r="AG453" s="383"/>
      <c r="AH453" s="383" t="s">
        <v>57</v>
      </c>
      <c r="AI453" s="383" t="s">
        <v>4442</v>
      </c>
      <c r="AJ453" s="383" t="s">
        <v>4443</v>
      </c>
      <c r="AK453" s="389" t="s">
        <v>4437</v>
      </c>
      <c r="AL453" s="389" t="s">
        <v>1341</v>
      </c>
      <c r="AM453" s="389" t="s">
        <v>1341</v>
      </c>
      <c r="AN453" s="393">
        <f t="shared" si="82"/>
        <v>9</v>
      </c>
      <c r="AO453" s="393">
        <f t="shared" si="83"/>
        <v>2021</v>
      </c>
      <c r="AP453" s="394">
        <f t="shared" si="84"/>
        <v>2033</v>
      </c>
      <c r="AQ453" s="395">
        <f t="shared" si="85"/>
        <v>2033.75</v>
      </c>
      <c r="AR453" s="396">
        <f t="shared" si="86"/>
        <v>71.929861111111109</v>
      </c>
      <c r="AS453" s="397">
        <f t="shared" si="87"/>
        <v>863.1583333333333</v>
      </c>
      <c r="AT453" s="397">
        <f t="shared" si="80"/>
        <v>863.1583333333333</v>
      </c>
      <c r="AU453" s="397">
        <f t="shared" si="88"/>
        <v>2229.8256944443792</v>
      </c>
      <c r="AV453" s="397">
        <f t="shared" si="89"/>
        <v>3092.9840277777125</v>
      </c>
      <c r="AW453" s="398">
        <f t="shared" si="90"/>
        <v>7264.9159722222867</v>
      </c>
      <c r="AX453" s="386" t="s">
        <v>62</v>
      </c>
    </row>
    <row r="454" spans="2:50" ht="15.75" outlineLevel="1">
      <c r="B454" s="381">
        <v>2111</v>
      </c>
      <c r="C454" s="382">
        <v>262697</v>
      </c>
      <c r="D454" s="381" t="s">
        <v>944</v>
      </c>
      <c r="E454" s="383" t="s">
        <v>4240</v>
      </c>
      <c r="F454" s="392" t="s">
        <v>1529</v>
      </c>
      <c r="G454" s="392"/>
      <c r="H454" s="392"/>
      <c r="I454" s="381">
        <v>48</v>
      </c>
      <c r="J454" s="383"/>
      <c r="K454" s="381">
        <v>0</v>
      </c>
      <c r="L454" s="383" t="s">
        <v>1509</v>
      </c>
      <c r="M454" s="383"/>
      <c r="N454" s="383" t="s">
        <v>4446</v>
      </c>
      <c r="O454" s="383" t="s">
        <v>4441</v>
      </c>
      <c r="P454" s="383"/>
      <c r="Q454" s="383" t="s">
        <v>4459</v>
      </c>
      <c r="R454" s="383" t="s">
        <v>4450</v>
      </c>
      <c r="S454" s="384">
        <v>44448</v>
      </c>
      <c r="T454" s="384">
        <v>44448</v>
      </c>
      <c r="U454" s="383" t="s">
        <v>1510</v>
      </c>
      <c r="V454" s="381">
        <v>1200</v>
      </c>
      <c r="W454" s="381">
        <v>14050</v>
      </c>
      <c r="X454" s="385">
        <v>51949.1</v>
      </c>
      <c r="Y454" s="381">
        <v>14056</v>
      </c>
      <c r="Z454" s="385">
        <v>13348.05</v>
      </c>
      <c r="AA454" s="385">
        <f t="shared" si="81"/>
        <v>38601.050000000003</v>
      </c>
      <c r="AB454" s="385">
        <v>3246.84</v>
      </c>
      <c r="AC454" s="381">
        <v>54260</v>
      </c>
      <c r="AD454" s="385">
        <v>360.76</v>
      </c>
      <c r="AE454" s="381" t="s">
        <v>944</v>
      </c>
      <c r="AF454" s="383"/>
      <c r="AG454" s="383"/>
      <c r="AH454" s="383" t="s">
        <v>57</v>
      </c>
      <c r="AI454" s="383" t="s">
        <v>4442</v>
      </c>
      <c r="AJ454" s="383" t="s">
        <v>4443</v>
      </c>
      <c r="AK454" s="389" t="s">
        <v>4437</v>
      </c>
      <c r="AL454" s="389" t="s">
        <v>1341</v>
      </c>
      <c r="AM454" s="389" t="s">
        <v>1341</v>
      </c>
      <c r="AN454" s="393">
        <f t="shared" si="82"/>
        <v>9</v>
      </c>
      <c r="AO454" s="393">
        <f t="shared" si="83"/>
        <v>2021</v>
      </c>
      <c r="AP454" s="394">
        <f t="shared" si="84"/>
        <v>2033</v>
      </c>
      <c r="AQ454" s="395">
        <f t="shared" si="85"/>
        <v>2033.75</v>
      </c>
      <c r="AR454" s="396">
        <f t="shared" si="86"/>
        <v>360.75763888888883</v>
      </c>
      <c r="AS454" s="397">
        <f t="shared" si="87"/>
        <v>4329.0916666666662</v>
      </c>
      <c r="AT454" s="397">
        <f t="shared" si="80"/>
        <v>4329.0916666666662</v>
      </c>
      <c r="AU454" s="397">
        <f t="shared" si="88"/>
        <v>11183.486805555229</v>
      </c>
      <c r="AV454" s="397">
        <f t="shared" si="89"/>
        <v>15512.578472221896</v>
      </c>
      <c r="AW454" s="398">
        <f t="shared" si="90"/>
        <v>36436.521527778103</v>
      </c>
      <c r="AX454" s="386" t="s">
        <v>62</v>
      </c>
    </row>
    <row r="455" spans="2:50" ht="15.75" outlineLevel="1">
      <c r="B455" s="381">
        <v>2111</v>
      </c>
      <c r="C455" s="382">
        <v>262696</v>
      </c>
      <c r="D455" s="381" t="s">
        <v>944</v>
      </c>
      <c r="E455" s="383" t="s">
        <v>4240</v>
      </c>
      <c r="F455" s="392" t="s">
        <v>1531</v>
      </c>
      <c r="G455" s="392"/>
      <c r="H455" s="392"/>
      <c r="I455" s="381">
        <v>12</v>
      </c>
      <c r="J455" s="383"/>
      <c r="K455" s="381">
        <v>0</v>
      </c>
      <c r="L455" s="383" t="s">
        <v>1509</v>
      </c>
      <c r="M455" s="383"/>
      <c r="N455" s="383" t="s">
        <v>4446</v>
      </c>
      <c r="O455" s="383" t="s">
        <v>4441</v>
      </c>
      <c r="P455" s="383"/>
      <c r="Q455" s="383" t="s">
        <v>4459</v>
      </c>
      <c r="R455" s="383" t="s">
        <v>4450</v>
      </c>
      <c r="S455" s="384">
        <v>44448</v>
      </c>
      <c r="T455" s="384">
        <v>44448</v>
      </c>
      <c r="U455" s="383" t="s">
        <v>1510</v>
      </c>
      <c r="V455" s="381">
        <v>1200</v>
      </c>
      <c r="W455" s="381">
        <v>14050</v>
      </c>
      <c r="X455" s="385">
        <v>12818.05</v>
      </c>
      <c r="Y455" s="381">
        <v>14056</v>
      </c>
      <c r="Z455" s="385">
        <v>3293.49</v>
      </c>
      <c r="AA455" s="385">
        <f t="shared" si="81"/>
        <v>9524.56</v>
      </c>
      <c r="AB455" s="385">
        <v>801.09</v>
      </c>
      <c r="AC455" s="381">
        <v>54260</v>
      </c>
      <c r="AD455" s="385">
        <v>89.01</v>
      </c>
      <c r="AE455" s="381" t="s">
        <v>944</v>
      </c>
      <c r="AF455" s="383"/>
      <c r="AG455" s="383"/>
      <c r="AH455" s="383" t="s">
        <v>57</v>
      </c>
      <c r="AI455" s="383" t="s">
        <v>4442</v>
      </c>
      <c r="AJ455" s="383" t="s">
        <v>4443</v>
      </c>
      <c r="AK455" s="389" t="s">
        <v>4437</v>
      </c>
      <c r="AL455" s="389" t="s">
        <v>1341</v>
      </c>
      <c r="AM455" s="389" t="s">
        <v>1341</v>
      </c>
      <c r="AN455" s="393">
        <f t="shared" si="82"/>
        <v>9</v>
      </c>
      <c r="AO455" s="393">
        <f t="shared" si="83"/>
        <v>2021</v>
      </c>
      <c r="AP455" s="394">
        <f t="shared" si="84"/>
        <v>2033</v>
      </c>
      <c r="AQ455" s="395">
        <f t="shared" si="85"/>
        <v>2033.75</v>
      </c>
      <c r="AR455" s="396">
        <f t="shared" si="86"/>
        <v>89.014236111111117</v>
      </c>
      <c r="AS455" s="397">
        <f t="shared" si="87"/>
        <v>1068.1708333333333</v>
      </c>
      <c r="AT455" s="397">
        <f t="shared" si="80"/>
        <v>1068.1708333333333</v>
      </c>
      <c r="AU455" s="397">
        <f t="shared" si="88"/>
        <v>2759.4413194443623</v>
      </c>
      <c r="AV455" s="397">
        <f t="shared" si="89"/>
        <v>3827.6121527776959</v>
      </c>
      <c r="AW455" s="398">
        <f t="shared" si="90"/>
        <v>8990.4378472223034</v>
      </c>
      <c r="AX455" s="386" t="s">
        <v>62</v>
      </c>
    </row>
    <row r="456" spans="2:50" ht="15.75" outlineLevel="1">
      <c r="B456" s="381">
        <v>2111</v>
      </c>
      <c r="C456" s="382">
        <v>262695</v>
      </c>
      <c r="D456" s="381" t="s">
        <v>944</v>
      </c>
      <c r="E456" s="383" t="s">
        <v>4240</v>
      </c>
      <c r="F456" s="392" t="s">
        <v>1532</v>
      </c>
      <c r="G456" s="392"/>
      <c r="H456" s="392"/>
      <c r="I456" s="381">
        <v>24</v>
      </c>
      <c r="J456" s="383"/>
      <c r="K456" s="381">
        <v>0</v>
      </c>
      <c r="L456" s="383" t="s">
        <v>1509</v>
      </c>
      <c r="M456" s="383"/>
      <c r="N456" s="383" t="s">
        <v>4446</v>
      </c>
      <c r="O456" s="383" t="s">
        <v>4441</v>
      </c>
      <c r="P456" s="383"/>
      <c r="Q456" s="383" t="s">
        <v>4449</v>
      </c>
      <c r="R456" s="383" t="s">
        <v>4450</v>
      </c>
      <c r="S456" s="384">
        <v>44448</v>
      </c>
      <c r="T456" s="384">
        <v>44448</v>
      </c>
      <c r="U456" s="383" t="s">
        <v>1510</v>
      </c>
      <c r="V456" s="381">
        <v>1200</v>
      </c>
      <c r="W456" s="381">
        <v>14050</v>
      </c>
      <c r="X456" s="385">
        <v>23171.56</v>
      </c>
      <c r="Y456" s="381">
        <v>14056</v>
      </c>
      <c r="Z456" s="385">
        <v>5953.77</v>
      </c>
      <c r="AA456" s="385">
        <f t="shared" si="81"/>
        <v>17217.79</v>
      </c>
      <c r="AB456" s="385">
        <v>1448.19</v>
      </c>
      <c r="AC456" s="381">
        <v>54260</v>
      </c>
      <c r="AD456" s="385">
        <v>160.91</v>
      </c>
      <c r="AE456" s="381" t="s">
        <v>944</v>
      </c>
      <c r="AF456" s="383"/>
      <c r="AG456" s="383"/>
      <c r="AH456" s="383" t="s">
        <v>57</v>
      </c>
      <c r="AI456" s="383" t="s">
        <v>4442</v>
      </c>
      <c r="AJ456" s="383" t="s">
        <v>4443</v>
      </c>
      <c r="AK456" s="389" t="s">
        <v>4437</v>
      </c>
      <c r="AL456" s="389" t="s">
        <v>1341</v>
      </c>
      <c r="AM456" s="389" t="s">
        <v>1341</v>
      </c>
      <c r="AN456" s="393">
        <f t="shared" si="82"/>
        <v>9</v>
      </c>
      <c r="AO456" s="393">
        <f t="shared" si="83"/>
        <v>2021</v>
      </c>
      <c r="AP456" s="394">
        <f t="shared" si="84"/>
        <v>2033</v>
      </c>
      <c r="AQ456" s="395">
        <f t="shared" si="85"/>
        <v>2033.75</v>
      </c>
      <c r="AR456" s="396">
        <f t="shared" si="86"/>
        <v>160.91361111111112</v>
      </c>
      <c r="AS456" s="397">
        <f t="shared" si="87"/>
        <v>1930.9633333333336</v>
      </c>
      <c r="AT456" s="397">
        <f t="shared" si="80"/>
        <v>1930.9633333333336</v>
      </c>
      <c r="AU456" s="397">
        <f t="shared" si="88"/>
        <v>4988.3219444442984</v>
      </c>
      <c r="AV456" s="397">
        <f t="shared" si="89"/>
        <v>6919.2852777776316</v>
      </c>
      <c r="AW456" s="398">
        <f t="shared" si="90"/>
        <v>16252.27472222237</v>
      </c>
      <c r="AX456" s="386" t="s">
        <v>62</v>
      </c>
    </row>
    <row r="457" spans="2:50" ht="15.75" outlineLevel="1">
      <c r="B457" s="381">
        <v>2111</v>
      </c>
      <c r="C457" s="382">
        <v>262694</v>
      </c>
      <c r="D457" s="381" t="s">
        <v>944</v>
      </c>
      <c r="E457" s="383" t="s">
        <v>4240</v>
      </c>
      <c r="F457" s="392" t="s">
        <v>1534</v>
      </c>
      <c r="G457" s="392"/>
      <c r="H457" s="392"/>
      <c r="I457" s="381">
        <v>12</v>
      </c>
      <c r="J457" s="383"/>
      <c r="K457" s="381">
        <v>0</v>
      </c>
      <c r="L457" s="383" t="s">
        <v>1509</v>
      </c>
      <c r="M457" s="383"/>
      <c r="N457" s="383" t="s">
        <v>4446</v>
      </c>
      <c r="O457" s="383" t="s">
        <v>4441</v>
      </c>
      <c r="P457" s="383"/>
      <c r="Q457" s="383" t="s">
        <v>4461</v>
      </c>
      <c r="R457" s="383" t="s">
        <v>4450</v>
      </c>
      <c r="S457" s="384">
        <v>44448</v>
      </c>
      <c r="T457" s="384">
        <v>44448</v>
      </c>
      <c r="U457" s="383" t="s">
        <v>1510</v>
      </c>
      <c r="V457" s="381">
        <v>1200</v>
      </c>
      <c r="W457" s="381">
        <v>14050</v>
      </c>
      <c r="X457" s="385">
        <v>12226.16</v>
      </c>
      <c r="Y457" s="381">
        <v>14056</v>
      </c>
      <c r="Z457" s="385">
        <v>3141.42</v>
      </c>
      <c r="AA457" s="385">
        <f t="shared" si="81"/>
        <v>9084.74</v>
      </c>
      <c r="AB457" s="385">
        <v>764.1</v>
      </c>
      <c r="AC457" s="381">
        <v>54260</v>
      </c>
      <c r="AD457" s="385">
        <v>84.9</v>
      </c>
      <c r="AE457" s="381" t="s">
        <v>944</v>
      </c>
      <c r="AF457" s="383"/>
      <c r="AG457" s="383"/>
      <c r="AH457" s="383" t="s">
        <v>57</v>
      </c>
      <c r="AI457" s="383" t="s">
        <v>4442</v>
      </c>
      <c r="AJ457" s="383" t="s">
        <v>4443</v>
      </c>
      <c r="AK457" s="389" t="s">
        <v>4437</v>
      </c>
      <c r="AL457" s="389" t="s">
        <v>1341</v>
      </c>
      <c r="AM457" s="389" t="s">
        <v>1341</v>
      </c>
      <c r="AN457" s="393">
        <f t="shared" si="82"/>
        <v>9</v>
      </c>
      <c r="AO457" s="393">
        <f t="shared" si="83"/>
        <v>2021</v>
      </c>
      <c r="AP457" s="394">
        <f t="shared" si="84"/>
        <v>2033</v>
      </c>
      <c r="AQ457" s="395">
        <f t="shared" si="85"/>
        <v>2033.75</v>
      </c>
      <c r="AR457" s="396">
        <f t="shared" si="86"/>
        <v>84.903888888888886</v>
      </c>
      <c r="AS457" s="397">
        <f t="shared" si="87"/>
        <v>1018.8466666666666</v>
      </c>
      <c r="AT457" s="397">
        <f t="shared" si="80"/>
        <v>1018.8466666666666</v>
      </c>
      <c r="AU457" s="397">
        <f t="shared" si="88"/>
        <v>2632.0205555554785</v>
      </c>
      <c r="AV457" s="397">
        <f t="shared" si="89"/>
        <v>3650.8672222221448</v>
      </c>
      <c r="AW457" s="398">
        <f t="shared" si="90"/>
        <v>8575.292777777855</v>
      </c>
      <c r="AX457" s="386" t="s">
        <v>62</v>
      </c>
    </row>
    <row r="458" spans="2:50" ht="15.75" outlineLevel="1">
      <c r="B458" s="381">
        <v>2111</v>
      </c>
      <c r="C458" s="382">
        <v>262693</v>
      </c>
      <c r="D458" s="381" t="s">
        <v>944</v>
      </c>
      <c r="E458" s="383" t="s">
        <v>4240</v>
      </c>
      <c r="F458" s="392" t="s">
        <v>1536</v>
      </c>
      <c r="G458" s="392"/>
      <c r="H458" s="392"/>
      <c r="I458" s="381">
        <v>10</v>
      </c>
      <c r="J458" s="383"/>
      <c r="K458" s="381">
        <v>0</v>
      </c>
      <c r="L458" s="383" t="s">
        <v>1537</v>
      </c>
      <c r="M458" s="383"/>
      <c r="N458" s="383" t="s">
        <v>4446</v>
      </c>
      <c r="O458" s="383" t="s">
        <v>4441</v>
      </c>
      <c r="P458" s="383"/>
      <c r="Q458" s="383" t="s">
        <v>4479</v>
      </c>
      <c r="R458" s="383" t="s">
        <v>4450</v>
      </c>
      <c r="S458" s="384">
        <v>44397</v>
      </c>
      <c r="T458" s="384">
        <v>44397</v>
      </c>
      <c r="U458" s="383" t="s">
        <v>1538</v>
      </c>
      <c r="V458" s="381">
        <v>1200</v>
      </c>
      <c r="W458" s="381">
        <v>14050</v>
      </c>
      <c r="X458" s="385">
        <v>14764.71</v>
      </c>
      <c r="Y458" s="381">
        <v>14056</v>
      </c>
      <c r="Z458" s="385">
        <v>3896.21</v>
      </c>
      <c r="AA458" s="385">
        <f t="shared" si="81"/>
        <v>10868.5</v>
      </c>
      <c r="AB458" s="385">
        <v>922.77</v>
      </c>
      <c r="AC458" s="381">
        <v>54260</v>
      </c>
      <c r="AD458" s="385">
        <v>102.53</v>
      </c>
      <c r="AE458" s="381" t="s">
        <v>944</v>
      </c>
      <c r="AF458" s="383"/>
      <c r="AG458" s="383"/>
      <c r="AH458" s="383" t="s">
        <v>57</v>
      </c>
      <c r="AI458" s="383" t="s">
        <v>4442</v>
      </c>
      <c r="AJ458" s="383" t="s">
        <v>4443</v>
      </c>
      <c r="AK458" s="389" t="s">
        <v>4437</v>
      </c>
      <c r="AL458" s="389" t="s">
        <v>1341</v>
      </c>
      <c r="AM458" s="389" t="s">
        <v>1341</v>
      </c>
      <c r="AN458" s="393">
        <f t="shared" si="82"/>
        <v>7</v>
      </c>
      <c r="AO458" s="393">
        <f t="shared" si="83"/>
        <v>2021</v>
      </c>
      <c r="AP458" s="394">
        <f t="shared" si="84"/>
        <v>2033</v>
      </c>
      <c r="AQ458" s="395">
        <f t="shared" si="85"/>
        <v>2033.5833333333333</v>
      </c>
      <c r="AR458" s="396">
        <f t="shared" si="86"/>
        <v>102.53270833333333</v>
      </c>
      <c r="AS458" s="397">
        <f t="shared" si="87"/>
        <v>1230.3924999999999</v>
      </c>
      <c r="AT458" s="397">
        <f t="shared" si="80"/>
        <v>1230.3924999999999</v>
      </c>
      <c r="AU458" s="397">
        <f t="shared" si="88"/>
        <v>3383.5793749999993</v>
      </c>
      <c r="AV458" s="397">
        <f t="shared" si="89"/>
        <v>4613.9718749999993</v>
      </c>
      <c r="AW458" s="398">
        <f t="shared" si="90"/>
        <v>10150.738125</v>
      </c>
      <c r="AX458" s="386" t="s">
        <v>62</v>
      </c>
    </row>
    <row r="459" spans="2:50" ht="15.75" outlineLevel="1">
      <c r="B459" s="381">
        <v>2111</v>
      </c>
      <c r="C459" s="382">
        <v>262692</v>
      </c>
      <c r="D459" s="381" t="s">
        <v>944</v>
      </c>
      <c r="E459" s="383" t="s">
        <v>4240</v>
      </c>
      <c r="F459" s="392" t="s">
        <v>1540</v>
      </c>
      <c r="G459" s="392"/>
      <c r="H459" s="392"/>
      <c r="I459" s="381">
        <v>10</v>
      </c>
      <c r="J459" s="383"/>
      <c r="K459" s="381">
        <v>0</v>
      </c>
      <c r="L459" s="383" t="s">
        <v>1537</v>
      </c>
      <c r="M459" s="383"/>
      <c r="N459" s="383" t="s">
        <v>4446</v>
      </c>
      <c r="O459" s="383" t="s">
        <v>4441</v>
      </c>
      <c r="P459" s="383"/>
      <c r="Q459" s="383" t="s">
        <v>4479</v>
      </c>
      <c r="R459" s="383" t="s">
        <v>4450</v>
      </c>
      <c r="S459" s="384">
        <v>44397</v>
      </c>
      <c r="T459" s="384">
        <v>44397</v>
      </c>
      <c r="U459" s="383" t="s">
        <v>1538</v>
      </c>
      <c r="V459" s="381">
        <v>1200</v>
      </c>
      <c r="W459" s="381">
        <v>14050</v>
      </c>
      <c r="X459" s="385">
        <v>14126.71</v>
      </c>
      <c r="Y459" s="381">
        <v>14056</v>
      </c>
      <c r="Z459" s="385">
        <v>3727.87</v>
      </c>
      <c r="AA459" s="385">
        <f t="shared" si="81"/>
        <v>10398.84</v>
      </c>
      <c r="AB459" s="385">
        <v>882.9</v>
      </c>
      <c r="AC459" s="381">
        <v>54260</v>
      </c>
      <c r="AD459" s="385">
        <v>98.1</v>
      </c>
      <c r="AE459" s="381" t="s">
        <v>944</v>
      </c>
      <c r="AF459" s="383"/>
      <c r="AG459" s="383"/>
      <c r="AH459" s="383" t="s">
        <v>57</v>
      </c>
      <c r="AI459" s="383" t="s">
        <v>4442</v>
      </c>
      <c r="AJ459" s="383" t="s">
        <v>4443</v>
      </c>
      <c r="AK459" s="389" t="s">
        <v>4437</v>
      </c>
      <c r="AL459" s="389" t="s">
        <v>1341</v>
      </c>
      <c r="AM459" s="389" t="s">
        <v>1341</v>
      </c>
      <c r="AN459" s="393">
        <f t="shared" si="82"/>
        <v>7</v>
      </c>
      <c r="AO459" s="393">
        <f t="shared" si="83"/>
        <v>2021</v>
      </c>
      <c r="AP459" s="394">
        <f t="shared" si="84"/>
        <v>2033</v>
      </c>
      <c r="AQ459" s="395">
        <f t="shared" si="85"/>
        <v>2033.5833333333333</v>
      </c>
      <c r="AR459" s="396">
        <f t="shared" si="86"/>
        <v>98.102152777777761</v>
      </c>
      <c r="AS459" s="397">
        <f t="shared" si="87"/>
        <v>1177.2258333333332</v>
      </c>
      <c r="AT459" s="397">
        <f t="shared" si="80"/>
        <v>1177.2258333333332</v>
      </c>
      <c r="AU459" s="397">
        <f t="shared" si="88"/>
        <v>3237.3710416666672</v>
      </c>
      <c r="AV459" s="397">
        <f t="shared" si="89"/>
        <v>4414.5968750000002</v>
      </c>
      <c r="AW459" s="398">
        <f t="shared" si="90"/>
        <v>9712.1131249999999</v>
      </c>
      <c r="AX459" s="386" t="s">
        <v>62</v>
      </c>
    </row>
    <row r="460" spans="2:50" ht="15.75" outlineLevel="1">
      <c r="B460" s="381">
        <v>2111</v>
      </c>
      <c r="C460" s="382">
        <v>262691</v>
      </c>
      <c r="D460" s="381" t="s">
        <v>944</v>
      </c>
      <c r="E460" s="383" t="s">
        <v>4240</v>
      </c>
      <c r="F460" s="392" t="s">
        <v>1541</v>
      </c>
      <c r="G460" s="392"/>
      <c r="H460" s="392"/>
      <c r="I460" s="381">
        <v>20</v>
      </c>
      <c r="J460" s="383"/>
      <c r="K460" s="381">
        <v>0</v>
      </c>
      <c r="L460" s="383" t="s">
        <v>1537</v>
      </c>
      <c r="M460" s="383"/>
      <c r="N460" s="383" t="s">
        <v>4446</v>
      </c>
      <c r="O460" s="383" t="s">
        <v>4441</v>
      </c>
      <c r="P460" s="383"/>
      <c r="Q460" s="383" t="s">
        <v>4459</v>
      </c>
      <c r="R460" s="383" t="s">
        <v>4450</v>
      </c>
      <c r="S460" s="384">
        <v>44397</v>
      </c>
      <c r="T460" s="384">
        <v>44397</v>
      </c>
      <c r="U460" s="383" t="s">
        <v>1538</v>
      </c>
      <c r="V460" s="381">
        <v>1200</v>
      </c>
      <c r="W460" s="381">
        <v>14050</v>
      </c>
      <c r="X460" s="385">
        <v>15560.2</v>
      </c>
      <c r="Y460" s="381">
        <v>14056</v>
      </c>
      <c r="Z460" s="385">
        <v>4106.1899999999996</v>
      </c>
      <c r="AA460" s="385">
        <f t="shared" si="81"/>
        <v>11454.010000000002</v>
      </c>
      <c r="AB460" s="385">
        <v>972.54</v>
      </c>
      <c r="AC460" s="381">
        <v>54260</v>
      </c>
      <c r="AD460" s="385">
        <v>108.06</v>
      </c>
      <c r="AE460" s="381" t="s">
        <v>944</v>
      </c>
      <c r="AF460" s="383"/>
      <c r="AG460" s="383"/>
      <c r="AH460" s="383" t="s">
        <v>57</v>
      </c>
      <c r="AI460" s="383" t="s">
        <v>4442</v>
      </c>
      <c r="AJ460" s="383" t="s">
        <v>4443</v>
      </c>
      <c r="AK460" s="389" t="s">
        <v>4437</v>
      </c>
      <c r="AL460" s="389" t="s">
        <v>1341</v>
      </c>
      <c r="AM460" s="389" t="s">
        <v>1341</v>
      </c>
      <c r="AN460" s="393">
        <f t="shared" si="82"/>
        <v>7</v>
      </c>
      <c r="AO460" s="393">
        <f t="shared" si="83"/>
        <v>2021</v>
      </c>
      <c r="AP460" s="394">
        <f t="shared" si="84"/>
        <v>2033</v>
      </c>
      <c r="AQ460" s="395">
        <f t="shared" si="85"/>
        <v>2033.5833333333333</v>
      </c>
      <c r="AR460" s="396">
        <f t="shared" si="86"/>
        <v>108.05694444444445</v>
      </c>
      <c r="AS460" s="397">
        <f t="shared" si="87"/>
        <v>1296.6833333333334</v>
      </c>
      <c r="AT460" s="397">
        <f t="shared" si="80"/>
        <v>1296.6833333333334</v>
      </c>
      <c r="AU460" s="397">
        <f t="shared" si="88"/>
        <v>3565.8791666666657</v>
      </c>
      <c r="AV460" s="397">
        <f t="shared" si="89"/>
        <v>4862.5624999999991</v>
      </c>
      <c r="AW460" s="398">
        <f t="shared" si="90"/>
        <v>10697.637500000001</v>
      </c>
      <c r="AX460" s="386" t="s">
        <v>62</v>
      </c>
    </row>
    <row r="461" spans="2:50" ht="15.75" outlineLevel="1">
      <c r="B461" s="381">
        <v>2111</v>
      </c>
      <c r="C461" s="382">
        <v>262690</v>
      </c>
      <c r="D461" s="381" t="s">
        <v>944</v>
      </c>
      <c r="E461" s="383" t="s">
        <v>4240</v>
      </c>
      <c r="F461" s="392" t="s">
        <v>1542</v>
      </c>
      <c r="G461" s="392"/>
      <c r="H461" s="392"/>
      <c r="I461" s="381">
        <v>20</v>
      </c>
      <c r="J461" s="383"/>
      <c r="K461" s="381">
        <v>0</v>
      </c>
      <c r="L461" s="383" t="s">
        <v>1537</v>
      </c>
      <c r="M461" s="383"/>
      <c r="N461" s="383" t="s">
        <v>4446</v>
      </c>
      <c r="O461" s="383" t="s">
        <v>4441</v>
      </c>
      <c r="P461" s="383"/>
      <c r="Q461" s="383" t="s">
        <v>4449</v>
      </c>
      <c r="R461" s="383" t="s">
        <v>4450</v>
      </c>
      <c r="S461" s="384">
        <v>44397</v>
      </c>
      <c r="T461" s="384">
        <v>44397</v>
      </c>
      <c r="U461" s="383" t="s">
        <v>1538</v>
      </c>
      <c r="V461" s="381">
        <v>1200</v>
      </c>
      <c r="W461" s="381">
        <v>14050</v>
      </c>
      <c r="X461" s="385">
        <v>13557.19</v>
      </c>
      <c r="Y461" s="381">
        <v>14056</v>
      </c>
      <c r="Z461" s="385">
        <v>3577.63</v>
      </c>
      <c r="AA461" s="385">
        <f t="shared" si="81"/>
        <v>9979.5600000000013</v>
      </c>
      <c r="AB461" s="385">
        <v>847.35</v>
      </c>
      <c r="AC461" s="381">
        <v>54260</v>
      </c>
      <c r="AD461" s="385">
        <v>94.15</v>
      </c>
      <c r="AE461" s="381" t="s">
        <v>944</v>
      </c>
      <c r="AF461" s="383"/>
      <c r="AG461" s="383"/>
      <c r="AH461" s="383" t="s">
        <v>57</v>
      </c>
      <c r="AI461" s="383" t="s">
        <v>4442</v>
      </c>
      <c r="AJ461" s="383" t="s">
        <v>4443</v>
      </c>
      <c r="AK461" s="389" t="s">
        <v>4437</v>
      </c>
      <c r="AL461" s="389" t="s">
        <v>1341</v>
      </c>
      <c r="AM461" s="389" t="s">
        <v>1341</v>
      </c>
      <c r="AN461" s="393">
        <f t="shared" si="82"/>
        <v>7</v>
      </c>
      <c r="AO461" s="393">
        <f t="shared" si="83"/>
        <v>2021</v>
      </c>
      <c r="AP461" s="394">
        <f t="shared" si="84"/>
        <v>2033</v>
      </c>
      <c r="AQ461" s="395">
        <f t="shared" si="85"/>
        <v>2033.5833333333333</v>
      </c>
      <c r="AR461" s="396">
        <f t="shared" si="86"/>
        <v>94.147152777777777</v>
      </c>
      <c r="AS461" s="397">
        <f t="shared" si="87"/>
        <v>1129.7658333333334</v>
      </c>
      <c r="AT461" s="397">
        <f t="shared" si="80"/>
        <v>1129.7658333333334</v>
      </c>
      <c r="AU461" s="397">
        <f t="shared" si="88"/>
        <v>3106.8560416666678</v>
      </c>
      <c r="AV461" s="397">
        <f t="shared" si="89"/>
        <v>4236.6218750000007</v>
      </c>
      <c r="AW461" s="398">
        <f t="shared" si="90"/>
        <v>9320.5681249999998</v>
      </c>
      <c r="AX461" s="386" t="s">
        <v>62</v>
      </c>
    </row>
    <row r="462" spans="2:50" ht="15.75" outlineLevel="1">
      <c r="B462" s="381">
        <v>2111</v>
      </c>
      <c r="C462" s="382">
        <v>262689</v>
      </c>
      <c r="D462" s="381" t="s">
        <v>944</v>
      </c>
      <c r="E462" s="383" t="s">
        <v>4240</v>
      </c>
      <c r="F462" s="392" t="s">
        <v>1543</v>
      </c>
      <c r="G462" s="392"/>
      <c r="H462" s="392"/>
      <c r="I462" s="381">
        <v>20</v>
      </c>
      <c r="J462" s="383"/>
      <c r="K462" s="381">
        <v>0</v>
      </c>
      <c r="L462" s="383" t="s">
        <v>1537</v>
      </c>
      <c r="M462" s="383"/>
      <c r="N462" s="383" t="s">
        <v>4446</v>
      </c>
      <c r="O462" s="383" t="s">
        <v>4441</v>
      </c>
      <c r="P462" s="383"/>
      <c r="Q462" s="383" t="s">
        <v>4461</v>
      </c>
      <c r="R462" s="383" t="s">
        <v>4450</v>
      </c>
      <c r="S462" s="384">
        <v>44397</v>
      </c>
      <c r="T462" s="384">
        <v>44397</v>
      </c>
      <c r="U462" s="383" t="s">
        <v>1538</v>
      </c>
      <c r="V462" s="381">
        <v>1200</v>
      </c>
      <c r="W462" s="381">
        <v>14050</v>
      </c>
      <c r="X462" s="385">
        <v>14921.19</v>
      </c>
      <c r="Y462" s="381">
        <v>14056</v>
      </c>
      <c r="Z462" s="385">
        <v>3937.54</v>
      </c>
      <c r="AA462" s="385">
        <f t="shared" si="81"/>
        <v>10983.650000000001</v>
      </c>
      <c r="AB462" s="385">
        <v>932.58</v>
      </c>
      <c r="AC462" s="381">
        <v>54260</v>
      </c>
      <c r="AD462" s="385">
        <v>103.62</v>
      </c>
      <c r="AE462" s="381" t="s">
        <v>944</v>
      </c>
      <c r="AF462" s="383"/>
      <c r="AG462" s="383"/>
      <c r="AH462" s="383" t="s">
        <v>57</v>
      </c>
      <c r="AI462" s="383" t="s">
        <v>4442</v>
      </c>
      <c r="AJ462" s="383" t="s">
        <v>4443</v>
      </c>
      <c r="AK462" s="389" t="s">
        <v>4437</v>
      </c>
      <c r="AL462" s="389" t="s">
        <v>1341</v>
      </c>
      <c r="AM462" s="389" t="s">
        <v>1341</v>
      </c>
      <c r="AN462" s="393">
        <f t="shared" si="82"/>
        <v>7</v>
      </c>
      <c r="AO462" s="393">
        <f t="shared" si="83"/>
        <v>2021</v>
      </c>
      <c r="AP462" s="394">
        <f t="shared" si="84"/>
        <v>2033</v>
      </c>
      <c r="AQ462" s="395">
        <f t="shared" si="85"/>
        <v>2033.5833333333333</v>
      </c>
      <c r="AR462" s="396">
        <f t="shared" si="86"/>
        <v>103.61937500000001</v>
      </c>
      <c r="AS462" s="397">
        <f t="shared" si="87"/>
        <v>1243.4325000000001</v>
      </c>
      <c r="AT462" s="397">
        <f t="shared" si="80"/>
        <v>1243.4325000000001</v>
      </c>
      <c r="AU462" s="397">
        <f t="shared" si="88"/>
        <v>3419.4393749999999</v>
      </c>
      <c r="AV462" s="397">
        <f t="shared" si="89"/>
        <v>4662.8718749999998</v>
      </c>
      <c r="AW462" s="398">
        <f t="shared" si="90"/>
        <v>10258.318125000002</v>
      </c>
      <c r="AX462" s="386" t="s">
        <v>62</v>
      </c>
    </row>
    <row r="463" spans="2:50" ht="15.75" outlineLevel="1">
      <c r="B463" s="381">
        <v>2111</v>
      </c>
      <c r="C463" s="382">
        <v>260751</v>
      </c>
      <c r="D463" s="381" t="s">
        <v>944</v>
      </c>
      <c r="E463" s="383" t="s">
        <v>4240</v>
      </c>
      <c r="F463" s="392" t="s">
        <v>1133</v>
      </c>
      <c r="G463" s="392"/>
      <c r="H463" s="392"/>
      <c r="I463" s="381">
        <v>648</v>
      </c>
      <c r="J463" s="383"/>
      <c r="K463" s="381">
        <v>0</v>
      </c>
      <c r="L463" s="383" t="s">
        <v>1462</v>
      </c>
      <c r="M463" s="383"/>
      <c r="N463" s="383" t="s">
        <v>4446</v>
      </c>
      <c r="O463" s="383" t="s">
        <v>4441</v>
      </c>
      <c r="P463" s="383"/>
      <c r="Q463" s="383"/>
      <c r="R463" s="383"/>
      <c r="S463" s="384">
        <v>44445</v>
      </c>
      <c r="T463" s="384">
        <v>44445</v>
      </c>
      <c r="U463" s="383" t="s">
        <v>1501</v>
      </c>
      <c r="V463" s="381">
        <v>700</v>
      </c>
      <c r="W463" s="381">
        <v>14050</v>
      </c>
      <c r="X463" s="385">
        <v>37015.699999999997</v>
      </c>
      <c r="Y463" s="381">
        <v>14056</v>
      </c>
      <c r="Z463" s="385">
        <v>16304.51</v>
      </c>
      <c r="AA463" s="385">
        <f t="shared" si="81"/>
        <v>20711.189999999995</v>
      </c>
      <c r="AB463" s="385">
        <v>3965.94</v>
      </c>
      <c r="AC463" s="381">
        <v>54260</v>
      </c>
      <c r="AD463" s="385">
        <v>440.66</v>
      </c>
      <c r="AE463" s="381" t="s">
        <v>944</v>
      </c>
      <c r="AF463" s="383"/>
      <c r="AG463" s="383"/>
      <c r="AH463" s="383" t="s">
        <v>57</v>
      </c>
      <c r="AI463" s="383" t="s">
        <v>4442</v>
      </c>
      <c r="AJ463" s="383" t="s">
        <v>4443</v>
      </c>
      <c r="AK463" s="389" t="s">
        <v>4437</v>
      </c>
      <c r="AL463" s="389" t="s">
        <v>1019</v>
      </c>
      <c r="AM463" s="389" t="s">
        <v>1019</v>
      </c>
      <c r="AN463" s="393">
        <f t="shared" si="82"/>
        <v>9</v>
      </c>
      <c r="AO463" s="393">
        <f t="shared" si="83"/>
        <v>2021</v>
      </c>
      <c r="AP463" s="394">
        <f t="shared" si="84"/>
        <v>2028</v>
      </c>
      <c r="AQ463" s="395">
        <f t="shared" si="85"/>
        <v>2028.75</v>
      </c>
      <c r="AR463" s="396">
        <f t="shared" si="86"/>
        <v>440.6630952380952</v>
      </c>
      <c r="AS463" s="397">
        <f t="shared" si="87"/>
        <v>5287.9571428571426</v>
      </c>
      <c r="AT463" s="397">
        <f t="shared" si="80"/>
        <v>5287.9571428571426</v>
      </c>
      <c r="AU463" s="397">
        <f t="shared" si="88"/>
        <v>13660.55595238055</v>
      </c>
      <c r="AV463" s="397">
        <f t="shared" si="89"/>
        <v>18948.513095237693</v>
      </c>
      <c r="AW463" s="398">
        <f t="shared" si="90"/>
        <v>18067.186904762304</v>
      </c>
      <c r="AX463" s="386" t="s">
        <v>62</v>
      </c>
    </row>
    <row r="464" spans="2:50" ht="15.75" outlineLevel="1">
      <c r="B464" s="381">
        <v>2111</v>
      </c>
      <c r="C464" s="382">
        <v>260750</v>
      </c>
      <c r="D464" s="381" t="s">
        <v>944</v>
      </c>
      <c r="E464" s="383" t="s">
        <v>4240</v>
      </c>
      <c r="F464" s="392" t="s">
        <v>1172</v>
      </c>
      <c r="G464" s="392"/>
      <c r="H464" s="392"/>
      <c r="I464" s="381">
        <v>351</v>
      </c>
      <c r="J464" s="383"/>
      <c r="K464" s="381">
        <v>0</v>
      </c>
      <c r="L464" s="383" t="s">
        <v>1462</v>
      </c>
      <c r="M464" s="383"/>
      <c r="N464" s="383" t="s">
        <v>4446</v>
      </c>
      <c r="O464" s="383" t="s">
        <v>4441</v>
      </c>
      <c r="P464" s="383"/>
      <c r="Q464" s="383"/>
      <c r="R464" s="383"/>
      <c r="S464" s="384">
        <v>44431</v>
      </c>
      <c r="T464" s="384">
        <v>44431</v>
      </c>
      <c r="U464" s="383" t="s">
        <v>1501</v>
      </c>
      <c r="V464" s="381">
        <v>700</v>
      </c>
      <c r="W464" s="381">
        <v>14050</v>
      </c>
      <c r="X464" s="385">
        <v>22486.46</v>
      </c>
      <c r="Y464" s="381">
        <v>14056</v>
      </c>
      <c r="Z464" s="385">
        <v>9904.7800000000007</v>
      </c>
      <c r="AA464" s="385">
        <f t="shared" si="81"/>
        <v>12581.679999999998</v>
      </c>
      <c r="AB464" s="385">
        <v>2409.3000000000002</v>
      </c>
      <c r="AC464" s="381">
        <v>54260</v>
      </c>
      <c r="AD464" s="385">
        <v>267.7</v>
      </c>
      <c r="AE464" s="381" t="s">
        <v>944</v>
      </c>
      <c r="AF464" s="383"/>
      <c r="AG464" s="383"/>
      <c r="AH464" s="383" t="s">
        <v>57</v>
      </c>
      <c r="AI464" s="383" t="s">
        <v>4442</v>
      </c>
      <c r="AJ464" s="383" t="s">
        <v>4443</v>
      </c>
      <c r="AK464" s="389" t="s">
        <v>4437</v>
      </c>
      <c r="AL464" s="389" t="s">
        <v>4221</v>
      </c>
      <c r="AM464" s="389" t="s">
        <v>1014</v>
      </c>
      <c r="AN464" s="393">
        <f t="shared" si="82"/>
        <v>8</v>
      </c>
      <c r="AO464" s="393">
        <f t="shared" si="83"/>
        <v>2021</v>
      </c>
      <c r="AP464" s="394">
        <f t="shared" si="84"/>
        <v>2028</v>
      </c>
      <c r="AQ464" s="395">
        <f t="shared" si="85"/>
        <v>2028.6666666666667</v>
      </c>
      <c r="AR464" s="396">
        <f t="shared" si="86"/>
        <v>267.69595238095241</v>
      </c>
      <c r="AS464" s="397">
        <f t="shared" si="87"/>
        <v>3212.3514285714291</v>
      </c>
      <c r="AT464" s="397">
        <f t="shared" ref="AT464:AT469" si="91">IF(AQ464&lt;=$AK$12,0,AS464)</f>
        <v>3212.3514285714291</v>
      </c>
      <c r="AU464" s="397">
        <f t="shared" si="88"/>
        <v>8566.2704761899877</v>
      </c>
      <c r="AV464" s="397">
        <f t="shared" si="89"/>
        <v>11778.621904761418</v>
      </c>
      <c r="AW464" s="398">
        <f t="shared" si="90"/>
        <v>10707.838095238581</v>
      </c>
      <c r="AX464" s="386" t="s">
        <v>62</v>
      </c>
    </row>
    <row r="465" spans="2:50" ht="15.75" outlineLevel="1">
      <c r="B465" s="381">
        <v>2111</v>
      </c>
      <c r="C465" s="382">
        <v>260749</v>
      </c>
      <c r="D465" s="381" t="s">
        <v>944</v>
      </c>
      <c r="E465" s="383" t="s">
        <v>4240</v>
      </c>
      <c r="F465" s="392" t="s">
        <v>1171</v>
      </c>
      <c r="G465" s="392"/>
      <c r="H465" s="392"/>
      <c r="I465" s="381">
        <v>351</v>
      </c>
      <c r="J465" s="383"/>
      <c r="K465" s="381">
        <v>0</v>
      </c>
      <c r="L465" s="383" t="s">
        <v>1462</v>
      </c>
      <c r="M465" s="383"/>
      <c r="N465" s="383" t="s">
        <v>4446</v>
      </c>
      <c r="O465" s="383" t="s">
        <v>4441</v>
      </c>
      <c r="P465" s="383"/>
      <c r="Q465" s="383"/>
      <c r="R465" s="383"/>
      <c r="S465" s="384">
        <v>44431</v>
      </c>
      <c r="T465" s="384">
        <v>44431</v>
      </c>
      <c r="U465" s="383" t="s">
        <v>1501</v>
      </c>
      <c r="V465" s="381">
        <v>700</v>
      </c>
      <c r="W465" s="381">
        <v>14050</v>
      </c>
      <c r="X465" s="385">
        <v>22486.47</v>
      </c>
      <c r="Y465" s="381">
        <v>14056</v>
      </c>
      <c r="Z465" s="385">
        <v>9904.7900000000009</v>
      </c>
      <c r="AA465" s="385">
        <f t="shared" si="81"/>
        <v>12581.68</v>
      </c>
      <c r="AB465" s="385">
        <v>2409.3000000000002</v>
      </c>
      <c r="AC465" s="381">
        <v>54260</v>
      </c>
      <c r="AD465" s="385">
        <v>267.7</v>
      </c>
      <c r="AE465" s="381" t="s">
        <v>944</v>
      </c>
      <c r="AF465" s="383"/>
      <c r="AG465" s="383"/>
      <c r="AH465" s="383" t="s">
        <v>57</v>
      </c>
      <c r="AI465" s="383" t="s">
        <v>4442</v>
      </c>
      <c r="AJ465" s="383" t="s">
        <v>4443</v>
      </c>
      <c r="AK465" s="389" t="s">
        <v>4437</v>
      </c>
      <c r="AL465" s="389" t="s">
        <v>1019</v>
      </c>
      <c r="AM465" s="389" t="s">
        <v>1019</v>
      </c>
      <c r="AN465" s="393">
        <f t="shared" si="82"/>
        <v>8</v>
      </c>
      <c r="AO465" s="393">
        <f t="shared" si="83"/>
        <v>2021</v>
      </c>
      <c r="AP465" s="394">
        <f t="shared" si="84"/>
        <v>2028</v>
      </c>
      <c r="AQ465" s="395">
        <f t="shared" si="85"/>
        <v>2028.6666666666667</v>
      </c>
      <c r="AR465" s="396">
        <f t="shared" si="86"/>
        <v>267.69607142857143</v>
      </c>
      <c r="AS465" s="397">
        <f t="shared" si="87"/>
        <v>3212.3528571428569</v>
      </c>
      <c r="AT465" s="397">
        <f t="shared" si="91"/>
        <v>3212.3528571428569</v>
      </c>
      <c r="AU465" s="397">
        <f t="shared" si="88"/>
        <v>8566.2742857138001</v>
      </c>
      <c r="AV465" s="397">
        <f t="shared" si="89"/>
        <v>11778.627142856658</v>
      </c>
      <c r="AW465" s="398">
        <f t="shared" si="90"/>
        <v>10707.842857143343</v>
      </c>
      <c r="AX465" s="386" t="s">
        <v>62</v>
      </c>
    </row>
    <row r="466" spans="2:50" ht="15.75" outlineLevel="1">
      <c r="B466" s="381">
        <v>2111</v>
      </c>
      <c r="C466" s="382">
        <v>260748</v>
      </c>
      <c r="D466" s="381" t="s">
        <v>944</v>
      </c>
      <c r="E466" s="383" t="s">
        <v>4240</v>
      </c>
      <c r="F466" s="392" t="s">
        <v>1172</v>
      </c>
      <c r="G466" s="392"/>
      <c r="H466" s="392"/>
      <c r="I466" s="381">
        <v>702</v>
      </c>
      <c r="J466" s="383"/>
      <c r="K466" s="381">
        <v>0</v>
      </c>
      <c r="L466" s="383" t="s">
        <v>1462</v>
      </c>
      <c r="M466" s="383"/>
      <c r="N466" s="383" t="s">
        <v>4446</v>
      </c>
      <c r="O466" s="383" t="s">
        <v>4441</v>
      </c>
      <c r="P466" s="383"/>
      <c r="Q466" s="383"/>
      <c r="R466" s="383"/>
      <c r="S466" s="384">
        <v>44431</v>
      </c>
      <c r="T466" s="384">
        <v>44431</v>
      </c>
      <c r="U466" s="383" t="s">
        <v>1501</v>
      </c>
      <c r="V466" s="381">
        <v>700</v>
      </c>
      <c r="W466" s="381">
        <v>14050</v>
      </c>
      <c r="X466" s="385">
        <v>44972.94</v>
      </c>
      <c r="Y466" s="381">
        <v>14056</v>
      </c>
      <c r="Z466" s="385">
        <v>19809.5</v>
      </c>
      <c r="AA466" s="385">
        <f t="shared" si="81"/>
        <v>25163.440000000002</v>
      </c>
      <c r="AB466" s="385">
        <v>4818.51</v>
      </c>
      <c r="AC466" s="381">
        <v>54260</v>
      </c>
      <c r="AD466" s="385">
        <v>535.39</v>
      </c>
      <c r="AE466" s="381" t="s">
        <v>944</v>
      </c>
      <c r="AF466" s="383"/>
      <c r="AG466" s="383"/>
      <c r="AH466" s="383" t="s">
        <v>57</v>
      </c>
      <c r="AI466" s="383" t="s">
        <v>4442</v>
      </c>
      <c r="AJ466" s="383" t="s">
        <v>4443</v>
      </c>
      <c r="AK466" s="389" t="s">
        <v>4437</v>
      </c>
      <c r="AL466" s="389" t="s">
        <v>4221</v>
      </c>
      <c r="AM466" s="389" t="s">
        <v>1014</v>
      </c>
      <c r="AN466" s="393">
        <f t="shared" si="82"/>
        <v>8</v>
      </c>
      <c r="AO466" s="393">
        <f t="shared" si="83"/>
        <v>2021</v>
      </c>
      <c r="AP466" s="394">
        <f t="shared" si="84"/>
        <v>2028</v>
      </c>
      <c r="AQ466" s="395">
        <f t="shared" si="85"/>
        <v>2028.6666666666667</v>
      </c>
      <c r="AR466" s="396">
        <f t="shared" si="86"/>
        <v>535.39214285714286</v>
      </c>
      <c r="AS466" s="397">
        <f t="shared" si="87"/>
        <v>6424.7057142857138</v>
      </c>
      <c r="AT466" s="397">
        <f t="shared" si="91"/>
        <v>6424.7057142857138</v>
      </c>
      <c r="AU466" s="397">
        <f t="shared" si="88"/>
        <v>17132.5485714276</v>
      </c>
      <c r="AV466" s="397">
        <f t="shared" si="89"/>
        <v>23557.254285713316</v>
      </c>
      <c r="AW466" s="398">
        <f t="shared" si="90"/>
        <v>21415.685714286687</v>
      </c>
      <c r="AX466" s="386" t="s">
        <v>62</v>
      </c>
    </row>
    <row r="467" spans="2:50" ht="15.75" outlineLevel="1">
      <c r="B467" s="381">
        <v>2111</v>
      </c>
      <c r="C467" s="382">
        <v>259798</v>
      </c>
      <c r="D467" s="381">
        <v>252489</v>
      </c>
      <c r="E467" s="383" t="s">
        <v>4240</v>
      </c>
      <c r="F467" s="392" t="s">
        <v>1549</v>
      </c>
      <c r="G467" s="392"/>
      <c r="H467" s="392"/>
      <c r="I467" s="381">
        <v>1</v>
      </c>
      <c r="J467" s="383"/>
      <c r="K467" s="381">
        <v>0</v>
      </c>
      <c r="L467" s="383" t="s">
        <v>1456</v>
      </c>
      <c r="M467" s="383"/>
      <c r="N467" s="383" t="s">
        <v>4462</v>
      </c>
      <c r="O467" s="383" t="s">
        <v>4441</v>
      </c>
      <c r="P467" s="383"/>
      <c r="Q467" s="383"/>
      <c r="R467" s="383"/>
      <c r="S467" s="384">
        <v>44347</v>
      </c>
      <c r="T467" s="384">
        <v>44347</v>
      </c>
      <c r="U467" s="383" t="s">
        <v>1457</v>
      </c>
      <c r="V467" s="381">
        <v>1000</v>
      </c>
      <c r="W467" s="381">
        <v>14010</v>
      </c>
      <c r="X467" s="385">
        <v>1887.5</v>
      </c>
      <c r="Y467" s="381">
        <v>14016</v>
      </c>
      <c r="Z467" s="385">
        <v>629.17999999999995</v>
      </c>
      <c r="AA467" s="385">
        <f t="shared" si="81"/>
        <v>1258.3200000000002</v>
      </c>
      <c r="AB467" s="385">
        <v>141.57</v>
      </c>
      <c r="AC467" s="381">
        <v>57260</v>
      </c>
      <c r="AD467" s="385">
        <v>15.73</v>
      </c>
      <c r="AE467" s="381" t="s">
        <v>944</v>
      </c>
      <c r="AF467" s="383"/>
      <c r="AG467" s="383"/>
      <c r="AH467" s="383" t="s">
        <v>57</v>
      </c>
      <c r="AI467" s="383" t="s">
        <v>4442</v>
      </c>
      <c r="AJ467" s="383" t="s">
        <v>4443</v>
      </c>
      <c r="AK467" s="389" t="s">
        <v>4437</v>
      </c>
      <c r="AL467" s="389" t="s">
        <v>1077</v>
      </c>
      <c r="AM467" s="389" t="s">
        <v>1077</v>
      </c>
      <c r="AN467" s="393">
        <f t="shared" si="82"/>
        <v>5</v>
      </c>
      <c r="AO467" s="393">
        <f t="shared" si="83"/>
        <v>2021</v>
      </c>
      <c r="AP467" s="394">
        <f t="shared" si="84"/>
        <v>2031</v>
      </c>
      <c r="AQ467" s="395">
        <f t="shared" si="85"/>
        <v>2031.4166666666667</v>
      </c>
      <c r="AR467" s="396">
        <f t="shared" si="86"/>
        <v>15.729166666666666</v>
      </c>
      <c r="AS467" s="397">
        <f t="shared" si="87"/>
        <v>188.75</v>
      </c>
      <c r="AT467" s="397">
        <f t="shared" si="91"/>
        <v>188.75</v>
      </c>
      <c r="AU467" s="397">
        <f t="shared" si="88"/>
        <v>550.52083333330484</v>
      </c>
      <c r="AV467" s="397">
        <f t="shared" si="89"/>
        <v>739.27083333330484</v>
      </c>
      <c r="AW467" s="398">
        <f t="shared" si="90"/>
        <v>1148.2291666666952</v>
      </c>
      <c r="AX467" s="386" t="s">
        <v>62</v>
      </c>
    </row>
    <row r="468" spans="2:50" ht="15.75" outlineLevel="1">
      <c r="B468" s="381">
        <v>2111</v>
      </c>
      <c r="C468" s="382">
        <v>259732</v>
      </c>
      <c r="D468" s="381" t="s">
        <v>944</v>
      </c>
      <c r="E468" s="383" t="s">
        <v>4240</v>
      </c>
      <c r="F468" s="392" t="s">
        <v>1175</v>
      </c>
      <c r="G468" s="392"/>
      <c r="H468" s="392"/>
      <c r="I468" s="381">
        <v>1</v>
      </c>
      <c r="J468" s="383" t="s">
        <v>1551</v>
      </c>
      <c r="K468" s="381">
        <v>2022</v>
      </c>
      <c r="L468" s="383"/>
      <c r="M468" s="383"/>
      <c r="N468" s="383" t="s">
        <v>4445</v>
      </c>
      <c r="O468" s="383" t="s">
        <v>4441</v>
      </c>
      <c r="P468" s="383" t="s">
        <v>4482</v>
      </c>
      <c r="Q468" s="383"/>
      <c r="R468" s="383"/>
      <c r="S468" s="384">
        <v>44454</v>
      </c>
      <c r="T468" s="384">
        <v>44454</v>
      </c>
      <c r="U468" s="383" t="s">
        <v>1552</v>
      </c>
      <c r="V468" s="381">
        <v>1000</v>
      </c>
      <c r="W468" s="381">
        <v>14040</v>
      </c>
      <c r="X468" s="385">
        <v>374630.77</v>
      </c>
      <c r="Y468" s="381">
        <v>14046</v>
      </c>
      <c r="Z468" s="385">
        <v>115511.13</v>
      </c>
      <c r="AA468" s="385">
        <f t="shared" si="81"/>
        <v>259119.64</v>
      </c>
      <c r="AB468" s="385">
        <v>28097.279999999999</v>
      </c>
      <c r="AC468" s="381">
        <v>51260</v>
      </c>
      <c r="AD468" s="385">
        <v>3121.92</v>
      </c>
      <c r="AE468" s="381" t="s">
        <v>944</v>
      </c>
      <c r="AF468" s="383"/>
      <c r="AG468" s="383">
        <v>869</v>
      </c>
      <c r="AH468" s="383" t="s">
        <v>57</v>
      </c>
      <c r="AI468" s="383" t="s">
        <v>4442</v>
      </c>
      <c r="AJ468" s="383" t="s">
        <v>4443</v>
      </c>
      <c r="AK468" s="389" t="s">
        <v>4437</v>
      </c>
      <c r="AL468" s="389" t="s">
        <v>4216</v>
      </c>
      <c r="AM468" s="389" t="s">
        <v>3939</v>
      </c>
      <c r="AN468" s="393">
        <f t="shared" si="82"/>
        <v>9</v>
      </c>
      <c r="AO468" s="393">
        <f t="shared" si="83"/>
        <v>2021</v>
      </c>
      <c r="AP468" s="394">
        <f t="shared" si="84"/>
        <v>2031</v>
      </c>
      <c r="AQ468" s="395">
        <f t="shared" si="85"/>
        <v>2031.75</v>
      </c>
      <c r="AR468" s="396">
        <f t="shared" si="86"/>
        <v>3121.9230833333336</v>
      </c>
      <c r="AS468" s="397">
        <f t="shared" si="87"/>
        <v>37463.077000000005</v>
      </c>
      <c r="AT468" s="397">
        <f t="shared" si="91"/>
        <v>37463.077000000005</v>
      </c>
      <c r="AU468" s="397">
        <f t="shared" si="88"/>
        <v>96779.615583330509</v>
      </c>
      <c r="AV468" s="397">
        <f t="shared" si="89"/>
        <v>134242.6925833305</v>
      </c>
      <c r="AW468" s="398">
        <f t="shared" si="90"/>
        <v>240388.07741666952</v>
      </c>
      <c r="AX468" s="386" t="s">
        <v>62</v>
      </c>
    </row>
    <row r="469" spans="2:50" ht="15.75" outlineLevel="1">
      <c r="B469" s="381">
        <v>2111</v>
      </c>
      <c r="C469" s="382">
        <v>259507</v>
      </c>
      <c r="D469" s="381">
        <v>258058</v>
      </c>
      <c r="E469" s="383" t="s">
        <v>4240</v>
      </c>
      <c r="F469" s="392" t="s">
        <v>1553</v>
      </c>
      <c r="G469" s="392"/>
      <c r="H469" s="392"/>
      <c r="I469" s="381">
        <v>1</v>
      </c>
      <c r="J469" s="383"/>
      <c r="K469" s="381">
        <v>0</v>
      </c>
      <c r="L469" s="383" t="s">
        <v>1554</v>
      </c>
      <c r="M469" s="383"/>
      <c r="N469" s="383" t="s">
        <v>4445</v>
      </c>
      <c r="O469" s="383" t="s">
        <v>4441</v>
      </c>
      <c r="P469" s="383" t="s">
        <v>1467</v>
      </c>
      <c r="Q469" s="383"/>
      <c r="R469" s="383"/>
      <c r="S469" s="384">
        <v>44371</v>
      </c>
      <c r="T469" s="384">
        <v>44371</v>
      </c>
      <c r="U469" s="383" t="s">
        <v>1555</v>
      </c>
      <c r="V469" s="381">
        <v>700</v>
      </c>
      <c r="W469" s="381">
        <v>14040</v>
      </c>
      <c r="X469" s="385">
        <v>195.19</v>
      </c>
      <c r="Y469" s="381">
        <v>14046</v>
      </c>
      <c r="Z469" s="385">
        <v>90.6</v>
      </c>
      <c r="AA469" s="385">
        <f t="shared" si="81"/>
        <v>104.59</v>
      </c>
      <c r="AB469" s="385">
        <v>20.88</v>
      </c>
      <c r="AC469" s="381">
        <v>51260</v>
      </c>
      <c r="AD469" s="385">
        <v>2.3199999999999998</v>
      </c>
      <c r="AE469" s="381" t="s">
        <v>944</v>
      </c>
      <c r="AF469" s="383"/>
      <c r="AG469" s="383"/>
      <c r="AH469" s="383" t="s">
        <v>57</v>
      </c>
      <c r="AI469" s="383" t="s">
        <v>4442</v>
      </c>
      <c r="AJ469" s="383" t="s">
        <v>4443</v>
      </c>
      <c r="AK469" s="389" t="s">
        <v>4437</v>
      </c>
      <c r="AL469" s="389" t="s">
        <v>4224</v>
      </c>
      <c r="AM469" s="389" t="s">
        <v>582</v>
      </c>
      <c r="AN469" s="393">
        <f t="shared" si="82"/>
        <v>6</v>
      </c>
      <c r="AO469" s="393">
        <f t="shared" si="83"/>
        <v>2021</v>
      </c>
      <c r="AP469" s="394">
        <f t="shared" si="84"/>
        <v>2028</v>
      </c>
      <c r="AQ469" s="395">
        <f t="shared" si="85"/>
        <v>2028.5</v>
      </c>
      <c r="AR469" s="396">
        <f t="shared" si="86"/>
        <v>2.323690476190476</v>
      </c>
      <c r="AS469" s="397">
        <f t="shared" si="87"/>
        <v>27.88428571428571</v>
      </c>
      <c r="AT469" s="397">
        <f t="shared" si="91"/>
        <v>27.88428571428571</v>
      </c>
      <c r="AU469" s="397">
        <f t="shared" si="88"/>
        <v>79.005476190474084</v>
      </c>
      <c r="AV469" s="397">
        <f t="shared" si="89"/>
        <v>106.88976190475979</v>
      </c>
      <c r="AW469" s="398">
        <f t="shared" si="90"/>
        <v>88.300238095240204</v>
      </c>
      <c r="AX469" s="386" t="s">
        <v>62</v>
      </c>
    </row>
    <row r="470" spans="2:50" ht="15.75" outlineLevel="1">
      <c r="B470" s="345">
        <v>2111</v>
      </c>
      <c r="C470" s="346">
        <v>259170</v>
      </c>
      <c r="D470" s="345">
        <v>252489</v>
      </c>
      <c r="E470" s="347" t="s">
        <v>4240</v>
      </c>
      <c r="F470" s="343" t="s">
        <v>1166</v>
      </c>
      <c r="I470" s="345">
        <v>1</v>
      </c>
      <c r="J470" s="347"/>
      <c r="K470" s="345">
        <v>0</v>
      </c>
      <c r="L470" s="347" t="s">
        <v>1456</v>
      </c>
      <c r="M470" s="347"/>
      <c r="N470" s="347" t="s">
        <v>4462</v>
      </c>
      <c r="O470" s="347" t="s">
        <v>4441</v>
      </c>
      <c r="P470" s="347"/>
      <c r="Q470" s="347"/>
      <c r="R470" s="347"/>
      <c r="S470" s="348">
        <v>44347</v>
      </c>
      <c r="T470" s="348">
        <v>44347</v>
      </c>
      <c r="U470" s="347" t="s">
        <v>1457</v>
      </c>
      <c r="V470" s="345">
        <v>1000</v>
      </c>
      <c r="W470" s="345">
        <v>14010</v>
      </c>
      <c r="X470" s="349">
        <v>12175</v>
      </c>
      <c r="Y470" s="345">
        <v>14016</v>
      </c>
      <c r="Z470" s="349">
        <v>4058.35</v>
      </c>
      <c r="AA470" s="349">
        <f t="shared" si="81"/>
        <v>8116.65</v>
      </c>
      <c r="AB470" s="349">
        <v>913.14</v>
      </c>
      <c r="AC470" s="345">
        <v>57260</v>
      </c>
      <c r="AD470" s="349">
        <v>101.46</v>
      </c>
      <c r="AE470" s="345" t="s">
        <v>944</v>
      </c>
      <c r="AF470" s="347"/>
      <c r="AG470" s="347"/>
      <c r="AH470" s="347" t="s">
        <v>57</v>
      </c>
      <c r="AI470" s="347" t="s">
        <v>4442</v>
      </c>
      <c r="AJ470" s="347" t="s">
        <v>4443</v>
      </c>
      <c r="AK470" s="347" t="s">
        <v>4437</v>
      </c>
      <c r="AL470" s="387">
        <v>45574</v>
      </c>
    </row>
    <row r="471" spans="2:50" ht="15.75" outlineLevel="1">
      <c r="B471" s="345">
        <v>2111</v>
      </c>
      <c r="C471" s="346">
        <v>258075</v>
      </c>
      <c r="D471" s="345" t="s">
        <v>944</v>
      </c>
      <c r="E471" s="347" t="s">
        <v>4240</v>
      </c>
      <c r="F471" s="343" t="s">
        <v>1133</v>
      </c>
      <c r="I471" s="345">
        <v>936</v>
      </c>
      <c r="J471" s="347"/>
      <c r="K471" s="345">
        <v>0</v>
      </c>
      <c r="L471" s="347" t="s">
        <v>1462</v>
      </c>
      <c r="M471" s="347"/>
      <c r="N471" s="347" t="s">
        <v>4446</v>
      </c>
      <c r="O471" s="347" t="s">
        <v>4441</v>
      </c>
      <c r="P471" s="347"/>
      <c r="Q471" s="347"/>
      <c r="R471" s="347"/>
      <c r="S471" s="348">
        <v>44384</v>
      </c>
      <c r="T471" s="348">
        <v>44384</v>
      </c>
      <c r="U471" s="347" t="s">
        <v>1559</v>
      </c>
      <c r="V471" s="345">
        <v>700</v>
      </c>
      <c r="W471" s="345">
        <v>14050</v>
      </c>
      <c r="X471" s="349">
        <v>50625.43</v>
      </c>
      <c r="Y471" s="345">
        <v>14056</v>
      </c>
      <c r="Z471" s="349">
        <v>23504.61</v>
      </c>
      <c r="AA471" s="349">
        <f t="shared" si="81"/>
        <v>27120.82</v>
      </c>
      <c r="AB471" s="349">
        <v>5424.12</v>
      </c>
      <c r="AC471" s="345">
        <v>54260</v>
      </c>
      <c r="AD471" s="349">
        <v>602.67999999999995</v>
      </c>
      <c r="AE471" s="345" t="s">
        <v>944</v>
      </c>
      <c r="AF471" s="347"/>
      <c r="AG471" s="347"/>
      <c r="AH471" s="347" t="s">
        <v>57</v>
      </c>
      <c r="AI471" s="347" t="s">
        <v>4442</v>
      </c>
      <c r="AJ471" s="347" t="s">
        <v>4443</v>
      </c>
      <c r="AK471" s="347" t="s">
        <v>4437</v>
      </c>
      <c r="AL471" s="387">
        <v>45574</v>
      </c>
    </row>
    <row r="472" spans="2:50" ht="15.75" outlineLevel="1">
      <c r="B472" s="345">
        <v>2111</v>
      </c>
      <c r="C472" s="346">
        <v>258059</v>
      </c>
      <c r="D472" s="345">
        <v>173284</v>
      </c>
      <c r="E472" s="347" t="s">
        <v>4240</v>
      </c>
      <c r="F472" s="343" t="s">
        <v>1560</v>
      </c>
      <c r="I472" s="345">
        <v>1</v>
      </c>
      <c r="J472" s="347"/>
      <c r="K472" s="345">
        <v>0</v>
      </c>
      <c r="L472" s="347" t="s">
        <v>1561</v>
      </c>
      <c r="M472" s="347"/>
      <c r="N472" s="347" t="s">
        <v>4445</v>
      </c>
      <c r="O472" s="347" t="s">
        <v>4441</v>
      </c>
      <c r="P472" s="347" t="s">
        <v>1467</v>
      </c>
      <c r="Q472" s="347"/>
      <c r="R472" s="347"/>
      <c r="S472" s="348">
        <v>44216</v>
      </c>
      <c r="T472" s="348">
        <v>44216</v>
      </c>
      <c r="U472" s="347" t="s">
        <v>1562</v>
      </c>
      <c r="V472" s="345">
        <v>300</v>
      </c>
      <c r="W472" s="345">
        <v>14040</v>
      </c>
      <c r="X472" s="349">
        <v>37534.57</v>
      </c>
      <c r="Y472" s="345">
        <v>14046</v>
      </c>
      <c r="Z472" s="349">
        <v>37534.57</v>
      </c>
      <c r="AA472" s="349">
        <f t="shared" si="81"/>
        <v>0</v>
      </c>
      <c r="AB472" s="349">
        <v>1042.6300000000001</v>
      </c>
      <c r="AC472" s="345">
        <v>51260</v>
      </c>
      <c r="AD472" s="349">
        <v>1042.6300000000001</v>
      </c>
      <c r="AE472" s="345" t="s">
        <v>944</v>
      </c>
      <c r="AF472" s="347"/>
      <c r="AG472" s="347"/>
      <c r="AH472" s="347" t="s">
        <v>57</v>
      </c>
      <c r="AI472" s="347" t="s">
        <v>4442</v>
      </c>
      <c r="AJ472" s="347" t="s">
        <v>4443</v>
      </c>
      <c r="AK472" s="347" t="s">
        <v>4437</v>
      </c>
      <c r="AL472" s="387">
        <v>45574</v>
      </c>
    </row>
    <row r="473" spans="2:50" ht="15.75" outlineLevel="1">
      <c r="B473" s="345">
        <v>2111</v>
      </c>
      <c r="C473" s="346">
        <v>258058</v>
      </c>
      <c r="D473" s="345" t="s">
        <v>944</v>
      </c>
      <c r="E473" s="347" t="s">
        <v>4240</v>
      </c>
      <c r="F473" s="343" t="s">
        <v>1564</v>
      </c>
      <c r="I473" s="345">
        <v>1</v>
      </c>
      <c r="J473" s="347" t="s">
        <v>1565</v>
      </c>
      <c r="K473" s="345">
        <v>2019</v>
      </c>
      <c r="L473" s="347" t="s">
        <v>1566</v>
      </c>
      <c r="M473" s="347"/>
      <c r="N473" s="347" t="s">
        <v>4445</v>
      </c>
      <c r="O473" s="347" t="s">
        <v>4441</v>
      </c>
      <c r="P473" s="347" t="s">
        <v>4425</v>
      </c>
      <c r="Q473" s="347"/>
      <c r="R473" s="347"/>
      <c r="S473" s="348">
        <v>44371</v>
      </c>
      <c r="T473" s="348">
        <v>44371</v>
      </c>
      <c r="U473" s="347" t="s">
        <v>1555</v>
      </c>
      <c r="V473" s="345">
        <v>700</v>
      </c>
      <c r="W473" s="345">
        <v>14040</v>
      </c>
      <c r="X473" s="349">
        <v>61050.15</v>
      </c>
      <c r="Y473" s="345">
        <v>14046</v>
      </c>
      <c r="Z473" s="349">
        <v>28344.74</v>
      </c>
      <c r="AA473" s="349">
        <f t="shared" si="81"/>
        <v>32705.41</v>
      </c>
      <c r="AB473" s="349">
        <v>6541.11</v>
      </c>
      <c r="AC473" s="345">
        <v>51260</v>
      </c>
      <c r="AD473" s="349">
        <v>726.79</v>
      </c>
      <c r="AE473" s="345" t="s">
        <v>944</v>
      </c>
      <c r="AF473" s="347">
        <v>0</v>
      </c>
      <c r="AG473" s="347" t="s">
        <v>4438</v>
      </c>
      <c r="AH473" s="347" t="s">
        <v>57</v>
      </c>
      <c r="AI473" s="347" t="s">
        <v>4442</v>
      </c>
      <c r="AJ473" s="347" t="s">
        <v>4443</v>
      </c>
      <c r="AK473" s="347" t="s">
        <v>4437</v>
      </c>
      <c r="AL473" s="387">
        <v>45574</v>
      </c>
    </row>
    <row r="474" spans="2:50" ht="15.75" outlineLevel="1">
      <c r="B474" s="345">
        <v>2111</v>
      </c>
      <c r="C474" s="346">
        <v>255876</v>
      </c>
      <c r="D474" s="345" t="s">
        <v>944</v>
      </c>
      <c r="E474" s="347" t="s">
        <v>4240</v>
      </c>
      <c r="F474" s="343" t="s">
        <v>1174</v>
      </c>
      <c r="I474" s="345">
        <v>702</v>
      </c>
      <c r="J474" s="347"/>
      <c r="K474" s="345">
        <v>0</v>
      </c>
      <c r="L474" s="347" t="s">
        <v>1462</v>
      </c>
      <c r="M474" s="347"/>
      <c r="N474" s="347" t="s">
        <v>4446</v>
      </c>
      <c r="O474" s="347" t="s">
        <v>4441</v>
      </c>
      <c r="P474" s="347"/>
      <c r="Q474" s="347"/>
      <c r="R474" s="347"/>
      <c r="S474" s="348">
        <v>44384</v>
      </c>
      <c r="T474" s="348">
        <v>44384</v>
      </c>
      <c r="U474" s="347" t="s">
        <v>1559</v>
      </c>
      <c r="V474" s="345">
        <v>700</v>
      </c>
      <c r="W474" s="345">
        <v>14050</v>
      </c>
      <c r="X474" s="349">
        <v>42347.45</v>
      </c>
      <c r="Y474" s="345">
        <v>14056</v>
      </c>
      <c r="Z474" s="349">
        <v>19661.36</v>
      </c>
      <c r="AA474" s="349">
        <f t="shared" si="81"/>
        <v>22686.089999999997</v>
      </c>
      <c r="AB474" s="349">
        <v>4537.26</v>
      </c>
      <c r="AC474" s="345">
        <v>54260</v>
      </c>
      <c r="AD474" s="349">
        <v>504.14</v>
      </c>
      <c r="AE474" s="345" t="s">
        <v>944</v>
      </c>
      <c r="AF474" s="347"/>
      <c r="AG474" s="347"/>
      <c r="AH474" s="347" t="s">
        <v>57</v>
      </c>
      <c r="AI474" s="347" t="s">
        <v>4442</v>
      </c>
      <c r="AJ474" s="347" t="s">
        <v>4443</v>
      </c>
      <c r="AK474" s="347" t="s">
        <v>4437</v>
      </c>
      <c r="AL474" s="387">
        <v>45574</v>
      </c>
    </row>
    <row r="475" spans="2:50" ht="15.75" outlineLevel="1">
      <c r="B475" s="345">
        <v>2111</v>
      </c>
      <c r="C475" s="346">
        <v>255875</v>
      </c>
      <c r="D475" s="345" t="s">
        <v>944</v>
      </c>
      <c r="E475" s="347" t="s">
        <v>4240</v>
      </c>
      <c r="F475" s="343" t="s">
        <v>1172</v>
      </c>
      <c r="I475" s="345">
        <v>702</v>
      </c>
      <c r="J475" s="347"/>
      <c r="K475" s="345">
        <v>0</v>
      </c>
      <c r="L475" s="347" t="s">
        <v>1462</v>
      </c>
      <c r="M475" s="347"/>
      <c r="N475" s="347" t="s">
        <v>4446</v>
      </c>
      <c r="O475" s="347" t="s">
        <v>4441</v>
      </c>
      <c r="P475" s="347"/>
      <c r="Q475" s="347"/>
      <c r="R475" s="347"/>
      <c r="S475" s="348">
        <v>44384</v>
      </c>
      <c r="T475" s="348">
        <v>44384</v>
      </c>
      <c r="U475" s="347" t="s">
        <v>1559</v>
      </c>
      <c r="V475" s="345">
        <v>700</v>
      </c>
      <c r="W475" s="345">
        <v>14050</v>
      </c>
      <c r="X475" s="349">
        <v>42347.45</v>
      </c>
      <c r="Y475" s="345">
        <v>14056</v>
      </c>
      <c r="Z475" s="349">
        <v>19661.36</v>
      </c>
      <c r="AA475" s="349">
        <f t="shared" si="81"/>
        <v>22686.089999999997</v>
      </c>
      <c r="AB475" s="349">
        <v>4537.26</v>
      </c>
      <c r="AC475" s="345">
        <v>54260</v>
      </c>
      <c r="AD475" s="349">
        <v>504.14</v>
      </c>
      <c r="AE475" s="345" t="s">
        <v>944</v>
      </c>
      <c r="AF475" s="347"/>
      <c r="AG475" s="347"/>
      <c r="AH475" s="347" t="s">
        <v>57</v>
      </c>
      <c r="AI475" s="347" t="s">
        <v>4442</v>
      </c>
      <c r="AJ475" s="347" t="s">
        <v>4443</v>
      </c>
      <c r="AK475" s="347" t="s">
        <v>4437</v>
      </c>
      <c r="AL475" s="387">
        <v>45574</v>
      </c>
    </row>
    <row r="476" spans="2:50" ht="15.75" outlineLevel="1">
      <c r="B476" s="345">
        <v>2111</v>
      </c>
      <c r="C476" s="346">
        <v>255874</v>
      </c>
      <c r="D476" s="345" t="s">
        <v>944</v>
      </c>
      <c r="E476" s="347" t="s">
        <v>4240</v>
      </c>
      <c r="F476" s="343" t="s">
        <v>1171</v>
      </c>
      <c r="I476" s="345">
        <v>702</v>
      </c>
      <c r="J476" s="347"/>
      <c r="K476" s="345">
        <v>0</v>
      </c>
      <c r="L476" s="347" t="s">
        <v>1462</v>
      </c>
      <c r="M476" s="347"/>
      <c r="N476" s="347" t="s">
        <v>4446</v>
      </c>
      <c r="O476" s="347" t="s">
        <v>4441</v>
      </c>
      <c r="P476" s="347"/>
      <c r="Q476" s="347"/>
      <c r="R476" s="347"/>
      <c r="S476" s="348">
        <v>44384</v>
      </c>
      <c r="T476" s="348">
        <v>44384</v>
      </c>
      <c r="U476" s="347" t="s">
        <v>1559</v>
      </c>
      <c r="V476" s="345">
        <v>700</v>
      </c>
      <c r="W476" s="345">
        <v>14050</v>
      </c>
      <c r="X476" s="349">
        <v>42347.45</v>
      </c>
      <c r="Y476" s="345">
        <v>14056</v>
      </c>
      <c r="Z476" s="349">
        <v>19661.36</v>
      </c>
      <c r="AA476" s="349">
        <f t="shared" si="81"/>
        <v>22686.089999999997</v>
      </c>
      <c r="AB476" s="349">
        <v>4537.26</v>
      </c>
      <c r="AC476" s="345">
        <v>54260</v>
      </c>
      <c r="AD476" s="349">
        <v>504.14</v>
      </c>
      <c r="AE476" s="345" t="s">
        <v>944</v>
      </c>
      <c r="AF476" s="347"/>
      <c r="AG476" s="347"/>
      <c r="AH476" s="347" t="s">
        <v>57</v>
      </c>
      <c r="AI476" s="347" t="s">
        <v>4442</v>
      </c>
      <c r="AJ476" s="347" t="s">
        <v>4443</v>
      </c>
      <c r="AK476" s="347" t="s">
        <v>4437</v>
      </c>
      <c r="AL476" s="387">
        <v>45574</v>
      </c>
    </row>
    <row r="477" spans="2:50" ht="15.75" outlineLevel="1">
      <c r="B477" s="345">
        <v>2111</v>
      </c>
      <c r="C477" s="346">
        <v>255684</v>
      </c>
      <c r="D477" s="345" t="s">
        <v>944</v>
      </c>
      <c r="E477" s="347" t="s">
        <v>4240</v>
      </c>
      <c r="F477" s="343" t="s">
        <v>558</v>
      </c>
      <c r="I477" s="345">
        <v>3</v>
      </c>
      <c r="J477" s="347"/>
      <c r="K477" s="345">
        <v>0</v>
      </c>
      <c r="L477" s="347"/>
      <c r="M477" s="347"/>
      <c r="N477" s="347" t="s">
        <v>4451</v>
      </c>
      <c r="O477" s="347" t="s">
        <v>4441</v>
      </c>
      <c r="P477" s="347"/>
      <c r="Q477" s="347"/>
      <c r="R477" s="347"/>
      <c r="S477" s="348">
        <v>44378</v>
      </c>
      <c r="T477" s="348">
        <v>44378</v>
      </c>
      <c r="U477" s="347" t="s">
        <v>1491</v>
      </c>
      <c r="V477" s="345">
        <v>500</v>
      </c>
      <c r="W477" s="345">
        <v>14070</v>
      </c>
      <c r="X477" s="349">
        <v>1617.15</v>
      </c>
      <c r="Y477" s="345">
        <v>14076</v>
      </c>
      <c r="Z477" s="349">
        <v>1051.1300000000001</v>
      </c>
      <c r="AA477" s="349">
        <f t="shared" si="81"/>
        <v>566.02</v>
      </c>
      <c r="AB477" s="349">
        <v>242.55</v>
      </c>
      <c r="AC477" s="345">
        <v>51260</v>
      </c>
      <c r="AD477" s="349">
        <v>26.95</v>
      </c>
      <c r="AE477" s="345" t="s">
        <v>944</v>
      </c>
      <c r="AF477" s="347"/>
      <c r="AG477" s="347"/>
      <c r="AH477" s="347" t="s">
        <v>57</v>
      </c>
      <c r="AI477" s="347" t="s">
        <v>4442</v>
      </c>
      <c r="AJ477" s="347" t="s">
        <v>4443</v>
      </c>
      <c r="AK477" s="347" t="s">
        <v>4437</v>
      </c>
      <c r="AL477" s="387">
        <v>45574</v>
      </c>
    </row>
    <row r="478" spans="2:50" ht="15.75" outlineLevel="1">
      <c r="B478" s="345">
        <v>2111</v>
      </c>
      <c r="C478" s="346">
        <v>255496</v>
      </c>
      <c r="D478" s="345">
        <v>255494</v>
      </c>
      <c r="E478" s="347" t="s">
        <v>4240</v>
      </c>
      <c r="F478" s="343" t="s">
        <v>1189</v>
      </c>
      <c r="I478" s="345">
        <v>1</v>
      </c>
      <c r="J478" s="347"/>
      <c r="K478" s="345">
        <v>0</v>
      </c>
      <c r="L478" s="347" t="s">
        <v>1572</v>
      </c>
      <c r="M478" s="347"/>
      <c r="N478" s="347" t="s">
        <v>4445</v>
      </c>
      <c r="O478" s="347" t="s">
        <v>4441</v>
      </c>
      <c r="P478" s="347" t="s">
        <v>1467</v>
      </c>
      <c r="Q478" s="347"/>
      <c r="R478" s="347"/>
      <c r="S478" s="348">
        <v>43831</v>
      </c>
      <c r="T478" s="348">
        <v>43831</v>
      </c>
      <c r="U478" s="347" t="s">
        <v>1573</v>
      </c>
      <c r="V478" s="345">
        <v>900</v>
      </c>
      <c r="W478" s="345">
        <v>14040</v>
      </c>
      <c r="X478" s="349">
        <v>6907.22</v>
      </c>
      <c r="Y478" s="345">
        <v>14046</v>
      </c>
      <c r="Z478" s="349">
        <v>3645.52</v>
      </c>
      <c r="AA478" s="349">
        <f t="shared" si="81"/>
        <v>3261.7000000000003</v>
      </c>
      <c r="AB478" s="349">
        <v>575.64</v>
      </c>
      <c r="AC478" s="345">
        <v>51260</v>
      </c>
      <c r="AD478" s="349">
        <v>63.96</v>
      </c>
      <c r="AE478" s="345" t="s">
        <v>944</v>
      </c>
      <c r="AF478" s="347"/>
      <c r="AG478" s="347"/>
      <c r="AH478" s="347" t="s">
        <v>57</v>
      </c>
      <c r="AI478" s="347" t="s">
        <v>4442</v>
      </c>
      <c r="AJ478" s="347" t="s">
        <v>4443</v>
      </c>
      <c r="AK478" s="347" t="s">
        <v>4437</v>
      </c>
      <c r="AL478" s="387">
        <v>45574</v>
      </c>
    </row>
    <row r="479" spans="2:50" ht="15.75" outlineLevel="1">
      <c r="B479" s="345">
        <v>2111</v>
      </c>
      <c r="C479" s="346">
        <v>255495</v>
      </c>
      <c r="D479" s="345">
        <v>255494</v>
      </c>
      <c r="E479" s="347" t="s">
        <v>4240</v>
      </c>
      <c r="F479" s="343" t="s">
        <v>1190</v>
      </c>
      <c r="I479" s="345">
        <v>1</v>
      </c>
      <c r="J479" s="347"/>
      <c r="K479" s="345">
        <v>2019</v>
      </c>
      <c r="L479" s="347" t="s">
        <v>1574</v>
      </c>
      <c r="M479" s="347"/>
      <c r="N479" s="347" t="s">
        <v>4445</v>
      </c>
      <c r="O479" s="347" t="s">
        <v>4441</v>
      </c>
      <c r="P479" s="347" t="s">
        <v>1575</v>
      </c>
      <c r="Q479" s="347"/>
      <c r="R479" s="347"/>
      <c r="S479" s="348">
        <v>43830</v>
      </c>
      <c r="T479" s="348">
        <v>43830</v>
      </c>
      <c r="U479" s="347" t="s">
        <v>1573</v>
      </c>
      <c r="V479" s="345">
        <v>900</v>
      </c>
      <c r="W479" s="345">
        <v>14040</v>
      </c>
      <c r="X479" s="349">
        <v>7320.53</v>
      </c>
      <c r="Y479" s="345">
        <v>14046</v>
      </c>
      <c r="Z479" s="349">
        <v>3863.58</v>
      </c>
      <c r="AA479" s="349">
        <f t="shared" si="81"/>
        <v>3456.95</v>
      </c>
      <c r="AB479" s="349">
        <v>610.02</v>
      </c>
      <c r="AC479" s="345">
        <v>51260</v>
      </c>
      <c r="AD479" s="349">
        <v>67.78</v>
      </c>
      <c r="AE479" s="345" t="s">
        <v>944</v>
      </c>
      <c r="AF479" s="347"/>
      <c r="AG479" s="347"/>
      <c r="AH479" s="347" t="s">
        <v>57</v>
      </c>
      <c r="AI479" s="347" t="s">
        <v>4442</v>
      </c>
      <c r="AJ479" s="347" t="s">
        <v>4443</v>
      </c>
      <c r="AK479" s="347" t="s">
        <v>4437</v>
      </c>
      <c r="AL479" s="387">
        <v>45574</v>
      </c>
    </row>
    <row r="480" spans="2:50" ht="15.75" outlineLevel="1">
      <c r="B480" s="345">
        <v>2111</v>
      </c>
      <c r="C480" s="346">
        <v>255494</v>
      </c>
      <c r="D480" s="345" t="s">
        <v>944</v>
      </c>
      <c r="E480" s="347" t="s">
        <v>4240</v>
      </c>
      <c r="F480" s="343" t="s">
        <v>1177</v>
      </c>
      <c r="I480" s="345">
        <v>1</v>
      </c>
      <c r="J480" s="347" t="s">
        <v>1576</v>
      </c>
      <c r="K480" s="345">
        <v>2019</v>
      </c>
      <c r="L480" s="347"/>
      <c r="M480" s="347"/>
      <c r="N480" s="347" t="s">
        <v>4445</v>
      </c>
      <c r="O480" s="347" t="s">
        <v>4441</v>
      </c>
      <c r="P480" s="347" t="s">
        <v>1577</v>
      </c>
      <c r="Q480" s="347"/>
      <c r="R480" s="347"/>
      <c r="S480" s="348">
        <v>43830</v>
      </c>
      <c r="T480" s="348">
        <v>43830</v>
      </c>
      <c r="U480" s="347" t="s">
        <v>1578</v>
      </c>
      <c r="V480" s="345">
        <v>900</v>
      </c>
      <c r="W480" s="345">
        <v>14040</v>
      </c>
      <c r="X480" s="349">
        <v>162499.54</v>
      </c>
      <c r="Y480" s="345">
        <v>14046</v>
      </c>
      <c r="Z480" s="349">
        <v>85763.71</v>
      </c>
      <c r="AA480" s="349">
        <f t="shared" si="81"/>
        <v>76735.83</v>
      </c>
      <c r="AB480" s="349">
        <v>13541.67</v>
      </c>
      <c r="AC480" s="345">
        <v>51260</v>
      </c>
      <c r="AD480" s="349">
        <v>1504.63</v>
      </c>
      <c r="AE480" s="345" t="s">
        <v>944</v>
      </c>
      <c r="AF480" s="347"/>
      <c r="AG480" s="347">
        <v>192</v>
      </c>
      <c r="AH480" s="347" t="s">
        <v>57</v>
      </c>
      <c r="AI480" s="347" t="s">
        <v>4442</v>
      </c>
      <c r="AJ480" s="347" t="s">
        <v>4443</v>
      </c>
      <c r="AK480" s="347" t="s">
        <v>4437</v>
      </c>
      <c r="AL480" s="387">
        <v>45574</v>
      </c>
    </row>
    <row r="481" spans="2:38" ht="15.75" outlineLevel="1">
      <c r="B481" s="345">
        <v>2111</v>
      </c>
      <c r="C481" s="346">
        <v>255493</v>
      </c>
      <c r="D481" s="345">
        <v>255491</v>
      </c>
      <c r="E481" s="347" t="s">
        <v>4240</v>
      </c>
      <c r="F481" s="343" t="s">
        <v>1192</v>
      </c>
      <c r="I481" s="345">
        <v>1</v>
      </c>
      <c r="J481" s="347"/>
      <c r="K481" s="345">
        <v>0</v>
      </c>
      <c r="L481" s="347" t="s">
        <v>1574</v>
      </c>
      <c r="M481" s="347"/>
      <c r="N481" s="347" t="s">
        <v>4445</v>
      </c>
      <c r="O481" s="347" t="s">
        <v>4441</v>
      </c>
      <c r="P481" s="347" t="s">
        <v>1467</v>
      </c>
      <c r="Q481" s="347"/>
      <c r="R481" s="347"/>
      <c r="S481" s="348">
        <v>43830</v>
      </c>
      <c r="T481" s="348">
        <v>43830</v>
      </c>
      <c r="U481" s="347" t="s">
        <v>1579</v>
      </c>
      <c r="V481" s="345">
        <v>900</v>
      </c>
      <c r="W481" s="345">
        <v>14040</v>
      </c>
      <c r="X481" s="349">
        <v>7327.19</v>
      </c>
      <c r="Y481" s="345">
        <v>14046</v>
      </c>
      <c r="Z481" s="349">
        <v>3867.08</v>
      </c>
      <c r="AA481" s="349">
        <f t="shared" si="81"/>
        <v>3460.1099999999997</v>
      </c>
      <c r="AB481" s="349">
        <v>610.55999999999995</v>
      </c>
      <c r="AC481" s="345">
        <v>51260</v>
      </c>
      <c r="AD481" s="349">
        <v>67.84</v>
      </c>
      <c r="AE481" s="345" t="s">
        <v>944</v>
      </c>
      <c r="AF481" s="347"/>
      <c r="AG481" s="347"/>
      <c r="AH481" s="347" t="s">
        <v>57</v>
      </c>
      <c r="AI481" s="347" t="s">
        <v>4442</v>
      </c>
      <c r="AJ481" s="347" t="s">
        <v>4443</v>
      </c>
      <c r="AK481" s="347" t="s">
        <v>4437</v>
      </c>
      <c r="AL481" s="387">
        <v>45574</v>
      </c>
    </row>
    <row r="482" spans="2:38" ht="15.75" outlineLevel="1">
      <c r="B482" s="345">
        <v>2111</v>
      </c>
      <c r="C482" s="346">
        <v>255492</v>
      </c>
      <c r="D482" s="345">
        <v>255491</v>
      </c>
      <c r="E482" s="347" t="s">
        <v>4240</v>
      </c>
      <c r="F482" s="343" t="s">
        <v>1193</v>
      </c>
      <c r="I482" s="345">
        <v>1</v>
      </c>
      <c r="J482" s="347"/>
      <c r="K482" s="345">
        <v>0</v>
      </c>
      <c r="L482" s="347" t="s">
        <v>1580</v>
      </c>
      <c r="M482" s="347"/>
      <c r="N482" s="347" t="s">
        <v>4445</v>
      </c>
      <c r="O482" s="347" t="s">
        <v>4441</v>
      </c>
      <c r="P482" s="347" t="s">
        <v>1467</v>
      </c>
      <c r="Q482" s="347"/>
      <c r="R482" s="347"/>
      <c r="S482" s="348">
        <v>43830</v>
      </c>
      <c r="T482" s="348">
        <v>43830</v>
      </c>
      <c r="U482" s="347" t="s">
        <v>1579</v>
      </c>
      <c r="V482" s="345">
        <v>900</v>
      </c>
      <c r="W482" s="345">
        <v>14040</v>
      </c>
      <c r="X482" s="349">
        <v>6907.22</v>
      </c>
      <c r="Y482" s="345">
        <v>14046</v>
      </c>
      <c r="Z482" s="349">
        <v>3645.52</v>
      </c>
      <c r="AA482" s="349">
        <f t="shared" si="81"/>
        <v>3261.7000000000003</v>
      </c>
      <c r="AB482" s="349">
        <v>575.64</v>
      </c>
      <c r="AC482" s="345">
        <v>51260</v>
      </c>
      <c r="AD482" s="349">
        <v>63.96</v>
      </c>
      <c r="AE482" s="345" t="s">
        <v>944</v>
      </c>
      <c r="AF482" s="347"/>
      <c r="AG482" s="347"/>
      <c r="AH482" s="347" t="s">
        <v>57</v>
      </c>
      <c r="AI482" s="347" t="s">
        <v>4442</v>
      </c>
      <c r="AJ482" s="347" t="s">
        <v>4443</v>
      </c>
      <c r="AK482" s="347" t="s">
        <v>4437</v>
      </c>
      <c r="AL482" s="387">
        <v>45574</v>
      </c>
    </row>
    <row r="483" spans="2:38" ht="15.75" outlineLevel="1">
      <c r="B483" s="345">
        <v>2111</v>
      </c>
      <c r="C483" s="346">
        <v>255491</v>
      </c>
      <c r="D483" s="345" t="s">
        <v>944</v>
      </c>
      <c r="E483" s="347" t="s">
        <v>4240</v>
      </c>
      <c r="F483" s="343" t="s">
        <v>1049</v>
      </c>
      <c r="I483" s="345">
        <v>1</v>
      </c>
      <c r="J483" s="347" t="s">
        <v>1581</v>
      </c>
      <c r="K483" s="345">
        <v>2019</v>
      </c>
      <c r="L483" s="347" t="s">
        <v>1483</v>
      </c>
      <c r="M483" s="347"/>
      <c r="N483" s="347" t="s">
        <v>4445</v>
      </c>
      <c r="O483" s="347" t="s">
        <v>4441</v>
      </c>
      <c r="P483" s="347" t="s">
        <v>4497</v>
      </c>
      <c r="Q483" s="347"/>
      <c r="R483" s="347"/>
      <c r="S483" s="348">
        <v>43732</v>
      </c>
      <c r="T483" s="348">
        <v>43732</v>
      </c>
      <c r="U483" s="347" t="s">
        <v>1583</v>
      </c>
      <c r="V483" s="345">
        <v>900</v>
      </c>
      <c r="W483" s="345">
        <v>14040</v>
      </c>
      <c r="X483" s="349">
        <v>161994</v>
      </c>
      <c r="Y483" s="345">
        <v>14046</v>
      </c>
      <c r="Z483" s="349">
        <v>89996.57</v>
      </c>
      <c r="AA483" s="349">
        <f t="shared" si="81"/>
        <v>71997.429999999993</v>
      </c>
      <c r="AB483" s="349">
        <v>13499.46</v>
      </c>
      <c r="AC483" s="345">
        <v>51260</v>
      </c>
      <c r="AD483" s="349">
        <v>1499.94</v>
      </c>
      <c r="AE483" s="345" t="s">
        <v>944</v>
      </c>
      <c r="AF483" s="347"/>
      <c r="AG483" s="347">
        <v>190</v>
      </c>
      <c r="AH483" s="347" t="s">
        <v>57</v>
      </c>
      <c r="AI483" s="347" t="s">
        <v>4442</v>
      </c>
      <c r="AJ483" s="347" t="s">
        <v>4443</v>
      </c>
      <c r="AK483" s="347" t="s">
        <v>4437</v>
      </c>
      <c r="AL483" s="387">
        <v>45574</v>
      </c>
    </row>
    <row r="484" spans="2:38" ht="15.75" outlineLevel="1">
      <c r="B484" s="345">
        <v>2111</v>
      </c>
      <c r="C484" s="346">
        <v>255487</v>
      </c>
      <c r="D484" s="345">
        <v>255486</v>
      </c>
      <c r="E484" s="347" t="s">
        <v>4240</v>
      </c>
      <c r="F484" s="343" t="s">
        <v>1197</v>
      </c>
      <c r="I484" s="345">
        <v>1</v>
      </c>
      <c r="J484" s="347"/>
      <c r="K484" s="345">
        <v>2010</v>
      </c>
      <c r="L484" s="347" t="s">
        <v>1594</v>
      </c>
      <c r="M484" s="347" t="s">
        <v>1594</v>
      </c>
      <c r="N484" s="347" t="s">
        <v>4445</v>
      </c>
      <c r="O484" s="347" t="s">
        <v>4441</v>
      </c>
      <c r="P484" s="347" t="s">
        <v>4497</v>
      </c>
      <c r="Q484" s="347"/>
      <c r="R484" s="347"/>
      <c r="S484" s="348">
        <v>43488</v>
      </c>
      <c r="T484" s="348">
        <v>43488</v>
      </c>
      <c r="U484" s="347" t="s">
        <v>1595</v>
      </c>
      <c r="V484" s="345">
        <v>300</v>
      </c>
      <c r="W484" s="345">
        <v>14040</v>
      </c>
      <c r="X484" s="349">
        <v>15188.18</v>
      </c>
      <c r="Y484" s="345">
        <v>14046</v>
      </c>
      <c r="Z484" s="349">
        <v>15188.18</v>
      </c>
      <c r="AA484" s="349">
        <f t="shared" si="81"/>
        <v>0</v>
      </c>
      <c r="AB484" s="349">
        <v>0</v>
      </c>
      <c r="AC484" s="345">
        <v>51260</v>
      </c>
      <c r="AD484" s="349">
        <v>0</v>
      </c>
      <c r="AE484" s="345" t="s">
        <v>944</v>
      </c>
      <c r="AF484" s="347"/>
      <c r="AG484" s="347"/>
      <c r="AH484" s="347" t="s">
        <v>57</v>
      </c>
      <c r="AI484" s="347" t="s">
        <v>4442</v>
      </c>
      <c r="AJ484" s="347" t="s">
        <v>4443</v>
      </c>
      <c r="AK484" s="347" t="s">
        <v>4437</v>
      </c>
      <c r="AL484" s="387">
        <v>45574</v>
      </c>
    </row>
    <row r="485" spans="2:38" ht="15.75" outlineLevel="1">
      <c r="B485" s="345">
        <v>2111</v>
      </c>
      <c r="C485" s="346">
        <v>255486</v>
      </c>
      <c r="D485" s="345" t="s">
        <v>944</v>
      </c>
      <c r="E485" s="347" t="s">
        <v>4240</v>
      </c>
      <c r="F485" s="343" t="s">
        <v>1198</v>
      </c>
      <c r="I485" s="345">
        <v>1</v>
      </c>
      <c r="J485" s="347" t="s">
        <v>1596</v>
      </c>
      <c r="K485" s="345">
        <v>2010</v>
      </c>
      <c r="L485" s="347"/>
      <c r="M485" s="347"/>
      <c r="N485" s="347" t="s">
        <v>4445</v>
      </c>
      <c r="O485" s="347" t="s">
        <v>4441</v>
      </c>
      <c r="P485" s="347" t="s">
        <v>4497</v>
      </c>
      <c r="Q485" s="347"/>
      <c r="R485" s="347"/>
      <c r="S485" s="348">
        <v>43488</v>
      </c>
      <c r="T485" s="348">
        <v>43488</v>
      </c>
      <c r="U485" s="347" t="s">
        <v>1595</v>
      </c>
      <c r="V485" s="345">
        <v>300</v>
      </c>
      <c r="W485" s="345">
        <v>14040</v>
      </c>
      <c r="X485" s="349">
        <v>33354.65</v>
      </c>
      <c r="Y485" s="345">
        <v>14046</v>
      </c>
      <c r="Z485" s="349">
        <v>33354.65</v>
      </c>
      <c r="AA485" s="349">
        <f t="shared" ref="AA485:AA548" si="92">+X485-Z485</f>
        <v>0</v>
      </c>
      <c r="AB485" s="349">
        <v>0</v>
      </c>
      <c r="AC485" s="345">
        <v>51260</v>
      </c>
      <c r="AD485" s="349">
        <v>0</v>
      </c>
      <c r="AE485" s="345" t="s">
        <v>944</v>
      </c>
      <c r="AF485" s="347">
        <v>0</v>
      </c>
      <c r="AG485" s="347" t="s">
        <v>1597</v>
      </c>
      <c r="AH485" s="347" t="s">
        <v>57</v>
      </c>
      <c r="AI485" s="347" t="s">
        <v>4442</v>
      </c>
      <c r="AJ485" s="347" t="s">
        <v>4443</v>
      </c>
      <c r="AK485" s="347" t="s">
        <v>4437</v>
      </c>
      <c r="AL485" s="387">
        <v>45574</v>
      </c>
    </row>
    <row r="486" spans="2:38" ht="15.75" outlineLevel="1">
      <c r="B486" s="345">
        <v>2111</v>
      </c>
      <c r="C486" s="346">
        <v>255483</v>
      </c>
      <c r="D486" s="345">
        <v>255482</v>
      </c>
      <c r="E486" s="347" t="s">
        <v>4240</v>
      </c>
      <c r="F486" s="343" t="s">
        <v>1197</v>
      </c>
      <c r="I486" s="345">
        <v>1</v>
      </c>
      <c r="J486" s="347"/>
      <c r="K486" s="345">
        <v>2010</v>
      </c>
      <c r="L486" s="347" t="s">
        <v>1594</v>
      </c>
      <c r="M486" s="347" t="s">
        <v>1594</v>
      </c>
      <c r="N486" s="347" t="s">
        <v>4445</v>
      </c>
      <c r="O486" s="347" t="s">
        <v>4441</v>
      </c>
      <c r="P486" s="347" t="s">
        <v>4497</v>
      </c>
      <c r="Q486" s="347"/>
      <c r="R486" s="347"/>
      <c r="S486" s="348">
        <v>43488</v>
      </c>
      <c r="T486" s="348">
        <v>43488</v>
      </c>
      <c r="U486" s="347" t="s">
        <v>1601</v>
      </c>
      <c r="V486" s="345">
        <v>300</v>
      </c>
      <c r="W486" s="345">
        <v>14040</v>
      </c>
      <c r="X486" s="349">
        <v>15188.18</v>
      </c>
      <c r="Y486" s="345">
        <v>14046</v>
      </c>
      <c r="Z486" s="349">
        <v>15188.18</v>
      </c>
      <c r="AA486" s="349">
        <f t="shared" si="92"/>
        <v>0</v>
      </c>
      <c r="AB486" s="349">
        <v>0</v>
      </c>
      <c r="AC486" s="345">
        <v>51260</v>
      </c>
      <c r="AD486" s="349">
        <v>0</v>
      </c>
      <c r="AE486" s="345" t="s">
        <v>944</v>
      </c>
      <c r="AF486" s="347"/>
      <c r="AG486" s="347"/>
      <c r="AH486" s="347" t="s">
        <v>57</v>
      </c>
      <c r="AI486" s="347" t="s">
        <v>4442</v>
      </c>
      <c r="AJ486" s="347" t="s">
        <v>4443</v>
      </c>
      <c r="AK486" s="347" t="s">
        <v>4437</v>
      </c>
      <c r="AL486" s="387">
        <v>45574</v>
      </c>
    </row>
    <row r="487" spans="2:38" ht="15.75" outlineLevel="1">
      <c r="B487" s="345">
        <v>2111</v>
      </c>
      <c r="C487" s="346">
        <v>255482</v>
      </c>
      <c r="D487" s="345" t="s">
        <v>944</v>
      </c>
      <c r="E487" s="347" t="s">
        <v>4240</v>
      </c>
      <c r="F487" s="343" t="s">
        <v>1200</v>
      </c>
      <c r="I487" s="345">
        <v>1</v>
      </c>
      <c r="J487" s="347" t="s">
        <v>1602</v>
      </c>
      <c r="K487" s="345">
        <v>2010</v>
      </c>
      <c r="L487" s="347"/>
      <c r="M487" s="347"/>
      <c r="N487" s="347" t="s">
        <v>4445</v>
      </c>
      <c r="O487" s="347" t="s">
        <v>4441</v>
      </c>
      <c r="P487" s="347" t="s">
        <v>4497</v>
      </c>
      <c r="Q487" s="347"/>
      <c r="R487" s="347"/>
      <c r="S487" s="348">
        <v>43488</v>
      </c>
      <c r="T487" s="348">
        <v>43488</v>
      </c>
      <c r="U487" s="347" t="s">
        <v>1601</v>
      </c>
      <c r="V487" s="345">
        <v>300</v>
      </c>
      <c r="W487" s="345">
        <v>14040</v>
      </c>
      <c r="X487" s="349">
        <v>33354.65</v>
      </c>
      <c r="Y487" s="345">
        <v>14046</v>
      </c>
      <c r="Z487" s="349">
        <v>33354.65</v>
      </c>
      <c r="AA487" s="349">
        <f t="shared" si="92"/>
        <v>0</v>
      </c>
      <c r="AB487" s="349">
        <v>0</v>
      </c>
      <c r="AC487" s="345">
        <v>51260</v>
      </c>
      <c r="AD487" s="349">
        <v>0</v>
      </c>
      <c r="AE487" s="345" t="s">
        <v>944</v>
      </c>
      <c r="AF487" s="347">
        <v>0</v>
      </c>
      <c r="AG487" s="347" t="s">
        <v>1603</v>
      </c>
      <c r="AH487" s="347" t="s">
        <v>57</v>
      </c>
      <c r="AI487" s="347" t="s">
        <v>4442</v>
      </c>
      <c r="AJ487" s="347" t="s">
        <v>4443</v>
      </c>
      <c r="AK487" s="347" t="s">
        <v>4437</v>
      </c>
      <c r="AL487" s="387">
        <v>45574</v>
      </c>
    </row>
    <row r="488" spans="2:38" ht="15.75" outlineLevel="1">
      <c r="B488" s="345">
        <v>2111</v>
      </c>
      <c r="C488" s="346">
        <v>255481</v>
      </c>
      <c r="D488" s="345">
        <v>255480</v>
      </c>
      <c r="E488" s="347" t="s">
        <v>4240</v>
      </c>
      <c r="F488" s="343" t="s">
        <v>1197</v>
      </c>
      <c r="I488" s="345">
        <v>1</v>
      </c>
      <c r="J488" s="347"/>
      <c r="K488" s="345">
        <v>2010</v>
      </c>
      <c r="L488" s="347" t="s">
        <v>1594</v>
      </c>
      <c r="M488" s="347" t="s">
        <v>1594</v>
      </c>
      <c r="N488" s="347" t="s">
        <v>4445</v>
      </c>
      <c r="O488" s="347" t="s">
        <v>4441</v>
      </c>
      <c r="P488" s="347" t="s">
        <v>4497</v>
      </c>
      <c r="Q488" s="347"/>
      <c r="R488" s="347"/>
      <c r="S488" s="348">
        <v>43488</v>
      </c>
      <c r="T488" s="348">
        <v>43488</v>
      </c>
      <c r="U488" s="347" t="s">
        <v>1604</v>
      </c>
      <c r="V488" s="345">
        <v>300</v>
      </c>
      <c r="W488" s="345">
        <v>14040</v>
      </c>
      <c r="X488" s="349">
        <v>15188.18</v>
      </c>
      <c r="Y488" s="345">
        <v>14046</v>
      </c>
      <c r="Z488" s="349">
        <v>15188.18</v>
      </c>
      <c r="AA488" s="349">
        <f t="shared" si="92"/>
        <v>0</v>
      </c>
      <c r="AB488" s="349">
        <v>0</v>
      </c>
      <c r="AC488" s="345">
        <v>51260</v>
      </c>
      <c r="AD488" s="349">
        <v>0</v>
      </c>
      <c r="AE488" s="345" t="s">
        <v>944</v>
      </c>
      <c r="AF488" s="347"/>
      <c r="AG488" s="347"/>
      <c r="AH488" s="347" t="s">
        <v>57</v>
      </c>
      <c r="AI488" s="347" t="s">
        <v>4442</v>
      </c>
      <c r="AJ488" s="347" t="s">
        <v>4443</v>
      </c>
      <c r="AK488" s="347" t="s">
        <v>4437</v>
      </c>
      <c r="AL488" s="387">
        <v>45574</v>
      </c>
    </row>
    <row r="489" spans="2:38" ht="15.75" outlineLevel="1">
      <c r="B489" s="345">
        <v>2111</v>
      </c>
      <c r="C489" s="346">
        <v>255480</v>
      </c>
      <c r="D489" s="345" t="s">
        <v>944</v>
      </c>
      <c r="E489" s="347" t="s">
        <v>4240</v>
      </c>
      <c r="F489" s="343" t="s">
        <v>1201</v>
      </c>
      <c r="I489" s="345">
        <v>1</v>
      </c>
      <c r="J489" s="347" t="s">
        <v>1605</v>
      </c>
      <c r="K489" s="345">
        <v>2010</v>
      </c>
      <c r="L489" s="347"/>
      <c r="M489" s="347"/>
      <c r="N489" s="347" t="s">
        <v>4445</v>
      </c>
      <c r="O489" s="347" t="s">
        <v>4441</v>
      </c>
      <c r="P489" s="347" t="s">
        <v>4497</v>
      </c>
      <c r="Q489" s="347"/>
      <c r="R489" s="347"/>
      <c r="S489" s="348">
        <v>43488</v>
      </c>
      <c r="T489" s="348">
        <v>43488</v>
      </c>
      <c r="U489" s="347" t="s">
        <v>1604</v>
      </c>
      <c r="V489" s="345">
        <v>300</v>
      </c>
      <c r="W489" s="345">
        <v>14040</v>
      </c>
      <c r="X489" s="349">
        <v>33354.65</v>
      </c>
      <c r="Y489" s="345">
        <v>14046</v>
      </c>
      <c r="Z489" s="349">
        <v>33354.65</v>
      </c>
      <c r="AA489" s="349">
        <f t="shared" si="92"/>
        <v>0</v>
      </c>
      <c r="AB489" s="349">
        <v>0</v>
      </c>
      <c r="AC489" s="345">
        <v>51260</v>
      </c>
      <c r="AD489" s="349">
        <v>0</v>
      </c>
      <c r="AE489" s="345" t="s">
        <v>944</v>
      </c>
      <c r="AF489" s="347">
        <v>0</v>
      </c>
      <c r="AG489" s="347" t="s">
        <v>1606</v>
      </c>
      <c r="AH489" s="347" t="s">
        <v>57</v>
      </c>
      <c r="AI489" s="347" t="s">
        <v>4442</v>
      </c>
      <c r="AJ489" s="347" t="s">
        <v>4443</v>
      </c>
      <c r="AK489" s="347" t="s">
        <v>4437</v>
      </c>
      <c r="AL489" s="387">
        <v>45574</v>
      </c>
    </row>
    <row r="490" spans="2:38" ht="15.75" outlineLevel="1">
      <c r="B490" s="345">
        <v>2111</v>
      </c>
      <c r="C490" s="346">
        <v>255479</v>
      </c>
      <c r="D490" s="345">
        <v>255478</v>
      </c>
      <c r="E490" s="347" t="s">
        <v>4240</v>
      </c>
      <c r="F490" s="343" t="s">
        <v>1197</v>
      </c>
      <c r="I490" s="345">
        <v>1</v>
      </c>
      <c r="J490" s="347"/>
      <c r="K490" s="345">
        <v>2010</v>
      </c>
      <c r="L490" s="347" t="s">
        <v>1594</v>
      </c>
      <c r="M490" s="347" t="s">
        <v>1594</v>
      </c>
      <c r="N490" s="347" t="s">
        <v>4445</v>
      </c>
      <c r="O490" s="347" t="s">
        <v>4441</v>
      </c>
      <c r="P490" s="347" t="s">
        <v>4497</v>
      </c>
      <c r="Q490" s="347"/>
      <c r="R490" s="347"/>
      <c r="S490" s="348">
        <v>43488</v>
      </c>
      <c r="T490" s="348">
        <v>43488</v>
      </c>
      <c r="U490" s="347" t="s">
        <v>1607</v>
      </c>
      <c r="V490" s="345">
        <v>300</v>
      </c>
      <c r="W490" s="345">
        <v>14040</v>
      </c>
      <c r="X490" s="349">
        <v>15188.18</v>
      </c>
      <c r="Y490" s="345">
        <v>14046</v>
      </c>
      <c r="Z490" s="349">
        <v>15188.18</v>
      </c>
      <c r="AA490" s="349">
        <f t="shared" si="92"/>
        <v>0</v>
      </c>
      <c r="AB490" s="349">
        <v>0</v>
      </c>
      <c r="AC490" s="345">
        <v>51260</v>
      </c>
      <c r="AD490" s="349">
        <v>0</v>
      </c>
      <c r="AE490" s="345" t="s">
        <v>944</v>
      </c>
      <c r="AF490" s="347"/>
      <c r="AG490" s="347"/>
      <c r="AH490" s="347" t="s">
        <v>57</v>
      </c>
      <c r="AI490" s="347" t="s">
        <v>4442</v>
      </c>
      <c r="AJ490" s="347" t="s">
        <v>4443</v>
      </c>
      <c r="AK490" s="347" t="s">
        <v>4437</v>
      </c>
      <c r="AL490" s="387">
        <v>45574</v>
      </c>
    </row>
    <row r="491" spans="2:38" ht="15.75" outlineLevel="1">
      <c r="B491" s="345">
        <v>2111</v>
      </c>
      <c r="C491" s="346">
        <v>255478</v>
      </c>
      <c r="D491" s="345" t="s">
        <v>944</v>
      </c>
      <c r="E491" s="347" t="s">
        <v>4240</v>
      </c>
      <c r="F491" s="343" t="s">
        <v>1202</v>
      </c>
      <c r="I491" s="345">
        <v>1</v>
      </c>
      <c r="J491" s="347" t="s">
        <v>1608</v>
      </c>
      <c r="K491" s="345">
        <v>2010</v>
      </c>
      <c r="L491" s="347"/>
      <c r="M491" s="347"/>
      <c r="N491" s="347" t="s">
        <v>4445</v>
      </c>
      <c r="O491" s="347" t="s">
        <v>4441</v>
      </c>
      <c r="P491" s="347" t="s">
        <v>4497</v>
      </c>
      <c r="Q491" s="347"/>
      <c r="R491" s="347"/>
      <c r="S491" s="348">
        <v>43488</v>
      </c>
      <c r="T491" s="348">
        <v>43488</v>
      </c>
      <c r="U491" s="347" t="s">
        <v>1607</v>
      </c>
      <c r="V491" s="345">
        <v>300</v>
      </c>
      <c r="W491" s="345">
        <v>14040</v>
      </c>
      <c r="X491" s="349">
        <v>33354.65</v>
      </c>
      <c r="Y491" s="345">
        <v>14046</v>
      </c>
      <c r="Z491" s="349">
        <v>33354.65</v>
      </c>
      <c r="AA491" s="349">
        <f t="shared" si="92"/>
        <v>0</v>
      </c>
      <c r="AB491" s="349">
        <v>0</v>
      </c>
      <c r="AC491" s="345">
        <v>51260</v>
      </c>
      <c r="AD491" s="349">
        <v>0</v>
      </c>
      <c r="AE491" s="345" t="s">
        <v>944</v>
      </c>
      <c r="AF491" s="347">
        <v>0</v>
      </c>
      <c r="AG491" s="347" t="s">
        <v>1609</v>
      </c>
      <c r="AH491" s="347" t="s">
        <v>57</v>
      </c>
      <c r="AI491" s="347" t="s">
        <v>4442</v>
      </c>
      <c r="AJ491" s="347" t="s">
        <v>4443</v>
      </c>
      <c r="AK491" s="347" t="s">
        <v>4437</v>
      </c>
      <c r="AL491" s="387">
        <v>45574</v>
      </c>
    </row>
    <row r="492" spans="2:38" ht="15.75" outlineLevel="1">
      <c r="B492" s="345">
        <v>2111</v>
      </c>
      <c r="C492" s="346">
        <v>255477</v>
      </c>
      <c r="D492" s="345" t="s">
        <v>944</v>
      </c>
      <c r="E492" s="347" t="s">
        <v>4240</v>
      </c>
      <c r="F492" s="343" t="s">
        <v>1203</v>
      </c>
      <c r="I492" s="345">
        <v>1</v>
      </c>
      <c r="J492" s="347" t="s">
        <v>1610</v>
      </c>
      <c r="K492" s="345">
        <v>2010</v>
      </c>
      <c r="L492" s="347" t="s">
        <v>1611</v>
      </c>
      <c r="M492" s="347" t="s">
        <v>1611</v>
      </c>
      <c r="N492" s="347" t="s">
        <v>4445</v>
      </c>
      <c r="O492" s="347" t="s">
        <v>4441</v>
      </c>
      <c r="P492" s="347" t="s">
        <v>1575</v>
      </c>
      <c r="Q492" s="347"/>
      <c r="R492" s="347"/>
      <c r="S492" s="348">
        <v>43831</v>
      </c>
      <c r="T492" s="348">
        <v>43831</v>
      </c>
      <c r="U492" s="347" t="s">
        <v>1613</v>
      </c>
      <c r="V492" s="345">
        <v>210</v>
      </c>
      <c r="W492" s="345">
        <v>14040</v>
      </c>
      <c r="X492" s="349">
        <v>33513</v>
      </c>
      <c r="Y492" s="345">
        <v>14046</v>
      </c>
      <c r="Z492" s="349">
        <v>33513</v>
      </c>
      <c r="AA492" s="349">
        <f t="shared" si="92"/>
        <v>0</v>
      </c>
      <c r="AB492" s="349">
        <v>0</v>
      </c>
      <c r="AC492" s="345">
        <v>51260</v>
      </c>
      <c r="AD492" s="349">
        <v>0</v>
      </c>
      <c r="AE492" s="345" t="s">
        <v>944</v>
      </c>
      <c r="AF492" s="347">
        <v>0</v>
      </c>
      <c r="AG492" s="347" t="s">
        <v>1614</v>
      </c>
      <c r="AH492" s="347" t="s">
        <v>57</v>
      </c>
      <c r="AI492" s="347" t="s">
        <v>4442</v>
      </c>
      <c r="AJ492" s="347" t="s">
        <v>4443</v>
      </c>
      <c r="AK492" s="347" t="s">
        <v>4437</v>
      </c>
      <c r="AL492" s="387">
        <v>45574</v>
      </c>
    </row>
    <row r="493" spans="2:38" ht="15.75" outlineLevel="1">
      <c r="B493" s="345">
        <v>2111</v>
      </c>
      <c r="C493" s="346">
        <v>255476</v>
      </c>
      <c r="D493" s="345">
        <v>255477</v>
      </c>
      <c r="E493" s="347" t="s">
        <v>4240</v>
      </c>
      <c r="F493" s="343" t="s">
        <v>1204</v>
      </c>
      <c r="I493" s="345">
        <v>1</v>
      </c>
      <c r="J493" s="347" t="s">
        <v>1610</v>
      </c>
      <c r="K493" s="345">
        <v>2010</v>
      </c>
      <c r="L493" s="347" t="s">
        <v>1594</v>
      </c>
      <c r="M493" s="347" t="s">
        <v>1594</v>
      </c>
      <c r="N493" s="347" t="s">
        <v>4445</v>
      </c>
      <c r="O493" s="347" t="s">
        <v>4441</v>
      </c>
      <c r="P493" s="347" t="s">
        <v>4497</v>
      </c>
      <c r="Q493" s="347"/>
      <c r="R493" s="347"/>
      <c r="S493" s="348">
        <v>43488</v>
      </c>
      <c r="T493" s="348">
        <v>43488</v>
      </c>
      <c r="U493" s="347" t="s">
        <v>1613</v>
      </c>
      <c r="V493" s="345">
        <v>300</v>
      </c>
      <c r="W493" s="345">
        <v>14040</v>
      </c>
      <c r="X493" s="349">
        <v>15188.18</v>
      </c>
      <c r="Y493" s="345">
        <v>14046</v>
      </c>
      <c r="Z493" s="349">
        <v>15188.18</v>
      </c>
      <c r="AA493" s="349">
        <f t="shared" si="92"/>
        <v>0</v>
      </c>
      <c r="AB493" s="349">
        <v>0</v>
      </c>
      <c r="AC493" s="345">
        <v>51260</v>
      </c>
      <c r="AD493" s="349">
        <v>0</v>
      </c>
      <c r="AE493" s="345" t="s">
        <v>944</v>
      </c>
      <c r="AF493" s="347"/>
      <c r="AG493" s="347"/>
      <c r="AH493" s="347" t="s">
        <v>57</v>
      </c>
      <c r="AI493" s="347" t="s">
        <v>4442</v>
      </c>
      <c r="AJ493" s="347" t="s">
        <v>4443</v>
      </c>
      <c r="AK493" s="347" t="s">
        <v>4437</v>
      </c>
      <c r="AL493" s="387">
        <v>45574</v>
      </c>
    </row>
    <row r="494" spans="2:38" ht="15.75" outlineLevel="1">
      <c r="B494" s="345">
        <v>2111</v>
      </c>
      <c r="C494" s="346">
        <v>255475</v>
      </c>
      <c r="D494" s="345">
        <v>255477</v>
      </c>
      <c r="E494" s="347" t="s">
        <v>4240</v>
      </c>
      <c r="F494" s="343" t="s">
        <v>1205</v>
      </c>
      <c r="I494" s="345">
        <v>1</v>
      </c>
      <c r="J494" s="347" t="s">
        <v>1610</v>
      </c>
      <c r="K494" s="345">
        <v>2010</v>
      </c>
      <c r="L494" s="347" t="s">
        <v>1594</v>
      </c>
      <c r="M494" s="347" t="s">
        <v>1594</v>
      </c>
      <c r="N494" s="347" t="s">
        <v>4445</v>
      </c>
      <c r="O494" s="347" t="s">
        <v>4441</v>
      </c>
      <c r="P494" s="347" t="s">
        <v>4497</v>
      </c>
      <c r="Q494" s="347"/>
      <c r="R494" s="347"/>
      <c r="S494" s="348">
        <v>43488</v>
      </c>
      <c r="T494" s="348">
        <v>43488</v>
      </c>
      <c r="U494" s="347" t="s">
        <v>1613</v>
      </c>
      <c r="V494" s="345">
        <v>300</v>
      </c>
      <c r="W494" s="345">
        <v>14040</v>
      </c>
      <c r="X494" s="349">
        <v>3517.75</v>
      </c>
      <c r="Y494" s="345">
        <v>14046</v>
      </c>
      <c r="Z494" s="349">
        <v>3517.75</v>
      </c>
      <c r="AA494" s="349">
        <f t="shared" si="92"/>
        <v>0</v>
      </c>
      <c r="AB494" s="349">
        <v>0</v>
      </c>
      <c r="AC494" s="345">
        <v>51260</v>
      </c>
      <c r="AD494" s="349">
        <v>0</v>
      </c>
      <c r="AE494" s="345" t="s">
        <v>944</v>
      </c>
      <c r="AF494" s="347"/>
      <c r="AG494" s="347"/>
      <c r="AH494" s="347" t="s">
        <v>57</v>
      </c>
      <c r="AI494" s="347" t="s">
        <v>4442</v>
      </c>
      <c r="AJ494" s="347" t="s">
        <v>4443</v>
      </c>
      <c r="AK494" s="347" t="s">
        <v>4437</v>
      </c>
      <c r="AL494" s="387">
        <v>45574</v>
      </c>
    </row>
    <row r="495" spans="2:38" ht="15.75" outlineLevel="1">
      <c r="B495" s="345">
        <v>2111</v>
      </c>
      <c r="C495" s="346">
        <v>255474</v>
      </c>
      <c r="D495" s="345" t="s">
        <v>944</v>
      </c>
      <c r="E495" s="347" t="s">
        <v>4240</v>
      </c>
      <c r="F495" s="343" t="s">
        <v>1203</v>
      </c>
      <c r="I495" s="345">
        <v>1</v>
      </c>
      <c r="J495" s="347" t="s">
        <v>1615</v>
      </c>
      <c r="K495" s="345">
        <v>2010</v>
      </c>
      <c r="L495" s="347" t="s">
        <v>1611</v>
      </c>
      <c r="M495" s="347"/>
      <c r="N495" s="347" t="s">
        <v>4445</v>
      </c>
      <c r="O495" s="347" t="s">
        <v>4441</v>
      </c>
      <c r="P495" s="347" t="s">
        <v>1575</v>
      </c>
      <c r="Q495" s="347"/>
      <c r="R495" s="347"/>
      <c r="S495" s="348">
        <v>43831</v>
      </c>
      <c r="T495" s="348">
        <v>43831</v>
      </c>
      <c r="U495" s="347" t="s">
        <v>1616</v>
      </c>
      <c r="V495" s="345">
        <v>211</v>
      </c>
      <c r="W495" s="345">
        <v>14040</v>
      </c>
      <c r="X495" s="349">
        <v>37015</v>
      </c>
      <c r="Y495" s="345">
        <v>14046</v>
      </c>
      <c r="Z495" s="349">
        <v>37015</v>
      </c>
      <c r="AA495" s="349">
        <f t="shared" si="92"/>
        <v>0</v>
      </c>
      <c r="AB495" s="349">
        <v>0</v>
      </c>
      <c r="AC495" s="345">
        <v>51260</v>
      </c>
      <c r="AD495" s="349">
        <v>0</v>
      </c>
      <c r="AE495" s="345" t="s">
        <v>944</v>
      </c>
      <c r="AF495" s="347">
        <v>0</v>
      </c>
      <c r="AG495" s="347" t="s">
        <v>1617</v>
      </c>
      <c r="AH495" s="347" t="s">
        <v>57</v>
      </c>
      <c r="AI495" s="347" t="s">
        <v>4442</v>
      </c>
      <c r="AJ495" s="347" t="s">
        <v>4443</v>
      </c>
      <c r="AK495" s="347" t="s">
        <v>4437</v>
      </c>
      <c r="AL495" s="387">
        <v>45574</v>
      </c>
    </row>
    <row r="496" spans="2:38" ht="15.75" outlineLevel="1">
      <c r="B496" s="345">
        <v>2111</v>
      </c>
      <c r="C496" s="346">
        <v>255473</v>
      </c>
      <c r="D496" s="345">
        <v>255474</v>
      </c>
      <c r="E496" s="347" t="s">
        <v>4240</v>
      </c>
      <c r="F496" s="343" t="s">
        <v>1204</v>
      </c>
      <c r="I496" s="345">
        <v>1</v>
      </c>
      <c r="J496" s="347" t="s">
        <v>1615</v>
      </c>
      <c r="K496" s="345">
        <v>2010</v>
      </c>
      <c r="L496" s="347" t="s">
        <v>1594</v>
      </c>
      <c r="M496" s="347" t="s">
        <v>1594</v>
      </c>
      <c r="N496" s="347" t="s">
        <v>4445</v>
      </c>
      <c r="O496" s="347" t="s">
        <v>4441</v>
      </c>
      <c r="P496" s="347" t="s">
        <v>4497</v>
      </c>
      <c r="Q496" s="347"/>
      <c r="R496" s="347"/>
      <c r="S496" s="348">
        <v>43488</v>
      </c>
      <c r="T496" s="348">
        <v>43488</v>
      </c>
      <c r="U496" s="347" t="s">
        <v>1616</v>
      </c>
      <c r="V496" s="345">
        <v>300</v>
      </c>
      <c r="W496" s="345">
        <v>14040</v>
      </c>
      <c r="X496" s="349">
        <v>15188.18</v>
      </c>
      <c r="Y496" s="345">
        <v>14046</v>
      </c>
      <c r="Z496" s="349">
        <v>15188.18</v>
      </c>
      <c r="AA496" s="349">
        <f t="shared" si="92"/>
        <v>0</v>
      </c>
      <c r="AB496" s="349">
        <v>0</v>
      </c>
      <c r="AC496" s="345">
        <v>51260</v>
      </c>
      <c r="AD496" s="349">
        <v>0</v>
      </c>
      <c r="AE496" s="345" t="s">
        <v>944</v>
      </c>
      <c r="AF496" s="347"/>
      <c r="AG496" s="347"/>
      <c r="AH496" s="347" t="s">
        <v>57</v>
      </c>
      <c r="AI496" s="347" t="s">
        <v>4442</v>
      </c>
      <c r="AJ496" s="347" t="s">
        <v>4443</v>
      </c>
      <c r="AK496" s="347" t="s">
        <v>4437</v>
      </c>
      <c r="AL496" s="387">
        <v>45574</v>
      </c>
    </row>
    <row r="497" spans="2:38" ht="15.75" outlineLevel="1">
      <c r="B497" s="345">
        <v>2111</v>
      </c>
      <c r="C497" s="346">
        <v>255472</v>
      </c>
      <c r="D497" s="345">
        <v>255474</v>
      </c>
      <c r="E497" s="347" t="s">
        <v>4240</v>
      </c>
      <c r="F497" s="343" t="s">
        <v>1206</v>
      </c>
      <c r="I497" s="345">
        <v>1</v>
      </c>
      <c r="J497" s="347" t="s">
        <v>1615</v>
      </c>
      <c r="K497" s="345">
        <v>2010</v>
      </c>
      <c r="L497" s="347" t="s">
        <v>1594</v>
      </c>
      <c r="M497" s="347" t="s">
        <v>1594</v>
      </c>
      <c r="N497" s="347" t="s">
        <v>4445</v>
      </c>
      <c r="O497" s="347" t="s">
        <v>4441</v>
      </c>
      <c r="P497" s="347" t="s">
        <v>4497</v>
      </c>
      <c r="Q497" s="347"/>
      <c r="R497" s="347"/>
      <c r="S497" s="348">
        <v>43488</v>
      </c>
      <c r="T497" s="348">
        <v>43488</v>
      </c>
      <c r="U497" s="347" t="s">
        <v>1616</v>
      </c>
      <c r="V497" s="345">
        <v>300</v>
      </c>
      <c r="W497" s="345">
        <v>14040</v>
      </c>
      <c r="X497" s="349">
        <v>3517.75</v>
      </c>
      <c r="Y497" s="345">
        <v>14046</v>
      </c>
      <c r="Z497" s="349">
        <v>3517.75</v>
      </c>
      <c r="AA497" s="349">
        <f t="shared" si="92"/>
        <v>0</v>
      </c>
      <c r="AB497" s="349">
        <v>0</v>
      </c>
      <c r="AC497" s="345">
        <v>51260</v>
      </c>
      <c r="AD497" s="349">
        <v>0</v>
      </c>
      <c r="AE497" s="345" t="s">
        <v>944</v>
      </c>
      <c r="AF497" s="347"/>
      <c r="AG497" s="347"/>
      <c r="AH497" s="347" t="s">
        <v>57</v>
      </c>
      <c r="AI497" s="347" t="s">
        <v>4442</v>
      </c>
      <c r="AJ497" s="347" t="s">
        <v>4443</v>
      </c>
      <c r="AK497" s="347" t="s">
        <v>4437</v>
      </c>
      <c r="AL497" s="387">
        <v>45574</v>
      </c>
    </row>
    <row r="498" spans="2:38" ht="15.75" outlineLevel="1">
      <c r="B498" s="345">
        <v>2111</v>
      </c>
      <c r="C498" s="346">
        <v>255471</v>
      </c>
      <c r="D498" s="345" t="s">
        <v>944</v>
      </c>
      <c r="E498" s="347" t="s">
        <v>4240</v>
      </c>
      <c r="F498" s="343" t="s">
        <v>1203</v>
      </c>
      <c r="I498" s="345">
        <v>1</v>
      </c>
      <c r="J498" s="347" t="s">
        <v>1618</v>
      </c>
      <c r="K498" s="345">
        <v>2010</v>
      </c>
      <c r="L498" s="347" t="s">
        <v>1611</v>
      </c>
      <c r="M498" s="347"/>
      <c r="N498" s="347" t="s">
        <v>4445</v>
      </c>
      <c r="O498" s="347" t="s">
        <v>4441</v>
      </c>
      <c r="P498" s="347" t="s">
        <v>1575</v>
      </c>
      <c r="Q498" s="347"/>
      <c r="R498" s="347"/>
      <c r="S498" s="348">
        <v>43831</v>
      </c>
      <c r="T498" s="348">
        <v>43831</v>
      </c>
      <c r="U498" s="347" t="s">
        <v>1619</v>
      </c>
      <c r="V498" s="345">
        <v>211</v>
      </c>
      <c r="W498" s="345">
        <v>14040</v>
      </c>
      <c r="X498" s="349">
        <v>37015</v>
      </c>
      <c r="Y498" s="345">
        <v>14046</v>
      </c>
      <c r="Z498" s="349">
        <v>37015</v>
      </c>
      <c r="AA498" s="349">
        <f t="shared" si="92"/>
        <v>0</v>
      </c>
      <c r="AB498" s="349">
        <v>0</v>
      </c>
      <c r="AC498" s="345">
        <v>51260</v>
      </c>
      <c r="AD498" s="349">
        <v>0</v>
      </c>
      <c r="AE498" s="345" t="s">
        <v>944</v>
      </c>
      <c r="AF498" s="347">
        <v>0</v>
      </c>
      <c r="AG498" s="347" t="s">
        <v>1620</v>
      </c>
      <c r="AH498" s="347" t="s">
        <v>57</v>
      </c>
      <c r="AI498" s="347" t="s">
        <v>4442</v>
      </c>
      <c r="AJ498" s="347" t="s">
        <v>4443</v>
      </c>
      <c r="AK498" s="347" t="s">
        <v>4437</v>
      </c>
      <c r="AL498" s="387">
        <v>45574</v>
      </c>
    </row>
    <row r="499" spans="2:38" ht="15.75" outlineLevel="1">
      <c r="B499" s="345">
        <v>2111</v>
      </c>
      <c r="C499" s="346">
        <v>255470</v>
      </c>
      <c r="D499" s="345">
        <v>255471</v>
      </c>
      <c r="E499" s="347" t="s">
        <v>4240</v>
      </c>
      <c r="F499" s="343" t="s">
        <v>1204</v>
      </c>
      <c r="I499" s="345">
        <v>1</v>
      </c>
      <c r="J499" s="347" t="s">
        <v>1618</v>
      </c>
      <c r="K499" s="345">
        <v>2010</v>
      </c>
      <c r="L499" s="347" t="s">
        <v>1594</v>
      </c>
      <c r="M499" s="347" t="s">
        <v>1594</v>
      </c>
      <c r="N499" s="347" t="s">
        <v>4445</v>
      </c>
      <c r="O499" s="347" t="s">
        <v>4441</v>
      </c>
      <c r="P499" s="347" t="s">
        <v>4497</v>
      </c>
      <c r="Q499" s="347"/>
      <c r="R499" s="347"/>
      <c r="S499" s="348">
        <v>43488</v>
      </c>
      <c r="T499" s="348">
        <v>43488</v>
      </c>
      <c r="U499" s="347" t="s">
        <v>1619</v>
      </c>
      <c r="V499" s="345">
        <v>300</v>
      </c>
      <c r="W499" s="345">
        <v>14040</v>
      </c>
      <c r="X499" s="349">
        <v>15188.18</v>
      </c>
      <c r="Y499" s="345">
        <v>14046</v>
      </c>
      <c r="Z499" s="349">
        <v>15188.18</v>
      </c>
      <c r="AA499" s="349">
        <f t="shared" si="92"/>
        <v>0</v>
      </c>
      <c r="AB499" s="349">
        <v>0</v>
      </c>
      <c r="AC499" s="345">
        <v>51260</v>
      </c>
      <c r="AD499" s="349">
        <v>0</v>
      </c>
      <c r="AE499" s="345" t="s">
        <v>944</v>
      </c>
      <c r="AF499" s="347"/>
      <c r="AG499" s="347"/>
      <c r="AH499" s="347" t="s">
        <v>57</v>
      </c>
      <c r="AI499" s="347" t="s">
        <v>4442</v>
      </c>
      <c r="AJ499" s="347" t="s">
        <v>4443</v>
      </c>
      <c r="AK499" s="347" t="s">
        <v>4437</v>
      </c>
      <c r="AL499" s="387">
        <v>45574</v>
      </c>
    </row>
    <row r="500" spans="2:38" ht="15.75" outlineLevel="1">
      <c r="B500" s="345">
        <v>2111</v>
      </c>
      <c r="C500" s="346">
        <v>255469</v>
      </c>
      <c r="D500" s="345">
        <v>255471</v>
      </c>
      <c r="E500" s="347" t="s">
        <v>4240</v>
      </c>
      <c r="F500" s="343" t="s">
        <v>1207</v>
      </c>
      <c r="I500" s="345">
        <v>1</v>
      </c>
      <c r="J500" s="347" t="s">
        <v>1618</v>
      </c>
      <c r="K500" s="345">
        <v>2010</v>
      </c>
      <c r="L500" s="347" t="s">
        <v>1594</v>
      </c>
      <c r="M500" s="347" t="s">
        <v>1594</v>
      </c>
      <c r="N500" s="347" t="s">
        <v>4445</v>
      </c>
      <c r="O500" s="347" t="s">
        <v>4441</v>
      </c>
      <c r="P500" s="347" t="s">
        <v>4497</v>
      </c>
      <c r="Q500" s="347"/>
      <c r="R500" s="347"/>
      <c r="S500" s="348">
        <v>43488</v>
      </c>
      <c r="T500" s="348">
        <v>43488</v>
      </c>
      <c r="U500" s="347" t="s">
        <v>1619</v>
      </c>
      <c r="V500" s="345">
        <v>300</v>
      </c>
      <c r="W500" s="345">
        <v>14040</v>
      </c>
      <c r="X500" s="349">
        <v>3517.75</v>
      </c>
      <c r="Y500" s="345">
        <v>14046</v>
      </c>
      <c r="Z500" s="349">
        <v>3517.75</v>
      </c>
      <c r="AA500" s="349">
        <f t="shared" si="92"/>
        <v>0</v>
      </c>
      <c r="AB500" s="349">
        <v>0</v>
      </c>
      <c r="AC500" s="345">
        <v>51260</v>
      </c>
      <c r="AD500" s="349">
        <v>0</v>
      </c>
      <c r="AE500" s="345" t="s">
        <v>944</v>
      </c>
      <c r="AF500" s="347"/>
      <c r="AG500" s="347"/>
      <c r="AH500" s="347" t="s">
        <v>57</v>
      </c>
      <c r="AI500" s="347" t="s">
        <v>4442</v>
      </c>
      <c r="AJ500" s="347" t="s">
        <v>4443</v>
      </c>
      <c r="AK500" s="347" t="s">
        <v>4437</v>
      </c>
      <c r="AL500" s="387">
        <v>45574</v>
      </c>
    </row>
    <row r="501" spans="2:38" ht="15.75" outlineLevel="1">
      <c r="B501" s="345">
        <v>2111</v>
      </c>
      <c r="C501" s="346">
        <v>255468</v>
      </c>
      <c r="D501" s="345" t="s">
        <v>944</v>
      </c>
      <c r="E501" s="347" t="s">
        <v>4240</v>
      </c>
      <c r="F501" s="343" t="s">
        <v>1203</v>
      </c>
      <c r="I501" s="345">
        <v>1</v>
      </c>
      <c r="J501" s="347" t="s">
        <v>1621</v>
      </c>
      <c r="K501" s="345">
        <v>2010</v>
      </c>
      <c r="L501" s="347" t="s">
        <v>1611</v>
      </c>
      <c r="M501" s="347"/>
      <c r="N501" s="347" t="s">
        <v>4445</v>
      </c>
      <c r="O501" s="347" t="s">
        <v>4441</v>
      </c>
      <c r="P501" s="347" t="s">
        <v>1575</v>
      </c>
      <c r="Q501" s="347"/>
      <c r="R501" s="347"/>
      <c r="S501" s="348">
        <v>43831</v>
      </c>
      <c r="T501" s="348">
        <v>43831</v>
      </c>
      <c r="U501" s="347" t="s">
        <v>1622</v>
      </c>
      <c r="V501" s="345">
        <v>211</v>
      </c>
      <c r="W501" s="345">
        <v>14040</v>
      </c>
      <c r="X501" s="349">
        <v>37015</v>
      </c>
      <c r="Y501" s="345">
        <v>14046</v>
      </c>
      <c r="Z501" s="349">
        <v>37015</v>
      </c>
      <c r="AA501" s="349">
        <f t="shared" si="92"/>
        <v>0</v>
      </c>
      <c r="AB501" s="349">
        <v>0</v>
      </c>
      <c r="AC501" s="345">
        <v>51260</v>
      </c>
      <c r="AD501" s="349">
        <v>0</v>
      </c>
      <c r="AE501" s="345" t="s">
        <v>944</v>
      </c>
      <c r="AF501" s="347">
        <v>0</v>
      </c>
      <c r="AG501" s="347" t="s">
        <v>1623</v>
      </c>
      <c r="AH501" s="347" t="s">
        <v>57</v>
      </c>
      <c r="AI501" s="347" t="s">
        <v>4442</v>
      </c>
      <c r="AJ501" s="347" t="s">
        <v>4443</v>
      </c>
      <c r="AK501" s="347" t="s">
        <v>4437</v>
      </c>
      <c r="AL501" s="387">
        <v>45574</v>
      </c>
    </row>
    <row r="502" spans="2:38" ht="15.75" outlineLevel="1">
      <c r="B502" s="345">
        <v>2111</v>
      </c>
      <c r="C502" s="346">
        <v>255467</v>
      </c>
      <c r="D502" s="345">
        <v>255468</v>
      </c>
      <c r="E502" s="347" t="s">
        <v>4240</v>
      </c>
      <c r="F502" s="343" t="s">
        <v>1204</v>
      </c>
      <c r="I502" s="345">
        <v>1</v>
      </c>
      <c r="J502" s="347" t="s">
        <v>1621</v>
      </c>
      <c r="K502" s="345">
        <v>2010</v>
      </c>
      <c r="L502" s="347" t="s">
        <v>1594</v>
      </c>
      <c r="M502" s="347" t="s">
        <v>1594</v>
      </c>
      <c r="N502" s="347" t="s">
        <v>4445</v>
      </c>
      <c r="O502" s="347" t="s">
        <v>4441</v>
      </c>
      <c r="P502" s="347" t="s">
        <v>4497</v>
      </c>
      <c r="Q502" s="347"/>
      <c r="R502" s="347"/>
      <c r="S502" s="348">
        <v>43488</v>
      </c>
      <c r="T502" s="348">
        <v>43488</v>
      </c>
      <c r="U502" s="347" t="s">
        <v>1622</v>
      </c>
      <c r="V502" s="345">
        <v>300</v>
      </c>
      <c r="W502" s="345">
        <v>14040</v>
      </c>
      <c r="X502" s="349">
        <v>15188.18</v>
      </c>
      <c r="Y502" s="345">
        <v>14046</v>
      </c>
      <c r="Z502" s="349">
        <v>15188.18</v>
      </c>
      <c r="AA502" s="349">
        <f t="shared" si="92"/>
        <v>0</v>
      </c>
      <c r="AB502" s="349">
        <v>0</v>
      </c>
      <c r="AC502" s="345">
        <v>51260</v>
      </c>
      <c r="AD502" s="349">
        <v>0</v>
      </c>
      <c r="AE502" s="345" t="s">
        <v>944</v>
      </c>
      <c r="AF502" s="347"/>
      <c r="AG502" s="347"/>
      <c r="AH502" s="347" t="s">
        <v>57</v>
      </c>
      <c r="AI502" s="347" t="s">
        <v>4442</v>
      </c>
      <c r="AJ502" s="347" t="s">
        <v>4443</v>
      </c>
      <c r="AK502" s="347" t="s">
        <v>4437</v>
      </c>
      <c r="AL502" s="387">
        <v>45574</v>
      </c>
    </row>
    <row r="503" spans="2:38" ht="15.75" outlineLevel="1">
      <c r="B503" s="345">
        <v>2111</v>
      </c>
      <c r="C503" s="346">
        <v>255466</v>
      </c>
      <c r="D503" s="345">
        <v>255468</v>
      </c>
      <c r="E503" s="347" t="s">
        <v>4240</v>
      </c>
      <c r="F503" s="343" t="s">
        <v>1208</v>
      </c>
      <c r="I503" s="345">
        <v>1</v>
      </c>
      <c r="J503" s="347" t="s">
        <v>1621</v>
      </c>
      <c r="K503" s="345">
        <v>2010</v>
      </c>
      <c r="L503" s="347" t="s">
        <v>1594</v>
      </c>
      <c r="M503" s="347" t="s">
        <v>1594</v>
      </c>
      <c r="N503" s="347" t="s">
        <v>4445</v>
      </c>
      <c r="O503" s="347" t="s">
        <v>4441</v>
      </c>
      <c r="P503" s="347" t="s">
        <v>4497</v>
      </c>
      <c r="Q503" s="347"/>
      <c r="R503" s="347"/>
      <c r="S503" s="348">
        <v>43488</v>
      </c>
      <c r="T503" s="348">
        <v>43488</v>
      </c>
      <c r="U503" s="347" t="s">
        <v>1622</v>
      </c>
      <c r="V503" s="345">
        <v>300</v>
      </c>
      <c r="W503" s="345">
        <v>14040</v>
      </c>
      <c r="X503" s="349">
        <v>3517.75</v>
      </c>
      <c r="Y503" s="345">
        <v>14046</v>
      </c>
      <c r="Z503" s="349">
        <v>3517.75</v>
      </c>
      <c r="AA503" s="349">
        <f t="shared" si="92"/>
        <v>0</v>
      </c>
      <c r="AB503" s="349">
        <v>0</v>
      </c>
      <c r="AC503" s="345">
        <v>51260</v>
      </c>
      <c r="AD503" s="349">
        <v>0</v>
      </c>
      <c r="AE503" s="345" t="s">
        <v>944</v>
      </c>
      <c r="AF503" s="347"/>
      <c r="AG503" s="347"/>
      <c r="AH503" s="347" t="s">
        <v>57</v>
      </c>
      <c r="AI503" s="347" t="s">
        <v>4442</v>
      </c>
      <c r="AJ503" s="347" t="s">
        <v>4443</v>
      </c>
      <c r="AK503" s="347" t="s">
        <v>4437</v>
      </c>
      <c r="AL503" s="387">
        <v>45574</v>
      </c>
    </row>
    <row r="504" spans="2:38" ht="15.75" outlineLevel="1">
      <c r="B504" s="345">
        <v>2111</v>
      </c>
      <c r="C504" s="346">
        <v>255465</v>
      </c>
      <c r="D504" s="345" t="s">
        <v>944</v>
      </c>
      <c r="E504" s="347" t="s">
        <v>4240</v>
      </c>
      <c r="F504" s="343" t="s">
        <v>1209</v>
      </c>
      <c r="I504" s="345">
        <v>1</v>
      </c>
      <c r="J504" s="347" t="s">
        <v>1624</v>
      </c>
      <c r="K504" s="345">
        <v>2014</v>
      </c>
      <c r="L504" s="347" t="s">
        <v>1611</v>
      </c>
      <c r="M504" s="347"/>
      <c r="N504" s="347" t="s">
        <v>4445</v>
      </c>
      <c r="O504" s="347" t="s">
        <v>4441</v>
      </c>
      <c r="P504" s="347" t="s">
        <v>1575</v>
      </c>
      <c r="Q504" s="347"/>
      <c r="R504" s="347"/>
      <c r="S504" s="348">
        <v>43831</v>
      </c>
      <c r="T504" s="348">
        <v>43831</v>
      </c>
      <c r="U504" s="347" t="s">
        <v>1625</v>
      </c>
      <c r="V504" s="345">
        <v>211</v>
      </c>
      <c r="W504" s="345">
        <v>14040</v>
      </c>
      <c r="X504" s="349">
        <v>39524.5</v>
      </c>
      <c r="Y504" s="345">
        <v>14046</v>
      </c>
      <c r="Z504" s="349">
        <v>39524.5</v>
      </c>
      <c r="AA504" s="349">
        <f t="shared" si="92"/>
        <v>0</v>
      </c>
      <c r="AB504" s="349">
        <v>0</v>
      </c>
      <c r="AC504" s="345">
        <v>51260</v>
      </c>
      <c r="AD504" s="349">
        <v>0</v>
      </c>
      <c r="AE504" s="345" t="s">
        <v>944</v>
      </c>
      <c r="AF504" s="347">
        <v>0</v>
      </c>
      <c r="AG504" s="347" t="s">
        <v>1626</v>
      </c>
      <c r="AH504" s="347" t="s">
        <v>57</v>
      </c>
      <c r="AI504" s="347" t="s">
        <v>4442</v>
      </c>
      <c r="AJ504" s="347" t="s">
        <v>4443</v>
      </c>
      <c r="AK504" s="347" t="s">
        <v>4437</v>
      </c>
      <c r="AL504" s="387">
        <v>45574</v>
      </c>
    </row>
    <row r="505" spans="2:38" ht="15.75" outlineLevel="1">
      <c r="B505" s="345">
        <v>2111</v>
      </c>
      <c r="C505" s="346">
        <v>255464</v>
      </c>
      <c r="D505" s="345">
        <v>255465</v>
      </c>
      <c r="E505" s="347" t="s">
        <v>4240</v>
      </c>
      <c r="F505" s="343" t="s">
        <v>1210</v>
      </c>
      <c r="I505" s="345">
        <v>1</v>
      </c>
      <c r="J505" s="347" t="s">
        <v>1624</v>
      </c>
      <c r="K505" s="345">
        <v>2014</v>
      </c>
      <c r="L505" s="347" t="s">
        <v>1594</v>
      </c>
      <c r="M505" s="347" t="s">
        <v>1594</v>
      </c>
      <c r="N505" s="347" t="s">
        <v>4445</v>
      </c>
      <c r="O505" s="347" t="s">
        <v>4441</v>
      </c>
      <c r="P505" s="347" t="s">
        <v>4497</v>
      </c>
      <c r="Q505" s="347"/>
      <c r="R505" s="347"/>
      <c r="S505" s="348">
        <v>43488</v>
      </c>
      <c r="T505" s="348">
        <v>43488</v>
      </c>
      <c r="U505" s="347" t="s">
        <v>1625</v>
      </c>
      <c r="V505" s="345">
        <v>300</v>
      </c>
      <c r="W505" s="345">
        <v>14040</v>
      </c>
      <c r="X505" s="349">
        <v>15188.18</v>
      </c>
      <c r="Y505" s="345">
        <v>14046</v>
      </c>
      <c r="Z505" s="349">
        <v>15188.18</v>
      </c>
      <c r="AA505" s="349">
        <f t="shared" si="92"/>
        <v>0</v>
      </c>
      <c r="AB505" s="349">
        <v>0</v>
      </c>
      <c r="AC505" s="345">
        <v>51260</v>
      </c>
      <c r="AD505" s="349">
        <v>0</v>
      </c>
      <c r="AE505" s="345" t="s">
        <v>944</v>
      </c>
      <c r="AF505" s="347"/>
      <c r="AG505" s="347"/>
      <c r="AH505" s="347" t="s">
        <v>57</v>
      </c>
      <c r="AI505" s="347" t="s">
        <v>4442</v>
      </c>
      <c r="AJ505" s="347" t="s">
        <v>4443</v>
      </c>
      <c r="AK505" s="347" t="s">
        <v>4437</v>
      </c>
      <c r="AL505" s="387">
        <v>45574</v>
      </c>
    </row>
    <row r="506" spans="2:38" ht="15.75" outlineLevel="1">
      <c r="B506" s="345">
        <v>2111</v>
      </c>
      <c r="C506" s="346">
        <v>255463</v>
      </c>
      <c r="D506" s="345">
        <v>255465</v>
      </c>
      <c r="E506" s="347" t="s">
        <v>4240</v>
      </c>
      <c r="F506" s="343" t="s">
        <v>1211</v>
      </c>
      <c r="I506" s="345">
        <v>1</v>
      </c>
      <c r="J506" s="347" t="s">
        <v>1624</v>
      </c>
      <c r="K506" s="345">
        <v>2014</v>
      </c>
      <c r="L506" s="347" t="s">
        <v>1594</v>
      </c>
      <c r="M506" s="347" t="s">
        <v>1594</v>
      </c>
      <c r="N506" s="347" t="s">
        <v>4445</v>
      </c>
      <c r="O506" s="347" t="s">
        <v>4441</v>
      </c>
      <c r="P506" s="347" t="s">
        <v>4497</v>
      </c>
      <c r="Q506" s="347"/>
      <c r="R506" s="347"/>
      <c r="S506" s="348">
        <v>43488</v>
      </c>
      <c r="T506" s="348">
        <v>43488</v>
      </c>
      <c r="U506" s="347" t="s">
        <v>1613</v>
      </c>
      <c r="V506" s="345">
        <v>300</v>
      </c>
      <c r="W506" s="345">
        <v>14040</v>
      </c>
      <c r="X506" s="349">
        <v>3501.25</v>
      </c>
      <c r="Y506" s="345">
        <v>14046</v>
      </c>
      <c r="Z506" s="349">
        <v>3501.25</v>
      </c>
      <c r="AA506" s="349">
        <f t="shared" si="92"/>
        <v>0</v>
      </c>
      <c r="AB506" s="349">
        <v>0</v>
      </c>
      <c r="AC506" s="345">
        <v>51260</v>
      </c>
      <c r="AD506" s="349">
        <v>0</v>
      </c>
      <c r="AE506" s="345" t="s">
        <v>944</v>
      </c>
      <c r="AF506" s="347"/>
      <c r="AG506" s="347"/>
      <c r="AH506" s="347" t="s">
        <v>57</v>
      </c>
      <c r="AI506" s="347" t="s">
        <v>4442</v>
      </c>
      <c r="AJ506" s="347" t="s">
        <v>4443</v>
      </c>
      <c r="AK506" s="347" t="s">
        <v>4437</v>
      </c>
      <c r="AL506" s="387">
        <v>45574</v>
      </c>
    </row>
    <row r="507" spans="2:38" ht="15.75" outlineLevel="1">
      <c r="B507" s="345">
        <v>2111</v>
      </c>
      <c r="C507" s="346">
        <v>255407</v>
      </c>
      <c r="D507" s="345" t="s">
        <v>944</v>
      </c>
      <c r="E507" s="347" t="s">
        <v>4240</v>
      </c>
      <c r="F507" s="343" t="s">
        <v>1175</v>
      </c>
      <c r="I507" s="345">
        <v>1</v>
      </c>
      <c r="J507" s="347" t="s">
        <v>1627</v>
      </c>
      <c r="K507" s="345">
        <v>2022</v>
      </c>
      <c r="L507" s="347"/>
      <c r="M507" s="347"/>
      <c r="N507" s="347" t="s">
        <v>4445</v>
      </c>
      <c r="O507" s="347" t="s">
        <v>4441</v>
      </c>
      <c r="P507" s="347" t="s">
        <v>4482</v>
      </c>
      <c r="Q507" s="347"/>
      <c r="R507" s="347"/>
      <c r="S507" s="348">
        <v>44384</v>
      </c>
      <c r="T507" s="348">
        <v>44384</v>
      </c>
      <c r="U507" s="347" t="s">
        <v>1628</v>
      </c>
      <c r="V507" s="345">
        <v>1000</v>
      </c>
      <c r="W507" s="345">
        <v>14040</v>
      </c>
      <c r="X507" s="349">
        <v>374630.77</v>
      </c>
      <c r="Y507" s="345">
        <v>14046</v>
      </c>
      <c r="Z507" s="349">
        <v>121754.98</v>
      </c>
      <c r="AA507" s="349">
        <f t="shared" si="92"/>
        <v>252875.79000000004</v>
      </c>
      <c r="AB507" s="349">
        <v>28097.279999999999</v>
      </c>
      <c r="AC507" s="345">
        <v>51260</v>
      </c>
      <c r="AD507" s="349">
        <v>3121.92</v>
      </c>
      <c r="AE507" s="345" t="s">
        <v>944</v>
      </c>
      <c r="AF507" s="347"/>
      <c r="AG507" s="347">
        <v>868</v>
      </c>
      <c r="AH507" s="347" t="s">
        <v>57</v>
      </c>
      <c r="AI507" s="347" t="s">
        <v>4442</v>
      </c>
      <c r="AJ507" s="347" t="s">
        <v>4443</v>
      </c>
      <c r="AK507" s="347" t="s">
        <v>4437</v>
      </c>
      <c r="AL507" s="387">
        <v>45574</v>
      </c>
    </row>
    <row r="508" spans="2:38" ht="15.75" outlineLevel="1">
      <c r="B508" s="345">
        <v>2111</v>
      </c>
      <c r="C508" s="346">
        <v>255232</v>
      </c>
      <c r="D508" s="345">
        <v>255229</v>
      </c>
      <c r="E508" s="347" t="s">
        <v>4240</v>
      </c>
      <c r="F508" s="343" t="s">
        <v>1180</v>
      </c>
      <c r="I508" s="345">
        <v>1</v>
      </c>
      <c r="J508" s="347"/>
      <c r="K508" s="345">
        <v>2019</v>
      </c>
      <c r="L508" s="347" t="s">
        <v>1483</v>
      </c>
      <c r="M508" s="347" t="s">
        <v>1484</v>
      </c>
      <c r="N508" s="347" t="s">
        <v>4445</v>
      </c>
      <c r="O508" s="347" t="s">
        <v>4441</v>
      </c>
      <c r="P508" s="347" t="s">
        <v>1467</v>
      </c>
      <c r="Q508" s="347"/>
      <c r="R508" s="347"/>
      <c r="S508" s="348">
        <v>44308</v>
      </c>
      <c r="T508" s="348">
        <v>44308</v>
      </c>
      <c r="U508" s="347" t="s">
        <v>1629</v>
      </c>
      <c r="V508" s="345">
        <v>800</v>
      </c>
      <c r="W508" s="345">
        <v>14040</v>
      </c>
      <c r="X508" s="349">
        <v>2222.3000000000002</v>
      </c>
      <c r="Y508" s="345">
        <v>14046</v>
      </c>
      <c r="Z508" s="349">
        <v>949.12</v>
      </c>
      <c r="AA508" s="349">
        <f t="shared" si="92"/>
        <v>1273.1800000000003</v>
      </c>
      <c r="AB508" s="349">
        <v>208.35</v>
      </c>
      <c r="AC508" s="345">
        <v>51260</v>
      </c>
      <c r="AD508" s="349">
        <v>23.15</v>
      </c>
      <c r="AE508" s="345" t="s">
        <v>944</v>
      </c>
      <c r="AF508" s="347"/>
      <c r="AG508" s="347"/>
      <c r="AH508" s="347" t="s">
        <v>57</v>
      </c>
      <c r="AI508" s="347" t="s">
        <v>4442</v>
      </c>
      <c r="AJ508" s="347" t="s">
        <v>4443</v>
      </c>
      <c r="AK508" s="347" t="s">
        <v>4437</v>
      </c>
      <c r="AL508" s="387">
        <v>45574</v>
      </c>
    </row>
    <row r="509" spans="2:38" ht="15.75" outlineLevel="1">
      <c r="B509" s="345">
        <v>2111</v>
      </c>
      <c r="C509" s="346">
        <v>255231</v>
      </c>
      <c r="D509" s="345">
        <v>255229</v>
      </c>
      <c r="E509" s="347" t="s">
        <v>4240</v>
      </c>
      <c r="F509" s="343" t="s">
        <v>1181</v>
      </c>
      <c r="I509" s="345">
        <v>1</v>
      </c>
      <c r="J509" s="347"/>
      <c r="K509" s="345">
        <v>2019</v>
      </c>
      <c r="L509" s="347" t="s">
        <v>1483</v>
      </c>
      <c r="M509" s="347" t="s">
        <v>1484</v>
      </c>
      <c r="N509" s="347" t="s">
        <v>4445</v>
      </c>
      <c r="O509" s="347" t="s">
        <v>4441</v>
      </c>
      <c r="P509" s="347" t="s">
        <v>1467</v>
      </c>
      <c r="Q509" s="347"/>
      <c r="R509" s="347"/>
      <c r="S509" s="348">
        <v>44308</v>
      </c>
      <c r="T509" s="348">
        <v>44308</v>
      </c>
      <c r="U509" s="347" t="s">
        <v>1629</v>
      </c>
      <c r="V509" s="345">
        <v>800</v>
      </c>
      <c r="W509" s="345">
        <v>14040</v>
      </c>
      <c r="X509" s="349">
        <v>7363.3</v>
      </c>
      <c r="Y509" s="345">
        <v>14046</v>
      </c>
      <c r="Z509" s="349">
        <v>3144.73</v>
      </c>
      <c r="AA509" s="349">
        <f t="shared" si="92"/>
        <v>4218.57</v>
      </c>
      <c r="AB509" s="349">
        <v>690.3</v>
      </c>
      <c r="AC509" s="345">
        <v>51260</v>
      </c>
      <c r="AD509" s="349">
        <v>76.7</v>
      </c>
      <c r="AE509" s="345" t="s">
        <v>944</v>
      </c>
      <c r="AF509" s="347"/>
      <c r="AG509" s="347"/>
      <c r="AH509" s="347" t="s">
        <v>57</v>
      </c>
      <c r="AI509" s="347" t="s">
        <v>4442</v>
      </c>
      <c r="AJ509" s="347" t="s">
        <v>4443</v>
      </c>
      <c r="AK509" s="347" t="s">
        <v>4437</v>
      </c>
      <c r="AL509" s="387">
        <v>45574</v>
      </c>
    </row>
    <row r="510" spans="2:38" ht="15.75" outlineLevel="1">
      <c r="B510" s="345">
        <v>2111</v>
      </c>
      <c r="C510" s="346">
        <v>255230</v>
      </c>
      <c r="D510" s="345">
        <v>255229</v>
      </c>
      <c r="E510" s="347" t="s">
        <v>4240</v>
      </c>
      <c r="F510" s="343" t="s">
        <v>1182</v>
      </c>
      <c r="I510" s="345">
        <v>1</v>
      </c>
      <c r="J510" s="347"/>
      <c r="K510" s="345">
        <v>2019</v>
      </c>
      <c r="L510" s="347" t="s">
        <v>1483</v>
      </c>
      <c r="M510" s="347" t="s">
        <v>1484</v>
      </c>
      <c r="N510" s="347" t="s">
        <v>4445</v>
      </c>
      <c r="O510" s="347" t="s">
        <v>4441</v>
      </c>
      <c r="P510" s="347" t="s">
        <v>1467</v>
      </c>
      <c r="Q510" s="347"/>
      <c r="R510" s="347"/>
      <c r="S510" s="348">
        <v>44308</v>
      </c>
      <c r="T510" s="348">
        <v>44308</v>
      </c>
      <c r="U510" s="347" t="s">
        <v>1629</v>
      </c>
      <c r="V510" s="345">
        <v>800</v>
      </c>
      <c r="W510" s="345">
        <v>14040</v>
      </c>
      <c r="X510" s="349">
        <v>7320.53</v>
      </c>
      <c r="Y510" s="345">
        <v>14046</v>
      </c>
      <c r="Z510" s="349">
        <v>3126.53</v>
      </c>
      <c r="AA510" s="349">
        <f t="shared" si="92"/>
        <v>4194</v>
      </c>
      <c r="AB510" s="349">
        <v>686.34</v>
      </c>
      <c r="AC510" s="345">
        <v>51260</v>
      </c>
      <c r="AD510" s="349">
        <v>76.260000000000005</v>
      </c>
      <c r="AE510" s="345" t="s">
        <v>944</v>
      </c>
      <c r="AF510" s="347"/>
      <c r="AG510" s="347"/>
      <c r="AH510" s="347" t="s">
        <v>57</v>
      </c>
      <c r="AI510" s="347" t="s">
        <v>4442</v>
      </c>
      <c r="AJ510" s="347" t="s">
        <v>4443</v>
      </c>
      <c r="AK510" s="347" t="s">
        <v>4437</v>
      </c>
      <c r="AL510" s="387">
        <v>45574</v>
      </c>
    </row>
    <row r="511" spans="2:38" ht="15.75" outlineLevel="1">
      <c r="B511" s="345">
        <v>2111</v>
      </c>
      <c r="C511" s="346">
        <v>255229</v>
      </c>
      <c r="D511" s="345" t="s">
        <v>944</v>
      </c>
      <c r="E511" s="347" t="s">
        <v>4240</v>
      </c>
      <c r="F511" s="343" t="s">
        <v>1177</v>
      </c>
      <c r="I511" s="345">
        <v>1</v>
      </c>
      <c r="J511" s="347" t="s">
        <v>1631</v>
      </c>
      <c r="K511" s="345">
        <v>2019</v>
      </c>
      <c r="L511" s="347"/>
      <c r="M511" s="347"/>
      <c r="N511" s="347" t="s">
        <v>4445</v>
      </c>
      <c r="O511" s="347" t="s">
        <v>4441</v>
      </c>
      <c r="P511" s="347" t="s">
        <v>1577</v>
      </c>
      <c r="Q511" s="347"/>
      <c r="R511" s="347"/>
      <c r="S511" s="348">
        <v>44301</v>
      </c>
      <c r="T511" s="348">
        <v>44301</v>
      </c>
      <c r="U511" s="347" t="s">
        <v>1632</v>
      </c>
      <c r="V511" s="345">
        <v>800</v>
      </c>
      <c r="W511" s="345">
        <v>14040</v>
      </c>
      <c r="X511" s="349">
        <v>128934</v>
      </c>
      <c r="Y511" s="345">
        <v>14046</v>
      </c>
      <c r="Z511" s="349">
        <v>56408.6</v>
      </c>
      <c r="AA511" s="349">
        <f t="shared" si="92"/>
        <v>72525.399999999994</v>
      </c>
      <c r="AB511" s="349">
        <v>12087.54</v>
      </c>
      <c r="AC511" s="345">
        <v>51260</v>
      </c>
      <c r="AD511" s="349">
        <v>1343.06</v>
      </c>
      <c r="AE511" s="345" t="s">
        <v>944</v>
      </c>
      <c r="AF511" s="347"/>
      <c r="AG511" s="347">
        <v>193</v>
      </c>
      <c r="AH511" s="347" t="s">
        <v>57</v>
      </c>
      <c r="AI511" s="347" t="s">
        <v>4442</v>
      </c>
      <c r="AJ511" s="347" t="s">
        <v>4443</v>
      </c>
      <c r="AK511" s="347" t="s">
        <v>4437</v>
      </c>
      <c r="AL511" s="387">
        <v>45574</v>
      </c>
    </row>
    <row r="512" spans="2:38" ht="15.75" outlineLevel="1">
      <c r="B512" s="345">
        <v>2111</v>
      </c>
      <c r="C512" s="346">
        <v>255228</v>
      </c>
      <c r="D512" s="345" t="s">
        <v>944</v>
      </c>
      <c r="E512" s="347" t="s">
        <v>4240</v>
      </c>
      <c r="F512" s="343" t="s">
        <v>1191</v>
      </c>
      <c r="I512" s="345">
        <v>1</v>
      </c>
      <c r="J512" s="347" t="s">
        <v>1633</v>
      </c>
      <c r="K512" s="345">
        <v>2013</v>
      </c>
      <c r="L512" s="347"/>
      <c r="M512" s="347"/>
      <c r="N512" s="347" t="s">
        <v>4445</v>
      </c>
      <c r="O512" s="347" t="s">
        <v>4441</v>
      </c>
      <c r="P512" s="347" t="s">
        <v>4497</v>
      </c>
      <c r="Q512" s="347"/>
      <c r="R512" s="347"/>
      <c r="S512" s="348">
        <v>43677</v>
      </c>
      <c r="T512" s="348">
        <v>43677</v>
      </c>
      <c r="U512" s="347" t="s">
        <v>1634</v>
      </c>
      <c r="V512" s="345">
        <v>300</v>
      </c>
      <c r="W512" s="345">
        <v>14040</v>
      </c>
      <c r="X512" s="349">
        <v>27475</v>
      </c>
      <c r="Y512" s="345">
        <v>14046</v>
      </c>
      <c r="Z512" s="349">
        <v>27475</v>
      </c>
      <c r="AA512" s="349">
        <f t="shared" si="92"/>
        <v>0</v>
      </c>
      <c r="AB512" s="349">
        <v>0</v>
      </c>
      <c r="AC512" s="345">
        <v>51260</v>
      </c>
      <c r="AD512" s="349">
        <v>0</v>
      </c>
      <c r="AE512" s="345" t="s">
        <v>944</v>
      </c>
      <c r="AF512" s="347">
        <v>0</v>
      </c>
      <c r="AG512" s="347" t="s">
        <v>1636</v>
      </c>
      <c r="AH512" s="347" t="s">
        <v>57</v>
      </c>
      <c r="AI512" s="347" t="s">
        <v>4442</v>
      </c>
      <c r="AJ512" s="347" t="s">
        <v>4443</v>
      </c>
      <c r="AK512" s="347" t="s">
        <v>4437</v>
      </c>
      <c r="AL512" s="387">
        <v>45574</v>
      </c>
    </row>
    <row r="513" spans="2:38" ht="15.75" outlineLevel="1">
      <c r="B513" s="345">
        <v>2111</v>
      </c>
      <c r="C513" s="346">
        <v>254779</v>
      </c>
      <c r="D513" s="345" t="s">
        <v>944</v>
      </c>
      <c r="E513" s="347" t="s">
        <v>4240</v>
      </c>
      <c r="F513" s="343" t="s">
        <v>4512</v>
      </c>
      <c r="I513" s="345">
        <v>1</v>
      </c>
      <c r="J513" s="347" t="s">
        <v>4513</v>
      </c>
      <c r="K513" s="345">
        <v>2008</v>
      </c>
      <c r="L513" s="347" t="s">
        <v>4514</v>
      </c>
      <c r="M513" s="347" t="s">
        <v>4515</v>
      </c>
      <c r="N513" s="347" t="s">
        <v>4445</v>
      </c>
      <c r="O513" s="347" t="s">
        <v>4441</v>
      </c>
      <c r="P513" s="347" t="s">
        <v>2077</v>
      </c>
      <c r="Q513" s="347"/>
      <c r="R513" s="347"/>
      <c r="S513" s="348">
        <v>44358</v>
      </c>
      <c r="T513" s="348">
        <v>44358</v>
      </c>
      <c r="U513" s="347" t="s">
        <v>4516</v>
      </c>
      <c r="V513" s="345">
        <v>300</v>
      </c>
      <c r="W513" s="345">
        <v>14040</v>
      </c>
      <c r="X513" s="349">
        <v>19782</v>
      </c>
      <c r="Y513" s="345">
        <v>14046</v>
      </c>
      <c r="Z513" s="349">
        <v>19782</v>
      </c>
      <c r="AA513" s="349">
        <f t="shared" si="92"/>
        <v>0</v>
      </c>
      <c r="AB513" s="349">
        <v>2747.5</v>
      </c>
      <c r="AC513" s="345">
        <v>51260</v>
      </c>
      <c r="AD513" s="349">
        <v>549.5</v>
      </c>
      <c r="AE513" s="345" t="s">
        <v>944</v>
      </c>
      <c r="AF513" s="347"/>
      <c r="AG513" s="347" t="s">
        <v>4517</v>
      </c>
      <c r="AH513" s="347" t="s">
        <v>57</v>
      </c>
      <c r="AI513" s="347" t="s">
        <v>4442</v>
      </c>
      <c r="AJ513" s="347" t="s">
        <v>4443</v>
      </c>
      <c r="AK513" s="347" t="s">
        <v>4437</v>
      </c>
      <c r="AL513" s="387">
        <v>45574</v>
      </c>
    </row>
    <row r="514" spans="2:38" ht="15.75" outlineLevel="1">
      <c r="B514" s="345">
        <v>2111</v>
      </c>
      <c r="C514" s="346">
        <v>254566</v>
      </c>
      <c r="D514" s="345" t="s">
        <v>944</v>
      </c>
      <c r="E514" s="347" t="s">
        <v>4240</v>
      </c>
      <c r="F514" s="343" t="s">
        <v>1133</v>
      </c>
      <c r="I514" s="345">
        <v>468</v>
      </c>
      <c r="J514" s="347"/>
      <c r="K514" s="345">
        <v>0</v>
      </c>
      <c r="L514" s="347" t="s">
        <v>1462</v>
      </c>
      <c r="M514" s="347"/>
      <c r="N514" s="347" t="s">
        <v>4446</v>
      </c>
      <c r="O514" s="347" t="s">
        <v>4441</v>
      </c>
      <c r="P514" s="347"/>
      <c r="Q514" s="347"/>
      <c r="R514" s="347"/>
      <c r="S514" s="348">
        <v>44352</v>
      </c>
      <c r="T514" s="348">
        <v>44352</v>
      </c>
      <c r="U514" s="347" t="s">
        <v>1637</v>
      </c>
      <c r="V514" s="345">
        <v>700</v>
      </c>
      <c r="W514" s="345">
        <v>14050</v>
      </c>
      <c r="X514" s="349">
        <v>24312.47</v>
      </c>
      <c r="Y514" s="345">
        <v>14056</v>
      </c>
      <c r="Z514" s="349">
        <v>11577.33</v>
      </c>
      <c r="AA514" s="349">
        <f t="shared" si="92"/>
        <v>12735.140000000001</v>
      </c>
      <c r="AB514" s="349">
        <v>2604.87</v>
      </c>
      <c r="AC514" s="345">
        <v>54260</v>
      </c>
      <c r="AD514" s="349">
        <v>289.43</v>
      </c>
      <c r="AE514" s="345" t="s">
        <v>944</v>
      </c>
      <c r="AF514" s="347"/>
      <c r="AG514" s="347"/>
      <c r="AH514" s="347" t="s">
        <v>57</v>
      </c>
      <c r="AI514" s="347" t="s">
        <v>4442</v>
      </c>
      <c r="AJ514" s="347" t="s">
        <v>4443</v>
      </c>
      <c r="AK514" s="347" t="s">
        <v>4437</v>
      </c>
      <c r="AL514" s="387">
        <v>45574</v>
      </c>
    </row>
    <row r="515" spans="2:38" ht="15.75" outlineLevel="1">
      <c r="B515" s="345">
        <v>2111</v>
      </c>
      <c r="C515" s="346">
        <v>254565</v>
      </c>
      <c r="D515" s="345" t="s">
        <v>944</v>
      </c>
      <c r="E515" s="347" t="s">
        <v>4240</v>
      </c>
      <c r="F515" s="343" t="s">
        <v>1173</v>
      </c>
      <c r="I515" s="345">
        <v>1053</v>
      </c>
      <c r="J515" s="347"/>
      <c r="K515" s="345">
        <v>0</v>
      </c>
      <c r="L515" s="347" t="s">
        <v>1462</v>
      </c>
      <c r="M515" s="347"/>
      <c r="N515" s="347" t="s">
        <v>4446</v>
      </c>
      <c r="O515" s="347" t="s">
        <v>4441</v>
      </c>
      <c r="P515" s="347"/>
      <c r="Q515" s="347"/>
      <c r="R515" s="347"/>
      <c r="S515" s="348">
        <v>44352</v>
      </c>
      <c r="T515" s="348">
        <v>44352</v>
      </c>
      <c r="U515" s="347" t="s">
        <v>1637</v>
      </c>
      <c r="V515" s="345">
        <v>700</v>
      </c>
      <c r="W515" s="345">
        <v>14050</v>
      </c>
      <c r="X515" s="349">
        <v>60709.18</v>
      </c>
      <c r="Y515" s="345">
        <v>14056</v>
      </c>
      <c r="Z515" s="349">
        <v>28909.15</v>
      </c>
      <c r="AA515" s="349">
        <f t="shared" si="92"/>
        <v>31800.03</v>
      </c>
      <c r="AB515" s="349">
        <v>6504.57</v>
      </c>
      <c r="AC515" s="345">
        <v>54260</v>
      </c>
      <c r="AD515" s="349">
        <v>722.73</v>
      </c>
      <c r="AE515" s="345" t="s">
        <v>944</v>
      </c>
      <c r="AF515" s="347"/>
      <c r="AG515" s="347"/>
      <c r="AH515" s="347" t="s">
        <v>57</v>
      </c>
      <c r="AI515" s="347" t="s">
        <v>4442</v>
      </c>
      <c r="AJ515" s="347" t="s">
        <v>4443</v>
      </c>
      <c r="AK515" s="347" t="s">
        <v>4437</v>
      </c>
      <c r="AL515" s="387">
        <v>45574</v>
      </c>
    </row>
    <row r="516" spans="2:38" ht="15.75" outlineLevel="1">
      <c r="B516" s="345">
        <v>2111</v>
      </c>
      <c r="C516" s="346">
        <v>254564</v>
      </c>
      <c r="D516" s="345" t="s">
        <v>944</v>
      </c>
      <c r="E516" s="347" t="s">
        <v>4240</v>
      </c>
      <c r="F516" s="343" t="s">
        <v>1172</v>
      </c>
      <c r="I516" s="345">
        <v>351</v>
      </c>
      <c r="J516" s="347"/>
      <c r="K516" s="345">
        <v>0</v>
      </c>
      <c r="L516" s="347" t="s">
        <v>1462</v>
      </c>
      <c r="M516" s="347"/>
      <c r="N516" s="347" t="s">
        <v>4446</v>
      </c>
      <c r="O516" s="347" t="s">
        <v>4441</v>
      </c>
      <c r="P516" s="347"/>
      <c r="Q516" s="347"/>
      <c r="R516" s="347"/>
      <c r="S516" s="348">
        <v>44352</v>
      </c>
      <c r="T516" s="348">
        <v>44352</v>
      </c>
      <c r="U516" s="347" t="s">
        <v>1637</v>
      </c>
      <c r="V516" s="345">
        <v>700</v>
      </c>
      <c r="W516" s="345">
        <v>14050</v>
      </c>
      <c r="X516" s="349">
        <v>20236.39</v>
      </c>
      <c r="Y516" s="345">
        <v>14056</v>
      </c>
      <c r="Z516" s="349">
        <v>9636.3799999999992</v>
      </c>
      <c r="AA516" s="349">
        <f t="shared" si="92"/>
        <v>10600.01</v>
      </c>
      <c r="AB516" s="349">
        <v>2168.19</v>
      </c>
      <c r="AC516" s="345">
        <v>54260</v>
      </c>
      <c r="AD516" s="349">
        <v>240.91</v>
      </c>
      <c r="AE516" s="345" t="s">
        <v>944</v>
      </c>
      <c r="AF516" s="347"/>
      <c r="AG516" s="347"/>
      <c r="AH516" s="347" t="s">
        <v>57</v>
      </c>
      <c r="AI516" s="347" t="s">
        <v>4442</v>
      </c>
      <c r="AJ516" s="347" t="s">
        <v>4443</v>
      </c>
      <c r="AK516" s="347" t="s">
        <v>4437</v>
      </c>
      <c r="AL516" s="387">
        <v>45574</v>
      </c>
    </row>
    <row r="517" spans="2:38" ht="15.75" outlineLevel="1">
      <c r="B517" s="345">
        <v>2111</v>
      </c>
      <c r="C517" s="346">
        <v>254563</v>
      </c>
      <c r="D517" s="345" t="s">
        <v>944</v>
      </c>
      <c r="E517" s="347" t="s">
        <v>4240</v>
      </c>
      <c r="F517" s="343" t="s">
        <v>1171</v>
      </c>
      <c r="I517" s="345">
        <v>351</v>
      </c>
      <c r="J517" s="347"/>
      <c r="K517" s="345">
        <v>0</v>
      </c>
      <c r="L517" s="347" t="s">
        <v>1462</v>
      </c>
      <c r="M517" s="347"/>
      <c r="N517" s="347" t="s">
        <v>4446</v>
      </c>
      <c r="O517" s="347" t="s">
        <v>4441</v>
      </c>
      <c r="P517" s="347"/>
      <c r="Q517" s="347"/>
      <c r="R517" s="347"/>
      <c r="S517" s="348">
        <v>44352</v>
      </c>
      <c r="T517" s="348">
        <v>44352</v>
      </c>
      <c r="U517" s="347" t="s">
        <v>1637</v>
      </c>
      <c r="V517" s="345">
        <v>700</v>
      </c>
      <c r="W517" s="345">
        <v>14050</v>
      </c>
      <c r="X517" s="349">
        <v>20236.400000000001</v>
      </c>
      <c r="Y517" s="345">
        <v>14056</v>
      </c>
      <c r="Z517" s="349">
        <v>9636.4</v>
      </c>
      <c r="AA517" s="349">
        <f t="shared" si="92"/>
        <v>10600.000000000002</v>
      </c>
      <c r="AB517" s="349">
        <v>2168.19</v>
      </c>
      <c r="AC517" s="345">
        <v>54260</v>
      </c>
      <c r="AD517" s="349">
        <v>240.91</v>
      </c>
      <c r="AE517" s="345" t="s">
        <v>944</v>
      </c>
      <c r="AF517" s="347"/>
      <c r="AG517" s="347"/>
      <c r="AH517" s="347" t="s">
        <v>57</v>
      </c>
      <c r="AI517" s="347" t="s">
        <v>4442</v>
      </c>
      <c r="AJ517" s="347" t="s">
        <v>4443</v>
      </c>
      <c r="AK517" s="347" t="s">
        <v>4437</v>
      </c>
      <c r="AL517" s="387">
        <v>45574</v>
      </c>
    </row>
    <row r="518" spans="2:38" ht="15.75" outlineLevel="1">
      <c r="B518" s="345">
        <v>2111</v>
      </c>
      <c r="C518" s="346">
        <v>254515</v>
      </c>
      <c r="D518" s="345">
        <v>252489</v>
      </c>
      <c r="E518" s="347" t="s">
        <v>4240</v>
      </c>
      <c r="F518" s="343" t="s">
        <v>1170</v>
      </c>
      <c r="I518" s="345">
        <v>1</v>
      </c>
      <c r="J518" s="347"/>
      <c r="K518" s="345">
        <v>0</v>
      </c>
      <c r="L518" s="347" t="s">
        <v>1456</v>
      </c>
      <c r="M518" s="347"/>
      <c r="N518" s="347" t="s">
        <v>4462</v>
      </c>
      <c r="O518" s="347" t="s">
        <v>4441</v>
      </c>
      <c r="P518" s="347"/>
      <c r="Q518" s="347"/>
      <c r="R518" s="347"/>
      <c r="S518" s="348">
        <v>44347</v>
      </c>
      <c r="T518" s="348">
        <v>44347</v>
      </c>
      <c r="U518" s="347" t="s">
        <v>1457</v>
      </c>
      <c r="V518" s="345">
        <v>1000</v>
      </c>
      <c r="W518" s="345">
        <v>14010</v>
      </c>
      <c r="X518" s="349">
        <v>559</v>
      </c>
      <c r="Y518" s="345">
        <v>14016</v>
      </c>
      <c r="Z518" s="349">
        <v>186.35</v>
      </c>
      <c r="AA518" s="349">
        <f t="shared" si="92"/>
        <v>372.65</v>
      </c>
      <c r="AB518" s="349">
        <v>41.94</v>
      </c>
      <c r="AC518" s="345">
        <v>57260</v>
      </c>
      <c r="AD518" s="349">
        <v>4.66</v>
      </c>
      <c r="AE518" s="345" t="s">
        <v>944</v>
      </c>
      <c r="AF518" s="347"/>
      <c r="AG518" s="347"/>
      <c r="AH518" s="347" t="s">
        <v>57</v>
      </c>
      <c r="AI518" s="347" t="s">
        <v>4442</v>
      </c>
      <c r="AJ518" s="347" t="s">
        <v>4443</v>
      </c>
      <c r="AK518" s="347" t="s">
        <v>4437</v>
      </c>
      <c r="AL518" s="387">
        <v>45574</v>
      </c>
    </row>
    <row r="519" spans="2:38" ht="15.75" outlineLevel="1">
      <c r="B519" s="345">
        <v>2111</v>
      </c>
      <c r="C519" s="346">
        <v>253160</v>
      </c>
      <c r="D519" s="345" t="s">
        <v>944</v>
      </c>
      <c r="E519" s="347" t="s">
        <v>4240</v>
      </c>
      <c r="F519" s="343" t="s">
        <v>1149</v>
      </c>
      <c r="I519" s="345">
        <v>351</v>
      </c>
      <c r="J519" s="347"/>
      <c r="K519" s="345">
        <v>0</v>
      </c>
      <c r="L519" s="347" t="s">
        <v>1462</v>
      </c>
      <c r="M519" s="347"/>
      <c r="N519" s="347" t="s">
        <v>4446</v>
      </c>
      <c r="O519" s="347" t="s">
        <v>4441</v>
      </c>
      <c r="P519" s="347"/>
      <c r="Q519" s="347"/>
      <c r="R519" s="347"/>
      <c r="S519" s="348">
        <v>44242</v>
      </c>
      <c r="T519" s="348">
        <v>44242</v>
      </c>
      <c r="U519" s="347" t="s">
        <v>1639</v>
      </c>
      <c r="V519" s="345">
        <v>700</v>
      </c>
      <c r="W519" s="345">
        <v>14050</v>
      </c>
      <c r="X519" s="349">
        <v>16799.37</v>
      </c>
      <c r="Y519" s="345">
        <v>14056</v>
      </c>
      <c r="Z519" s="349">
        <v>8799.65</v>
      </c>
      <c r="AA519" s="349">
        <f t="shared" si="92"/>
        <v>7999.7199999999993</v>
      </c>
      <c r="AB519" s="349">
        <v>1799.91</v>
      </c>
      <c r="AC519" s="345">
        <v>54260</v>
      </c>
      <c r="AD519" s="349">
        <v>199.99</v>
      </c>
      <c r="AE519" s="345" t="s">
        <v>944</v>
      </c>
      <c r="AF519" s="347"/>
      <c r="AG519" s="347"/>
      <c r="AH519" s="347" t="s">
        <v>57</v>
      </c>
      <c r="AI519" s="347" t="s">
        <v>4442</v>
      </c>
      <c r="AJ519" s="347" t="s">
        <v>4443</v>
      </c>
      <c r="AK519" s="347" t="s">
        <v>4437</v>
      </c>
      <c r="AL519" s="387">
        <v>45574</v>
      </c>
    </row>
    <row r="520" spans="2:38" ht="15.75" outlineLevel="1">
      <c r="B520" s="345">
        <v>2111</v>
      </c>
      <c r="C520" s="346">
        <v>253159</v>
      </c>
      <c r="D520" s="345" t="s">
        <v>944</v>
      </c>
      <c r="E520" s="347" t="s">
        <v>4240</v>
      </c>
      <c r="F520" s="343" t="s">
        <v>1135</v>
      </c>
      <c r="I520" s="345">
        <v>351</v>
      </c>
      <c r="J520" s="347"/>
      <c r="K520" s="345">
        <v>0</v>
      </c>
      <c r="L520" s="347" t="s">
        <v>1462</v>
      </c>
      <c r="M520" s="347"/>
      <c r="N520" s="347" t="s">
        <v>4446</v>
      </c>
      <c r="O520" s="347" t="s">
        <v>4441</v>
      </c>
      <c r="P520" s="347"/>
      <c r="Q520" s="347"/>
      <c r="R520" s="347"/>
      <c r="S520" s="348">
        <v>44242</v>
      </c>
      <c r="T520" s="348">
        <v>44242</v>
      </c>
      <c r="U520" s="347" t="s">
        <v>1639</v>
      </c>
      <c r="V520" s="345">
        <v>700</v>
      </c>
      <c r="W520" s="345">
        <v>14050</v>
      </c>
      <c r="X520" s="349">
        <v>16799.37</v>
      </c>
      <c r="Y520" s="345">
        <v>14056</v>
      </c>
      <c r="Z520" s="349">
        <v>8799.65</v>
      </c>
      <c r="AA520" s="349">
        <f t="shared" si="92"/>
        <v>7999.7199999999993</v>
      </c>
      <c r="AB520" s="349">
        <v>1799.91</v>
      </c>
      <c r="AC520" s="345">
        <v>54260</v>
      </c>
      <c r="AD520" s="349">
        <v>199.99</v>
      </c>
      <c r="AE520" s="345" t="s">
        <v>944</v>
      </c>
      <c r="AF520" s="347"/>
      <c r="AG520" s="347"/>
      <c r="AH520" s="347" t="s">
        <v>57</v>
      </c>
      <c r="AI520" s="347" t="s">
        <v>4442</v>
      </c>
      <c r="AJ520" s="347" t="s">
        <v>4443</v>
      </c>
      <c r="AK520" s="347" t="s">
        <v>4437</v>
      </c>
      <c r="AL520" s="387">
        <v>45574</v>
      </c>
    </row>
    <row r="521" spans="2:38" ht="15.75" outlineLevel="1">
      <c r="B521" s="345">
        <v>2111</v>
      </c>
      <c r="C521" s="346">
        <v>253158</v>
      </c>
      <c r="D521" s="345" t="s">
        <v>944</v>
      </c>
      <c r="E521" s="347" t="s">
        <v>4240</v>
      </c>
      <c r="F521" s="343" t="s">
        <v>1167</v>
      </c>
      <c r="I521" s="345">
        <v>220</v>
      </c>
      <c r="J521" s="347"/>
      <c r="K521" s="345">
        <v>0</v>
      </c>
      <c r="L521" s="347" t="s">
        <v>1462</v>
      </c>
      <c r="M521" s="347"/>
      <c r="N521" s="347" t="s">
        <v>4446</v>
      </c>
      <c r="O521" s="347" t="s">
        <v>4441</v>
      </c>
      <c r="P521" s="347"/>
      <c r="Q521" s="347"/>
      <c r="R521" s="347"/>
      <c r="S521" s="348">
        <v>44277</v>
      </c>
      <c r="T521" s="348">
        <v>44277</v>
      </c>
      <c r="U521" s="347" t="s">
        <v>1640</v>
      </c>
      <c r="V521" s="345">
        <v>700</v>
      </c>
      <c r="W521" s="345">
        <v>14050</v>
      </c>
      <c r="X521" s="349">
        <v>9518.8700000000008</v>
      </c>
      <c r="Y521" s="345">
        <v>14056</v>
      </c>
      <c r="Z521" s="349">
        <v>4759.4399999999996</v>
      </c>
      <c r="AA521" s="349">
        <f t="shared" si="92"/>
        <v>4759.4300000000012</v>
      </c>
      <c r="AB521" s="349">
        <v>1019.88</v>
      </c>
      <c r="AC521" s="345">
        <v>54260</v>
      </c>
      <c r="AD521" s="349">
        <v>113.32</v>
      </c>
      <c r="AE521" s="345" t="s">
        <v>944</v>
      </c>
      <c r="AF521" s="347"/>
      <c r="AG521" s="347"/>
      <c r="AH521" s="347" t="s">
        <v>57</v>
      </c>
      <c r="AI521" s="347" t="s">
        <v>4442</v>
      </c>
      <c r="AJ521" s="347" t="s">
        <v>4443</v>
      </c>
      <c r="AK521" s="347" t="s">
        <v>4437</v>
      </c>
      <c r="AL521" s="387">
        <v>45574</v>
      </c>
    </row>
    <row r="522" spans="2:38" ht="15.75" outlineLevel="1">
      <c r="B522" s="345">
        <v>2111</v>
      </c>
      <c r="C522" s="346">
        <v>253157</v>
      </c>
      <c r="D522" s="345" t="s">
        <v>944</v>
      </c>
      <c r="E522" s="347" t="s">
        <v>4240</v>
      </c>
      <c r="F522" s="343" t="s">
        <v>1168</v>
      </c>
      <c r="I522" s="345">
        <v>689</v>
      </c>
      <c r="J522" s="347"/>
      <c r="K522" s="345">
        <v>0</v>
      </c>
      <c r="L522" s="347" t="s">
        <v>1462</v>
      </c>
      <c r="M522" s="347"/>
      <c r="N522" s="347" t="s">
        <v>4446</v>
      </c>
      <c r="O522" s="347" t="s">
        <v>4441</v>
      </c>
      <c r="P522" s="347"/>
      <c r="Q522" s="347"/>
      <c r="R522" s="347"/>
      <c r="S522" s="348">
        <v>44277</v>
      </c>
      <c r="T522" s="348">
        <v>44277</v>
      </c>
      <c r="U522" s="347" t="s">
        <v>1640</v>
      </c>
      <c r="V522" s="345">
        <v>700</v>
      </c>
      <c r="W522" s="345">
        <v>14050</v>
      </c>
      <c r="X522" s="349">
        <v>29871.98</v>
      </c>
      <c r="Y522" s="345">
        <v>14056</v>
      </c>
      <c r="Z522" s="349">
        <v>14936.01</v>
      </c>
      <c r="AA522" s="349">
        <f t="shared" si="92"/>
        <v>14935.97</v>
      </c>
      <c r="AB522" s="349">
        <v>3200.58</v>
      </c>
      <c r="AC522" s="345">
        <v>54260</v>
      </c>
      <c r="AD522" s="349">
        <v>355.62</v>
      </c>
      <c r="AE522" s="345" t="s">
        <v>944</v>
      </c>
      <c r="AF522" s="347"/>
      <c r="AG522" s="347"/>
      <c r="AH522" s="347" t="s">
        <v>57</v>
      </c>
      <c r="AI522" s="347" t="s">
        <v>4442</v>
      </c>
      <c r="AJ522" s="347" t="s">
        <v>4443</v>
      </c>
      <c r="AK522" s="347" t="s">
        <v>4437</v>
      </c>
      <c r="AL522" s="387">
        <v>45574</v>
      </c>
    </row>
    <row r="523" spans="2:38" ht="15.75" outlineLevel="1">
      <c r="B523" s="345">
        <v>2111</v>
      </c>
      <c r="C523" s="346">
        <v>252489</v>
      </c>
      <c r="D523" s="345" t="s">
        <v>944</v>
      </c>
      <c r="E523" s="347" t="s">
        <v>4240</v>
      </c>
      <c r="F523" s="343" t="s">
        <v>1166</v>
      </c>
      <c r="I523" s="345">
        <v>1</v>
      </c>
      <c r="J523" s="347"/>
      <c r="K523" s="345">
        <v>0</v>
      </c>
      <c r="L523" s="347"/>
      <c r="M523" s="347"/>
      <c r="N523" s="347" t="s">
        <v>4462</v>
      </c>
      <c r="O523" s="347" t="s">
        <v>4441</v>
      </c>
      <c r="P523" s="347"/>
      <c r="Q523" s="347"/>
      <c r="R523" s="347"/>
      <c r="S523" s="348">
        <v>44347</v>
      </c>
      <c r="T523" s="348">
        <v>44347</v>
      </c>
      <c r="U523" s="347" t="s">
        <v>1641</v>
      </c>
      <c r="V523" s="345">
        <v>1000</v>
      </c>
      <c r="W523" s="345">
        <v>14010</v>
      </c>
      <c r="X523" s="349">
        <v>3092.5</v>
      </c>
      <c r="Y523" s="345">
        <v>14016</v>
      </c>
      <c r="Z523" s="349">
        <v>1030.83</v>
      </c>
      <c r="AA523" s="349">
        <f t="shared" si="92"/>
        <v>2061.67</v>
      </c>
      <c r="AB523" s="349">
        <v>231.93</v>
      </c>
      <c r="AC523" s="345">
        <v>57260</v>
      </c>
      <c r="AD523" s="349">
        <v>25.77</v>
      </c>
      <c r="AE523" s="345" t="s">
        <v>944</v>
      </c>
      <c r="AF523" s="347"/>
      <c r="AG523" s="347"/>
      <c r="AH523" s="347" t="s">
        <v>57</v>
      </c>
      <c r="AI523" s="347" t="s">
        <v>4442</v>
      </c>
      <c r="AJ523" s="347" t="s">
        <v>4443</v>
      </c>
      <c r="AK523" s="347" t="s">
        <v>4437</v>
      </c>
      <c r="AL523" s="387">
        <v>45574</v>
      </c>
    </row>
    <row r="524" spans="2:38" ht="15.75" outlineLevel="1">
      <c r="B524" s="345">
        <v>2111</v>
      </c>
      <c r="C524" s="346">
        <v>252178</v>
      </c>
      <c r="D524" s="345">
        <v>252176</v>
      </c>
      <c r="E524" s="347" t="s">
        <v>4240</v>
      </c>
      <c r="F524" s="343" t="s">
        <v>1163</v>
      </c>
      <c r="I524" s="345">
        <v>1</v>
      </c>
      <c r="J524" s="347" t="s">
        <v>1642</v>
      </c>
      <c r="K524" s="345">
        <v>2020</v>
      </c>
      <c r="L524" s="347"/>
      <c r="M524" s="347"/>
      <c r="N524" s="347" t="s">
        <v>4445</v>
      </c>
      <c r="O524" s="347" t="s">
        <v>4441</v>
      </c>
      <c r="P524" s="347" t="s">
        <v>1467</v>
      </c>
      <c r="Q524" s="347"/>
      <c r="R524" s="347"/>
      <c r="S524" s="348">
        <v>44329</v>
      </c>
      <c r="T524" s="348">
        <v>44329</v>
      </c>
      <c r="U524" s="347" t="s">
        <v>1643</v>
      </c>
      <c r="V524" s="345">
        <v>1000</v>
      </c>
      <c r="W524" s="345">
        <v>14040</v>
      </c>
      <c r="X524" s="349">
        <v>159549.45000000001</v>
      </c>
      <c r="Y524" s="345">
        <v>14046</v>
      </c>
      <c r="Z524" s="349">
        <v>54512.75</v>
      </c>
      <c r="AA524" s="349">
        <f t="shared" si="92"/>
        <v>105036.70000000001</v>
      </c>
      <c r="AB524" s="349">
        <v>11966.22</v>
      </c>
      <c r="AC524" s="345">
        <v>51260</v>
      </c>
      <c r="AD524" s="349">
        <v>1329.58</v>
      </c>
      <c r="AE524" s="345" t="s">
        <v>944</v>
      </c>
      <c r="AF524" s="347"/>
      <c r="AG524" s="347"/>
      <c r="AH524" s="347" t="s">
        <v>57</v>
      </c>
      <c r="AI524" s="347" t="s">
        <v>4442</v>
      </c>
      <c r="AJ524" s="347" t="s">
        <v>4443</v>
      </c>
      <c r="AK524" s="347" t="s">
        <v>4437</v>
      </c>
      <c r="AL524" s="387">
        <v>45574</v>
      </c>
    </row>
    <row r="525" spans="2:38" ht="15.75" outlineLevel="1">
      <c r="B525" s="345">
        <v>2111</v>
      </c>
      <c r="C525" s="346">
        <v>252177</v>
      </c>
      <c r="D525" s="345">
        <v>252175</v>
      </c>
      <c r="E525" s="347" t="s">
        <v>4240</v>
      </c>
      <c r="F525" s="343" t="s">
        <v>1164</v>
      </c>
      <c r="I525" s="345">
        <v>1</v>
      </c>
      <c r="J525" s="347" t="s">
        <v>1644</v>
      </c>
      <c r="K525" s="345">
        <v>2020</v>
      </c>
      <c r="L525" s="347"/>
      <c r="M525" s="347"/>
      <c r="N525" s="347" t="s">
        <v>4445</v>
      </c>
      <c r="O525" s="347" t="s">
        <v>4441</v>
      </c>
      <c r="P525" s="347" t="s">
        <v>1467</v>
      </c>
      <c r="Q525" s="347"/>
      <c r="R525" s="347"/>
      <c r="S525" s="348">
        <v>44329</v>
      </c>
      <c r="T525" s="348">
        <v>44329</v>
      </c>
      <c r="U525" s="347" t="s">
        <v>1645</v>
      </c>
      <c r="V525" s="345">
        <v>1000</v>
      </c>
      <c r="W525" s="345">
        <v>14040</v>
      </c>
      <c r="X525" s="349">
        <v>159549.45000000001</v>
      </c>
      <c r="Y525" s="345">
        <v>14046</v>
      </c>
      <c r="Z525" s="349">
        <v>54512.75</v>
      </c>
      <c r="AA525" s="349">
        <f t="shared" si="92"/>
        <v>105036.70000000001</v>
      </c>
      <c r="AB525" s="349">
        <v>11966.22</v>
      </c>
      <c r="AC525" s="345">
        <v>51260</v>
      </c>
      <c r="AD525" s="349">
        <v>1329.58</v>
      </c>
      <c r="AE525" s="345" t="s">
        <v>944</v>
      </c>
      <c r="AF525" s="347"/>
      <c r="AG525" s="347"/>
      <c r="AH525" s="347" t="s">
        <v>57</v>
      </c>
      <c r="AI525" s="347" t="s">
        <v>4442</v>
      </c>
      <c r="AJ525" s="347" t="s">
        <v>4443</v>
      </c>
      <c r="AK525" s="347" t="s">
        <v>4437</v>
      </c>
      <c r="AL525" s="387">
        <v>45574</v>
      </c>
    </row>
    <row r="526" spans="2:38" ht="15.75" outlineLevel="1">
      <c r="B526" s="345">
        <v>2111</v>
      </c>
      <c r="C526" s="346">
        <v>252176</v>
      </c>
      <c r="D526" s="345" t="s">
        <v>944</v>
      </c>
      <c r="E526" s="347" t="s">
        <v>4240</v>
      </c>
      <c r="F526" s="343" t="s">
        <v>1165</v>
      </c>
      <c r="I526" s="345">
        <v>1</v>
      </c>
      <c r="J526" s="347" t="s">
        <v>1642</v>
      </c>
      <c r="K526" s="345">
        <v>2020</v>
      </c>
      <c r="L526" s="347"/>
      <c r="M526" s="347"/>
      <c r="N526" s="347" t="s">
        <v>4445</v>
      </c>
      <c r="O526" s="347" t="s">
        <v>4441</v>
      </c>
      <c r="P526" s="347" t="s">
        <v>4487</v>
      </c>
      <c r="Q526" s="347"/>
      <c r="R526" s="347"/>
      <c r="S526" s="348">
        <v>44329</v>
      </c>
      <c r="T526" s="348">
        <v>44329</v>
      </c>
      <c r="U526" s="347" t="s">
        <v>1646</v>
      </c>
      <c r="V526" s="345">
        <v>1000</v>
      </c>
      <c r="W526" s="345">
        <v>14040</v>
      </c>
      <c r="X526" s="349">
        <v>183322.84</v>
      </c>
      <c r="Y526" s="345">
        <v>14046</v>
      </c>
      <c r="Z526" s="349">
        <v>62635.29</v>
      </c>
      <c r="AA526" s="349">
        <f t="shared" si="92"/>
        <v>120687.54999999999</v>
      </c>
      <c r="AB526" s="349">
        <v>13749.21</v>
      </c>
      <c r="AC526" s="345">
        <v>51260</v>
      </c>
      <c r="AD526" s="349">
        <v>1527.69</v>
      </c>
      <c r="AE526" s="345" t="s">
        <v>944</v>
      </c>
      <c r="AF526" s="347"/>
      <c r="AG526" s="347">
        <v>916</v>
      </c>
      <c r="AH526" s="347" t="s">
        <v>57</v>
      </c>
      <c r="AI526" s="347" t="s">
        <v>4442</v>
      </c>
      <c r="AJ526" s="347" t="s">
        <v>4443</v>
      </c>
      <c r="AK526" s="347" t="s">
        <v>4437</v>
      </c>
      <c r="AL526" s="387">
        <v>45574</v>
      </c>
    </row>
    <row r="527" spans="2:38" ht="15.75" outlineLevel="1">
      <c r="B527" s="345">
        <v>2111</v>
      </c>
      <c r="C527" s="346">
        <v>252175</v>
      </c>
      <c r="D527" s="345" t="s">
        <v>944</v>
      </c>
      <c r="E527" s="347" t="s">
        <v>4240</v>
      </c>
      <c r="F527" s="343" t="s">
        <v>1165</v>
      </c>
      <c r="I527" s="345">
        <v>1</v>
      </c>
      <c r="J527" s="347" t="s">
        <v>1644</v>
      </c>
      <c r="K527" s="345">
        <v>2020</v>
      </c>
      <c r="L527" s="347"/>
      <c r="M527" s="347"/>
      <c r="N527" s="347" t="s">
        <v>4445</v>
      </c>
      <c r="O527" s="347" t="s">
        <v>4441</v>
      </c>
      <c r="P527" s="347" t="s">
        <v>4487</v>
      </c>
      <c r="Q527" s="347"/>
      <c r="R527" s="347"/>
      <c r="S527" s="348">
        <v>44329</v>
      </c>
      <c r="T527" s="348">
        <v>44329</v>
      </c>
      <c r="U527" s="347" t="s">
        <v>1647</v>
      </c>
      <c r="V527" s="345">
        <v>1000</v>
      </c>
      <c r="W527" s="345">
        <v>14040</v>
      </c>
      <c r="X527" s="349">
        <v>183322.84</v>
      </c>
      <c r="Y527" s="345">
        <v>14046</v>
      </c>
      <c r="Z527" s="349">
        <v>62635.29</v>
      </c>
      <c r="AA527" s="349">
        <f t="shared" si="92"/>
        <v>120687.54999999999</v>
      </c>
      <c r="AB527" s="349">
        <v>13749.21</v>
      </c>
      <c r="AC527" s="345">
        <v>51260</v>
      </c>
      <c r="AD527" s="349">
        <v>1527.69</v>
      </c>
      <c r="AE527" s="345" t="s">
        <v>944</v>
      </c>
      <c r="AF527" s="347"/>
      <c r="AG527" s="347">
        <v>917</v>
      </c>
      <c r="AH527" s="347" t="s">
        <v>57</v>
      </c>
      <c r="AI527" s="347" t="s">
        <v>4442</v>
      </c>
      <c r="AJ527" s="347" t="s">
        <v>4443</v>
      </c>
      <c r="AK527" s="347" t="s">
        <v>4437</v>
      </c>
      <c r="AL527" s="387">
        <v>45574</v>
      </c>
    </row>
    <row r="528" spans="2:38" ht="15.75" outlineLevel="1">
      <c r="B528" s="345">
        <v>2111</v>
      </c>
      <c r="C528" s="346">
        <v>251861</v>
      </c>
      <c r="D528" s="345">
        <v>241232</v>
      </c>
      <c r="E528" s="347" t="s">
        <v>4240</v>
      </c>
      <c r="F528" s="343" t="s">
        <v>1648</v>
      </c>
      <c r="I528" s="345">
        <v>1</v>
      </c>
      <c r="J528" s="347" t="s">
        <v>1649</v>
      </c>
      <c r="K528" s="345">
        <v>2020</v>
      </c>
      <c r="L528" s="347" t="s">
        <v>1561</v>
      </c>
      <c r="M528" s="347"/>
      <c r="N528" s="347" t="s">
        <v>4445</v>
      </c>
      <c r="O528" s="347" t="s">
        <v>4441</v>
      </c>
      <c r="P528" s="347" t="s">
        <v>1467</v>
      </c>
      <c r="Q528" s="347"/>
      <c r="R528" s="347"/>
      <c r="S528" s="348">
        <v>44197</v>
      </c>
      <c r="T528" s="348">
        <v>44197</v>
      </c>
      <c r="U528" s="347" t="s">
        <v>1650</v>
      </c>
      <c r="V528" s="345">
        <v>1000</v>
      </c>
      <c r="W528" s="345">
        <v>14040</v>
      </c>
      <c r="X528" s="349">
        <v>58619.82</v>
      </c>
      <c r="Y528" s="345">
        <v>14046</v>
      </c>
      <c r="Z528" s="349">
        <v>58619.82</v>
      </c>
      <c r="AA528" s="349">
        <f t="shared" si="92"/>
        <v>0</v>
      </c>
      <c r="AB528" s="349">
        <v>4509.21</v>
      </c>
      <c r="AC528" s="345">
        <v>51260</v>
      </c>
      <c r="AD528" s="349">
        <v>0</v>
      </c>
      <c r="AE528" s="345" t="s">
        <v>944</v>
      </c>
      <c r="AF528" s="347"/>
      <c r="AG528" s="347"/>
      <c r="AH528" s="347" t="s">
        <v>57</v>
      </c>
      <c r="AI528" s="347" t="s">
        <v>4442</v>
      </c>
      <c r="AJ528" s="347" t="s">
        <v>4443</v>
      </c>
      <c r="AK528" s="347" t="s">
        <v>4437</v>
      </c>
      <c r="AL528" s="387">
        <v>45574</v>
      </c>
    </row>
    <row r="529" spans="2:38" ht="15.75" outlineLevel="1">
      <c r="B529" s="345">
        <v>2111</v>
      </c>
      <c r="C529" s="346">
        <v>250258</v>
      </c>
      <c r="D529" s="345" t="s">
        <v>944</v>
      </c>
      <c r="E529" s="347" t="s">
        <v>4240</v>
      </c>
      <c r="F529" s="343" t="s">
        <v>1149</v>
      </c>
      <c r="I529" s="345">
        <v>702</v>
      </c>
      <c r="J529" s="347"/>
      <c r="K529" s="345">
        <v>0</v>
      </c>
      <c r="L529" s="347" t="s">
        <v>1462</v>
      </c>
      <c r="M529" s="347"/>
      <c r="N529" s="347" t="s">
        <v>4446</v>
      </c>
      <c r="O529" s="347" t="s">
        <v>4441</v>
      </c>
      <c r="P529" s="347"/>
      <c r="Q529" s="347"/>
      <c r="R529" s="347"/>
      <c r="S529" s="348">
        <v>44277</v>
      </c>
      <c r="T529" s="348">
        <v>44277</v>
      </c>
      <c r="U529" s="347" t="s">
        <v>1640</v>
      </c>
      <c r="V529" s="345">
        <v>700</v>
      </c>
      <c r="W529" s="345">
        <v>14050</v>
      </c>
      <c r="X529" s="349">
        <v>34293.08</v>
      </c>
      <c r="Y529" s="345">
        <v>14056</v>
      </c>
      <c r="Z529" s="349">
        <v>17146.53</v>
      </c>
      <c r="AA529" s="349">
        <f t="shared" si="92"/>
        <v>17146.550000000003</v>
      </c>
      <c r="AB529" s="349">
        <v>3674.25</v>
      </c>
      <c r="AC529" s="345">
        <v>54260</v>
      </c>
      <c r="AD529" s="349">
        <v>408.25</v>
      </c>
      <c r="AE529" s="345" t="s">
        <v>944</v>
      </c>
      <c r="AF529" s="347"/>
      <c r="AG529" s="347"/>
      <c r="AH529" s="347" t="s">
        <v>57</v>
      </c>
      <c r="AI529" s="347" t="s">
        <v>4442</v>
      </c>
      <c r="AJ529" s="347" t="s">
        <v>4443</v>
      </c>
      <c r="AK529" s="347" t="s">
        <v>4437</v>
      </c>
      <c r="AL529" s="387">
        <v>45574</v>
      </c>
    </row>
    <row r="530" spans="2:38" ht="15.75" outlineLevel="1">
      <c r="B530" s="345">
        <v>2111</v>
      </c>
      <c r="C530" s="346">
        <v>250257</v>
      </c>
      <c r="D530" s="345" t="s">
        <v>944</v>
      </c>
      <c r="E530" s="347" t="s">
        <v>4240</v>
      </c>
      <c r="F530" s="343" t="s">
        <v>1135</v>
      </c>
      <c r="I530" s="345">
        <v>702</v>
      </c>
      <c r="J530" s="347"/>
      <c r="K530" s="345">
        <v>0</v>
      </c>
      <c r="L530" s="347" t="s">
        <v>1462</v>
      </c>
      <c r="M530" s="347"/>
      <c r="N530" s="347" t="s">
        <v>4446</v>
      </c>
      <c r="O530" s="347" t="s">
        <v>4441</v>
      </c>
      <c r="P530" s="347"/>
      <c r="Q530" s="347"/>
      <c r="R530" s="347"/>
      <c r="S530" s="348">
        <v>44277</v>
      </c>
      <c r="T530" s="348">
        <v>44277</v>
      </c>
      <c r="U530" s="347" t="s">
        <v>1640</v>
      </c>
      <c r="V530" s="345">
        <v>700</v>
      </c>
      <c r="W530" s="345">
        <v>14050</v>
      </c>
      <c r="X530" s="349">
        <v>34293.089999999997</v>
      </c>
      <c r="Y530" s="345">
        <v>14056</v>
      </c>
      <c r="Z530" s="349">
        <v>17146.53</v>
      </c>
      <c r="AA530" s="349">
        <f t="shared" si="92"/>
        <v>17146.559999999998</v>
      </c>
      <c r="AB530" s="349">
        <v>3674.25</v>
      </c>
      <c r="AC530" s="345">
        <v>54260</v>
      </c>
      <c r="AD530" s="349">
        <v>408.25</v>
      </c>
      <c r="AE530" s="345" t="s">
        <v>944</v>
      </c>
      <c r="AF530" s="347"/>
      <c r="AG530" s="347"/>
      <c r="AH530" s="347" t="s">
        <v>57</v>
      </c>
      <c r="AI530" s="347" t="s">
        <v>4442</v>
      </c>
      <c r="AJ530" s="347" t="s">
        <v>4443</v>
      </c>
      <c r="AK530" s="347" t="s">
        <v>4437</v>
      </c>
      <c r="AL530" s="387">
        <v>45574</v>
      </c>
    </row>
    <row r="531" spans="2:38" ht="15.75" outlineLevel="1">
      <c r="B531" s="345">
        <v>2111</v>
      </c>
      <c r="C531" s="346">
        <v>250256</v>
      </c>
      <c r="D531" s="345" t="s">
        <v>944</v>
      </c>
      <c r="E531" s="347" t="s">
        <v>4240</v>
      </c>
      <c r="F531" s="343" t="s">
        <v>1136</v>
      </c>
      <c r="I531" s="345">
        <v>702</v>
      </c>
      <c r="J531" s="347"/>
      <c r="K531" s="345">
        <v>0</v>
      </c>
      <c r="L531" s="347" t="s">
        <v>1462</v>
      </c>
      <c r="M531" s="347"/>
      <c r="N531" s="347" t="s">
        <v>4446</v>
      </c>
      <c r="O531" s="347" t="s">
        <v>4441</v>
      </c>
      <c r="P531" s="347"/>
      <c r="Q531" s="347"/>
      <c r="R531" s="347"/>
      <c r="S531" s="348">
        <v>44277</v>
      </c>
      <c r="T531" s="348">
        <v>44277</v>
      </c>
      <c r="U531" s="347" t="s">
        <v>1640</v>
      </c>
      <c r="V531" s="345">
        <v>700</v>
      </c>
      <c r="W531" s="345">
        <v>14050</v>
      </c>
      <c r="X531" s="349">
        <v>34293.089999999997</v>
      </c>
      <c r="Y531" s="345">
        <v>14056</v>
      </c>
      <c r="Z531" s="349">
        <v>17146.53</v>
      </c>
      <c r="AA531" s="349">
        <f t="shared" si="92"/>
        <v>17146.559999999998</v>
      </c>
      <c r="AB531" s="349">
        <v>3674.25</v>
      </c>
      <c r="AC531" s="345">
        <v>54260</v>
      </c>
      <c r="AD531" s="349">
        <v>408.25</v>
      </c>
      <c r="AE531" s="345" t="s">
        <v>944</v>
      </c>
      <c r="AF531" s="347"/>
      <c r="AG531" s="347"/>
      <c r="AH531" s="347" t="s">
        <v>57</v>
      </c>
      <c r="AI531" s="347" t="s">
        <v>4442</v>
      </c>
      <c r="AJ531" s="347" t="s">
        <v>4443</v>
      </c>
      <c r="AK531" s="347" t="s">
        <v>4437</v>
      </c>
      <c r="AL531" s="387">
        <v>45574</v>
      </c>
    </row>
    <row r="532" spans="2:38" ht="15.75" outlineLevel="1">
      <c r="B532" s="345">
        <v>2111</v>
      </c>
      <c r="C532" s="346">
        <v>249798</v>
      </c>
      <c r="D532" s="345" t="s">
        <v>944</v>
      </c>
      <c r="E532" s="347" t="s">
        <v>4240</v>
      </c>
      <c r="F532" s="343" t="s">
        <v>1150</v>
      </c>
      <c r="I532" s="345">
        <v>1</v>
      </c>
      <c r="J532" s="347"/>
      <c r="K532" s="345">
        <v>0</v>
      </c>
      <c r="L532" s="347" t="s">
        <v>1657</v>
      </c>
      <c r="M532" s="347"/>
      <c r="N532" s="347" t="s">
        <v>4440</v>
      </c>
      <c r="O532" s="347" t="s">
        <v>4441</v>
      </c>
      <c r="P532" s="347"/>
      <c r="Q532" s="347"/>
      <c r="R532" s="347"/>
      <c r="S532" s="348">
        <v>44270</v>
      </c>
      <c r="T532" s="348">
        <v>44270</v>
      </c>
      <c r="U532" s="347" t="s">
        <v>1658</v>
      </c>
      <c r="V532" s="345">
        <v>300</v>
      </c>
      <c r="W532" s="345">
        <v>14110</v>
      </c>
      <c r="X532" s="349">
        <v>337.07</v>
      </c>
      <c r="Y532" s="345">
        <v>14116</v>
      </c>
      <c r="Z532" s="349">
        <v>337.07</v>
      </c>
      <c r="AA532" s="349">
        <f t="shared" si="92"/>
        <v>0</v>
      </c>
      <c r="AB532" s="349">
        <v>18.72</v>
      </c>
      <c r="AC532" s="345">
        <v>70260</v>
      </c>
      <c r="AD532" s="349">
        <v>9.36</v>
      </c>
      <c r="AE532" s="345" t="s">
        <v>944</v>
      </c>
      <c r="AF532" s="347"/>
      <c r="AG532" s="347"/>
      <c r="AH532" s="347" t="s">
        <v>57</v>
      </c>
      <c r="AI532" s="347" t="s">
        <v>4442</v>
      </c>
      <c r="AJ532" s="347" t="s">
        <v>4443</v>
      </c>
      <c r="AK532" s="347" t="s">
        <v>4437</v>
      </c>
      <c r="AL532" s="387">
        <v>45574</v>
      </c>
    </row>
    <row r="533" spans="2:38" ht="15.75" outlineLevel="1">
      <c r="B533" s="345">
        <v>2111</v>
      </c>
      <c r="C533" s="346">
        <v>249797</v>
      </c>
      <c r="D533" s="345" t="s">
        <v>944</v>
      </c>
      <c r="E533" s="347" t="s">
        <v>4240</v>
      </c>
      <c r="F533" s="343" t="s">
        <v>1151</v>
      </c>
      <c r="I533" s="345">
        <v>1</v>
      </c>
      <c r="J533" s="347"/>
      <c r="K533" s="345">
        <v>0</v>
      </c>
      <c r="L533" s="347" t="s">
        <v>1657</v>
      </c>
      <c r="M533" s="347"/>
      <c r="N533" s="347" t="s">
        <v>4440</v>
      </c>
      <c r="O533" s="347" t="s">
        <v>4441</v>
      </c>
      <c r="P533" s="347"/>
      <c r="Q533" s="347"/>
      <c r="R533" s="347"/>
      <c r="S533" s="348">
        <v>44270</v>
      </c>
      <c r="T533" s="348">
        <v>44270</v>
      </c>
      <c r="U533" s="347" t="s">
        <v>1658</v>
      </c>
      <c r="V533" s="345">
        <v>300</v>
      </c>
      <c r="W533" s="345">
        <v>14110</v>
      </c>
      <c r="X533" s="349">
        <v>337.07</v>
      </c>
      <c r="Y533" s="345">
        <v>14116</v>
      </c>
      <c r="Z533" s="349">
        <v>337.07</v>
      </c>
      <c r="AA533" s="349">
        <f t="shared" si="92"/>
        <v>0</v>
      </c>
      <c r="AB533" s="349">
        <v>18.72</v>
      </c>
      <c r="AC533" s="345">
        <v>70260</v>
      </c>
      <c r="AD533" s="349">
        <v>9.36</v>
      </c>
      <c r="AE533" s="345" t="s">
        <v>944</v>
      </c>
      <c r="AF533" s="347"/>
      <c r="AG533" s="347"/>
      <c r="AH533" s="347" t="s">
        <v>57</v>
      </c>
      <c r="AI533" s="347" t="s">
        <v>4442</v>
      </c>
      <c r="AJ533" s="347" t="s">
        <v>4443</v>
      </c>
      <c r="AK533" s="347" t="s">
        <v>4437</v>
      </c>
      <c r="AL533" s="387">
        <v>45574</v>
      </c>
    </row>
    <row r="534" spans="2:38" ht="15.75" outlineLevel="1">
      <c r="B534" s="345">
        <v>2111</v>
      </c>
      <c r="C534" s="346">
        <v>249796</v>
      </c>
      <c r="D534" s="345" t="s">
        <v>944</v>
      </c>
      <c r="E534" s="347" t="s">
        <v>4240</v>
      </c>
      <c r="F534" s="343" t="s">
        <v>1152</v>
      </c>
      <c r="I534" s="345">
        <v>1</v>
      </c>
      <c r="J534" s="347"/>
      <c r="K534" s="345">
        <v>0</v>
      </c>
      <c r="L534" s="347" t="s">
        <v>1657</v>
      </c>
      <c r="M534" s="347"/>
      <c r="N534" s="347" t="s">
        <v>4440</v>
      </c>
      <c r="O534" s="347" t="s">
        <v>4441</v>
      </c>
      <c r="P534" s="347"/>
      <c r="Q534" s="347"/>
      <c r="R534" s="347"/>
      <c r="S534" s="348">
        <v>44270</v>
      </c>
      <c r="T534" s="348">
        <v>44270</v>
      </c>
      <c r="U534" s="347" t="s">
        <v>1658</v>
      </c>
      <c r="V534" s="345">
        <v>300</v>
      </c>
      <c r="W534" s="345">
        <v>14110</v>
      </c>
      <c r="X534" s="349">
        <v>337.07</v>
      </c>
      <c r="Y534" s="345">
        <v>14116</v>
      </c>
      <c r="Z534" s="349">
        <v>337.07</v>
      </c>
      <c r="AA534" s="349">
        <f t="shared" si="92"/>
        <v>0</v>
      </c>
      <c r="AB534" s="349">
        <v>18.72</v>
      </c>
      <c r="AC534" s="345">
        <v>70260</v>
      </c>
      <c r="AD534" s="349">
        <v>9.36</v>
      </c>
      <c r="AE534" s="345" t="s">
        <v>944</v>
      </c>
      <c r="AF534" s="347"/>
      <c r="AG534" s="347"/>
      <c r="AH534" s="347" t="s">
        <v>57</v>
      </c>
      <c r="AI534" s="347" t="s">
        <v>4442</v>
      </c>
      <c r="AJ534" s="347" t="s">
        <v>4443</v>
      </c>
      <c r="AK534" s="347" t="s">
        <v>4437</v>
      </c>
      <c r="AL534" s="387">
        <v>45574</v>
      </c>
    </row>
    <row r="535" spans="2:38" ht="15.75" outlineLevel="1">
      <c r="B535" s="345">
        <v>2111</v>
      </c>
      <c r="C535" s="346">
        <v>249795</v>
      </c>
      <c r="D535" s="345" t="s">
        <v>944</v>
      </c>
      <c r="E535" s="347" t="s">
        <v>4240</v>
      </c>
      <c r="F535" s="343" t="s">
        <v>1153</v>
      </c>
      <c r="I535" s="345">
        <v>1</v>
      </c>
      <c r="J535" s="347"/>
      <c r="K535" s="345">
        <v>0</v>
      </c>
      <c r="L535" s="347" t="s">
        <v>1657</v>
      </c>
      <c r="M535" s="347"/>
      <c r="N535" s="347" t="s">
        <v>4440</v>
      </c>
      <c r="O535" s="347" t="s">
        <v>4441</v>
      </c>
      <c r="P535" s="347"/>
      <c r="Q535" s="347"/>
      <c r="R535" s="347"/>
      <c r="S535" s="348">
        <v>44270</v>
      </c>
      <c r="T535" s="348">
        <v>44270</v>
      </c>
      <c r="U535" s="347" t="s">
        <v>1658</v>
      </c>
      <c r="V535" s="345">
        <v>300</v>
      </c>
      <c r="W535" s="345">
        <v>14110</v>
      </c>
      <c r="X535" s="349">
        <v>337.07</v>
      </c>
      <c r="Y535" s="345">
        <v>14116</v>
      </c>
      <c r="Z535" s="349">
        <v>337.07</v>
      </c>
      <c r="AA535" s="349">
        <f t="shared" si="92"/>
        <v>0</v>
      </c>
      <c r="AB535" s="349">
        <v>18.72</v>
      </c>
      <c r="AC535" s="345">
        <v>70260</v>
      </c>
      <c r="AD535" s="349">
        <v>9.36</v>
      </c>
      <c r="AE535" s="345" t="s">
        <v>944</v>
      </c>
      <c r="AF535" s="347"/>
      <c r="AG535" s="347"/>
      <c r="AH535" s="347" t="s">
        <v>57</v>
      </c>
      <c r="AI535" s="347" t="s">
        <v>4442</v>
      </c>
      <c r="AJ535" s="347" t="s">
        <v>4443</v>
      </c>
      <c r="AK535" s="347" t="s">
        <v>4437</v>
      </c>
      <c r="AL535" s="387">
        <v>45574</v>
      </c>
    </row>
    <row r="536" spans="2:38" ht="15.75" outlineLevel="1">
      <c r="B536" s="345">
        <v>2111</v>
      </c>
      <c r="C536" s="346">
        <v>249794</v>
      </c>
      <c r="D536" s="345" t="s">
        <v>944</v>
      </c>
      <c r="E536" s="347" t="s">
        <v>4240</v>
      </c>
      <c r="F536" s="343" t="s">
        <v>1154</v>
      </c>
      <c r="I536" s="345">
        <v>1</v>
      </c>
      <c r="J536" s="347"/>
      <c r="K536" s="345">
        <v>0</v>
      </c>
      <c r="L536" s="347" t="s">
        <v>1657</v>
      </c>
      <c r="M536" s="347"/>
      <c r="N536" s="347" t="s">
        <v>4440</v>
      </c>
      <c r="O536" s="347" t="s">
        <v>4441</v>
      </c>
      <c r="P536" s="347"/>
      <c r="Q536" s="347"/>
      <c r="R536" s="347"/>
      <c r="S536" s="348">
        <v>44270</v>
      </c>
      <c r="T536" s="348">
        <v>44270</v>
      </c>
      <c r="U536" s="347" t="s">
        <v>1658</v>
      </c>
      <c r="V536" s="345">
        <v>300</v>
      </c>
      <c r="W536" s="345">
        <v>14110</v>
      </c>
      <c r="X536" s="349">
        <v>337.07</v>
      </c>
      <c r="Y536" s="345">
        <v>14116</v>
      </c>
      <c r="Z536" s="349">
        <v>337.07</v>
      </c>
      <c r="AA536" s="349">
        <f t="shared" si="92"/>
        <v>0</v>
      </c>
      <c r="AB536" s="349">
        <v>18.72</v>
      </c>
      <c r="AC536" s="345">
        <v>70260</v>
      </c>
      <c r="AD536" s="349">
        <v>9.36</v>
      </c>
      <c r="AE536" s="345" t="s">
        <v>944</v>
      </c>
      <c r="AF536" s="347"/>
      <c r="AG536" s="347"/>
      <c r="AH536" s="347" t="s">
        <v>57</v>
      </c>
      <c r="AI536" s="347" t="s">
        <v>4442</v>
      </c>
      <c r="AJ536" s="347" t="s">
        <v>4443</v>
      </c>
      <c r="AK536" s="347" t="s">
        <v>4437</v>
      </c>
      <c r="AL536" s="387">
        <v>45574</v>
      </c>
    </row>
    <row r="537" spans="2:38" ht="15.75" outlineLevel="1">
      <c r="B537" s="345">
        <v>2111</v>
      </c>
      <c r="C537" s="346">
        <v>249793</v>
      </c>
      <c r="D537" s="345" t="s">
        <v>944</v>
      </c>
      <c r="E537" s="347" t="s">
        <v>4240</v>
      </c>
      <c r="F537" s="343" t="s">
        <v>1155</v>
      </c>
      <c r="I537" s="345">
        <v>1</v>
      </c>
      <c r="J537" s="347"/>
      <c r="K537" s="345">
        <v>0</v>
      </c>
      <c r="L537" s="347" t="s">
        <v>1657</v>
      </c>
      <c r="M537" s="347"/>
      <c r="N537" s="347" t="s">
        <v>4440</v>
      </c>
      <c r="O537" s="347" t="s">
        <v>4441</v>
      </c>
      <c r="P537" s="347"/>
      <c r="Q537" s="347"/>
      <c r="R537" s="347"/>
      <c r="S537" s="348">
        <v>44270</v>
      </c>
      <c r="T537" s="348">
        <v>44270</v>
      </c>
      <c r="U537" s="347" t="s">
        <v>1658</v>
      </c>
      <c r="V537" s="345">
        <v>300</v>
      </c>
      <c r="W537" s="345">
        <v>14110</v>
      </c>
      <c r="X537" s="349">
        <v>337.07</v>
      </c>
      <c r="Y537" s="345">
        <v>14116</v>
      </c>
      <c r="Z537" s="349">
        <v>337.07</v>
      </c>
      <c r="AA537" s="349">
        <f t="shared" si="92"/>
        <v>0</v>
      </c>
      <c r="AB537" s="349">
        <v>18.72</v>
      </c>
      <c r="AC537" s="345">
        <v>70260</v>
      </c>
      <c r="AD537" s="349">
        <v>9.36</v>
      </c>
      <c r="AE537" s="345" t="s">
        <v>944</v>
      </c>
      <c r="AF537" s="347"/>
      <c r="AG537" s="347"/>
      <c r="AH537" s="347" t="s">
        <v>57</v>
      </c>
      <c r="AI537" s="347" t="s">
        <v>4442</v>
      </c>
      <c r="AJ537" s="347" t="s">
        <v>4443</v>
      </c>
      <c r="AK537" s="347" t="s">
        <v>4437</v>
      </c>
      <c r="AL537" s="387">
        <v>45574</v>
      </c>
    </row>
    <row r="538" spans="2:38" ht="15.75" outlineLevel="1">
      <c r="B538" s="345">
        <v>2111</v>
      </c>
      <c r="C538" s="346">
        <v>249792</v>
      </c>
      <c r="D538" s="345" t="s">
        <v>944</v>
      </c>
      <c r="E538" s="347" t="s">
        <v>4240</v>
      </c>
      <c r="F538" s="343" t="s">
        <v>1156</v>
      </c>
      <c r="I538" s="345">
        <v>1</v>
      </c>
      <c r="J538" s="347"/>
      <c r="K538" s="345">
        <v>0</v>
      </c>
      <c r="L538" s="347" t="s">
        <v>1657</v>
      </c>
      <c r="M538" s="347"/>
      <c r="N538" s="347" t="s">
        <v>4440</v>
      </c>
      <c r="O538" s="347" t="s">
        <v>4441</v>
      </c>
      <c r="P538" s="347"/>
      <c r="Q538" s="347"/>
      <c r="R538" s="347"/>
      <c r="S538" s="348">
        <v>44270</v>
      </c>
      <c r="T538" s="348">
        <v>44270</v>
      </c>
      <c r="U538" s="347" t="s">
        <v>1658</v>
      </c>
      <c r="V538" s="345">
        <v>300</v>
      </c>
      <c r="W538" s="345">
        <v>14110</v>
      </c>
      <c r="X538" s="349">
        <v>337.05</v>
      </c>
      <c r="Y538" s="345">
        <v>14116</v>
      </c>
      <c r="Z538" s="349">
        <v>337.05</v>
      </c>
      <c r="AA538" s="349">
        <f t="shared" si="92"/>
        <v>0</v>
      </c>
      <c r="AB538" s="349">
        <v>18.72</v>
      </c>
      <c r="AC538" s="345">
        <v>70260</v>
      </c>
      <c r="AD538" s="349">
        <v>9.36</v>
      </c>
      <c r="AE538" s="345" t="s">
        <v>944</v>
      </c>
      <c r="AF538" s="347"/>
      <c r="AG538" s="347"/>
      <c r="AH538" s="347" t="s">
        <v>57</v>
      </c>
      <c r="AI538" s="347" t="s">
        <v>4442</v>
      </c>
      <c r="AJ538" s="347" t="s">
        <v>4443</v>
      </c>
      <c r="AK538" s="347" t="s">
        <v>4437</v>
      </c>
      <c r="AL538" s="387">
        <v>45574</v>
      </c>
    </row>
    <row r="539" spans="2:38" ht="15.75" outlineLevel="1">
      <c r="B539" s="345">
        <v>2111</v>
      </c>
      <c r="C539" s="346">
        <v>249791</v>
      </c>
      <c r="D539" s="345" t="s">
        <v>944</v>
      </c>
      <c r="E539" s="347" t="s">
        <v>4240</v>
      </c>
      <c r="F539" s="343" t="s">
        <v>1157</v>
      </c>
      <c r="I539" s="345">
        <v>1</v>
      </c>
      <c r="J539" s="347"/>
      <c r="K539" s="345">
        <v>0</v>
      </c>
      <c r="L539" s="347" t="s">
        <v>1657</v>
      </c>
      <c r="M539" s="347"/>
      <c r="N539" s="347" t="s">
        <v>4440</v>
      </c>
      <c r="O539" s="347" t="s">
        <v>4441</v>
      </c>
      <c r="P539" s="347"/>
      <c r="Q539" s="347"/>
      <c r="R539" s="347"/>
      <c r="S539" s="348">
        <v>44270</v>
      </c>
      <c r="T539" s="348">
        <v>44270</v>
      </c>
      <c r="U539" s="347" t="s">
        <v>1658</v>
      </c>
      <c r="V539" s="345">
        <v>300</v>
      </c>
      <c r="W539" s="345">
        <v>14110</v>
      </c>
      <c r="X539" s="349">
        <v>337.05</v>
      </c>
      <c r="Y539" s="345">
        <v>14116</v>
      </c>
      <c r="Z539" s="349">
        <v>337.05</v>
      </c>
      <c r="AA539" s="349">
        <f t="shared" si="92"/>
        <v>0</v>
      </c>
      <c r="AB539" s="349">
        <v>18.72</v>
      </c>
      <c r="AC539" s="345">
        <v>70260</v>
      </c>
      <c r="AD539" s="349">
        <v>9.36</v>
      </c>
      <c r="AE539" s="345" t="s">
        <v>944</v>
      </c>
      <c r="AF539" s="347"/>
      <c r="AG539" s="347"/>
      <c r="AH539" s="347" t="s">
        <v>57</v>
      </c>
      <c r="AI539" s="347" t="s">
        <v>4442</v>
      </c>
      <c r="AJ539" s="347" t="s">
        <v>4443</v>
      </c>
      <c r="AK539" s="347" t="s">
        <v>4437</v>
      </c>
      <c r="AL539" s="387">
        <v>45574</v>
      </c>
    </row>
    <row r="540" spans="2:38" ht="15.75" outlineLevel="1">
      <c r="B540" s="345">
        <v>2111</v>
      </c>
      <c r="C540" s="346">
        <v>249790</v>
      </c>
      <c r="D540" s="345" t="s">
        <v>944</v>
      </c>
      <c r="E540" s="347" t="s">
        <v>4240</v>
      </c>
      <c r="F540" s="343" t="s">
        <v>1158</v>
      </c>
      <c r="I540" s="345">
        <v>1</v>
      </c>
      <c r="J540" s="347"/>
      <c r="K540" s="345">
        <v>0</v>
      </c>
      <c r="L540" s="347" t="s">
        <v>1657</v>
      </c>
      <c r="M540" s="347"/>
      <c r="N540" s="347" t="s">
        <v>4440</v>
      </c>
      <c r="O540" s="347" t="s">
        <v>4441</v>
      </c>
      <c r="P540" s="347"/>
      <c r="Q540" s="347"/>
      <c r="R540" s="347"/>
      <c r="S540" s="348">
        <v>44270</v>
      </c>
      <c r="T540" s="348">
        <v>44270</v>
      </c>
      <c r="U540" s="347" t="s">
        <v>1658</v>
      </c>
      <c r="V540" s="345">
        <v>300</v>
      </c>
      <c r="W540" s="345">
        <v>14110</v>
      </c>
      <c r="X540" s="349">
        <v>337.06</v>
      </c>
      <c r="Y540" s="345">
        <v>14116</v>
      </c>
      <c r="Z540" s="349">
        <v>337.06</v>
      </c>
      <c r="AA540" s="349">
        <f t="shared" si="92"/>
        <v>0</v>
      </c>
      <c r="AB540" s="349">
        <v>18.73</v>
      </c>
      <c r="AC540" s="345">
        <v>70260</v>
      </c>
      <c r="AD540" s="349">
        <v>9.3699999999999992</v>
      </c>
      <c r="AE540" s="345" t="s">
        <v>944</v>
      </c>
      <c r="AF540" s="347"/>
      <c r="AG540" s="347"/>
      <c r="AH540" s="347" t="s">
        <v>57</v>
      </c>
      <c r="AI540" s="347" t="s">
        <v>4442</v>
      </c>
      <c r="AJ540" s="347" t="s">
        <v>4443</v>
      </c>
      <c r="AK540" s="347" t="s">
        <v>4437</v>
      </c>
      <c r="AL540" s="387">
        <v>45574</v>
      </c>
    </row>
    <row r="541" spans="2:38" ht="15.75" outlineLevel="1">
      <c r="B541" s="345">
        <v>2111</v>
      </c>
      <c r="C541" s="346">
        <v>249789</v>
      </c>
      <c r="D541" s="345" t="s">
        <v>944</v>
      </c>
      <c r="E541" s="347" t="s">
        <v>4240</v>
      </c>
      <c r="F541" s="343" t="s">
        <v>1159</v>
      </c>
      <c r="I541" s="345">
        <v>1</v>
      </c>
      <c r="J541" s="347"/>
      <c r="K541" s="345">
        <v>0</v>
      </c>
      <c r="L541" s="347" t="s">
        <v>1657</v>
      </c>
      <c r="M541" s="347"/>
      <c r="N541" s="347" t="s">
        <v>4440</v>
      </c>
      <c r="O541" s="347" t="s">
        <v>4441</v>
      </c>
      <c r="P541" s="347"/>
      <c r="Q541" s="347"/>
      <c r="R541" s="347"/>
      <c r="S541" s="348">
        <v>44270</v>
      </c>
      <c r="T541" s="348">
        <v>44270</v>
      </c>
      <c r="U541" s="347" t="s">
        <v>1658</v>
      </c>
      <c r="V541" s="345">
        <v>300</v>
      </c>
      <c r="W541" s="345">
        <v>14110</v>
      </c>
      <c r="X541" s="349">
        <v>337.06</v>
      </c>
      <c r="Y541" s="345">
        <v>14116</v>
      </c>
      <c r="Z541" s="349">
        <v>337.06</v>
      </c>
      <c r="AA541" s="349">
        <f t="shared" si="92"/>
        <v>0</v>
      </c>
      <c r="AB541" s="349">
        <v>18.73</v>
      </c>
      <c r="AC541" s="345">
        <v>70260</v>
      </c>
      <c r="AD541" s="349">
        <v>9.3699999999999992</v>
      </c>
      <c r="AE541" s="345" t="s">
        <v>944</v>
      </c>
      <c r="AF541" s="347"/>
      <c r="AG541" s="347"/>
      <c r="AH541" s="347" t="s">
        <v>57</v>
      </c>
      <c r="AI541" s="347" t="s">
        <v>4442</v>
      </c>
      <c r="AJ541" s="347" t="s">
        <v>4443</v>
      </c>
      <c r="AK541" s="347" t="s">
        <v>4437</v>
      </c>
      <c r="AL541" s="387">
        <v>45574</v>
      </c>
    </row>
    <row r="542" spans="2:38" ht="15.75" outlineLevel="1">
      <c r="B542" s="345">
        <v>2111</v>
      </c>
      <c r="C542" s="346">
        <v>248094</v>
      </c>
      <c r="D542" s="345" t="s">
        <v>944</v>
      </c>
      <c r="E542" s="347" t="s">
        <v>4240</v>
      </c>
      <c r="F542" s="343" t="s">
        <v>697</v>
      </c>
      <c r="I542" s="345">
        <v>2</v>
      </c>
      <c r="J542" s="347"/>
      <c r="K542" s="345">
        <v>0</v>
      </c>
      <c r="L542" s="347"/>
      <c r="M542" s="347"/>
      <c r="N542" s="347" t="s">
        <v>4446</v>
      </c>
      <c r="O542" s="347" t="s">
        <v>4441</v>
      </c>
      <c r="P542" s="347"/>
      <c r="Q542" s="347" t="s">
        <v>4459</v>
      </c>
      <c r="R542" s="347" t="s">
        <v>4450</v>
      </c>
      <c r="S542" s="348">
        <v>44256</v>
      </c>
      <c r="T542" s="348">
        <v>44256</v>
      </c>
      <c r="U542" s="347"/>
      <c r="V542" s="345">
        <v>0</v>
      </c>
      <c r="W542" s="345">
        <v>14050</v>
      </c>
      <c r="X542" s="349">
        <v>0</v>
      </c>
      <c r="Y542" s="345">
        <v>14056</v>
      </c>
      <c r="Z542" s="349">
        <v>0</v>
      </c>
      <c r="AA542" s="349">
        <f t="shared" si="92"/>
        <v>0</v>
      </c>
      <c r="AB542" s="349">
        <v>0</v>
      </c>
      <c r="AC542" s="345">
        <v>54260</v>
      </c>
      <c r="AD542" s="349">
        <v>0</v>
      </c>
      <c r="AE542" s="345" t="s">
        <v>944</v>
      </c>
      <c r="AF542" s="347"/>
      <c r="AG542" s="347"/>
      <c r="AH542" s="347" t="s">
        <v>57</v>
      </c>
      <c r="AI542" s="347" t="s">
        <v>4442</v>
      </c>
      <c r="AJ542" s="347" t="s">
        <v>1660</v>
      </c>
      <c r="AK542" s="347" t="s">
        <v>4437</v>
      </c>
      <c r="AL542" s="387">
        <v>45574</v>
      </c>
    </row>
    <row r="543" spans="2:38" ht="15.75" outlineLevel="1">
      <c r="B543" s="345">
        <v>2111</v>
      </c>
      <c r="C543" s="346">
        <v>248093</v>
      </c>
      <c r="D543" s="345" t="s">
        <v>944</v>
      </c>
      <c r="E543" s="347" t="s">
        <v>4240</v>
      </c>
      <c r="F543" s="343" t="s">
        <v>1661</v>
      </c>
      <c r="I543" s="345">
        <v>2</v>
      </c>
      <c r="J543" s="347"/>
      <c r="K543" s="345">
        <v>0</v>
      </c>
      <c r="L543" s="347"/>
      <c r="M543" s="347"/>
      <c r="N543" s="347" t="s">
        <v>4446</v>
      </c>
      <c r="O543" s="347" t="s">
        <v>4441</v>
      </c>
      <c r="P543" s="347"/>
      <c r="Q543" s="347" t="s">
        <v>4479</v>
      </c>
      <c r="R543" s="347" t="s">
        <v>4450</v>
      </c>
      <c r="S543" s="348">
        <v>44256</v>
      </c>
      <c r="T543" s="348">
        <v>44256</v>
      </c>
      <c r="U543" s="347"/>
      <c r="V543" s="345">
        <v>0</v>
      </c>
      <c r="W543" s="345">
        <v>14050</v>
      </c>
      <c r="X543" s="349">
        <v>0</v>
      </c>
      <c r="Y543" s="345">
        <v>14056</v>
      </c>
      <c r="Z543" s="349">
        <v>0</v>
      </c>
      <c r="AA543" s="349">
        <f t="shared" si="92"/>
        <v>0</v>
      </c>
      <c r="AB543" s="349">
        <v>0</v>
      </c>
      <c r="AC543" s="345">
        <v>54260</v>
      </c>
      <c r="AD543" s="349">
        <v>0</v>
      </c>
      <c r="AE543" s="345" t="s">
        <v>944</v>
      </c>
      <c r="AF543" s="347"/>
      <c r="AG543" s="347"/>
      <c r="AH543" s="347" t="s">
        <v>57</v>
      </c>
      <c r="AI543" s="347" t="s">
        <v>4442</v>
      </c>
      <c r="AJ543" s="347" t="s">
        <v>1660</v>
      </c>
      <c r="AK543" s="347" t="s">
        <v>4437</v>
      </c>
      <c r="AL543" s="387">
        <v>45574</v>
      </c>
    </row>
    <row r="544" spans="2:38" ht="15.75" outlineLevel="1">
      <c r="B544" s="345">
        <v>2111</v>
      </c>
      <c r="C544" s="346">
        <v>248091</v>
      </c>
      <c r="D544" s="345" t="s">
        <v>944</v>
      </c>
      <c r="E544" s="347" t="s">
        <v>4240</v>
      </c>
      <c r="F544" s="343" t="s">
        <v>1663</v>
      </c>
      <c r="I544" s="345">
        <v>2</v>
      </c>
      <c r="J544" s="347"/>
      <c r="K544" s="345">
        <v>0</v>
      </c>
      <c r="L544" s="347"/>
      <c r="M544" s="347"/>
      <c r="N544" s="347" t="s">
        <v>4446</v>
      </c>
      <c r="O544" s="347" t="s">
        <v>4441</v>
      </c>
      <c r="P544" s="347"/>
      <c r="Q544" s="347" t="s">
        <v>4464</v>
      </c>
      <c r="R544" s="347" t="s">
        <v>4450</v>
      </c>
      <c r="S544" s="348">
        <v>44256</v>
      </c>
      <c r="T544" s="348">
        <v>44256</v>
      </c>
      <c r="U544" s="347"/>
      <c r="V544" s="345">
        <v>0</v>
      </c>
      <c r="W544" s="345">
        <v>14050</v>
      </c>
      <c r="X544" s="349">
        <v>0</v>
      </c>
      <c r="Y544" s="345">
        <v>14056</v>
      </c>
      <c r="Z544" s="349">
        <v>0</v>
      </c>
      <c r="AA544" s="349">
        <f t="shared" si="92"/>
        <v>0</v>
      </c>
      <c r="AB544" s="349">
        <v>0</v>
      </c>
      <c r="AC544" s="345">
        <v>54260</v>
      </c>
      <c r="AD544" s="349">
        <v>0</v>
      </c>
      <c r="AE544" s="345" t="s">
        <v>944</v>
      </c>
      <c r="AF544" s="347"/>
      <c r="AG544" s="347"/>
      <c r="AH544" s="347" t="s">
        <v>57</v>
      </c>
      <c r="AI544" s="347" t="s">
        <v>4442</v>
      </c>
      <c r="AJ544" s="347" t="s">
        <v>1660</v>
      </c>
      <c r="AK544" s="347" t="s">
        <v>4437</v>
      </c>
      <c r="AL544" s="387">
        <v>45574</v>
      </c>
    </row>
    <row r="545" spans="2:38" ht="15.75" outlineLevel="1">
      <c r="B545" s="345">
        <v>2111</v>
      </c>
      <c r="C545" s="346">
        <v>248090</v>
      </c>
      <c r="D545" s="345" t="s">
        <v>944</v>
      </c>
      <c r="E545" s="347" t="s">
        <v>4240</v>
      </c>
      <c r="F545" s="343" t="s">
        <v>692</v>
      </c>
      <c r="I545" s="345">
        <v>6</v>
      </c>
      <c r="J545" s="347"/>
      <c r="K545" s="345">
        <v>0</v>
      </c>
      <c r="L545" s="347"/>
      <c r="M545" s="347"/>
      <c r="N545" s="347" t="s">
        <v>4446</v>
      </c>
      <c r="O545" s="347" t="s">
        <v>4441</v>
      </c>
      <c r="P545" s="347"/>
      <c r="Q545" s="347" t="s">
        <v>4461</v>
      </c>
      <c r="R545" s="347" t="s">
        <v>4450</v>
      </c>
      <c r="S545" s="348">
        <v>44256</v>
      </c>
      <c r="T545" s="348">
        <v>44256</v>
      </c>
      <c r="U545" s="347"/>
      <c r="V545" s="345">
        <v>0</v>
      </c>
      <c r="W545" s="345">
        <v>14050</v>
      </c>
      <c r="X545" s="349">
        <v>0</v>
      </c>
      <c r="Y545" s="345">
        <v>14056</v>
      </c>
      <c r="Z545" s="349">
        <v>0</v>
      </c>
      <c r="AA545" s="349">
        <f t="shared" si="92"/>
        <v>0</v>
      </c>
      <c r="AB545" s="349">
        <v>0</v>
      </c>
      <c r="AC545" s="345">
        <v>54260</v>
      </c>
      <c r="AD545" s="349">
        <v>0</v>
      </c>
      <c r="AE545" s="345" t="s">
        <v>944</v>
      </c>
      <c r="AF545" s="347"/>
      <c r="AG545" s="347"/>
      <c r="AH545" s="347" t="s">
        <v>57</v>
      </c>
      <c r="AI545" s="347" t="s">
        <v>4442</v>
      </c>
      <c r="AJ545" s="347" t="s">
        <v>1660</v>
      </c>
      <c r="AK545" s="347" t="s">
        <v>4437</v>
      </c>
      <c r="AL545" s="387">
        <v>45574</v>
      </c>
    </row>
    <row r="546" spans="2:38" ht="15.75" outlineLevel="1">
      <c r="B546" s="345">
        <v>2111</v>
      </c>
      <c r="C546" s="346">
        <v>248089</v>
      </c>
      <c r="D546" s="345" t="s">
        <v>944</v>
      </c>
      <c r="E546" s="347" t="s">
        <v>4240</v>
      </c>
      <c r="F546" s="343" t="s">
        <v>1666</v>
      </c>
      <c r="I546" s="345">
        <v>1</v>
      </c>
      <c r="J546" s="347"/>
      <c r="K546" s="345">
        <v>0</v>
      </c>
      <c r="L546" s="347"/>
      <c r="M546" s="347"/>
      <c r="N546" s="347" t="s">
        <v>4446</v>
      </c>
      <c r="O546" s="347" t="s">
        <v>4441</v>
      </c>
      <c r="P546" s="347"/>
      <c r="Q546" s="347" t="s">
        <v>4447</v>
      </c>
      <c r="R546" s="347" t="s">
        <v>4448</v>
      </c>
      <c r="S546" s="348">
        <v>44256</v>
      </c>
      <c r="T546" s="348">
        <v>44256</v>
      </c>
      <c r="U546" s="347"/>
      <c r="V546" s="345">
        <v>0</v>
      </c>
      <c r="W546" s="345">
        <v>14050</v>
      </c>
      <c r="X546" s="349">
        <v>0</v>
      </c>
      <c r="Y546" s="345">
        <v>14056</v>
      </c>
      <c r="Z546" s="349">
        <v>0</v>
      </c>
      <c r="AA546" s="349">
        <f t="shared" si="92"/>
        <v>0</v>
      </c>
      <c r="AB546" s="349">
        <v>0</v>
      </c>
      <c r="AC546" s="345">
        <v>54260</v>
      </c>
      <c r="AD546" s="349">
        <v>0</v>
      </c>
      <c r="AE546" s="345" t="s">
        <v>944</v>
      </c>
      <c r="AF546" s="347"/>
      <c r="AG546" s="347"/>
      <c r="AH546" s="347" t="s">
        <v>57</v>
      </c>
      <c r="AI546" s="347" t="s">
        <v>4442</v>
      </c>
      <c r="AJ546" s="347" t="s">
        <v>1660</v>
      </c>
      <c r="AK546" s="347" t="s">
        <v>4437</v>
      </c>
      <c r="AL546" s="387">
        <v>45574</v>
      </c>
    </row>
    <row r="547" spans="2:38" ht="15.75" outlineLevel="1">
      <c r="B547" s="345">
        <v>2111</v>
      </c>
      <c r="C547" s="346">
        <v>248011</v>
      </c>
      <c r="D547" s="345" t="s">
        <v>944</v>
      </c>
      <c r="E547" s="347" t="s">
        <v>4240</v>
      </c>
      <c r="F547" s="343" t="s">
        <v>697</v>
      </c>
      <c r="I547" s="345">
        <v>2</v>
      </c>
      <c r="J547" s="347"/>
      <c r="K547" s="345">
        <v>0</v>
      </c>
      <c r="L547" s="347"/>
      <c r="M547" s="347"/>
      <c r="N547" s="347" t="s">
        <v>4446</v>
      </c>
      <c r="O547" s="347" t="s">
        <v>4441</v>
      </c>
      <c r="P547" s="347"/>
      <c r="Q547" s="347" t="s">
        <v>4459</v>
      </c>
      <c r="R547" s="347" t="s">
        <v>4450</v>
      </c>
      <c r="S547" s="348">
        <v>44256</v>
      </c>
      <c r="T547" s="348">
        <v>44256</v>
      </c>
      <c r="U547" s="347" t="s">
        <v>1668</v>
      </c>
      <c r="V547" s="345">
        <v>0</v>
      </c>
      <c r="W547" s="345">
        <v>14050</v>
      </c>
      <c r="X547" s="349">
        <v>0</v>
      </c>
      <c r="Y547" s="345">
        <v>14056</v>
      </c>
      <c r="Z547" s="349">
        <v>0</v>
      </c>
      <c r="AA547" s="349">
        <f t="shared" si="92"/>
        <v>0</v>
      </c>
      <c r="AB547" s="349">
        <v>0</v>
      </c>
      <c r="AC547" s="345">
        <v>54260</v>
      </c>
      <c r="AD547" s="349">
        <v>0</v>
      </c>
      <c r="AE547" s="345" t="s">
        <v>944</v>
      </c>
      <c r="AF547" s="347"/>
      <c r="AG547" s="347"/>
      <c r="AH547" s="347" t="s">
        <v>57</v>
      </c>
      <c r="AI547" s="347" t="s">
        <v>4442</v>
      </c>
      <c r="AJ547" s="347" t="s">
        <v>1660</v>
      </c>
      <c r="AK547" s="347" t="s">
        <v>4437</v>
      </c>
      <c r="AL547" s="387">
        <v>45574</v>
      </c>
    </row>
    <row r="548" spans="2:38" ht="15.75" outlineLevel="1">
      <c r="B548" s="345">
        <v>2111</v>
      </c>
      <c r="C548" s="346">
        <v>248010</v>
      </c>
      <c r="D548" s="345" t="s">
        <v>944</v>
      </c>
      <c r="E548" s="347" t="s">
        <v>4240</v>
      </c>
      <c r="F548" s="343" t="s">
        <v>1661</v>
      </c>
      <c r="I548" s="345">
        <v>2</v>
      </c>
      <c r="J548" s="347"/>
      <c r="K548" s="345">
        <v>0</v>
      </c>
      <c r="L548" s="347"/>
      <c r="M548" s="347"/>
      <c r="N548" s="347" t="s">
        <v>4446</v>
      </c>
      <c r="O548" s="347" t="s">
        <v>4441</v>
      </c>
      <c r="P548" s="347"/>
      <c r="Q548" s="347" t="s">
        <v>4479</v>
      </c>
      <c r="R548" s="347" t="s">
        <v>4450</v>
      </c>
      <c r="S548" s="348">
        <v>44256</v>
      </c>
      <c r="T548" s="348">
        <v>44256</v>
      </c>
      <c r="U548" s="347"/>
      <c r="V548" s="345">
        <v>0</v>
      </c>
      <c r="W548" s="345">
        <v>14050</v>
      </c>
      <c r="X548" s="349">
        <v>0</v>
      </c>
      <c r="Y548" s="345">
        <v>14056</v>
      </c>
      <c r="Z548" s="349">
        <v>0</v>
      </c>
      <c r="AA548" s="349">
        <f t="shared" si="92"/>
        <v>0</v>
      </c>
      <c r="AB548" s="349">
        <v>0</v>
      </c>
      <c r="AC548" s="345">
        <v>54260</v>
      </c>
      <c r="AD548" s="349">
        <v>0</v>
      </c>
      <c r="AE548" s="345" t="s">
        <v>944</v>
      </c>
      <c r="AF548" s="347"/>
      <c r="AG548" s="347"/>
      <c r="AH548" s="347" t="s">
        <v>57</v>
      </c>
      <c r="AI548" s="347" t="s">
        <v>4442</v>
      </c>
      <c r="AJ548" s="347" t="s">
        <v>1660</v>
      </c>
      <c r="AK548" s="347" t="s">
        <v>4437</v>
      </c>
      <c r="AL548" s="387">
        <v>45574</v>
      </c>
    </row>
    <row r="549" spans="2:38" ht="15.75" outlineLevel="1">
      <c r="B549" s="345">
        <v>2111</v>
      </c>
      <c r="C549" s="346">
        <v>248009</v>
      </c>
      <c r="D549" s="345" t="s">
        <v>944</v>
      </c>
      <c r="E549" s="347" t="s">
        <v>4240</v>
      </c>
      <c r="F549" s="343" t="s">
        <v>1669</v>
      </c>
      <c r="I549" s="345">
        <v>4</v>
      </c>
      <c r="J549" s="347"/>
      <c r="K549" s="345">
        <v>0</v>
      </c>
      <c r="L549" s="347"/>
      <c r="M549" s="347"/>
      <c r="N549" s="347" t="s">
        <v>4446</v>
      </c>
      <c r="O549" s="347" t="s">
        <v>4441</v>
      </c>
      <c r="P549" s="347"/>
      <c r="Q549" s="347" t="s">
        <v>4501</v>
      </c>
      <c r="R549" s="347" t="s">
        <v>4448</v>
      </c>
      <c r="S549" s="348">
        <v>44256</v>
      </c>
      <c r="T549" s="348">
        <v>44256</v>
      </c>
      <c r="U549" s="347"/>
      <c r="V549" s="345">
        <v>0</v>
      </c>
      <c r="W549" s="345">
        <v>14050</v>
      </c>
      <c r="X549" s="349">
        <v>0</v>
      </c>
      <c r="Y549" s="345">
        <v>14056</v>
      </c>
      <c r="Z549" s="349">
        <v>0</v>
      </c>
      <c r="AA549" s="349">
        <f t="shared" ref="AA549:AA612" si="93">+X549-Z549</f>
        <v>0</v>
      </c>
      <c r="AB549" s="349">
        <v>0</v>
      </c>
      <c r="AC549" s="345">
        <v>54260</v>
      </c>
      <c r="AD549" s="349">
        <v>0</v>
      </c>
      <c r="AE549" s="345" t="s">
        <v>944</v>
      </c>
      <c r="AF549" s="347"/>
      <c r="AG549" s="347"/>
      <c r="AH549" s="347" t="s">
        <v>57</v>
      </c>
      <c r="AI549" s="347" t="s">
        <v>4442</v>
      </c>
      <c r="AJ549" s="347" t="s">
        <v>1660</v>
      </c>
      <c r="AK549" s="347" t="s">
        <v>4437</v>
      </c>
      <c r="AL549" s="387">
        <v>45574</v>
      </c>
    </row>
    <row r="550" spans="2:38" ht="15.75" outlineLevel="1">
      <c r="B550" s="345">
        <v>2111</v>
      </c>
      <c r="C550" s="346">
        <v>248008</v>
      </c>
      <c r="D550" s="345" t="s">
        <v>944</v>
      </c>
      <c r="E550" s="347" t="s">
        <v>4240</v>
      </c>
      <c r="F550" s="343" t="s">
        <v>1663</v>
      </c>
      <c r="I550" s="345">
        <v>2</v>
      </c>
      <c r="J550" s="347"/>
      <c r="K550" s="345">
        <v>0</v>
      </c>
      <c r="L550" s="347"/>
      <c r="M550" s="347"/>
      <c r="N550" s="347" t="s">
        <v>4446</v>
      </c>
      <c r="O550" s="347" t="s">
        <v>4441</v>
      </c>
      <c r="P550" s="347"/>
      <c r="Q550" s="347" t="s">
        <v>4464</v>
      </c>
      <c r="R550" s="347" t="s">
        <v>4450</v>
      </c>
      <c r="S550" s="348">
        <v>44256</v>
      </c>
      <c r="T550" s="348">
        <v>44256</v>
      </c>
      <c r="U550" s="347"/>
      <c r="V550" s="345">
        <v>0</v>
      </c>
      <c r="W550" s="345">
        <v>14050</v>
      </c>
      <c r="X550" s="349">
        <v>0</v>
      </c>
      <c r="Y550" s="345">
        <v>14056</v>
      </c>
      <c r="Z550" s="349">
        <v>0</v>
      </c>
      <c r="AA550" s="349">
        <f t="shared" si="93"/>
        <v>0</v>
      </c>
      <c r="AB550" s="349">
        <v>0</v>
      </c>
      <c r="AC550" s="345">
        <v>54260</v>
      </c>
      <c r="AD550" s="349">
        <v>0</v>
      </c>
      <c r="AE550" s="345" t="s">
        <v>944</v>
      </c>
      <c r="AF550" s="347"/>
      <c r="AG550" s="347"/>
      <c r="AH550" s="347" t="s">
        <v>57</v>
      </c>
      <c r="AI550" s="347" t="s">
        <v>4442</v>
      </c>
      <c r="AJ550" s="347" t="s">
        <v>1660</v>
      </c>
      <c r="AK550" s="347" t="s">
        <v>4437</v>
      </c>
      <c r="AL550" s="387">
        <v>45574</v>
      </c>
    </row>
    <row r="551" spans="2:38" ht="15.75" outlineLevel="1">
      <c r="B551" s="345">
        <v>2111</v>
      </c>
      <c r="C551" s="346">
        <v>248007</v>
      </c>
      <c r="D551" s="345" t="s">
        <v>944</v>
      </c>
      <c r="E551" s="347" t="s">
        <v>4240</v>
      </c>
      <c r="F551" s="343" t="s">
        <v>692</v>
      </c>
      <c r="I551" s="345">
        <v>6</v>
      </c>
      <c r="J551" s="347"/>
      <c r="K551" s="345">
        <v>0</v>
      </c>
      <c r="L551" s="347"/>
      <c r="M551" s="347"/>
      <c r="N551" s="347" t="s">
        <v>4446</v>
      </c>
      <c r="O551" s="347" t="s">
        <v>4441</v>
      </c>
      <c r="P551" s="347"/>
      <c r="Q551" s="347" t="s">
        <v>4461</v>
      </c>
      <c r="R551" s="347" t="s">
        <v>4450</v>
      </c>
      <c r="S551" s="348">
        <v>44256</v>
      </c>
      <c r="T551" s="348">
        <v>44256</v>
      </c>
      <c r="U551" s="347" t="s">
        <v>1671</v>
      </c>
      <c r="V551" s="345">
        <v>0</v>
      </c>
      <c r="W551" s="345">
        <v>14050</v>
      </c>
      <c r="X551" s="349">
        <v>0</v>
      </c>
      <c r="Y551" s="345">
        <v>14056</v>
      </c>
      <c r="Z551" s="349">
        <v>0</v>
      </c>
      <c r="AA551" s="349">
        <f t="shared" si="93"/>
        <v>0</v>
      </c>
      <c r="AB551" s="349">
        <v>0</v>
      </c>
      <c r="AC551" s="345">
        <v>54260</v>
      </c>
      <c r="AD551" s="349">
        <v>0</v>
      </c>
      <c r="AE551" s="345" t="s">
        <v>944</v>
      </c>
      <c r="AF551" s="347"/>
      <c r="AG551" s="347"/>
      <c r="AH551" s="347" t="s">
        <v>57</v>
      </c>
      <c r="AI551" s="347" t="s">
        <v>4442</v>
      </c>
      <c r="AJ551" s="347" t="s">
        <v>1660</v>
      </c>
      <c r="AK551" s="347" t="s">
        <v>4437</v>
      </c>
      <c r="AL551" s="387">
        <v>45574</v>
      </c>
    </row>
    <row r="552" spans="2:38" ht="15.75" outlineLevel="1">
      <c r="B552" s="345">
        <v>2111</v>
      </c>
      <c r="C552" s="346">
        <v>248006</v>
      </c>
      <c r="D552" s="345" t="s">
        <v>944</v>
      </c>
      <c r="E552" s="347" t="s">
        <v>4240</v>
      </c>
      <c r="F552" s="343" t="s">
        <v>1666</v>
      </c>
      <c r="I552" s="345">
        <v>1</v>
      </c>
      <c r="J552" s="347"/>
      <c r="K552" s="345">
        <v>0</v>
      </c>
      <c r="L552" s="347"/>
      <c r="M552" s="347"/>
      <c r="N552" s="347" t="s">
        <v>4446</v>
      </c>
      <c r="O552" s="347" t="s">
        <v>4441</v>
      </c>
      <c r="P552" s="347"/>
      <c r="Q552" s="347" t="s">
        <v>4447</v>
      </c>
      <c r="R552" s="347" t="s">
        <v>4448</v>
      </c>
      <c r="S552" s="348">
        <v>44256</v>
      </c>
      <c r="T552" s="348">
        <v>44256</v>
      </c>
      <c r="U552" s="347"/>
      <c r="V552" s="345">
        <v>0</v>
      </c>
      <c r="W552" s="345">
        <v>14050</v>
      </c>
      <c r="X552" s="349">
        <v>0</v>
      </c>
      <c r="Y552" s="345">
        <v>14056</v>
      </c>
      <c r="Z552" s="349">
        <v>0</v>
      </c>
      <c r="AA552" s="349">
        <f t="shared" si="93"/>
        <v>0</v>
      </c>
      <c r="AB552" s="349">
        <v>0</v>
      </c>
      <c r="AC552" s="345">
        <v>54260</v>
      </c>
      <c r="AD552" s="349">
        <v>0</v>
      </c>
      <c r="AE552" s="345" t="s">
        <v>944</v>
      </c>
      <c r="AF552" s="347"/>
      <c r="AG552" s="347"/>
      <c r="AH552" s="347" t="s">
        <v>57</v>
      </c>
      <c r="AI552" s="347" t="s">
        <v>4442</v>
      </c>
      <c r="AJ552" s="347" t="s">
        <v>1660</v>
      </c>
      <c r="AK552" s="347" t="s">
        <v>4437</v>
      </c>
      <c r="AL552" s="387">
        <v>45574</v>
      </c>
    </row>
    <row r="553" spans="2:38" ht="15.75" outlineLevel="1">
      <c r="B553" s="345">
        <v>2111</v>
      </c>
      <c r="C553" s="346">
        <v>247906</v>
      </c>
      <c r="D553" s="345" t="s">
        <v>944</v>
      </c>
      <c r="E553" s="347" t="s">
        <v>4240</v>
      </c>
      <c r="F553" s="343" t="s">
        <v>1136</v>
      </c>
      <c r="I553" s="345">
        <v>702</v>
      </c>
      <c r="J553" s="347"/>
      <c r="K553" s="345">
        <v>0</v>
      </c>
      <c r="L553" s="347" t="s">
        <v>1462</v>
      </c>
      <c r="M553" s="347"/>
      <c r="N553" s="347" t="s">
        <v>4446</v>
      </c>
      <c r="O553" s="347" t="s">
        <v>4441</v>
      </c>
      <c r="P553" s="347"/>
      <c r="Q553" s="347"/>
      <c r="R553" s="347"/>
      <c r="S553" s="348">
        <v>44242</v>
      </c>
      <c r="T553" s="348">
        <v>44242</v>
      </c>
      <c r="U553" s="347" t="s">
        <v>1639</v>
      </c>
      <c r="V553" s="345">
        <v>700</v>
      </c>
      <c r="W553" s="345">
        <v>14050</v>
      </c>
      <c r="X553" s="349">
        <v>33598.730000000003</v>
      </c>
      <c r="Y553" s="345">
        <v>14056</v>
      </c>
      <c r="Z553" s="349">
        <v>17599.29</v>
      </c>
      <c r="AA553" s="349">
        <f t="shared" si="93"/>
        <v>15999.440000000002</v>
      </c>
      <c r="AB553" s="349">
        <v>3599.82</v>
      </c>
      <c r="AC553" s="345">
        <v>54260</v>
      </c>
      <c r="AD553" s="349">
        <v>399.98</v>
      </c>
      <c r="AE553" s="345" t="s">
        <v>944</v>
      </c>
      <c r="AF553" s="347"/>
      <c r="AG553" s="347"/>
      <c r="AH553" s="347" t="s">
        <v>57</v>
      </c>
      <c r="AI553" s="347" t="s">
        <v>4442</v>
      </c>
      <c r="AJ553" s="347" t="s">
        <v>4443</v>
      </c>
      <c r="AK553" s="347" t="s">
        <v>4437</v>
      </c>
      <c r="AL553" s="387">
        <v>45574</v>
      </c>
    </row>
    <row r="554" spans="2:38" ht="15.75" outlineLevel="1">
      <c r="B554" s="345">
        <v>2111</v>
      </c>
      <c r="C554" s="346">
        <v>247905</v>
      </c>
      <c r="D554" s="345" t="s">
        <v>944</v>
      </c>
      <c r="E554" s="347" t="s">
        <v>4240</v>
      </c>
      <c r="F554" s="343" t="s">
        <v>1134</v>
      </c>
      <c r="I554" s="345">
        <v>936</v>
      </c>
      <c r="J554" s="347"/>
      <c r="K554" s="345">
        <v>0</v>
      </c>
      <c r="L554" s="347" t="s">
        <v>1462</v>
      </c>
      <c r="M554" s="347"/>
      <c r="N554" s="347" t="s">
        <v>4446</v>
      </c>
      <c r="O554" s="347" t="s">
        <v>4441</v>
      </c>
      <c r="P554" s="347"/>
      <c r="Q554" s="347"/>
      <c r="R554" s="347"/>
      <c r="S554" s="348">
        <v>44239</v>
      </c>
      <c r="T554" s="348">
        <v>44239</v>
      </c>
      <c r="U554" s="347" t="s">
        <v>1639</v>
      </c>
      <c r="V554" s="345">
        <v>700</v>
      </c>
      <c r="W554" s="345">
        <v>14050</v>
      </c>
      <c r="X554" s="349">
        <v>39655</v>
      </c>
      <c r="Y554" s="345">
        <v>14056</v>
      </c>
      <c r="Z554" s="349">
        <v>20771.64</v>
      </c>
      <c r="AA554" s="349">
        <f t="shared" si="93"/>
        <v>18883.36</v>
      </c>
      <c r="AB554" s="349">
        <v>4248.72</v>
      </c>
      <c r="AC554" s="345">
        <v>54260</v>
      </c>
      <c r="AD554" s="349">
        <v>472.08</v>
      </c>
      <c r="AE554" s="345" t="s">
        <v>944</v>
      </c>
      <c r="AF554" s="347"/>
      <c r="AG554" s="347"/>
      <c r="AH554" s="347" t="s">
        <v>57</v>
      </c>
      <c r="AI554" s="347" t="s">
        <v>4442</v>
      </c>
      <c r="AJ554" s="347" t="s">
        <v>4443</v>
      </c>
      <c r="AK554" s="347" t="s">
        <v>4437</v>
      </c>
      <c r="AL554" s="387">
        <v>45574</v>
      </c>
    </row>
    <row r="555" spans="2:38" ht="15.75" outlineLevel="1">
      <c r="B555" s="345">
        <v>2111</v>
      </c>
      <c r="C555" s="346">
        <v>247904</v>
      </c>
      <c r="D555" s="345" t="s">
        <v>944</v>
      </c>
      <c r="E555" s="347" t="s">
        <v>4240</v>
      </c>
      <c r="F555" s="343" t="s">
        <v>1149</v>
      </c>
      <c r="I555" s="345">
        <v>702</v>
      </c>
      <c r="J555" s="347"/>
      <c r="K555" s="345">
        <v>0</v>
      </c>
      <c r="L555" s="347" t="s">
        <v>1462</v>
      </c>
      <c r="M555" s="347"/>
      <c r="N555" s="347" t="s">
        <v>4446</v>
      </c>
      <c r="O555" s="347" t="s">
        <v>4441</v>
      </c>
      <c r="P555" s="347"/>
      <c r="Q555" s="347"/>
      <c r="R555" s="347"/>
      <c r="S555" s="348">
        <v>44239</v>
      </c>
      <c r="T555" s="348">
        <v>44239</v>
      </c>
      <c r="U555" s="347" t="s">
        <v>1639</v>
      </c>
      <c r="V555" s="345">
        <v>700</v>
      </c>
      <c r="W555" s="345">
        <v>14050</v>
      </c>
      <c r="X555" s="349">
        <v>33598.74</v>
      </c>
      <c r="Y555" s="345">
        <v>14056</v>
      </c>
      <c r="Z555" s="349">
        <v>17599.39</v>
      </c>
      <c r="AA555" s="349">
        <f t="shared" si="93"/>
        <v>15999.349999999999</v>
      </c>
      <c r="AB555" s="349">
        <v>3599.91</v>
      </c>
      <c r="AC555" s="345">
        <v>54260</v>
      </c>
      <c r="AD555" s="349">
        <v>399.99</v>
      </c>
      <c r="AE555" s="345" t="s">
        <v>944</v>
      </c>
      <c r="AF555" s="347"/>
      <c r="AG555" s="347"/>
      <c r="AH555" s="347" t="s">
        <v>57</v>
      </c>
      <c r="AI555" s="347" t="s">
        <v>4442</v>
      </c>
      <c r="AJ555" s="347" t="s">
        <v>4443</v>
      </c>
      <c r="AK555" s="347" t="s">
        <v>4437</v>
      </c>
      <c r="AL555" s="387">
        <v>45574</v>
      </c>
    </row>
    <row r="556" spans="2:38" ht="15.75" outlineLevel="1">
      <c r="B556" s="345">
        <v>2111</v>
      </c>
      <c r="C556" s="346">
        <v>247903</v>
      </c>
      <c r="D556" s="345" t="s">
        <v>944</v>
      </c>
      <c r="E556" s="347" t="s">
        <v>4240</v>
      </c>
      <c r="F556" s="343" t="s">
        <v>1145</v>
      </c>
      <c r="I556" s="345">
        <v>10</v>
      </c>
      <c r="J556" s="347"/>
      <c r="K556" s="345">
        <v>0</v>
      </c>
      <c r="L556" s="347" t="s">
        <v>1537</v>
      </c>
      <c r="M556" s="347"/>
      <c r="N556" s="347" t="s">
        <v>4446</v>
      </c>
      <c r="O556" s="347" t="s">
        <v>4441</v>
      </c>
      <c r="P556" s="347"/>
      <c r="Q556" s="347" t="s">
        <v>4479</v>
      </c>
      <c r="R556" s="347" t="s">
        <v>4450</v>
      </c>
      <c r="S556" s="348">
        <v>44245</v>
      </c>
      <c r="T556" s="348">
        <v>44245</v>
      </c>
      <c r="U556" s="347" t="s">
        <v>1672</v>
      </c>
      <c r="V556" s="345">
        <v>1200</v>
      </c>
      <c r="W556" s="345">
        <v>14050</v>
      </c>
      <c r="X556" s="349">
        <v>12351.66</v>
      </c>
      <c r="Y556" s="345">
        <v>14056</v>
      </c>
      <c r="Z556" s="349">
        <v>3688.4</v>
      </c>
      <c r="AA556" s="349">
        <f t="shared" si="93"/>
        <v>8663.26</v>
      </c>
      <c r="AB556" s="349">
        <v>772.02</v>
      </c>
      <c r="AC556" s="345">
        <v>54260</v>
      </c>
      <c r="AD556" s="349">
        <v>85.78</v>
      </c>
      <c r="AE556" s="345" t="s">
        <v>944</v>
      </c>
      <c r="AF556" s="347"/>
      <c r="AG556" s="347"/>
      <c r="AH556" s="347" t="s">
        <v>57</v>
      </c>
      <c r="AI556" s="347" t="s">
        <v>4442</v>
      </c>
      <c r="AJ556" s="347" t="s">
        <v>4443</v>
      </c>
      <c r="AK556" s="347" t="s">
        <v>4437</v>
      </c>
      <c r="AL556" s="387">
        <v>45574</v>
      </c>
    </row>
    <row r="557" spans="2:38" ht="15.75" outlineLevel="1">
      <c r="B557" s="345">
        <v>2111</v>
      </c>
      <c r="C557" s="346">
        <v>247902</v>
      </c>
      <c r="D557" s="345" t="s">
        <v>944</v>
      </c>
      <c r="E557" s="347" t="s">
        <v>4240</v>
      </c>
      <c r="F557" s="343" t="s">
        <v>1146</v>
      </c>
      <c r="I557" s="345">
        <v>5</v>
      </c>
      <c r="J557" s="347"/>
      <c r="K557" s="345">
        <v>0</v>
      </c>
      <c r="L557" s="347" t="s">
        <v>1537</v>
      </c>
      <c r="M557" s="347"/>
      <c r="N557" s="347" t="s">
        <v>4446</v>
      </c>
      <c r="O557" s="347" t="s">
        <v>4441</v>
      </c>
      <c r="P557" s="347"/>
      <c r="Q557" s="347" t="s">
        <v>4464</v>
      </c>
      <c r="R557" s="347" t="s">
        <v>4450</v>
      </c>
      <c r="S557" s="348">
        <v>44245</v>
      </c>
      <c r="T557" s="348">
        <v>44245</v>
      </c>
      <c r="U557" s="347" t="s">
        <v>1672</v>
      </c>
      <c r="V557" s="345">
        <v>1200</v>
      </c>
      <c r="W557" s="345">
        <v>14050</v>
      </c>
      <c r="X557" s="349">
        <v>4477.87</v>
      </c>
      <c r="Y557" s="345">
        <v>14056</v>
      </c>
      <c r="Z557" s="349">
        <v>1337.18</v>
      </c>
      <c r="AA557" s="349">
        <f t="shared" si="93"/>
        <v>3140.6899999999996</v>
      </c>
      <c r="AB557" s="349">
        <v>279.89999999999998</v>
      </c>
      <c r="AC557" s="345">
        <v>54260</v>
      </c>
      <c r="AD557" s="349">
        <v>31.1</v>
      </c>
      <c r="AE557" s="345" t="s">
        <v>944</v>
      </c>
      <c r="AF557" s="347"/>
      <c r="AG557" s="347"/>
      <c r="AH557" s="347" t="s">
        <v>57</v>
      </c>
      <c r="AI557" s="347" t="s">
        <v>4442</v>
      </c>
      <c r="AJ557" s="347" t="s">
        <v>4443</v>
      </c>
      <c r="AK557" s="347" t="s">
        <v>4437</v>
      </c>
      <c r="AL557" s="387">
        <v>45574</v>
      </c>
    </row>
    <row r="558" spans="2:38" ht="15.75" outlineLevel="1">
      <c r="B558" s="345">
        <v>2111</v>
      </c>
      <c r="C558" s="346">
        <v>247901</v>
      </c>
      <c r="D558" s="345" t="s">
        <v>944</v>
      </c>
      <c r="E558" s="347" t="s">
        <v>4240</v>
      </c>
      <c r="F558" s="343" t="s">
        <v>1147</v>
      </c>
      <c r="I558" s="345">
        <v>20</v>
      </c>
      <c r="J558" s="347"/>
      <c r="K558" s="345">
        <v>0</v>
      </c>
      <c r="L558" s="347" t="s">
        <v>1537</v>
      </c>
      <c r="M558" s="347"/>
      <c r="N558" s="347" t="s">
        <v>4446</v>
      </c>
      <c r="O558" s="347" t="s">
        <v>4441</v>
      </c>
      <c r="P558" s="347"/>
      <c r="Q558" s="347" t="s">
        <v>4459</v>
      </c>
      <c r="R558" s="347" t="s">
        <v>4450</v>
      </c>
      <c r="S558" s="348">
        <v>44245</v>
      </c>
      <c r="T558" s="348">
        <v>44245</v>
      </c>
      <c r="U558" s="347" t="s">
        <v>1672</v>
      </c>
      <c r="V558" s="345">
        <v>1200</v>
      </c>
      <c r="W558" s="345">
        <v>14050</v>
      </c>
      <c r="X558" s="349">
        <v>14636.48</v>
      </c>
      <c r="Y558" s="345">
        <v>14056</v>
      </c>
      <c r="Z558" s="349">
        <v>4370.6000000000004</v>
      </c>
      <c r="AA558" s="349">
        <f t="shared" si="93"/>
        <v>10265.879999999999</v>
      </c>
      <c r="AB558" s="349">
        <v>914.76</v>
      </c>
      <c r="AC558" s="345">
        <v>54260</v>
      </c>
      <c r="AD558" s="349">
        <v>101.64</v>
      </c>
      <c r="AE558" s="345" t="s">
        <v>944</v>
      </c>
      <c r="AF558" s="347"/>
      <c r="AG558" s="347"/>
      <c r="AH558" s="347" t="s">
        <v>57</v>
      </c>
      <c r="AI558" s="347" t="s">
        <v>4442</v>
      </c>
      <c r="AJ558" s="347" t="s">
        <v>4443</v>
      </c>
      <c r="AK558" s="347" t="s">
        <v>4437</v>
      </c>
      <c r="AL558" s="387">
        <v>45574</v>
      </c>
    </row>
    <row r="559" spans="2:38" ht="15.75" outlineLevel="1">
      <c r="B559" s="345">
        <v>2111</v>
      </c>
      <c r="C559" s="346">
        <v>247900</v>
      </c>
      <c r="D559" s="345" t="s">
        <v>944</v>
      </c>
      <c r="E559" s="347" t="s">
        <v>4240</v>
      </c>
      <c r="F559" s="343" t="s">
        <v>1148</v>
      </c>
      <c r="I559" s="345">
        <v>45</v>
      </c>
      <c r="J559" s="347"/>
      <c r="K559" s="345">
        <v>0</v>
      </c>
      <c r="L559" s="347" t="s">
        <v>1537</v>
      </c>
      <c r="M559" s="347"/>
      <c r="N559" s="347" t="s">
        <v>4446</v>
      </c>
      <c r="O559" s="347" t="s">
        <v>4441</v>
      </c>
      <c r="P559" s="347"/>
      <c r="Q559" s="347" t="s">
        <v>4459</v>
      </c>
      <c r="R559" s="347" t="s">
        <v>4450</v>
      </c>
      <c r="S559" s="348">
        <v>44245</v>
      </c>
      <c r="T559" s="348">
        <v>44245</v>
      </c>
      <c r="U559" s="347" t="s">
        <v>1672</v>
      </c>
      <c r="V559" s="345">
        <v>1200</v>
      </c>
      <c r="W559" s="345">
        <v>14050</v>
      </c>
      <c r="X559" s="349">
        <v>32734.26</v>
      </c>
      <c r="Y559" s="345">
        <v>14056</v>
      </c>
      <c r="Z559" s="349">
        <v>9774.81</v>
      </c>
      <c r="AA559" s="349">
        <f t="shared" si="93"/>
        <v>22959.449999999997</v>
      </c>
      <c r="AB559" s="349">
        <v>2045.88</v>
      </c>
      <c r="AC559" s="345">
        <v>54260</v>
      </c>
      <c r="AD559" s="349">
        <v>227.32</v>
      </c>
      <c r="AE559" s="345" t="s">
        <v>944</v>
      </c>
      <c r="AF559" s="347"/>
      <c r="AG559" s="347"/>
      <c r="AH559" s="347" t="s">
        <v>57</v>
      </c>
      <c r="AI559" s="347" t="s">
        <v>4442</v>
      </c>
      <c r="AJ559" s="347" t="s">
        <v>4443</v>
      </c>
      <c r="AK559" s="347" t="s">
        <v>4437</v>
      </c>
      <c r="AL559" s="387">
        <v>45574</v>
      </c>
    </row>
    <row r="560" spans="2:38" ht="15.75" outlineLevel="1">
      <c r="B560" s="345">
        <v>2111</v>
      </c>
      <c r="C560" s="346">
        <v>247899</v>
      </c>
      <c r="D560" s="345" t="s">
        <v>944</v>
      </c>
      <c r="E560" s="347" t="s">
        <v>4240</v>
      </c>
      <c r="F560" s="343" t="s">
        <v>1144</v>
      </c>
      <c r="I560" s="345">
        <v>30</v>
      </c>
      <c r="J560" s="347"/>
      <c r="K560" s="345">
        <v>0</v>
      </c>
      <c r="L560" s="347" t="s">
        <v>1537</v>
      </c>
      <c r="M560" s="347"/>
      <c r="N560" s="347" t="s">
        <v>4446</v>
      </c>
      <c r="O560" s="347" t="s">
        <v>4441</v>
      </c>
      <c r="P560" s="347"/>
      <c r="Q560" s="347" t="s">
        <v>4459</v>
      </c>
      <c r="R560" s="347" t="s">
        <v>4450</v>
      </c>
      <c r="S560" s="348">
        <v>44245</v>
      </c>
      <c r="T560" s="348">
        <v>44245</v>
      </c>
      <c r="U560" s="347" t="s">
        <v>1672</v>
      </c>
      <c r="V560" s="345">
        <v>1200</v>
      </c>
      <c r="W560" s="345">
        <v>14050</v>
      </c>
      <c r="X560" s="349">
        <v>20538.12</v>
      </c>
      <c r="Y560" s="345">
        <v>14056</v>
      </c>
      <c r="Z560" s="349">
        <v>6132.95</v>
      </c>
      <c r="AA560" s="349">
        <f t="shared" si="93"/>
        <v>14405.169999999998</v>
      </c>
      <c r="AB560" s="349">
        <v>1283.67</v>
      </c>
      <c r="AC560" s="345">
        <v>54260</v>
      </c>
      <c r="AD560" s="349">
        <v>142.63</v>
      </c>
      <c r="AE560" s="345" t="s">
        <v>944</v>
      </c>
      <c r="AF560" s="347"/>
      <c r="AG560" s="347"/>
      <c r="AH560" s="347" t="s">
        <v>57</v>
      </c>
      <c r="AI560" s="347" t="s">
        <v>4442</v>
      </c>
      <c r="AJ560" s="347" t="s">
        <v>4443</v>
      </c>
      <c r="AK560" s="347" t="s">
        <v>4437</v>
      </c>
      <c r="AL560" s="387">
        <v>45574</v>
      </c>
    </row>
    <row r="561" spans="2:38" ht="15.75" outlineLevel="1">
      <c r="B561" s="345">
        <v>2111</v>
      </c>
      <c r="C561" s="346">
        <v>247838</v>
      </c>
      <c r="D561" s="345">
        <v>241232</v>
      </c>
      <c r="E561" s="347" t="s">
        <v>4240</v>
      </c>
      <c r="F561" s="343" t="s">
        <v>1674</v>
      </c>
      <c r="I561" s="345">
        <v>1</v>
      </c>
      <c r="J561" s="347"/>
      <c r="K561" s="345">
        <v>2020</v>
      </c>
      <c r="L561" s="347" t="s">
        <v>1675</v>
      </c>
      <c r="M561" s="347"/>
      <c r="N561" s="347" t="s">
        <v>4445</v>
      </c>
      <c r="O561" s="347" t="s">
        <v>4441</v>
      </c>
      <c r="P561" s="347" t="s">
        <v>1467</v>
      </c>
      <c r="Q561" s="347"/>
      <c r="R561" s="347"/>
      <c r="S561" s="348">
        <v>44197</v>
      </c>
      <c r="T561" s="348">
        <v>44197</v>
      </c>
      <c r="U561" s="347" t="s">
        <v>1650</v>
      </c>
      <c r="V561" s="345">
        <v>1000</v>
      </c>
      <c r="W561" s="345">
        <v>14040</v>
      </c>
      <c r="X561" s="349">
        <v>1360.98</v>
      </c>
      <c r="Y561" s="345">
        <v>14046</v>
      </c>
      <c r="Z561" s="349">
        <v>1360.98</v>
      </c>
      <c r="AA561" s="349">
        <f t="shared" si="93"/>
        <v>0</v>
      </c>
      <c r="AB561" s="349">
        <v>104.7</v>
      </c>
      <c r="AC561" s="345">
        <v>51260</v>
      </c>
      <c r="AD561" s="349">
        <v>0</v>
      </c>
      <c r="AE561" s="345" t="s">
        <v>944</v>
      </c>
      <c r="AF561" s="347"/>
      <c r="AG561" s="347"/>
      <c r="AH561" s="347" t="s">
        <v>57</v>
      </c>
      <c r="AI561" s="347" t="s">
        <v>4442</v>
      </c>
      <c r="AJ561" s="347" t="s">
        <v>4443</v>
      </c>
      <c r="AK561" s="347" t="s">
        <v>4437</v>
      </c>
      <c r="AL561" s="387">
        <v>45574</v>
      </c>
    </row>
    <row r="562" spans="2:38" ht="15.75" outlineLevel="1">
      <c r="B562" s="345">
        <v>2111</v>
      </c>
      <c r="C562" s="346">
        <v>247629</v>
      </c>
      <c r="D562" s="345">
        <v>88717</v>
      </c>
      <c r="E562" s="347" t="s">
        <v>4240</v>
      </c>
      <c r="F562" s="343" t="s">
        <v>1142</v>
      </c>
      <c r="I562" s="345">
        <v>1</v>
      </c>
      <c r="J562" s="347"/>
      <c r="K562" s="345">
        <v>0</v>
      </c>
      <c r="L562" s="347" t="s">
        <v>1677</v>
      </c>
      <c r="M562" s="347"/>
      <c r="N562" s="347" t="s">
        <v>4445</v>
      </c>
      <c r="O562" s="347" t="s">
        <v>4441</v>
      </c>
      <c r="P562" s="347" t="s">
        <v>1467</v>
      </c>
      <c r="Q562" s="347"/>
      <c r="R562" s="347"/>
      <c r="S562" s="348">
        <v>44230</v>
      </c>
      <c r="T562" s="348">
        <v>44230</v>
      </c>
      <c r="U562" s="347" t="s">
        <v>1678</v>
      </c>
      <c r="V562" s="345">
        <v>300</v>
      </c>
      <c r="W562" s="345">
        <v>14040</v>
      </c>
      <c r="X562" s="349">
        <v>11199.12</v>
      </c>
      <c r="Y562" s="345">
        <v>14046</v>
      </c>
      <c r="Z562" s="349">
        <v>11199.12</v>
      </c>
      <c r="AA562" s="349">
        <f t="shared" si="93"/>
        <v>0</v>
      </c>
      <c r="AB562" s="349">
        <v>311.08999999999997</v>
      </c>
      <c r="AC562" s="345">
        <v>51260</v>
      </c>
      <c r="AD562" s="349">
        <v>311.08999999999997</v>
      </c>
      <c r="AE562" s="345" t="s">
        <v>944</v>
      </c>
      <c r="AF562" s="347"/>
      <c r="AG562" s="347"/>
      <c r="AH562" s="347" t="s">
        <v>57</v>
      </c>
      <c r="AI562" s="347" t="s">
        <v>4442</v>
      </c>
      <c r="AJ562" s="347" t="s">
        <v>4443</v>
      </c>
      <c r="AK562" s="347" t="s">
        <v>4437</v>
      </c>
      <c r="AL562" s="387">
        <v>45574</v>
      </c>
    </row>
    <row r="563" spans="2:38" ht="15.75" outlineLevel="1">
      <c r="B563" s="345">
        <v>2111</v>
      </c>
      <c r="C563" s="346">
        <v>247510</v>
      </c>
      <c r="D563" s="345" t="s">
        <v>944</v>
      </c>
      <c r="E563" s="347" t="s">
        <v>4240</v>
      </c>
      <c r="F563" s="343" t="s">
        <v>1140</v>
      </c>
      <c r="I563" s="345">
        <v>1</v>
      </c>
      <c r="J563" s="347"/>
      <c r="K563" s="345">
        <v>0</v>
      </c>
      <c r="L563" s="347" t="s">
        <v>1679</v>
      </c>
      <c r="M563" s="347"/>
      <c r="N563" s="347" t="s">
        <v>4440</v>
      </c>
      <c r="O563" s="347" t="s">
        <v>4441</v>
      </c>
      <c r="P563" s="347"/>
      <c r="Q563" s="347"/>
      <c r="R563" s="347"/>
      <c r="S563" s="348">
        <v>44197</v>
      </c>
      <c r="T563" s="348">
        <v>44197</v>
      </c>
      <c r="U563" s="347" t="s">
        <v>1680</v>
      </c>
      <c r="V563" s="345">
        <v>300</v>
      </c>
      <c r="W563" s="345">
        <v>14110</v>
      </c>
      <c r="X563" s="349">
        <v>3071.71</v>
      </c>
      <c r="Y563" s="345">
        <v>14116</v>
      </c>
      <c r="Z563" s="349">
        <v>3071.71</v>
      </c>
      <c r="AA563" s="349">
        <f t="shared" si="93"/>
        <v>0</v>
      </c>
      <c r="AB563" s="349">
        <v>0</v>
      </c>
      <c r="AC563" s="345">
        <v>70260</v>
      </c>
      <c r="AD563" s="349">
        <v>0</v>
      </c>
      <c r="AE563" s="345" t="s">
        <v>944</v>
      </c>
      <c r="AF563" s="347"/>
      <c r="AG563" s="347"/>
      <c r="AH563" s="347" t="s">
        <v>57</v>
      </c>
      <c r="AI563" s="347" t="s">
        <v>4442</v>
      </c>
      <c r="AJ563" s="347" t="s">
        <v>4443</v>
      </c>
      <c r="AK563" s="347" t="s">
        <v>4437</v>
      </c>
      <c r="AL563" s="387">
        <v>45574</v>
      </c>
    </row>
    <row r="564" spans="2:38" ht="15.75" outlineLevel="1">
      <c r="B564" s="345">
        <v>2111</v>
      </c>
      <c r="C564" s="346">
        <v>246557</v>
      </c>
      <c r="D564" s="345">
        <v>246366</v>
      </c>
      <c r="E564" s="347" t="s">
        <v>4240</v>
      </c>
      <c r="F564" s="343" t="s">
        <v>1137</v>
      </c>
      <c r="I564" s="345">
        <v>1</v>
      </c>
      <c r="J564" s="347"/>
      <c r="K564" s="345">
        <v>0</v>
      </c>
      <c r="L564" s="347" t="s">
        <v>1679</v>
      </c>
      <c r="M564" s="347"/>
      <c r="N564" s="347" t="s">
        <v>4440</v>
      </c>
      <c r="O564" s="347" t="s">
        <v>4441</v>
      </c>
      <c r="P564" s="347"/>
      <c r="Q564" s="347"/>
      <c r="R564" s="347"/>
      <c r="S564" s="348">
        <v>44197</v>
      </c>
      <c r="T564" s="348">
        <v>44197</v>
      </c>
      <c r="U564" s="347" t="s">
        <v>1680</v>
      </c>
      <c r="V564" s="345">
        <v>200</v>
      </c>
      <c r="W564" s="345">
        <v>14110</v>
      </c>
      <c r="X564" s="349">
        <v>956.13</v>
      </c>
      <c r="Y564" s="345">
        <v>14116</v>
      </c>
      <c r="Z564" s="349">
        <v>956.13</v>
      </c>
      <c r="AA564" s="349">
        <f t="shared" si="93"/>
        <v>0</v>
      </c>
      <c r="AB564" s="349">
        <v>0</v>
      </c>
      <c r="AC564" s="345">
        <v>70260</v>
      </c>
      <c r="AD564" s="349">
        <v>0</v>
      </c>
      <c r="AE564" s="345" t="s">
        <v>944</v>
      </c>
      <c r="AF564" s="347"/>
      <c r="AG564" s="347"/>
      <c r="AH564" s="347" t="s">
        <v>57</v>
      </c>
      <c r="AI564" s="347" t="s">
        <v>4442</v>
      </c>
      <c r="AJ564" s="347" t="s">
        <v>4443</v>
      </c>
      <c r="AK564" s="347" t="s">
        <v>4437</v>
      </c>
      <c r="AL564" s="387">
        <v>45574</v>
      </c>
    </row>
    <row r="565" spans="2:38" ht="15.75" outlineLevel="1">
      <c r="B565" s="345">
        <v>2111</v>
      </c>
      <c r="C565" s="346">
        <v>246432</v>
      </c>
      <c r="D565" s="345" t="s">
        <v>944</v>
      </c>
      <c r="E565" s="347" t="s">
        <v>4240</v>
      </c>
      <c r="F565" s="343" t="s">
        <v>1185</v>
      </c>
      <c r="I565" s="345">
        <v>1</v>
      </c>
      <c r="J565" s="347"/>
      <c r="K565" s="345">
        <v>0</v>
      </c>
      <c r="L565" s="347" t="s">
        <v>1681</v>
      </c>
      <c r="M565" s="347"/>
      <c r="N565" s="347" t="s">
        <v>4445</v>
      </c>
      <c r="O565" s="347" t="s">
        <v>4441</v>
      </c>
      <c r="P565" s="347" t="s">
        <v>1467</v>
      </c>
      <c r="Q565" s="347"/>
      <c r="R565" s="347"/>
      <c r="S565" s="348">
        <v>44197</v>
      </c>
      <c r="T565" s="348">
        <v>44197</v>
      </c>
      <c r="U565" s="347" t="s">
        <v>1682</v>
      </c>
      <c r="V565" s="345">
        <v>300</v>
      </c>
      <c r="W565" s="345">
        <v>14040</v>
      </c>
      <c r="X565" s="349">
        <v>-37361.550000000003</v>
      </c>
      <c r="Y565" s="345">
        <v>14046</v>
      </c>
      <c r="Z565" s="349">
        <v>-37361.550000000003</v>
      </c>
      <c r="AA565" s="349">
        <f t="shared" si="93"/>
        <v>0</v>
      </c>
      <c r="AB565" s="349">
        <v>0</v>
      </c>
      <c r="AC565" s="345">
        <v>51260</v>
      </c>
      <c r="AD565" s="349">
        <v>0</v>
      </c>
      <c r="AE565" s="345" t="s">
        <v>944</v>
      </c>
      <c r="AF565" s="347"/>
      <c r="AG565" s="347"/>
      <c r="AH565" s="347" t="s">
        <v>57</v>
      </c>
      <c r="AI565" s="347" t="s">
        <v>4442</v>
      </c>
      <c r="AJ565" s="347" t="s">
        <v>4443</v>
      </c>
      <c r="AK565" s="347" t="s">
        <v>4437</v>
      </c>
      <c r="AL565" s="387">
        <v>45574</v>
      </c>
    </row>
    <row r="566" spans="2:38" ht="15.75" outlineLevel="1">
      <c r="B566" s="345">
        <v>2111</v>
      </c>
      <c r="C566" s="346">
        <v>246431</v>
      </c>
      <c r="D566" s="345">
        <v>236403</v>
      </c>
      <c r="E566" s="347" t="s">
        <v>4240</v>
      </c>
      <c r="F566" s="343" t="s">
        <v>1683</v>
      </c>
      <c r="I566" s="345">
        <v>1</v>
      </c>
      <c r="J566" s="347"/>
      <c r="K566" s="345">
        <v>0</v>
      </c>
      <c r="L566" s="347" t="s">
        <v>1684</v>
      </c>
      <c r="M566" s="347"/>
      <c r="N566" s="347" t="s">
        <v>4445</v>
      </c>
      <c r="O566" s="347" t="s">
        <v>4441</v>
      </c>
      <c r="P566" s="347" t="s">
        <v>1467</v>
      </c>
      <c r="Q566" s="347"/>
      <c r="R566" s="347"/>
      <c r="S566" s="348">
        <v>44224</v>
      </c>
      <c r="T566" s="348">
        <v>44224</v>
      </c>
      <c r="U566" s="347" t="s">
        <v>1685</v>
      </c>
      <c r="V566" s="345">
        <v>500</v>
      </c>
      <c r="W566" s="345">
        <v>14040</v>
      </c>
      <c r="X566" s="349">
        <v>580.84</v>
      </c>
      <c r="Y566" s="345">
        <v>14046</v>
      </c>
      <c r="Z566" s="349">
        <v>425.93</v>
      </c>
      <c r="AA566" s="349">
        <f t="shared" si="93"/>
        <v>154.91000000000003</v>
      </c>
      <c r="AB566" s="349">
        <v>87.12</v>
      </c>
      <c r="AC566" s="345">
        <v>51260</v>
      </c>
      <c r="AD566" s="349">
        <v>9.68</v>
      </c>
      <c r="AE566" s="345" t="s">
        <v>944</v>
      </c>
      <c r="AF566" s="347"/>
      <c r="AG566" s="347"/>
      <c r="AH566" s="347" t="s">
        <v>57</v>
      </c>
      <c r="AI566" s="347" t="s">
        <v>4442</v>
      </c>
      <c r="AJ566" s="347" t="s">
        <v>4443</v>
      </c>
      <c r="AK566" s="347" t="s">
        <v>4437</v>
      </c>
      <c r="AL566" s="387">
        <v>45574</v>
      </c>
    </row>
    <row r="567" spans="2:38" ht="15.75" outlineLevel="1">
      <c r="B567" s="345">
        <v>2111</v>
      </c>
      <c r="C567" s="346">
        <v>246366</v>
      </c>
      <c r="D567" s="345" t="s">
        <v>944</v>
      </c>
      <c r="E567" s="347" t="s">
        <v>4240</v>
      </c>
      <c r="F567" s="343" t="s">
        <v>1183</v>
      </c>
      <c r="I567" s="345">
        <v>1</v>
      </c>
      <c r="J567" s="347"/>
      <c r="K567" s="345">
        <v>0</v>
      </c>
      <c r="L567" s="347" t="s">
        <v>1686</v>
      </c>
      <c r="M567" s="347"/>
      <c r="N567" s="347" t="s">
        <v>4440</v>
      </c>
      <c r="O567" s="347" t="s">
        <v>4441</v>
      </c>
      <c r="P567" s="347"/>
      <c r="Q567" s="347"/>
      <c r="R567" s="347"/>
      <c r="S567" s="348">
        <v>44197</v>
      </c>
      <c r="T567" s="348">
        <v>44197</v>
      </c>
      <c r="U567" s="347" t="s">
        <v>1680</v>
      </c>
      <c r="V567" s="345">
        <v>200</v>
      </c>
      <c r="W567" s="345">
        <v>14110</v>
      </c>
      <c r="X567" s="349">
        <v>989.1</v>
      </c>
      <c r="Y567" s="345">
        <v>14116</v>
      </c>
      <c r="Z567" s="349">
        <v>989.1</v>
      </c>
      <c r="AA567" s="349">
        <f t="shared" si="93"/>
        <v>0</v>
      </c>
      <c r="AB567" s="349">
        <v>0</v>
      </c>
      <c r="AC567" s="345">
        <v>70260</v>
      </c>
      <c r="AD567" s="349">
        <v>0</v>
      </c>
      <c r="AE567" s="345" t="s">
        <v>944</v>
      </c>
      <c r="AF567" s="347"/>
      <c r="AG567" s="347"/>
      <c r="AH567" s="347" t="s">
        <v>57</v>
      </c>
      <c r="AI567" s="347" t="s">
        <v>4442</v>
      </c>
      <c r="AJ567" s="347" t="s">
        <v>4443</v>
      </c>
      <c r="AK567" s="347" t="s">
        <v>4437</v>
      </c>
      <c r="AL567" s="387">
        <v>45574</v>
      </c>
    </row>
    <row r="568" spans="2:38" ht="15.75" outlineLevel="1">
      <c r="B568" s="345">
        <v>2111</v>
      </c>
      <c r="C568" s="346">
        <v>246306</v>
      </c>
      <c r="D568" s="345" t="s">
        <v>944</v>
      </c>
      <c r="E568" s="347" t="s">
        <v>4240</v>
      </c>
      <c r="F568" s="343" t="s">
        <v>1136</v>
      </c>
      <c r="I568" s="345">
        <v>351</v>
      </c>
      <c r="J568" s="347"/>
      <c r="K568" s="345">
        <v>0</v>
      </c>
      <c r="L568" s="347" t="s">
        <v>1462</v>
      </c>
      <c r="M568" s="347"/>
      <c r="N568" s="347" t="s">
        <v>4446</v>
      </c>
      <c r="O568" s="347" t="s">
        <v>4441</v>
      </c>
      <c r="P568" s="347"/>
      <c r="Q568" s="347"/>
      <c r="R568" s="347"/>
      <c r="S568" s="348">
        <v>44207</v>
      </c>
      <c r="T568" s="348">
        <v>44207</v>
      </c>
      <c r="U568" s="347" t="s">
        <v>1688</v>
      </c>
      <c r="V568" s="345">
        <v>700</v>
      </c>
      <c r="W568" s="345">
        <v>14050</v>
      </c>
      <c r="X568" s="349">
        <v>16024</v>
      </c>
      <c r="Y568" s="345">
        <v>14056</v>
      </c>
      <c r="Z568" s="349">
        <v>8584.26</v>
      </c>
      <c r="AA568" s="349">
        <f t="shared" si="93"/>
        <v>7439.74</v>
      </c>
      <c r="AB568" s="349">
        <v>1716.84</v>
      </c>
      <c r="AC568" s="345">
        <v>54260</v>
      </c>
      <c r="AD568" s="349">
        <v>190.76</v>
      </c>
      <c r="AE568" s="345" t="s">
        <v>944</v>
      </c>
      <c r="AF568" s="347"/>
      <c r="AG568" s="347"/>
      <c r="AH568" s="347" t="s">
        <v>57</v>
      </c>
      <c r="AI568" s="347" t="s">
        <v>4442</v>
      </c>
      <c r="AJ568" s="347" t="s">
        <v>4443</v>
      </c>
      <c r="AK568" s="347" t="s">
        <v>4437</v>
      </c>
      <c r="AL568" s="387">
        <v>45574</v>
      </c>
    </row>
    <row r="569" spans="2:38" ht="15.75" outlineLevel="1">
      <c r="B569" s="345">
        <v>2111</v>
      </c>
      <c r="C569" s="346">
        <v>246305</v>
      </c>
      <c r="D569" s="345" t="s">
        <v>944</v>
      </c>
      <c r="E569" s="347" t="s">
        <v>4240</v>
      </c>
      <c r="F569" s="343" t="s">
        <v>1135</v>
      </c>
      <c r="I569" s="345">
        <v>884</v>
      </c>
      <c r="J569" s="347"/>
      <c r="K569" s="345">
        <v>0</v>
      </c>
      <c r="L569" s="347" t="s">
        <v>1462</v>
      </c>
      <c r="M569" s="347"/>
      <c r="N569" s="347" t="s">
        <v>4446</v>
      </c>
      <c r="O569" s="347" t="s">
        <v>4441</v>
      </c>
      <c r="P569" s="347"/>
      <c r="Q569" s="347"/>
      <c r="R569" s="347"/>
      <c r="S569" s="348">
        <v>44207</v>
      </c>
      <c r="T569" s="348">
        <v>44207</v>
      </c>
      <c r="U569" s="347" t="s">
        <v>1689</v>
      </c>
      <c r="V569" s="345">
        <v>700</v>
      </c>
      <c r="W569" s="345">
        <v>14050</v>
      </c>
      <c r="X569" s="349">
        <v>40356.800000000003</v>
      </c>
      <c r="Y569" s="345">
        <v>14056</v>
      </c>
      <c r="Z569" s="349">
        <v>21619.74</v>
      </c>
      <c r="AA569" s="349">
        <f t="shared" si="93"/>
        <v>18737.060000000001</v>
      </c>
      <c r="AB569" s="349">
        <v>4323.96</v>
      </c>
      <c r="AC569" s="345">
        <v>54260</v>
      </c>
      <c r="AD569" s="349">
        <v>480.44</v>
      </c>
      <c r="AE569" s="345" t="s">
        <v>944</v>
      </c>
      <c r="AF569" s="347"/>
      <c r="AG569" s="347"/>
      <c r="AH569" s="347" t="s">
        <v>57</v>
      </c>
      <c r="AI569" s="347" t="s">
        <v>4442</v>
      </c>
      <c r="AJ569" s="347" t="s">
        <v>4443</v>
      </c>
      <c r="AK569" s="347" t="s">
        <v>4437</v>
      </c>
      <c r="AL569" s="387">
        <v>45574</v>
      </c>
    </row>
    <row r="570" spans="2:38" ht="15.75" outlineLevel="1">
      <c r="B570" s="345">
        <v>2111</v>
      </c>
      <c r="C570" s="346">
        <v>246304</v>
      </c>
      <c r="D570" s="345" t="s">
        <v>944</v>
      </c>
      <c r="E570" s="347" t="s">
        <v>4240</v>
      </c>
      <c r="F570" s="343" t="s">
        <v>1134</v>
      </c>
      <c r="I570" s="345">
        <v>169</v>
      </c>
      <c r="J570" s="347"/>
      <c r="K570" s="345">
        <v>0</v>
      </c>
      <c r="L570" s="347" t="s">
        <v>1462</v>
      </c>
      <c r="M570" s="347"/>
      <c r="N570" s="347" t="s">
        <v>4446</v>
      </c>
      <c r="O570" s="347" t="s">
        <v>4441</v>
      </c>
      <c r="P570" s="347"/>
      <c r="Q570" s="347"/>
      <c r="R570" s="347"/>
      <c r="S570" s="348">
        <v>44207</v>
      </c>
      <c r="T570" s="348">
        <v>44207</v>
      </c>
      <c r="U570" s="347" t="s">
        <v>1690</v>
      </c>
      <c r="V570" s="345">
        <v>700</v>
      </c>
      <c r="W570" s="345">
        <v>14050</v>
      </c>
      <c r="X570" s="349">
        <v>6786.61</v>
      </c>
      <c r="Y570" s="345">
        <v>14056</v>
      </c>
      <c r="Z570" s="349">
        <v>3635.67</v>
      </c>
      <c r="AA570" s="349">
        <f t="shared" si="93"/>
        <v>3150.9399999999996</v>
      </c>
      <c r="AB570" s="349">
        <v>727.11</v>
      </c>
      <c r="AC570" s="345">
        <v>54260</v>
      </c>
      <c r="AD570" s="349">
        <v>80.790000000000006</v>
      </c>
      <c r="AE570" s="345" t="s">
        <v>944</v>
      </c>
      <c r="AF570" s="347"/>
      <c r="AG570" s="347"/>
      <c r="AH570" s="347" t="s">
        <v>57</v>
      </c>
      <c r="AI570" s="347" t="s">
        <v>4442</v>
      </c>
      <c r="AJ570" s="347" t="s">
        <v>4443</v>
      </c>
      <c r="AK570" s="347" t="s">
        <v>4437</v>
      </c>
      <c r="AL570" s="387">
        <v>45574</v>
      </c>
    </row>
    <row r="571" spans="2:38" ht="15.75" outlineLevel="1">
      <c r="B571" s="345">
        <v>2111</v>
      </c>
      <c r="C571" s="346">
        <v>246303</v>
      </c>
      <c r="D571" s="345" t="s">
        <v>944</v>
      </c>
      <c r="E571" s="347" t="s">
        <v>4240</v>
      </c>
      <c r="F571" s="343" t="s">
        <v>1273</v>
      </c>
      <c r="I571" s="345">
        <v>90</v>
      </c>
      <c r="J571" s="347"/>
      <c r="K571" s="345">
        <v>0</v>
      </c>
      <c r="L571" s="347" t="s">
        <v>1462</v>
      </c>
      <c r="M571" s="347"/>
      <c r="N571" s="347" t="s">
        <v>4446</v>
      </c>
      <c r="O571" s="347" t="s">
        <v>4441</v>
      </c>
      <c r="P571" s="347"/>
      <c r="Q571" s="347"/>
      <c r="R571" s="347"/>
      <c r="S571" s="348">
        <v>44207</v>
      </c>
      <c r="T571" s="348">
        <v>44207</v>
      </c>
      <c r="U571" s="347" t="s">
        <v>1691</v>
      </c>
      <c r="V571" s="345">
        <v>700</v>
      </c>
      <c r="W571" s="345">
        <v>14050</v>
      </c>
      <c r="X571" s="349">
        <v>1473.75</v>
      </c>
      <c r="Y571" s="345">
        <v>14056</v>
      </c>
      <c r="Z571" s="349">
        <v>789.48</v>
      </c>
      <c r="AA571" s="349">
        <f t="shared" si="93"/>
        <v>684.27</v>
      </c>
      <c r="AB571" s="349">
        <v>157.86000000000001</v>
      </c>
      <c r="AC571" s="345">
        <v>54260</v>
      </c>
      <c r="AD571" s="349">
        <v>17.54</v>
      </c>
      <c r="AE571" s="345" t="s">
        <v>944</v>
      </c>
      <c r="AF571" s="347"/>
      <c r="AG571" s="347"/>
      <c r="AH571" s="347" t="s">
        <v>57</v>
      </c>
      <c r="AI571" s="347" t="s">
        <v>4442</v>
      </c>
      <c r="AJ571" s="347" t="s">
        <v>4443</v>
      </c>
      <c r="AK571" s="347" t="s">
        <v>4437</v>
      </c>
      <c r="AL571" s="387">
        <v>45574</v>
      </c>
    </row>
    <row r="572" spans="2:38" ht="15.75" outlineLevel="1">
      <c r="B572" s="345">
        <v>2111</v>
      </c>
      <c r="C572" s="346">
        <v>246034</v>
      </c>
      <c r="D572" s="345">
        <v>232980</v>
      </c>
      <c r="E572" s="347" t="s">
        <v>4240</v>
      </c>
      <c r="F572" s="343" t="s">
        <v>1275</v>
      </c>
      <c r="I572" s="345">
        <v>1</v>
      </c>
      <c r="J572" s="347"/>
      <c r="K572" s="345">
        <v>0</v>
      </c>
      <c r="L572" s="347"/>
      <c r="M572" s="347"/>
      <c r="N572" s="347" t="s">
        <v>4462</v>
      </c>
      <c r="O572" s="347" t="s">
        <v>4441</v>
      </c>
      <c r="P572" s="347"/>
      <c r="Q572" s="347"/>
      <c r="R572" s="347"/>
      <c r="S572" s="348">
        <v>44197</v>
      </c>
      <c r="T572" s="348">
        <v>44197</v>
      </c>
      <c r="U572" s="347" t="s">
        <v>1692</v>
      </c>
      <c r="V572" s="345">
        <v>1000</v>
      </c>
      <c r="W572" s="345">
        <v>14010</v>
      </c>
      <c r="X572" s="349">
        <v>256</v>
      </c>
      <c r="Y572" s="345">
        <v>14016</v>
      </c>
      <c r="Z572" s="349">
        <v>95.97</v>
      </c>
      <c r="AA572" s="349">
        <f t="shared" si="93"/>
        <v>160.03</v>
      </c>
      <c r="AB572" s="349">
        <v>19.170000000000002</v>
      </c>
      <c r="AC572" s="345">
        <v>57260</v>
      </c>
      <c r="AD572" s="349">
        <v>2.13</v>
      </c>
      <c r="AE572" s="345" t="s">
        <v>944</v>
      </c>
      <c r="AF572" s="347"/>
      <c r="AG572" s="347"/>
      <c r="AH572" s="347" t="s">
        <v>57</v>
      </c>
      <c r="AI572" s="347" t="s">
        <v>4442</v>
      </c>
      <c r="AJ572" s="347" t="s">
        <v>4443</v>
      </c>
      <c r="AK572" s="347" t="s">
        <v>4437</v>
      </c>
      <c r="AL572" s="387">
        <v>45574</v>
      </c>
    </row>
    <row r="573" spans="2:38" ht="15.75" outlineLevel="1">
      <c r="B573" s="345">
        <v>2111</v>
      </c>
      <c r="C573" s="346">
        <v>245508</v>
      </c>
      <c r="D573" s="345">
        <v>102177</v>
      </c>
      <c r="E573" s="347" t="s">
        <v>4240</v>
      </c>
      <c r="F573" s="343" t="s">
        <v>1693</v>
      </c>
      <c r="I573" s="345">
        <v>1</v>
      </c>
      <c r="J573" s="347"/>
      <c r="K573" s="345">
        <v>0</v>
      </c>
      <c r="L573" s="347" t="s">
        <v>1681</v>
      </c>
      <c r="M573" s="347"/>
      <c r="N573" s="347" t="s">
        <v>4445</v>
      </c>
      <c r="O573" s="347" t="s">
        <v>4441</v>
      </c>
      <c r="P573" s="347" t="s">
        <v>1467</v>
      </c>
      <c r="Q573" s="347"/>
      <c r="R573" s="347"/>
      <c r="S573" s="348">
        <v>44183</v>
      </c>
      <c r="T573" s="348">
        <v>44183</v>
      </c>
      <c r="U573" s="347" t="s">
        <v>1682</v>
      </c>
      <c r="V573" s="345">
        <v>300</v>
      </c>
      <c r="W573" s="345">
        <v>14040</v>
      </c>
      <c r="X573" s="349">
        <v>37361.550000000003</v>
      </c>
      <c r="Y573" s="345">
        <v>14046</v>
      </c>
      <c r="Z573" s="349">
        <v>37361.550000000003</v>
      </c>
      <c r="AA573" s="349">
        <f t="shared" si="93"/>
        <v>0</v>
      </c>
      <c r="AB573" s="349">
        <v>0</v>
      </c>
      <c r="AC573" s="345">
        <v>51260</v>
      </c>
      <c r="AD573" s="349">
        <v>0</v>
      </c>
      <c r="AE573" s="345" t="s">
        <v>944</v>
      </c>
      <c r="AF573" s="347"/>
      <c r="AG573" s="347"/>
      <c r="AH573" s="347" t="s">
        <v>57</v>
      </c>
      <c r="AI573" s="347" t="s">
        <v>4442</v>
      </c>
      <c r="AJ573" s="347" t="s">
        <v>4443</v>
      </c>
      <c r="AK573" s="347" t="s">
        <v>4437</v>
      </c>
      <c r="AL573" s="387">
        <v>45574</v>
      </c>
    </row>
    <row r="574" spans="2:38" ht="15.75" outlineLevel="1">
      <c r="B574" s="345">
        <v>2111</v>
      </c>
      <c r="C574" s="346">
        <v>245507</v>
      </c>
      <c r="D574" s="345">
        <v>235097</v>
      </c>
      <c r="E574" s="347" t="s">
        <v>4240</v>
      </c>
      <c r="F574" s="343" t="s">
        <v>1120</v>
      </c>
      <c r="I574" s="345">
        <v>1</v>
      </c>
      <c r="J574" s="347"/>
      <c r="K574" s="345">
        <v>0</v>
      </c>
      <c r="L574" s="347" t="s">
        <v>1695</v>
      </c>
      <c r="M574" s="347"/>
      <c r="N574" s="347" t="s">
        <v>4445</v>
      </c>
      <c r="O574" s="347" t="s">
        <v>4441</v>
      </c>
      <c r="P574" s="347" t="s">
        <v>1467</v>
      </c>
      <c r="Q574" s="347"/>
      <c r="R574" s="347"/>
      <c r="S574" s="348">
        <v>44111</v>
      </c>
      <c r="T574" s="348">
        <v>44111</v>
      </c>
      <c r="U574" s="347" t="s">
        <v>1696</v>
      </c>
      <c r="V574" s="345">
        <v>500</v>
      </c>
      <c r="W574" s="345">
        <v>14040</v>
      </c>
      <c r="X574" s="349">
        <v>894.06</v>
      </c>
      <c r="Y574" s="345">
        <v>14046</v>
      </c>
      <c r="Z574" s="349">
        <v>715.23</v>
      </c>
      <c r="AA574" s="349">
        <f t="shared" si="93"/>
        <v>178.82999999999993</v>
      </c>
      <c r="AB574" s="349">
        <v>134.1</v>
      </c>
      <c r="AC574" s="345">
        <v>51260</v>
      </c>
      <c r="AD574" s="349">
        <v>14.9</v>
      </c>
      <c r="AE574" s="345" t="s">
        <v>944</v>
      </c>
      <c r="AF574" s="347"/>
      <c r="AG574" s="347"/>
      <c r="AH574" s="347" t="s">
        <v>57</v>
      </c>
      <c r="AI574" s="347" t="s">
        <v>4442</v>
      </c>
      <c r="AJ574" s="347" t="s">
        <v>4443</v>
      </c>
      <c r="AK574" s="347" t="s">
        <v>4437</v>
      </c>
      <c r="AL574" s="387">
        <v>45574</v>
      </c>
    </row>
    <row r="575" spans="2:38" ht="15.75" outlineLevel="1">
      <c r="B575" s="345">
        <v>2111</v>
      </c>
      <c r="C575" s="346">
        <v>244752</v>
      </c>
      <c r="D575" s="345" t="s">
        <v>944</v>
      </c>
      <c r="E575" s="347" t="s">
        <v>4240</v>
      </c>
      <c r="F575" s="343" t="s">
        <v>1121</v>
      </c>
      <c r="I575" s="345">
        <v>1</v>
      </c>
      <c r="J575" s="347"/>
      <c r="K575" s="345">
        <v>0</v>
      </c>
      <c r="L575" s="347" t="s">
        <v>1657</v>
      </c>
      <c r="M575" s="347"/>
      <c r="N575" s="347" t="s">
        <v>4440</v>
      </c>
      <c r="O575" s="347" t="s">
        <v>4441</v>
      </c>
      <c r="P575" s="347"/>
      <c r="Q575" s="347"/>
      <c r="R575" s="347"/>
      <c r="S575" s="348">
        <v>44175</v>
      </c>
      <c r="T575" s="348">
        <v>44175</v>
      </c>
      <c r="U575" s="347" t="s">
        <v>1680</v>
      </c>
      <c r="V575" s="345">
        <v>200</v>
      </c>
      <c r="W575" s="345">
        <v>14110</v>
      </c>
      <c r="X575" s="349">
        <v>6.34</v>
      </c>
      <c r="Y575" s="345">
        <v>14116</v>
      </c>
      <c r="Z575" s="349">
        <v>6.34</v>
      </c>
      <c r="AA575" s="349">
        <f t="shared" si="93"/>
        <v>0</v>
      </c>
      <c r="AB575" s="349">
        <v>0</v>
      </c>
      <c r="AC575" s="345">
        <v>70260</v>
      </c>
      <c r="AD575" s="349">
        <v>0</v>
      </c>
      <c r="AE575" s="345" t="s">
        <v>944</v>
      </c>
      <c r="AF575" s="347"/>
      <c r="AG575" s="347"/>
      <c r="AH575" s="347" t="s">
        <v>57</v>
      </c>
      <c r="AI575" s="347" t="s">
        <v>4442</v>
      </c>
      <c r="AJ575" s="347" t="s">
        <v>4443</v>
      </c>
      <c r="AK575" s="347" t="s">
        <v>4437</v>
      </c>
      <c r="AL575" s="387">
        <v>45574</v>
      </c>
    </row>
    <row r="576" spans="2:38" ht="15.75" outlineLevel="1">
      <c r="B576" s="345">
        <v>2111</v>
      </c>
      <c r="C576" s="346">
        <v>244751</v>
      </c>
      <c r="D576" s="345" t="s">
        <v>944</v>
      </c>
      <c r="E576" s="347" t="s">
        <v>4240</v>
      </c>
      <c r="F576" s="343" t="s">
        <v>1121</v>
      </c>
      <c r="I576" s="345">
        <v>1</v>
      </c>
      <c r="J576" s="347"/>
      <c r="K576" s="345">
        <v>0</v>
      </c>
      <c r="L576" s="347" t="s">
        <v>1657</v>
      </c>
      <c r="M576" s="347"/>
      <c r="N576" s="347" t="s">
        <v>4440</v>
      </c>
      <c r="O576" s="347" t="s">
        <v>4441</v>
      </c>
      <c r="P576" s="347"/>
      <c r="Q576" s="347"/>
      <c r="R576" s="347"/>
      <c r="S576" s="348">
        <v>44175</v>
      </c>
      <c r="T576" s="348">
        <v>44175</v>
      </c>
      <c r="U576" s="347" t="s">
        <v>1697</v>
      </c>
      <c r="V576" s="345">
        <v>200</v>
      </c>
      <c r="W576" s="345">
        <v>14110</v>
      </c>
      <c r="X576" s="349">
        <v>2186</v>
      </c>
      <c r="Y576" s="345">
        <v>14116</v>
      </c>
      <c r="Z576" s="349">
        <v>2186</v>
      </c>
      <c r="AA576" s="349">
        <f t="shared" si="93"/>
        <v>0</v>
      </c>
      <c r="AB576" s="349">
        <v>0</v>
      </c>
      <c r="AC576" s="345">
        <v>70260</v>
      </c>
      <c r="AD576" s="349">
        <v>0</v>
      </c>
      <c r="AE576" s="345" t="s">
        <v>944</v>
      </c>
      <c r="AF576" s="347"/>
      <c r="AG576" s="347"/>
      <c r="AH576" s="347" t="s">
        <v>57</v>
      </c>
      <c r="AI576" s="347" t="s">
        <v>4442</v>
      </c>
      <c r="AJ576" s="347" t="s">
        <v>4443</v>
      </c>
      <c r="AK576" s="347" t="s">
        <v>4437</v>
      </c>
      <c r="AL576" s="387">
        <v>45574</v>
      </c>
    </row>
    <row r="577" spans="2:38" ht="15.75" outlineLevel="1">
      <c r="B577" s="345">
        <v>2111</v>
      </c>
      <c r="C577" s="346">
        <v>244569</v>
      </c>
      <c r="D577" s="345">
        <v>102177</v>
      </c>
      <c r="E577" s="347" t="s">
        <v>4240</v>
      </c>
      <c r="F577" s="343" t="s">
        <v>1693</v>
      </c>
      <c r="I577" s="345">
        <v>1</v>
      </c>
      <c r="J577" s="347"/>
      <c r="K577" s="345">
        <v>0</v>
      </c>
      <c r="L577" s="347" t="s">
        <v>1698</v>
      </c>
      <c r="M577" s="347"/>
      <c r="N577" s="347" t="s">
        <v>4445</v>
      </c>
      <c r="O577" s="347" t="s">
        <v>4441</v>
      </c>
      <c r="P577" s="347" t="s">
        <v>1467</v>
      </c>
      <c r="Q577" s="347"/>
      <c r="R577" s="347"/>
      <c r="S577" s="348">
        <v>44183</v>
      </c>
      <c r="T577" s="348">
        <v>44183</v>
      </c>
      <c r="U577" s="347" t="s">
        <v>1682</v>
      </c>
      <c r="V577" s="345">
        <v>300</v>
      </c>
      <c r="W577" s="345">
        <v>14040</v>
      </c>
      <c r="X577" s="349">
        <v>37361.550000000003</v>
      </c>
      <c r="Y577" s="345">
        <v>14046</v>
      </c>
      <c r="Z577" s="349">
        <v>37361.550000000003</v>
      </c>
      <c r="AA577" s="349">
        <f t="shared" si="93"/>
        <v>0</v>
      </c>
      <c r="AB577" s="349">
        <v>0</v>
      </c>
      <c r="AC577" s="345">
        <v>51260</v>
      </c>
      <c r="AD577" s="349">
        <v>0</v>
      </c>
      <c r="AE577" s="345" t="s">
        <v>944</v>
      </c>
      <c r="AF577" s="347"/>
      <c r="AG577" s="347"/>
      <c r="AH577" s="347" t="s">
        <v>57</v>
      </c>
      <c r="AI577" s="347" t="s">
        <v>4442</v>
      </c>
      <c r="AJ577" s="347" t="s">
        <v>4443</v>
      </c>
      <c r="AK577" s="347" t="s">
        <v>4437</v>
      </c>
      <c r="AL577" s="387">
        <v>45574</v>
      </c>
    </row>
    <row r="578" spans="2:38" ht="15.75" outlineLevel="1">
      <c r="B578" s="345">
        <v>2111</v>
      </c>
      <c r="C578" s="346">
        <v>243221</v>
      </c>
      <c r="D578" s="345">
        <v>232978</v>
      </c>
      <c r="E578" s="347" t="s">
        <v>4240</v>
      </c>
      <c r="F578" s="343" t="s">
        <v>1119</v>
      </c>
      <c r="I578" s="345">
        <v>1</v>
      </c>
      <c r="J578" s="347"/>
      <c r="K578" s="345">
        <v>0</v>
      </c>
      <c r="L578" s="347" t="s">
        <v>1456</v>
      </c>
      <c r="M578" s="347"/>
      <c r="N578" s="347" t="s">
        <v>4462</v>
      </c>
      <c r="O578" s="347" t="s">
        <v>4441</v>
      </c>
      <c r="P578" s="347"/>
      <c r="Q578" s="347"/>
      <c r="R578" s="347"/>
      <c r="S578" s="348">
        <v>43982</v>
      </c>
      <c r="T578" s="348">
        <v>43982</v>
      </c>
      <c r="U578" s="347" t="s">
        <v>1699</v>
      </c>
      <c r="V578" s="345">
        <v>1000</v>
      </c>
      <c r="W578" s="345">
        <v>14010</v>
      </c>
      <c r="X578" s="349">
        <v>1458.5</v>
      </c>
      <c r="Y578" s="345">
        <v>14016</v>
      </c>
      <c r="Z578" s="349">
        <v>631.95000000000005</v>
      </c>
      <c r="AA578" s="349">
        <f t="shared" si="93"/>
        <v>826.55</v>
      </c>
      <c r="AB578" s="349">
        <v>109.35</v>
      </c>
      <c r="AC578" s="345">
        <v>57260</v>
      </c>
      <c r="AD578" s="349">
        <v>12.15</v>
      </c>
      <c r="AE578" s="345" t="s">
        <v>944</v>
      </c>
      <c r="AF578" s="347"/>
      <c r="AG578" s="347"/>
      <c r="AH578" s="347" t="s">
        <v>57</v>
      </c>
      <c r="AI578" s="347" t="s">
        <v>4442</v>
      </c>
      <c r="AJ578" s="347" t="s">
        <v>4443</v>
      </c>
      <c r="AK578" s="347" t="s">
        <v>4437</v>
      </c>
      <c r="AL578" s="387">
        <v>45574</v>
      </c>
    </row>
    <row r="579" spans="2:38" ht="15.75" outlineLevel="1">
      <c r="B579" s="345">
        <v>2111</v>
      </c>
      <c r="C579" s="346">
        <v>243220</v>
      </c>
      <c r="D579" s="345">
        <v>232978</v>
      </c>
      <c r="E579" s="347" t="s">
        <v>4240</v>
      </c>
      <c r="F579" s="343" t="s">
        <v>1117</v>
      </c>
      <c r="I579" s="345">
        <v>1</v>
      </c>
      <c r="J579" s="347"/>
      <c r="K579" s="345">
        <v>0</v>
      </c>
      <c r="L579" s="347" t="s">
        <v>1456</v>
      </c>
      <c r="M579" s="347"/>
      <c r="N579" s="347" t="s">
        <v>4462</v>
      </c>
      <c r="O579" s="347" t="s">
        <v>4441</v>
      </c>
      <c r="P579" s="347"/>
      <c r="Q579" s="347"/>
      <c r="R579" s="347"/>
      <c r="S579" s="348">
        <v>43982</v>
      </c>
      <c r="T579" s="348">
        <v>43982</v>
      </c>
      <c r="U579" s="347" t="s">
        <v>1699</v>
      </c>
      <c r="V579" s="345">
        <v>1000</v>
      </c>
      <c r="W579" s="345">
        <v>14010</v>
      </c>
      <c r="X579" s="349">
        <v>921.38</v>
      </c>
      <c r="Y579" s="345">
        <v>14016</v>
      </c>
      <c r="Z579" s="349">
        <v>399.29</v>
      </c>
      <c r="AA579" s="349">
        <f t="shared" si="93"/>
        <v>522.08999999999992</v>
      </c>
      <c r="AB579" s="349">
        <v>69.12</v>
      </c>
      <c r="AC579" s="345">
        <v>57260</v>
      </c>
      <c r="AD579" s="349">
        <v>7.68</v>
      </c>
      <c r="AE579" s="345" t="s">
        <v>944</v>
      </c>
      <c r="AF579" s="347"/>
      <c r="AG579" s="347"/>
      <c r="AH579" s="347" t="s">
        <v>57</v>
      </c>
      <c r="AI579" s="347" t="s">
        <v>4442</v>
      </c>
      <c r="AJ579" s="347" t="s">
        <v>4443</v>
      </c>
      <c r="AK579" s="347" t="s">
        <v>4437</v>
      </c>
      <c r="AL579" s="387">
        <v>45574</v>
      </c>
    </row>
    <row r="580" spans="2:38" ht="15.75" outlineLevel="1">
      <c r="B580" s="345">
        <v>2111</v>
      </c>
      <c r="C580" s="346">
        <v>242811</v>
      </c>
      <c r="D580" s="345" t="s">
        <v>944</v>
      </c>
      <c r="E580" s="347" t="s">
        <v>4240</v>
      </c>
      <c r="F580" s="343" t="s">
        <v>1115</v>
      </c>
      <c r="I580" s="345">
        <v>1</v>
      </c>
      <c r="J580" s="347" t="s">
        <v>1702</v>
      </c>
      <c r="K580" s="345">
        <v>2021</v>
      </c>
      <c r="L580" s="347"/>
      <c r="M580" s="347"/>
      <c r="N580" s="347" t="s">
        <v>4445</v>
      </c>
      <c r="O580" s="347" t="s">
        <v>4441</v>
      </c>
      <c r="P580" s="347" t="s">
        <v>4482</v>
      </c>
      <c r="Q580" s="347"/>
      <c r="R580" s="347"/>
      <c r="S580" s="348">
        <v>44196</v>
      </c>
      <c r="T580" s="348">
        <v>44196</v>
      </c>
      <c r="U580" s="347" t="s">
        <v>1703</v>
      </c>
      <c r="V580" s="345">
        <v>1000</v>
      </c>
      <c r="W580" s="345">
        <v>14040</v>
      </c>
      <c r="X580" s="349">
        <v>368546.11</v>
      </c>
      <c r="Y580" s="345">
        <v>14046</v>
      </c>
      <c r="Z580" s="349">
        <v>138204.81</v>
      </c>
      <c r="AA580" s="349">
        <f t="shared" si="93"/>
        <v>230341.3</v>
      </c>
      <c r="AB580" s="349">
        <v>27640.98</v>
      </c>
      <c r="AC580" s="345">
        <v>51260</v>
      </c>
      <c r="AD580" s="349">
        <v>3071.22</v>
      </c>
      <c r="AE580" s="345" t="s">
        <v>944</v>
      </c>
      <c r="AF580" s="347"/>
      <c r="AG580" s="347">
        <v>866</v>
      </c>
      <c r="AH580" s="347" t="s">
        <v>57</v>
      </c>
      <c r="AI580" s="347" t="s">
        <v>4442</v>
      </c>
      <c r="AJ580" s="347" t="s">
        <v>4443</v>
      </c>
      <c r="AK580" s="347" t="s">
        <v>4437</v>
      </c>
      <c r="AL580" s="387">
        <v>45574</v>
      </c>
    </row>
    <row r="581" spans="2:38" ht="15.75" outlineLevel="1">
      <c r="B581" s="345">
        <v>2111</v>
      </c>
      <c r="C581" s="346">
        <v>242372</v>
      </c>
      <c r="D581" s="345" t="s">
        <v>944</v>
      </c>
      <c r="E581" s="347" t="s">
        <v>4240</v>
      </c>
      <c r="F581" s="343" t="s">
        <v>1704</v>
      </c>
      <c r="I581" s="345">
        <v>170</v>
      </c>
      <c r="J581" s="347"/>
      <c r="K581" s="345">
        <v>0</v>
      </c>
      <c r="L581" s="347" t="s">
        <v>1684</v>
      </c>
      <c r="M581" s="347"/>
      <c r="N581" s="347" t="s">
        <v>4451</v>
      </c>
      <c r="O581" s="347" t="s">
        <v>4441</v>
      </c>
      <c r="P581" s="347"/>
      <c r="Q581" s="347"/>
      <c r="R581" s="347"/>
      <c r="S581" s="348">
        <v>44109</v>
      </c>
      <c r="T581" s="348">
        <v>44109</v>
      </c>
      <c r="U581" s="347" t="s">
        <v>1705</v>
      </c>
      <c r="V581" s="345">
        <v>500</v>
      </c>
      <c r="W581" s="345">
        <v>14070</v>
      </c>
      <c r="X581" s="349">
        <v>141491.31</v>
      </c>
      <c r="Y581" s="345">
        <v>14076</v>
      </c>
      <c r="Z581" s="349">
        <v>113193.06</v>
      </c>
      <c r="AA581" s="349">
        <f t="shared" si="93"/>
        <v>28298.25</v>
      </c>
      <c r="AB581" s="349">
        <v>21223.71</v>
      </c>
      <c r="AC581" s="345">
        <v>51260</v>
      </c>
      <c r="AD581" s="349">
        <v>2358.19</v>
      </c>
      <c r="AE581" s="345" t="s">
        <v>944</v>
      </c>
      <c r="AF581" s="347"/>
      <c r="AG581" s="347"/>
      <c r="AH581" s="347" t="s">
        <v>57</v>
      </c>
      <c r="AI581" s="347" t="s">
        <v>4442</v>
      </c>
      <c r="AJ581" s="347" t="s">
        <v>4443</v>
      </c>
      <c r="AK581" s="347" t="s">
        <v>4437</v>
      </c>
      <c r="AL581" s="387">
        <v>45574</v>
      </c>
    </row>
    <row r="582" spans="2:38" ht="15.75" outlineLevel="1">
      <c r="B582" s="345">
        <v>2111</v>
      </c>
      <c r="C582" s="346">
        <v>241359</v>
      </c>
      <c r="D582" s="345" t="s">
        <v>944</v>
      </c>
      <c r="E582" s="347" t="s">
        <v>4240</v>
      </c>
      <c r="F582" s="343" t="s">
        <v>1706</v>
      </c>
      <c r="I582" s="345">
        <v>702</v>
      </c>
      <c r="J582" s="347"/>
      <c r="K582" s="345">
        <v>0</v>
      </c>
      <c r="L582" s="347" t="s">
        <v>1462</v>
      </c>
      <c r="M582" s="347"/>
      <c r="N582" s="347" t="s">
        <v>4446</v>
      </c>
      <c r="O582" s="347" t="s">
        <v>4441</v>
      </c>
      <c r="P582" s="347"/>
      <c r="Q582" s="347"/>
      <c r="R582" s="347"/>
      <c r="S582" s="348">
        <v>44114</v>
      </c>
      <c r="T582" s="348">
        <v>44114</v>
      </c>
      <c r="U582" s="347" t="s">
        <v>1707</v>
      </c>
      <c r="V582" s="345">
        <v>700</v>
      </c>
      <c r="W582" s="345">
        <v>14050</v>
      </c>
      <c r="X582" s="349">
        <v>31276.53</v>
      </c>
      <c r="Y582" s="345">
        <v>14056</v>
      </c>
      <c r="Z582" s="349">
        <v>17872.32</v>
      </c>
      <c r="AA582" s="349">
        <f t="shared" si="93"/>
        <v>13404.21</v>
      </c>
      <c r="AB582" s="349">
        <v>3351.06</v>
      </c>
      <c r="AC582" s="345">
        <v>54260</v>
      </c>
      <c r="AD582" s="349">
        <v>372.34</v>
      </c>
      <c r="AE582" s="345" t="s">
        <v>944</v>
      </c>
      <c r="AF582" s="347"/>
      <c r="AG582" s="347"/>
      <c r="AH582" s="347" t="s">
        <v>57</v>
      </c>
      <c r="AI582" s="347" t="s">
        <v>4442</v>
      </c>
      <c r="AJ582" s="347" t="s">
        <v>4443</v>
      </c>
      <c r="AK582" s="347" t="s">
        <v>4437</v>
      </c>
      <c r="AL582" s="387">
        <v>45574</v>
      </c>
    </row>
    <row r="583" spans="2:38" ht="15.75" outlineLevel="1">
      <c r="B583" s="345">
        <v>2111</v>
      </c>
      <c r="C583" s="346">
        <v>241358</v>
      </c>
      <c r="D583" s="345" t="s">
        <v>944</v>
      </c>
      <c r="E583" s="347" t="s">
        <v>4240</v>
      </c>
      <c r="F583" s="343" t="s">
        <v>1708</v>
      </c>
      <c r="I583" s="345">
        <v>702</v>
      </c>
      <c r="J583" s="347"/>
      <c r="K583" s="345">
        <v>0</v>
      </c>
      <c r="L583" s="347" t="s">
        <v>1462</v>
      </c>
      <c r="M583" s="347"/>
      <c r="N583" s="347" t="s">
        <v>4446</v>
      </c>
      <c r="O583" s="347" t="s">
        <v>4441</v>
      </c>
      <c r="P583" s="347"/>
      <c r="Q583" s="347"/>
      <c r="R583" s="347"/>
      <c r="S583" s="348">
        <v>44114</v>
      </c>
      <c r="T583" s="348">
        <v>44114</v>
      </c>
      <c r="U583" s="347" t="s">
        <v>1707</v>
      </c>
      <c r="V583" s="345">
        <v>700</v>
      </c>
      <c r="W583" s="345">
        <v>14050</v>
      </c>
      <c r="X583" s="349">
        <v>31276.53</v>
      </c>
      <c r="Y583" s="345">
        <v>14056</v>
      </c>
      <c r="Z583" s="349">
        <v>17872.32</v>
      </c>
      <c r="AA583" s="349">
        <f t="shared" si="93"/>
        <v>13404.21</v>
      </c>
      <c r="AB583" s="349">
        <v>3351.06</v>
      </c>
      <c r="AC583" s="345">
        <v>54260</v>
      </c>
      <c r="AD583" s="349">
        <v>372.34</v>
      </c>
      <c r="AE583" s="345" t="s">
        <v>944</v>
      </c>
      <c r="AF583" s="347"/>
      <c r="AG583" s="347"/>
      <c r="AH583" s="347" t="s">
        <v>57</v>
      </c>
      <c r="AI583" s="347" t="s">
        <v>4442</v>
      </c>
      <c r="AJ583" s="347" t="s">
        <v>4443</v>
      </c>
      <c r="AK583" s="347" t="s">
        <v>4437</v>
      </c>
      <c r="AL583" s="387">
        <v>45574</v>
      </c>
    </row>
    <row r="584" spans="2:38" ht="15.75" outlineLevel="1">
      <c r="B584" s="345">
        <v>2111</v>
      </c>
      <c r="C584" s="346">
        <v>241357</v>
      </c>
      <c r="D584" s="345" t="s">
        <v>944</v>
      </c>
      <c r="E584" s="347" t="s">
        <v>4240</v>
      </c>
      <c r="F584" s="343" t="s">
        <v>1706</v>
      </c>
      <c r="I584" s="345">
        <v>702</v>
      </c>
      <c r="J584" s="347"/>
      <c r="K584" s="345">
        <v>0</v>
      </c>
      <c r="L584" s="347" t="s">
        <v>1462</v>
      </c>
      <c r="M584" s="347"/>
      <c r="N584" s="347" t="s">
        <v>4446</v>
      </c>
      <c r="O584" s="347" t="s">
        <v>4441</v>
      </c>
      <c r="P584" s="347"/>
      <c r="Q584" s="347"/>
      <c r="R584" s="347"/>
      <c r="S584" s="348">
        <v>44114</v>
      </c>
      <c r="T584" s="348">
        <v>44114</v>
      </c>
      <c r="U584" s="347" t="s">
        <v>1707</v>
      </c>
      <c r="V584" s="345">
        <v>700</v>
      </c>
      <c r="W584" s="345">
        <v>14050</v>
      </c>
      <c r="X584" s="349">
        <v>31276.53</v>
      </c>
      <c r="Y584" s="345">
        <v>14056</v>
      </c>
      <c r="Z584" s="349">
        <v>17872.32</v>
      </c>
      <c r="AA584" s="349">
        <f t="shared" si="93"/>
        <v>13404.21</v>
      </c>
      <c r="AB584" s="349">
        <v>3351.06</v>
      </c>
      <c r="AC584" s="345">
        <v>54260</v>
      </c>
      <c r="AD584" s="349">
        <v>372.34</v>
      </c>
      <c r="AE584" s="345" t="s">
        <v>944</v>
      </c>
      <c r="AF584" s="347"/>
      <c r="AG584" s="347"/>
      <c r="AH584" s="347" t="s">
        <v>57</v>
      </c>
      <c r="AI584" s="347" t="s">
        <v>4442</v>
      </c>
      <c r="AJ584" s="347" t="s">
        <v>4443</v>
      </c>
      <c r="AK584" s="347" t="s">
        <v>4437</v>
      </c>
      <c r="AL584" s="387">
        <v>45574</v>
      </c>
    </row>
    <row r="585" spans="2:38" ht="15.75" outlineLevel="1">
      <c r="B585" s="345">
        <v>2111</v>
      </c>
      <c r="C585" s="346">
        <v>241356</v>
      </c>
      <c r="D585" s="345" t="s">
        <v>944</v>
      </c>
      <c r="E585" s="347" t="s">
        <v>4240</v>
      </c>
      <c r="F585" s="343" t="s">
        <v>1708</v>
      </c>
      <c r="I585" s="345">
        <v>702</v>
      </c>
      <c r="J585" s="347"/>
      <c r="K585" s="345">
        <v>0</v>
      </c>
      <c r="L585" s="347" t="s">
        <v>1462</v>
      </c>
      <c r="M585" s="347"/>
      <c r="N585" s="347" t="s">
        <v>4446</v>
      </c>
      <c r="O585" s="347" t="s">
        <v>4441</v>
      </c>
      <c r="P585" s="347"/>
      <c r="Q585" s="347"/>
      <c r="R585" s="347"/>
      <c r="S585" s="348">
        <v>44090</v>
      </c>
      <c r="T585" s="348">
        <v>44090</v>
      </c>
      <c r="U585" s="347" t="s">
        <v>1709</v>
      </c>
      <c r="V585" s="345">
        <v>700</v>
      </c>
      <c r="W585" s="345">
        <v>14050</v>
      </c>
      <c r="X585" s="349">
        <v>30505.03</v>
      </c>
      <c r="Y585" s="345">
        <v>14056</v>
      </c>
      <c r="Z585" s="349">
        <v>17431.490000000002</v>
      </c>
      <c r="AA585" s="349">
        <f t="shared" si="93"/>
        <v>13073.539999999997</v>
      </c>
      <c r="AB585" s="349">
        <v>3268.44</v>
      </c>
      <c r="AC585" s="345">
        <v>54260</v>
      </c>
      <c r="AD585" s="349">
        <v>363.16</v>
      </c>
      <c r="AE585" s="345" t="s">
        <v>944</v>
      </c>
      <c r="AF585" s="347"/>
      <c r="AG585" s="347"/>
      <c r="AH585" s="347" t="s">
        <v>57</v>
      </c>
      <c r="AI585" s="347" t="s">
        <v>4442</v>
      </c>
      <c r="AJ585" s="347" t="s">
        <v>4443</v>
      </c>
      <c r="AK585" s="347" t="s">
        <v>4437</v>
      </c>
      <c r="AL585" s="387">
        <v>45574</v>
      </c>
    </row>
    <row r="586" spans="2:38" ht="15.75" outlineLevel="1">
      <c r="B586" s="345">
        <v>2111</v>
      </c>
      <c r="C586" s="346">
        <v>241355</v>
      </c>
      <c r="D586" s="345" t="s">
        <v>944</v>
      </c>
      <c r="E586" s="347" t="s">
        <v>4240</v>
      </c>
      <c r="F586" s="343" t="s">
        <v>1706</v>
      </c>
      <c r="I586" s="345">
        <v>702</v>
      </c>
      <c r="J586" s="347"/>
      <c r="K586" s="345">
        <v>0</v>
      </c>
      <c r="L586" s="347" t="s">
        <v>1462</v>
      </c>
      <c r="M586" s="347"/>
      <c r="N586" s="347" t="s">
        <v>4446</v>
      </c>
      <c r="O586" s="347" t="s">
        <v>4441</v>
      </c>
      <c r="P586" s="347"/>
      <c r="Q586" s="347"/>
      <c r="R586" s="347"/>
      <c r="S586" s="348">
        <v>44090</v>
      </c>
      <c r="T586" s="348">
        <v>44090</v>
      </c>
      <c r="U586" s="347" t="s">
        <v>1709</v>
      </c>
      <c r="V586" s="345">
        <v>700</v>
      </c>
      <c r="W586" s="345">
        <v>14050</v>
      </c>
      <c r="X586" s="349">
        <v>30505.03</v>
      </c>
      <c r="Y586" s="345">
        <v>14056</v>
      </c>
      <c r="Z586" s="349">
        <v>17431.490000000002</v>
      </c>
      <c r="AA586" s="349">
        <f t="shared" si="93"/>
        <v>13073.539999999997</v>
      </c>
      <c r="AB586" s="349">
        <v>3268.44</v>
      </c>
      <c r="AC586" s="345">
        <v>54260</v>
      </c>
      <c r="AD586" s="349">
        <v>363.16</v>
      </c>
      <c r="AE586" s="345" t="s">
        <v>944</v>
      </c>
      <c r="AF586" s="347"/>
      <c r="AG586" s="347"/>
      <c r="AH586" s="347" t="s">
        <v>57</v>
      </c>
      <c r="AI586" s="347" t="s">
        <v>4442</v>
      </c>
      <c r="AJ586" s="347" t="s">
        <v>4443</v>
      </c>
      <c r="AK586" s="347" t="s">
        <v>4437</v>
      </c>
      <c r="AL586" s="387">
        <v>45574</v>
      </c>
    </row>
    <row r="587" spans="2:38" ht="15.75" outlineLevel="1">
      <c r="B587" s="345">
        <v>2111</v>
      </c>
      <c r="C587" s="346">
        <v>241354</v>
      </c>
      <c r="D587" s="345" t="s">
        <v>944</v>
      </c>
      <c r="E587" s="347" t="s">
        <v>4240</v>
      </c>
      <c r="F587" s="343" t="s">
        <v>1710</v>
      </c>
      <c r="I587" s="345">
        <v>936</v>
      </c>
      <c r="J587" s="347"/>
      <c r="K587" s="345">
        <v>0</v>
      </c>
      <c r="L587" s="347" t="s">
        <v>1462</v>
      </c>
      <c r="M587" s="347"/>
      <c r="N587" s="347" t="s">
        <v>4446</v>
      </c>
      <c r="O587" s="347" t="s">
        <v>4441</v>
      </c>
      <c r="P587" s="347"/>
      <c r="Q587" s="347"/>
      <c r="R587" s="347"/>
      <c r="S587" s="348">
        <v>44090</v>
      </c>
      <c r="T587" s="348">
        <v>44090</v>
      </c>
      <c r="U587" s="347" t="s">
        <v>1709</v>
      </c>
      <c r="V587" s="345">
        <v>700</v>
      </c>
      <c r="W587" s="345">
        <v>14050</v>
      </c>
      <c r="X587" s="349">
        <v>34912.86</v>
      </c>
      <c r="Y587" s="345">
        <v>14056</v>
      </c>
      <c r="Z587" s="349">
        <v>19950.21</v>
      </c>
      <c r="AA587" s="349">
        <f t="shared" si="93"/>
        <v>14962.650000000001</v>
      </c>
      <c r="AB587" s="349">
        <v>3740.67</v>
      </c>
      <c r="AC587" s="345">
        <v>54260</v>
      </c>
      <c r="AD587" s="349">
        <v>415.63</v>
      </c>
      <c r="AE587" s="345" t="s">
        <v>944</v>
      </c>
      <c r="AF587" s="347"/>
      <c r="AG587" s="347"/>
      <c r="AH587" s="347" t="s">
        <v>57</v>
      </c>
      <c r="AI587" s="347" t="s">
        <v>4442</v>
      </c>
      <c r="AJ587" s="347" t="s">
        <v>4443</v>
      </c>
      <c r="AK587" s="347" t="s">
        <v>4437</v>
      </c>
      <c r="AL587" s="387">
        <v>45574</v>
      </c>
    </row>
    <row r="588" spans="2:38" ht="15.75" outlineLevel="1">
      <c r="B588" s="345">
        <v>2111</v>
      </c>
      <c r="C588" s="346">
        <v>241232</v>
      </c>
      <c r="D588" s="345" t="s">
        <v>944</v>
      </c>
      <c r="E588" s="347" t="s">
        <v>4240</v>
      </c>
      <c r="F588" s="343" t="s">
        <v>1711</v>
      </c>
      <c r="I588" s="345">
        <v>1</v>
      </c>
      <c r="J588" s="347" t="s">
        <v>1649</v>
      </c>
      <c r="K588" s="345">
        <v>2020</v>
      </c>
      <c r="L588" s="347"/>
      <c r="M588" s="347"/>
      <c r="N588" s="347" t="s">
        <v>4445</v>
      </c>
      <c r="O588" s="347" t="s">
        <v>4441</v>
      </c>
      <c r="P588" s="347" t="s">
        <v>4482</v>
      </c>
      <c r="Q588" s="347"/>
      <c r="R588" s="347"/>
      <c r="S588" s="348">
        <v>44150</v>
      </c>
      <c r="T588" s="348">
        <v>44150</v>
      </c>
      <c r="U588" s="347" t="s">
        <v>1712</v>
      </c>
      <c r="V588" s="345">
        <v>1000</v>
      </c>
      <c r="W588" s="345">
        <v>14040</v>
      </c>
      <c r="X588" s="349">
        <v>62863.22</v>
      </c>
      <c r="Y588" s="345">
        <v>14046</v>
      </c>
      <c r="Z588" s="349">
        <v>62863.22</v>
      </c>
      <c r="AA588" s="349">
        <f t="shared" si="93"/>
        <v>0</v>
      </c>
      <c r="AB588" s="349">
        <v>4599.75</v>
      </c>
      <c r="AC588" s="345">
        <v>51260</v>
      </c>
      <c r="AD588" s="349">
        <v>0</v>
      </c>
      <c r="AE588" s="345" t="s">
        <v>944</v>
      </c>
      <c r="AF588" s="347"/>
      <c r="AG588" s="347">
        <v>867</v>
      </c>
      <c r="AH588" s="347" t="s">
        <v>57</v>
      </c>
      <c r="AI588" s="347" t="s">
        <v>4442</v>
      </c>
      <c r="AJ588" s="347" t="s">
        <v>4443</v>
      </c>
      <c r="AK588" s="347" t="s">
        <v>4437</v>
      </c>
      <c r="AL588" s="387">
        <v>45574</v>
      </c>
    </row>
    <row r="589" spans="2:38" ht="15.75" outlineLevel="1">
      <c r="B589" s="345">
        <v>2111</v>
      </c>
      <c r="C589" s="346">
        <v>240769</v>
      </c>
      <c r="D589" s="345">
        <v>25363</v>
      </c>
      <c r="E589" s="347" t="s">
        <v>4240</v>
      </c>
      <c r="F589" s="343" t="s">
        <v>1713</v>
      </c>
      <c r="I589" s="345">
        <v>1</v>
      </c>
      <c r="J589" s="347"/>
      <c r="K589" s="345">
        <v>0</v>
      </c>
      <c r="L589" s="347" t="s">
        <v>1466</v>
      </c>
      <c r="M589" s="347"/>
      <c r="N589" s="347" t="s">
        <v>4445</v>
      </c>
      <c r="O589" s="347" t="s">
        <v>4441</v>
      </c>
      <c r="P589" s="347" t="s">
        <v>1467</v>
      </c>
      <c r="Q589" s="347"/>
      <c r="R589" s="347"/>
      <c r="S589" s="348">
        <v>44106</v>
      </c>
      <c r="T589" s="348">
        <v>44106</v>
      </c>
      <c r="U589" s="347" t="s">
        <v>1714</v>
      </c>
      <c r="V589" s="345">
        <v>300</v>
      </c>
      <c r="W589" s="345">
        <v>14040</v>
      </c>
      <c r="X589" s="349">
        <v>15474.16</v>
      </c>
      <c r="Y589" s="345">
        <v>14046</v>
      </c>
      <c r="Z589" s="349">
        <v>15474.16</v>
      </c>
      <c r="AA589" s="349">
        <f t="shared" si="93"/>
        <v>0</v>
      </c>
      <c r="AB589" s="349">
        <v>0</v>
      </c>
      <c r="AC589" s="345">
        <v>51260</v>
      </c>
      <c r="AD589" s="349">
        <v>0</v>
      </c>
      <c r="AE589" s="345" t="s">
        <v>944</v>
      </c>
      <c r="AF589" s="347"/>
      <c r="AG589" s="347"/>
      <c r="AH589" s="347" t="s">
        <v>57</v>
      </c>
      <c r="AI589" s="347" t="s">
        <v>4442</v>
      </c>
      <c r="AJ589" s="347" t="s">
        <v>4443</v>
      </c>
      <c r="AK589" s="347" t="s">
        <v>4437</v>
      </c>
      <c r="AL589" s="387">
        <v>45574</v>
      </c>
    </row>
    <row r="590" spans="2:38" ht="15.75" outlineLevel="1">
      <c r="B590" s="345">
        <v>2111</v>
      </c>
      <c r="C590" s="346">
        <v>240722</v>
      </c>
      <c r="D590" s="345">
        <v>240721</v>
      </c>
      <c r="E590" s="347" t="s">
        <v>4240</v>
      </c>
      <c r="F590" s="343" t="s">
        <v>1109</v>
      </c>
      <c r="I590" s="345">
        <v>1</v>
      </c>
      <c r="J590" s="347"/>
      <c r="K590" s="345">
        <v>0</v>
      </c>
      <c r="L590" s="347" t="s">
        <v>1657</v>
      </c>
      <c r="M590" s="347"/>
      <c r="N590" s="347" t="s">
        <v>4440</v>
      </c>
      <c r="O590" s="347" t="s">
        <v>4441</v>
      </c>
      <c r="P590" s="347"/>
      <c r="Q590" s="347"/>
      <c r="R590" s="347"/>
      <c r="S590" s="348">
        <v>44124</v>
      </c>
      <c r="T590" s="348">
        <v>44124</v>
      </c>
      <c r="U590" s="347" t="s">
        <v>1716</v>
      </c>
      <c r="V590" s="345">
        <v>300</v>
      </c>
      <c r="W590" s="345">
        <v>14110</v>
      </c>
      <c r="X590" s="349">
        <v>268.06</v>
      </c>
      <c r="Y590" s="345">
        <v>14116</v>
      </c>
      <c r="Z590" s="349">
        <v>268.06</v>
      </c>
      <c r="AA590" s="349">
        <f t="shared" si="93"/>
        <v>0</v>
      </c>
      <c r="AB590" s="349">
        <v>0</v>
      </c>
      <c r="AC590" s="345">
        <v>70260</v>
      </c>
      <c r="AD590" s="349">
        <v>0</v>
      </c>
      <c r="AE590" s="345" t="s">
        <v>944</v>
      </c>
      <c r="AF590" s="347"/>
      <c r="AG590" s="347"/>
      <c r="AH590" s="347" t="s">
        <v>57</v>
      </c>
      <c r="AI590" s="347" t="s">
        <v>4442</v>
      </c>
      <c r="AJ590" s="347" t="s">
        <v>4443</v>
      </c>
      <c r="AK590" s="347" t="s">
        <v>4437</v>
      </c>
      <c r="AL590" s="387">
        <v>45574</v>
      </c>
    </row>
    <row r="591" spans="2:38" ht="15.75" outlineLevel="1">
      <c r="B591" s="345">
        <v>2111</v>
      </c>
      <c r="C591" s="346">
        <v>240721</v>
      </c>
      <c r="D591" s="345" t="s">
        <v>944</v>
      </c>
      <c r="E591" s="347" t="s">
        <v>4240</v>
      </c>
      <c r="F591" s="343" t="s">
        <v>1108</v>
      </c>
      <c r="I591" s="345">
        <v>1</v>
      </c>
      <c r="J591" s="347"/>
      <c r="K591" s="345">
        <v>0</v>
      </c>
      <c r="L591" s="347" t="s">
        <v>1657</v>
      </c>
      <c r="M591" s="347"/>
      <c r="N591" s="347" t="s">
        <v>4440</v>
      </c>
      <c r="O591" s="347" t="s">
        <v>4441</v>
      </c>
      <c r="P591" s="347"/>
      <c r="Q591" s="347"/>
      <c r="R591" s="347"/>
      <c r="S591" s="348">
        <v>44124</v>
      </c>
      <c r="T591" s="348">
        <v>44124</v>
      </c>
      <c r="U591" s="347" t="s">
        <v>1716</v>
      </c>
      <c r="V591" s="345">
        <v>300</v>
      </c>
      <c r="W591" s="345">
        <v>14110</v>
      </c>
      <c r="X591" s="349">
        <v>1282.6600000000001</v>
      </c>
      <c r="Y591" s="345">
        <v>14116</v>
      </c>
      <c r="Z591" s="349">
        <v>1282.6600000000001</v>
      </c>
      <c r="AA591" s="349">
        <f t="shared" si="93"/>
        <v>0</v>
      </c>
      <c r="AB591" s="349">
        <v>0</v>
      </c>
      <c r="AC591" s="345">
        <v>70260</v>
      </c>
      <c r="AD591" s="349">
        <v>0</v>
      </c>
      <c r="AE591" s="345" t="s">
        <v>944</v>
      </c>
      <c r="AF591" s="347"/>
      <c r="AG591" s="347"/>
      <c r="AH591" s="347" t="s">
        <v>57</v>
      </c>
      <c r="AI591" s="347" t="s">
        <v>4442</v>
      </c>
      <c r="AJ591" s="347" t="s">
        <v>4443</v>
      </c>
      <c r="AK591" s="347" t="s">
        <v>4437</v>
      </c>
      <c r="AL591" s="387">
        <v>45574</v>
      </c>
    </row>
    <row r="592" spans="2:38" ht="15.75" outlineLevel="1">
      <c r="B592" s="345">
        <v>2111</v>
      </c>
      <c r="C592" s="346">
        <v>240720</v>
      </c>
      <c r="D592" s="345" t="s">
        <v>944</v>
      </c>
      <c r="E592" s="347" t="s">
        <v>4240</v>
      </c>
      <c r="F592" s="343" t="s">
        <v>1106</v>
      </c>
      <c r="I592" s="345">
        <v>1</v>
      </c>
      <c r="J592" s="347"/>
      <c r="K592" s="345">
        <v>0</v>
      </c>
      <c r="L592" s="347" t="s">
        <v>1657</v>
      </c>
      <c r="M592" s="347"/>
      <c r="N592" s="347" t="s">
        <v>4440</v>
      </c>
      <c r="O592" s="347" t="s">
        <v>4441</v>
      </c>
      <c r="P592" s="347"/>
      <c r="Q592" s="347"/>
      <c r="R592" s="347"/>
      <c r="S592" s="348">
        <v>44123</v>
      </c>
      <c r="T592" s="348">
        <v>44123</v>
      </c>
      <c r="U592" s="347" t="s">
        <v>1717</v>
      </c>
      <c r="V592" s="345">
        <v>300</v>
      </c>
      <c r="W592" s="345">
        <v>14110</v>
      </c>
      <c r="X592" s="349">
        <v>1187.67</v>
      </c>
      <c r="Y592" s="345">
        <v>14116</v>
      </c>
      <c r="Z592" s="349">
        <v>1187.67</v>
      </c>
      <c r="AA592" s="349">
        <f t="shared" si="93"/>
        <v>0</v>
      </c>
      <c r="AB592" s="349">
        <v>0</v>
      </c>
      <c r="AC592" s="345">
        <v>70260</v>
      </c>
      <c r="AD592" s="349">
        <v>0</v>
      </c>
      <c r="AE592" s="345" t="s">
        <v>944</v>
      </c>
      <c r="AF592" s="347"/>
      <c r="AG592" s="347"/>
      <c r="AH592" s="347" t="s">
        <v>57</v>
      </c>
      <c r="AI592" s="347" t="s">
        <v>4442</v>
      </c>
      <c r="AJ592" s="347" t="s">
        <v>4443</v>
      </c>
      <c r="AK592" s="347" t="s">
        <v>4437</v>
      </c>
      <c r="AL592" s="387">
        <v>45574</v>
      </c>
    </row>
    <row r="593" spans="2:38" ht="15.75" outlineLevel="1">
      <c r="B593" s="345">
        <v>2111</v>
      </c>
      <c r="C593" s="346">
        <v>240719</v>
      </c>
      <c r="D593" s="345">
        <v>240720</v>
      </c>
      <c r="E593" s="347" t="s">
        <v>4240</v>
      </c>
      <c r="F593" s="343" t="s">
        <v>1105</v>
      </c>
      <c r="I593" s="345">
        <v>1</v>
      </c>
      <c r="J593" s="347"/>
      <c r="K593" s="345">
        <v>0</v>
      </c>
      <c r="L593" s="347" t="s">
        <v>1657</v>
      </c>
      <c r="M593" s="347"/>
      <c r="N593" s="347" t="s">
        <v>4440</v>
      </c>
      <c r="O593" s="347" t="s">
        <v>4441</v>
      </c>
      <c r="P593" s="347"/>
      <c r="Q593" s="347"/>
      <c r="R593" s="347"/>
      <c r="S593" s="348">
        <v>44123</v>
      </c>
      <c r="T593" s="348">
        <v>44123</v>
      </c>
      <c r="U593" s="347" t="s">
        <v>1717</v>
      </c>
      <c r="V593" s="345">
        <v>300</v>
      </c>
      <c r="W593" s="345">
        <v>14110</v>
      </c>
      <c r="X593" s="349">
        <v>375.84</v>
      </c>
      <c r="Y593" s="345">
        <v>14116</v>
      </c>
      <c r="Z593" s="349">
        <v>375.84</v>
      </c>
      <c r="AA593" s="349">
        <f t="shared" si="93"/>
        <v>0</v>
      </c>
      <c r="AB593" s="349">
        <v>0</v>
      </c>
      <c r="AC593" s="345">
        <v>70260</v>
      </c>
      <c r="AD593" s="349">
        <v>0</v>
      </c>
      <c r="AE593" s="345" t="s">
        <v>944</v>
      </c>
      <c r="AF593" s="347"/>
      <c r="AG593" s="347"/>
      <c r="AH593" s="347" t="s">
        <v>57</v>
      </c>
      <c r="AI593" s="347" t="s">
        <v>4442</v>
      </c>
      <c r="AJ593" s="347" t="s">
        <v>4443</v>
      </c>
      <c r="AK593" s="347" t="s">
        <v>4437</v>
      </c>
      <c r="AL593" s="387">
        <v>45574</v>
      </c>
    </row>
    <row r="594" spans="2:38" ht="15.75" outlineLevel="1">
      <c r="B594" s="345">
        <v>2111</v>
      </c>
      <c r="C594" s="346">
        <v>240650</v>
      </c>
      <c r="D594" s="345">
        <v>235097</v>
      </c>
      <c r="E594" s="347" t="s">
        <v>4240</v>
      </c>
      <c r="F594" s="343" t="s">
        <v>1718</v>
      </c>
      <c r="I594" s="345">
        <v>1</v>
      </c>
      <c r="J594" s="347"/>
      <c r="K594" s="345">
        <v>0</v>
      </c>
      <c r="L594" s="347" t="s">
        <v>1554</v>
      </c>
      <c r="M594" s="347"/>
      <c r="N594" s="347" t="s">
        <v>4445</v>
      </c>
      <c r="O594" s="347" t="s">
        <v>4441</v>
      </c>
      <c r="P594" s="347" t="s">
        <v>1467</v>
      </c>
      <c r="Q594" s="347"/>
      <c r="R594" s="347"/>
      <c r="S594" s="348">
        <v>44111</v>
      </c>
      <c r="T594" s="348">
        <v>44111</v>
      </c>
      <c r="U594" s="347" t="s">
        <v>1696</v>
      </c>
      <c r="V594" s="345">
        <v>1000</v>
      </c>
      <c r="W594" s="345">
        <v>14040</v>
      </c>
      <c r="X594" s="349">
        <v>1071.72</v>
      </c>
      <c r="Y594" s="345">
        <v>14046</v>
      </c>
      <c r="Z594" s="349">
        <v>428.67</v>
      </c>
      <c r="AA594" s="349">
        <f t="shared" si="93"/>
        <v>643.04999999999995</v>
      </c>
      <c r="AB594" s="349">
        <v>80.37</v>
      </c>
      <c r="AC594" s="345">
        <v>51260</v>
      </c>
      <c r="AD594" s="349">
        <v>8.93</v>
      </c>
      <c r="AE594" s="345" t="s">
        <v>944</v>
      </c>
      <c r="AF594" s="347"/>
      <c r="AG594" s="347"/>
      <c r="AH594" s="347" t="s">
        <v>57</v>
      </c>
      <c r="AI594" s="347" t="s">
        <v>4442</v>
      </c>
      <c r="AJ594" s="347" t="s">
        <v>4443</v>
      </c>
      <c r="AK594" s="347" t="s">
        <v>4437</v>
      </c>
      <c r="AL594" s="387">
        <v>45574</v>
      </c>
    </row>
    <row r="595" spans="2:38" ht="15.75" outlineLevel="1">
      <c r="B595" s="345">
        <v>2111</v>
      </c>
      <c r="C595" s="346">
        <v>240360</v>
      </c>
      <c r="D595" s="345" t="s">
        <v>944</v>
      </c>
      <c r="E595" s="347" t="s">
        <v>4240</v>
      </c>
      <c r="F595" s="343" t="s">
        <v>1101</v>
      </c>
      <c r="I595" s="345">
        <v>185</v>
      </c>
      <c r="J595" s="347"/>
      <c r="K595" s="345">
        <v>0</v>
      </c>
      <c r="L595" s="347" t="s">
        <v>1720</v>
      </c>
      <c r="M595" s="347"/>
      <c r="N595" s="347" t="s">
        <v>4440</v>
      </c>
      <c r="O595" s="347" t="s">
        <v>4441</v>
      </c>
      <c r="P595" s="347"/>
      <c r="Q595" s="347"/>
      <c r="R595" s="347"/>
      <c r="S595" s="348">
        <v>44060</v>
      </c>
      <c r="T595" s="348">
        <v>44060</v>
      </c>
      <c r="U595" s="347" t="s">
        <v>1721</v>
      </c>
      <c r="V595" s="345">
        <v>100</v>
      </c>
      <c r="W595" s="345">
        <v>14110</v>
      </c>
      <c r="X595" s="349">
        <v>17843.14</v>
      </c>
      <c r="Y595" s="345">
        <v>14116</v>
      </c>
      <c r="Z595" s="349">
        <v>17843.14</v>
      </c>
      <c r="AA595" s="349">
        <f t="shared" si="93"/>
        <v>0</v>
      </c>
      <c r="AB595" s="349">
        <v>0</v>
      </c>
      <c r="AC595" s="345">
        <v>70260</v>
      </c>
      <c r="AD595" s="349">
        <v>0</v>
      </c>
      <c r="AE595" s="345" t="s">
        <v>944</v>
      </c>
      <c r="AF595" s="347"/>
      <c r="AG595" s="347"/>
      <c r="AH595" s="347" t="s">
        <v>57</v>
      </c>
      <c r="AI595" s="347" t="s">
        <v>4442</v>
      </c>
      <c r="AJ595" s="347" t="s">
        <v>4443</v>
      </c>
      <c r="AK595" s="347" t="s">
        <v>4437</v>
      </c>
      <c r="AL595" s="387">
        <v>45574</v>
      </c>
    </row>
    <row r="596" spans="2:38" ht="15.75" outlineLevel="1">
      <c r="B596" s="345">
        <v>2111</v>
      </c>
      <c r="C596" s="346">
        <v>240340</v>
      </c>
      <c r="D596" s="345" t="s">
        <v>944</v>
      </c>
      <c r="E596" s="347" t="s">
        <v>4240</v>
      </c>
      <c r="F596" s="343" t="s">
        <v>1100</v>
      </c>
      <c r="I596" s="345">
        <v>398</v>
      </c>
      <c r="J596" s="347"/>
      <c r="K596" s="345">
        <v>0</v>
      </c>
      <c r="L596" s="347" t="s">
        <v>1722</v>
      </c>
      <c r="M596" s="347"/>
      <c r="N596" s="347" t="s">
        <v>4446</v>
      </c>
      <c r="O596" s="347" t="s">
        <v>4441</v>
      </c>
      <c r="P596" s="347"/>
      <c r="Q596" s="347"/>
      <c r="R596" s="347"/>
      <c r="S596" s="348">
        <v>44105</v>
      </c>
      <c r="T596" s="348">
        <v>44105</v>
      </c>
      <c r="U596" s="347" t="s">
        <v>1723</v>
      </c>
      <c r="V596" s="345">
        <v>700</v>
      </c>
      <c r="W596" s="345">
        <v>14050</v>
      </c>
      <c r="X596" s="349">
        <v>2652.93</v>
      </c>
      <c r="Y596" s="345">
        <v>14056</v>
      </c>
      <c r="Z596" s="349">
        <v>1515.94</v>
      </c>
      <c r="AA596" s="349">
        <f t="shared" si="93"/>
        <v>1136.9899999999998</v>
      </c>
      <c r="AB596" s="349">
        <v>284.22000000000003</v>
      </c>
      <c r="AC596" s="345">
        <v>54260</v>
      </c>
      <c r="AD596" s="349">
        <v>31.58</v>
      </c>
      <c r="AE596" s="345" t="s">
        <v>944</v>
      </c>
      <c r="AF596" s="347"/>
      <c r="AG596" s="347"/>
      <c r="AH596" s="347" t="s">
        <v>57</v>
      </c>
      <c r="AI596" s="347" t="s">
        <v>4442</v>
      </c>
      <c r="AJ596" s="347" t="s">
        <v>4443</v>
      </c>
      <c r="AK596" s="347" t="s">
        <v>4437</v>
      </c>
      <c r="AL596" s="387">
        <v>45574</v>
      </c>
    </row>
    <row r="597" spans="2:38" ht="15.75" outlineLevel="1">
      <c r="B597" s="345">
        <v>2111</v>
      </c>
      <c r="C597" s="346">
        <v>240339</v>
      </c>
      <c r="D597" s="345" t="s">
        <v>944</v>
      </c>
      <c r="E597" s="347" t="s">
        <v>4240</v>
      </c>
      <c r="F597" s="343" t="s">
        <v>1099</v>
      </c>
      <c r="I597" s="345">
        <v>25</v>
      </c>
      <c r="J597" s="347"/>
      <c r="K597" s="345">
        <v>0</v>
      </c>
      <c r="L597" s="347" t="s">
        <v>1722</v>
      </c>
      <c r="M597" s="347"/>
      <c r="N597" s="347" t="s">
        <v>4446</v>
      </c>
      <c r="O597" s="347" t="s">
        <v>4441</v>
      </c>
      <c r="P597" s="347"/>
      <c r="Q597" s="347"/>
      <c r="R597" s="347"/>
      <c r="S597" s="348">
        <v>44105</v>
      </c>
      <c r="T597" s="348">
        <v>44105</v>
      </c>
      <c r="U597" s="347" t="s">
        <v>1723</v>
      </c>
      <c r="V597" s="345">
        <v>700</v>
      </c>
      <c r="W597" s="345">
        <v>14050</v>
      </c>
      <c r="X597" s="349">
        <v>166.64</v>
      </c>
      <c r="Y597" s="345">
        <v>14056</v>
      </c>
      <c r="Z597" s="349">
        <v>95.2</v>
      </c>
      <c r="AA597" s="349">
        <f t="shared" si="93"/>
        <v>71.439999999999984</v>
      </c>
      <c r="AB597" s="349">
        <v>17.82</v>
      </c>
      <c r="AC597" s="345">
        <v>54260</v>
      </c>
      <c r="AD597" s="349">
        <v>1.98</v>
      </c>
      <c r="AE597" s="345" t="s">
        <v>944</v>
      </c>
      <c r="AF597" s="347"/>
      <c r="AG597" s="347"/>
      <c r="AH597" s="347" t="s">
        <v>57</v>
      </c>
      <c r="AI597" s="347" t="s">
        <v>4442</v>
      </c>
      <c r="AJ597" s="347" t="s">
        <v>4443</v>
      </c>
      <c r="AK597" s="347" t="s">
        <v>4437</v>
      </c>
      <c r="AL597" s="387">
        <v>45574</v>
      </c>
    </row>
    <row r="598" spans="2:38" ht="15.75" outlineLevel="1">
      <c r="B598" s="345">
        <v>2111</v>
      </c>
      <c r="C598" s="346">
        <v>240338</v>
      </c>
      <c r="D598" s="345" t="s">
        <v>944</v>
      </c>
      <c r="E598" s="347" t="s">
        <v>4240</v>
      </c>
      <c r="F598" s="343" t="s">
        <v>1097</v>
      </c>
      <c r="I598" s="345">
        <v>340</v>
      </c>
      <c r="J598" s="347"/>
      <c r="K598" s="345">
        <v>0</v>
      </c>
      <c r="L598" s="347" t="s">
        <v>1722</v>
      </c>
      <c r="M598" s="347"/>
      <c r="N598" s="347" t="s">
        <v>4446</v>
      </c>
      <c r="O598" s="347" t="s">
        <v>4441</v>
      </c>
      <c r="P598" s="347"/>
      <c r="Q598" s="347"/>
      <c r="R598" s="347"/>
      <c r="S598" s="348">
        <v>44105</v>
      </c>
      <c r="T598" s="348">
        <v>44105</v>
      </c>
      <c r="U598" s="347" t="s">
        <v>1723</v>
      </c>
      <c r="V598" s="345">
        <v>700</v>
      </c>
      <c r="W598" s="345">
        <v>14050</v>
      </c>
      <c r="X598" s="349">
        <v>2266.3200000000002</v>
      </c>
      <c r="Y598" s="345">
        <v>14056</v>
      </c>
      <c r="Z598" s="349">
        <v>1295.04</v>
      </c>
      <c r="AA598" s="349">
        <f t="shared" si="93"/>
        <v>971.2800000000002</v>
      </c>
      <c r="AB598" s="349">
        <v>242.82</v>
      </c>
      <c r="AC598" s="345">
        <v>54260</v>
      </c>
      <c r="AD598" s="349">
        <v>26.98</v>
      </c>
      <c r="AE598" s="345" t="s">
        <v>944</v>
      </c>
      <c r="AF598" s="347"/>
      <c r="AG598" s="347"/>
      <c r="AH598" s="347" t="s">
        <v>57</v>
      </c>
      <c r="AI598" s="347" t="s">
        <v>4442</v>
      </c>
      <c r="AJ598" s="347" t="s">
        <v>4443</v>
      </c>
      <c r="AK598" s="347" t="s">
        <v>4437</v>
      </c>
      <c r="AL598" s="387">
        <v>45574</v>
      </c>
    </row>
    <row r="599" spans="2:38" ht="15.75" outlineLevel="1">
      <c r="B599" s="345">
        <v>2111</v>
      </c>
      <c r="C599" s="346">
        <v>240337</v>
      </c>
      <c r="D599" s="345" t="s">
        <v>944</v>
      </c>
      <c r="E599" s="347" t="s">
        <v>4240</v>
      </c>
      <c r="F599" s="343" t="s">
        <v>1096</v>
      </c>
      <c r="I599" s="345">
        <v>8</v>
      </c>
      <c r="J599" s="347"/>
      <c r="K599" s="345">
        <v>0</v>
      </c>
      <c r="L599" s="347" t="s">
        <v>1722</v>
      </c>
      <c r="M599" s="347"/>
      <c r="N599" s="347" t="s">
        <v>4446</v>
      </c>
      <c r="O599" s="347" t="s">
        <v>4441</v>
      </c>
      <c r="P599" s="347"/>
      <c r="Q599" s="347"/>
      <c r="R599" s="347"/>
      <c r="S599" s="348">
        <v>44105</v>
      </c>
      <c r="T599" s="348">
        <v>44105</v>
      </c>
      <c r="U599" s="347" t="s">
        <v>1723</v>
      </c>
      <c r="V599" s="345">
        <v>700</v>
      </c>
      <c r="W599" s="345">
        <v>14050</v>
      </c>
      <c r="X599" s="349">
        <v>53.33</v>
      </c>
      <c r="Y599" s="345">
        <v>14056</v>
      </c>
      <c r="Z599" s="349">
        <v>30.44</v>
      </c>
      <c r="AA599" s="349">
        <f t="shared" si="93"/>
        <v>22.889999999999997</v>
      </c>
      <c r="AB599" s="349">
        <v>5.67</v>
      </c>
      <c r="AC599" s="345">
        <v>54260</v>
      </c>
      <c r="AD599" s="349">
        <v>0.63</v>
      </c>
      <c r="AE599" s="345" t="s">
        <v>944</v>
      </c>
      <c r="AF599" s="347"/>
      <c r="AG599" s="347"/>
      <c r="AH599" s="347" t="s">
        <v>57</v>
      </c>
      <c r="AI599" s="347" t="s">
        <v>4442</v>
      </c>
      <c r="AJ599" s="347" t="s">
        <v>4443</v>
      </c>
      <c r="AK599" s="347" t="s">
        <v>4437</v>
      </c>
      <c r="AL599" s="387">
        <v>45574</v>
      </c>
    </row>
    <row r="600" spans="2:38" ht="15.75" outlineLevel="1">
      <c r="B600" s="345">
        <v>2111</v>
      </c>
      <c r="C600" s="346">
        <v>240336</v>
      </c>
      <c r="D600" s="345" t="s">
        <v>944</v>
      </c>
      <c r="E600" s="347" t="s">
        <v>4240</v>
      </c>
      <c r="F600" s="343" t="s">
        <v>1095</v>
      </c>
      <c r="I600" s="345">
        <v>27</v>
      </c>
      <c r="J600" s="347"/>
      <c r="K600" s="345">
        <v>0</v>
      </c>
      <c r="L600" s="347" t="s">
        <v>1722</v>
      </c>
      <c r="M600" s="347"/>
      <c r="N600" s="347" t="s">
        <v>4446</v>
      </c>
      <c r="O600" s="347" t="s">
        <v>4441</v>
      </c>
      <c r="P600" s="347"/>
      <c r="Q600" s="347"/>
      <c r="R600" s="347"/>
      <c r="S600" s="348">
        <v>44105</v>
      </c>
      <c r="T600" s="348">
        <v>44105</v>
      </c>
      <c r="U600" s="347" t="s">
        <v>1723</v>
      </c>
      <c r="V600" s="345">
        <v>700</v>
      </c>
      <c r="W600" s="345">
        <v>14050</v>
      </c>
      <c r="X600" s="349">
        <v>179.97</v>
      </c>
      <c r="Y600" s="345">
        <v>14056</v>
      </c>
      <c r="Z600" s="349">
        <v>102.82</v>
      </c>
      <c r="AA600" s="349">
        <f t="shared" si="93"/>
        <v>77.150000000000006</v>
      </c>
      <c r="AB600" s="349">
        <v>19.260000000000002</v>
      </c>
      <c r="AC600" s="345">
        <v>54260</v>
      </c>
      <c r="AD600" s="349">
        <v>2.14</v>
      </c>
      <c r="AE600" s="345" t="s">
        <v>944</v>
      </c>
      <c r="AF600" s="347"/>
      <c r="AG600" s="347"/>
      <c r="AH600" s="347" t="s">
        <v>57</v>
      </c>
      <c r="AI600" s="347" t="s">
        <v>4442</v>
      </c>
      <c r="AJ600" s="347" t="s">
        <v>4443</v>
      </c>
      <c r="AK600" s="347" t="s">
        <v>4437</v>
      </c>
      <c r="AL600" s="387">
        <v>45574</v>
      </c>
    </row>
    <row r="601" spans="2:38" ht="15.75" outlineLevel="1">
      <c r="B601" s="345">
        <v>2111</v>
      </c>
      <c r="C601" s="346">
        <v>240335</v>
      </c>
      <c r="D601" s="345" t="s">
        <v>944</v>
      </c>
      <c r="E601" s="347" t="s">
        <v>4240</v>
      </c>
      <c r="F601" s="343" t="s">
        <v>1099</v>
      </c>
      <c r="I601" s="345">
        <v>405</v>
      </c>
      <c r="J601" s="347"/>
      <c r="K601" s="345">
        <v>0</v>
      </c>
      <c r="L601" s="347" t="s">
        <v>1722</v>
      </c>
      <c r="M601" s="347"/>
      <c r="N601" s="347" t="s">
        <v>4446</v>
      </c>
      <c r="O601" s="347" t="s">
        <v>4441</v>
      </c>
      <c r="P601" s="347"/>
      <c r="Q601" s="347"/>
      <c r="R601" s="347"/>
      <c r="S601" s="348">
        <v>44105</v>
      </c>
      <c r="T601" s="348">
        <v>44105</v>
      </c>
      <c r="U601" s="347" t="s">
        <v>1723</v>
      </c>
      <c r="V601" s="345">
        <v>700</v>
      </c>
      <c r="W601" s="345">
        <v>14050</v>
      </c>
      <c r="X601" s="349">
        <v>2699.59</v>
      </c>
      <c r="Y601" s="345">
        <v>14056</v>
      </c>
      <c r="Z601" s="349">
        <v>1542.65</v>
      </c>
      <c r="AA601" s="349">
        <f t="shared" si="93"/>
        <v>1156.94</v>
      </c>
      <c r="AB601" s="349">
        <v>289.26</v>
      </c>
      <c r="AC601" s="345">
        <v>54260</v>
      </c>
      <c r="AD601" s="349">
        <v>32.14</v>
      </c>
      <c r="AE601" s="345" t="s">
        <v>944</v>
      </c>
      <c r="AF601" s="347"/>
      <c r="AG601" s="347"/>
      <c r="AH601" s="347" t="s">
        <v>57</v>
      </c>
      <c r="AI601" s="347" t="s">
        <v>4442</v>
      </c>
      <c r="AJ601" s="347" t="s">
        <v>4443</v>
      </c>
      <c r="AK601" s="347" t="s">
        <v>4437</v>
      </c>
      <c r="AL601" s="387">
        <v>45574</v>
      </c>
    </row>
    <row r="602" spans="2:38" ht="15.75" outlineLevel="1">
      <c r="B602" s="345">
        <v>2111</v>
      </c>
      <c r="C602" s="346">
        <v>240334</v>
      </c>
      <c r="D602" s="345" t="s">
        <v>944</v>
      </c>
      <c r="E602" s="347" t="s">
        <v>4240</v>
      </c>
      <c r="F602" s="343" t="s">
        <v>1094</v>
      </c>
      <c r="I602" s="345">
        <v>116</v>
      </c>
      <c r="J602" s="347"/>
      <c r="K602" s="345">
        <v>0</v>
      </c>
      <c r="L602" s="347" t="s">
        <v>1722</v>
      </c>
      <c r="M602" s="347"/>
      <c r="N602" s="347" t="s">
        <v>4446</v>
      </c>
      <c r="O602" s="347" t="s">
        <v>4441</v>
      </c>
      <c r="P602" s="347"/>
      <c r="Q602" s="347"/>
      <c r="R602" s="347"/>
      <c r="S602" s="348">
        <v>44105</v>
      </c>
      <c r="T602" s="348">
        <v>44105</v>
      </c>
      <c r="U602" s="347" t="s">
        <v>1723</v>
      </c>
      <c r="V602" s="345">
        <v>700</v>
      </c>
      <c r="W602" s="345">
        <v>14050</v>
      </c>
      <c r="X602" s="349">
        <v>773.22</v>
      </c>
      <c r="Y602" s="345">
        <v>14056</v>
      </c>
      <c r="Z602" s="349">
        <v>441.86</v>
      </c>
      <c r="AA602" s="349">
        <f t="shared" si="93"/>
        <v>331.36</v>
      </c>
      <c r="AB602" s="349">
        <v>82.89</v>
      </c>
      <c r="AC602" s="345">
        <v>54260</v>
      </c>
      <c r="AD602" s="349">
        <v>9.2100000000000009</v>
      </c>
      <c r="AE602" s="345" t="s">
        <v>944</v>
      </c>
      <c r="AF602" s="347"/>
      <c r="AG602" s="347"/>
      <c r="AH602" s="347" t="s">
        <v>57</v>
      </c>
      <c r="AI602" s="347" t="s">
        <v>4442</v>
      </c>
      <c r="AJ602" s="347" t="s">
        <v>4443</v>
      </c>
      <c r="AK602" s="347" t="s">
        <v>4437</v>
      </c>
      <c r="AL602" s="387">
        <v>45574</v>
      </c>
    </row>
    <row r="603" spans="2:38" ht="15.75" outlineLevel="1">
      <c r="B603" s="345">
        <v>2111</v>
      </c>
      <c r="C603" s="346">
        <v>240062</v>
      </c>
      <c r="D603" s="345" t="s">
        <v>944</v>
      </c>
      <c r="E603" s="347" t="s">
        <v>4240</v>
      </c>
      <c r="F603" s="343" t="s">
        <v>1725</v>
      </c>
      <c r="I603" s="345">
        <v>10</v>
      </c>
      <c r="J603" s="347"/>
      <c r="K603" s="345">
        <v>0</v>
      </c>
      <c r="L603" s="347" t="s">
        <v>1726</v>
      </c>
      <c r="M603" s="347"/>
      <c r="N603" s="347" t="s">
        <v>4446</v>
      </c>
      <c r="O603" s="347" t="s">
        <v>4441</v>
      </c>
      <c r="P603" s="347"/>
      <c r="Q603" s="347" t="s">
        <v>4459</v>
      </c>
      <c r="R603" s="347" t="s">
        <v>4450</v>
      </c>
      <c r="S603" s="348">
        <v>44069</v>
      </c>
      <c r="T603" s="348">
        <v>44069</v>
      </c>
      <c r="U603" s="347" t="s">
        <v>1727</v>
      </c>
      <c r="V603" s="345">
        <v>1200</v>
      </c>
      <c r="W603" s="345">
        <v>14050</v>
      </c>
      <c r="X603" s="349">
        <v>6484.1</v>
      </c>
      <c r="Y603" s="345">
        <v>14056</v>
      </c>
      <c r="Z603" s="349">
        <v>2206.4</v>
      </c>
      <c r="AA603" s="349">
        <f t="shared" si="93"/>
        <v>4277.7000000000007</v>
      </c>
      <c r="AB603" s="349">
        <v>405.27</v>
      </c>
      <c r="AC603" s="345">
        <v>54260</v>
      </c>
      <c r="AD603" s="349">
        <v>45.03</v>
      </c>
      <c r="AE603" s="345" t="s">
        <v>944</v>
      </c>
      <c r="AF603" s="347"/>
      <c r="AG603" s="347"/>
      <c r="AH603" s="347" t="s">
        <v>57</v>
      </c>
      <c r="AI603" s="347" t="s">
        <v>4442</v>
      </c>
      <c r="AJ603" s="347" t="s">
        <v>4443</v>
      </c>
      <c r="AK603" s="347" t="s">
        <v>4437</v>
      </c>
      <c r="AL603" s="387">
        <v>45574</v>
      </c>
    </row>
    <row r="604" spans="2:38" ht="15.75" outlineLevel="1">
      <c r="B604" s="345">
        <v>2111</v>
      </c>
      <c r="C604" s="346">
        <v>240061</v>
      </c>
      <c r="D604" s="345" t="s">
        <v>944</v>
      </c>
      <c r="E604" s="347" t="s">
        <v>4240</v>
      </c>
      <c r="F604" s="343" t="s">
        <v>1728</v>
      </c>
      <c r="I604" s="345">
        <v>1</v>
      </c>
      <c r="J604" s="347"/>
      <c r="K604" s="345">
        <v>0</v>
      </c>
      <c r="L604" s="347" t="s">
        <v>1726</v>
      </c>
      <c r="M604" s="347"/>
      <c r="N604" s="347" t="s">
        <v>4446</v>
      </c>
      <c r="O604" s="347" t="s">
        <v>4441</v>
      </c>
      <c r="P604" s="347"/>
      <c r="Q604" s="347" t="s">
        <v>4479</v>
      </c>
      <c r="R604" s="347" t="s">
        <v>4450</v>
      </c>
      <c r="S604" s="348">
        <v>44068</v>
      </c>
      <c r="T604" s="348">
        <v>44068</v>
      </c>
      <c r="U604" s="347" t="s">
        <v>1729</v>
      </c>
      <c r="V604" s="345">
        <v>1200</v>
      </c>
      <c r="W604" s="345">
        <v>14050</v>
      </c>
      <c r="X604" s="349">
        <v>983.61</v>
      </c>
      <c r="Y604" s="345">
        <v>14056</v>
      </c>
      <c r="Z604" s="349">
        <v>334.64</v>
      </c>
      <c r="AA604" s="349">
        <f t="shared" si="93"/>
        <v>648.97</v>
      </c>
      <c r="AB604" s="349">
        <v>61.47</v>
      </c>
      <c r="AC604" s="345">
        <v>54260</v>
      </c>
      <c r="AD604" s="349">
        <v>6.83</v>
      </c>
      <c r="AE604" s="345" t="s">
        <v>944</v>
      </c>
      <c r="AF604" s="347"/>
      <c r="AG604" s="347"/>
      <c r="AH604" s="347" t="s">
        <v>57</v>
      </c>
      <c r="AI604" s="347" t="s">
        <v>4442</v>
      </c>
      <c r="AJ604" s="347" t="s">
        <v>4443</v>
      </c>
      <c r="AK604" s="347" t="s">
        <v>4437</v>
      </c>
      <c r="AL604" s="387">
        <v>45574</v>
      </c>
    </row>
    <row r="605" spans="2:38" ht="15.75" outlineLevel="1">
      <c r="B605" s="345">
        <v>2111</v>
      </c>
      <c r="C605" s="346">
        <v>240060</v>
      </c>
      <c r="D605" s="345" t="s">
        <v>944</v>
      </c>
      <c r="E605" s="347" t="s">
        <v>4240</v>
      </c>
      <c r="F605" s="343" t="s">
        <v>1730</v>
      </c>
      <c r="I605" s="345">
        <v>7</v>
      </c>
      <c r="J605" s="347"/>
      <c r="K605" s="345">
        <v>0</v>
      </c>
      <c r="L605" s="347" t="s">
        <v>1726</v>
      </c>
      <c r="M605" s="347"/>
      <c r="N605" s="347" t="s">
        <v>4446</v>
      </c>
      <c r="O605" s="347" t="s">
        <v>4441</v>
      </c>
      <c r="P605" s="347"/>
      <c r="Q605" s="347" t="s">
        <v>4479</v>
      </c>
      <c r="R605" s="347" t="s">
        <v>4450</v>
      </c>
      <c r="S605" s="348">
        <v>44055</v>
      </c>
      <c r="T605" s="348">
        <v>44055</v>
      </c>
      <c r="U605" s="347" t="s">
        <v>1731</v>
      </c>
      <c r="V605" s="345">
        <v>1200</v>
      </c>
      <c r="W605" s="345">
        <v>14050</v>
      </c>
      <c r="X605" s="349">
        <v>6462.12</v>
      </c>
      <c r="Y605" s="345">
        <v>14056</v>
      </c>
      <c r="Z605" s="349">
        <v>2243.83</v>
      </c>
      <c r="AA605" s="349">
        <f t="shared" si="93"/>
        <v>4218.29</v>
      </c>
      <c r="AB605" s="349">
        <v>403.92</v>
      </c>
      <c r="AC605" s="345">
        <v>54260</v>
      </c>
      <c r="AD605" s="349">
        <v>44.88</v>
      </c>
      <c r="AE605" s="345" t="s">
        <v>944</v>
      </c>
      <c r="AF605" s="347"/>
      <c r="AG605" s="347"/>
      <c r="AH605" s="347" t="s">
        <v>57</v>
      </c>
      <c r="AI605" s="347" t="s">
        <v>4442</v>
      </c>
      <c r="AJ605" s="347" t="s">
        <v>4443</v>
      </c>
      <c r="AK605" s="347" t="s">
        <v>4437</v>
      </c>
      <c r="AL605" s="387">
        <v>45574</v>
      </c>
    </row>
    <row r="606" spans="2:38" ht="15.75" outlineLevel="1">
      <c r="B606" s="345">
        <v>2111</v>
      </c>
      <c r="C606" s="346">
        <v>239905</v>
      </c>
      <c r="D606" s="345" t="s">
        <v>944</v>
      </c>
      <c r="E606" s="347" t="s">
        <v>4240</v>
      </c>
      <c r="F606" s="343" t="s">
        <v>1732</v>
      </c>
      <c r="I606" s="345">
        <v>15</v>
      </c>
      <c r="J606" s="347"/>
      <c r="K606" s="345">
        <v>0</v>
      </c>
      <c r="L606" s="347" t="s">
        <v>1726</v>
      </c>
      <c r="M606" s="347"/>
      <c r="N606" s="347" t="s">
        <v>4446</v>
      </c>
      <c r="O606" s="347" t="s">
        <v>4441</v>
      </c>
      <c r="P606" s="347"/>
      <c r="Q606" s="347" t="s">
        <v>4459</v>
      </c>
      <c r="R606" s="347" t="s">
        <v>4450</v>
      </c>
      <c r="S606" s="348">
        <v>44063</v>
      </c>
      <c r="T606" s="348">
        <v>44063</v>
      </c>
      <c r="U606" s="347" t="s">
        <v>1733</v>
      </c>
      <c r="V606" s="345">
        <v>1200</v>
      </c>
      <c r="W606" s="345">
        <v>14050</v>
      </c>
      <c r="X606" s="349">
        <v>9149.18</v>
      </c>
      <c r="Y606" s="345">
        <v>14056</v>
      </c>
      <c r="Z606" s="349">
        <v>3113.28</v>
      </c>
      <c r="AA606" s="349">
        <f t="shared" si="93"/>
        <v>6035.9</v>
      </c>
      <c r="AB606" s="349">
        <v>571.86</v>
      </c>
      <c r="AC606" s="345">
        <v>54260</v>
      </c>
      <c r="AD606" s="349">
        <v>63.54</v>
      </c>
      <c r="AE606" s="345" t="s">
        <v>944</v>
      </c>
      <c r="AF606" s="347"/>
      <c r="AG606" s="347"/>
      <c r="AH606" s="347" t="s">
        <v>57</v>
      </c>
      <c r="AI606" s="347" t="s">
        <v>4442</v>
      </c>
      <c r="AJ606" s="347" t="s">
        <v>4443</v>
      </c>
      <c r="AK606" s="347" t="s">
        <v>4437</v>
      </c>
      <c r="AL606" s="387">
        <v>45574</v>
      </c>
    </row>
    <row r="607" spans="2:38" ht="15.75" outlineLevel="1">
      <c r="B607" s="345">
        <v>2111</v>
      </c>
      <c r="C607" s="346">
        <v>239904</v>
      </c>
      <c r="D607" s="345" t="s">
        <v>944</v>
      </c>
      <c r="E607" s="347" t="s">
        <v>4240</v>
      </c>
      <c r="F607" s="343" t="s">
        <v>1734</v>
      </c>
      <c r="I607" s="345">
        <v>9</v>
      </c>
      <c r="J607" s="347"/>
      <c r="K607" s="345">
        <v>0</v>
      </c>
      <c r="L607" s="347" t="s">
        <v>1726</v>
      </c>
      <c r="M607" s="347"/>
      <c r="N607" s="347" t="s">
        <v>4446</v>
      </c>
      <c r="O607" s="347" t="s">
        <v>4441</v>
      </c>
      <c r="P607" s="347"/>
      <c r="Q607" s="347" t="s">
        <v>4479</v>
      </c>
      <c r="R607" s="347" t="s">
        <v>4450</v>
      </c>
      <c r="S607" s="348">
        <v>44068</v>
      </c>
      <c r="T607" s="348">
        <v>44068</v>
      </c>
      <c r="U607" s="347" t="s">
        <v>1729</v>
      </c>
      <c r="V607" s="345">
        <v>1200</v>
      </c>
      <c r="W607" s="345">
        <v>14050</v>
      </c>
      <c r="X607" s="349">
        <v>8852.4500000000007</v>
      </c>
      <c r="Y607" s="345">
        <v>14056</v>
      </c>
      <c r="Z607" s="349">
        <v>3012.35</v>
      </c>
      <c r="AA607" s="349">
        <f t="shared" si="93"/>
        <v>5840.1</v>
      </c>
      <c r="AB607" s="349">
        <v>553.32000000000005</v>
      </c>
      <c r="AC607" s="345">
        <v>54260</v>
      </c>
      <c r="AD607" s="349">
        <v>61.48</v>
      </c>
      <c r="AE607" s="345" t="s">
        <v>944</v>
      </c>
      <c r="AF607" s="347"/>
      <c r="AG607" s="347"/>
      <c r="AH607" s="347" t="s">
        <v>57</v>
      </c>
      <c r="AI607" s="347" t="s">
        <v>4442</v>
      </c>
      <c r="AJ607" s="347" t="s">
        <v>4443</v>
      </c>
      <c r="AK607" s="347" t="s">
        <v>4437</v>
      </c>
      <c r="AL607" s="387">
        <v>45574</v>
      </c>
    </row>
    <row r="608" spans="2:38" ht="15.75" outlineLevel="1">
      <c r="B608" s="345">
        <v>2111</v>
      </c>
      <c r="C608" s="346">
        <v>239903</v>
      </c>
      <c r="D608" s="345" t="s">
        <v>944</v>
      </c>
      <c r="E608" s="347" t="s">
        <v>4240</v>
      </c>
      <c r="F608" s="343" t="s">
        <v>1730</v>
      </c>
      <c r="I608" s="345">
        <v>8</v>
      </c>
      <c r="J608" s="347"/>
      <c r="K608" s="345">
        <v>0</v>
      </c>
      <c r="L608" s="347" t="s">
        <v>1726</v>
      </c>
      <c r="M608" s="347"/>
      <c r="N608" s="347" t="s">
        <v>4446</v>
      </c>
      <c r="O608" s="347" t="s">
        <v>4441</v>
      </c>
      <c r="P608" s="347"/>
      <c r="Q608" s="347" t="s">
        <v>4479</v>
      </c>
      <c r="R608" s="347" t="s">
        <v>4450</v>
      </c>
      <c r="S608" s="348">
        <v>44055</v>
      </c>
      <c r="T608" s="348">
        <v>44055</v>
      </c>
      <c r="U608" s="347" t="s">
        <v>1731</v>
      </c>
      <c r="V608" s="345">
        <v>1200</v>
      </c>
      <c r="W608" s="345">
        <v>14050</v>
      </c>
      <c r="X608" s="349">
        <v>7385.28</v>
      </c>
      <c r="Y608" s="345">
        <v>14056</v>
      </c>
      <c r="Z608" s="349">
        <v>2564.36</v>
      </c>
      <c r="AA608" s="349">
        <f t="shared" si="93"/>
        <v>4820.92</v>
      </c>
      <c r="AB608" s="349">
        <v>461.61</v>
      </c>
      <c r="AC608" s="345">
        <v>54260</v>
      </c>
      <c r="AD608" s="349">
        <v>51.29</v>
      </c>
      <c r="AE608" s="345" t="s">
        <v>944</v>
      </c>
      <c r="AF608" s="347"/>
      <c r="AG608" s="347"/>
      <c r="AH608" s="347" t="s">
        <v>57</v>
      </c>
      <c r="AI608" s="347" t="s">
        <v>4442</v>
      </c>
      <c r="AJ608" s="347" t="s">
        <v>4443</v>
      </c>
      <c r="AK608" s="347" t="s">
        <v>4437</v>
      </c>
      <c r="AL608" s="387">
        <v>45574</v>
      </c>
    </row>
    <row r="609" spans="2:38" ht="15.75" outlineLevel="1">
      <c r="B609" s="345">
        <v>2111</v>
      </c>
      <c r="C609" s="346">
        <v>239770</v>
      </c>
      <c r="D609" s="345">
        <v>232978</v>
      </c>
      <c r="E609" s="347" t="s">
        <v>4240</v>
      </c>
      <c r="F609" s="343" t="s">
        <v>1735</v>
      </c>
      <c r="I609" s="345">
        <v>1</v>
      </c>
      <c r="J609" s="347"/>
      <c r="K609" s="345">
        <v>0</v>
      </c>
      <c r="L609" s="347" t="s">
        <v>1456</v>
      </c>
      <c r="M609" s="347"/>
      <c r="N609" s="347" t="s">
        <v>4462</v>
      </c>
      <c r="O609" s="347" t="s">
        <v>4441</v>
      </c>
      <c r="P609" s="347"/>
      <c r="Q609" s="347"/>
      <c r="R609" s="347"/>
      <c r="S609" s="348">
        <v>43982</v>
      </c>
      <c r="T609" s="348">
        <v>43982</v>
      </c>
      <c r="U609" s="347" t="s">
        <v>1699</v>
      </c>
      <c r="V609" s="345">
        <v>1000</v>
      </c>
      <c r="W609" s="345">
        <v>14010</v>
      </c>
      <c r="X609" s="349">
        <v>18885.75</v>
      </c>
      <c r="Y609" s="345">
        <v>14016</v>
      </c>
      <c r="Z609" s="349">
        <v>8183.83</v>
      </c>
      <c r="AA609" s="349">
        <f t="shared" si="93"/>
        <v>10701.92</v>
      </c>
      <c r="AB609" s="349">
        <v>1416.42</v>
      </c>
      <c r="AC609" s="345">
        <v>57260</v>
      </c>
      <c r="AD609" s="349">
        <v>157.38</v>
      </c>
      <c r="AE609" s="345" t="s">
        <v>944</v>
      </c>
      <c r="AF609" s="347"/>
      <c r="AG609" s="347"/>
      <c r="AH609" s="347" t="s">
        <v>57</v>
      </c>
      <c r="AI609" s="347" t="s">
        <v>4442</v>
      </c>
      <c r="AJ609" s="347" t="s">
        <v>4443</v>
      </c>
      <c r="AK609" s="347" t="s">
        <v>4437</v>
      </c>
      <c r="AL609" s="387">
        <v>45574</v>
      </c>
    </row>
    <row r="610" spans="2:38" ht="15.75" outlineLevel="1">
      <c r="B610" s="345">
        <v>2111</v>
      </c>
      <c r="C610" s="346">
        <v>239769</v>
      </c>
      <c r="D610" s="345">
        <v>232978</v>
      </c>
      <c r="E610" s="347" t="s">
        <v>4240</v>
      </c>
      <c r="F610" s="343" t="s">
        <v>1737</v>
      </c>
      <c r="I610" s="345">
        <v>1</v>
      </c>
      <c r="J610" s="347"/>
      <c r="K610" s="345">
        <v>0</v>
      </c>
      <c r="L610" s="347" t="s">
        <v>1456</v>
      </c>
      <c r="M610" s="347"/>
      <c r="N610" s="347" t="s">
        <v>4462</v>
      </c>
      <c r="O610" s="347" t="s">
        <v>4441</v>
      </c>
      <c r="P610" s="347"/>
      <c r="Q610" s="347"/>
      <c r="R610" s="347"/>
      <c r="S610" s="348">
        <v>43982</v>
      </c>
      <c r="T610" s="348">
        <v>43982</v>
      </c>
      <c r="U610" s="347" t="s">
        <v>1699</v>
      </c>
      <c r="V610" s="345">
        <v>1000</v>
      </c>
      <c r="W610" s="345">
        <v>14010</v>
      </c>
      <c r="X610" s="349">
        <v>4396.5</v>
      </c>
      <c r="Y610" s="345">
        <v>14016</v>
      </c>
      <c r="Z610" s="349">
        <v>1905.17</v>
      </c>
      <c r="AA610" s="349">
        <f t="shared" si="93"/>
        <v>2491.33</v>
      </c>
      <c r="AB610" s="349">
        <v>329.76</v>
      </c>
      <c r="AC610" s="345">
        <v>57260</v>
      </c>
      <c r="AD610" s="349">
        <v>36.64</v>
      </c>
      <c r="AE610" s="345" t="s">
        <v>944</v>
      </c>
      <c r="AF610" s="347"/>
      <c r="AG610" s="347"/>
      <c r="AH610" s="347" t="s">
        <v>57</v>
      </c>
      <c r="AI610" s="347" t="s">
        <v>4442</v>
      </c>
      <c r="AJ610" s="347" t="s">
        <v>4443</v>
      </c>
      <c r="AK610" s="347" t="s">
        <v>4437</v>
      </c>
      <c r="AL610" s="387">
        <v>45574</v>
      </c>
    </row>
    <row r="611" spans="2:38" ht="15.75" outlineLevel="1">
      <c r="B611" s="345">
        <v>2111</v>
      </c>
      <c r="C611" s="346">
        <v>239583</v>
      </c>
      <c r="D611" s="345" t="s">
        <v>944</v>
      </c>
      <c r="E611" s="347" t="s">
        <v>4240</v>
      </c>
      <c r="F611" s="343" t="s">
        <v>1089</v>
      </c>
      <c r="I611" s="345">
        <v>1</v>
      </c>
      <c r="J611" s="347"/>
      <c r="K611" s="345">
        <v>0</v>
      </c>
      <c r="L611" s="347" t="s">
        <v>1657</v>
      </c>
      <c r="M611" s="347"/>
      <c r="N611" s="347" t="s">
        <v>4440</v>
      </c>
      <c r="O611" s="347" t="s">
        <v>4441</v>
      </c>
      <c r="P611" s="347"/>
      <c r="Q611" s="347"/>
      <c r="R611" s="347"/>
      <c r="S611" s="348">
        <v>44085</v>
      </c>
      <c r="T611" s="348">
        <v>44085</v>
      </c>
      <c r="U611" s="347" t="s">
        <v>1739</v>
      </c>
      <c r="V611" s="345">
        <v>300</v>
      </c>
      <c r="W611" s="345">
        <v>14110</v>
      </c>
      <c r="X611" s="349">
        <v>849.57</v>
      </c>
      <c r="Y611" s="345">
        <v>14116</v>
      </c>
      <c r="Z611" s="349">
        <v>849.57</v>
      </c>
      <c r="AA611" s="349">
        <f t="shared" si="93"/>
        <v>0</v>
      </c>
      <c r="AB611" s="349">
        <v>0</v>
      </c>
      <c r="AC611" s="345">
        <v>70260</v>
      </c>
      <c r="AD611" s="349">
        <v>0</v>
      </c>
      <c r="AE611" s="345" t="s">
        <v>944</v>
      </c>
      <c r="AF611" s="347"/>
      <c r="AG611" s="347"/>
      <c r="AH611" s="347" t="s">
        <v>57</v>
      </c>
      <c r="AI611" s="347" t="s">
        <v>4442</v>
      </c>
      <c r="AJ611" s="347" t="s">
        <v>4443</v>
      </c>
      <c r="AK611" s="347" t="s">
        <v>4437</v>
      </c>
      <c r="AL611" s="387">
        <v>45574</v>
      </c>
    </row>
    <row r="612" spans="2:38" ht="15.75" outlineLevel="1">
      <c r="B612" s="345">
        <v>2111</v>
      </c>
      <c r="C612" s="346">
        <v>238419</v>
      </c>
      <c r="D612" s="345" t="s">
        <v>944</v>
      </c>
      <c r="E612" s="347" t="s">
        <v>4240</v>
      </c>
      <c r="F612" s="343" t="s">
        <v>1740</v>
      </c>
      <c r="I612" s="345">
        <v>10</v>
      </c>
      <c r="J612" s="347"/>
      <c r="K612" s="345">
        <v>0</v>
      </c>
      <c r="L612" s="347" t="s">
        <v>1726</v>
      </c>
      <c r="M612" s="347"/>
      <c r="N612" s="347" t="s">
        <v>4446</v>
      </c>
      <c r="O612" s="347" t="s">
        <v>4441</v>
      </c>
      <c r="P612" s="347"/>
      <c r="Q612" s="347" t="s">
        <v>4464</v>
      </c>
      <c r="R612" s="347" t="s">
        <v>4450</v>
      </c>
      <c r="S612" s="348">
        <v>44062</v>
      </c>
      <c r="T612" s="348">
        <v>44062</v>
      </c>
      <c r="U612" s="347" t="s">
        <v>1741</v>
      </c>
      <c r="V612" s="345">
        <v>1200</v>
      </c>
      <c r="W612" s="345">
        <v>14050</v>
      </c>
      <c r="X612" s="349">
        <v>7308.35</v>
      </c>
      <c r="Y612" s="345">
        <v>14056</v>
      </c>
      <c r="Z612" s="349">
        <v>2486.85</v>
      </c>
      <c r="AA612" s="349">
        <f t="shared" si="93"/>
        <v>4821.5</v>
      </c>
      <c r="AB612" s="349">
        <v>456.75</v>
      </c>
      <c r="AC612" s="345">
        <v>54260</v>
      </c>
      <c r="AD612" s="349">
        <v>50.75</v>
      </c>
      <c r="AE612" s="345" t="s">
        <v>944</v>
      </c>
      <c r="AF612" s="347"/>
      <c r="AG612" s="347"/>
      <c r="AH612" s="347" t="s">
        <v>57</v>
      </c>
      <c r="AI612" s="347" t="s">
        <v>4442</v>
      </c>
      <c r="AJ612" s="347" t="s">
        <v>4443</v>
      </c>
      <c r="AK612" s="347" t="s">
        <v>4437</v>
      </c>
      <c r="AL612" s="387">
        <v>45574</v>
      </c>
    </row>
    <row r="613" spans="2:38" ht="15.75" outlineLevel="1">
      <c r="B613" s="345">
        <v>2111</v>
      </c>
      <c r="C613" s="346">
        <v>238418</v>
      </c>
      <c r="D613" s="345" t="s">
        <v>944</v>
      </c>
      <c r="E613" s="347" t="s">
        <v>4240</v>
      </c>
      <c r="F613" s="343" t="s">
        <v>1742</v>
      </c>
      <c r="I613" s="345">
        <v>10</v>
      </c>
      <c r="J613" s="347"/>
      <c r="K613" s="345">
        <v>0</v>
      </c>
      <c r="L613" s="347" t="s">
        <v>1726</v>
      </c>
      <c r="M613" s="347"/>
      <c r="N613" s="347" t="s">
        <v>4446</v>
      </c>
      <c r="O613" s="347" t="s">
        <v>4441</v>
      </c>
      <c r="P613" s="347"/>
      <c r="Q613" s="347" t="s">
        <v>4459</v>
      </c>
      <c r="R613" s="347" t="s">
        <v>4450</v>
      </c>
      <c r="S613" s="348">
        <v>44062</v>
      </c>
      <c r="T613" s="348">
        <v>44062</v>
      </c>
      <c r="U613" s="347" t="s">
        <v>1743</v>
      </c>
      <c r="V613" s="345">
        <v>1200</v>
      </c>
      <c r="W613" s="345">
        <v>14050</v>
      </c>
      <c r="X613" s="349">
        <v>5769.75</v>
      </c>
      <c r="Y613" s="345">
        <v>14056</v>
      </c>
      <c r="Z613" s="349">
        <v>1963.33</v>
      </c>
      <c r="AA613" s="349">
        <f t="shared" ref="AA613:AA676" si="94">+X613-Z613</f>
        <v>3806.42</v>
      </c>
      <c r="AB613" s="349">
        <v>360.63</v>
      </c>
      <c r="AC613" s="345">
        <v>54260</v>
      </c>
      <c r="AD613" s="349">
        <v>40.07</v>
      </c>
      <c r="AE613" s="345" t="s">
        <v>944</v>
      </c>
      <c r="AF613" s="347"/>
      <c r="AG613" s="347"/>
      <c r="AH613" s="347" t="s">
        <v>57</v>
      </c>
      <c r="AI613" s="347" t="s">
        <v>4442</v>
      </c>
      <c r="AJ613" s="347" t="s">
        <v>4443</v>
      </c>
      <c r="AK613" s="347" t="s">
        <v>4437</v>
      </c>
      <c r="AL613" s="387">
        <v>45574</v>
      </c>
    </row>
    <row r="614" spans="2:38" ht="15.75" outlineLevel="1">
      <c r="B614" s="345">
        <v>2111</v>
      </c>
      <c r="C614" s="346">
        <v>236976</v>
      </c>
      <c r="D614" s="345">
        <v>235803</v>
      </c>
      <c r="E614" s="347" t="s">
        <v>4240</v>
      </c>
      <c r="F614" s="343" t="s">
        <v>1752</v>
      </c>
      <c r="I614" s="345">
        <v>1</v>
      </c>
      <c r="J614" s="347"/>
      <c r="K614" s="345">
        <v>0</v>
      </c>
      <c r="L614" s="347" t="s">
        <v>1657</v>
      </c>
      <c r="M614" s="347"/>
      <c r="N614" s="347" t="s">
        <v>4440</v>
      </c>
      <c r="O614" s="347" t="s">
        <v>4441</v>
      </c>
      <c r="P614" s="347"/>
      <c r="Q614" s="347"/>
      <c r="R614" s="347"/>
      <c r="S614" s="348">
        <v>44043</v>
      </c>
      <c r="T614" s="348">
        <v>44043</v>
      </c>
      <c r="U614" s="347" t="s">
        <v>1753</v>
      </c>
      <c r="V614" s="345">
        <v>300</v>
      </c>
      <c r="W614" s="345">
        <v>14110</v>
      </c>
      <c r="X614" s="349">
        <v>42.15</v>
      </c>
      <c r="Y614" s="345">
        <v>14116</v>
      </c>
      <c r="Z614" s="349">
        <v>42.15</v>
      </c>
      <c r="AA614" s="349">
        <f t="shared" si="94"/>
        <v>0</v>
      </c>
      <c r="AB614" s="349">
        <v>0</v>
      </c>
      <c r="AC614" s="345">
        <v>70260</v>
      </c>
      <c r="AD614" s="349">
        <v>0</v>
      </c>
      <c r="AE614" s="345" t="s">
        <v>944</v>
      </c>
      <c r="AF614" s="347"/>
      <c r="AG614" s="347"/>
      <c r="AH614" s="347" t="s">
        <v>57</v>
      </c>
      <c r="AI614" s="347" t="s">
        <v>4442</v>
      </c>
      <c r="AJ614" s="347" t="s">
        <v>4443</v>
      </c>
      <c r="AK614" s="347" t="s">
        <v>4437</v>
      </c>
      <c r="AL614" s="387">
        <v>45574</v>
      </c>
    </row>
    <row r="615" spans="2:38" ht="15.75" outlineLevel="1">
      <c r="B615" s="345">
        <v>2111</v>
      </c>
      <c r="C615" s="346">
        <v>236931</v>
      </c>
      <c r="D615" s="345" t="s">
        <v>944</v>
      </c>
      <c r="E615" s="347" t="s">
        <v>4240</v>
      </c>
      <c r="F615" s="343" t="s">
        <v>1149</v>
      </c>
      <c r="I615" s="345">
        <v>636</v>
      </c>
      <c r="J615" s="347"/>
      <c r="K615" s="345">
        <v>0</v>
      </c>
      <c r="L615" s="347" t="s">
        <v>1755</v>
      </c>
      <c r="M615" s="347"/>
      <c r="N615" s="347" t="s">
        <v>4446</v>
      </c>
      <c r="O615" s="347" t="s">
        <v>4441</v>
      </c>
      <c r="P615" s="347"/>
      <c r="Q615" s="347"/>
      <c r="R615" s="347"/>
      <c r="S615" s="348">
        <v>44029</v>
      </c>
      <c r="T615" s="348">
        <v>44029</v>
      </c>
      <c r="U615" s="347" t="s">
        <v>1756</v>
      </c>
      <c r="V615" s="345">
        <v>700</v>
      </c>
      <c r="W615" s="345">
        <v>14050</v>
      </c>
      <c r="X615" s="349">
        <v>24135.23</v>
      </c>
      <c r="Y615" s="345">
        <v>14056</v>
      </c>
      <c r="Z615" s="349">
        <v>14366.17</v>
      </c>
      <c r="AA615" s="349">
        <f t="shared" si="94"/>
        <v>9769.06</v>
      </c>
      <c r="AB615" s="349">
        <v>2585.88</v>
      </c>
      <c r="AC615" s="345">
        <v>54260</v>
      </c>
      <c r="AD615" s="349">
        <v>287.32</v>
      </c>
      <c r="AE615" s="345" t="s">
        <v>944</v>
      </c>
      <c r="AF615" s="347"/>
      <c r="AG615" s="347"/>
      <c r="AH615" s="347" t="s">
        <v>57</v>
      </c>
      <c r="AI615" s="347" t="s">
        <v>4442</v>
      </c>
      <c r="AJ615" s="347" t="s">
        <v>4443</v>
      </c>
      <c r="AK615" s="347" t="s">
        <v>4437</v>
      </c>
      <c r="AL615" s="387">
        <v>45574</v>
      </c>
    </row>
    <row r="616" spans="2:38" ht="15.75" outlineLevel="1">
      <c r="B616" s="345">
        <v>2111</v>
      </c>
      <c r="C616" s="346">
        <v>236709</v>
      </c>
      <c r="D616" s="345" t="s">
        <v>944</v>
      </c>
      <c r="E616" s="347" t="s">
        <v>4240</v>
      </c>
      <c r="F616" s="343" t="s">
        <v>1149</v>
      </c>
      <c r="I616" s="345">
        <v>351</v>
      </c>
      <c r="J616" s="347"/>
      <c r="K616" s="345">
        <v>0</v>
      </c>
      <c r="L616" s="347" t="s">
        <v>1462</v>
      </c>
      <c r="M616" s="347"/>
      <c r="N616" s="347" t="s">
        <v>4446</v>
      </c>
      <c r="O616" s="347" t="s">
        <v>4441</v>
      </c>
      <c r="P616" s="347"/>
      <c r="Q616" s="347"/>
      <c r="R616" s="347"/>
      <c r="S616" s="348">
        <v>44053</v>
      </c>
      <c r="T616" s="348">
        <v>44053</v>
      </c>
      <c r="U616" s="347" t="s">
        <v>1757</v>
      </c>
      <c r="V616" s="345">
        <v>700</v>
      </c>
      <c r="W616" s="345">
        <v>14050</v>
      </c>
      <c r="X616" s="349">
        <v>15098.22</v>
      </c>
      <c r="Y616" s="345">
        <v>14056</v>
      </c>
      <c r="Z616" s="349">
        <v>8987.0300000000007</v>
      </c>
      <c r="AA616" s="349">
        <f t="shared" si="94"/>
        <v>6111.1899999999987</v>
      </c>
      <c r="AB616" s="349">
        <v>1617.66</v>
      </c>
      <c r="AC616" s="345">
        <v>54260</v>
      </c>
      <c r="AD616" s="349">
        <v>179.74</v>
      </c>
      <c r="AE616" s="345" t="s">
        <v>944</v>
      </c>
      <c r="AF616" s="347"/>
      <c r="AG616" s="347"/>
      <c r="AH616" s="347" t="s">
        <v>57</v>
      </c>
      <c r="AI616" s="347" t="s">
        <v>4442</v>
      </c>
      <c r="AJ616" s="347" t="s">
        <v>4443</v>
      </c>
      <c r="AK616" s="347" t="s">
        <v>4437</v>
      </c>
      <c r="AL616" s="387">
        <v>45574</v>
      </c>
    </row>
    <row r="617" spans="2:38" ht="15.75" outlineLevel="1">
      <c r="B617" s="345">
        <v>2111</v>
      </c>
      <c r="C617" s="346">
        <v>236708</v>
      </c>
      <c r="D617" s="345" t="s">
        <v>944</v>
      </c>
      <c r="E617" s="347" t="s">
        <v>4240</v>
      </c>
      <c r="F617" s="343" t="s">
        <v>1136</v>
      </c>
      <c r="I617" s="345">
        <v>351</v>
      </c>
      <c r="J617" s="347"/>
      <c r="K617" s="345">
        <v>0</v>
      </c>
      <c r="L617" s="347" t="s">
        <v>1462</v>
      </c>
      <c r="M617" s="347"/>
      <c r="N617" s="347" t="s">
        <v>4446</v>
      </c>
      <c r="O617" s="347" t="s">
        <v>4441</v>
      </c>
      <c r="P617" s="347"/>
      <c r="Q617" s="347"/>
      <c r="R617" s="347"/>
      <c r="S617" s="348">
        <v>44053</v>
      </c>
      <c r="T617" s="348">
        <v>44053</v>
      </c>
      <c r="U617" s="347" t="s">
        <v>1757</v>
      </c>
      <c r="V617" s="345">
        <v>700</v>
      </c>
      <c r="W617" s="345">
        <v>14050</v>
      </c>
      <c r="X617" s="349">
        <v>15098.22</v>
      </c>
      <c r="Y617" s="345">
        <v>14056</v>
      </c>
      <c r="Z617" s="349">
        <v>8987.0300000000007</v>
      </c>
      <c r="AA617" s="349">
        <f t="shared" si="94"/>
        <v>6111.1899999999987</v>
      </c>
      <c r="AB617" s="349">
        <v>1617.66</v>
      </c>
      <c r="AC617" s="345">
        <v>54260</v>
      </c>
      <c r="AD617" s="349">
        <v>179.74</v>
      </c>
      <c r="AE617" s="345" t="s">
        <v>944</v>
      </c>
      <c r="AF617" s="347"/>
      <c r="AG617" s="347"/>
      <c r="AH617" s="347" t="s">
        <v>57</v>
      </c>
      <c r="AI617" s="347" t="s">
        <v>4442</v>
      </c>
      <c r="AJ617" s="347" t="s">
        <v>4443</v>
      </c>
      <c r="AK617" s="347" t="s">
        <v>4437</v>
      </c>
      <c r="AL617" s="387">
        <v>45574</v>
      </c>
    </row>
    <row r="618" spans="2:38" ht="15.75" outlineLevel="1">
      <c r="B618" s="345">
        <v>2111</v>
      </c>
      <c r="C618" s="346">
        <v>236435</v>
      </c>
      <c r="D618" s="345" t="s">
        <v>944</v>
      </c>
      <c r="E618" s="347" t="s">
        <v>4240</v>
      </c>
      <c r="F618" s="343" t="s">
        <v>1134</v>
      </c>
      <c r="I618" s="345">
        <v>936</v>
      </c>
      <c r="J618" s="347"/>
      <c r="K618" s="345">
        <v>0</v>
      </c>
      <c r="L618" s="347" t="s">
        <v>1462</v>
      </c>
      <c r="M618" s="347"/>
      <c r="N618" s="347" t="s">
        <v>4446</v>
      </c>
      <c r="O618" s="347" t="s">
        <v>4441</v>
      </c>
      <c r="P618" s="347"/>
      <c r="Q618" s="347"/>
      <c r="R618" s="347"/>
      <c r="S618" s="348">
        <v>44049</v>
      </c>
      <c r="T618" s="348">
        <v>44049</v>
      </c>
      <c r="U618" s="347" t="s">
        <v>1757</v>
      </c>
      <c r="V618" s="345">
        <v>700</v>
      </c>
      <c r="W618" s="345">
        <v>14050</v>
      </c>
      <c r="X618" s="349">
        <v>36147.24</v>
      </c>
      <c r="Y618" s="345">
        <v>14056</v>
      </c>
      <c r="Z618" s="349">
        <v>21516.17</v>
      </c>
      <c r="AA618" s="349">
        <f t="shared" si="94"/>
        <v>14631.07</v>
      </c>
      <c r="AB618" s="349">
        <v>3872.88</v>
      </c>
      <c r="AC618" s="345">
        <v>54260</v>
      </c>
      <c r="AD618" s="349">
        <v>430.32</v>
      </c>
      <c r="AE618" s="345" t="s">
        <v>944</v>
      </c>
      <c r="AF618" s="347"/>
      <c r="AG618" s="347"/>
      <c r="AH618" s="347" t="s">
        <v>57</v>
      </c>
      <c r="AI618" s="347" t="s">
        <v>4442</v>
      </c>
      <c r="AJ618" s="347" t="s">
        <v>4443</v>
      </c>
      <c r="AK618" s="347" t="s">
        <v>4437</v>
      </c>
      <c r="AL618" s="387">
        <v>45574</v>
      </c>
    </row>
    <row r="619" spans="2:38" ht="15.75" outlineLevel="1">
      <c r="B619" s="345">
        <v>2111</v>
      </c>
      <c r="C619" s="346">
        <v>236434</v>
      </c>
      <c r="D619" s="345" t="s">
        <v>944</v>
      </c>
      <c r="E619" s="347" t="s">
        <v>4240</v>
      </c>
      <c r="F619" s="343" t="s">
        <v>1762</v>
      </c>
      <c r="I619" s="345">
        <v>702</v>
      </c>
      <c r="J619" s="347"/>
      <c r="K619" s="345">
        <v>0</v>
      </c>
      <c r="L619" s="347" t="s">
        <v>1462</v>
      </c>
      <c r="M619" s="347"/>
      <c r="N619" s="347" t="s">
        <v>4446</v>
      </c>
      <c r="O619" s="347" t="s">
        <v>4441</v>
      </c>
      <c r="P619" s="347"/>
      <c r="Q619" s="347"/>
      <c r="R619" s="347"/>
      <c r="S619" s="348">
        <v>44053</v>
      </c>
      <c r="T619" s="348">
        <v>44053</v>
      </c>
      <c r="U619" s="347" t="s">
        <v>1757</v>
      </c>
      <c r="V619" s="345">
        <v>700</v>
      </c>
      <c r="W619" s="345">
        <v>14050</v>
      </c>
      <c r="X619" s="349">
        <v>30196.43</v>
      </c>
      <c r="Y619" s="345">
        <v>14056</v>
      </c>
      <c r="Z619" s="349">
        <v>17974.07</v>
      </c>
      <c r="AA619" s="349">
        <f t="shared" si="94"/>
        <v>12222.36</v>
      </c>
      <c r="AB619" s="349">
        <v>3235.32</v>
      </c>
      <c r="AC619" s="345">
        <v>54260</v>
      </c>
      <c r="AD619" s="349">
        <v>359.48</v>
      </c>
      <c r="AE619" s="345" t="s">
        <v>944</v>
      </c>
      <c r="AF619" s="347"/>
      <c r="AG619" s="347"/>
      <c r="AH619" s="347" t="s">
        <v>57</v>
      </c>
      <c r="AI619" s="347" t="s">
        <v>4442</v>
      </c>
      <c r="AJ619" s="347" t="s">
        <v>4443</v>
      </c>
      <c r="AK619" s="347" t="s">
        <v>4437</v>
      </c>
      <c r="AL619" s="387">
        <v>45574</v>
      </c>
    </row>
    <row r="620" spans="2:38" ht="15.75" outlineLevel="1">
      <c r="B620" s="345">
        <v>2111</v>
      </c>
      <c r="C620" s="346">
        <v>236403</v>
      </c>
      <c r="D620" s="345" t="s">
        <v>944</v>
      </c>
      <c r="E620" s="347" t="s">
        <v>4240</v>
      </c>
      <c r="F620" s="343" t="s">
        <v>1068</v>
      </c>
      <c r="I620" s="345">
        <v>1</v>
      </c>
      <c r="J620" s="347" t="s">
        <v>1763</v>
      </c>
      <c r="K620" s="345">
        <v>2020</v>
      </c>
      <c r="L620" s="347" t="s">
        <v>1483</v>
      </c>
      <c r="M620" s="347" t="s">
        <v>1764</v>
      </c>
      <c r="N620" s="347" t="s">
        <v>4445</v>
      </c>
      <c r="O620" s="347" t="s">
        <v>4441</v>
      </c>
      <c r="P620" s="347" t="s">
        <v>4482</v>
      </c>
      <c r="Q620" s="347"/>
      <c r="R620" s="347"/>
      <c r="S620" s="348">
        <v>44073</v>
      </c>
      <c r="T620" s="348">
        <v>44073</v>
      </c>
      <c r="U620" s="347" t="s">
        <v>1765</v>
      </c>
      <c r="V620" s="345">
        <v>1000</v>
      </c>
      <c r="W620" s="345">
        <v>14040</v>
      </c>
      <c r="X620" s="349">
        <v>368546.11</v>
      </c>
      <c r="Y620" s="345">
        <v>14046</v>
      </c>
      <c r="Z620" s="349">
        <v>150489.68</v>
      </c>
      <c r="AA620" s="349">
        <f t="shared" si="94"/>
        <v>218056.43</v>
      </c>
      <c r="AB620" s="349">
        <v>27640.98</v>
      </c>
      <c r="AC620" s="345">
        <v>51260</v>
      </c>
      <c r="AD620" s="349">
        <v>3071.22</v>
      </c>
      <c r="AE620" s="345" t="s">
        <v>944</v>
      </c>
      <c r="AF620" s="347"/>
      <c r="AG620" s="347">
        <v>864</v>
      </c>
      <c r="AH620" s="347" t="s">
        <v>57</v>
      </c>
      <c r="AI620" s="347" t="s">
        <v>4442</v>
      </c>
      <c r="AJ620" s="347" t="s">
        <v>4443</v>
      </c>
      <c r="AK620" s="347" t="s">
        <v>4437</v>
      </c>
      <c r="AL620" s="387">
        <v>45574</v>
      </c>
    </row>
    <row r="621" spans="2:38" ht="15.75" outlineLevel="1">
      <c r="B621" s="345">
        <v>2111</v>
      </c>
      <c r="C621" s="346">
        <v>236120</v>
      </c>
      <c r="D621" s="345">
        <v>232980</v>
      </c>
      <c r="E621" s="347" t="s">
        <v>4240</v>
      </c>
      <c r="F621" s="343" t="s">
        <v>1766</v>
      </c>
      <c r="I621" s="345">
        <v>1</v>
      </c>
      <c r="J621" s="347"/>
      <c r="K621" s="345">
        <v>0</v>
      </c>
      <c r="L621" s="347" t="s">
        <v>1456</v>
      </c>
      <c r="M621" s="347"/>
      <c r="N621" s="347" t="s">
        <v>4462</v>
      </c>
      <c r="O621" s="347" t="s">
        <v>4441</v>
      </c>
      <c r="P621" s="347"/>
      <c r="Q621" s="347"/>
      <c r="R621" s="347"/>
      <c r="S621" s="348">
        <v>43982</v>
      </c>
      <c r="T621" s="348">
        <v>43982</v>
      </c>
      <c r="U621" s="347" t="s">
        <v>1767</v>
      </c>
      <c r="V621" s="345">
        <v>1000</v>
      </c>
      <c r="W621" s="345">
        <v>14010</v>
      </c>
      <c r="X621" s="349">
        <v>2000.59</v>
      </c>
      <c r="Y621" s="345">
        <v>14016</v>
      </c>
      <c r="Z621" s="349">
        <v>866.83</v>
      </c>
      <c r="AA621" s="349">
        <f t="shared" si="94"/>
        <v>1133.7599999999998</v>
      </c>
      <c r="AB621" s="349">
        <v>150.03</v>
      </c>
      <c r="AC621" s="345">
        <v>57260</v>
      </c>
      <c r="AD621" s="349">
        <v>16.670000000000002</v>
      </c>
      <c r="AE621" s="345" t="s">
        <v>944</v>
      </c>
      <c r="AF621" s="347"/>
      <c r="AG621" s="347"/>
      <c r="AH621" s="347" t="s">
        <v>57</v>
      </c>
      <c r="AI621" s="347" t="s">
        <v>4442</v>
      </c>
      <c r="AJ621" s="347" t="s">
        <v>4443</v>
      </c>
      <c r="AK621" s="347" t="s">
        <v>4437</v>
      </c>
      <c r="AL621" s="387">
        <v>45574</v>
      </c>
    </row>
    <row r="622" spans="2:38" ht="15.75" outlineLevel="1">
      <c r="B622" s="345">
        <v>2111</v>
      </c>
      <c r="C622" s="346">
        <v>235960</v>
      </c>
      <c r="D622" s="345">
        <v>232980</v>
      </c>
      <c r="E622" s="347" t="s">
        <v>4240</v>
      </c>
      <c r="F622" s="343" t="s">
        <v>1769</v>
      </c>
      <c r="I622" s="345">
        <v>1</v>
      </c>
      <c r="J622" s="347"/>
      <c r="K622" s="345">
        <v>0</v>
      </c>
      <c r="L622" s="347" t="s">
        <v>1456</v>
      </c>
      <c r="M622" s="347"/>
      <c r="N622" s="347" t="s">
        <v>4462</v>
      </c>
      <c r="O622" s="347" t="s">
        <v>4441</v>
      </c>
      <c r="P622" s="347"/>
      <c r="Q622" s="347"/>
      <c r="R622" s="347"/>
      <c r="S622" s="348">
        <v>43982</v>
      </c>
      <c r="T622" s="348">
        <v>43982</v>
      </c>
      <c r="U622" s="347" t="s">
        <v>1767</v>
      </c>
      <c r="V622" s="345">
        <v>1000</v>
      </c>
      <c r="W622" s="345">
        <v>14010</v>
      </c>
      <c r="X622" s="349">
        <v>2473.3200000000002</v>
      </c>
      <c r="Y622" s="345">
        <v>14016</v>
      </c>
      <c r="Z622" s="349">
        <v>1071.76</v>
      </c>
      <c r="AA622" s="349">
        <f t="shared" si="94"/>
        <v>1401.5600000000002</v>
      </c>
      <c r="AB622" s="349">
        <v>185.49</v>
      </c>
      <c r="AC622" s="345">
        <v>57260</v>
      </c>
      <c r="AD622" s="349">
        <v>20.61</v>
      </c>
      <c r="AE622" s="345" t="s">
        <v>944</v>
      </c>
      <c r="AF622" s="347"/>
      <c r="AG622" s="347"/>
      <c r="AH622" s="347" t="s">
        <v>57</v>
      </c>
      <c r="AI622" s="347" t="s">
        <v>4442</v>
      </c>
      <c r="AJ622" s="347" t="s">
        <v>4443</v>
      </c>
      <c r="AK622" s="347" t="s">
        <v>4437</v>
      </c>
      <c r="AL622" s="387">
        <v>45574</v>
      </c>
    </row>
    <row r="623" spans="2:38" ht="15.75" outlineLevel="1">
      <c r="B623" s="345">
        <v>2111</v>
      </c>
      <c r="C623" s="346">
        <v>235803</v>
      </c>
      <c r="D623" s="345" t="s">
        <v>944</v>
      </c>
      <c r="E623" s="347" t="s">
        <v>4240</v>
      </c>
      <c r="F623" s="343" t="s">
        <v>1771</v>
      </c>
      <c r="I623" s="345">
        <v>1</v>
      </c>
      <c r="J623" s="347"/>
      <c r="K623" s="345">
        <v>0</v>
      </c>
      <c r="L623" s="347" t="s">
        <v>1657</v>
      </c>
      <c r="M623" s="347"/>
      <c r="N623" s="347" t="s">
        <v>4440</v>
      </c>
      <c r="O623" s="347" t="s">
        <v>4441</v>
      </c>
      <c r="P623" s="347"/>
      <c r="Q623" s="347"/>
      <c r="R623" s="347"/>
      <c r="S623" s="348">
        <v>44043</v>
      </c>
      <c r="T623" s="348">
        <v>44043</v>
      </c>
      <c r="U623" s="347" t="s">
        <v>1753</v>
      </c>
      <c r="V623" s="345">
        <v>300</v>
      </c>
      <c r="W623" s="345">
        <v>14110</v>
      </c>
      <c r="X623" s="349">
        <v>1512.14</v>
      </c>
      <c r="Y623" s="345">
        <v>14116</v>
      </c>
      <c r="Z623" s="349">
        <v>1512.14</v>
      </c>
      <c r="AA623" s="349">
        <f t="shared" si="94"/>
        <v>0</v>
      </c>
      <c r="AB623" s="349">
        <v>0</v>
      </c>
      <c r="AC623" s="345">
        <v>70260</v>
      </c>
      <c r="AD623" s="349">
        <v>0</v>
      </c>
      <c r="AE623" s="345" t="s">
        <v>944</v>
      </c>
      <c r="AF623" s="347"/>
      <c r="AG623" s="347"/>
      <c r="AH623" s="347" t="s">
        <v>57</v>
      </c>
      <c r="AI623" s="347" t="s">
        <v>4442</v>
      </c>
      <c r="AJ623" s="347" t="s">
        <v>4443</v>
      </c>
      <c r="AK623" s="347" t="s">
        <v>4437</v>
      </c>
      <c r="AL623" s="387">
        <v>45574</v>
      </c>
    </row>
    <row r="624" spans="2:38" ht="15.75" outlineLevel="1">
      <c r="B624" s="345">
        <v>2111</v>
      </c>
      <c r="C624" s="346">
        <v>235802</v>
      </c>
      <c r="D624" s="345" t="s">
        <v>944</v>
      </c>
      <c r="E624" s="347" t="s">
        <v>4240</v>
      </c>
      <c r="F624" s="343" t="s">
        <v>1773</v>
      </c>
      <c r="I624" s="345">
        <v>1</v>
      </c>
      <c r="J624" s="347"/>
      <c r="K624" s="345">
        <v>0</v>
      </c>
      <c r="L624" s="347" t="s">
        <v>1657</v>
      </c>
      <c r="M624" s="347"/>
      <c r="N624" s="347" t="s">
        <v>4440</v>
      </c>
      <c r="O624" s="347" t="s">
        <v>4441</v>
      </c>
      <c r="P624" s="347"/>
      <c r="Q624" s="347"/>
      <c r="R624" s="347"/>
      <c r="S624" s="348">
        <v>44043</v>
      </c>
      <c r="T624" s="348">
        <v>44043</v>
      </c>
      <c r="U624" s="347" t="s">
        <v>1774</v>
      </c>
      <c r="V624" s="345">
        <v>200</v>
      </c>
      <c r="W624" s="345">
        <v>14110</v>
      </c>
      <c r="X624" s="349">
        <v>2202.67</v>
      </c>
      <c r="Y624" s="345">
        <v>14116</v>
      </c>
      <c r="Z624" s="349">
        <v>2202.67</v>
      </c>
      <c r="AA624" s="349">
        <f t="shared" si="94"/>
        <v>0</v>
      </c>
      <c r="AB624" s="349">
        <v>0</v>
      </c>
      <c r="AC624" s="345">
        <v>70260</v>
      </c>
      <c r="AD624" s="349">
        <v>0</v>
      </c>
      <c r="AE624" s="345" t="s">
        <v>944</v>
      </c>
      <c r="AF624" s="347"/>
      <c r="AG624" s="347"/>
      <c r="AH624" s="347" t="s">
        <v>57</v>
      </c>
      <c r="AI624" s="347" t="s">
        <v>4442</v>
      </c>
      <c r="AJ624" s="347" t="s">
        <v>4443</v>
      </c>
      <c r="AK624" s="347" t="s">
        <v>4437</v>
      </c>
      <c r="AL624" s="387">
        <v>45574</v>
      </c>
    </row>
    <row r="625" spans="2:38" ht="15.75" outlineLevel="1">
      <c r="B625" s="345">
        <v>2111</v>
      </c>
      <c r="C625" s="346">
        <v>235097</v>
      </c>
      <c r="D625" s="345" t="s">
        <v>944</v>
      </c>
      <c r="E625" s="347" t="s">
        <v>4240</v>
      </c>
      <c r="F625" s="343" t="s">
        <v>1068</v>
      </c>
      <c r="I625" s="345">
        <v>1</v>
      </c>
      <c r="J625" s="347" t="s">
        <v>1776</v>
      </c>
      <c r="K625" s="345">
        <v>2020</v>
      </c>
      <c r="L625" s="347" t="s">
        <v>1483</v>
      </c>
      <c r="M625" s="347" t="s">
        <v>1764</v>
      </c>
      <c r="N625" s="347" t="s">
        <v>4445</v>
      </c>
      <c r="O625" s="347" t="s">
        <v>4441</v>
      </c>
      <c r="P625" s="347" t="s">
        <v>4482</v>
      </c>
      <c r="Q625" s="347"/>
      <c r="R625" s="347"/>
      <c r="S625" s="348">
        <v>44027</v>
      </c>
      <c r="T625" s="348">
        <v>44027</v>
      </c>
      <c r="U625" s="347" t="s">
        <v>1777</v>
      </c>
      <c r="V625" s="345">
        <v>1000</v>
      </c>
      <c r="W625" s="345">
        <v>14040</v>
      </c>
      <c r="X625" s="349">
        <v>364970.65</v>
      </c>
      <c r="Y625" s="345">
        <v>14046</v>
      </c>
      <c r="Z625" s="349">
        <v>155112.51999999999</v>
      </c>
      <c r="AA625" s="349">
        <f t="shared" si="94"/>
        <v>209858.13000000003</v>
      </c>
      <c r="AB625" s="349">
        <v>27372.78</v>
      </c>
      <c r="AC625" s="345">
        <v>51260</v>
      </c>
      <c r="AD625" s="349">
        <v>3041.42</v>
      </c>
      <c r="AE625" s="345" t="s">
        <v>944</v>
      </c>
      <c r="AF625" s="347"/>
      <c r="AG625" s="347">
        <v>863</v>
      </c>
      <c r="AH625" s="347" t="s">
        <v>57</v>
      </c>
      <c r="AI625" s="347" t="s">
        <v>4442</v>
      </c>
      <c r="AJ625" s="347" t="s">
        <v>4443</v>
      </c>
      <c r="AK625" s="347" t="s">
        <v>4437</v>
      </c>
      <c r="AL625" s="387">
        <v>45574</v>
      </c>
    </row>
    <row r="626" spans="2:38" ht="15.75" outlineLevel="1">
      <c r="B626" s="345">
        <v>2111</v>
      </c>
      <c r="C626" s="346">
        <v>234891</v>
      </c>
      <c r="D626" s="345">
        <v>232980</v>
      </c>
      <c r="E626" s="347" t="s">
        <v>4240</v>
      </c>
      <c r="F626" s="343" t="s">
        <v>1778</v>
      </c>
      <c r="I626" s="345">
        <v>1</v>
      </c>
      <c r="J626" s="347"/>
      <c r="K626" s="345">
        <v>0</v>
      </c>
      <c r="L626" s="347" t="s">
        <v>1779</v>
      </c>
      <c r="M626" s="347"/>
      <c r="N626" s="347" t="s">
        <v>4462</v>
      </c>
      <c r="O626" s="347" t="s">
        <v>4441</v>
      </c>
      <c r="P626" s="347"/>
      <c r="Q626" s="347"/>
      <c r="R626" s="347"/>
      <c r="S626" s="348">
        <v>43982</v>
      </c>
      <c r="T626" s="348">
        <v>43982</v>
      </c>
      <c r="U626" s="347" t="s">
        <v>1767</v>
      </c>
      <c r="V626" s="345">
        <v>1000</v>
      </c>
      <c r="W626" s="345">
        <v>14010</v>
      </c>
      <c r="X626" s="349">
        <v>69420.509999999995</v>
      </c>
      <c r="Y626" s="345">
        <v>14016</v>
      </c>
      <c r="Z626" s="349">
        <v>30082.18</v>
      </c>
      <c r="AA626" s="349">
        <f t="shared" si="94"/>
        <v>39338.329999999994</v>
      </c>
      <c r="AB626" s="349">
        <v>5206.5</v>
      </c>
      <c r="AC626" s="345">
        <v>57260</v>
      </c>
      <c r="AD626" s="349">
        <v>578.5</v>
      </c>
      <c r="AE626" s="345" t="s">
        <v>944</v>
      </c>
      <c r="AF626" s="347"/>
      <c r="AG626" s="347"/>
      <c r="AH626" s="347" t="s">
        <v>57</v>
      </c>
      <c r="AI626" s="347" t="s">
        <v>4442</v>
      </c>
      <c r="AJ626" s="347" t="s">
        <v>4443</v>
      </c>
      <c r="AK626" s="347" t="s">
        <v>4437</v>
      </c>
      <c r="AL626" s="387">
        <v>45574</v>
      </c>
    </row>
    <row r="627" spans="2:38" ht="15.75" outlineLevel="1">
      <c r="B627" s="345">
        <v>2111</v>
      </c>
      <c r="C627" s="346">
        <v>234890</v>
      </c>
      <c r="D627" s="345">
        <v>232978</v>
      </c>
      <c r="E627" s="347" t="s">
        <v>4240</v>
      </c>
      <c r="F627" s="343" t="s">
        <v>1781</v>
      </c>
      <c r="I627" s="345">
        <v>1</v>
      </c>
      <c r="J627" s="347"/>
      <c r="K627" s="345">
        <v>0</v>
      </c>
      <c r="L627" s="347" t="s">
        <v>1456</v>
      </c>
      <c r="M627" s="347"/>
      <c r="N627" s="347" t="s">
        <v>4462</v>
      </c>
      <c r="O627" s="347" t="s">
        <v>4441</v>
      </c>
      <c r="P627" s="347"/>
      <c r="Q627" s="347"/>
      <c r="R627" s="347"/>
      <c r="S627" s="348">
        <v>43982</v>
      </c>
      <c r="T627" s="348">
        <v>43982</v>
      </c>
      <c r="U627" s="347" t="s">
        <v>1699</v>
      </c>
      <c r="V627" s="345">
        <v>1000</v>
      </c>
      <c r="W627" s="345">
        <v>14010</v>
      </c>
      <c r="X627" s="349">
        <v>322.5</v>
      </c>
      <c r="Y627" s="345">
        <v>14016</v>
      </c>
      <c r="Z627" s="349">
        <v>139.77000000000001</v>
      </c>
      <c r="AA627" s="349">
        <f t="shared" si="94"/>
        <v>182.73</v>
      </c>
      <c r="AB627" s="349">
        <v>24.21</v>
      </c>
      <c r="AC627" s="345">
        <v>57260</v>
      </c>
      <c r="AD627" s="349">
        <v>2.69</v>
      </c>
      <c r="AE627" s="345" t="s">
        <v>944</v>
      </c>
      <c r="AF627" s="347"/>
      <c r="AG627" s="347"/>
      <c r="AH627" s="347" t="s">
        <v>57</v>
      </c>
      <c r="AI627" s="347" t="s">
        <v>4442</v>
      </c>
      <c r="AJ627" s="347" t="s">
        <v>4443</v>
      </c>
      <c r="AK627" s="347" t="s">
        <v>4437</v>
      </c>
      <c r="AL627" s="387">
        <v>45574</v>
      </c>
    </row>
    <row r="628" spans="2:38" ht="15.75" outlineLevel="1">
      <c r="B628" s="345">
        <v>2111</v>
      </c>
      <c r="C628" s="346">
        <v>234041</v>
      </c>
      <c r="D628" s="345">
        <v>232980</v>
      </c>
      <c r="E628" s="347" t="s">
        <v>4240</v>
      </c>
      <c r="F628" s="343" t="s">
        <v>1783</v>
      </c>
      <c r="I628" s="345">
        <v>1</v>
      </c>
      <c r="J628" s="347"/>
      <c r="K628" s="345">
        <v>0</v>
      </c>
      <c r="L628" s="347" t="s">
        <v>1784</v>
      </c>
      <c r="M628" s="347"/>
      <c r="N628" s="347" t="s">
        <v>4462</v>
      </c>
      <c r="O628" s="347" t="s">
        <v>4441</v>
      </c>
      <c r="P628" s="347"/>
      <c r="Q628" s="347"/>
      <c r="R628" s="347"/>
      <c r="S628" s="348">
        <v>43982</v>
      </c>
      <c r="T628" s="348">
        <v>43982</v>
      </c>
      <c r="U628" s="347" t="s">
        <v>1767</v>
      </c>
      <c r="V628" s="345">
        <v>1000</v>
      </c>
      <c r="W628" s="345">
        <v>14010</v>
      </c>
      <c r="X628" s="349">
        <v>7211</v>
      </c>
      <c r="Y628" s="345">
        <v>14016</v>
      </c>
      <c r="Z628" s="349">
        <v>3124.75</v>
      </c>
      <c r="AA628" s="349">
        <f t="shared" si="94"/>
        <v>4086.25</v>
      </c>
      <c r="AB628" s="349">
        <v>540.80999999999995</v>
      </c>
      <c r="AC628" s="345">
        <v>57260</v>
      </c>
      <c r="AD628" s="349">
        <v>60.09</v>
      </c>
      <c r="AE628" s="345" t="s">
        <v>944</v>
      </c>
      <c r="AF628" s="347"/>
      <c r="AG628" s="347"/>
      <c r="AH628" s="347" t="s">
        <v>57</v>
      </c>
      <c r="AI628" s="347" t="s">
        <v>4442</v>
      </c>
      <c r="AJ628" s="347" t="s">
        <v>4443</v>
      </c>
      <c r="AK628" s="347" t="s">
        <v>4437</v>
      </c>
      <c r="AL628" s="387">
        <v>45574</v>
      </c>
    </row>
    <row r="629" spans="2:38" ht="15.75" outlineLevel="1">
      <c r="B629" s="345">
        <v>2111</v>
      </c>
      <c r="C629" s="346">
        <v>234040</v>
      </c>
      <c r="D629" s="345">
        <v>232980</v>
      </c>
      <c r="E629" s="347" t="s">
        <v>4240</v>
      </c>
      <c r="F629" s="343" t="s">
        <v>1785</v>
      </c>
      <c r="I629" s="345">
        <v>1</v>
      </c>
      <c r="J629" s="347"/>
      <c r="K629" s="345">
        <v>0</v>
      </c>
      <c r="L629" s="347" t="s">
        <v>1456</v>
      </c>
      <c r="M629" s="347"/>
      <c r="N629" s="347" t="s">
        <v>4462</v>
      </c>
      <c r="O629" s="347" t="s">
        <v>4441</v>
      </c>
      <c r="P629" s="347"/>
      <c r="Q629" s="347"/>
      <c r="R629" s="347"/>
      <c r="S629" s="348">
        <v>43982</v>
      </c>
      <c r="T629" s="348">
        <v>43982</v>
      </c>
      <c r="U629" s="347" t="s">
        <v>1767</v>
      </c>
      <c r="V629" s="345">
        <v>1000</v>
      </c>
      <c r="W629" s="345">
        <v>14010</v>
      </c>
      <c r="X629" s="349">
        <v>1700.62</v>
      </c>
      <c r="Y629" s="345">
        <v>14016</v>
      </c>
      <c r="Z629" s="349">
        <v>736.91</v>
      </c>
      <c r="AA629" s="349">
        <f t="shared" si="94"/>
        <v>963.70999999999992</v>
      </c>
      <c r="AB629" s="349">
        <v>127.53</v>
      </c>
      <c r="AC629" s="345">
        <v>57260</v>
      </c>
      <c r="AD629" s="349">
        <v>14.17</v>
      </c>
      <c r="AE629" s="345" t="s">
        <v>944</v>
      </c>
      <c r="AF629" s="347"/>
      <c r="AG629" s="347"/>
      <c r="AH629" s="347" t="s">
        <v>57</v>
      </c>
      <c r="AI629" s="347" t="s">
        <v>4442</v>
      </c>
      <c r="AJ629" s="347" t="s">
        <v>4443</v>
      </c>
      <c r="AK629" s="347" t="s">
        <v>4437</v>
      </c>
      <c r="AL629" s="387">
        <v>45574</v>
      </c>
    </row>
    <row r="630" spans="2:38" ht="15.75" outlineLevel="1">
      <c r="B630" s="345">
        <v>2111</v>
      </c>
      <c r="C630" s="346">
        <v>234039</v>
      </c>
      <c r="D630" s="345">
        <v>232980</v>
      </c>
      <c r="E630" s="347" t="s">
        <v>4240</v>
      </c>
      <c r="F630" s="343" t="s">
        <v>1787</v>
      </c>
      <c r="I630" s="345">
        <v>1</v>
      </c>
      <c r="J630" s="347"/>
      <c r="K630" s="345">
        <v>0</v>
      </c>
      <c r="L630" s="347" t="s">
        <v>1456</v>
      </c>
      <c r="M630" s="347"/>
      <c r="N630" s="347" t="s">
        <v>4462</v>
      </c>
      <c r="O630" s="347" t="s">
        <v>4441</v>
      </c>
      <c r="P630" s="347"/>
      <c r="Q630" s="347"/>
      <c r="R630" s="347"/>
      <c r="S630" s="348">
        <v>43982</v>
      </c>
      <c r="T630" s="348">
        <v>43982</v>
      </c>
      <c r="U630" s="347" t="s">
        <v>1767</v>
      </c>
      <c r="V630" s="345">
        <v>1000</v>
      </c>
      <c r="W630" s="345">
        <v>14010</v>
      </c>
      <c r="X630" s="349">
        <v>702</v>
      </c>
      <c r="Y630" s="345">
        <v>14016</v>
      </c>
      <c r="Z630" s="349">
        <v>304.2</v>
      </c>
      <c r="AA630" s="349">
        <f t="shared" si="94"/>
        <v>397.8</v>
      </c>
      <c r="AB630" s="349">
        <v>52.65</v>
      </c>
      <c r="AC630" s="345">
        <v>57260</v>
      </c>
      <c r="AD630" s="349">
        <v>5.85</v>
      </c>
      <c r="AE630" s="345" t="s">
        <v>944</v>
      </c>
      <c r="AF630" s="347"/>
      <c r="AG630" s="347"/>
      <c r="AH630" s="347" t="s">
        <v>57</v>
      </c>
      <c r="AI630" s="347" t="s">
        <v>4442</v>
      </c>
      <c r="AJ630" s="347" t="s">
        <v>4443</v>
      </c>
      <c r="AK630" s="347" t="s">
        <v>4437</v>
      </c>
      <c r="AL630" s="387">
        <v>45574</v>
      </c>
    </row>
    <row r="631" spans="2:38" ht="15.75" outlineLevel="1">
      <c r="B631" s="345">
        <v>2111</v>
      </c>
      <c r="C631" s="346">
        <v>234038</v>
      </c>
      <c r="D631" s="345">
        <v>232979</v>
      </c>
      <c r="E631" s="347" t="s">
        <v>4240</v>
      </c>
      <c r="F631" s="343" t="s">
        <v>1789</v>
      </c>
      <c r="I631" s="345">
        <v>1</v>
      </c>
      <c r="J631" s="347"/>
      <c r="K631" s="345">
        <v>0</v>
      </c>
      <c r="L631" s="347" t="s">
        <v>1779</v>
      </c>
      <c r="M631" s="347"/>
      <c r="N631" s="347" t="s">
        <v>4462</v>
      </c>
      <c r="O631" s="347" t="s">
        <v>4441</v>
      </c>
      <c r="P631" s="347"/>
      <c r="Q631" s="347"/>
      <c r="R631" s="347"/>
      <c r="S631" s="348">
        <v>43982</v>
      </c>
      <c r="T631" s="348">
        <v>43982</v>
      </c>
      <c r="U631" s="347" t="s">
        <v>1790</v>
      </c>
      <c r="V631" s="345">
        <v>1000</v>
      </c>
      <c r="W631" s="345">
        <v>14010</v>
      </c>
      <c r="X631" s="349">
        <v>226012.36</v>
      </c>
      <c r="Y631" s="345">
        <v>14016</v>
      </c>
      <c r="Z631" s="349">
        <v>97938.74</v>
      </c>
      <c r="AA631" s="349">
        <f t="shared" si="94"/>
        <v>128073.61999999998</v>
      </c>
      <c r="AB631" s="349">
        <v>16950.96</v>
      </c>
      <c r="AC631" s="345">
        <v>57260</v>
      </c>
      <c r="AD631" s="349">
        <v>1883.44</v>
      </c>
      <c r="AE631" s="345" t="s">
        <v>944</v>
      </c>
      <c r="AF631" s="347"/>
      <c r="AG631" s="347"/>
      <c r="AH631" s="347" t="s">
        <v>57</v>
      </c>
      <c r="AI631" s="347" t="s">
        <v>4442</v>
      </c>
      <c r="AJ631" s="347" t="s">
        <v>4443</v>
      </c>
      <c r="AK631" s="347" t="s">
        <v>4437</v>
      </c>
      <c r="AL631" s="387">
        <v>45574</v>
      </c>
    </row>
    <row r="632" spans="2:38" ht="15.75" outlineLevel="1">
      <c r="B632" s="345">
        <v>2111</v>
      </c>
      <c r="C632" s="346">
        <v>234037</v>
      </c>
      <c r="D632" s="345">
        <v>232979</v>
      </c>
      <c r="E632" s="347" t="s">
        <v>4240</v>
      </c>
      <c r="F632" s="343" t="s">
        <v>1792</v>
      </c>
      <c r="I632" s="345">
        <v>1</v>
      </c>
      <c r="J632" s="347"/>
      <c r="K632" s="345">
        <v>0</v>
      </c>
      <c r="L632" s="347" t="s">
        <v>1456</v>
      </c>
      <c r="M632" s="347"/>
      <c r="N632" s="347" t="s">
        <v>4462</v>
      </c>
      <c r="O632" s="347" t="s">
        <v>4441</v>
      </c>
      <c r="P632" s="347"/>
      <c r="Q632" s="347"/>
      <c r="R632" s="347"/>
      <c r="S632" s="348">
        <v>43982</v>
      </c>
      <c r="T632" s="348">
        <v>43982</v>
      </c>
      <c r="U632" s="347" t="s">
        <v>1790</v>
      </c>
      <c r="V632" s="345">
        <v>1000</v>
      </c>
      <c r="W632" s="345">
        <v>14010</v>
      </c>
      <c r="X632" s="349">
        <v>1148.5</v>
      </c>
      <c r="Y632" s="345">
        <v>14016</v>
      </c>
      <c r="Z632" s="349">
        <v>497.65</v>
      </c>
      <c r="AA632" s="349">
        <f t="shared" si="94"/>
        <v>650.85</v>
      </c>
      <c r="AB632" s="349">
        <v>86.13</v>
      </c>
      <c r="AC632" s="345">
        <v>57260</v>
      </c>
      <c r="AD632" s="349">
        <v>9.57</v>
      </c>
      <c r="AE632" s="345" t="s">
        <v>944</v>
      </c>
      <c r="AF632" s="347"/>
      <c r="AG632" s="347"/>
      <c r="AH632" s="347" t="s">
        <v>57</v>
      </c>
      <c r="AI632" s="347" t="s">
        <v>4442</v>
      </c>
      <c r="AJ632" s="347" t="s">
        <v>4443</v>
      </c>
      <c r="AK632" s="347" t="s">
        <v>4437</v>
      </c>
      <c r="AL632" s="387">
        <v>45574</v>
      </c>
    </row>
    <row r="633" spans="2:38" ht="15.75" outlineLevel="1">
      <c r="B633" s="345">
        <v>2111</v>
      </c>
      <c r="C633" s="346">
        <v>234036</v>
      </c>
      <c r="D633" s="345">
        <v>232979</v>
      </c>
      <c r="E633" s="347" t="s">
        <v>4240</v>
      </c>
      <c r="F633" s="343" t="s">
        <v>1794</v>
      </c>
      <c r="I633" s="345">
        <v>1</v>
      </c>
      <c r="J633" s="347"/>
      <c r="K633" s="345">
        <v>0</v>
      </c>
      <c r="L633" s="347" t="s">
        <v>1795</v>
      </c>
      <c r="M633" s="347"/>
      <c r="N633" s="347" t="s">
        <v>4462</v>
      </c>
      <c r="O633" s="347" t="s">
        <v>4441</v>
      </c>
      <c r="P633" s="347"/>
      <c r="Q633" s="347"/>
      <c r="R633" s="347"/>
      <c r="S633" s="348">
        <v>43982</v>
      </c>
      <c r="T633" s="348">
        <v>43982</v>
      </c>
      <c r="U633" s="347" t="s">
        <v>1790</v>
      </c>
      <c r="V633" s="345">
        <v>1000</v>
      </c>
      <c r="W633" s="345">
        <v>14010</v>
      </c>
      <c r="X633" s="349">
        <v>1417.62</v>
      </c>
      <c r="Y633" s="345">
        <v>14016</v>
      </c>
      <c r="Z633" s="349">
        <v>614.23</v>
      </c>
      <c r="AA633" s="349">
        <f t="shared" si="94"/>
        <v>803.38999999999987</v>
      </c>
      <c r="AB633" s="349">
        <v>106.29</v>
      </c>
      <c r="AC633" s="345">
        <v>57260</v>
      </c>
      <c r="AD633" s="349">
        <v>11.81</v>
      </c>
      <c r="AE633" s="345" t="s">
        <v>944</v>
      </c>
      <c r="AF633" s="347"/>
      <c r="AG633" s="347"/>
      <c r="AH633" s="347" t="s">
        <v>57</v>
      </c>
      <c r="AI633" s="347" t="s">
        <v>4442</v>
      </c>
      <c r="AJ633" s="347" t="s">
        <v>4443</v>
      </c>
      <c r="AK633" s="347" t="s">
        <v>4437</v>
      </c>
      <c r="AL633" s="387">
        <v>45574</v>
      </c>
    </row>
    <row r="634" spans="2:38" ht="15.75" outlineLevel="1">
      <c r="B634" s="345">
        <v>2111</v>
      </c>
      <c r="C634" s="346">
        <v>233513</v>
      </c>
      <c r="D634" s="345">
        <v>232980</v>
      </c>
      <c r="E634" s="347" t="s">
        <v>4240</v>
      </c>
      <c r="F634" s="343" t="s">
        <v>1796</v>
      </c>
      <c r="I634" s="345">
        <v>1</v>
      </c>
      <c r="J634" s="347"/>
      <c r="K634" s="345">
        <v>0</v>
      </c>
      <c r="L634" s="347" t="s">
        <v>1779</v>
      </c>
      <c r="M634" s="347"/>
      <c r="N634" s="347" t="s">
        <v>4462</v>
      </c>
      <c r="O634" s="347" t="s">
        <v>4441</v>
      </c>
      <c r="P634" s="347"/>
      <c r="Q634" s="347"/>
      <c r="R634" s="347"/>
      <c r="S634" s="348">
        <v>43982</v>
      </c>
      <c r="T634" s="348">
        <v>43982</v>
      </c>
      <c r="U634" s="347" t="s">
        <v>1767</v>
      </c>
      <c r="V634" s="345">
        <v>1000</v>
      </c>
      <c r="W634" s="345">
        <v>14010</v>
      </c>
      <c r="X634" s="349">
        <v>6243.75</v>
      </c>
      <c r="Y634" s="345">
        <v>14016</v>
      </c>
      <c r="Z634" s="349">
        <v>2705.63</v>
      </c>
      <c r="AA634" s="349">
        <f t="shared" si="94"/>
        <v>3538.12</v>
      </c>
      <c r="AB634" s="349">
        <v>468.27</v>
      </c>
      <c r="AC634" s="345">
        <v>57260</v>
      </c>
      <c r="AD634" s="349">
        <v>52.03</v>
      </c>
      <c r="AE634" s="345" t="s">
        <v>944</v>
      </c>
      <c r="AF634" s="347"/>
      <c r="AG634" s="347"/>
      <c r="AH634" s="347" t="s">
        <v>57</v>
      </c>
      <c r="AI634" s="347" t="s">
        <v>4442</v>
      </c>
      <c r="AJ634" s="347" t="s">
        <v>4443</v>
      </c>
      <c r="AK634" s="347" t="s">
        <v>4437</v>
      </c>
      <c r="AL634" s="387">
        <v>45574</v>
      </c>
    </row>
    <row r="635" spans="2:38" ht="15.75" outlineLevel="1">
      <c r="B635" s="345">
        <v>2111</v>
      </c>
      <c r="C635" s="346">
        <v>233512</v>
      </c>
      <c r="D635" s="345">
        <v>232979</v>
      </c>
      <c r="E635" s="347" t="s">
        <v>4240</v>
      </c>
      <c r="F635" s="343" t="s">
        <v>1798</v>
      </c>
      <c r="I635" s="345">
        <v>1</v>
      </c>
      <c r="J635" s="347"/>
      <c r="K635" s="345">
        <v>0</v>
      </c>
      <c r="L635" s="347" t="s">
        <v>1779</v>
      </c>
      <c r="M635" s="347"/>
      <c r="N635" s="347" t="s">
        <v>4462</v>
      </c>
      <c r="O635" s="347" t="s">
        <v>4441</v>
      </c>
      <c r="P635" s="347"/>
      <c r="Q635" s="347"/>
      <c r="R635" s="347"/>
      <c r="S635" s="348">
        <v>43982</v>
      </c>
      <c r="T635" s="348">
        <v>43982</v>
      </c>
      <c r="U635" s="347" t="s">
        <v>1790</v>
      </c>
      <c r="V635" s="345">
        <v>1000</v>
      </c>
      <c r="W635" s="345">
        <v>14010</v>
      </c>
      <c r="X635" s="349">
        <v>240504.3</v>
      </c>
      <c r="Y635" s="345">
        <v>14016</v>
      </c>
      <c r="Z635" s="349">
        <v>104218.47</v>
      </c>
      <c r="AA635" s="349">
        <f t="shared" si="94"/>
        <v>136285.82999999999</v>
      </c>
      <c r="AB635" s="349">
        <v>18037.8</v>
      </c>
      <c r="AC635" s="345">
        <v>57260</v>
      </c>
      <c r="AD635" s="349">
        <v>2004.2</v>
      </c>
      <c r="AE635" s="345" t="s">
        <v>944</v>
      </c>
      <c r="AF635" s="347"/>
      <c r="AG635" s="347"/>
      <c r="AH635" s="347" t="s">
        <v>57</v>
      </c>
      <c r="AI635" s="347" t="s">
        <v>4442</v>
      </c>
      <c r="AJ635" s="347" t="s">
        <v>4443</v>
      </c>
      <c r="AK635" s="347" t="s">
        <v>4437</v>
      </c>
      <c r="AL635" s="387">
        <v>45574</v>
      </c>
    </row>
    <row r="636" spans="2:38" ht="15.75" outlineLevel="1">
      <c r="B636" s="345">
        <v>2111</v>
      </c>
      <c r="C636" s="346">
        <v>233511</v>
      </c>
      <c r="D636" s="345">
        <v>232979</v>
      </c>
      <c r="E636" s="347" t="s">
        <v>4240</v>
      </c>
      <c r="F636" s="343" t="s">
        <v>1800</v>
      </c>
      <c r="I636" s="345">
        <v>1</v>
      </c>
      <c r="J636" s="347"/>
      <c r="K636" s="345">
        <v>0</v>
      </c>
      <c r="L636" s="347" t="s">
        <v>1456</v>
      </c>
      <c r="M636" s="347"/>
      <c r="N636" s="347" t="s">
        <v>4462</v>
      </c>
      <c r="O636" s="347" t="s">
        <v>4441</v>
      </c>
      <c r="P636" s="347"/>
      <c r="Q636" s="347"/>
      <c r="R636" s="347"/>
      <c r="S636" s="348">
        <v>43982</v>
      </c>
      <c r="T636" s="348">
        <v>43982</v>
      </c>
      <c r="U636" s="347" t="s">
        <v>1790</v>
      </c>
      <c r="V636" s="345">
        <v>1000</v>
      </c>
      <c r="W636" s="345">
        <v>14010</v>
      </c>
      <c r="X636" s="349">
        <v>381</v>
      </c>
      <c r="Y636" s="345">
        <v>14016</v>
      </c>
      <c r="Z636" s="349">
        <v>165.15</v>
      </c>
      <c r="AA636" s="349">
        <f t="shared" si="94"/>
        <v>215.85</v>
      </c>
      <c r="AB636" s="349">
        <v>28.62</v>
      </c>
      <c r="AC636" s="345">
        <v>57260</v>
      </c>
      <c r="AD636" s="349">
        <v>3.18</v>
      </c>
      <c r="AE636" s="345" t="s">
        <v>944</v>
      </c>
      <c r="AF636" s="347"/>
      <c r="AG636" s="347"/>
      <c r="AH636" s="347" t="s">
        <v>57</v>
      </c>
      <c r="AI636" s="347" t="s">
        <v>4442</v>
      </c>
      <c r="AJ636" s="347" t="s">
        <v>4443</v>
      </c>
      <c r="AK636" s="347" t="s">
        <v>4437</v>
      </c>
      <c r="AL636" s="387">
        <v>45574</v>
      </c>
    </row>
    <row r="637" spans="2:38" ht="15.75" outlineLevel="1">
      <c r="B637" s="345">
        <v>2111</v>
      </c>
      <c r="C637" s="346">
        <v>233286</v>
      </c>
      <c r="D637" s="345" t="s">
        <v>944</v>
      </c>
      <c r="E637" s="347" t="s">
        <v>4240</v>
      </c>
      <c r="F637" s="343" t="s">
        <v>1136</v>
      </c>
      <c r="I637" s="345">
        <v>702</v>
      </c>
      <c r="J637" s="347"/>
      <c r="K637" s="345">
        <v>0</v>
      </c>
      <c r="L637" s="347" t="s">
        <v>1462</v>
      </c>
      <c r="M637" s="347"/>
      <c r="N637" s="347" t="s">
        <v>4446</v>
      </c>
      <c r="O637" s="347" t="s">
        <v>4441</v>
      </c>
      <c r="P637" s="347"/>
      <c r="Q637" s="347"/>
      <c r="R637" s="347"/>
      <c r="S637" s="348">
        <v>43963</v>
      </c>
      <c r="T637" s="348">
        <v>43963</v>
      </c>
      <c r="U637" s="347" t="s">
        <v>1802</v>
      </c>
      <c r="V637" s="345">
        <v>700</v>
      </c>
      <c r="W637" s="345">
        <v>14050</v>
      </c>
      <c r="X637" s="349">
        <v>27943.66</v>
      </c>
      <c r="Y637" s="345">
        <v>14056</v>
      </c>
      <c r="Z637" s="349">
        <v>17631.09</v>
      </c>
      <c r="AA637" s="349">
        <f t="shared" si="94"/>
        <v>10312.57</v>
      </c>
      <c r="AB637" s="349">
        <v>2993.94</v>
      </c>
      <c r="AC637" s="345">
        <v>54260</v>
      </c>
      <c r="AD637" s="349">
        <v>332.66</v>
      </c>
      <c r="AE637" s="345" t="s">
        <v>944</v>
      </c>
      <c r="AF637" s="347"/>
      <c r="AG637" s="347"/>
      <c r="AH637" s="347" t="s">
        <v>57</v>
      </c>
      <c r="AI637" s="347" t="s">
        <v>4442</v>
      </c>
      <c r="AJ637" s="347" t="s">
        <v>4443</v>
      </c>
      <c r="AK637" s="347" t="s">
        <v>4437</v>
      </c>
      <c r="AL637" s="387">
        <v>45574</v>
      </c>
    </row>
    <row r="638" spans="2:38" ht="15.75" outlineLevel="1">
      <c r="B638" s="345">
        <v>2111</v>
      </c>
      <c r="C638" s="346">
        <v>233285</v>
      </c>
      <c r="D638" s="345" t="s">
        <v>944</v>
      </c>
      <c r="E638" s="347" t="s">
        <v>4240</v>
      </c>
      <c r="F638" s="343" t="s">
        <v>1135</v>
      </c>
      <c r="I638" s="345">
        <v>702</v>
      </c>
      <c r="J638" s="347"/>
      <c r="K638" s="345">
        <v>0</v>
      </c>
      <c r="L638" s="347" t="s">
        <v>1462</v>
      </c>
      <c r="M638" s="347"/>
      <c r="N638" s="347" t="s">
        <v>4446</v>
      </c>
      <c r="O638" s="347" t="s">
        <v>4441</v>
      </c>
      <c r="P638" s="347"/>
      <c r="Q638" s="347"/>
      <c r="R638" s="347"/>
      <c r="S638" s="348">
        <v>43963</v>
      </c>
      <c r="T638" s="348">
        <v>43963</v>
      </c>
      <c r="U638" s="347" t="s">
        <v>1802</v>
      </c>
      <c r="V638" s="345">
        <v>700</v>
      </c>
      <c r="W638" s="345">
        <v>14050</v>
      </c>
      <c r="X638" s="349">
        <v>27943.66</v>
      </c>
      <c r="Y638" s="345">
        <v>14056</v>
      </c>
      <c r="Z638" s="349">
        <v>17631.09</v>
      </c>
      <c r="AA638" s="349">
        <f t="shared" si="94"/>
        <v>10312.57</v>
      </c>
      <c r="AB638" s="349">
        <v>2993.94</v>
      </c>
      <c r="AC638" s="345">
        <v>54260</v>
      </c>
      <c r="AD638" s="349">
        <v>332.66</v>
      </c>
      <c r="AE638" s="345" t="s">
        <v>944</v>
      </c>
      <c r="AF638" s="347"/>
      <c r="AG638" s="347"/>
      <c r="AH638" s="347" t="s">
        <v>57</v>
      </c>
      <c r="AI638" s="347" t="s">
        <v>4442</v>
      </c>
      <c r="AJ638" s="347" t="s">
        <v>4443</v>
      </c>
      <c r="AK638" s="347" t="s">
        <v>4437</v>
      </c>
      <c r="AL638" s="387">
        <v>45574</v>
      </c>
    </row>
    <row r="639" spans="2:38" ht="15.75" outlineLevel="1">
      <c r="B639" s="345">
        <v>2111</v>
      </c>
      <c r="C639" s="346">
        <v>233284</v>
      </c>
      <c r="D639" s="345" t="s">
        <v>944</v>
      </c>
      <c r="E639" s="347" t="s">
        <v>4240</v>
      </c>
      <c r="F639" s="343" t="s">
        <v>1803</v>
      </c>
      <c r="I639" s="345">
        <v>702</v>
      </c>
      <c r="J639" s="347"/>
      <c r="K639" s="345">
        <v>0</v>
      </c>
      <c r="L639" s="347" t="s">
        <v>1462</v>
      </c>
      <c r="M639" s="347"/>
      <c r="N639" s="347" t="s">
        <v>4446</v>
      </c>
      <c r="O639" s="347" t="s">
        <v>4441</v>
      </c>
      <c r="P639" s="347"/>
      <c r="Q639" s="347"/>
      <c r="R639" s="347"/>
      <c r="S639" s="348">
        <v>43963</v>
      </c>
      <c r="T639" s="348">
        <v>43963</v>
      </c>
      <c r="U639" s="347" t="s">
        <v>1802</v>
      </c>
      <c r="V639" s="345">
        <v>700</v>
      </c>
      <c r="W639" s="345">
        <v>14050</v>
      </c>
      <c r="X639" s="349">
        <v>27943.66</v>
      </c>
      <c r="Y639" s="345">
        <v>14056</v>
      </c>
      <c r="Z639" s="349">
        <v>17631.09</v>
      </c>
      <c r="AA639" s="349">
        <f t="shared" si="94"/>
        <v>10312.57</v>
      </c>
      <c r="AB639" s="349">
        <v>2993.94</v>
      </c>
      <c r="AC639" s="345">
        <v>54260</v>
      </c>
      <c r="AD639" s="349">
        <v>332.66</v>
      </c>
      <c r="AE639" s="345" t="s">
        <v>944</v>
      </c>
      <c r="AF639" s="347"/>
      <c r="AG639" s="347"/>
      <c r="AH639" s="347" t="s">
        <v>57</v>
      </c>
      <c r="AI639" s="347" t="s">
        <v>4442</v>
      </c>
      <c r="AJ639" s="347" t="s">
        <v>4443</v>
      </c>
      <c r="AK639" s="347" t="s">
        <v>4437</v>
      </c>
      <c r="AL639" s="387">
        <v>45574</v>
      </c>
    </row>
    <row r="640" spans="2:38" ht="15.75" outlineLevel="1">
      <c r="B640" s="345">
        <v>2111</v>
      </c>
      <c r="C640" s="346">
        <v>233283</v>
      </c>
      <c r="D640" s="345" t="s">
        <v>944</v>
      </c>
      <c r="E640" s="347" t="s">
        <v>4240</v>
      </c>
      <c r="F640" s="343" t="s">
        <v>1803</v>
      </c>
      <c r="I640" s="345">
        <v>702</v>
      </c>
      <c r="J640" s="347"/>
      <c r="K640" s="345">
        <v>0</v>
      </c>
      <c r="L640" s="347" t="s">
        <v>1462</v>
      </c>
      <c r="M640" s="347"/>
      <c r="N640" s="347" t="s">
        <v>4446</v>
      </c>
      <c r="O640" s="347" t="s">
        <v>4441</v>
      </c>
      <c r="P640" s="347"/>
      <c r="Q640" s="347"/>
      <c r="R640" s="347"/>
      <c r="S640" s="348">
        <v>43963</v>
      </c>
      <c r="T640" s="348">
        <v>43963</v>
      </c>
      <c r="U640" s="347" t="s">
        <v>1802</v>
      </c>
      <c r="V640" s="345">
        <v>700</v>
      </c>
      <c r="W640" s="345">
        <v>14050</v>
      </c>
      <c r="X640" s="349">
        <v>27943.66</v>
      </c>
      <c r="Y640" s="345">
        <v>14056</v>
      </c>
      <c r="Z640" s="349">
        <v>17631.09</v>
      </c>
      <c r="AA640" s="349">
        <f t="shared" si="94"/>
        <v>10312.57</v>
      </c>
      <c r="AB640" s="349">
        <v>2993.94</v>
      </c>
      <c r="AC640" s="345">
        <v>54260</v>
      </c>
      <c r="AD640" s="349">
        <v>332.66</v>
      </c>
      <c r="AE640" s="345" t="s">
        <v>944</v>
      </c>
      <c r="AF640" s="347"/>
      <c r="AG640" s="347"/>
      <c r="AH640" s="347" t="s">
        <v>57</v>
      </c>
      <c r="AI640" s="347" t="s">
        <v>4442</v>
      </c>
      <c r="AJ640" s="347" t="s">
        <v>4443</v>
      </c>
      <c r="AK640" s="347" t="s">
        <v>4437</v>
      </c>
      <c r="AL640" s="387">
        <v>45574</v>
      </c>
    </row>
    <row r="641" spans="2:38" ht="15.75" outlineLevel="1">
      <c r="B641" s="345">
        <v>2111</v>
      </c>
      <c r="C641" s="346">
        <v>233201</v>
      </c>
      <c r="D641" s="345" t="s">
        <v>944</v>
      </c>
      <c r="E641" s="347" t="s">
        <v>4240</v>
      </c>
      <c r="F641" s="343" t="s">
        <v>1762</v>
      </c>
      <c r="I641" s="345">
        <v>312</v>
      </c>
      <c r="J641" s="347"/>
      <c r="K641" s="345">
        <v>0</v>
      </c>
      <c r="L641" s="347" t="s">
        <v>1755</v>
      </c>
      <c r="M641" s="347"/>
      <c r="N641" s="347" t="s">
        <v>4446</v>
      </c>
      <c r="O641" s="347" t="s">
        <v>4441</v>
      </c>
      <c r="P641" s="347"/>
      <c r="Q641" s="347"/>
      <c r="R641" s="347"/>
      <c r="S641" s="348">
        <v>43946</v>
      </c>
      <c r="T641" s="348">
        <v>43946</v>
      </c>
      <c r="U641" s="347" t="s">
        <v>1804</v>
      </c>
      <c r="V641" s="345">
        <v>700</v>
      </c>
      <c r="W641" s="345">
        <v>14050</v>
      </c>
      <c r="X641" s="349">
        <v>12686.86</v>
      </c>
      <c r="Y641" s="345">
        <v>14056</v>
      </c>
      <c r="Z641" s="349">
        <v>8004.77</v>
      </c>
      <c r="AA641" s="349">
        <f t="shared" si="94"/>
        <v>4682.09</v>
      </c>
      <c r="AB641" s="349">
        <v>1359.27</v>
      </c>
      <c r="AC641" s="345">
        <v>54260</v>
      </c>
      <c r="AD641" s="349">
        <v>151.03</v>
      </c>
      <c r="AE641" s="345" t="s">
        <v>944</v>
      </c>
      <c r="AF641" s="347"/>
      <c r="AG641" s="347"/>
      <c r="AH641" s="347" t="s">
        <v>57</v>
      </c>
      <c r="AI641" s="347" t="s">
        <v>4442</v>
      </c>
      <c r="AJ641" s="347" t="s">
        <v>4443</v>
      </c>
      <c r="AK641" s="347" t="s">
        <v>4437</v>
      </c>
      <c r="AL641" s="387">
        <v>45574</v>
      </c>
    </row>
    <row r="642" spans="2:38" ht="15.75" outlineLevel="1">
      <c r="B642" s="345">
        <v>2111</v>
      </c>
      <c r="C642" s="346">
        <v>233200</v>
      </c>
      <c r="D642" s="345" t="s">
        <v>944</v>
      </c>
      <c r="E642" s="347" t="s">
        <v>4240</v>
      </c>
      <c r="F642" s="343" t="s">
        <v>1805</v>
      </c>
      <c r="I642" s="345">
        <v>312</v>
      </c>
      <c r="J642" s="347"/>
      <c r="K642" s="345">
        <v>0</v>
      </c>
      <c r="L642" s="347" t="s">
        <v>1755</v>
      </c>
      <c r="M642" s="347"/>
      <c r="N642" s="347" t="s">
        <v>4446</v>
      </c>
      <c r="O642" s="347" t="s">
        <v>4441</v>
      </c>
      <c r="P642" s="347"/>
      <c r="Q642" s="347"/>
      <c r="R642" s="347"/>
      <c r="S642" s="348">
        <v>43946</v>
      </c>
      <c r="T642" s="348">
        <v>43946</v>
      </c>
      <c r="U642" s="347" t="s">
        <v>1804</v>
      </c>
      <c r="V642" s="345">
        <v>700</v>
      </c>
      <c r="W642" s="345">
        <v>14050</v>
      </c>
      <c r="X642" s="349">
        <v>12686.86</v>
      </c>
      <c r="Y642" s="345">
        <v>14056</v>
      </c>
      <c r="Z642" s="349">
        <v>8004.77</v>
      </c>
      <c r="AA642" s="349">
        <f t="shared" si="94"/>
        <v>4682.09</v>
      </c>
      <c r="AB642" s="349">
        <v>1359.27</v>
      </c>
      <c r="AC642" s="345">
        <v>54260</v>
      </c>
      <c r="AD642" s="349">
        <v>151.03</v>
      </c>
      <c r="AE642" s="345" t="s">
        <v>944</v>
      </c>
      <c r="AF642" s="347"/>
      <c r="AG642" s="347"/>
      <c r="AH642" s="347" t="s">
        <v>57</v>
      </c>
      <c r="AI642" s="347" t="s">
        <v>4442</v>
      </c>
      <c r="AJ642" s="347" t="s">
        <v>4443</v>
      </c>
      <c r="AK642" s="347" t="s">
        <v>4437</v>
      </c>
      <c r="AL642" s="387">
        <v>45574</v>
      </c>
    </row>
    <row r="643" spans="2:38" ht="15.75" outlineLevel="1">
      <c r="B643" s="345">
        <v>2111</v>
      </c>
      <c r="C643" s="346">
        <v>233199</v>
      </c>
      <c r="D643" s="345" t="s">
        <v>944</v>
      </c>
      <c r="E643" s="347" t="s">
        <v>4240</v>
      </c>
      <c r="F643" s="343" t="s">
        <v>1806</v>
      </c>
      <c r="I643" s="345">
        <v>624</v>
      </c>
      <c r="J643" s="347"/>
      <c r="K643" s="345">
        <v>0</v>
      </c>
      <c r="L643" s="347" t="s">
        <v>1755</v>
      </c>
      <c r="M643" s="347"/>
      <c r="N643" s="347" t="s">
        <v>4446</v>
      </c>
      <c r="O643" s="347" t="s">
        <v>4441</v>
      </c>
      <c r="P643" s="347"/>
      <c r="Q643" s="347"/>
      <c r="R643" s="347"/>
      <c r="S643" s="348">
        <v>43946</v>
      </c>
      <c r="T643" s="348">
        <v>43946</v>
      </c>
      <c r="U643" s="347" t="s">
        <v>1804</v>
      </c>
      <c r="V643" s="345">
        <v>700</v>
      </c>
      <c r="W643" s="345">
        <v>14050</v>
      </c>
      <c r="X643" s="349">
        <v>25373.71</v>
      </c>
      <c r="Y643" s="345">
        <v>14056</v>
      </c>
      <c r="Z643" s="349">
        <v>16009.63</v>
      </c>
      <c r="AA643" s="349">
        <f t="shared" si="94"/>
        <v>9364.08</v>
      </c>
      <c r="AB643" s="349">
        <v>2718.63</v>
      </c>
      <c r="AC643" s="345">
        <v>54260</v>
      </c>
      <c r="AD643" s="349">
        <v>302.07</v>
      </c>
      <c r="AE643" s="345" t="s">
        <v>944</v>
      </c>
      <c r="AF643" s="347"/>
      <c r="AG643" s="347"/>
      <c r="AH643" s="347" t="s">
        <v>57</v>
      </c>
      <c r="AI643" s="347" t="s">
        <v>4442</v>
      </c>
      <c r="AJ643" s="347" t="s">
        <v>4443</v>
      </c>
      <c r="AK643" s="347" t="s">
        <v>4437</v>
      </c>
      <c r="AL643" s="387">
        <v>45574</v>
      </c>
    </row>
    <row r="644" spans="2:38" ht="15.75" outlineLevel="1">
      <c r="B644" s="345">
        <v>2111</v>
      </c>
      <c r="C644" s="346">
        <v>232980</v>
      </c>
      <c r="D644" s="345" t="s">
        <v>944</v>
      </c>
      <c r="E644" s="347" t="s">
        <v>4240</v>
      </c>
      <c r="F644" s="343" t="s">
        <v>1807</v>
      </c>
      <c r="I644" s="345">
        <v>1</v>
      </c>
      <c r="J644" s="347"/>
      <c r="K644" s="345">
        <v>0</v>
      </c>
      <c r="L644" s="347"/>
      <c r="M644" s="347"/>
      <c r="N644" s="347" t="s">
        <v>4462</v>
      </c>
      <c r="O644" s="347" t="s">
        <v>4441</v>
      </c>
      <c r="P644" s="347"/>
      <c r="Q644" s="347"/>
      <c r="R644" s="347"/>
      <c r="S644" s="348">
        <v>43982</v>
      </c>
      <c r="T644" s="348">
        <v>43982</v>
      </c>
      <c r="U644" s="347" t="s">
        <v>1692</v>
      </c>
      <c r="V644" s="345">
        <v>1000</v>
      </c>
      <c r="W644" s="345">
        <v>14010</v>
      </c>
      <c r="X644" s="349">
        <v>289762.48</v>
      </c>
      <c r="Y644" s="345">
        <v>14016</v>
      </c>
      <c r="Z644" s="349">
        <v>125563.77</v>
      </c>
      <c r="AA644" s="349">
        <f t="shared" si="94"/>
        <v>164198.70999999996</v>
      </c>
      <c r="AB644" s="349">
        <v>21732.21</v>
      </c>
      <c r="AC644" s="345">
        <v>57260</v>
      </c>
      <c r="AD644" s="349">
        <v>2414.69</v>
      </c>
      <c r="AE644" s="345" t="s">
        <v>944</v>
      </c>
      <c r="AF644" s="347"/>
      <c r="AG644" s="347"/>
      <c r="AH644" s="347" t="s">
        <v>57</v>
      </c>
      <c r="AI644" s="347" t="s">
        <v>4442</v>
      </c>
      <c r="AJ644" s="347" t="s">
        <v>4443</v>
      </c>
      <c r="AK644" s="347" t="s">
        <v>4437</v>
      </c>
      <c r="AL644" s="387">
        <v>45574</v>
      </c>
    </row>
    <row r="645" spans="2:38" ht="15.75" outlineLevel="1">
      <c r="B645" s="345">
        <v>2111</v>
      </c>
      <c r="C645" s="346">
        <v>232979</v>
      </c>
      <c r="D645" s="345" t="s">
        <v>944</v>
      </c>
      <c r="E645" s="347" t="s">
        <v>4240</v>
      </c>
      <c r="F645" s="343" t="s">
        <v>1808</v>
      </c>
      <c r="I645" s="345">
        <v>1</v>
      </c>
      <c r="J645" s="347"/>
      <c r="K645" s="345">
        <v>0</v>
      </c>
      <c r="L645" s="347"/>
      <c r="M645" s="347"/>
      <c r="N645" s="347" t="s">
        <v>4462</v>
      </c>
      <c r="O645" s="347" t="s">
        <v>4441</v>
      </c>
      <c r="P645" s="347"/>
      <c r="Q645" s="347"/>
      <c r="R645" s="347"/>
      <c r="S645" s="348">
        <v>43982</v>
      </c>
      <c r="T645" s="348">
        <v>43982</v>
      </c>
      <c r="U645" s="347" t="s">
        <v>1809</v>
      </c>
      <c r="V645" s="345">
        <v>1000</v>
      </c>
      <c r="W645" s="345">
        <v>14010</v>
      </c>
      <c r="X645" s="349">
        <v>1213512.47</v>
      </c>
      <c r="Y645" s="345">
        <v>14016</v>
      </c>
      <c r="Z645" s="349">
        <v>525855.38</v>
      </c>
      <c r="AA645" s="349">
        <f t="shared" si="94"/>
        <v>687657.09</v>
      </c>
      <c r="AB645" s="349">
        <v>91013.4</v>
      </c>
      <c r="AC645" s="345">
        <v>57260</v>
      </c>
      <c r="AD645" s="349">
        <v>10112.6</v>
      </c>
      <c r="AE645" s="345" t="s">
        <v>944</v>
      </c>
      <c r="AF645" s="347"/>
      <c r="AG645" s="347"/>
      <c r="AH645" s="347" t="s">
        <v>57</v>
      </c>
      <c r="AI645" s="347" t="s">
        <v>4442</v>
      </c>
      <c r="AJ645" s="347" t="s">
        <v>4443</v>
      </c>
      <c r="AK645" s="347" t="s">
        <v>4437</v>
      </c>
      <c r="AL645" s="387">
        <v>45574</v>
      </c>
    </row>
    <row r="646" spans="2:38" ht="15.75" outlineLevel="1">
      <c r="B646" s="345">
        <v>2111</v>
      </c>
      <c r="C646" s="346">
        <v>232978</v>
      </c>
      <c r="D646" s="345" t="s">
        <v>944</v>
      </c>
      <c r="E646" s="347" t="s">
        <v>4240</v>
      </c>
      <c r="F646" s="343" t="s">
        <v>1077</v>
      </c>
      <c r="I646" s="345">
        <v>1</v>
      </c>
      <c r="J646" s="347"/>
      <c r="K646" s="345">
        <v>0</v>
      </c>
      <c r="L646" s="347"/>
      <c r="M646" s="347"/>
      <c r="N646" s="347" t="s">
        <v>4462</v>
      </c>
      <c r="O646" s="347" t="s">
        <v>4441</v>
      </c>
      <c r="P646" s="347"/>
      <c r="Q646" s="347"/>
      <c r="R646" s="347"/>
      <c r="S646" s="348">
        <v>43982</v>
      </c>
      <c r="T646" s="348">
        <v>43982</v>
      </c>
      <c r="U646" s="347" t="s">
        <v>1810</v>
      </c>
      <c r="V646" s="345">
        <v>1000</v>
      </c>
      <c r="W646" s="345">
        <v>14010</v>
      </c>
      <c r="X646" s="349">
        <v>2027.5</v>
      </c>
      <c r="Y646" s="345">
        <v>14016</v>
      </c>
      <c r="Z646" s="349">
        <v>878.62</v>
      </c>
      <c r="AA646" s="349">
        <f t="shared" si="94"/>
        <v>1148.8800000000001</v>
      </c>
      <c r="AB646" s="349">
        <v>152.1</v>
      </c>
      <c r="AC646" s="345">
        <v>57260</v>
      </c>
      <c r="AD646" s="349">
        <v>16.899999999999999</v>
      </c>
      <c r="AE646" s="345" t="s">
        <v>944</v>
      </c>
      <c r="AF646" s="347"/>
      <c r="AG646" s="347"/>
      <c r="AH646" s="347" t="s">
        <v>57</v>
      </c>
      <c r="AI646" s="347" t="s">
        <v>4442</v>
      </c>
      <c r="AJ646" s="347" t="s">
        <v>4443</v>
      </c>
      <c r="AK646" s="347" t="s">
        <v>4437</v>
      </c>
      <c r="AL646" s="387">
        <v>45574</v>
      </c>
    </row>
    <row r="647" spans="2:38" ht="15.75" outlineLevel="1">
      <c r="B647" s="345">
        <v>2111</v>
      </c>
      <c r="C647" s="346">
        <v>232809</v>
      </c>
      <c r="D647" s="345" t="s">
        <v>944</v>
      </c>
      <c r="E647" s="347" t="s">
        <v>4240</v>
      </c>
      <c r="F647" s="343" t="s">
        <v>1811</v>
      </c>
      <c r="I647" s="345">
        <v>1</v>
      </c>
      <c r="J647" s="347"/>
      <c r="K647" s="345">
        <v>0</v>
      </c>
      <c r="L647" s="347" t="s">
        <v>1812</v>
      </c>
      <c r="M647" s="347"/>
      <c r="N647" s="347" t="s">
        <v>4451</v>
      </c>
      <c r="O647" s="347" t="s">
        <v>4441</v>
      </c>
      <c r="P647" s="347"/>
      <c r="Q647" s="347"/>
      <c r="R647" s="347"/>
      <c r="S647" s="348">
        <v>43921</v>
      </c>
      <c r="T647" s="348">
        <v>43921</v>
      </c>
      <c r="U647" s="347" t="s">
        <v>1813</v>
      </c>
      <c r="V647" s="345">
        <v>500</v>
      </c>
      <c r="W647" s="345">
        <v>14070</v>
      </c>
      <c r="X647" s="349">
        <v>233040</v>
      </c>
      <c r="Y647" s="345">
        <v>14076</v>
      </c>
      <c r="Z647" s="349">
        <v>209736</v>
      </c>
      <c r="AA647" s="349">
        <f t="shared" si="94"/>
        <v>23304</v>
      </c>
      <c r="AB647" s="349">
        <v>34956</v>
      </c>
      <c r="AC647" s="345">
        <v>51260</v>
      </c>
      <c r="AD647" s="349">
        <v>3884</v>
      </c>
      <c r="AE647" s="345" t="s">
        <v>944</v>
      </c>
      <c r="AF647" s="347"/>
      <c r="AG647" s="347"/>
      <c r="AH647" s="347" t="s">
        <v>57</v>
      </c>
      <c r="AI647" s="347" t="s">
        <v>4442</v>
      </c>
      <c r="AJ647" s="347" t="s">
        <v>4443</v>
      </c>
      <c r="AK647" s="347" t="s">
        <v>4437</v>
      </c>
      <c r="AL647" s="387">
        <v>45574</v>
      </c>
    </row>
    <row r="648" spans="2:38" ht="15.75" outlineLevel="1">
      <c r="B648" s="345">
        <v>2111</v>
      </c>
      <c r="C648" s="346">
        <v>231042</v>
      </c>
      <c r="D648" s="345" t="s">
        <v>944</v>
      </c>
      <c r="E648" s="347" t="s">
        <v>4240</v>
      </c>
      <c r="F648" s="343" t="s">
        <v>1817</v>
      </c>
      <c r="I648" s="345">
        <v>9</v>
      </c>
      <c r="J648" s="347"/>
      <c r="K648" s="345">
        <v>0</v>
      </c>
      <c r="L648" s="347" t="s">
        <v>1726</v>
      </c>
      <c r="M648" s="347"/>
      <c r="N648" s="347" t="s">
        <v>4446</v>
      </c>
      <c r="O648" s="347" t="s">
        <v>4441</v>
      </c>
      <c r="P648" s="347"/>
      <c r="Q648" s="347" t="s">
        <v>4479</v>
      </c>
      <c r="R648" s="347" t="s">
        <v>4450</v>
      </c>
      <c r="S648" s="348">
        <v>43831</v>
      </c>
      <c r="T648" s="348">
        <v>43831</v>
      </c>
      <c r="U648" s="347" t="s">
        <v>1818</v>
      </c>
      <c r="V648" s="345">
        <v>1200</v>
      </c>
      <c r="W648" s="345">
        <v>14050</v>
      </c>
      <c r="X648" s="349">
        <v>9149.18</v>
      </c>
      <c r="Y648" s="345">
        <v>14056</v>
      </c>
      <c r="Z648" s="349">
        <v>3621.58</v>
      </c>
      <c r="AA648" s="349">
        <f t="shared" si="94"/>
        <v>5527.6</v>
      </c>
      <c r="AB648" s="349">
        <v>571.86</v>
      </c>
      <c r="AC648" s="345">
        <v>54260</v>
      </c>
      <c r="AD648" s="349">
        <v>63.54</v>
      </c>
      <c r="AE648" s="345" t="s">
        <v>944</v>
      </c>
      <c r="AF648" s="347"/>
      <c r="AG648" s="347"/>
      <c r="AH648" s="347" t="s">
        <v>57</v>
      </c>
      <c r="AI648" s="347" t="s">
        <v>4442</v>
      </c>
      <c r="AJ648" s="347" t="s">
        <v>4443</v>
      </c>
      <c r="AK648" s="347" t="s">
        <v>4437</v>
      </c>
      <c r="AL648" s="387">
        <v>45574</v>
      </c>
    </row>
    <row r="649" spans="2:38" ht="15.75" outlineLevel="1">
      <c r="B649" s="345">
        <v>2111</v>
      </c>
      <c r="C649" s="346">
        <v>231041</v>
      </c>
      <c r="D649" s="345" t="s">
        <v>944</v>
      </c>
      <c r="E649" s="347" t="s">
        <v>4240</v>
      </c>
      <c r="F649" s="343" t="s">
        <v>1819</v>
      </c>
      <c r="I649" s="345">
        <v>15</v>
      </c>
      <c r="J649" s="347"/>
      <c r="K649" s="345">
        <v>0</v>
      </c>
      <c r="L649" s="347" t="s">
        <v>1726</v>
      </c>
      <c r="M649" s="347"/>
      <c r="N649" s="347" t="s">
        <v>4446</v>
      </c>
      <c r="O649" s="347" t="s">
        <v>4441</v>
      </c>
      <c r="P649" s="347"/>
      <c r="Q649" s="347" t="s">
        <v>4459</v>
      </c>
      <c r="R649" s="347" t="s">
        <v>4450</v>
      </c>
      <c r="S649" s="348">
        <v>43831</v>
      </c>
      <c r="T649" s="348">
        <v>43831</v>
      </c>
      <c r="U649" s="347" t="s">
        <v>1818</v>
      </c>
      <c r="V649" s="345">
        <v>1200</v>
      </c>
      <c r="W649" s="345">
        <v>14050</v>
      </c>
      <c r="X649" s="349">
        <v>9561.2999999999993</v>
      </c>
      <c r="Y649" s="345">
        <v>14056</v>
      </c>
      <c r="Z649" s="349">
        <v>3784.72</v>
      </c>
      <c r="AA649" s="349">
        <f t="shared" si="94"/>
        <v>5776.58</v>
      </c>
      <c r="AB649" s="349">
        <v>597.6</v>
      </c>
      <c r="AC649" s="345">
        <v>54260</v>
      </c>
      <c r="AD649" s="349">
        <v>66.400000000000006</v>
      </c>
      <c r="AE649" s="345" t="s">
        <v>944</v>
      </c>
      <c r="AF649" s="347"/>
      <c r="AG649" s="347"/>
      <c r="AH649" s="347" t="s">
        <v>57</v>
      </c>
      <c r="AI649" s="347" t="s">
        <v>4442</v>
      </c>
      <c r="AJ649" s="347" t="s">
        <v>4443</v>
      </c>
      <c r="AK649" s="347" t="s">
        <v>4437</v>
      </c>
      <c r="AL649" s="387">
        <v>45574</v>
      </c>
    </row>
    <row r="650" spans="2:38" ht="15.75" outlineLevel="1">
      <c r="B650" s="345">
        <v>2111</v>
      </c>
      <c r="C650" s="346">
        <v>231040</v>
      </c>
      <c r="D650" s="345" t="s">
        <v>944</v>
      </c>
      <c r="E650" s="347" t="s">
        <v>4240</v>
      </c>
      <c r="F650" s="343" t="s">
        <v>1820</v>
      </c>
      <c r="I650" s="345">
        <v>10</v>
      </c>
      <c r="J650" s="347"/>
      <c r="K650" s="345">
        <v>0</v>
      </c>
      <c r="L650" s="347" t="s">
        <v>1726</v>
      </c>
      <c r="M650" s="347"/>
      <c r="N650" s="347" t="s">
        <v>4446</v>
      </c>
      <c r="O650" s="347" t="s">
        <v>4441</v>
      </c>
      <c r="P650" s="347"/>
      <c r="Q650" s="347" t="s">
        <v>4464</v>
      </c>
      <c r="R650" s="347" t="s">
        <v>4450</v>
      </c>
      <c r="S650" s="348">
        <v>43831</v>
      </c>
      <c r="T650" s="348">
        <v>43831</v>
      </c>
      <c r="U650" s="347" t="s">
        <v>1818</v>
      </c>
      <c r="V650" s="345">
        <v>1200</v>
      </c>
      <c r="W650" s="345">
        <v>14050</v>
      </c>
      <c r="X650" s="349">
        <v>8572.2000000000007</v>
      </c>
      <c r="Y650" s="345">
        <v>14056</v>
      </c>
      <c r="Z650" s="349">
        <v>3393.17</v>
      </c>
      <c r="AA650" s="349">
        <f t="shared" si="94"/>
        <v>5179.0300000000007</v>
      </c>
      <c r="AB650" s="349">
        <v>535.77</v>
      </c>
      <c r="AC650" s="345">
        <v>54260</v>
      </c>
      <c r="AD650" s="349">
        <v>59.53</v>
      </c>
      <c r="AE650" s="345" t="s">
        <v>944</v>
      </c>
      <c r="AF650" s="347"/>
      <c r="AG650" s="347"/>
      <c r="AH650" s="347" t="s">
        <v>57</v>
      </c>
      <c r="AI650" s="347" t="s">
        <v>4442</v>
      </c>
      <c r="AJ650" s="347" t="s">
        <v>4443</v>
      </c>
      <c r="AK650" s="347" t="s">
        <v>4437</v>
      </c>
      <c r="AL650" s="387">
        <v>45574</v>
      </c>
    </row>
    <row r="651" spans="2:38" ht="15.75" outlineLevel="1">
      <c r="B651" s="345">
        <v>2111</v>
      </c>
      <c r="C651" s="346">
        <v>231039</v>
      </c>
      <c r="D651" s="345" t="s">
        <v>944</v>
      </c>
      <c r="E651" s="347" t="s">
        <v>4240</v>
      </c>
      <c r="F651" s="343" t="s">
        <v>1821</v>
      </c>
      <c r="I651" s="345">
        <v>10</v>
      </c>
      <c r="J651" s="347"/>
      <c r="K651" s="345">
        <v>0</v>
      </c>
      <c r="L651" s="347" t="s">
        <v>1726</v>
      </c>
      <c r="M651" s="347"/>
      <c r="N651" s="347" t="s">
        <v>4446</v>
      </c>
      <c r="O651" s="347" t="s">
        <v>4441</v>
      </c>
      <c r="P651" s="347"/>
      <c r="Q651" s="347" t="s">
        <v>4459</v>
      </c>
      <c r="R651" s="347" t="s">
        <v>4450</v>
      </c>
      <c r="S651" s="348">
        <v>43831</v>
      </c>
      <c r="T651" s="348">
        <v>43831</v>
      </c>
      <c r="U651" s="347" t="s">
        <v>1818</v>
      </c>
      <c r="V651" s="345">
        <v>1200</v>
      </c>
      <c r="W651" s="345">
        <v>14050</v>
      </c>
      <c r="X651" s="349">
        <v>6758.85</v>
      </c>
      <c r="Y651" s="345">
        <v>14056</v>
      </c>
      <c r="Z651" s="349">
        <v>2675.42</v>
      </c>
      <c r="AA651" s="349">
        <f t="shared" si="94"/>
        <v>4083.4300000000003</v>
      </c>
      <c r="AB651" s="349">
        <v>422.46</v>
      </c>
      <c r="AC651" s="345">
        <v>54260</v>
      </c>
      <c r="AD651" s="349">
        <v>46.94</v>
      </c>
      <c r="AE651" s="345" t="s">
        <v>944</v>
      </c>
      <c r="AF651" s="347"/>
      <c r="AG651" s="347"/>
      <c r="AH651" s="347" t="s">
        <v>57</v>
      </c>
      <c r="AI651" s="347" t="s">
        <v>4442</v>
      </c>
      <c r="AJ651" s="347" t="s">
        <v>4443</v>
      </c>
      <c r="AK651" s="347" t="s">
        <v>4437</v>
      </c>
      <c r="AL651" s="387">
        <v>45574</v>
      </c>
    </row>
    <row r="652" spans="2:38" ht="15.75" outlineLevel="1">
      <c r="B652" s="345">
        <v>2111</v>
      </c>
      <c r="C652" s="346">
        <v>230983</v>
      </c>
      <c r="D652" s="345">
        <v>225662</v>
      </c>
      <c r="E652" s="347" t="s">
        <v>4240</v>
      </c>
      <c r="F652" s="343" t="s">
        <v>1822</v>
      </c>
      <c r="I652" s="345">
        <v>1</v>
      </c>
      <c r="J652" s="347"/>
      <c r="K652" s="345">
        <v>0</v>
      </c>
      <c r="L652" s="347" t="s">
        <v>1456</v>
      </c>
      <c r="M652" s="347"/>
      <c r="N652" s="347" t="s">
        <v>4462</v>
      </c>
      <c r="O652" s="347" t="s">
        <v>4441</v>
      </c>
      <c r="P652" s="347"/>
      <c r="Q652" s="347"/>
      <c r="R652" s="347"/>
      <c r="S652" s="348">
        <v>43831</v>
      </c>
      <c r="T652" s="348">
        <v>43831</v>
      </c>
      <c r="U652" s="347" t="s">
        <v>1823</v>
      </c>
      <c r="V652" s="345">
        <v>700</v>
      </c>
      <c r="W652" s="345">
        <v>14010</v>
      </c>
      <c r="X652" s="349">
        <v>3126.88</v>
      </c>
      <c r="Y652" s="345">
        <v>14016</v>
      </c>
      <c r="Z652" s="349">
        <v>2065.94</v>
      </c>
      <c r="AA652" s="349">
        <f t="shared" si="94"/>
        <v>1060.94</v>
      </c>
      <c r="AB652" s="349">
        <v>334.98</v>
      </c>
      <c r="AC652" s="345">
        <v>57260</v>
      </c>
      <c r="AD652" s="349">
        <v>37.22</v>
      </c>
      <c r="AE652" s="345" t="s">
        <v>944</v>
      </c>
      <c r="AF652" s="347"/>
      <c r="AG652" s="347"/>
      <c r="AH652" s="347" t="s">
        <v>57</v>
      </c>
      <c r="AI652" s="347" t="s">
        <v>4442</v>
      </c>
      <c r="AJ652" s="347" t="s">
        <v>4443</v>
      </c>
      <c r="AK652" s="347" t="s">
        <v>4437</v>
      </c>
      <c r="AL652" s="387">
        <v>45574</v>
      </c>
    </row>
    <row r="653" spans="2:38" ht="15.75" outlineLevel="1">
      <c r="B653" s="345">
        <v>2111</v>
      </c>
      <c r="C653" s="346">
        <v>230971</v>
      </c>
      <c r="D653" s="345" t="s">
        <v>944</v>
      </c>
      <c r="E653" s="347" t="s">
        <v>4240</v>
      </c>
      <c r="F653" s="343" t="s">
        <v>1817</v>
      </c>
      <c r="I653" s="345">
        <v>16</v>
      </c>
      <c r="J653" s="347"/>
      <c r="K653" s="345">
        <v>0</v>
      </c>
      <c r="L653" s="347" t="s">
        <v>1726</v>
      </c>
      <c r="M653" s="347"/>
      <c r="N653" s="347" t="s">
        <v>4446</v>
      </c>
      <c r="O653" s="347" t="s">
        <v>4441</v>
      </c>
      <c r="P653" s="347"/>
      <c r="Q653" s="347" t="s">
        <v>4479</v>
      </c>
      <c r="R653" s="347" t="s">
        <v>4450</v>
      </c>
      <c r="S653" s="348">
        <v>43831</v>
      </c>
      <c r="T653" s="348">
        <v>43831</v>
      </c>
      <c r="U653" s="347" t="s">
        <v>1818</v>
      </c>
      <c r="V653" s="345">
        <v>1200</v>
      </c>
      <c r="W653" s="345">
        <v>14050</v>
      </c>
      <c r="X653" s="349">
        <v>16265.21</v>
      </c>
      <c r="Y653" s="345">
        <v>14056</v>
      </c>
      <c r="Z653" s="349">
        <v>6438.31</v>
      </c>
      <c r="AA653" s="349">
        <f t="shared" si="94"/>
        <v>9826.8999999999978</v>
      </c>
      <c r="AB653" s="349">
        <v>1016.55</v>
      </c>
      <c r="AC653" s="345">
        <v>54260</v>
      </c>
      <c r="AD653" s="349">
        <v>112.95</v>
      </c>
      <c r="AE653" s="345" t="s">
        <v>944</v>
      </c>
      <c r="AF653" s="347"/>
      <c r="AG653" s="347"/>
      <c r="AH653" s="347" t="s">
        <v>57</v>
      </c>
      <c r="AI653" s="347" t="s">
        <v>4442</v>
      </c>
      <c r="AJ653" s="347" t="s">
        <v>4443</v>
      </c>
      <c r="AK653" s="347" t="s">
        <v>4437</v>
      </c>
      <c r="AL653" s="387">
        <v>45574</v>
      </c>
    </row>
    <row r="654" spans="2:38" ht="15.75" outlineLevel="1">
      <c r="B654" s="345">
        <v>2111</v>
      </c>
      <c r="C654" s="346">
        <v>229685</v>
      </c>
      <c r="D654" s="345" t="s">
        <v>944</v>
      </c>
      <c r="E654" s="347" t="s">
        <v>4240</v>
      </c>
      <c r="F654" s="343" t="s">
        <v>1825</v>
      </c>
      <c r="I654" s="345">
        <v>1</v>
      </c>
      <c r="J654" s="347" t="s">
        <v>1826</v>
      </c>
      <c r="K654" s="345">
        <v>2006</v>
      </c>
      <c r="L654" s="347" t="s">
        <v>1483</v>
      </c>
      <c r="M654" s="347" t="s">
        <v>1827</v>
      </c>
      <c r="N654" s="347" t="s">
        <v>4445</v>
      </c>
      <c r="O654" s="347" t="s">
        <v>4441</v>
      </c>
      <c r="P654" s="347" t="s">
        <v>4482</v>
      </c>
      <c r="Q654" s="347"/>
      <c r="R654" s="347"/>
      <c r="S654" s="348">
        <v>39755</v>
      </c>
      <c r="T654" s="348">
        <v>39755</v>
      </c>
      <c r="U654" s="347"/>
      <c r="V654" s="345">
        <v>700</v>
      </c>
      <c r="W654" s="345">
        <v>14040</v>
      </c>
      <c r="X654" s="349">
        <v>123500</v>
      </c>
      <c r="Y654" s="345">
        <v>14046</v>
      </c>
      <c r="Z654" s="349">
        <v>123500</v>
      </c>
      <c r="AA654" s="349">
        <f t="shared" si="94"/>
        <v>0</v>
      </c>
      <c r="AB654" s="349">
        <v>0</v>
      </c>
      <c r="AC654" s="345">
        <v>51260</v>
      </c>
      <c r="AD654" s="349">
        <v>0</v>
      </c>
      <c r="AE654" s="345" t="s">
        <v>410</v>
      </c>
      <c r="AF654" s="347" t="s">
        <v>1828</v>
      </c>
      <c r="AG654" s="347">
        <v>861</v>
      </c>
      <c r="AH654" s="347" t="s">
        <v>57</v>
      </c>
      <c r="AI654" s="347" t="s">
        <v>4442</v>
      </c>
      <c r="AJ654" s="347" t="s">
        <v>4443</v>
      </c>
      <c r="AK654" s="347" t="s">
        <v>4437</v>
      </c>
      <c r="AL654" s="387">
        <v>45574</v>
      </c>
    </row>
    <row r="655" spans="2:38" ht="15.75" outlineLevel="1">
      <c r="B655" s="345">
        <v>2111</v>
      </c>
      <c r="C655" s="346">
        <v>229297</v>
      </c>
      <c r="D655" s="345">
        <v>225662</v>
      </c>
      <c r="E655" s="347" t="s">
        <v>4240</v>
      </c>
      <c r="F655" s="343" t="s">
        <v>1829</v>
      </c>
      <c r="I655" s="345">
        <v>1</v>
      </c>
      <c r="J655" s="347"/>
      <c r="K655" s="345">
        <v>0</v>
      </c>
      <c r="L655" s="347" t="s">
        <v>1779</v>
      </c>
      <c r="M655" s="347"/>
      <c r="N655" s="347" t="s">
        <v>4462</v>
      </c>
      <c r="O655" s="347" t="s">
        <v>4441</v>
      </c>
      <c r="P655" s="347"/>
      <c r="Q655" s="347"/>
      <c r="R655" s="347"/>
      <c r="S655" s="348">
        <v>43889</v>
      </c>
      <c r="T655" s="348">
        <v>43889</v>
      </c>
      <c r="U655" s="347" t="s">
        <v>1823</v>
      </c>
      <c r="V655" s="345">
        <v>700</v>
      </c>
      <c r="W655" s="345">
        <v>14010</v>
      </c>
      <c r="X655" s="349">
        <v>384635.57</v>
      </c>
      <c r="Y655" s="345">
        <v>14016</v>
      </c>
      <c r="Z655" s="349">
        <v>247723.58</v>
      </c>
      <c r="AA655" s="349">
        <f t="shared" si="94"/>
        <v>136911.99000000002</v>
      </c>
      <c r="AB655" s="349">
        <v>41210.910000000003</v>
      </c>
      <c r="AC655" s="345">
        <v>57260</v>
      </c>
      <c r="AD655" s="349">
        <v>4578.99</v>
      </c>
      <c r="AE655" s="345" t="s">
        <v>944</v>
      </c>
      <c r="AF655" s="347"/>
      <c r="AG655" s="347"/>
      <c r="AH655" s="347" t="s">
        <v>57</v>
      </c>
      <c r="AI655" s="347" t="s">
        <v>4442</v>
      </c>
      <c r="AJ655" s="347" t="s">
        <v>4443</v>
      </c>
      <c r="AK655" s="347" t="s">
        <v>4437</v>
      </c>
      <c r="AL655" s="387">
        <v>45574</v>
      </c>
    </row>
    <row r="656" spans="2:38" ht="15.75" outlineLevel="1">
      <c r="B656" s="345">
        <v>2111</v>
      </c>
      <c r="C656" s="346">
        <v>229018</v>
      </c>
      <c r="D656" s="345">
        <v>225229</v>
      </c>
      <c r="E656" s="347" t="s">
        <v>4240</v>
      </c>
      <c r="F656" s="343" t="s">
        <v>1831</v>
      </c>
      <c r="I656" s="345">
        <v>1</v>
      </c>
      <c r="J656" s="347"/>
      <c r="K656" s="345">
        <v>0</v>
      </c>
      <c r="L656" s="347" t="s">
        <v>1832</v>
      </c>
      <c r="M656" s="347"/>
      <c r="N656" s="347" t="s">
        <v>4445</v>
      </c>
      <c r="O656" s="347" t="s">
        <v>4441</v>
      </c>
      <c r="P656" s="347" t="s">
        <v>1467</v>
      </c>
      <c r="Q656" s="347"/>
      <c r="R656" s="347"/>
      <c r="S656" s="348">
        <v>43889</v>
      </c>
      <c r="T656" s="348">
        <v>43889</v>
      </c>
      <c r="U656" s="347" t="s">
        <v>1833</v>
      </c>
      <c r="V656" s="345">
        <v>1000</v>
      </c>
      <c r="W656" s="345">
        <v>14040</v>
      </c>
      <c r="X656" s="349">
        <v>192.33</v>
      </c>
      <c r="Y656" s="345">
        <v>14046</v>
      </c>
      <c r="Z656" s="349">
        <v>88.12</v>
      </c>
      <c r="AA656" s="349">
        <f t="shared" si="94"/>
        <v>104.21000000000001</v>
      </c>
      <c r="AB656" s="349">
        <v>14.4</v>
      </c>
      <c r="AC656" s="345">
        <v>51260</v>
      </c>
      <c r="AD656" s="349">
        <v>1.6</v>
      </c>
      <c r="AE656" s="345" t="s">
        <v>944</v>
      </c>
      <c r="AF656" s="347"/>
      <c r="AG656" s="347"/>
      <c r="AH656" s="347" t="s">
        <v>57</v>
      </c>
      <c r="AI656" s="347" t="s">
        <v>4442</v>
      </c>
      <c r="AJ656" s="347" t="s">
        <v>4443</v>
      </c>
      <c r="AK656" s="347" t="s">
        <v>4437</v>
      </c>
      <c r="AL656" s="387">
        <v>45574</v>
      </c>
    </row>
    <row r="657" spans="2:38" ht="15.75" outlineLevel="1">
      <c r="B657" s="345">
        <v>2111</v>
      </c>
      <c r="C657" s="346">
        <v>229017</v>
      </c>
      <c r="D657" s="345">
        <v>223824</v>
      </c>
      <c r="E657" s="347" t="s">
        <v>4240</v>
      </c>
      <c r="F657" s="343" t="s">
        <v>1835</v>
      </c>
      <c r="I657" s="345">
        <v>1</v>
      </c>
      <c r="J657" s="347"/>
      <c r="K657" s="345">
        <v>0</v>
      </c>
      <c r="L657" s="347" t="s">
        <v>1832</v>
      </c>
      <c r="M657" s="347"/>
      <c r="N657" s="347" t="s">
        <v>4445</v>
      </c>
      <c r="O657" s="347" t="s">
        <v>4441</v>
      </c>
      <c r="P657" s="347" t="s">
        <v>1467</v>
      </c>
      <c r="Q657" s="347"/>
      <c r="R657" s="347"/>
      <c r="S657" s="348">
        <v>43889</v>
      </c>
      <c r="T657" s="348">
        <v>43889</v>
      </c>
      <c r="U657" s="347" t="s">
        <v>1836</v>
      </c>
      <c r="V657" s="345">
        <v>1000</v>
      </c>
      <c r="W657" s="345">
        <v>14040</v>
      </c>
      <c r="X657" s="349">
        <v>439.6</v>
      </c>
      <c r="Y657" s="345">
        <v>14046</v>
      </c>
      <c r="Z657" s="349">
        <v>201.45</v>
      </c>
      <c r="AA657" s="349">
        <f t="shared" si="94"/>
        <v>238.15000000000003</v>
      </c>
      <c r="AB657" s="349">
        <v>32.94</v>
      </c>
      <c r="AC657" s="345">
        <v>51260</v>
      </c>
      <c r="AD657" s="349">
        <v>3.66</v>
      </c>
      <c r="AE657" s="345" t="s">
        <v>944</v>
      </c>
      <c r="AF657" s="347"/>
      <c r="AG657" s="347"/>
      <c r="AH657" s="347" t="s">
        <v>57</v>
      </c>
      <c r="AI657" s="347" t="s">
        <v>4442</v>
      </c>
      <c r="AJ657" s="347" t="s">
        <v>4443</v>
      </c>
      <c r="AK657" s="347" t="s">
        <v>4437</v>
      </c>
      <c r="AL657" s="387">
        <v>45574</v>
      </c>
    </row>
    <row r="658" spans="2:38" ht="15.75" outlineLevel="1">
      <c r="B658" s="345">
        <v>2111</v>
      </c>
      <c r="C658" s="346">
        <v>228985</v>
      </c>
      <c r="D658" s="345" t="s">
        <v>944</v>
      </c>
      <c r="E658" s="347" t="s">
        <v>4240</v>
      </c>
      <c r="F658" s="343" t="s">
        <v>1134</v>
      </c>
      <c r="I658" s="345">
        <v>1872</v>
      </c>
      <c r="J658" s="347"/>
      <c r="K658" s="345">
        <v>0</v>
      </c>
      <c r="L658" s="347" t="s">
        <v>1462</v>
      </c>
      <c r="M658" s="347"/>
      <c r="N658" s="347" t="s">
        <v>4446</v>
      </c>
      <c r="O658" s="347" t="s">
        <v>4441</v>
      </c>
      <c r="P658" s="347"/>
      <c r="Q658" s="347"/>
      <c r="R658" s="347"/>
      <c r="S658" s="348">
        <v>43871</v>
      </c>
      <c r="T658" s="348">
        <v>43871</v>
      </c>
      <c r="U658" s="347" t="s">
        <v>1837</v>
      </c>
      <c r="V658" s="345">
        <v>700</v>
      </c>
      <c r="W658" s="345">
        <v>14050</v>
      </c>
      <c r="X658" s="349">
        <v>73734.64</v>
      </c>
      <c r="Y658" s="345">
        <v>14056</v>
      </c>
      <c r="Z658" s="349">
        <v>49156.4</v>
      </c>
      <c r="AA658" s="349">
        <f t="shared" si="94"/>
        <v>24578.239999999998</v>
      </c>
      <c r="AB658" s="349">
        <v>7900.11</v>
      </c>
      <c r="AC658" s="345">
        <v>54260</v>
      </c>
      <c r="AD658" s="349">
        <v>877.79</v>
      </c>
      <c r="AE658" s="345" t="s">
        <v>944</v>
      </c>
      <c r="AF658" s="347"/>
      <c r="AG658" s="347"/>
      <c r="AH658" s="347" t="s">
        <v>57</v>
      </c>
      <c r="AI658" s="347" t="s">
        <v>4442</v>
      </c>
      <c r="AJ658" s="347" t="s">
        <v>4443</v>
      </c>
      <c r="AK658" s="347" t="s">
        <v>4437</v>
      </c>
      <c r="AL658" s="387">
        <v>45574</v>
      </c>
    </row>
    <row r="659" spans="2:38" ht="15.75" outlineLevel="1">
      <c r="B659" s="345">
        <v>2111</v>
      </c>
      <c r="C659" s="346">
        <v>228949</v>
      </c>
      <c r="D659" s="345" t="s">
        <v>944</v>
      </c>
      <c r="E659" s="347" t="s">
        <v>4240</v>
      </c>
      <c r="F659" s="343" t="s">
        <v>1149</v>
      </c>
      <c r="I659" s="345">
        <v>702</v>
      </c>
      <c r="J659" s="347"/>
      <c r="K659" s="345">
        <v>0</v>
      </c>
      <c r="L659" s="347" t="s">
        <v>1462</v>
      </c>
      <c r="M659" s="347"/>
      <c r="N659" s="347" t="s">
        <v>4446</v>
      </c>
      <c r="O659" s="347" t="s">
        <v>4441</v>
      </c>
      <c r="P659" s="347"/>
      <c r="Q659" s="347"/>
      <c r="R659" s="347"/>
      <c r="S659" s="348">
        <v>43871</v>
      </c>
      <c r="T659" s="348">
        <v>43871</v>
      </c>
      <c r="U659" s="347" t="s">
        <v>1837</v>
      </c>
      <c r="V659" s="345">
        <v>700</v>
      </c>
      <c r="W659" s="345">
        <v>14050</v>
      </c>
      <c r="X659" s="349">
        <v>31747.14</v>
      </c>
      <c r="Y659" s="345">
        <v>14056</v>
      </c>
      <c r="Z659" s="349">
        <v>21164.75</v>
      </c>
      <c r="AA659" s="349">
        <f t="shared" si="94"/>
        <v>10582.39</v>
      </c>
      <c r="AB659" s="349">
        <v>3401.46</v>
      </c>
      <c r="AC659" s="345">
        <v>54260</v>
      </c>
      <c r="AD659" s="349">
        <v>377.94</v>
      </c>
      <c r="AE659" s="345" t="s">
        <v>944</v>
      </c>
      <c r="AF659" s="347"/>
      <c r="AG659" s="347"/>
      <c r="AH659" s="347" t="s">
        <v>57</v>
      </c>
      <c r="AI659" s="347" t="s">
        <v>4442</v>
      </c>
      <c r="AJ659" s="347" t="s">
        <v>4443</v>
      </c>
      <c r="AK659" s="347" t="s">
        <v>4437</v>
      </c>
      <c r="AL659" s="387">
        <v>45574</v>
      </c>
    </row>
    <row r="660" spans="2:38" ht="15.75" outlineLevel="1">
      <c r="B660" s="345">
        <v>2111</v>
      </c>
      <c r="C660" s="346">
        <v>228948</v>
      </c>
      <c r="D660" s="345" t="s">
        <v>944</v>
      </c>
      <c r="E660" s="347" t="s">
        <v>4240</v>
      </c>
      <c r="F660" s="343" t="s">
        <v>1135</v>
      </c>
      <c r="I660" s="345">
        <v>702</v>
      </c>
      <c r="J660" s="347"/>
      <c r="K660" s="345">
        <v>0</v>
      </c>
      <c r="L660" s="347" t="s">
        <v>1462</v>
      </c>
      <c r="M660" s="347"/>
      <c r="N660" s="347" t="s">
        <v>4446</v>
      </c>
      <c r="O660" s="347" t="s">
        <v>4441</v>
      </c>
      <c r="P660" s="347"/>
      <c r="Q660" s="347"/>
      <c r="R660" s="347"/>
      <c r="S660" s="348">
        <v>43871</v>
      </c>
      <c r="T660" s="348">
        <v>43871</v>
      </c>
      <c r="U660" s="347" t="s">
        <v>1837</v>
      </c>
      <c r="V660" s="345">
        <v>700</v>
      </c>
      <c r="W660" s="345">
        <v>14050</v>
      </c>
      <c r="X660" s="349">
        <v>31747.14</v>
      </c>
      <c r="Y660" s="345">
        <v>14056</v>
      </c>
      <c r="Z660" s="349">
        <v>21164.75</v>
      </c>
      <c r="AA660" s="349">
        <f t="shared" si="94"/>
        <v>10582.39</v>
      </c>
      <c r="AB660" s="349">
        <v>3401.46</v>
      </c>
      <c r="AC660" s="345">
        <v>54260</v>
      </c>
      <c r="AD660" s="349">
        <v>377.94</v>
      </c>
      <c r="AE660" s="345" t="s">
        <v>944</v>
      </c>
      <c r="AF660" s="347"/>
      <c r="AG660" s="347"/>
      <c r="AH660" s="347" t="s">
        <v>57</v>
      </c>
      <c r="AI660" s="347" t="s">
        <v>4442</v>
      </c>
      <c r="AJ660" s="347" t="s">
        <v>4443</v>
      </c>
      <c r="AK660" s="347" t="s">
        <v>4437</v>
      </c>
      <c r="AL660" s="387">
        <v>45574</v>
      </c>
    </row>
    <row r="661" spans="2:38" ht="15.75" outlineLevel="1">
      <c r="B661" s="345">
        <v>2111</v>
      </c>
      <c r="C661" s="346">
        <v>228947</v>
      </c>
      <c r="D661" s="345" t="s">
        <v>944</v>
      </c>
      <c r="E661" s="347" t="s">
        <v>4240</v>
      </c>
      <c r="F661" s="343" t="s">
        <v>1135</v>
      </c>
      <c r="I661" s="345">
        <v>702</v>
      </c>
      <c r="J661" s="347"/>
      <c r="K661" s="345">
        <v>0</v>
      </c>
      <c r="L661" s="347" t="s">
        <v>1462</v>
      </c>
      <c r="M661" s="347"/>
      <c r="N661" s="347" t="s">
        <v>4446</v>
      </c>
      <c r="O661" s="347" t="s">
        <v>4441</v>
      </c>
      <c r="P661" s="347"/>
      <c r="Q661" s="347"/>
      <c r="R661" s="347"/>
      <c r="S661" s="348">
        <v>43871</v>
      </c>
      <c r="T661" s="348">
        <v>43871</v>
      </c>
      <c r="U661" s="347" t="s">
        <v>1837</v>
      </c>
      <c r="V661" s="345">
        <v>700</v>
      </c>
      <c r="W661" s="345">
        <v>14050</v>
      </c>
      <c r="X661" s="349">
        <v>31747.14</v>
      </c>
      <c r="Y661" s="345">
        <v>14056</v>
      </c>
      <c r="Z661" s="349">
        <v>21164.75</v>
      </c>
      <c r="AA661" s="349">
        <f t="shared" si="94"/>
        <v>10582.39</v>
      </c>
      <c r="AB661" s="349">
        <v>3401.46</v>
      </c>
      <c r="AC661" s="345">
        <v>54260</v>
      </c>
      <c r="AD661" s="349">
        <v>377.94</v>
      </c>
      <c r="AE661" s="345" t="s">
        <v>944</v>
      </c>
      <c r="AF661" s="347"/>
      <c r="AG661" s="347"/>
      <c r="AH661" s="347" t="s">
        <v>57</v>
      </c>
      <c r="AI661" s="347" t="s">
        <v>4442</v>
      </c>
      <c r="AJ661" s="347" t="s">
        <v>4443</v>
      </c>
      <c r="AK661" s="347" t="s">
        <v>4437</v>
      </c>
      <c r="AL661" s="387">
        <v>45574</v>
      </c>
    </row>
    <row r="662" spans="2:38" ht="15.75" outlineLevel="1">
      <c r="B662" s="345">
        <v>2111</v>
      </c>
      <c r="C662" s="346">
        <v>228781</v>
      </c>
      <c r="D662" s="345" t="s">
        <v>944</v>
      </c>
      <c r="E662" s="347" t="s">
        <v>4240</v>
      </c>
      <c r="F662" s="343" t="s">
        <v>1825</v>
      </c>
      <c r="I662" s="345">
        <v>1</v>
      </c>
      <c r="J662" s="347" t="s">
        <v>1838</v>
      </c>
      <c r="K662" s="345">
        <v>2006</v>
      </c>
      <c r="L662" s="347" t="s">
        <v>1483</v>
      </c>
      <c r="M662" s="347" t="s">
        <v>1827</v>
      </c>
      <c r="N662" s="347" t="s">
        <v>4445</v>
      </c>
      <c r="O662" s="347" t="s">
        <v>4441</v>
      </c>
      <c r="P662" s="347" t="s">
        <v>4482</v>
      </c>
      <c r="Q662" s="347"/>
      <c r="R662" s="347"/>
      <c r="S662" s="348">
        <v>39755</v>
      </c>
      <c r="T662" s="348">
        <v>39755</v>
      </c>
      <c r="U662" s="347"/>
      <c r="V662" s="345">
        <v>700</v>
      </c>
      <c r="W662" s="345">
        <v>14040</v>
      </c>
      <c r="X662" s="349">
        <v>123500</v>
      </c>
      <c r="Y662" s="345">
        <v>14046</v>
      </c>
      <c r="Z662" s="349">
        <v>123500</v>
      </c>
      <c r="AA662" s="349">
        <f t="shared" si="94"/>
        <v>0</v>
      </c>
      <c r="AB662" s="349">
        <v>0</v>
      </c>
      <c r="AC662" s="345">
        <v>51260</v>
      </c>
      <c r="AD662" s="349">
        <v>0</v>
      </c>
      <c r="AE662" s="345" t="s">
        <v>410</v>
      </c>
      <c r="AF662" s="347" t="s">
        <v>1828</v>
      </c>
      <c r="AG662" s="347">
        <v>862</v>
      </c>
      <c r="AH662" s="347" t="s">
        <v>57</v>
      </c>
      <c r="AI662" s="347" t="s">
        <v>4442</v>
      </c>
      <c r="AJ662" s="347" t="s">
        <v>4443</v>
      </c>
      <c r="AK662" s="347" t="s">
        <v>4437</v>
      </c>
      <c r="AL662" s="387">
        <v>45574</v>
      </c>
    </row>
    <row r="663" spans="2:38" ht="15.75" outlineLevel="1">
      <c r="B663" s="345">
        <v>2111</v>
      </c>
      <c r="C663" s="346">
        <v>228513</v>
      </c>
      <c r="D663" s="345">
        <v>225662</v>
      </c>
      <c r="E663" s="347" t="s">
        <v>4240</v>
      </c>
      <c r="F663" s="343" t="s">
        <v>1839</v>
      </c>
      <c r="I663" s="345">
        <v>1</v>
      </c>
      <c r="J663" s="347"/>
      <c r="K663" s="345">
        <v>0</v>
      </c>
      <c r="L663" s="347" t="s">
        <v>1779</v>
      </c>
      <c r="M663" s="347"/>
      <c r="N663" s="347" t="s">
        <v>4462</v>
      </c>
      <c r="O663" s="347" t="s">
        <v>4441</v>
      </c>
      <c r="P663" s="347"/>
      <c r="Q663" s="347"/>
      <c r="R663" s="347"/>
      <c r="S663" s="348">
        <v>43860</v>
      </c>
      <c r="T663" s="348">
        <v>43860</v>
      </c>
      <c r="U663" s="347" t="s">
        <v>1823</v>
      </c>
      <c r="V663" s="345">
        <v>700</v>
      </c>
      <c r="W663" s="345">
        <v>14010</v>
      </c>
      <c r="X663" s="349">
        <v>35264.699999999997</v>
      </c>
      <c r="Y663" s="345">
        <v>14016</v>
      </c>
      <c r="Z663" s="349">
        <v>23006.06</v>
      </c>
      <c r="AA663" s="349">
        <f t="shared" si="94"/>
        <v>12258.639999999996</v>
      </c>
      <c r="AB663" s="349">
        <v>3778.38</v>
      </c>
      <c r="AC663" s="345">
        <v>57260</v>
      </c>
      <c r="AD663" s="349">
        <v>419.82</v>
      </c>
      <c r="AE663" s="345" t="s">
        <v>944</v>
      </c>
      <c r="AF663" s="347"/>
      <c r="AG663" s="347"/>
      <c r="AH663" s="347" t="s">
        <v>57</v>
      </c>
      <c r="AI663" s="347" t="s">
        <v>4442</v>
      </c>
      <c r="AJ663" s="347" t="s">
        <v>4443</v>
      </c>
      <c r="AK663" s="347" t="s">
        <v>4437</v>
      </c>
      <c r="AL663" s="387">
        <v>45574</v>
      </c>
    </row>
    <row r="664" spans="2:38" ht="15.75" outlineLevel="1">
      <c r="B664" s="345">
        <v>2111</v>
      </c>
      <c r="C664" s="346">
        <v>228512</v>
      </c>
      <c r="D664" s="345">
        <v>225662</v>
      </c>
      <c r="E664" s="347" t="s">
        <v>4240</v>
      </c>
      <c r="F664" s="343" t="s">
        <v>1841</v>
      </c>
      <c r="I664" s="345">
        <v>1</v>
      </c>
      <c r="J664" s="347"/>
      <c r="K664" s="345">
        <v>0</v>
      </c>
      <c r="L664" s="347" t="s">
        <v>1779</v>
      </c>
      <c r="M664" s="347"/>
      <c r="N664" s="347" t="s">
        <v>4462</v>
      </c>
      <c r="O664" s="347" t="s">
        <v>4441</v>
      </c>
      <c r="P664" s="347"/>
      <c r="Q664" s="347"/>
      <c r="R664" s="347"/>
      <c r="S664" s="348">
        <v>43860</v>
      </c>
      <c r="T664" s="348">
        <v>43860</v>
      </c>
      <c r="U664" s="347" t="s">
        <v>1823</v>
      </c>
      <c r="V664" s="345">
        <v>700</v>
      </c>
      <c r="W664" s="345">
        <v>14010</v>
      </c>
      <c r="X664" s="349">
        <v>14885.1</v>
      </c>
      <c r="Y664" s="345">
        <v>14016</v>
      </c>
      <c r="Z664" s="349">
        <v>9710.7199999999993</v>
      </c>
      <c r="AA664" s="349">
        <f t="shared" si="94"/>
        <v>5174.380000000001</v>
      </c>
      <c r="AB664" s="349">
        <v>1594.8</v>
      </c>
      <c r="AC664" s="345">
        <v>57260</v>
      </c>
      <c r="AD664" s="349">
        <v>177.2</v>
      </c>
      <c r="AE664" s="345" t="s">
        <v>944</v>
      </c>
      <c r="AF664" s="347"/>
      <c r="AG664" s="347"/>
      <c r="AH664" s="347" t="s">
        <v>57</v>
      </c>
      <c r="AI664" s="347" t="s">
        <v>4442</v>
      </c>
      <c r="AJ664" s="347" t="s">
        <v>4443</v>
      </c>
      <c r="AK664" s="347" t="s">
        <v>4437</v>
      </c>
      <c r="AL664" s="387">
        <v>45574</v>
      </c>
    </row>
    <row r="665" spans="2:38" ht="15.75" outlineLevel="1">
      <c r="B665" s="345">
        <v>2111</v>
      </c>
      <c r="C665" s="346">
        <v>228452</v>
      </c>
      <c r="D665" s="345">
        <v>228449</v>
      </c>
      <c r="E665" s="347" t="s">
        <v>4240</v>
      </c>
      <c r="F665" s="343" t="s">
        <v>1842</v>
      </c>
      <c r="I665" s="345">
        <v>1</v>
      </c>
      <c r="J665" s="347"/>
      <c r="K665" s="345">
        <v>0</v>
      </c>
      <c r="L665" s="347"/>
      <c r="M665" s="347"/>
      <c r="N665" s="347" t="s">
        <v>4445</v>
      </c>
      <c r="O665" s="347" t="s">
        <v>4441</v>
      </c>
      <c r="P665" s="347" t="s">
        <v>1467</v>
      </c>
      <c r="Q665" s="347"/>
      <c r="R665" s="347"/>
      <c r="S665" s="348">
        <v>42141</v>
      </c>
      <c r="T665" s="348">
        <v>42141</v>
      </c>
      <c r="U665" s="347" t="s">
        <v>1843</v>
      </c>
      <c r="V665" s="345">
        <v>300</v>
      </c>
      <c r="W665" s="345">
        <v>14040</v>
      </c>
      <c r="X665" s="349">
        <v>312.32</v>
      </c>
      <c r="Y665" s="345">
        <v>14046</v>
      </c>
      <c r="Z665" s="349">
        <v>312.32</v>
      </c>
      <c r="AA665" s="349">
        <f t="shared" si="94"/>
        <v>0</v>
      </c>
      <c r="AB665" s="349">
        <v>0</v>
      </c>
      <c r="AC665" s="345">
        <v>51260</v>
      </c>
      <c r="AD665" s="349">
        <v>0</v>
      </c>
      <c r="AE665" s="345" t="s">
        <v>944</v>
      </c>
      <c r="AF665" s="347"/>
      <c r="AG665" s="347"/>
      <c r="AH665" s="347" t="s">
        <v>57</v>
      </c>
      <c r="AI665" s="347" t="s">
        <v>4442</v>
      </c>
      <c r="AJ665" s="347" t="s">
        <v>4443</v>
      </c>
      <c r="AK665" s="347" t="s">
        <v>4437</v>
      </c>
      <c r="AL665" s="387">
        <v>45574</v>
      </c>
    </row>
    <row r="666" spans="2:38" ht="15.75" outlineLevel="1">
      <c r="B666" s="345">
        <v>2111</v>
      </c>
      <c r="C666" s="346">
        <v>228451</v>
      </c>
      <c r="D666" s="345">
        <v>228449</v>
      </c>
      <c r="E666" s="347" t="s">
        <v>4240</v>
      </c>
      <c r="F666" s="343" t="s">
        <v>1845</v>
      </c>
      <c r="I666" s="345">
        <v>1</v>
      </c>
      <c r="J666" s="347"/>
      <c r="K666" s="345">
        <v>0</v>
      </c>
      <c r="L666" s="347" t="s">
        <v>1846</v>
      </c>
      <c r="M666" s="347"/>
      <c r="N666" s="347" t="s">
        <v>4458</v>
      </c>
      <c r="O666" s="347" t="s">
        <v>4441</v>
      </c>
      <c r="P666" s="347" t="s">
        <v>4170</v>
      </c>
      <c r="Q666" s="347"/>
      <c r="R666" s="347"/>
      <c r="S666" s="348">
        <v>42139</v>
      </c>
      <c r="T666" s="348">
        <v>42139</v>
      </c>
      <c r="U666" s="347" t="s">
        <v>1847</v>
      </c>
      <c r="V666" s="345">
        <v>300</v>
      </c>
      <c r="W666" s="345">
        <v>14030</v>
      </c>
      <c r="X666" s="349">
        <v>23073.41</v>
      </c>
      <c r="Y666" s="345">
        <v>14036</v>
      </c>
      <c r="Z666" s="349">
        <v>23073.41</v>
      </c>
      <c r="AA666" s="349">
        <f t="shared" si="94"/>
        <v>0</v>
      </c>
      <c r="AB666" s="349">
        <v>0</v>
      </c>
      <c r="AC666" s="345">
        <v>51260</v>
      </c>
      <c r="AD666" s="349">
        <v>0</v>
      </c>
      <c r="AE666" s="345" t="s">
        <v>944</v>
      </c>
      <c r="AF666" s="347"/>
      <c r="AG666" s="347"/>
      <c r="AH666" s="347" t="s">
        <v>57</v>
      </c>
      <c r="AI666" s="347" t="s">
        <v>4442</v>
      </c>
      <c r="AJ666" s="347" t="s">
        <v>4443</v>
      </c>
      <c r="AK666" s="347" t="s">
        <v>4437</v>
      </c>
      <c r="AL666" s="387">
        <v>45574</v>
      </c>
    </row>
    <row r="667" spans="2:38" ht="15.75" outlineLevel="1">
      <c r="B667" s="345">
        <v>2111</v>
      </c>
      <c r="C667" s="346">
        <v>228450</v>
      </c>
      <c r="D667" s="345">
        <v>228449</v>
      </c>
      <c r="E667" s="347" t="s">
        <v>4240</v>
      </c>
      <c r="F667" s="343" t="s">
        <v>1848</v>
      </c>
      <c r="I667" s="345">
        <v>1</v>
      </c>
      <c r="J667" s="347"/>
      <c r="K667" s="345">
        <v>0</v>
      </c>
      <c r="L667" s="347"/>
      <c r="M667" s="347"/>
      <c r="N667" s="347" t="s">
        <v>4445</v>
      </c>
      <c r="O667" s="347" t="s">
        <v>4441</v>
      </c>
      <c r="P667" s="347" t="s">
        <v>4170</v>
      </c>
      <c r="Q667" s="347"/>
      <c r="R667" s="347"/>
      <c r="S667" s="348">
        <v>42139</v>
      </c>
      <c r="T667" s="348">
        <v>42139</v>
      </c>
      <c r="U667" s="347" t="s">
        <v>1849</v>
      </c>
      <c r="V667" s="345">
        <v>300</v>
      </c>
      <c r="W667" s="345">
        <v>14040</v>
      </c>
      <c r="X667" s="349">
        <v>3694.18</v>
      </c>
      <c r="Y667" s="345">
        <v>14046</v>
      </c>
      <c r="Z667" s="349">
        <v>3694.18</v>
      </c>
      <c r="AA667" s="349">
        <f t="shared" si="94"/>
        <v>0</v>
      </c>
      <c r="AB667" s="349">
        <v>0</v>
      </c>
      <c r="AC667" s="345">
        <v>51260</v>
      </c>
      <c r="AD667" s="349">
        <v>0</v>
      </c>
      <c r="AE667" s="345" t="s">
        <v>944</v>
      </c>
      <c r="AF667" s="347"/>
      <c r="AG667" s="347"/>
      <c r="AH667" s="347" t="s">
        <v>57</v>
      </c>
      <c r="AI667" s="347" t="s">
        <v>4442</v>
      </c>
      <c r="AJ667" s="347" t="s">
        <v>4443</v>
      </c>
      <c r="AK667" s="347" t="s">
        <v>4437</v>
      </c>
      <c r="AL667" s="387">
        <v>45574</v>
      </c>
    </row>
    <row r="668" spans="2:38" ht="15.75" outlineLevel="1">
      <c r="B668" s="345">
        <v>2111</v>
      </c>
      <c r="C668" s="346">
        <v>228449</v>
      </c>
      <c r="D668" s="345" t="s">
        <v>944</v>
      </c>
      <c r="E668" s="347" t="s">
        <v>4240</v>
      </c>
      <c r="F668" s="343" t="s">
        <v>1851</v>
      </c>
      <c r="I668" s="345">
        <v>1</v>
      </c>
      <c r="J668" s="347" t="s">
        <v>1852</v>
      </c>
      <c r="K668" s="345">
        <v>1998</v>
      </c>
      <c r="L668" s="347" t="s">
        <v>1853</v>
      </c>
      <c r="M668" s="347"/>
      <c r="N668" s="347" t="s">
        <v>4445</v>
      </c>
      <c r="O668" s="347" t="s">
        <v>4441</v>
      </c>
      <c r="P668" s="347" t="s">
        <v>1575</v>
      </c>
      <c r="Q668" s="347"/>
      <c r="R668" s="347"/>
      <c r="S668" s="348">
        <v>42095</v>
      </c>
      <c r="T668" s="348">
        <v>42095</v>
      </c>
      <c r="U668" s="347"/>
      <c r="V668" s="345">
        <v>300</v>
      </c>
      <c r="W668" s="345">
        <v>14040</v>
      </c>
      <c r="X668" s="349">
        <v>2500</v>
      </c>
      <c r="Y668" s="345">
        <v>14046</v>
      </c>
      <c r="Z668" s="349">
        <v>2500</v>
      </c>
      <c r="AA668" s="349">
        <f t="shared" si="94"/>
        <v>0</v>
      </c>
      <c r="AB668" s="349">
        <v>0</v>
      </c>
      <c r="AC668" s="345">
        <v>51260</v>
      </c>
      <c r="AD668" s="349">
        <v>0</v>
      </c>
      <c r="AE668" s="345" t="s">
        <v>410</v>
      </c>
      <c r="AF668" s="347" t="s">
        <v>1854</v>
      </c>
      <c r="AG668" s="347" t="s">
        <v>1855</v>
      </c>
      <c r="AH668" s="347" t="s">
        <v>57</v>
      </c>
      <c r="AI668" s="347" t="s">
        <v>4442</v>
      </c>
      <c r="AJ668" s="347" t="s">
        <v>4443</v>
      </c>
      <c r="AK668" s="347" t="s">
        <v>4437</v>
      </c>
      <c r="AL668" s="387">
        <v>45574</v>
      </c>
    </row>
    <row r="669" spans="2:38" ht="15.75" outlineLevel="1">
      <c r="B669" s="345">
        <v>2111</v>
      </c>
      <c r="C669" s="346">
        <v>228448</v>
      </c>
      <c r="D669" s="345">
        <v>228446</v>
      </c>
      <c r="E669" s="347" t="s">
        <v>4240</v>
      </c>
      <c r="F669" s="343" t="s">
        <v>1856</v>
      </c>
      <c r="I669" s="345">
        <v>1</v>
      </c>
      <c r="J669" s="347"/>
      <c r="K669" s="345">
        <v>0</v>
      </c>
      <c r="L669" s="347"/>
      <c r="M669" s="347"/>
      <c r="N669" s="347" t="s">
        <v>4445</v>
      </c>
      <c r="O669" s="347" t="s">
        <v>4441</v>
      </c>
      <c r="P669" s="347" t="s">
        <v>1467</v>
      </c>
      <c r="Q669" s="347"/>
      <c r="R669" s="347"/>
      <c r="S669" s="348">
        <v>42141</v>
      </c>
      <c r="T669" s="348">
        <v>42141</v>
      </c>
      <c r="U669" s="347" t="s">
        <v>1857</v>
      </c>
      <c r="V669" s="345">
        <v>300</v>
      </c>
      <c r="W669" s="345">
        <v>14040</v>
      </c>
      <c r="X669" s="349">
        <v>1139.99</v>
      </c>
      <c r="Y669" s="345">
        <v>14046</v>
      </c>
      <c r="Z669" s="349">
        <v>1139.99</v>
      </c>
      <c r="AA669" s="349">
        <f t="shared" si="94"/>
        <v>0</v>
      </c>
      <c r="AB669" s="349">
        <v>0</v>
      </c>
      <c r="AC669" s="345">
        <v>51260</v>
      </c>
      <c r="AD669" s="349">
        <v>0</v>
      </c>
      <c r="AE669" s="345" t="s">
        <v>944</v>
      </c>
      <c r="AF669" s="347"/>
      <c r="AG669" s="347"/>
      <c r="AH669" s="347" t="s">
        <v>57</v>
      </c>
      <c r="AI669" s="347" t="s">
        <v>4442</v>
      </c>
      <c r="AJ669" s="347" t="s">
        <v>4443</v>
      </c>
      <c r="AK669" s="347" t="s">
        <v>4437</v>
      </c>
      <c r="AL669" s="387">
        <v>45574</v>
      </c>
    </row>
    <row r="670" spans="2:38" ht="15.75" outlineLevel="1">
      <c r="B670" s="345">
        <v>2111</v>
      </c>
      <c r="C670" s="346">
        <v>228447</v>
      </c>
      <c r="D670" s="345">
        <v>228446</v>
      </c>
      <c r="E670" s="347" t="s">
        <v>4240</v>
      </c>
      <c r="F670" s="343" t="s">
        <v>1858</v>
      </c>
      <c r="I670" s="345">
        <v>1</v>
      </c>
      <c r="J670" s="347"/>
      <c r="K670" s="345">
        <v>0</v>
      </c>
      <c r="L670" s="347"/>
      <c r="M670" s="347"/>
      <c r="N670" s="347" t="s">
        <v>4445</v>
      </c>
      <c r="O670" s="347" t="s">
        <v>4441</v>
      </c>
      <c r="P670" s="347" t="s">
        <v>4170</v>
      </c>
      <c r="Q670" s="347"/>
      <c r="R670" s="347"/>
      <c r="S670" s="348">
        <v>42139</v>
      </c>
      <c r="T670" s="348">
        <v>42139</v>
      </c>
      <c r="U670" s="347" t="s">
        <v>1859</v>
      </c>
      <c r="V670" s="345">
        <v>300</v>
      </c>
      <c r="W670" s="345">
        <v>14040</v>
      </c>
      <c r="X670" s="349">
        <v>5335.55</v>
      </c>
      <c r="Y670" s="345">
        <v>14046</v>
      </c>
      <c r="Z670" s="349">
        <v>5335.55</v>
      </c>
      <c r="AA670" s="349">
        <f t="shared" si="94"/>
        <v>0</v>
      </c>
      <c r="AB670" s="349">
        <v>0</v>
      </c>
      <c r="AC670" s="345">
        <v>51260</v>
      </c>
      <c r="AD670" s="349">
        <v>0</v>
      </c>
      <c r="AE670" s="345" t="s">
        <v>944</v>
      </c>
      <c r="AF670" s="347"/>
      <c r="AG670" s="347"/>
      <c r="AH670" s="347" t="s">
        <v>57</v>
      </c>
      <c r="AI670" s="347" t="s">
        <v>4442</v>
      </c>
      <c r="AJ670" s="347" t="s">
        <v>4443</v>
      </c>
      <c r="AK670" s="347" t="s">
        <v>4437</v>
      </c>
      <c r="AL670" s="387">
        <v>45574</v>
      </c>
    </row>
    <row r="671" spans="2:38" ht="15.75" outlineLevel="1">
      <c r="B671" s="345">
        <v>2111</v>
      </c>
      <c r="C671" s="346">
        <v>228446</v>
      </c>
      <c r="D671" s="345" t="s">
        <v>944</v>
      </c>
      <c r="E671" s="347" t="s">
        <v>4240</v>
      </c>
      <c r="F671" s="343" t="s">
        <v>1851</v>
      </c>
      <c r="I671" s="345">
        <v>1</v>
      </c>
      <c r="J671" s="347" t="s">
        <v>1860</v>
      </c>
      <c r="K671" s="345">
        <v>1998</v>
      </c>
      <c r="L671" s="347" t="s">
        <v>1853</v>
      </c>
      <c r="M671" s="347"/>
      <c r="N671" s="347" t="s">
        <v>4445</v>
      </c>
      <c r="O671" s="347" t="s">
        <v>4441</v>
      </c>
      <c r="P671" s="347" t="s">
        <v>1575</v>
      </c>
      <c r="Q671" s="347"/>
      <c r="R671" s="347"/>
      <c r="S671" s="348">
        <v>42095</v>
      </c>
      <c r="T671" s="348">
        <v>42095</v>
      </c>
      <c r="U671" s="347"/>
      <c r="V671" s="345">
        <v>300</v>
      </c>
      <c r="W671" s="345">
        <v>14040</v>
      </c>
      <c r="X671" s="349">
        <v>2500</v>
      </c>
      <c r="Y671" s="345">
        <v>14046</v>
      </c>
      <c r="Z671" s="349">
        <v>2500</v>
      </c>
      <c r="AA671" s="349">
        <f t="shared" si="94"/>
        <v>0</v>
      </c>
      <c r="AB671" s="349">
        <v>0</v>
      </c>
      <c r="AC671" s="345">
        <v>51260</v>
      </c>
      <c r="AD671" s="349">
        <v>0</v>
      </c>
      <c r="AE671" s="345" t="s">
        <v>410</v>
      </c>
      <c r="AF671" s="347" t="s">
        <v>1854</v>
      </c>
      <c r="AG671" s="347" t="s">
        <v>1861</v>
      </c>
      <c r="AH671" s="347" t="s">
        <v>57</v>
      </c>
      <c r="AI671" s="347" t="s">
        <v>4442</v>
      </c>
      <c r="AJ671" s="347" t="s">
        <v>4443</v>
      </c>
      <c r="AK671" s="347" t="s">
        <v>4437</v>
      </c>
      <c r="AL671" s="387">
        <v>45574</v>
      </c>
    </row>
    <row r="672" spans="2:38" ht="15.75" outlineLevel="1">
      <c r="B672" s="345">
        <v>2111</v>
      </c>
      <c r="C672" s="346">
        <v>228445</v>
      </c>
      <c r="D672" s="345">
        <v>228442</v>
      </c>
      <c r="E672" s="347" t="s">
        <v>4240</v>
      </c>
      <c r="F672" s="343" t="s">
        <v>1862</v>
      </c>
      <c r="I672" s="345">
        <v>1</v>
      </c>
      <c r="J672" s="347"/>
      <c r="K672" s="345">
        <v>0</v>
      </c>
      <c r="L672" s="347"/>
      <c r="M672" s="347"/>
      <c r="N672" s="347" t="s">
        <v>4445</v>
      </c>
      <c r="O672" s="347" t="s">
        <v>4441</v>
      </c>
      <c r="P672" s="347" t="s">
        <v>1467</v>
      </c>
      <c r="Q672" s="347"/>
      <c r="R672" s="347"/>
      <c r="S672" s="348">
        <v>42141</v>
      </c>
      <c r="T672" s="348">
        <v>42141</v>
      </c>
      <c r="U672" s="347" t="s">
        <v>1863</v>
      </c>
      <c r="V672" s="345">
        <v>300</v>
      </c>
      <c r="W672" s="345">
        <v>14040</v>
      </c>
      <c r="X672" s="349">
        <v>1897.24</v>
      </c>
      <c r="Y672" s="345">
        <v>14046</v>
      </c>
      <c r="Z672" s="349">
        <v>1897.24</v>
      </c>
      <c r="AA672" s="349">
        <f t="shared" si="94"/>
        <v>0</v>
      </c>
      <c r="AB672" s="349">
        <v>0</v>
      </c>
      <c r="AC672" s="345">
        <v>51260</v>
      </c>
      <c r="AD672" s="349">
        <v>0</v>
      </c>
      <c r="AE672" s="345" t="s">
        <v>944</v>
      </c>
      <c r="AF672" s="347"/>
      <c r="AG672" s="347"/>
      <c r="AH672" s="347" t="s">
        <v>57</v>
      </c>
      <c r="AI672" s="347" t="s">
        <v>4442</v>
      </c>
      <c r="AJ672" s="347" t="s">
        <v>4443</v>
      </c>
      <c r="AK672" s="347" t="s">
        <v>4437</v>
      </c>
      <c r="AL672" s="387">
        <v>45574</v>
      </c>
    </row>
    <row r="673" spans="2:38" ht="15.75" outlineLevel="1">
      <c r="B673" s="345">
        <v>2111</v>
      </c>
      <c r="C673" s="346">
        <v>228444</v>
      </c>
      <c r="D673" s="345">
        <v>228442</v>
      </c>
      <c r="E673" s="347" t="s">
        <v>4240</v>
      </c>
      <c r="F673" s="343" t="s">
        <v>1858</v>
      </c>
      <c r="I673" s="345">
        <v>1</v>
      </c>
      <c r="J673" s="347"/>
      <c r="K673" s="345">
        <v>0</v>
      </c>
      <c r="L673" s="347"/>
      <c r="M673" s="347"/>
      <c r="N673" s="347" t="s">
        <v>4445</v>
      </c>
      <c r="O673" s="347" t="s">
        <v>4441</v>
      </c>
      <c r="P673" s="347" t="s">
        <v>4170</v>
      </c>
      <c r="Q673" s="347"/>
      <c r="R673" s="347"/>
      <c r="S673" s="348">
        <v>42139</v>
      </c>
      <c r="T673" s="348">
        <v>42139</v>
      </c>
      <c r="U673" s="347" t="s">
        <v>1864</v>
      </c>
      <c r="V673" s="345">
        <v>300</v>
      </c>
      <c r="W673" s="345">
        <v>14040</v>
      </c>
      <c r="X673" s="349">
        <v>5335.55</v>
      </c>
      <c r="Y673" s="345">
        <v>14046</v>
      </c>
      <c r="Z673" s="349">
        <v>5335.55</v>
      </c>
      <c r="AA673" s="349">
        <f t="shared" si="94"/>
        <v>0</v>
      </c>
      <c r="AB673" s="349">
        <v>0</v>
      </c>
      <c r="AC673" s="345">
        <v>51260</v>
      </c>
      <c r="AD673" s="349">
        <v>0</v>
      </c>
      <c r="AE673" s="345" t="s">
        <v>944</v>
      </c>
      <c r="AF673" s="347"/>
      <c r="AG673" s="347"/>
      <c r="AH673" s="347" t="s">
        <v>57</v>
      </c>
      <c r="AI673" s="347" t="s">
        <v>4442</v>
      </c>
      <c r="AJ673" s="347" t="s">
        <v>4443</v>
      </c>
      <c r="AK673" s="347" t="s">
        <v>4437</v>
      </c>
      <c r="AL673" s="387">
        <v>45574</v>
      </c>
    </row>
    <row r="674" spans="2:38" ht="15.75" outlineLevel="1">
      <c r="B674" s="345">
        <v>2111</v>
      </c>
      <c r="C674" s="346">
        <v>228443</v>
      </c>
      <c r="D674" s="345">
        <v>228442</v>
      </c>
      <c r="E674" s="347" t="s">
        <v>4240</v>
      </c>
      <c r="F674" s="343" t="s">
        <v>1865</v>
      </c>
      <c r="I674" s="345">
        <v>1</v>
      </c>
      <c r="J674" s="347"/>
      <c r="K674" s="345">
        <v>0</v>
      </c>
      <c r="L674" s="347" t="s">
        <v>1846</v>
      </c>
      <c r="M674" s="347"/>
      <c r="N674" s="347" t="s">
        <v>4445</v>
      </c>
      <c r="O674" s="347" t="s">
        <v>4441</v>
      </c>
      <c r="P674" s="347" t="s">
        <v>4170</v>
      </c>
      <c r="Q674" s="347"/>
      <c r="R674" s="347"/>
      <c r="S674" s="348">
        <v>42139</v>
      </c>
      <c r="T674" s="348">
        <v>42139</v>
      </c>
      <c r="U674" s="347" t="s">
        <v>1864</v>
      </c>
      <c r="V674" s="345">
        <v>300</v>
      </c>
      <c r="W674" s="345">
        <v>14040</v>
      </c>
      <c r="X674" s="349">
        <v>25000</v>
      </c>
      <c r="Y674" s="345">
        <v>14046</v>
      </c>
      <c r="Z674" s="349">
        <v>25000</v>
      </c>
      <c r="AA674" s="349">
        <f t="shared" si="94"/>
        <v>0</v>
      </c>
      <c r="AB674" s="349">
        <v>0</v>
      </c>
      <c r="AC674" s="345">
        <v>51260</v>
      </c>
      <c r="AD674" s="349">
        <v>0</v>
      </c>
      <c r="AE674" s="345" t="s">
        <v>944</v>
      </c>
      <c r="AF674" s="347"/>
      <c r="AG674" s="347"/>
      <c r="AH674" s="347" t="s">
        <v>57</v>
      </c>
      <c r="AI674" s="347" t="s">
        <v>4442</v>
      </c>
      <c r="AJ674" s="347" t="s">
        <v>4443</v>
      </c>
      <c r="AK674" s="347" t="s">
        <v>4437</v>
      </c>
      <c r="AL674" s="387">
        <v>45574</v>
      </c>
    </row>
    <row r="675" spans="2:38" ht="15.75" outlineLevel="1">
      <c r="B675" s="345">
        <v>2111</v>
      </c>
      <c r="C675" s="346">
        <v>228442</v>
      </c>
      <c r="D675" s="345" t="s">
        <v>944</v>
      </c>
      <c r="E675" s="347" t="s">
        <v>4240</v>
      </c>
      <c r="F675" s="343" t="s">
        <v>1851</v>
      </c>
      <c r="I675" s="345">
        <v>1</v>
      </c>
      <c r="J675" s="347" t="s">
        <v>1866</v>
      </c>
      <c r="K675" s="345">
        <v>1998</v>
      </c>
      <c r="L675" s="347" t="s">
        <v>1853</v>
      </c>
      <c r="M675" s="347"/>
      <c r="N675" s="347" t="s">
        <v>4445</v>
      </c>
      <c r="O675" s="347" t="s">
        <v>4441</v>
      </c>
      <c r="P675" s="347" t="s">
        <v>1575</v>
      </c>
      <c r="Q675" s="347"/>
      <c r="R675" s="347"/>
      <c r="S675" s="348">
        <v>42095</v>
      </c>
      <c r="T675" s="348">
        <v>42095</v>
      </c>
      <c r="U675" s="347"/>
      <c r="V675" s="345">
        <v>300</v>
      </c>
      <c r="W675" s="345">
        <v>14040</v>
      </c>
      <c r="X675" s="349">
        <v>2500</v>
      </c>
      <c r="Y675" s="345">
        <v>14046</v>
      </c>
      <c r="Z675" s="349">
        <v>2500</v>
      </c>
      <c r="AA675" s="349">
        <f t="shared" si="94"/>
        <v>0</v>
      </c>
      <c r="AB675" s="349">
        <v>0</v>
      </c>
      <c r="AC675" s="345">
        <v>51260</v>
      </c>
      <c r="AD675" s="349">
        <v>0</v>
      </c>
      <c r="AE675" s="345" t="s">
        <v>410</v>
      </c>
      <c r="AF675" s="347" t="s">
        <v>1854</v>
      </c>
      <c r="AG675" s="347" t="s">
        <v>1867</v>
      </c>
      <c r="AH675" s="347" t="s">
        <v>57</v>
      </c>
      <c r="AI675" s="347" t="s">
        <v>4442</v>
      </c>
      <c r="AJ675" s="347" t="s">
        <v>4443</v>
      </c>
      <c r="AK675" s="347" t="s">
        <v>4437</v>
      </c>
      <c r="AL675" s="387">
        <v>45574</v>
      </c>
    </row>
    <row r="676" spans="2:38" ht="15.75" outlineLevel="1">
      <c r="B676" s="345">
        <v>2111</v>
      </c>
      <c r="C676" s="346">
        <v>228441</v>
      </c>
      <c r="D676" s="345">
        <v>228439</v>
      </c>
      <c r="E676" s="347" t="s">
        <v>4240</v>
      </c>
      <c r="F676" s="343" t="s">
        <v>1868</v>
      </c>
      <c r="I676" s="345">
        <v>1</v>
      </c>
      <c r="J676" s="347"/>
      <c r="K676" s="345">
        <v>0</v>
      </c>
      <c r="L676" s="347"/>
      <c r="M676" s="347"/>
      <c r="N676" s="347" t="s">
        <v>4445</v>
      </c>
      <c r="O676" s="347" t="s">
        <v>4441</v>
      </c>
      <c r="P676" s="347" t="s">
        <v>1467</v>
      </c>
      <c r="Q676" s="347"/>
      <c r="R676" s="347"/>
      <c r="S676" s="348">
        <v>42141</v>
      </c>
      <c r="T676" s="348">
        <v>42141</v>
      </c>
      <c r="U676" s="347" t="s">
        <v>1869</v>
      </c>
      <c r="V676" s="345">
        <v>300</v>
      </c>
      <c r="W676" s="345">
        <v>14040</v>
      </c>
      <c r="X676" s="349">
        <v>2034.96</v>
      </c>
      <c r="Y676" s="345">
        <v>14046</v>
      </c>
      <c r="Z676" s="349">
        <v>2034.96</v>
      </c>
      <c r="AA676" s="349">
        <f t="shared" si="94"/>
        <v>0</v>
      </c>
      <c r="AB676" s="349">
        <v>0</v>
      </c>
      <c r="AC676" s="345">
        <v>51260</v>
      </c>
      <c r="AD676" s="349">
        <v>0</v>
      </c>
      <c r="AE676" s="345" t="s">
        <v>944</v>
      </c>
      <c r="AF676" s="347"/>
      <c r="AG676" s="347"/>
      <c r="AH676" s="347" t="s">
        <v>57</v>
      </c>
      <c r="AI676" s="347" t="s">
        <v>4442</v>
      </c>
      <c r="AJ676" s="347" t="s">
        <v>4443</v>
      </c>
      <c r="AK676" s="347" t="s">
        <v>4437</v>
      </c>
      <c r="AL676" s="387">
        <v>45574</v>
      </c>
    </row>
    <row r="677" spans="2:38" ht="15.75" outlineLevel="1">
      <c r="B677" s="345">
        <v>2111</v>
      </c>
      <c r="C677" s="346">
        <v>228440</v>
      </c>
      <c r="D677" s="345">
        <v>228439</v>
      </c>
      <c r="E677" s="347" t="s">
        <v>4240</v>
      </c>
      <c r="F677" s="343" t="s">
        <v>1848</v>
      </c>
      <c r="I677" s="345">
        <v>1</v>
      </c>
      <c r="J677" s="347"/>
      <c r="K677" s="345">
        <v>0</v>
      </c>
      <c r="L677" s="347"/>
      <c r="M677" s="347"/>
      <c r="N677" s="347" t="s">
        <v>4445</v>
      </c>
      <c r="O677" s="347" t="s">
        <v>4441</v>
      </c>
      <c r="P677" s="347" t="s">
        <v>4170</v>
      </c>
      <c r="Q677" s="347"/>
      <c r="R677" s="347"/>
      <c r="S677" s="348">
        <v>42139</v>
      </c>
      <c r="T677" s="348">
        <v>42139</v>
      </c>
      <c r="U677" s="347" t="s">
        <v>1871</v>
      </c>
      <c r="V677" s="345">
        <v>300</v>
      </c>
      <c r="W677" s="345">
        <v>14040</v>
      </c>
      <c r="X677" s="349">
        <v>3694.18</v>
      </c>
      <c r="Y677" s="345">
        <v>14046</v>
      </c>
      <c r="Z677" s="349">
        <v>3694.18</v>
      </c>
      <c r="AA677" s="349">
        <f t="shared" ref="AA677:AA740" si="95">+X677-Z677</f>
        <v>0</v>
      </c>
      <c r="AB677" s="349">
        <v>0</v>
      </c>
      <c r="AC677" s="345">
        <v>51260</v>
      </c>
      <c r="AD677" s="349">
        <v>0</v>
      </c>
      <c r="AE677" s="345" t="s">
        <v>944</v>
      </c>
      <c r="AF677" s="347"/>
      <c r="AG677" s="347"/>
      <c r="AH677" s="347" t="s">
        <v>57</v>
      </c>
      <c r="AI677" s="347" t="s">
        <v>4442</v>
      </c>
      <c r="AJ677" s="347" t="s">
        <v>4443</v>
      </c>
      <c r="AK677" s="347" t="s">
        <v>4437</v>
      </c>
      <c r="AL677" s="387">
        <v>45574</v>
      </c>
    </row>
    <row r="678" spans="2:38" ht="15.75" outlineLevel="1">
      <c r="B678" s="345">
        <v>2111</v>
      </c>
      <c r="C678" s="346">
        <v>228439</v>
      </c>
      <c r="D678" s="345" t="s">
        <v>944</v>
      </c>
      <c r="E678" s="347" t="s">
        <v>4240</v>
      </c>
      <c r="F678" s="343" t="s">
        <v>1851</v>
      </c>
      <c r="I678" s="345">
        <v>1</v>
      </c>
      <c r="J678" s="347" t="s">
        <v>1872</v>
      </c>
      <c r="K678" s="345">
        <v>2003</v>
      </c>
      <c r="L678" s="347" t="s">
        <v>1873</v>
      </c>
      <c r="M678" s="347"/>
      <c r="N678" s="347" t="s">
        <v>4445</v>
      </c>
      <c r="O678" s="347" t="s">
        <v>4441</v>
      </c>
      <c r="P678" s="347" t="s">
        <v>1575</v>
      </c>
      <c r="Q678" s="347"/>
      <c r="R678" s="347"/>
      <c r="S678" s="348">
        <v>42095</v>
      </c>
      <c r="T678" s="348">
        <v>42095</v>
      </c>
      <c r="U678" s="347"/>
      <c r="V678" s="345">
        <v>300</v>
      </c>
      <c r="W678" s="345">
        <v>14040</v>
      </c>
      <c r="X678" s="349">
        <v>23500</v>
      </c>
      <c r="Y678" s="345">
        <v>14046</v>
      </c>
      <c r="Z678" s="349">
        <v>23500</v>
      </c>
      <c r="AA678" s="349">
        <f t="shared" si="95"/>
        <v>0</v>
      </c>
      <c r="AB678" s="349">
        <v>0</v>
      </c>
      <c r="AC678" s="345">
        <v>51260</v>
      </c>
      <c r="AD678" s="349">
        <v>0</v>
      </c>
      <c r="AE678" s="345" t="s">
        <v>410</v>
      </c>
      <c r="AF678" s="347" t="s">
        <v>1854</v>
      </c>
      <c r="AG678" s="347" t="s">
        <v>1874</v>
      </c>
      <c r="AH678" s="347" t="s">
        <v>57</v>
      </c>
      <c r="AI678" s="347" t="s">
        <v>4442</v>
      </c>
      <c r="AJ678" s="347" t="s">
        <v>4443</v>
      </c>
      <c r="AK678" s="347" t="s">
        <v>4437</v>
      </c>
      <c r="AL678" s="387">
        <v>45574</v>
      </c>
    </row>
    <row r="679" spans="2:38" ht="15.75" outlineLevel="1">
      <c r="B679" s="345">
        <v>2111</v>
      </c>
      <c r="C679" s="346">
        <v>228222</v>
      </c>
      <c r="D679" s="345" t="s">
        <v>944</v>
      </c>
      <c r="E679" s="347" t="s">
        <v>4240</v>
      </c>
      <c r="F679" s="343" t="s">
        <v>1875</v>
      </c>
      <c r="I679" s="345">
        <v>1</v>
      </c>
      <c r="J679" s="347"/>
      <c r="K679" s="345">
        <v>0</v>
      </c>
      <c r="L679" s="347" t="s">
        <v>1657</v>
      </c>
      <c r="M679" s="347"/>
      <c r="N679" s="347" t="s">
        <v>4440</v>
      </c>
      <c r="O679" s="347" t="s">
        <v>4441</v>
      </c>
      <c r="P679" s="347"/>
      <c r="Q679" s="347"/>
      <c r="R679" s="347"/>
      <c r="S679" s="348">
        <v>43861</v>
      </c>
      <c r="T679" s="348">
        <v>43861</v>
      </c>
      <c r="U679" s="347" t="s">
        <v>1876</v>
      </c>
      <c r="V679" s="345">
        <v>100</v>
      </c>
      <c r="W679" s="345">
        <v>14110</v>
      </c>
      <c r="X679" s="349">
        <v>1377.46</v>
      </c>
      <c r="Y679" s="345">
        <v>14116</v>
      </c>
      <c r="Z679" s="349">
        <v>1377.46</v>
      </c>
      <c r="AA679" s="349">
        <f t="shared" si="95"/>
        <v>0</v>
      </c>
      <c r="AB679" s="349">
        <v>0</v>
      </c>
      <c r="AC679" s="345">
        <v>70260</v>
      </c>
      <c r="AD679" s="349">
        <v>0</v>
      </c>
      <c r="AE679" s="345" t="s">
        <v>944</v>
      </c>
      <c r="AF679" s="347"/>
      <c r="AG679" s="347"/>
      <c r="AH679" s="347" t="s">
        <v>57</v>
      </c>
      <c r="AI679" s="347" t="s">
        <v>4442</v>
      </c>
      <c r="AJ679" s="347" t="s">
        <v>4443</v>
      </c>
      <c r="AK679" s="347" t="s">
        <v>4437</v>
      </c>
      <c r="AL679" s="387">
        <v>45574</v>
      </c>
    </row>
    <row r="680" spans="2:38" ht="15.75" outlineLevel="1">
      <c r="B680" s="345">
        <v>2111</v>
      </c>
      <c r="C680" s="346">
        <v>228221</v>
      </c>
      <c r="D680" s="345" t="s">
        <v>944</v>
      </c>
      <c r="E680" s="347" t="s">
        <v>4240</v>
      </c>
      <c r="F680" s="343" t="s">
        <v>1875</v>
      </c>
      <c r="I680" s="345">
        <v>1</v>
      </c>
      <c r="J680" s="347"/>
      <c r="K680" s="345">
        <v>0</v>
      </c>
      <c r="L680" s="347" t="s">
        <v>1657</v>
      </c>
      <c r="M680" s="347"/>
      <c r="N680" s="347" t="s">
        <v>4440</v>
      </c>
      <c r="O680" s="347" t="s">
        <v>4441</v>
      </c>
      <c r="P680" s="347"/>
      <c r="Q680" s="347"/>
      <c r="R680" s="347"/>
      <c r="S680" s="348">
        <v>43861</v>
      </c>
      <c r="T680" s="348">
        <v>43861</v>
      </c>
      <c r="U680" s="347" t="s">
        <v>1878</v>
      </c>
      <c r="V680" s="345">
        <v>100</v>
      </c>
      <c r="W680" s="345">
        <v>14110</v>
      </c>
      <c r="X680" s="349">
        <v>1377.46</v>
      </c>
      <c r="Y680" s="345">
        <v>14116</v>
      </c>
      <c r="Z680" s="349">
        <v>1377.46</v>
      </c>
      <c r="AA680" s="349">
        <f t="shared" si="95"/>
        <v>0</v>
      </c>
      <c r="AB680" s="349">
        <v>0</v>
      </c>
      <c r="AC680" s="345">
        <v>70260</v>
      </c>
      <c r="AD680" s="349">
        <v>0</v>
      </c>
      <c r="AE680" s="345" t="s">
        <v>944</v>
      </c>
      <c r="AF680" s="347"/>
      <c r="AG680" s="347"/>
      <c r="AH680" s="347" t="s">
        <v>57</v>
      </c>
      <c r="AI680" s="347" t="s">
        <v>4442</v>
      </c>
      <c r="AJ680" s="347" t="s">
        <v>4443</v>
      </c>
      <c r="AK680" s="347" t="s">
        <v>4437</v>
      </c>
      <c r="AL680" s="387">
        <v>45574</v>
      </c>
    </row>
    <row r="681" spans="2:38" ht="15.75" outlineLevel="1">
      <c r="B681" s="345">
        <v>2111</v>
      </c>
      <c r="C681" s="346">
        <v>228220</v>
      </c>
      <c r="D681" s="345" t="s">
        <v>944</v>
      </c>
      <c r="E681" s="347" t="s">
        <v>4240</v>
      </c>
      <c r="F681" s="343" t="s">
        <v>1875</v>
      </c>
      <c r="I681" s="345">
        <v>1</v>
      </c>
      <c r="J681" s="347"/>
      <c r="K681" s="345">
        <v>0</v>
      </c>
      <c r="L681" s="347" t="s">
        <v>1657</v>
      </c>
      <c r="M681" s="347"/>
      <c r="N681" s="347" t="s">
        <v>4440</v>
      </c>
      <c r="O681" s="347" t="s">
        <v>4441</v>
      </c>
      <c r="P681" s="347"/>
      <c r="Q681" s="347"/>
      <c r="R681" s="347"/>
      <c r="S681" s="348">
        <v>43861</v>
      </c>
      <c r="T681" s="348">
        <v>43861</v>
      </c>
      <c r="U681" s="347" t="s">
        <v>1879</v>
      </c>
      <c r="V681" s="345">
        <v>100</v>
      </c>
      <c r="W681" s="345">
        <v>14110</v>
      </c>
      <c r="X681" s="349">
        <v>1377.46</v>
      </c>
      <c r="Y681" s="345">
        <v>14116</v>
      </c>
      <c r="Z681" s="349">
        <v>1377.46</v>
      </c>
      <c r="AA681" s="349">
        <f t="shared" si="95"/>
        <v>0</v>
      </c>
      <c r="AB681" s="349">
        <v>0</v>
      </c>
      <c r="AC681" s="345">
        <v>70260</v>
      </c>
      <c r="AD681" s="349">
        <v>0</v>
      </c>
      <c r="AE681" s="345" t="s">
        <v>944</v>
      </c>
      <c r="AF681" s="347"/>
      <c r="AG681" s="347"/>
      <c r="AH681" s="347" t="s">
        <v>57</v>
      </c>
      <c r="AI681" s="347" t="s">
        <v>4442</v>
      </c>
      <c r="AJ681" s="347" t="s">
        <v>4443</v>
      </c>
      <c r="AK681" s="347" t="s">
        <v>4437</v>
      </c>
      <c r="AL681" s="387">
        <v>45574</v>
      </c>
    </row>
    <row r="682" spans="2:38" ht="15.75" outlineLevel="1">
      <c r="B682" s="345">
        <v>2111</v>
      </c>
      <c r="C682" s="346">
        <v>228219</v>
      </c>
      <c r="D682" s="345" t="s">
        <v>944</v>
      </c>
      <c r="E682" s="347" t="s">
        <v>4240</v>
      </c>
      <c r="F682" s="343" t="s">
        <v>1880</v>
      </c>
      <c r="I682" s="345">
        <v>1</v>
      </c>
      <c r="J682" s="347"/>
      <c r="K682" s="345">
        <v>0</v>
      </c>
      <c r="L682" s="347" t="s">
        <v>1657</v>
      </c>
      <c r="M682" s="347"/>
      <c r="N682" s="347" t="s">
        <v>4440</v>
      </c>
      <c r="O682" s="347" t="s">
        <v>4441</v>
      </c>
      <c r="P682" s="347"/>
      <c r="Q682" s="347"/>
      <c r="R682" s="347"/>
      <c r="S682" s="348">
        <v>43831</v>
      </c>
      <c r="T682" s="348">
        <v>43831</v>
      </c>
      <c r="U682" s="347" t="s">
        <v>1881</v>
      </c>
      <c r="V682" s="345">
        <v>300</v>
      </c>
      <c r="W682" s="345">
        <v>14110</v>
      </c>
      <c r="X682" s="349">
        <v>16.66</v>
      </c>
      <c r="Y682" s="345">
        <v>14116</v>
      </c>
      <c r="Z682" s="349">
        <v>16.66</v>
      </c>
      <c r="AA682" s="349">
        <f t="shared" si="95"/>
        <v>0</v>
      </c>
      <c r="AB682" s="349">
        <v>0</v>
      </c>
      <c r="AC682" s="345">
        <v>70260</v>
      </c>
      <c r="AD682" s="349">
        <v>0</v>
      </c>
      <c r="AE682" s="345" t="s">
        <v>944</v>
      </c>
      <c r="AF682" s="347"/>
      <c r="AG682" s="347"/>
      <c r="AH682" s="347" t="s">
        <v>57</v>
      </c>
      <c r="AI682" s="347" t="s">
        <v>4442</v>
      </c>
      <c r="AJ682" s="347" t="s">
        <v>4443</v>
      </c>
      <c r="AK682" s="347" t="s">
        <v>4437</v>
      </c>
      <c r="AL682" s="387">
        <v>45574</v>
      </c>
    </row>
    <row r="683" spans="2:38" ht="15.75" outlineLevel="1">
      <c r="B683" s="345">
        <v>2111</v>
      </c>
      <c r="C683" s="346">
        <v>228218</v>
      </c>
      <c r="D683" s="345" t="s">
        <v>944</v>
      </c>
      <c r="E683" s="347" t="s">
        <v>4240</v>
      </c>
      <c r="F683" s="343" t="s">
        <v>1883</v>
      </c>
      <c r="I683" s="345">
        <v>1</v>
      </c>
      <c r="J683" s="347"/>
      <c r="K683" s="345">
        <v>0</v>
      </c>
      <c r="L683" s="347" t="s">
        <v>1657</v>
      </c>
      <c r="M683" s="347"/>
      <c r="N683" s="347" t="s">
        <v>4440</v>
      </c>
      <c r="O683" s="347" t="s">
        <v>4441</v>
      </c>
      <c r="P683" s="347"/>
      <c r="Q683" s="347"/>
      <c r="R683" s="347"/>
      <c r="S683" s="348">
        <v>43831</v>
      </c>
      <c r="T683" s="348">
        <v>43831</v>
      </c>
      <c r="U683" s="347" t="s">
        <v>1881</v>
      </c>
      <c r="V683" s="345">
        <v>300</v>
      </c>
      <c r="W683" s="345">
        <v>14110</v>
      </c>
      <c r="X683" s="349">
        <v>1014.79</v>
      </c>
      <c r="Y683" s="345">
        <v>14116</v>
      </c>
      <c r="Z683" s="349">
        <v>1014.79</v>
      </c>
      <c r="AA683" s="349">
        <f t="shared" si="95"/>
        <v>0</v>
      </c>
      <c r="AB683" s="349">
        <v>0</v>
      </c>
      <c r="AC683" s="345">
        <v>70260</v>
      </c>
      <c r="AD683" s="349">
        <v>0</v>
      </c>
      <c r="AE683" s="345" t="s">
        <v>944</v>
      </c>
      <c r="AF683" s="347"/>
      <c r="AG683" s="347"/>
      <c r="AH683" s="347" t="s">
        <v>57</v>
      </c>
      <c r="AI683" s="347" t="s">
        <v>4442</v>
      </c>
      <c r="AJ683" s="347" t="s">
        <v>4443</v>
      </c>
      <c r="AK683" s="347" t="s">
        <v>4437</v>
      </c>
      <c r="AL683" s="387">
        <v>45574</v>
      </c>
    </row>
    <row r="684" spans="2:38" ht="15.75" outlineLevel="1">
      <c r="B684" s="345">
        <v>2111</v>
      </c>
      <c r="C684" s="346">
        <v>228193</v>
      </c>
      <c r="D684" s="345" t="s">
        <v>944</v>
      </c>
      <c r="E684" s="347" t="s">
        <v>4240</v>
      </c>
      <c r="F684" s="343" t="s">
        <v>1885</v>
      </c>
      <c r="I684" s="345">
        <v>864</v>
      </c>
      <c r="J684" s="347"/>
      <c r="K684" s="345">
        <v>0</v>
      </c>
      <c r="L684" s="347" t="s">
        <v>1755</v>
      </c>
      <c r="M684" s="347"/>
      <c r="N684" s="347" t="s">
        <v>4446</v>
      </c>
      <c r="O684" s="347" t="s">
        <v>4441</v>
      </c>
      <c r="P684" s="347"/>
      <c r="Q684" s="347"/>
      <c r="R684" s="347"/>
      <c r="S684" s="348">
        <v>43831</v>
      </c>
      <c r="T684" s="348">
        <v>43831</v>
      </c>
      <c r="U684" s="347" t="s">
        <v>1886</v>
      </c>
      <c r="V684" s="345">
        <v>611</v>
      </c>
      <c r="W684" s="345">
        <v>14050</v>
      </c>
      <c r="X684" s="349">
        <v>35360.720000000001</v>
      </c>
      <c r="Y684" s="345">
        <v>14056</v>
      </c>
      <c r="Z684" s="349">
        <v>24283.83</v>
      </c>
      <c r="AA684" s="349">
        <f t="shared" si="95"/>
        <v>11076.89</v>
      </c>
      <c r="AB684" s="349">
        <v>3834.27</v>
      </c>
      <c r="AC684" s="345">
        <v>54260</v>
      </c>
      <c r="AD684" s="349">
        <v>426.03</v>
      </c>
      <c r="AE684" s="345" t="s">
        <v>944</v>
      </c>
      <c r="AF684" s="347"/>
      <c r="AG684" s="347"/>
      <c r="AH684" s="347" t="s">
        <v>57</v>
      </c>
      <c r="AI684" s="347" t="s">
        <v>4442</v>
      </c>
      <c r="AJ684" s="347" t="s">
        <v>4443</v>
      </c>
      <c r="AK684" s="347" t="s">
        <v>4437</v>
      </c>
      <c r="AL684" s="387">
        <v>45574</v>
      </c>
    </row>
    <row r="685" spans="2:38" ht="15.75" outlineLevel="1">
      <c r="B685" s="345">
        <v>2111</v>
      </c>
      <c r="C685" s="346">
        <v>228192</v>
      </c>
      <c r="D685" s="345" t="s">
        <v>944</v>
      </c>
      <c r="E685" s="347" t="s">
        <v>4240</v>
      </c>
      <c r="F685" s="343" t="s">
        <v>1762</v>
      </c>
      <c r="I685" s="345">
        <v>312</v>
      </c>
      <c r="J685" s="347"/>
      <c r="K685" s="345">
        <v>0</v>
      </c>
      <c r="L685" s="347" t="s">
        <v>1755</v>
      </c>
      <c r="M685" s="347"/>
      <c r="N685" s="347" t="s">
        <v>4446</v>
      </c>
      <c r="O685" s="347" t="s">
        <v>4441</v>
      </c>
      <c r="P685" s="347"/>
      <c r="Q685" s="347"/>
      <c r="R685" s="347"/>
      <c r="S685" s="348">
        <v>43831</v>
      </c>
      <c r="T685" s="348">
        <v>43831</v>
      </c>
      <c r="U685" s="347" t="s">
        <v>1886</v>
      </c>
      <c r="V685" s="345">
        <v>611</v>
      </c>
      <c r="W685" s="345">
        <v>14050</v>
      </c>
      <c r="X685" s="349">
        <v>14226.43</v>
      </c>
      <c r="Y685" s="345">
        <v>14056</v>
      </c>
      <c r="Z685" s="349">
        <v>9769.92</v>
      </c>
      <c r="AA685" s="349">
        <f t="shared" si="95"/>
        <v>4456.51</v>
      </c>
      <c r="AB685" s="349">
        <v>1542.6</v>
      </c>
      <c r="AC685" s="345">
        <v>54260</v>
      </c>
      <c r="AD685" s="349">
        <v>171.4</v>
      </c>
      <c r="AE685" s="345" t="s">
        <v>944</v>
      </c>
      <c r="AF685" s="347"/>
      <c r="AG685" s="347"/>
      <c r="AH685" s="347" t="s">
        <v>57</v>
      </c>
      <c r="AI685" s="347" t="s">
        <v>4442</v>
      </c>
      <c r="AJ685" s="347" t="s">
        <v>4443</v>
      </c>
      <c r="AK685" s="347" t="s">
        <v>4437</v>
      </c>
      <c r="AL685" s="387">
        <v>45574</v>
      </c>
    </row>
    <row r="686" spans="2:38" ht="15.75" outlineLevel="1">
      <c r="B686" s="345">
        <v>2111</v>
      </c>
      <c r="C686" s="346">
        <v>228191</v>
      </c>
      <c r="D686" s="345" t="s">
        <v>944</v>
      </c>
      <c r="E686" s="347" t="s">
        <v>4240</v>
      </c>
      <c r="F686" s="343" t="s">
        <v>1887</v>
      </c>
      <c r="I686" s="345">
        <v>312</v>
      </c>
      <c r="J686" s="347"/>
      <c r="K686" s="345">
        <v>0</v>
      </c>
      <c r="L686" s="347" t="s">
        <v>1755</v>
      </c>
      <c r="M686" s="347"/>
      <c r="N686" s="347" t="s">
        <v>4446</v>
      </c>
      <c r="O686" s="347" t="s">
        <v>4441</v>
      </c>
      <c r="P686" s="347"/>
      <c r="Q686" s="347"/>
      <c r="R686" s="347"/>
      <c r="S686" s="348">
        <v>43831</v>
      </c>
      <c r="T686" s="348">
        <v>43831</v>
      </c>
      <c r="U686" s="347" t="s">
        <v>1886</v>
      </c>
      <c r="V686" s="345">
        <v>611</v>
      </c>
      <c r="W686" s="345">
        <v>14050</v>
      </c>
      <c r="X686" s="349">
        <v>14226.43</v>
      </c>
      <c r="Y686" s="345">
        <v>14056</v>
      </c>
      <c r="Z686" s="349">
        <v>9769.92</v>
      </c>
      <c r="AA686" s="349">
        <f t="shared" si="95"/>
        <v>4456.51</v>
      </c>
      <c r="AB686" s="349">
        <v>1542.6</v>
      </c>
      <c r="AC686" s="345">
        <v>54260</v>
      </c>
      <c r="AD686" s="349">
        <v>171.4</v>
      </c>
      <c r="AE686" s="345" t="s">
        <v>944</v>
      </c>
      <c r="AF686" s="347"/>
      <c r="AG686" s="347"/>
      <c r="AH686" s="347" t="s">
        <v>57</v>
      </c>
      <c r="AI686" s="347" t="s">
        <v>4442</v>
      </c>
      <c r="AJ686" s="347" t="s">
        <v>4443</v>
      </c>
      <c r="AK686" s="347" t="s">
        <v>4437</v>
      </c>
      <c r="AL686" s="387">
        <v>45574</v>
      </c>
    </row>
    <row r="687" spans="2:38" ht="15.75" outlineLevel="1">
      <c r="B687" s="345">
        <v>2111</v>
      </c>
      <c r="C687" s="346">
        <v>228163</v>
      </c>
      <c r="D687" s="345">
        <v>223824</v>
      </c>
      <c r="E687" s="347" t="s">
        <v>4240</v>
      </c>
      <c r="F687" s="343" t="s">
        <v>1888</v>
      </c>
      <c r="I687" s="345">
        <v>1</v>
      </c>
      <c r="J687" s="347"/>
      <c r="K687" s="345">
        <v>0</v>
      </c>
      <c r="L687" s="347" t="s">
        <v>1554</v>
      </c>
      <c r="M687" s="347"/>
      <c r="N687" s="347" t="s">
        <v>4445</v>
      </c>
      <c r="O687" s="347" t="s">
        <v>4441</v>
      </c>
      <c r="P687" s="347" t="s">
        <v>1467</v>
      </c>
      <c r="Q687" s="347"/>
      <c r="R687" s="347"/>
      <c r="S687" s="348">
        <v>43831</v>
      </c>
      <c r="T687" s="348">
        <v>43831</v>
      </c>
      <c r="U687" s="347" t="s">
        <v>1836</v>
      </c>
      <c r="V687" s="345">
        <v>908</v>
      </c>
      <c r="W687" s="345">
        <v>14040</v>
      </c>
      <c r="X687" s="349">
        <v>857.48</v>
      </c>
      <c r="Y687" s="345">
        <v>14046</v>
      </c>
      <c r="Z687" s="349">
        <v>421.35</v>
      </c>
      <c r="AA687" s="349">
        <f t="shared" si="95"/>
        <v>436.13</v>
      </c>
      <c r="AB687" s="349">
        <v>66.510000000000005</v>
      </c>
      <c r="AC687" s="345">
        <v>51260</v>
      </c>
      <c r="AD687" s="349">
        <v>7.39</v>
      </c>
      <c r="AE687" s="345" t="s">
        <v>944</v>
      </c>
      <c r="AF687" s="347"/>
      <c r="AG687" s="347"/>
      <c r="AH687" s="347" t="s">
        <v>57</v>
      </c>
      <c r="AI687" s="347" t="s">
        <v>4442</v>
      </c>
      <c r="AJ687" s="347" t="s">
        <v>4443</v>
      </c>
      <c r="AK687" s="347" t="s">
        <v>4437</v>
      </c>
      <c r="AL687" s="387">
        <v>45574</v>
      </c>
    </row>
    <row r="688" spans="2:38" ht="15.75" outlineLevel="1">
      <c r="B688" s="345">
        <v>2111</v>
      </c>
      <c r="C688" s="346">
        <v>227886</v>
      </c>
      <c r="D688" s="345">
        <v>225662</v>
      </c>
      <c r="E688" s="347" t="s">
        <v>4240</v>
      </c>
      <c r="F688" s="343" t="s">
        <v>1890</v>
      </c>
      <c r="I688" s="345">
        <v>1</v>
      </c>
      <c r="J688" s="347"/>
      <c r="K688" s="345">
        <v>0</v>
      </c>
      <c r="L688" s="347" t="s">
        <v>1891</v>
      </c>
      <c r="M688" s="347"/>
      <c r="N688" s="347" t="s">
        <v>4462</v>
      </c>
      <c r="O688" s="347" t="s">
        <v>4441</v>
      </c>
      <c r="P688" s="347"/>
      <c r="Q688" s="347"/>
      <c r="R688" s="347"/>
      <c r="S688" s="348">
        <v>43860</v>
      </c>
      <c r="T688" s="348">
        <v>43860</v>
      </c>
      <c r="U688" s="347" t="s">
        <v>1823</v>
      </c>
      <c r="V688" s="345">
        <v>700</v>
      </c>
      <c r="W688" s="345">
        <v>14010</v>
      </c>
      <c r="X688" s="349">
        <v>6868.75</v>
      </c>
      <c r="Y688" s="345">
        <v>14016</v>
      </c>
      <c r="Z688" s="349">
        <v>4481.04</v>
      </c>
      <c r="AA688" s="349">
        <f t="shared" si="95"/>
        <v>2387.71</v>
      </c>
      <c r="AB688" s="349">
        <v>735.93</v>
      </c>
      <c r="AC688" s="345">
        <v>57260</v>
      </c>
      <c r="AD688" s="349">
        <v>81.77</v>
      </c>
      <c r="AE688" s="345" t="s">
        <v>944</v>
      </c>
      <c r="AF688" s="347"/>
      <c r="AG688" s="347"/>
      <c r="AH688" s="347" t="s">
        <v>57</v>
      </c>
      <c r="AI688" s="347" t="s">
        <v>4442</v>
      </c>
      <c r="AJ688" s="347" t="s">
        <v>4443</v>
      </c>
      <c r="AK688" s="347" t="s">
        <v>4437</v>
      </c>
      <c r="AL688" s="387">
        <v>45574</v>
      </c>
    </row>
    <row r="689" spans="2:38" ht="15.75" outlineLevel="1">
      <c r="B689" s="345">
        <v>2111</v>
      </c>
      <c r="C689" s="346">
        <v>227885</v>
      </c>
      <c r="D689" s="345">
        <v>225662</v>
      </c>
      <c r="E689" s="347" t="s">
        <v>4240</v>
      </c>
      <c r="F689" s="343" t="s">
        <v>1792</v>
      </c>
      <c r="I689" s="345">
        <v>1</v>
      </c>
      <c r="J689" s="347"/>
      <c r="K689" s="345">
        <v>0</v>
      </c>
      <c r="L689" s="347" t="s">
        <v>1456</v>
      </c>
      <c r="M689" s="347"/>
      <c r="N689" s="347" t="s">
        <v>4462</v>
      </c>
      <c r="O689" s="347" t="s">
        <v>4441</v>
      </c>
      <c r="P689" s="347"/>
      <c r="Q689" s="347"/>
      <c r="R689" s="347"/>
      <c r="S689" s="348">
        <v>43831</v>
      </c>
      <c r="T689" s="348">
        <v>43831</v>
      </c>
      <c r="U689" s="347" t="s">
        <v>1823</v>
      </c>
      <c r="V689" s="345">
        <v>700</v>
      </c>
      <c r="W689" s="345">
        <v>14010</v>
      </c>
      <c r="X689" s="349">
        <v>2659</v>
      </c>
      <c r="Y689" s="345">
        <v>14016</v>
      </c>
      <c r="Z689" s="349">
        <v>1756.8</v>
      </c>
      <c r="AA689" s="349">
        <f t="shared" si="95"/>
        <v>902.2</v>
      </c>
      <c r="AB689" s="349">
        <v>284.85000000000002</v>
      </c>
      <c r="AC689" s="345">
        <v>57260</v>
      </c>
      <c r="AD689" s="349">
        <v>31.65</v>
      </c>
      <c r="AE689" s="345" t="s">
        <v>944</v>
      </c>
      <c r="AF689" s="347"/>
      <c r="AG689" s="347"/>
      <c r="AH689" s="347" t="s">
        <v>57</v>
      </c>
      <c r="AI689" s="347" t="s">
        <v>4442</v>
      </c>
      <c r="AJ689" s="347" t="s">
        <v>4443</v>
      </c>
      <c r="AK689" s="347" t="s">
        <v>4437</v>
      </c>
      <c r="AL689" s="387">
        <v>45574</v>
      </c>
    </row>
    <row r="690" spans="2:38" ht="15.75" outlineLevel="1">
      <c r="B690" s="345">
        <v>2111</v>
      </c>
      <c r="C690" s="346">
        <v>227884</v>
      </c>
      <c r="D690" s="345">
        <v>225662</v>
      </c>
      <c r="E690" s="347" t="s">
        <v>4240</v>
      </c>
      <c r="F690" s="343" t="s">
        <v>1785</v>
      </c>
      <c r="I690" s="345">
        <v>1</v>
      </c>
      <c r="J690" s="347"/>
      <c r="K690" s="345">
        <v>0</v>
      </c>
      <c r="L690" s="347" t="s">
        <v>1456</v>
      </c>
      <c r="M690" s="347"/>
      <c r="N690" s="347" t="s">
        <v>4462</v>
      </c>
      <c r="O690" s="347" t="s">
        <v>4441</v>
      </c>
      <c r="P690" s="347"/>
      <c r="Q690" s="347"/>
      <c r="R690" s="347"/>
      <c r="S690" s="348">
        <v>43831</v>
      </c>
      <c r="T690" s="348">
        <v>43831</v>
      </c>
      <c r="U690" s="347" t="s">
        <v>1823</v>
      </c>
      <c r="V690" s="345">
        <v>700</v>
      </c>
      <c r="W690" s="345">
        <v>14010</v>
      </c>
      <c r="X690" s="349">
        <v>121</v>
      </c>
      <c r="Y690" s="345">
        <v>14016</v>
      </c>
      <c r="Z690" s="349">
        <v>79.959999999999994</v>
      </c>
      <c r="AA690" s="349">
        <f t="shared" si="95"/>
        <v>41.040000000000006</v>
      </c>
      <c r="AB690" s="349">
        <v>12.96</v>
      </c>
      <c r="AC690" s="345">
        <v>57260</v>
      </c>
      <c r="AD690" s="349">
        <v>1.44</v>
      </c>
      <c r="AE690" s="345" t="s">
        <v>944</v>
      </c>
      <c r="AF690" s="347"/>
      <c r="AG690" s="347"/>
      <c r="AH690" s="347" t="s">
        <v>57</v>
      </c>
      <c r="AI690" s="347" t="s">
        <v>4442</v>
      </c>
      <c r="AJ690" s="347" t="s">
        <v>4443</v>
      </c>
      <c r="AK690" s="347" t="s">
        <v>4437</v>
      </c>
      <c r="AL690" s="387">
        <v>45574</v>
      </c>
    </row>
    <row r="691" spans="2:38" ht="15.75" outlineLevel="1">
      <c r="B691" s="345">
        <v>2111</v>
      </c>
      <c r="C691" s="346">
        <v>227574</v>
      </c>
      <c r="D691" s="345">
        <v>225662</v>
      </c>
      <c r="E691" s="347" t="s">
        <v>4240</v>
      </c>
      <c r="F691" s="343" t="s">
        <v>1894</v>
      </c>
      <c r="I691" s="345">
        <v>1</v>
      </c>
      <c r="J691" s="347"/>
      <c r="K691" s="345">
        <v>0</v>
      </c>
      <c r="L691" s="347" t="s">
        <v>1784</v>
      </c>
      <c r="M691" s="347"/>
      <c r="N691" s="347" t="s">
        <v>4462</v>
      </c>
      <c r="O691" s="347" t="s">
        <v>4441</v>
      </c>
      <c r="P691" s="347"/>
      <c r="Q691" s="347"/>
      <c r="R691" s="347"/>
      <c r="S691" s="348">
        <v>43831</v>
      </c>
      <c r="T691" s="348">
        <v>43831</v>
      </c>
      <c r="U691" s="347" t="s">
        <v>1823</v>
      </c>
      <c r="V691" s="345">
        <v>700</v>
      </c>
      <c r="W691" s="345">
        <v>14010</v>
      </c>
      <c r="X691" s="349">
        <v>2462.4</v>
      </c>
      <c r="Y691" s="345">
        <v>14016</v>
      </c>
      <c r="Z691" s="349">
        <v>1626.9</v>
      </c>
      <c r="AA691" s="349">
        <f t="shared" si="95"/>
        <v>835.5</v>
      </c>
      <c r="AB691" s="349">
        <v>263.79000000000002</v>
      </c>
      <c r="AC691" s="345">
        <v>57260</v>
      </c>
      <c r="AD691" s="349">
        <v>29.31</v>
      </c>
      <c r="AE691" s="345" t="s">
        <v>944</v>
      </c>
      <c r="AF691" s="347"/>
      <c r="AG691" s="347"/>
      <c r="AH691" s="347" t="s">
        <v>57</v>
      </c>
      <c r="AI691" s="347" t="s">
        <v>4442</v>
      </c>
      <c r="AJ691" s="347" t="s">
        <v>4443</v>
      </c>
      <c r="AK691" s="347" t="s">
        <v>4437</v>
      </c>
      <c r="AL691" s="387">
        <v>45574</v>
      </c>
    </row>
    <row r="692" spans="2:38" ht="15.75" outlineLevel="1">
      <c r="B692" s="345">
        <v>2111</v>
      </c>
      <c r="C692" s="346">
        <v>226488</v>
      </c>
      <c r="D692" s="345">
        <v>223823</v>
      </c>
      <c r="E692" s="347" t="s">
        <v>4240</v>
      </c>
      <c r="F692" s="343" t="s">
        <v>1247</v>
      </c>
      <c r="I692" s="345">
        <v>1</v>
      </c>
      <c r="J692" s="347"/>
      <c r="K692" s="345">
        <v>0</v>
      </c>
      <c r="L692" s="347" t="s">
        <v>1895</v>
      </c>
      <c r="M692" s="347"/>
      <c r="N692" s="347" t="s">
        <v>4445</v>
      </c>
      <c r="O692" s="347" t="s">
        <v>4441</v>
      </c>
      <c r="P692" s="347" t="s">
        <v>1467</v>
      </c>
      <c r="Q692" s="347"/>
      <c r="R692" s="347"/>
      <c r="S692" s="348">
        <v>43696</v>
      </c>
      <c r="T692" s="348">
        <v>43696</v>
      </c>
      <c r="U692" s="347" t="s">
        <v>1896</v>
      </c>
      <c r="V692" s="345">
        <v>900</v>
      </c>
      <c r="W692" s="345">
        <v>14040</v>
      </c>
      <c r="X692" s="349">
        <v>7293.88</v>
      </c>
      <c r="Y692" s="345">
        <v>14046</v>
      </c>
      <c r="Z692" s="349">
        <v>4119.72</v>
      </c>
      <c r="AA692" s="349">
        <f t="shared" si="95"/>
        <v>3174.16</v>
      </c>
      <c r="AB692" s="349">
        <v>607.86</v>
      </c>
      <c r="AC692" s="345">
        <v>51260</v>
      </c>
      <c r="AD692" s="349">
        <v>67.540000000000006</v>
      </c>
      <c r="AE692" s="345" t="s">
        <v>944</v>
      </c>
      <c r="AF692" s="347"/>
      <c r="AG692" s="347"/>
      <c r="AH692" s="347" t="s">
        <v>57</v>
      </c>
      <c r="AI692" s="347" t="s">
        <v>4442</v>
      </c>
      <c r="AJ692" s="347" t="s">
        <v>4443</v>
      </c>
      <c r="AK692" s="347" t="s">
        <v>4437</v>
      </c>
      <c r="AL692" s="387">
        <v>45574</v>
      </c>
    </row>
    <row r="693" spans="2:38" ht="15.75" outlineLevel="1">
      <c r="B693" s="345">
        <v>2111</v>
      </c>
      <c r="C693" s="346">
        <v>226487</v>
      </c>
      <c r="D693" s="345">
        <v>223823</v>
      </c>
      <c r="E693" s="347" t="s">
        <v>4240</v>
      </c>
      <c r="F693" s="343" t="s">
        <v>1193</v>
      </c>
      <c r="I693" s="345">
        <v>1</v>
      </c>
      <c r="J693" s="347"/>
      <c r="K693" s="345">
        <v>0</v>
      </c>
      <c r="L693" s="347" t="s">
        <v>1580</v>
      </c>
      <c r="M693" s="347"/>
      <c r="N693" s="347" t="s">
        <v>4445</v>
      </c>
      <c r="O693" s="347" t="s">
        <v>4441</v>
      </c>
      <c r="P693" s="347" t="s">
        <v>1467</v>
      </c>
      <c r="Q693" s="347"/>
      <c r="R693" s="347"/>
      <c r="S693" s="348">
        <v>43696</v>
      </c>
      <c r="T693" s="348">
        <v>43696</v>
      </c>
      <c r="U693" s="347" t="s">
        <v>1896</v>
      </c>
      <c r="V693" s="345">
        <v>900</v>
      </c>
      <c r="W693" s="345">
        <v>14040</v>
      </c>
      <c r="X693" s="349">
        <v>6907.22</v>
      </c>
      <c r="Y693" s="345">
        <v>14046</v>
      </c>
      <c r="Z693" s="349">
        <v>3901.34</v>
      </c>
      <c r="AA693" s="349">
        <f t="shared" si="95"/>
        <v>3005.88</v>
      </c>
      <c r="AB693" s="349">
        <v>575.64</v>
      </c>
      <c r="AC693" s="345">
        <v>51260</v>
      </c>
      <c r="AD693" s="349">
        <v>63.96</v>
      </c>
      <c r="AE693" s="345" t="s">
        <v>944</v>
      </c>
      <c r="AF693" s="347"/>
      <c r="AG693" s="347"/>
      <c r="AH693" s="347" t="s">
        <v>57</v>
      </c>
      <c r="AI693" s="347" t="s">
        <v>4442</v>
      </c>
      <c r="AJ693" s="347" t="s">
        <v>4443</v>
      </c>
      <c r="AK693" s="347" t="s">
        <v>4437</v>
      </c>
      <c r="AL693" s="387">
        <v>45574</v>
      </c>
    </row>
    <row r="694" spans="2:38" ht="15.75" outlineLevel="1">
      <c r="B694" s="345">
        <v>2111</v>
      </c>
      <c r="C694" s="346">
        <v>226401</v>
      </c>
      <c r="D694" s="345">
        <v>219747</v>
      </c>
      <c r="E694" s="347" t="s">
        <v>4240</v>
      </c>
      <c r="F694" s="343" t="s">
        <v>1897</v>
      </c>
      <c r="I694" s="345">
        <v>1</v>
      </c>
      <c r="J694" s="347"/>
      <c r="K694" s="345">
        <v>0</v>
      </c>
      <c r="L694" s="347" t="s">
        <v>1898</v>
      </c>
      <c r="M694" s="347"/>
      <c r="N694" s="347" t="s">
        <v>4445</v>
      </c>
      <c r="O694" s="347" t="s">
        <v>4441</v>
      </c>
      <c r="P694" s="347" t="s">
        <v>1467</v>
      </c>
      <c r="Q694" s="347"/>
      <c r="R694" s="347"/>
      <c r="S694" s="348">
        <v>43696</v>
      </c>
      <c r="T694" s="348">
        <v>43696</v>
      </c>
      <c r="U694" s="347" t="s">
        <v>1899</v>
      </c>
      <c r="V694" s="345">
        <v>1000</v>
      </c>
      <c r="W694" s="345">
        <v>14040</v>
      </c>
      <c r="X694" s="349">
        <v>832.5</v>
      </c>
      <c r="Y694" s="345">
        <v>14046</v>
      </c>
      <c r="Z694" s="349">
        <v>423.21</v>
      </c>
      <c r="AA694" s="349">
        <f t="shared" si="95"/>
        <v>409.29</v>
      </c>
      <c r="AB694" s="349">
        <v>62.46</v>
      </c>
      <c r="AC694" s="345">
        <v>51260</v>
      </c>
      <c r="AD694" s="349">
        <v>6.94</v>
      </c>
      <c r="AE694" s="345" t="s">
        <v>944</v>
      </c>
      <c r="AF694" s="347"/>
      <c r="AG694" s="347"/>
      <c r="AH694" s="347" t="s">
        <v>57</v>
      </c>
      <c r="AI694" s="347" t="s">
        <v>4442</v>
      </c>
      <c r="AJ694" s="347" t="s">
        <v>4443</v>
      </c>
      <c r="AK694" s="347" t="s">
        <v>4437</v>
      </c>
      <c r="AL694" s="387">
        <v>45574</v>
      </c>
    </row>
    <row r="695" spans="2:38" ht="15.75" outlineLevel="1">
      <c r="B695" s="345">
        <v>2111</v>
      </c>
      <c r="C695" s="346">
        <v>225795</v>
      </c>
      <c r="D695" s="345">
        <v>225662</v>
      </c>
      <c r="E695" s="347" t="s">
        <v>4240</v>
      </c>
      <c r="F695" s="343" t="s">
        <v>1785</v>
      </c>
      <c r="I695" s="345">
        <v>1</v>
      </c>
      <c r="J695" s="347"/>
      <c r="K695" s="345">
        <v>0</v>
      </c>
      <c r="L695" s="347" t="s">
        <v>1456</v>
      </c>
      <c r="M695" s="347"/>
      <c r="N695" s="347" t="s">
        <v>4452</v>
      </c>
      <c r="O695" s="347" t="s">
        <v>4441</v>
      </c>
      <c r="P695" s="347"/>
      <c r="Q695" s="347"/>
      <c r="R695" s="347"/>
      <c r="S695" s="348">
        <v>43539</v>
      </c>
      <c r="T695" s="348">
        <v>43539</v>
      </c>
      <c r="U695" s="347" t="s">
        <v>1823</v>
      </c>
      <c r="V695" s="345">
        <v>2000</v>
      </c>
      <c r="W695" s="345">
        <v>14080</v>
      </c>
      <c r="X695" s="349">
        <v>8935.75</v>
      </c>
      <c r="Y695" s="345">
        <v>14086</v>
      </c>
      <c r="Z695" s="349">
        <v>2494.4699999999998</v>
      </c>
      <c r="AA695" s="349">
        <f t="shared" si="95"/>
        <v>6441.2800000000007</v>
      </c>
      <c r="AB695" s="349">
        <v>335.07</v>
      </c>
      <c r="AC695" s="345">
        <v>57260</v>
      </c>
      <c r="AD695" s="349">
        <v>37.229999999999997</v>
      </c>
      <c r="AE695" s="345" t="s">
        <v>944</v>
      </c>
      <c r="AF695" s="347"/>
      <c r="AG695" s="347"/>
      <c r="AH695" s="347" t="s">
        <v>57</v>
      </c>
      <c r="AI695" s="347" t="s">
        <v>4442</v>
      </c>
      <c r="AJ695" s="347" t="s">
        <v>4443</v>
      </c>
      <c r="AK695" s="347" t="s">
        <v>4437</v>
      </c>
      <c r="AL695" s="387">
        <v>45574</v>
      </c>
    </row>
    <row r="696" spans="2:38" ht="15.75" outlineLevel="1">
      <c r="B696" s="345">
        <v>2111</v>
      </c>
      <c r="C696" s="346">
        <v>225662</v>
      </c>
      <c r="D696" s="345" t="s">
        <v>944</v>
      </c>
      <c r="E696" s="347" t="s">
        <v>4240</v>
      </c>
      <c r="F696" s="343" t="s">
        <v>1901</v>
      </c>
      <c r="I696" s="345">
        <v>1</v>
      </c>
      <c r="J696" s="347"/>
      <c r="K696" s="345">
        <v>0</v>
      </c>
      <c r="L696" s="347"/>
      <c r="M696" s="347"/>
      <c r="N696" s="347" t="s">
        <v>4462</v>
      </c>
      <c r="O696" s="347" t="s">
        <v>4441</v>
      </c>
      <c r="P696" s="347"/>
      <c r="Q696" s="347"/>
      <c r="R696" s="347"/>
      <c r="S696" s="348">
        <v>43830</v>
      </c>
      <c r="T696" s="348">
        <v>43830</v>
      </c>
      <c r="U696" s="347" t="s">
        <v>1902</v>
      </c>
      <c r="V696" s="345">
        <v>1000</v>
      </c>
      <c r="W696" s="345">
        <v>14010</v>
      </c>
      <c r="X696" s="349">
        <v>174948.48000000001</v>
      </c>
      <c r="Y696" s="345">
        <v>14016</v>
      </c>
      <c r="Z696" s="349">
        <v>83100.5</v>
      </c>
      <c r="AA696" s="349">
        <f t="shared" si="95"/>
        <v>91847.98000000001</v>
      </c>
      <c r="AB696" s="349">
        <v>13121.1</v>
      </c>
      <c r="AC696" s="345">
        <v>57260</v>
      </c>
      <c r="AD696" s="349">
        <v>1457.9</v>
      </c>
      <c r="AE696" s="345" t="s">
        <v>944</v>
      </c>
      <c r="AF696" s="347"/>
      <c r="AG696" s="347"/>
      <c r="AH696" s="347" t="s">
        <v>57</v>
      </c>
      <c r="AI696" s="347" t="s">
        <v>4442</v>
      </c>
      <c r="AJ696" s="347" t="s">
        <v>4443</v>
      </c>
      <c r="AK696" s="347" t="s">
        <v>4437</v>
      </c>
      <c r="AL696" s="387">
        <v>45574</v>
      </c>
    </row>
    <row r="697" spans="2:38" ht="15.75" outlineLevel="1">
      <c r="B697" s="345">
        <v>2111</v>
      </c>
      <c r="C697" s="346">
        <v>225267</v>
      </c>
      <c r="D697" s="345" t="s">
        <v>944</v>
      </c>
      <c r="E697" s="347" t="s">
        <v>4240</v>
      </c>
      <c r="F697" s="343" t="s">
        <v>1903</v>
      </c>
      <c r="I697" s="345">
        <v>1</v>
      </c>
      <c r="J697" s="347" t="s">
        <v>1904</v>
      </c>
      <c r="K697" s="345">
        <v>2020</v>
      </c>
      <c r="L697" s="347" t="s">
        <v>1483</v>
      </c>
      <c r="M697" s="347" t="s">
        <v>1764</v>
      </c>
      <c r="N697" s="347" t="s">
        <v>4445</v>
      </c>
      <c r="O697" s="347" t="s">
        <v>4441</v>
      </c>
      <c r="P697" s="347" t="s">
        <v>4482</v>
      </c>
      <c r="Q697" s="347"/>
      <c r="R697" s="347"/>
      <c r="S697" s="348">
        <v>43823</v>
      </c>
      <c r="T697" s="348">
        <v>43823</v>
      </c>
      <c r="U697" s="347" t="s">
        <v>1905</v>
      </c>
      <c r="V697" s="345">
        <v>1000</v>
      </c>
      <c r="W697" s="345">
        <v>14040</v>
      </c>
      <c r="X697" s="349">
        <v>360568.03</v>
      </c>
      <c r="Y697" s="345">
        <v>14046</v>
      </c>
      <c r="Z697" s="349">
        <v>171269.77</v>
      </c>
      <c r="AA697" s="349">
        <f t="shared" si="95"/>
        <v>189298.26000000004</v>
      </c>
      <c r="AB697" s="349">
        <v>27042.57</v>
      </c>
      <c r="AC697" s="345">
        <v>51260</v>
      </c>
      <c r="AD697" s="349">
        <v>3004.73</v>
      </c>
      <c r="AE697" s="345" t="s">
        <v>944</v>
      </c>
      <c r="AF697" s="347"/>
      <c r="AG697" s="347">
        <v>859</v>
      </c>
      <c r="AH697" s="347" t="s">
        <v>57</v>
      </c>
      <c r="AI697" s="347" t="s">
        <v>4442</v>
      </c>
      <c r="AJ697" s="347" t="s">
        <v>4443</v>
      </c>
      <c r="AK697" s="347" t="s">
        <v>4437</v>
      </c>
      <c r="AL697" s="387">
        <v>45574</v>
      </c>
    </row>
    <row r="698" spans="2:38" ht="15.75" outlineLevel="1">
      <c r="B698" s="345">
        <v>2111</v>
      </c>
      <c r="C698" s="346">
        <v>225229</v>
      </c>
      <c r="D698" s="345" t="s">
        <v>944</v>
      </c>
      <c r="E698" s="347" t="s">
        <v>4240</v>
      </c>
      <c r="F698" s="343" t="s">
        <v>1335</v>
      </c>
      <c r="I698" s="345">
        <v>1</v>
      </c>
      <c r="J698" s="347" t="s">
        <v>1906</v>
      </c>
      <c r="K698" s="345">
        <v>2020</v>
      </c>
      <c r="L698" s="347" t="s">
        <v>1483</v>
      </c>
      <c r="M698" s="347"/>
      <c r="N698" s="347" t="s">
        <v>4445</v>
      </c>
      <c r="O698" s="347" t="s">
        <v>4441</v>
      </c>
      <c r="P698" s="347" t="s">
        <v>1004</v>
      </c>
      <c r="Q698" s="347"/>
      <c r="R698" s="347"/>
      <c r="S698" s="348">
        <v>43819</v>
      </c>
      <c r="T698" s="348">
        <v>43819</v>
      </c>
      <c r="U698" s="347" t="s">
        <v>1908</v>
      </c>
      <c r="V698" s="345">
        <v>1000</v>
      </c>
      <c r="W698" s="345">
        <v>14040</v>
      </c>
      <c r="X698" s="349">
        <v>222504.59</v>
      </c>
      <c r="Y698" s="345">
        <v>14046</v>
      </c>
      <c r="Z698" s="349">
        <v>105689.60000000001</v>
      </c>
      <c r="AA698" s="349">
        <f t="shared" si="95"/>
        <v>116814.98999999999</v>
      </c>
      <c r="AB698" s="349">
        <v>16687.8</v>
      </c>
      <c r="AC698" s="345">
        <v>51260</v>
      </c>
      <c r="AD698" s="349">
        <v>1854.2</v>
      </c>
      <c r="AE698" s="345" t="s">
        <v>944</v>
      </c>
      <c r="AF698" s="347"/>
      <c r="AG698" s="347">
        <v>445</v>
      </c>
      <c r="AH698" s="347" t="s">
        <v>57</v>
      </c>
      <c r="AI698" s="347" t="s">
        <v>4442</v>
      </c>
      <c r="AJ698" s="347" t="s">
        <v>4443</v>
      </c>
      <c r="AK698" s="347" t="s">
        <v>4437</v>
      </c>
      <c r="AL698" s="387">
        <v>45574</v>
      </c>
    </row>
    <row r="699" spans="2:38" ht="15.75" outlineLevel="1">
      <c r="B699" s="345">
        <v>2111</v>
      </c>
      <c r="C699" s="346">
        <v>224757</v>
      </c>
      <c r="D699" s="345" t="s">
        <v>944</v>
      </c>
      <c r="E699" s="347" t="s">
        <v>4240</v>
      </c>
      <c r="F699" s="343" t="s">
        <v>1068</v>
      </c>
      <c r="I699" s="345">
        <v>1</v>
      </c>
      <c r="J699" s="347" t="s">
        <v>1909</v>
      </c>
      <c r="K699" s="345">
        <v>2020</v>
      </c>
      <c r="L699" s="347" t="s">
        <v>1483</v>
      </c>
      <c r="M699" s="347" t="s">
        <v>1764</v>
      </c>
      <c r="N699" s="347" t="s">
        <v>4445</v>
      </c>
      <c r="O699" s="347" t="s">
        <v>4441</v>
      </c>
      <c r="P699" s="347" t="s">
        <v>4482</v>
      </c>
      <c r="Q699" s="347"/>
      <c r="R699" s="347"/>
      <c r="S699" s="348">
        <v>43803</v>
      </c>
      <c r="T699" s="348">
        <v>43803</v>
      </c>
      <c r="U699" s="347" t="s">
        <v>1910</v>
      </c>
      <c r="V699" s="345">
        <v>1000</v>
      </c>
      <c r="W699" s="345">
        <v>14040</v>
      </c>
      <c r="X699" s="349">
        <v>360568.03</v>
      </c>
      <c r="Y699" s="345">
        <v>14046</v>
      </c>
      <c r="Z699" s="349">
        <v>174274.5</v>
      </c>
      <c r="AA699" s="349">
        <f t="shared" si="95"/>
        <v>186293.53000000003</v>
      </c>
      <c r="AB699" s="349">
        <v>27042.57</v>
      </c>
      <c r="AC699" s="345">
        <v>51260</v>
      </c>
      <c r="AD699" s="349">
        <v>3004.73</v>
      </c>
      <c r="AE699" s="345" t="s">
        <v>944</v>
      </c>
      <c r="AF699" s="347"/>
      <c r="AG699" s="347">
        <v>858</v>
      </c>
      <c r="AH699" s="347" t="s">
        <v>57</v>
      </c>
      <c r="AI699" s="347" t="s">
        <v>4442</v>
      </c>
      <c r="AJ699" s="347" t="s">
        <v>4443</v>
      </c>
      <c r="AK699" s="347" t="s">
        <v>4437</v>
      </c>
      <c r="AL699" s="387">
        <v>45574</v>
      </c>
    </row>
    <row r="700" spans="2:38" ht="15.75" outlineLevel="1">
      <c r="B700" s="345">
        <v>2111</v>
      </c>
      <c r="C700" s="346">
        <v>223824</v>
      </c>
      <c r="D700" s="345" t="s">
        <v>944</v>
      </c>
      <c r="E700" s="347" t="s">
        <v>4240</v>
      </c>
      <c r="F700" s="343" t="s">
        <v>1060</v>
      </c>
      <c r="I700" s="345">
        <v>1</v>
      </c>
      <c r="J700" s="347" t="s">
        <v>1911</v>
      </c>
      <c r="K700" s="345">
        <v>2020</v>
      </c>
      <c r="L700" s="347" t="s">
        <v>1483</v>
      </c>
      <c r="M700" s="347" t="s">
        <v>1764</v>
      </c>
      <c r="N700" s="347" t="s">
        <v>4445</v>
      </c>
      <c r="O700" s="347" t="s">
        <v>4441</v>
      </c>
      <c r="P700" s="347" t="s">
        <v>4487</v>
      </c>
      <c r="Q700" s="347"/>
      <c r="R700" s="347"/>
      <c r="S700" s="348">
        <v>43770</v>
      </c>
      <c r="T700" s="348">
        <v>43770</v>
      </c>
      <c r="U700" s="347" t="s">
        <v>1912</v>
      </c>
      <c r="V700" s="345">
        <v>1000</v>
      </c>
      <c r="W700" s="345">
        <v>14040</v>
      </c>
      <c r="X700" s="349">
        <v>338875.87</v>
      </c>
      <c r="Y700" s="345">
        <v>14046</v>
      </c>
      <c r="Z700" s="349">
        <v>166614.01999999999</v>
      </c>
      <c r="AA700" s="349">
        <f t="shared" si="95"/>
        <v>172261.85</v>
      </c>
      <c r="AB700" s="349">
        <v>25415.73</v>
      </c>
      <c r="AC700" s="345">
        <v>51260</v>
      </c>
      <c r="AD700" s="349">
        <v>2823.97</v>
      </c>
      <c r="AE700" s="345" t="s">
        <v>944</v>
      </c>
      <c r="AF700" s="347"/>
      <c r="AG700" s="347">
        <v>915</v>
      </c>
      <c r="AH700" s="347" t="s">
        <v>57</v>
      </c>
      <c r="AI700" s="347" t="s">
        <v>4442</v>
      </c>
      <c r="AJ700" s="347" t="s">
        <v>4443</v>
      </c>
      <c r="AK700" s="347" t="s">
        <v>4437</v>
      </c>
      <c r="AL700" s="387">
        <v>45574</v>
      </c>
    </row>
    <row r="701" spans="2:38" ht="15.75" outlineLevel="1">
      <c r="B701" s="345">
        <v>2111</v>
      </c>
      <c r="C701" s="346">
        <v>223823</v>
      </c>
      <c r="D701" s="345" t="s">
        <v>944</v>
      </c>
      <c r="E701" s="347" t="s">
        <v>4240</v>
      </c>
      <c r="F701" s="343" t="s">
        <v>1177</v>
      </c>
      <c r="I701" s="345">
        <v>1</v>
      </c>
      <c r="J701" s="347" t="s">
        <v>1913</v>
      </c>
      <c r="K701" s="345">
        <v>2019</v>
      </c>
      <c r="L701" s="347" t="s">
        <v>1483</v>
      </c>
      <c r="M701" s="347"/>
      <c r="N701" s="347" t="s">
        <v>4445</v>
      </c>
      <c r="O701" s="347" t="s">
        <v>4441</v>
      </c>
      <c r="P701" s="347" t="s">
        <v>1577</v>
      </c>
      <c r="Q701" s="347"/>
      <c r="R701" s="347"/>
      <c r="S701" s="348">
        <v>43770</v>
      </c>
      <c r="T701" s="348">
        <v>43770</v>
      </c>
      <c r="U701" s="347" t="s">
        <v>1914</v>
      </c>
      <c r="V701" s="345">
        <v>900</v>
      </c>
      <c r="W701" s="345">
        <v>14040</v>
      </c>
      <c r="X701" s="349">
        <v>162499.54</v>
      </c>
      <c r="Y701" s="345">
        <v>14046</v>
      </c>
      <c r="Z701" s="349">
        <v>88772.96</v>
      </c>
      <c r="AA701" s="349">
        <f t="shared" si="95"/>
        <v>73726.58</v>
      </c>
      <c r="AB701" s="349">
        <v>13541.67</v>
      </c>
      <c r="AC701" s="345">
        <v>51260</v>
      </c>
      <c r="AD701" s="349">
        <v>1504.63</v>
      </c>
      <c r="AE701" s="345" t="s">
        <v>944</v>
      </c>
      <c r="AF701" s="347"/>
      <c r="AG701" s="347">
        <v>191</v>
      </c>
      <c r="AH701" s="347" t="s">
        <v>57</v>
      </c>
      <c r="AI701" s="347" t="s">
        <v>4442</v>
      </c>
      <c r="AJ701" s="347" t="s">
        <v>4443</v>
      </c>
      <c r="AK701" s="347" t="s">
        <v>4437</v>
      </c>
      <c r="AL701" s="387">
        <v>45574</v>
      </c>
    </row>
    <row r="702" spans="2:38" ht="15.75" outlineLevel="1">
      <c r="B702" s="345">
        <v>2111</v>
      </c>
      <c r="C702" s="346">
        <v>223804</v>
      </c>
      <c r="D702" s="345" t="s">
        <v>944</v>
      </c>
      <c r="E702" s="347" t="s">
        <v>4240</v>
      </c>
      <c r="F702" s="343" t="s">
        <v>1051</v>
      </c>
      <c r="I702" s="345">
        <v>13</v>
      </c>
      <c r="J702" s="347"/>
      <c r="K702" s="345">
        <v>0</v>
      </c>
      <c r="L702" s="347" t="s">
        <v>1537</v>
      </c>
      <c r="M702" s="347"/>
      <c r="N702" s="347" t="s">
        <v>4446</v>
      </c>
      <c r="O702" s="347" t="s">
        <v>4441</v>
      </c>
      <c r="P702" s="347"/>
      <c r="Q702" s="347" t="s">
        <v>4479</v>
      </c>
      <c r="R702" s="347" t="s">
        <v>4450</v>
      </c>
      <c r="S702" s="348">
        <v>43745</v>
      </c>
      <c r="T702" s="348">
        <v>43745</v>
      </c>
      <c r="U702" s="347" t="s">
        <v>1915</v>
      </c>
      <c r="V702" s="345">
        <v>1200</v>
      </c>
      <c r="W702" s="345">
        <v>14050</v>
      </c>
      <c r="X702" s="349">
        <v>12740.06</v>
      </c>
      <c r="Y702" s="345">
        <v>14056</v>
      </c>
      <c r="Z702" s="349">
        <v>5308.33</v>
      </c>
      <c r="AA702" s="349">
        <f t="shared" si="95"/>
        <v>7431.73</v>
      </c>
      <c r="AB702" s="349">
        <v>796.23</v>
      </c>
      <c r="AC702" s="345">
        <v>54260</v>
      </c>
      <c r="AD702" s="349">
        <v>88.47</v>
      </c>
      <c r="AE702" s="345" t="s">
        <v>944</v>
      </c>
      <c r="AF702" s="347"/>
      <c r="AG702" s="347"/>
      <c r="AH702" s="347" t="s">
        <v>57</v>
      </c>
      <c r="AI702" s="347" t="s">
        <v>4442</v>
      </c>
      <c r="AJ702" s="347" t="s">
        <v>4443</v>
      </c>
      <c r="AK702" s="347" t="s">
        <v>4437</v>
      </c>
      <c r="AL702" s="387">
        <v>45574</v>
      </c>
    </row>
    <row r="703" spans="2:38" ht="15.75" outlineLevel="1">
      <c r="B703" s="345">
        <v>2111</v>
      </c>
      <c r="C703" s="346">
        <v>223803</v>
      </c>
      <c r="D703" s="345" t="s">
        <v>944</v>
      </c>
      <c r="E703" s="347" t="s">
        <v>4240</v>
      </c>
      <c r="F703" s="343" t="s">
        <v>1051</v>
      </c>
      <c r="I703" s="345">
        <v>7</v>
      </c>
      <c r="J703" s="347"/>
      <c r="K703" s="345">
        <v>0</v>
      </c>
      <c r="L703" s="347" t="s">
        <v>1537</v>
      </c>
      <c r="M703" s="347"/>
      <c r="N703" s="347" t="s">
        <v>4446</v>
      </c>
      <c r="O703" s="347" t="s">
        <v>4441</v>
      </c>
      <c r="P703" s="347"/>
      <c r="Q703" s="347" t="s">
        <v>4479</v>
      </c>
      <c r="R703" s="347" t="s">
        <v>4450</v>
      </c>
      <c r="S703" s="348">
        <v>43745</v>
      </c>
      <c r="T703" s="348">
        <v>43745</v>
      </c>
      <c r="U703" s="347" t="s">
        <v>1917</v>
      </c>
      <c r="V703" s="345">
        <v>1200</v>
      </c>
      <c r="W703" s="345">
        <v>14050</v>
      </c>
      <c r="X703" s="349">
        <v>6860.03</v>
      </c>
      <c r="Y703" s="345">
        <v>14056</v>
      </c>
      <c r="Z703" s="349">
        <v>2858.36</v>
      </c>
      <c r="AA703" s="349">
        <f t="shared" si="95"/>
        <v>4001.6699999999996</v>
      </c>
      <c r="AB703" s="349">
        <v>428.76</v>
      </c>
      <c r="AC703" s="345">
        <v>54260</v>
      </c>
      <c r="AD703" s="349">
        <v>47.64</v>
      </c>
      <c r="AE703" s="345" t="s">
        <v>944</v>
      </c>
      <c r="AF703" s="347"/>
      <c r="AG703" s="347"/>
      <c r="AH703" s="347" t="s">
        <v>57</v>
      </c>
      <c r="AI703" s="347" t="s">
        <v>4442</v>
      </c>
      <c r="AJ703" s="347" t="s">
        <v>4443</v>
      </c>
      <c r="AK703" s="347" t="s">
        <v>4437</v>
      </c>
      <c r="AL703" s="387">
        <v>45574</v>
      </c>
    </row>
    <row r="704" spans="2:38" ht="15.75" outlineLevel="1">
      <c r="B704" s="345">
        <v>2111</v>
      </c>
      <c r="C704" s="346">
        <v>223802</v>
      </c>
      <c r="D704" s="345" t="s">
        <v>944</v>
      </c>
      <c r="E704" s="347" t="s">
        <v>4240</v>
      </c>
      <c r="F704" s="343" t="s">
        <v>1052</v>
      </c>
      <c r="I704" s="345">
        <v>15</v>
      </c>
      <c r="J704" s="347"/>
      <c r="K704" s="345">
        <v>0</v>
      </c>
      <c r="L704" s="347" t="s">
        <v>1537</v>
      </c>
      <c r="M704" s="347"/>
      <c r="N704" s="347" t="s">
        <v>4446</v>
      </c>
      <c r="O704" s="347" t="s">
        <v>4441</v>
      </c>
      <c r="P704" s="347"/>
      <c r="Q704" s="347" t="s">
        <v>4464</v>
      </c>
      <c r="R704" s="347" t="s">
        <v>4450</v>
      </c>
      <c r="S704" s="348">
        <v>43745</v>
      </c>
      <c r="T704" s="348">
        <v>43745</v>
      </c>
      <c r="U704" s="347" t="s">
        <v>1917</v>
      </c>
      <c r="V704" s="345">
        <v>1200</v>
      </c>
      <c r="W704" s="345">
        <v>14050</v>
      </c>
      <c r="X704" s="349">
        <v>11040.4</v>
      </c>
      <c r="Y704" s="345">
        <v>14056</v>
      </c>
      <c r="Z704" s="349">
        <v>4600.16</v>
      </c>
      <c r="AA704" s="349">
        <f t="shared" si="95"/>
        <v>6440.24</v>
      </c>
      <c r="AB704" s="349">
        <v>690.03</v>
      </c>
      <c r="AC704" s="345">
        <v>54260</v>
      </c>
      <c r="AD704" s="349">
        <v>76.67</v>
      </c>
      <c r="AE704" s="345" t="s">
        <v>944</v>
      </c>
      <c r="AF704" s="347"/>
      <c r="AG704" s="347"/>
      <c r="AH704" s="347" t="s">
        <v>57</v>
      </c>
      <c r="AI704" s="347" t="s">
        <v>4442</v>
      </c>
      <c r="AJ704" s="347" t="s">
        <v>4443</v>
      </c>
      <c r="AK704" s="347" t="s">
        <v>4437</v>
      </c>
      <c r="AL704" s="387">
        <v>45574</v>
      </c>
    </row>
    <row r="705" spans="2:38" ht="15.75" outlineLevel="1">
      <c r="B705" s="345">
        <v>2111</v>
      </c>
      <c r="C705" s="346">
        <v>223801</v>
      </c>
      <c r="D705" s="345" t="s">
        <v>944</v>
      </c>
      <c r="E705" s="347" t="s">
        <v>4240</v>
      </c>
      <c r="F705" s="343" t="s">
        <v>1053</v>
      </c>
      <c r="I705" s="345">
        <v>20</v>
      </c>
      <c r="J705" s="347"/>
      <c r="K705" s="345">
        <v>0</v>
      </c>
      <c r="L705" s="347" t="s">
        <v>1537</v>
      </c>
      <c r="M705" s="347"/>
      <c r="N705" s="347" t="s">
        <v>4446</v>
      </c>
      <c r="O705" s="347" t="s">
        <v>4441</v>
      </c>
      <c r="P705" s="347"/>
      <c r="Q705" s="347" t="s">
        <v>4459</v>
      </c>
      <c r="R705" s="347" t="s">
        <v>4450</v>
      </c>
      <c r="S705" s="348">
        <v>43745</v>
      </c>
      <c r="T705" s="348">
        <v>43745</v>
      </c>
      <c r="U705" s="347" t="s">
        <v>1917</v>
      </c>
      <c r="V705" s="345">
        <v>1200</v>
      </c>
      <c r="W705" s="345">
        <v>14050</v>
      </c>
      <c r="X705" s="349">
        <v>12566.49</v>
      </c>
      <c r="Y705" s="345">
        <v>14056</v>
      </c>
      <c r="Z705" s="349">
        <v>5236.07</v>
      </c>
      <c r="AA705" s="349">
        <f t="shared" si="95"/>
        <v>7330.42</v>
      </c>
      <c r="AB705" s="349">
        <v>785.43</v>
      </c>
      <c r="AC705" s="345">
        <v>54260</v>
      </c>
      <c r="AD705" s="349">
        <v>87.27</v>
      </c>
      <c r="AE705" s="345" t="s">
        <v>944</v>
      </c>
      <c r="AF705" s="347"/>
      <c r="AG705" s="347"/>
      <c r="AH705" s="347" t="s">
        <v>57</v>
      </c>
      <c r="AI705" s="347" t="s">
        <v>4442</v>
      </c>
      <c r="AJ705" s="347" t="s">
        <v>4443</v>
      </c>
      <c r="AK705" s="347" t="s">
        <v>4437</v>
      </c>
      <c r="AL705" s="387">
        <v>45574</v>
      </c>
    </row>
    <row r="706" spans="2:38" ht="15.75" outlineLevel="1">
      <c r="B706" s="345">
        <v>2111</v>
      </c>
      <c r="C706" s="346">
        <v>223800</v>
      </c>
      <c r="D706" s="345" t="s">
        <v>944</v>
      </c>
      <c r="E706" s="347" t="s">
        <v>4240</v>
      </c>
      <c r="F706" s="343" t="s">
        <v>1054</v>
      </c>
      <c r="I706" s="345">
        <v>15</v>
      </c>
      <c r="J706" s="347"/>
      <c r="K706" s="345">
        <v>0</v>
      </c>
      <c r="L706" s="347" t="s">
        <v>1537</v>
      </c>
      <c r="M706" s="347"/>
      <c r="N706" s="347" t="s">
        <v>4446</v>
      </c>
      <c r="O706" s="347" t="s">
        <v>4441</v>
      </c>
      <c r="P706" s="347"/>
      <c r="Q706" s="347" t="s">
        <v>4461</v>
      </c>
      <c r="R706" s="347" t="s">
        <v>4450</v>
      </c>
      <c r="S706" s="348">
        <v>43745</v>
      </c>
      <c r="T706" s="348">
        <v>43745</v>
      </c>
      <c r="U706" s="347" t="s">
        <v>1917</v>
      </c>
      <c r="V706" s="345">
        <v>1200</v>
      </c>
      <c r="W706" s="345">
        <v>14050</v>
      </c>
      <c r="X706" s="349">
        <v>8765.4699999999993</v>
      </c>
      <c r="Y706" s="345">
        <v>14056</v>
      </c>
      <c r="Z706" s="349">
        <v>3652.28</v>
      </c>
      <c r="AA706" s="349">
        <f t="shared" si="95"/>
        <v>5113.1899999999987</v>
      </c>
      <c r="AB706" s="349">
        <v>547.83000000000004</v>
      </c>
      <c r="AC706" s="345">
        <v>54260</v>
      </c>
      <c r="AD706" s="349">
        <v>60.87</v>
      </c>
      <c r="AE706" s="345" t="s">
        <v>944</v>
      </c>
      <c r="AF706" s="347"/>
      <c r="AG706" s="347"/>
      <c r="AH706" s="347" t="s">
        <v>57</v>
      </c>
      <c r="AI706" s="347" t="s">
        <v>4442</v>
      </c>
      <c r="AJ706" s="347" t="s">
        <v>4443</v>
      </c>
      <c r="AK706" s="347" t="s">
        <v>4437</v>
      </c>
      <c r="AL706" s="387">
        <v>45574</v>
      </c>
    </row>
    <row r="707" spans="2:38" ht="15.75" outlineLevel="1">
      <c r="B707" s="345">
        <v>2111</v>
      </c>
      <c r="C707" s="346">
        <v>223799</v>
      </c>
      <c r="D707" s="345" t="s">
        <v>944</v>
      </c>
      <c r="E707" s="347" t="s">
        <v>4240</v>
      </c>
      <c r="F707" s="343" t="s">
        <v>1055</v>
      </c>
      <c r="I707" s="345">
        <v>20</v>
      </c>
      <c r="J707" s="347"/>
      <c r="K707" s="345">
        <v>0</v>
      </c>
      <c r="L707" s="347" t="s">
        <v>1537</v>
      </c>
      <c r="M707" s="347"/>
      <c r="N707" s="347" t="s">
        <v>4446</v>
      </c>
      <c r="O707" s="347" t="s">
        <v>4441</v>
      </c>
      <c r="P707" s="347"/>
      <c r="Q707" s="347" t="s">
        <v>4449</v>
      </c>
      <c r="R707" s="347" t="s">
        <v>4450</v>
      </c>
      <c r="S707" s="348">
        <v>43745</v>
      </c>
      <c r="T707" s="348">
        <v>43745</v>
      </c>
      <c r="U707" s="347" t="s">
        <v>1917</v>
      </c>
      <c r="V707" s="345">
        <v>1200</v>
      </c>
      <c r="W707" s="345">
        <v>14050</v>
      </c>
      <c r="X707" s="349">
        <v>10874.03</v>
      </c>
      <c r="Y707" s="345">
        <v>14056</v>
      </c>
      <c r="Z707" s="349">
        <v>4530.8100000000004</v>
      </c>
      <c r="AA707" s="349">
        <f t="shared" si="95"/>
        <v>6343.22</v>
      </c>
      <c r="AB707" s="349">
        <v>679.59</v>
      </c>
      <c r="AC707" s="345">
        <v>54260</v>
      </c>
      <c r="AD707" s="349">
        <v>75.510000000000005</v>
      </c>
      <c r="AE707" s="345" t="s">
        <v>944</v>
      </c>
      <c r="AF707" s="347"/>
      <c r="AG707" s="347"/>
      <c r="AH707" s="347" t="s">
        <v>57</v>
      </c>
      <c r="AI707" s="347" t="s">
        <v>4442</v>
      </c>
      <c r="AJ707" s="347" t="s">
        <v>4443</v>
      </c>
      <c r="AK707" s="347" t="s">
        <v>4437</v>
      </c>
      <c r="AL707" s="387">
        <v>45574</v>
      </c>
    </row>
    <row r="708" spans="2:38" ht="15.75" outlineLevel="1">
      <c r="B708" s="345">
        <v>2111</v>
      </c>
      <c r="C708" s="346">
        <v>223798</v>
      </c>
      <c r="D708" s="345" t="s">
        <v>944</v>
      </c>
      <c r="E708" s="347" t="s">
        <v>4240</v>
      </c>
      <c r="F708" s="343" t="s">
        <v>1056</v>
      </c>
      <c r="I708" s="345">
        <v>8</v>
      </c>
      <c r="J708" s="347"/>
      <c r="K708" s="345">
        <v>0</v>
      </c>
      <c r="L708" s="347" t="s">
        <v>1537</v>
      </c>
      <c r="M708" s="347"/>
      <c r="N708" s="347" t="s">
        <v>4446</v>
      </c>
      <c r="O708" s="347" t="s">
        <v>4441</v>
      </c>
      <c r="P708" s="347"/>
      <c r="Q708" s="347" t="s">
        <v>4459</v>
      </c>
      <c r="R708" s="347" t="s">
        <v>4450</v>
      </c>
      <c r="S708" s="348">
        <v>43745</v>
      </c>
      <c r="T708" s="348">
        <v>43745</v>
      </c>
      <c r="U708" s="347" t="s">
        <v>1917</v>
      </c>
      <c r="V708" s="345">
        <v>1200</v>
      </c>
      <c r="W708" s="345">
        <v>14050</v>
      </c>
      <c r="X708" s="349">
        <v>4965.05</v>
      </c>
      <c r="Y708" s="345">
        <v>14056</v>
      </c>
      <c r="Z708" s="349">
        <v>2068.8000000000002</v>
      </c>
      <c r="AA708" s="349">
        <f t="shared" si="95"/>
        <v>2896.25</v>
      </c>
      <c r="AB708" s="349">
        <v>310.32</v>
      </c>
      <c r="AC708" s="345">
        <v>54260</v>
      </c>
      <c r="AD708" s="349">
        <v>34.479999999999997</v>
      </c>
      <c r="AE708" s="345" t="s">
        <v>944</v>
      </c>
      <c r="AF708" s="347"/>
      <c r="AG708" s="347"/>
      <c r="AH708" s="347" t="s">
        <v>57</v>
      </c>
      <c r="AI708" s="347" t="s">
        <v>4442</v>
      </c>
      <c r="AJ708" s="347" t="s">
        <v>4443</v>
      </c>
      <c r="AK708" s="347" t="s">
        <v>4437</v>
      </c>
      <c r="AL708" s="387">
        <v>45574</v>
      </c>
    </row>
    <row r="709" spans="2:38" ht="15.75" outlineLevel="1">
      <c r="B709" s="345">
        <v>2111</v>
      </c>
      <c r="C709" s="346">
        <v>223797</v>
      </c>
      <c r="D709" s="345" t="s">
        <v>944</v>
      </c>
      <c r="E709" s="347" t="s">
        <v>4240</v>
      </c>
      <c r="F709" s="343" t="s">
        <v>1057</v>
      </c>
      <c r="I709" s="345">
        <v>15</v>
      </c>
      <c r="J709" s="347"/>
      <c r="K709" s="345">
        <v>0</v>
      </c>
      <c r="L709" s="347" t="s">
        <v>1537</v>
      </c>
      <c r="M709" s="347"/>
      <c r="N709" s="347" t="s">
        <v>4446</v>
      </c>
      <c r="O709" s="347" t="s">
        <v>4441</v>
      </c>
      <c r="P709" s="347"/>
      <c r="Q709" s="347" t="s">
        <v>4461</v>
      </c>
      <c r="R709" s="347" t="s">
        <v>4450</v>
      </c>
      <c r="S709" s="348">
        <v>43745</v>
      </c>
      <c r="T709" s="348">
        <v>43745</v>
      </c>
      <c r="U709" s="347" t="s">
        <v>1917</v>
      </c>
      <c r="V709" s="345">
        <v>1200</v>
      </c>
      <c r="W709" s="345">
        <v>14050</v>
      </c>
      <c r="X709" s="349">
        <v>8270.92</v>
      </c>
      <c r="Y709" s="345">
        <v>14056</v>
      </c>
      <c r="Z709" s="349">
        <v>3446.23</v>
      </c>
      <c r="AA709" s="349">
        <f t="shared" si="95"/>
        <v>4824.6900000000005</v>
      </c>
      <c r="AB709" s="349">
        <v>516.96</v>
      </c>
      <c r="AC709" s="345">
        <v>54260</v>
      </c>
      <c r="AD709" s="349">
        <v>57.44</v>
      </c>
      <c r="AE709" s="345" t="s">
        <v>944</v>
      </c>
      <c r="AF709" s="347"/>
      <c r="AG709" s="347"/>
      <c r="AH709" s="347" t="s">
        <v>57</v>
      </c>
      <c r="AI709" s="347" t="s">
        <v>4442</v>
      </c>
      <c r="AJ709" s="347" t="s">
        <v>4443</v>
      </c>
      <c r="AK709" s="347" t="s">
        <v>4437</v>
      </c>
      <c r="AL709" s="387">
        <v>45574</v>
      </c>
    </row>
    <row r="710" spans="2:38" ht="15.75" outlineLevel="1">
      <c r="B710" s="345">
        <v>2111</v>
      </c>
      <c r="C710" s="346">
        <v>223796</v>
      </c>
      <c r="D710" s="345" t="s">
        <v>944</v>
      </c>
      <c r="E710" s="347" t="s">
        <v>4240</v>
      </c>
      <c r="F710" s="343" t="s">
        <v>1058</v>
      </c>
      <c r="I710" s="345">
        <v>20</v>
      </c>
      <c r="J710" s="347"/>
      <c r="K710" s="345">
        <v>0</v>
      </c>
      <c r="L710" s="347" t="s">
        <v>1537</v>
      </c>
      <c r="M710" s="347"/>
      <c r="N710" s="347" t="s">
        <v>4446</v>
      </c>
      <c r="O710" s="347" t="s">
        <v>4441</v>
      </c>
      <c r="P710" s="347"/>
      <c r="Q710" s="347" t="s">
        <v>4449</v>
      </c>
      <c r="R710" s="347" t="s">
        <v>4450</v>
      </c>
      <c r="S710" s="348">
        <v>43745</v>
      </c>
      <c r="T710" s="348">
        <v>43745</v>
      </c>
      <c r="U710" s="347" t="s">
        <v>1917</v>
      </c>
      <c r="V710" s="345">
        <v>1200</v>
      </c>
      <c r="W710" s="345">
        <v>14050</v>
      </c>
      <c r="X710" s="349">
        <v>10632.25</v>
      </c>
      <c r="Y710" s="345">
        <v>14056</v>
      </c>
      <c r="Z710" s="349">
        <v>4430.1499999999996</v>
      </c>
      <c r="AA710" s="349">
        <f t="shared" si="95"/>
        <v>6202.1</v>
      </c>
      <c r="AB710" s="349">
        <v>664.56</v>
      </c>
      <c r="AC710" s="345">
        <v>54260</v>
      </c>
      <c r="AD710" s="349">
        <v>73.84</v>
      </c>
      <c r="AE710" s="345" t="s">
        <v>944</v>
      </c>
      <c r="AF710" s="347"/>
      <c r="AG710" s="347"/>
      <c r="AH710" s="347" t="s">
        <v>57</v>
      </c>
      <c r="AI710" s="347" t="s">
        <v>4442</v>
      </c>
      <c r="AJ710" s="347" t="s">
        <v>4443</v>
      </c>
      <c r="AK710" s="347" t="s">
        <v>4437</v>
      </c>
      <c r="AL710" s="387">
        <v>45574</v>
      </c>
    </row>
    <row r="711" spans="2:38" ht="15.75" outlineLevel="1">
      <c r="B711" s="345">
        <v>2111</v>
      </c>
      <c r="C711" s="346">
        <v>223371</v>
      </c>
      <c r="D711" s="345" t="s">
        <v>944</v>
      </c>
      <c r="E711" s="347" t="s">
        <v>4240</v>
      </c>
      <c r="F711" s="343" t="s">
        <v>1919</v>
      </c>
      <c r="I711" s="345">
        <v>18</v>
      </c>
      <c r="J711" s="347"/>
      <c r="K711" s="345">
        <v>0</v>
      </c>
      <c r="L711" s="347"/>
      <c r="M711" s="347"/>
      <c r="N711" s="347" t="s">
        <v>4446</v>
      </c>
      <c r="O711" s="347" t="s">
        <v>4441</v>
      </c>
      <c r="P711" s="347"/>
      <c r="Q711" s="347" t="s">
        <v>4508</v>
      </c>
      <c r="R711" s="347" t="s">
        <v>4448</v>
      </c>
      <c r="S711" s="348">
        <v>43770</v>
      </c>
      <c r="T711" s="348">
        <v>43770</v>
      </c>
      <c r="U711" s="347"/>
      <c r="V711" s="345">
        <v>0</v>
      </c>
      <c r="W711" s="345">
        <v>14050</v>
      </c>
      <c r="X711" s="349">
        <v>0</v>
      </c>
      <c r="Y711" s="345">
        <v>14056</v>
      </c>
      <c r="Z711" s="349">
        <v>0</v>
      </c>
      <c r="AA711" s="349">
        <f t="shared" si="95"/>
        <v>0</v>
      </c>
      <c r="AB711" s="349">
        <v>0</v>
      </c>
      <c r="AC711" s="345">
        <v>54260</v>
      </c>
      <c r="AD711" s="349">
        <v>0</v>
      </c>
      <c r="AE711" s="345" t="s">
        <v>944</v>
      </c>
      <c r="AF711" s="347"/>
      <c r="AG711" s="347"/>
      <c r="AH711" s="347" t="s">
        <v>57</v>
      </c>
      <c r="AI711" s="347" t="s">
        <v>4442</v>
      </c>
      <c r="AJ711" s="347" t="s">
        <v>1660</v>
      </c>
      <c r="AK711" s="347" t="s">
        <v>4437</v>
      </c>
      <c r="AL711" s="387">
        <v>45574</v>
      </c>
    </row>
    <row r="712" spans="2:38" ht="15.75" outlineLevel="1">
      <c r="B712" s="345">
        <v>2111</v>
      </c>
      <c r="C712" s="346">
        <v>223148</v>
      </c>
      <c r="D712" s="345" t="s">
        <v>944</v>
      </c>
      <c r="E712" s="347" t="s">
        <v>4240</v>
      </c>
      <c r="F712" s="343" t="s">
        <v>1922</v>
      </c>
      <c r="I712" s="345">
        <v>152</v>
      </c>
      <c r="J712" s="347"/>
      <c r="K712" s="345">
        <v>0</v>
      </c>
      <c r="L712" s="347"/>
      <c r="M712" s="347"/>
      <c r="N712" s="347" t="s">
        <v>4446</v>
      </c>
      <c r="O712" s="347" t="s">
        <v>4441</v>
      </c>
      <c r="P712" s="347"/>
      <c r="Q712" s="347" t="s">
        <v>4501</v>
      </c>
      <c r="R712" s="347" t="s">
        <v>4448</v>
      </c>
      <c r="S712" s="348">
        <v>43770</v>
      </c>
      <c r="T712" s="348">
        <v>43770</v>
      </c>
      <c r="U712" s="347"/>
      <c r="V712" s="345">
        <v>0</v>
      </c>
      <c r="W712" s="345">
        <v>14050</v>
      </c>
      <c r="X712" s="349">
        <v>0</v>
      </c>
      <c r="Y712" s="345">
        <v>14056</v>
      </c>
      <c r="Z712" s="349">
        <v>0</v>
      </c>
      <c r="AA712" s="349">
        <f t="shared" si="95"/>
        <v>0</v>
      </c>
      <c r="AB712" s="349">
        <v>0</v>
      </c>
      <c r="AC712" s="345">
        <v>54260</v>
      </c>
      <c r="AD712" s="349">
        <v>0</v>
      </c>
      <c r="AE712" s="345" t="s">
        <v>944</v>
      </c>
      <c r="AF712" s="347"/>
      <c r="AG712" s="347"/>
      <c r="AH712" s="347" t="s">
        <v>57</v>
      </c>
      <c r="AI712" s="347" t="s">
        <v>4442</v>
      </c>
      <c r="AJ712" s="347" t="s">
        <v>1660</v>
      </c>
      <c r="AK712" s="347" t="s">
        <v>4437</v>
      </c>
      <c r="AL712" s="387">
        <v>45574</v>
      </c>
    </row>
    <row r="713" spans="2:38" ht="15.75" outlineLevel="1">
      <c r="B713" s="345">
        <v>2111</v>
      </c>
      <c r="C713" s="346">
        <v>222278</v>
      </c>
      <c r="D713" s="345" t="s">
        <v>944</v>
      </c>
      <c r="E713" s="347" t="s">
        <v>4240</v>
      </c>
      <c r="F713" s="343" t="s">
        <v>1927</v>
      </c>
      <c r="I713" s="345">
        <v>1</v>
      </c>
      <c r="J713" s="347"/>
      <c r="K713" s="345">
        <v>0</v>
      </c>
      <c r="L713" s="347" t="s">
        <v>1657</v>
      </c>
      <c r="M713" s="347"/>
      <c r="N713" s="347" t="s">
        <v>4440</v>
      </c>
      <c r="O713" s="347" t="s">
        <v>4441</v>
      </c>
      <c r="P713" s="347"/>
      <c r="Q713" s="347"/>
      <c r="R713" s="347"/>
      <c r="S713" s="348">
        <v>43742</v>
      </c>
      <c r="T713" s="348">
        <v>43742</v>
      </c>
      <c r="U713" s="347" t="s">
        <v>1928</v>
      </c>
      <c r="V713" s="345">
        <v>300</v>
      </c>
      <c r="W713" s="345">
        <v>14110</v>
      </c>
      <c r="X713" s="349">
        <v>1413.67</v>
      </c>
      <c r="Y713" s="345">
        <v>14116</v>
      </c>
      <c r="Z713" s="349">
        <v>1413.67</v>
      </c>
      <c r="AA713" s="349">
        <f t="shared" si="95"/>
        <v>0</v>
      </c>
      <c r="AB713" s="349">
        <v>0</v>
      </c>
      <c r="AC713" s="345">
        <v>70260</v>
      </c>
      <c r="AD713" s="349">
        <v>0</v>
      </c>
      <c r="AE713" s="345" t="s">
        <v>944</v>
      </c>
      <c r="AF713" s="347"/>
      <c r="AG713" s="347"/>
      <c r="AH713" s="347" t="s">
        <v>57</v>
      </c>
      <c r="AI713" s="347" t="s">
        <v>4442</v>
      </c>
      <c r="AJ713" s="347" t="s">
        <v>4443</v>
      </c>
      <c r="AK713" s="347" t="s">
        <v>4437</v>
      </c>
      <c r="AL713" s="387">
        <v>45574</v>
      </c>
    </row>
    <row r="714" spans="2:38" ht="15.75" outlineLevel="1">
      <c r="B714" s="345">
        <v>2111</v>
      </c>
      <c r="C714" s="346">
        <v>222013</v>
      </c>
      <c r="D714" s="345">
        <v>219747</v>
      </c>
      <c r="E714" s="347" t="s">
        <v>4240</v>
      </c>
      <c r="F714" s="343" t="s">
        <v>1930</v>
      </c>
      <c r="I714" s="345">
        <v>1</v>
      </c>
      <c r="J714" s="347"/>
      <c r="K714" s="345">
        <v>0</v>
      </c>
      <c r="L714" s="347" t="s">
        <v>1832</v>
      </c>
      <c r="M714" s="347"/>
      <c r="N714" s="347" t="s">
        <v>4445</v>
      </c>
      <c r="O714" s="347" t="s">
        <v>4441</v>
      </c>
      <c r="P714" s="347" t="s">
        <v>1467</v>
      </c>
      <c r="Q714" s="347"/>
      <c r="R714" s="347"/>
      <c r="S714" s="348">
        <v>43696</v>
      </c>
      <c r="T714" s="348">
        <v>43696</v>
      </c>
      <c r="U714" s="347" t="s">
        <v>1899</v>
      </c>
      <c r="V714" s="345">
        <v>1000</v>
      </c>
      <c r="W714" s="345">
        <v>14040</v>
      </c>
      <c r="X714" s="349">
        <v>467.75</v>
      </c>
      <c r="Y714" s="345">
        <v>14046</v>
      </c>
      <c r="Z714" s="349">
        <v>237.81</v>
      </c>
      <c r="AA714" s="349">
        <f t="shared" si="95"/>
        <v>229.94</v>
      </c>
      <c r="AB714" s="349">
        <v>35.1</v>
      </c>
      <c r="AC714" s="345">
        <v>51260</v>
      </c>
      <c r="AD714" s="349">
        <v>3.9</v>
      </c>
      <c r="AE714" s="345" t="s">
        <v>944</v>
      </c>
      <c r="AF714" s="347"/>
      <c r="AG714" s="347"/>
      <c r="AH714" s="347" t="s">
        <v>57</v>
      </c>
      <c r="AI714" s="347" t="s">
        <v>4442</v>
      </c>
      <c r="AJ714" s="347" t="s">
        <v>4443</v>
      </c>
      <c r="AK714" s="347" t="s">
        <v>4437</v>
      </c>
      <c r="AL714" s="387">
        <v>45574</v>
      </c>
    </row>
    <row r="715" spans="2:38" ht="15.75" outlineLevel="1">
      <c r="B715" s="345">
        <v>2111</v>
      </c>
      <c r="C715" s="346">
        <v>221745</v>
      </c>
      <c r="D715" s="345" t="s">
        <v>944</v>
      </c>
      <c r="E715" s="347" t="s">
        <v>4240</v>
      </c>
      <c r="F715" s="343" t="s">
        <v>1068</v>
      </c>
      <c r="I715" s="345">
        <v>1</v>
      </c>
      <c r="J715" s="347" t="s">
        <v>1931</v>
      </c>
      <c r="K715" s="345">
        <v>2020</v>
      </c>
      <c r="L715" s="347" t="s">
        <v>1483</v>
      </c>
      <c r="M715" s="347" t="s">
        <v>1764</v>
      </c>
      <c r="N715" s="347" t="s">
        <v>4445</v>
      </c>
      <c r="O715" s="347" t="s">
        <v>4441</v>
      </c>
      <c r="P715" s="347" t="s">
        <v>4482</v>
      </c>
      <c r="Q715" s="347"/>
      <c r="R715" s="347"/>
      <c r="S715" s="348">
        <v>43755</v>
      </c>
      <c r="T715" s="348">
        <v>43755</v>
      </c>
      <c r="U715" s="347" t="s">
        <v>1932</v>
      </c>
      <c r="V715" s="345">
        <v>1000</v>
      </c>
      <c r="W715" s="345">
        <v>14040</v>
      </c>
      <c r="X715" s="349">
        <v>360568.03</v>
      </c>
      <c r="Y715" s="345">
        <v>14046</v>
      </c>
      <c r="Z715" s="349">
        <v>177279.24</v>
      </c>
      <c r="AA715" s="349">
        <f t="shared" si="95"/>
        <v>183288.79000000004</v>
      </c>
      <c r="AB715" s="349">
        <v>27042.57</v>
      </c>
      <c r="AC715" s="345">
        <v>51260</v>
      </c>
      <c r="AD715" s="349">
        <v>3004.73</v>
      </c>
      <c r="AE715" s="345" t="s">
        <v>944</v>
      </c>
      <c r="AF715" s="347"/>
      <c r="AG715" s="347">
        <v>857</v>
      </c>
      <c r="AH715" s="347" t="s">
        <v>57</v>
      </c>
      <c r="AI715" s="347" t="s">
        <v>4442</v>
      </c>
      <c r="AJ715" s="347" t="s">
        <v>4443</v>
      </c>
      <c r="AK715" s="347" t="s">
        <v>4437</v>
      </c>
      <c r="AL715" s="387">
        <v>45574</v>
      </c>
    </row>
    <row r="716" spans="2:38" ht="15.75" outlineLevel="1">
      <c r="B716" s="345">
        <v>2111</v>
      </c>
      <c r="C716" s="346">
        <v>220853</v>
      </c>
      <c r="D716" s="345">
        <v>219747</v>
      </c>
      <c r="E716" s="347" t="s">
        <v>4240</v>
      </c>
      <c r="F716" s="343" t="s">
        <v>1248</v>
      </c>
      <c r="I716" s="345">
        <v>1</v>
      </c>
      <c r="J716" s="347"/>
      <c r="K716" s="345">
        <v>0</v>
      </c>
      <c r="L716" s="347" t="s">
        <v>1933</v>
      </c>
      <c r="M716" s="347"/>
      <c r="N716" s="347" t="s">
        <v>4445</v>
      </c>
      <c r="O716" s="347" t="s">
        <v>4441</v>
      </c>
      <c r="P716" s="347" t="s">
        <v>1467</v>
      </c>
      <c r="Q716" s="347"/>
      <c r="R716" s="347"/>
      <c r="S716" s="348">
        <v>43696</v>
      </c>
      <c r="T716" s="348">
        <v>43696</v>
      </c>
      <c r="U716" s="347" t="s">
        <v>1899</v>
      </c>
      <c r="V716" s="345">
        <v>500</v>
      </c>
      <c r="W716" s="345">
        <v>14040</v>
      </c>
      <c r="X716" s="349">
        <v>505.54</v>
      </c>
      <c r="Y716" s="345">
        <v>14046</v>
      </c>
      <c r="Z716" s="349">
        <v>505.54</v>
      </c>
      <c r="AA716" s="349">
        <f t="shared" si="95"/>
        <v>0</v>
      </c>
      <c r="AB716" s="349">
        <v>67.400000000000006</v>
      </c>
      <c r="AC716" s="345">
        <v>51260</v>
      </c>
      <c r="AD716" s="349">
        <v>8.39</v>
      </c>
      <c r="AE716" s="345" t="s">
        <v>944</v>
      </c>
      <c r="AF716" s="347"/>
      <c r="AG716" s="347"/>
      <c r="AH716" s="347" t="s">
        <v>57</v>
      </c>
      <c r="AI716" s="347" t="s">
        <v>4442</v>
      </c>
      <c r="AJ716" s="347" t="s">
        <v>4443</v>
      </c>
      <c r="AK716" s="347" t="s">
        <v>4437</v>
      </c>
      <c r="AL716" s="387">
        <v>45574</v>
      </c>
    </row>
    <row r="717" spans="2:38" ht="15.75" outlineLevel="1">
      <c r="B717" s="345">
        <v>2111</v>
      </c>
      <c r="C717" s="346">
        <v>220852</v>
      </c>
      <c r="D717" s="345">
        <v>221745</v>
      </c>
      <c r="E717" s="347" t="s">
        <v>4240</v>
      </c>
      <c r="F717" s="343" t="s">
        <v>1248</v>
      </c>
      <c r="I717" s="345">
        <v>1</v>
      </c>
      <c r="J717" s="347"/>
      <c r="K717" s="345">
        <v>0</v>
      </c>
      <c r="L717" s="347" t="s">
        <v>1933</v>
      </c>
      <c r="M717" s="347"/>
      <c r="N717" s="347" t="s">
        <v>4445</v>
      </c>
      <c r="O717" s="347" t="s">
        <v>4441</v>
      </c>
      <c r="P717" s="347" t="s">
        <v>1467</v>
      </c>
      <c r="Q717" s="347"/>
      <c r="R717" s="347"/>
      <c r="S717" s="348">
        <v>43696</v>
      </c>
      <c r="T717" s="348">
        <v>43696</v>
      </c>
      <c r="U717" s="347" t="s">
        <v>1934</v>
      </c>
      <c r="V717" s="345">
        <v>500</v>
      </c>
      <c r="W717" s="345">
        <v>14040</v>
      </c>
      <c r="X717" s="349">
        <v>505.54</v>
      </c>
      <c r="Y717" s="345">
        <v>14046</v>
      </c>
      <c r="Z717" s="349">
        <v>505.54</v>
      </c>
      <c r="AA717" s="349">
        <f t="shared" si="95"/>
        <v>0</v>
      </c>
      <c r="AB717" s="349">
        <v>67.400000000000006</v>
      </c>
      <c r="AC717" s="345">
        <v>51260</v>
      </c>
      <c r="AD717" s="349">
        <v>8.39</v>
      </c>
      <c r="AE717" s="345" t="s">
        <v>944</v>
      </c>
      <c r="AF717" s="347"/>
      <c r="AG717" s="347"/>
      <c r="AH717" s="347" t="s">
        <v>57</v>
      </c>
      <c r="AI717" s="347" t="s">
        <v>4442</v>
      </c>
      <c r="AJ717" s="347" t="s">
        <v>4443</v>
      </c>
      <c r="AK717" s="347" t="s">
        <v>4437</v>
      </c>
      <c r="AL717" s="387">
        <v>45574</v>
      </c>
    </row>
    <row r="718" spans="2:38" ht="15.75" outlineLevel="1">
      <c r="B718" s="345">
        <v>2111</v>
      </c>
      <c r="C718" s="346">
        <v>220851</v>
      </c>
      <c r="D718" s="345">
        <v>225267</v>
      </c>
      <c r="E718" s="347" t="s">
        <v>4240</v>
      </c>
      <c r="F718" s="343" t="s">
        <v>1248</v>
      </c>
      <c r="I718" s="345">
        <v>1</v>
      </c>
      <c r="J718" s="347"/>
      <c r="K718" s="345">
        <v>0</v>
      </c>
      <c r="L718" s="347" t="s">
        <v>1933</v>
      </c>
      <c r="M718" s="347"/>
      <c r="N718" s="347" t="s">
        <v>4445</v>
      </c>
      <c r="O718" s="347" t="s">
        <v>4441</v>
      </c>
      <c r="P718" s="347" t="s">
        <v>1467</v>
      </c>
      <c r="Q718" s="347"/>
      <c r="R718" s="347"/>
      <c r="S718" s="348">
        <v>43696</v>
      </c>
      <c r="T718" s="348">
        <v>43696</v>
      </c>
      <c r="U718" s="347" t="s">
        <v>1935</v>
      </c>
      <c r="V718" s="345">
        <v>500</v>
      </c>
      <c r="W718" s="345">
        <v>14040</v>
      </c>
      <c r="X718" s="349">
        <v>505.54</v>
      </c>
      <c r="Y718" s="345">
        <v>14046</v>
      </c>
      <c r="Z718" s="349">
        <v>505.54</v>
      </c>
      <c r="AA718" s="349">
        <f t="shared" si="95"/>
        <v>0</v>
      </c>
      <c r="AB718" s="349">
        <v>67.400000000000006</v>
      </c>
      <c r="AC718" s="345">
        <v>51260</v>
      </c>
      <c r="AD718" s="349">
        <v>8.39</v>
      </c>
      <c r="AE718" s="345" t="s">
        <v>944</v>
      </c>
      <c r="AF718" s="347"/>
      <c r="AG718" s="347"/>
      <c r="AH718" s="347" t="s">
        <v>57</v>
      </c>
      <c r="AI718" s="347" t="s">
        <v>4442</v>
      </c>
      <c r="AJ718" s="347" t="s">
        <v>4443</v>
      </c>
      <c r="AK718" s="347" t="s">
        <v>4437</v>
      </c>
      <c r="AL718" s="387">
        <v>45574</v>
      </c>
    </row>
    <row r="719" spans="2:38" ht="15.75" outlineLevel="1">
      <c r="B719" s="345">
        <v>2111</v>
      </c>
      <c r="C719" s="346">
        <v>220557</v>
      </c>
      <c r="D719" s="345" t="s">
        <v>944</v>
      </c>
      <c r="E719" s="347" t="s">
        <v>4240</v>
      </c>
      <c r="F719" s="343" t="s">
        <v>1936</v>
      </c>
      <c r="I719" s="345">
        <v>624</v>
      </c>
      <c r="J719" s="347"/>
      <c r="K719" s="345">
        <v>0</v>
      </c>
      <c r="L719" s="347" t="s">
        <v>1755</v>
      </c>
      <c r="M719" s="347"/>
      <c r="N719" s="347" t="s">
        <v>4446</v>
      </c>
      <c r="O719" s="347" t="s">
        <v>4441</v>
      </c>
      <c r="P719" s="347"/>
      <c r="Q719" s="347"/>
      <c r="R719" s="347"/>
      <c r="S719" s="348">
        <v>43657</v>
      </c>
      <c r="T719" s="348">
        <v>43657</v>
      </c>
      <c r="U719" s="347" t="s">
        <v>1937</v>
      </c>
      <c r="V719" s="345">
        <v>700</v>
      </c>
      <c r="W719" s="345">
        <v>14050</v>
      </c>
      <c r="X719" s="349">
        <v>31961</v>
      </c>
      <c r="Y719" s="345">
        <v>14056</v>
      </c>
      <c r="Z719" s="349">
        <v>23970.78</v>
      </c>
      <c r="AA719" s="349">
        <f t="shared" si="95"/>
        <v>7990.2200000000012</v>
      </c>
      <c r="AB719" s="349">
        <v>3424.41</v>
      </c>
      <c r="AC719" s="345">
        <v>54260</v>
      </c>
      <c r="AD719" s="349">
        <v>380.49</v>
      </c>
      <c r="AE719" s="345" t="s">
        <v>944</v>
      </c>
      <c r="AF719" s="347"/>
      <c r="AG719" s="347"/>
      <c r="AH719" s="347" t="s">
        <v>57</v>
      </c>
      <c r="AI719" s="347" t="s">
        <v>4442</v>
      </c>
      <c r="AJ719" s="347" t="s">
        <v>4443</v>
      </c>
      <c r="AK719" s="347" t="s">
        <v>4437</v>
      </c>
      <c r="AL719" s="387">
        <v>45574</v>
      </c>
    </row>
    <row r="720" spans="2:38" ht="15.75" outlineLevel="1">
      <c r="B720" s="345">
        <v>2111</v>
      </c>
      <c r="C720" s="346">
        <v>220556</v>
      </c>
      <c r="D720" s="345" t="s">
        <v>944</v>
      </c>
      <c r="E720" s="347" t="s">
        <v>4240</v>
      </c>
      <c r="F720" s="343" t="s">
        <v>903</v>
      </c>
      <c r="I720" s="345">
        <v>624</v>
      </c>
      <c r="J720" s="347"/>
      <c r="K720" s="345">
        <v>0</v>
      </c>
      <c r="L720" s="347" t="s">
        <v>1755</v>
      </c>
      <c r="M720" s="347"/>
      <c r="N720" s="347" t="s">
        <v>4446</v>
      </c>
      <c r="O720" s="347" t="s">
        <v>4441</v>
      </c>
      <c r="P720" s="347"/>
      <c r="Q720" s="347"/>
      <c r="R720" s="347"/>
      <c r="S720" s="348">
        <v>43657</v>
      </c>
      <c r="T720" s="348">
        <v>43657</v>
      </c>
      <c r="U720" s="347" t="s">
        <v>1937</v>
      </c>
      <c r="V720" s="345">
        <v>700</v>
      </c>
      <c r="W720" s="345">
        <v>14050</v>
      </c>
      <c r="X720" s="349">
        <v>31961</v>
      </c>
      <c r="Y720" s="345">
        <v>14056</v>
      </c>
      <c r="Z720" s="349">
        <v>23970.78</v>
      </c>
      <c r="AA720" s="349">
        <f t="shared" si="95"/>
        <v>7990.2200000000012</v>
      </c>
      <c r="AB720" s="349">
        <v>3424.41</v>
      </c>
      <c r="AC720" s="345">
        <v>54260</v>
      </c>
      <c r="AD720" s="349">
        <v>380.49</v>
      </c>
      <c r="AE720" s="345" t="s">
        <v>944</v>
      </c>
      <c r="AF720" s="347"/>
      <c r="AG720" s="347"/>
      <c r="AH720" s="347" t="s">
        <v>57</v>
      </c>
      <c r="AI720" s="347" t="s">
        <v>4442</v>
      </c>
      <c r="AJ720" s="347" t="s">
        <v>4443</v>
      </c>
      <c r="AK720" s="347" t="s">
        <v>4437</v>
      </c>
      <c r="AL720" s="387">
        <v>45574</v>
      </c>
    </row>
    <row r="721" spans="2:38" ht="15.75" outlineLevel="1">
      <c r="B721" s="345">
        <v>2111</v>
      </c>
      <c r="C721" s="346">
        <v>220555</v>
      </c>
      <c r="D721" s="345" t="s">
        <v>944</v>
      </c>
      <c r="E721" s="347" t="s">
        <v>4240</v>
      </c>
      <c r="F721" s="343" t="s">
        <v>1936</v>
      </c>
      <c r="I721" s="345">
        <v>624</v>
      </c>
      <c r="J721" s="347"/>
      <c r="K721" s="345">
        <v>0</v>
      </c>
      <c r="L721" s="347" t="s">
        <v>1755</v>
      </c>
      <c r="M721" s="347"/>
      <c r="N721" s="347" t="s">
        <v>4446</v>
      </c>
      <c r="O721" s="347" t="s">
        <v>4441</v>
      </c>
      <c r="P721" s="347"/>
      <c r="Q721" s="347"/>
      <c r="R721" s="347"/>
      <c r="S721" s="348">
        <v>43657</v>
      </c>
      <c r="T721" s="348">
        <v>43657</v>
      </c>
      <c r="U721" s="347" t="s">
        <v>1937</v>
      </c>
      <c r="V721" s="345">
        <v>700</v>
      </c>
      <c r="W721" s="345">
        <v>14050</v>
      </c>
      <c r="X721" s="349">
        <v>31961</v>
      </c>
      <c r="Y721" s="345">
        <v>14056</v>
      </c>
      <c r="Z721" s="349">
        <v>23970.78</v>
      </c>
      <c r="AA721" s="349">
        <f t="shared" si="95"/>
        <v>7990.2200000000012</v>
      </c>
      <c r="AB721" s="349">
        <v>3424.41</v>
      </c>
      <c r="AC721" s="345">
        <v>54260</v>
      </c>
      <c r="AD721" s="349">
        <v>380.49</v>
      </c>
      <c r="AE721" s="345" t="s">
        <v>944</v>
      </c>
      <c r="AF721" s="347"/>
      <c r="AG721" s="347"/>
      <c r="AH721" s="347" t="s">
        <v>57</v>
      </c>
      <c r="AI721" s="347" t="s">
        <v>4442</v>
      </c>
      <c r="AJ721" s="347" t="s">
        <v>4443</v>
      </c>
      <c r="AK721" s="347" t="s">
        <v>4437</v>
      </c>
      <c r="AL721" s="387">
        <v>45574</v>
      </c>
    </row>
    <row r="722" spans="2:38" ht="15.75" outlineLevel="1">
      <c r="B722" s="345">
        <v>2111</v>
      </c>
      <c r="C722" s="346">
        <v>220554</v>
      </c>
      <c r="D722" s="345" t="s">
        <v>944</v>
      </c>
      <c r="E722" s="347" t="s">
        <v>4240</v>
      </c>
      <c r="F722" s="343" t="s">
        <v>1938</v>
      </c>
      <c r="I722" s="345">
        <v>864</v>
      </c>
      <c r="J722" s="347"/>
      <c r="K722" s="345">
        <v>0</v>
      </c>
      <c r="L722" s="347" t="s">
        <v>1755</v>
      </c>
      <c r="M722" s="347"/>
      <c r="N722" s="347" t="s">
        <v>4446</v>
      </c>
      <c r="O722" s="347" t="s">
        <v>4441</v>
      </c>
      <c r="P722" s="347"/>
      <c r="Q722" s="347"/>
      <c r="R722" s="347"/>
      <c r="S722" s="348">
        <v>43657</v>
      </c>
      <c r="T722" s="348">
        <v>43657</v>
      </c>
      <c r="U722" s="347" t="s">
        <v>1937</v>
      </c>
      <c r="V722" s="345">
        <v>700</v>
      </c>
      <c r="W722" s="345">
        <v>14050</v>
      </c>
      <c r="X722" s="349">
        <v>39372.660000000003</v>
      </c>
      <c r="Y722" s="345">
        <v>14056</v>
      </c>
      <c r="Z722" s="349">
        <v>29529.49</v>
      </c>
      <c r="AA722" s="349">
        <f t="shared" si="95"/>
        <v>9843.1700000000019</v>
      </c>
      <c r="AB722" s="349">
        <v>4218.4799999999996</v>
      </c>
      <c r="AC722" s="345">
        <v>54260</v>
      </c>
      <c r="AD722" s="349">
        <v>468.72</v>
      </c>
      <c r="AE722" s="345" t="s">
        <v>944</v>
      </c>
      <c r="AF722" s="347"/>
      <c r="AG722" s="347"/>
      <c r="AH722" s="347" t="s">
        <v>57</v>
      </c>
      <c r="AI722" s="347" t="s">
        <v>4442</v>
      </c>
      <c r="AJ722" s="347" t="s">
        <v>4443</v>
      </c>
      <c r="AK722" s="347" t="s">
        <v>4437</v>
      </c>
      <c r="AL722" s="387">
        <v>45574</v>
      </c>
    </row>
    <row r="723" spans="2:38" ht="15.75" outlineLevel="1">
      <c r="B723" s="345">
        <v>2111</v>
      </c>
      <c r="C723" s="346">
        <v>219747</v>
      </c>
      <c r="D723" s="345" t="s">
        <v>944</v>
      </c>
      <c r="E723" s="347" t="s">
        <v>4240</v>
      </c>
      <c r="F723" s="343" t="s">
        <v>1939</v>
      </c>
      <c r="I723" s="345">
        <v>1</v>
      </c>
      <c r="J723" s="347" t="s">
        <v>1940</v>
      </c>
      <c r="K723" s="345">
        <v>2019</v>
      </c>
      <c r="L723" s="347" t="s">
        <v>1483</v>
      </c>
      <c r="M723" s="347" t="s">
        <v>1764</v>
      </c>
      <c r="N723" s="347" t="s">
        <v>4445</v>
      </c>
      <c r="O723" s="347" t="s">
        <v>4441</v>
      </c>
      <c r="P723" s="347" t="s">
        <v>4487</v>
      </c>
      <c r="Q723" s="347"/>
      <c r="R723" s="347"/>
      <c r="S723" s="348">
        <v>43738</v>
      </c>
      <c r="T723" s="348">
        <v>43738</v>
      </c>
      <c r="U723" s="347" t="s">
        <v>1941</v>
      </c>
      <c r="V723" s="345">
        <v>1000</v>
      </c>
      <c r="W723" s="345">
        <v>14040</v>
      </c>
      <c r="X723" s="349">
        <v>338200.33</v>
      </c>
      <c r="Y723" s="345">
        <v>14046</v>
      </c>
      <c r="Z723" s="349">
        <v>169100.19</v>
      </c>
      <c r="AA723" s="349">
        <f t="shared" si="95"/>
        <v>169100.14</v>
      </c>
      <c r="AB723" s="349">
        <v>25365.06</v>
      </c>
      <c r="AC723" s="345">
        <v>51260</v>
      </c>
      <c r="AD723" s="349">
        <v>2818.34</v>
      </c>
      <c r="AE723" s="345" t="s">
        <v>944</v>
      </c>
      <c r="AF723" s="347"/>
      <c r="AG723" s="347">
        <v>914</v>
      </c>
      <c r="AH723" s="347" t="s">
        <v>57</v>
      </c>
      <c r="AI723" s="347" t="s">
        <v>4442</v>
      </c>
      <c r="AJ723" s="347" t="s">
        <v>4443</v>
      </c>
      <c r="AK723" s="347" t="s">
        <v>4437</v>
      </c>
      <c r="AL723" s="387">
        <v>45574</v>
      </c>
    </row>
    <row r="724" spans="2:38" ht="15.75" outlineLevel="1">
      <c r="B724" s="345">
        <v>2111</v>
      </c>
      <c r="C724" s="346">
        <v>219032</v>
      </c>
      <c r="D724" s="345" t="s">
        <v>944</v>
      </c>
      <c r="E724" s="347" t="s">
        <v>4240</v>
      </c>
      <c r="F724" s="343" t="s">
        <v>1936</v>
      </c>
      <c r="I724" s="345">
        <v>1248</v>
      </c>
      <c r="J724" s="347"/>
      <c r="K724" s="345">
        <v>0</v>
      </c>
      <c r="L724" s="347" t="s">
        <v>1755</v>
      </c>
      <c r="M724" s="347"/>
      <c r="N724" s="347" t="s">
        <v>4446</v>
      </c>
      <c r="O724" s="347" t="s">
        <v>4441</v>
      </c>
      <c r="P724" s="347"/>
      <c r="Q724" s="347"/>
      <c r="R724" s="347"/>
      <c r="S724" s="348">
        <v>43657</v>
      </c>
      <c r="T724" s="348">
        <v>43657</v>
      </c>
      <c r="U724" s="347" t="s">
        <v>1937</v>
      </c>
      <c r="V724" s="345">
        <v>700</v>
      </c>
      <c r="W724" s="345">
        <v>14050</v>
      </c>
      <c r="X724" s="349">
        <v>53635.38</v>
      </c>
      <c r="Y724" s="345">
        <v>14056</v>
      </c>
      <c r="Z724" s="349">
        <v>40226.58</v>
      </c>
      <c r="AA724" s="349">
        <f t="shared" si="95"/>
        <v>13408.799999999996</v>
      </c>
      <c r="AB724" s="349">
        <v>5746.68</v>
      </c>
      <c r="AC724" s="345">
        <v>54260</v>
      </c>
      <c r="AD724" s="349">
        <v>638.52</v>
      </c>
      <c r="AE724" s="345" t="s">
        <v>944</v>
      </c>
      <c r="AF724" s="347"/>
      <c r="AG724" s="347"/>
      <c r="AH724" s="347" t="s">
        <v>57</v>
      </c>
      <c r="AI724" s="347" t="s">
        <v>4442</v>
      </c>
      <c r="AJ724" s="347" t="s">
        <v>4443</v>
      </c>
      <c r="AK724" s="347" t="s">
        <v>4437</v>
      </c>
      <c r="AL724" s="387">
        <v>45574</v>
      </c>
    </row>
    <row r="725" spans="2:38" ht="15.75" outlineLevel="1">
      <c r="B725" s="345">
        <v>2111</v>
      </c>
      <c r="C725" s="346">
        <v>217872</v>
      </c>
      <c r="D725" s="345" t="s">
        <v>944</v>
      </c>
      <c r="E725" s="347" t="s">
        <v>4240</v>
      </c>
      <c r="F725" s="343" t="s">
        <v>902</v>
      </c>
      <c r="I725" s="345">
        <v>250</v>
      </c>
      <c r="J725" s="347"/>
      <c r="K725" s="345">
        <v>0</v>
      </c>
      <c r="L725" s="347" t="s">
        <v>1755</v>
      </c>
      <c r="M725" s="347"/>
      <c r="N725" s="347" t="s">
        <v>4446</v>
      </c>
      <c r="O725" s="347" t="s">
        <v>4441</v>
      </c>
      <c r="P725" s="347"/>
      <c r="Q725" s="347"/>
      <c r="R725" s="347"/>
      <c r="S725" s="348">
        <v>43642</v>
      </c>
      <c r="T725" s="348">
        <v>43642</v>
      </c>
      <c r="U725" s="347" t="s">
        <v>1942</v>
      </c>
      <c r="V725" s="345">
        <v>700</v>
      </c>
      <c r="W725" s="345">
        <v>14050</v>
      </c>
      <c r="X725" s="349">
        <v>11598.41</v>
      </c>
      <c r="Y725" s="345">
        <v>14056</v>
      </c>
      <c r="Z725" s="349">
        <v>8698.86</v>
      </c>
      <c r="AA725" s="349">
        <f t="shared" si="95"/>
        <v>2899.5499999999993</v>
      </c>
      <c r="AB725" s="349">
        <v>1242.72</v>
      </c>
      <c r="AC725" s="345">
        <v>54260</v>
      </c>
      <c r="AD725" s="349">
        <v>138.08000000000001</v>
      </c>
      <c r="AE725" s="345" t="s">
        <v>944</v>
      </c>
      <c r="AF725" s="347"/>
      <c r="AG725" s="347"/>
      <c r="AH725" s="347" t="s">
        <v>57</v>
      </c>
      <c r="AI725" s="347" t="s">
        <v>4442</v>
      </c>
      <c r="AJ725" s="347" t="s">
        <v>4443</v>
      </c>
      <c r="AK725" s="347" t="s">
        <v>4437</v>
      </c>
      <c r="AL725" s="387">
        <v>45574</v>
      </c>
    </row>
    <row r="726" spans="2:38" ht="15.75" outlineLevel="1">
      <c r="B726" s="345">
        <v>2111</v>
      </c>
      <c r="C726" s="346">
        <v>217871</v>
      </c>
      <c r="D726" s="345" t="s">
        <v>944</v>
      </c>
      <c r="E726" s="347" t="s">
        <v>4240</v>
      </c>
      <c r="F726" s="343" t="s">
        <v>900</v>
      </c>
      <c r="I726" s="345">
        <v>624</v>
      </c>
      <c r="J726" s="347"/>
      <c r="K726" s="345">
        <v>0</v>
      </c>
      <c r="L726" s="347" t="s">
        <v>1755</v>
      </c>
      <c r="M726" s="347"/>
      <c r="N726" s="347" t="s">
        <v>4446</v>
      </c>
      <c r="O726" s="347" t="s">
        <v>4441</v>
      </c>
      <c r="P726" s="347"/>
      <c r="Q726" s="347"/>
      <c r="R726" s="347"/>
      <c r="S726" s="348">
        <v>43642</v>
      </c>
      <c r="T726" s="348">
        <v>43642</v>
      </c>
      <c r="U726" s="347" t="s">
        <v>1942</v>
      </c>
      <c r="V726" s="345">
        <v>700</v>
      </c>
      <c r="W726" s="345">
        <v>14050</v>
      </c>
      <c r="X726" s="349">
        <v>31929.82</v>
      </c>
      <c r="Y726" s="345">
        <v>14056</v>
      </c>
      <c r="Z726" s="349">
        <v>23947.38</v>
      </c>
      <c r="AA726" s="349">
        <f t="shared" si="95"/>
        <v>7982.4399999999987</v>
      </c>
      <c r="AB726" s="349">
        <v>3421.08</v>
      </c>
      <c r="AC726" s="345">
        <v>54260</v>
      </c>
      <c r="AD726" s="349">
        <v>380.12</v>
      </c>
      <c r="AE726" s="345" t="s">
        <v>944</v>
      </c>
      <c r="AF726" s="347"/>
      <c r="AG726" s="347"/>
      <c r="AH726" s="347" t="s">
        <v>57</v>
      </c>
      <c r="AI726" s="347" t="s">
        <v>4442</v>
      </c>
      <c r="AJ726" s="347" t="s">
        <v>4443</v>
      </c>
      <c r="AK726" s="347" t="s">
        <v>4437</v>
      </c>
      <c r="AL726" s="387">
        <v>45574</v>
      </c>
    </row>
    <row r="727" spans="2:38" ht="15.75" outlineLevel="1">
      <c r="B727" s="345">
        <v>2111</v>
      </c>
      <c r="C727" s="346">
        <v>217870</v>
      </c>
      <c r="D727" s="345" t="s">
        <v>944</v>
      </c>
      <c r="E727" s="347" t="s">
        <v>4240</v>
      </c>
      <c r="F727" s="343" t="s">
        <v>900</v>
      </c>
      <c r="I727" s="345">
        <v>624</v>
      </c>
      <c r="J727" s="347"/>
      <c r="K727" s="345">
        <v>0</v>
      </c>
      <c r="L727" s="347" t="s">
        <v>1755</v>
      </c>
      <c r="M727" s="347"/>
      <c r="N727" s="347" t="s">
        <v>4446</v>
      </c>
      <c r="O727" s="347" t="s">
        <v>4441</v>
      </c>
      <c r="P727" s="347"/>
      <c r="Q727" s="347"/>
      <c r="R727" s="347"/>
      <c r="S727" s="348">
        <v>43642</v>
      </c>
      <c r="T727" s="348">
        <v>43642</v>
      </c>
      <c r="U727" s="347" t="s">
        <v>1942</v>
      </c>
      <c r="V727" s="345">
        <v>700</v>
      </c>
      <c r="W727" s="345">
        <v>14050</v>
      </c>
      <c r="X727" s="349">
        <v>31929.82</v>
      </c>
      <c r="Y727" s="345">
        <v>14056</v>
      </c>
      <c r="Z727" s="349">
        <v>23947.38</v>
      </c>
      <c r="AA727" s="349">
        <f t="shared" si="95"/>
        <v>7982.4399999999987</v>
      </c>
      <c r="AB727" s="349">
        <v>3421.08</v>
      </c>
      <c r="AC727" s="345">
        <v>54260</v>
      </c>
      <c r="AD727" s="349">
        <v>380.12</v>
      </c>
      <c r="AE727" s="345" t="s">
        <v>944</v>
      </c>
      <c r="AF727" s="347"/>
      <c r="AG727" s="347"/>
      <c r="AH727" s="347" t="s">
        <v>57</v>
      </c>
      <c r="AI727" s="347" t="s">
        <v>4442</v>
      </c>
      <c r="AJ727" s="347" t="s">
        <v>4443</v>
      </c>
      <c r="AK727" s="347" t="s">
        <v>4437</v>
      </c>
      <c r="AL727" s="387">
        <v>45574</v>
      </c>
    </row>
    <row r="728" spans="2:38" ht="15.75" outlineLevel="1">
      <c r="B728" s="345">
        <v>2111</v>
      </c>
      <c r="C728" s="346">
        <v>217869</v>
      </c>
      <c r="D728" s="345" t="s">
        <v>944</v>
      </c>
      <c r="E728" s="347" t="s">
        <v>4240</v>
      </c>
      <c r="F728" s="343" t="s">
        <v>903</v>
      </c>
      <c r="I728" s="345">
        <v>250</v>
      </c>
      <c r="J728" s="347"/>
      <c r="K728" s="345">
        <v>0</v>
      </c>
      <c r="L728" s="347" t="s">
        <v>1755</v>
      </c>
      <c r="M728" s="347"/>
      <c r="N728" s="347" t="s">
        <v>4446</v>
      </c>
      <c r="O728" s="347" t="s">
        <v>4441</v>
      </c>
      <c r="P728" s="347"/>
      <c r="Q728" s="347"/>
      <c r="R728" s="347"/>
      <c r="S728" s="348">
        <v>43642</v>
      </c>
      <c r="T728" s="348">
        <v>43642</v>
      </c>
      <c r="U728" s="347" t="s">
        <v>1942</v>
      </c>
      <c r="V728" s="345">
        <v>700</v>
      </c>
      <c r="W728" s="345">
        <v>14050</v>
      </c>
      <c r="X728" s="349">
        <v>12697.41</v>
      </c>
      <c r="Y728" s="345">
        <v>14056</v>
      </c>
      <c r="Z728" s="349">
        <v>9523.08</v>
      </c>
      <c r="AA728" s="349">
        <f t="shared" si="95"/>
        <v>3174.33</v>
      </c>
      <c r="AB728" s="349">
        <v>1360.44</v>
      </c>
      <c r="AC728" s="345">
        <v>54260</v>
      </c>
      <c r="AD728" s="349">
        <v>151.16</v>
      </c>
      <c r="AE728" s="345" t="s">
        <v>944</v>
      </c>
      <c r="AF728" s="347"/>
      <c r="AG728" s="347"/>
      <c r="AH728" s="347" t="s">
        <v>57</v>
      </c>
      <c r="AI728" s="347" t="s">
        <v>4442</v>
      </c>
      <c r="AJ728" s="347" t="s">
        <v>4443</v>
      </c>
      <c r="AK728" s="347" t="s">
        <v>4437</v>
      </c>
      <c r="AL728" s="387">
        <v>45574</v>
      </c>
    </row>
    <row r="729" spans="2:38" ht="15.75" outlineLevel="1">
      <c r="B729" s="345">
        <v>2111</v>
      </c>
      <c r="C729" s="346">
        <v>217868</v>
      </c>
      <c r="D729" s="345" t="s">
        <v>944</v>
      </c>
      <c r="E729" s="347" t="s">
        <v>4240</v>
      </c>
      <c r="F729" s="343" t="s">
        <v>1936</v>
      </c>
      <c r="I729" s="345">
        <v>182</v>
      </c>
      <c r="J729" s="347"/>
      <c r="K729" s="345">
        <v>0</v>
      </c>
      <c r="L729" s="347" t="s">
        <v>1755</v>
      </c>
      <c r="M729" s="347"/>
      <c r="N729" s="347" t="s">
        <v>4446</v>
      </c>
      <c r="O729" s="347" t="s">
        <v>4441</v>
      </c>
      <c r="P729" s="347"/>
      <c r="Q729" s="347"/>
      <c r="R729" s="347"/>
      <c r="S729" s="348">
        <v>43642</v>
      </c>
      <c r="T729" s="348">
        <v>43642</v>
      </c>
      <c r="U729" s="347" t="s">
        <v>1942</v>
      </c>
      <c r="V729" s="345">
        <v>700</v>
      </c>
      <c r="W729" s="345">
        <v>14050</v>
      </c>
      <c r="X729" s="349">
        <v>9244.0499999999993</v>
      </c>
      <c r="Y729" s="345">
        <v>14056</v>
      </c>
      <c r="Z729" s="349">
        <v>6933.06</v>
      </c>
      <c r="AA729" s="349">
        <f t="shared" si="95"/>
        <v>2310.9899999999989</v>
      </c>
      <c r="AB729" s="349">
        <v>990.45</v>
      </c>
      <c r="AC729" s="345">
        <v>54260</v>
      </c>
      <c r="AD729" s="349">
        <v>110.05</v>
      </c>
      <c r="AE729" s="345" t="s">
        <v>944</v>
      </c>
      <c r="AF729" s="347"/>
      <c r="AG729" s="347"/>
      <c r="AH729" s="347" t="s">
        <v>57</v>
      </c>
      <c r="AI729" s="347" t="s">
        <v>4442</v>
      </c>
      <c r="AJ729" s="347" t="s">
        <v>4443</v>
      </c>
      <c r="AK729" s="347" t="s">
        <v>4437</v>
      </c>
      <c r="AL729" s="387">
        <v>45574</v>
      </c>
    </row>
    <row r="730" spans="2:38" ht="15.75" outlineLevel="1">
      <c r="B730" s="345">
        <v>2111</v>
      </c>
      <c r="C730" s="346">
        <v>217184</v>
      </c>
      <c r="D730" s="345">
        <v>60338</v>
      </c>
      <c r="E730" s="347" t="s">
        <v>4240</v>
      </c>
      <c r="F730" s="343" t="s">
        <v>1250</v>
      </c>
      <c r="I730" s="345">
        <v>1</v>
      </c>
      <c r="J730" s="347"/>
      <c r="K730" s="345">
        <v>0</v>
      </c>
      <c r="L730" s="347" t="s">
        <v>1943</v>
      </c>
      <c r="M730" s="347"/>
      <c r="N730" s="347" t="s">
        <v>4445</v>
      </c>
      <c r="O730" s="347" t="s">
        <v>4441</v>
      </c>
      <c r="P730" s="347" t="s">
        <v>1467</v>
      </c>
      <c r="Q730" s="347"/>
      <c r="R730" s="347"/>
      <c r="S730" s="348">
        <v>43518</v>
      </c>
      <c r="T730" s="348">
        <v>43518</v>
      </c>
      <c r="U730" s="347" t="s">
        <v>1945</v>
      </c>
      <c r="V730" s="345">
        <v>300</v>
      </c>
      <c r="W730" s="345">
        <v>14040</v>
      </c>
      <c r="X730" s="349">
        <v>6435.44</v>
      </c>
      <c r="Y730" s="345">
        <v>14046</v>
      </c>
      <c r="Z730" s="349">
        <v>6435.44</v>
      </c>
      <c r="AA730" s="349">
        <f t="shared" si="95"/>
        <v>0</v>
      </c>
      <c r="AB730" s="349">
        <v>0</v>
      </c>
      <c r="AC730" s="345">
        <v>51260</v>
      </c>
      <c r="AD730" s="349">
        <v>0</v>
      </c>
      <c r="AE730" s="345" t="s">
        <v>944</v>
      </c>
      <c r="AF730" s="347"/>
      <c r="AG730" s="347"/>
      <c r="AH730" s="347" t="s">
        <v>57</v>
      </c>
      <c r="AI730" s="347" t="s">
        <v>4442</v>
      </c>
      <c r="AJ730" s="347" t="s">
        <v>4443</v>
      </c>
      <c r="AK730" s="347" t="s">
        <v>4437</v>
      </c>
      <c r="AL730" s="387">
        <v>45574</v>
      </c>
    </row>
    <row r="731" spans="2:38" ht="15.75" outlineLevel="1">
      <c r="B731" s="345">
        <v>2111</v>
      </c>
      <c r="C731" s="346">
        <v>217183</v>
      </c>
      <c r="D731" s="345">
        <v>102347</v>
      </c>
      <c r="E731" s="347" t="s">
        <v>4240</v>
      </c>
      <c r="F731" s="343" t="s">
        <v>1251</v>
      </c>
      <c r="I731" s="345">
        <v>1</v>
      </c>
      <c r="J731" s="347"/>
      <c r="K731" s="345">
        <v>0</v>
      </c>
      <c r="L731" s="347" t="s">
        <v>1943</v>
      </c>
      <c r="M731" s="347"/>
      <c r="N731" s="347" t="s">
        <v>4445</v>
      </c>
      <c r="O731" s="347" t="s">
        <v>4441</v>
      </c>
      <c r="P731" s="347" t="s">
        <v>1467</v>
      </c>
      <c r="Q731" s="347"/>
      <c r="R731" s="347"/>
      <c r="S731" s="348">
        <v>43518</v>
      </c>
      <c r="T731" s="348">
        <v>43518</v>
      </c>
      <c r="U731" s="347" t="s">
        <v>1946</v>
      </c>
      <c r="V731" s="345">
        <v>300</v>
      </c>
      <c r="W731" s="345">
        <v>14040</v>
      </c>
      <c r="X731" s="349">
        <v>6435.44</v>
      </c>
      <c r="Y731" s="345">
        <v>14046</v>
      </c>
      <c r="Z731" s="349">
        <v>6435.44</v>
      </c>
      <c r="AA731" s="349">
        <f t="shared" si="95"/>
        <v>0</v>
      </c>
      <c r="AB731" s="349">
        <v>0</v>
      </c>
      <c r="AC731" s="345">
        <v>51260</v>
      </c>
      <c r="AD731" s="349">
        <v>0</v>
      </c>
      <c r="AE731" s="345" t="s">
        <v>944</v>
      </c>
      <c r="AF731" s="347"/>
      <c r="AG731" s="347"/>
      <c r="AH731" s="347" t="s">
        <v>57</v>
      </c>
      <c r="AI731" s="347" t="s">
        <v>4442</v>
      </c>
      <c r="AJ731" s="347" t="s">
        <v>4443</v>
      </c>
      <c r="AK731" s="347" t="s">
        <v>4437</v>
      </c>
      <c r="AL731" s="387">
        <v>45574</v>
      </c>
    </row>
    <row r="732" spans="2:38" ht="15.75" outlineLevel="1">
      <c r="B732" s="345">
        <v>2111</v>
      </c>
      <c r="C732" s="346">
        <v>216712</v>
      </c>
      <c r="D732" s="345" t="s">
        <v>944</v>
      </c>
      <c r="E732" s="347" t="s">
        <v>4240</v>
      </c>
      <c r="F732" s="343" t="s">
        <v>901</v>
      </c>
      <c r="I732" s="345">
        <v>200</v>
      </c>
      <c r="J732" s="347"/>
      <c r="K732" s="345">
        <v>0</v>
      </c>
      <c r="L732" s="347" t="s">
        <v>1755</v>
      </c>
      <c r="M732" s="347"/>
      <c r="N732" s="347" t="s">
        <v>4446</v>
      </c>
      <c r="O732" s="347" t="s">
        <v>4441</v>
      </c>
      <c r="P732" s="347"/>
      <c r="Q732" s="347"/>
      <c r="R732" s="347"/>
      <c r="S732" s="348">
        <v>43582</v>
      </c>
      <c r="T732" s="348">
        <v>43582</v>
      </c>
      <c r="U732" s="347" t="s">
        <v>1947</v>
      </c>
      <c r="V732" s="345">
        <v>700</v>
      </c>
      <c r="W732" s="345">
        <v>14050</v>
      </c>
      <c r="X732" s="349">
        <v>7478.78</v>
      </c>
      <c r="Y732" s="345">
        <v>14056</v>
      </c>
      <c r="Z732" s="349">
        <v>5787.14</v>
      </c>
      <c r="AA732" s="349">
        <f t="shared" si="95"/>
        <v>1691.6399999999994</v>
      </c>
      <c r="AB732" s="349">
        <v>801.27</v>
      </c>
      <c r="AC732" s="345">
        <v>54260</v>
      </c>
      <c r="AD732" s="349">
        <v>89.03</v>
      </c>
      <c r="AE732" s="345" t="s">
        <v>944</v>
      </c>
      <c r="AF732" s="347"/>
      <c r="AG732" s="347"/>
      <c r="AH732" s="347" t="s">
        <v>57</v>
      </c>
      <c r="AI732" s="347" t="s">
        <v>4442</v>
      </c>
      <c r="AJ732" s="347" t="s">
        <v>4443</v>
      </c>
      <c r="AK732" s="347" t="s">
        <v>4437</v>
      </c>
      <c r="AL732" s="387">
        <v>45574</v>
      </c>
    </row>
    <row r="733" spans="2:38" ht="15.75" outlineLevel="1">
      <c r="B733" s="345">
        <v>2111</v>
      </c>
      <c r="C733" s="346">
        <v>216711</v>
      </c>
      <c r="D733" s="345" t="s">
        <v>944</v>
      </c>
      <c r="E733" s="347" t="s">
        <v>4240</v>
      </c>
      <c r="F733" s="343" t="s">
        <v>903</v>
      </c>
      <c r="I733" s="345">
        <v>150</v>
      </c>
      <c r="J733" s="347"/>
      <c r="K733" s="345">
        <v>0</v>
      </c>
      <c r="L733" s="347" t="s">
        <v>1755</v>
      </c>
      <c r="M733" s="347"/>
      <c r="N733" s="347" t="s">
        <v>4446</v>
      </c>
      <c r="O733" s="347" t="s">
        <v>4441</v>
      </c>
      <c r="P733" s="347"/>
      <c r="Q733" s="347"/>
      <c r="R733" s="347"/>
      <c r="S733" s="348">
        <v>43582</v>
      </c>
      <c r="T733" s="348">
        <v>43582</v>
      </c>
      <c r="U733" s="347" t="s">
        <v>1947</v>
      </c>
      <c r="V733" s="345">
        <v>700</v>
      </c>
      <c r="W733" s="345">
        <v>14050</v>
      </c>
      <c r="X733" s="349">
        <v>7587.03</v>
      </c>
      <c r="Y733" s="345">
        <v>14056</v>
      </c>
      <c r="Z733" s="349">
        <v>5870.9</v>
      </c>
      <c r="AA733" s="349">
        <f t="shared" si="95"/>
        <v>1716.13</v>
      </c>
      <c r="AB733" s="349">
        <v>812.88</v>
      </c>
      <c r="AC733" s="345">
        <v>54260</v>
      </c>
      <c r="AD733" s="349">
        <v>90.32</v>
      </c>
      <c r="AE733" s="345" t="s">
        <v>944</v>
      </c>
      <c r="AF733" s="347"/>
      <c r="AG733" s="347"/>
      <c r="AH733" s="347" t="s">
        <v>57</v>
      </c>
      <c r="AI733" s="347" t="s">
        <v>4442</v>
      </c>
      <c r="AJ733" s="347" t="s">
        <v>4443</v>
      </c>
      <c r="AK733" s="347" t="s">
        <v>4437</v>
      </c>
      <c r="AL733" s="387">
        <v>45574</v>
      </c>
    </row>
    <row r="734" spans="2:38" ht="15.75" outlineLevel="1">
      <c r="B734" s="345">
        <v>2111</v>
      </c>
      <c r="C734" s="346">
        <v>216710</v>
      </c>
      <c r="D734" s="345" t="s">
        <v>944</v>
      </c>
      <c r="E734" s="347" t="s">
        <v>4240</v>
      </c>
      <c r="F734" s="343" t="s">
        <v>899</v>
      </c>
      <c r="I734" s="345">
        <v>312</v>
      </c>
      <c r="J734" s="347"/>
      <c r="K734" s="345">
        <v>0</v>
      </c>
      <c r="L734" s="347" t="s">
        <v>1755</v>
      </c>
      <c r="M734" s="347"/>
      <c r="N734" s="347" t="s">
        <v>4446</v>
      </c>
      <c r="O734" s="347" t="s">
        <v>4441</v>
      </c>
      <c r="P734" s="347"/>
      <c r="Q734" s="347"/>
      <c r="R734" s="347"/>
      <c r="S734" s="348">
        <v>43582</v>
      </c>
      <c r="T734" s="348">
        <v>43582</v>
      </c>
      <c r="U734" s="347" t="s">
        <v>1947</v>
      </c>
      <c r="V734" s="345">
        <v>700</v>
      </c>
      <c r="W734" s="345">
        <v>14050</v>
      </c>
      <c r="X734" s="349">
        <v>15782.15</v>
      </c>
      <c r="Y734" s="345">
        <v>14056</v>
      </c>
      <c r="Z734" s="349">
        <v>12212.34</v>
      </c>
      <c r="AA734" s="349">
        <f t="shared" si="95"/>
        <v>3569.8099999999995</v>
      </c>
      <c r="AB734" s="349">
        <v>1690.92</v>
      </c>
      <c r="AC734" s="345">
        <v>54260</v>
      </c>
      <c r="AD734" s="349">
        <v>187.88</v>
      </c>
      <c r="AE734" s="345" t="s">
        <v>944</v>
      </c>
      <c r="AF734" s="347"/>
      <c r="AG734" s="347"/>
      <c r="AH734" s="347" t="s">
        <v>57</v>
      </c>
      <c r="AI734" s="347" t="s">
        <v>4442</v>
      </c>
      <c r="AJ734" s="347" t="s">
        <v>4443</v>
      </c>
      <c r="AK734" s="347" t="s">
        <v>4437</v>
      </c>
      <c r="AL734" s="387">
        <v>45574</v>
      </c>
    </row>
    <row r="735" spans="2:38" ht="15.75" outlineLevel="1">
      <c r="B735" s="345">
        <v>2111</v>
      </c>
      <c r="C735" s="346">
        <v>216709</v>
      </c>
      <c r="D735" s="345" t="s">
        <v>944</v>
      </c>
      <c r="E735" s="347" t="s">
        <v>4240</v>
      </c>
      <c r="F735" s="343" t="s">
        <v>900</v>
      </c>
      <c r="I735" s="345">
        <v>624</v>
      </c>
      <c r="J735" s="347"/>
      <c r="K735" s="345">
        <v>0</v>
      </c>
      <c r="L735" s="347" t="s">
        <v>1755</v>
      </c>
      <c r="M735" s="347"/>
      <c r="N735" s="347" t="s">
        <v>4446</v>
      </c>
      <c r="O735" s="347" t="s">
        <v>4441</v>
      </c>
      <c r="P735" s="347"/>
      <c r="Q735" s="347"/>
      <c r="R735" s="347"/>
      <c r="S735" s="348">
        <v>43582</v>
      </c>
      <c r="T735" s="348">
        <v>43582</v>
      </c>
      <c r="U735" s="347" t="s">
        <v>1947</v>
      </c>
      <c r="V735" s="345">
        <v>700</v>
      </c>
      <c r="W735" s="345">
        <v>14050</v>
      </c>
      <c r="X735" s="349">
        <v>31710.67</v>
      </c>
      <c r="Y735" s="345">
        <v>14056</v>
      </c>
      <c r="Z735" s="349">
        <v>24538.05</v>
      </c>
      <c r="AA735" s="349">
        <f t="shared" si="95"/>
        <v>7172.619999999999</v>
      </c>
      <c r="AB735" s="349">
        <v>3397.59</v>
      </c>
      <c r="AC735" s="345">
        <v>54260</v>
      </c>
      <c r="AD735" s="349">
        <v>377.51</v>
      </c>
      <c r="AE735" s="345" t="s">
        <v>944</v>
      </c>
      <c r="AF735" s="347"/>
      <c r="AG735" s="347"/>
      <c r="AH735" s="347" t="s">
        <v>57</v>
      </c>
      <c r="AI735" s="347" t="s">
        <v>4442</v>
      </c>
      <c r="AJ735" s="347" t="s">
        <v>4443</v>
      </c>
      <c r="AK735" s="347" t="s">
        <v>4437</v>
      </c>
      <c r="AL735" s="387">
        <v>45574</v>
      </c>
    </row>
    <row r="736" spans="2:38" ht="15.75" outlineLevel="1">
      <c r="B736" s="345">
        <v>2111</v>
      </c>
      <c r="C736" s="346">
        <v>213241</v>
      </c>
      <c r="D736" s="345" t="s">
        <v>944</v>
      </c>
      <c r="E736" s="347" t="s">
        <v>4240</v>
      </c>
      <c r="F736" s="343" t="s">
        <v>1948</v>
      </c>
      <c r="I736" s="345">
        <v>1</v>
      </c>
      <c r="J736" s="347" t="s">
        <v>1949</v>
      </c>
      <c r="K736" s="345">
        <v>1993</v>
      </c>
      <c r="L736" s="347" t="s">
        <v>1950</v>
      </c>
      <c r="M736" s="347" t="s">
        <v>1950</v>
      </c>
      <c r="N736" s="347" t="s">
        <v>4445</v>
      </c>
      <c r="O736" s="347" t="s">
        <v>4441</v>
      </c>
      <c r="P736" s="347" t="s">
        <v>4510</v>
      </c>
      <c r="Q736" s="347"/>
      <c r="R736" s="347"/>
      <c r="S736" s="348">
        <v>39755</v>
      </c>
      <c r="T736" s="348">
        <v>39755</v>
      </c>
      <c r="U736" s="347"/>
      <c r="V736" s="345">
        <v>300</v>
      </c>
      <c r="W736" s="345">
        <v>14040</v>
      </c>
      <c r="X736" s="349">
        <v>2500</v>
      </c>
      <c r="Y736" s="345">
        <v>14046</v>
      </c>
      <c r="Z736" s="349">
        <v>2500</v>
      </c>
      <c r="AA736" s="349">
        <f t="shared" si="95"/>
        <v>0</v>
      </c>
      <c r="AB736" s="349">
        <v>0</v>
      </c>
      <c r="AC736" s="345">
        <v>51260</v>
      </c>
      <c r="AD736" s="349">
        <v>0</v>
      </c>
      <c r="AE736" s="345" t="s">
        <v>410</v>
      </c>
      <c r="AF736" s="347" t="s">
        <v>1828</v>
      </c>
      <c r="AG736" s="347" t="s">
        <v>4511</v>
      </c>
      <c r="AH736" s="347" t="s">
        <v>57</v>
      </c>
      <c r="AI736" s="347" t="s">
        <v>4442</v>
      </c>
      <c r="AJ736" s="347" t="s">
        <v>4443</v>
      </c>
      <c r="AK736" s="347" t="s">
        <v>4437</v>
      </c>
      <c r="AL736" s="387">
        <v>45574</v>
      </c>
    </row>
    <row r="737" spans="2:38" ht="15.75" outlineLevel="1">
      <c r="B737" s="345">
        <v>2111</v>
      </c>
      <c r="C737" s="346">
        <v>213240</v>
      </c>
      <c r="D737" s="345" t="s">
        <v>944</v>
      </c>
      <c r="E737" s="347" t="s">
        <v>4240</v>
      </c>
      <c r="F737" s="343" t="s">
        <v>576</v>
      </c>
      <c r="I737" s="345">
        <v>1</v>
      </c>
      <c r="J737" s="347" t="s">
        <v>1953</v>
      </c>
      <c r="K737" s="345">
        <v>1991</v>
      </c>
      <c r="L737" s="347" t="s">
        <v>1954</v>
      </c>
      <c r="M737" s="347" t="s">
        <v>1954</v>
      </c>
      <c r="N737" s="347" t="s">
        <v>4445</v>
      </c>
      <c r="O737" s="347" t="s">
        <v>4441</v>
      </c>
      <c r="P737" s="347" t="s">
        <v>4497</v>
      </c>
      <c r="Q737" s="347"/>
      <c r="R737" s="347"/>
      <c r="S737" s="348">
        <v>39755</v>
      </c>
      <c r="T737" s="348">
        <v>39755</v>
      </c>
      <c r="U737" s="347"/>
      <c r="V737" s="345">
        <v>300</v>
      </c>
      <c r="W737" s="345">
        <v>14040</v>
      </c>
      <c r="X737" s="349">
        <v>2500</v>
      </c>
      <c r="Y737" s="345">
        <v>14046</v>
      </c>
      <c r="Z737" s="349">
        <v>2500</v>
      </c>
      <c r="AA737" s="349">
        <f t="shared" si="95"/>
        <v>0</v>
      </c>
      <c r="AB737" s="349">
        <v>0</v>
      </c>
      <c r="AC737" s="345">
        <v>51260</v>
      </c>
      <c r="AD737" s="349">
        <v>0</v>
      </c>
      <c r="AE737" s="345" t="s">
        <v>410</v>
      </c>
      <c r="AF737" s="347" t="s">
        <v>1828</v>
      </c>
      <c r="AG737" s="347" t="s">
        <v>1955</v>
      </c>
      <c r="AH737" s="347" t="s">
        <v>57</v>
      </c>
      <c r="AI737" s="347" t="s">
        <v>4442</v>
      </c>
      <c r="AJ737" s="347" t="s">
        <v>4443</v>
      </c>
      <c r="AK737" s="347" t="s">
        <v>4437</v>
      </c>
      <c r="AL737" s="387">
        <v>45574</v>
      </c>
    </row>
    <row r="738" spans="2:38" ht="15.75" outlineLevel="1">
      <c r="B738" s="345">
        <v>2111</v>
      </c>
      <c r="C738" s="346">
        <v>212879</v>
      </c>
      <c r="D738" s="345" t="s">
        <v>944</v>
      </c>
      <c r="E738" s="347" t="s">
        <v>4240</v>
      </c>
      <c r="F738" s="343" t="s">
        <v>902</v>
      </c>
      <c r="I738" s="345">
        <v>864</v>
      </c>
      <c r="J738" s="347"/>
      <c r="K738" s="345">
        <v>0</v>
      </c>
      <c r="L738" s="347" t="s">
        <v>1755</v>
      </c>
      <c r="M738" s="347"/>
      <c r="N738" s="347" t="s">
        <v>4446</v>
      </c>
      <c r="O738" s="347" t="s">
        <v>4441</v>
      </c>
      <c r="P738" s="347"/>
      <c r="Q738" s="347"/>
      <c r="R738" s="347"/>
      <c r="S738" s="348">
        <v>43544</v>
      </c>
      <c r="T738" s="348">
        <v>43544</v>
      </c>
      <c r="U738" s="347" t="s">
        <v>1956</v>
      </c>
      <c r="V738" s="345">
        <v>700</v>
      </c>
      <c r="W738" s="345">
        <v>14050</v>
      </c>
      <c r="X738" s="349">
        <v>39533.47</v>
      </c>
      <c r="Y738" s="345">
        <v>14056</v>
      </c>
      <c r="Z738" s="349">
        <v>31062.05</v>
      </c>
      <c r="AA738" s="349">
        <f t="shared" si="95"/>
        <v>8471.4200000000019</v>
      </c>
      <c r="AB738" s="349">
        <v>4235.76</v>
      </c>
      <c r="AC738" s="345">
        <v>54260</v>
      </c>
      <c r="AD738" s="349">
        <v>470.64</v>
      </c>
      <c r="AE738" s="345" t="s">
        <v>944</v>
      </c>
      <c r="AF738" s="347"/>
      <c r="AG738" s="347"/>
      <c r="AH738" s="347" t="s">
        <v>57</v>
      </c>
      <c r="AI738" s="347" t="s">
        <v>4442</v>
      </c>
      <c r="AJ738" s="347" t="s">
        <v>4443</v>
      </c>
      <c r="AK738" s="347" t="s">
        <v>4437</v>
      </c>
      <c r="AL738" s="387">
        <v>45574</v>
      </c>
    </row>
    <row r="739" spans="2:38" ht="15.75" outlineLevel="1">
      <c r="B739" s="345">
        <v>2111</v>
      </c>
      <c r="C739" s="346">
        <v>212878</v>
      </c>
      <c r="D739" s="345" t="s">
        <v>944</v>
      </c>
      <c r="E739" s="347" t="s">
        <v>4240</v>
      </c>
      <c r="F739" s="343" t="s">
        <v>1957</v>
      </c>
      <c r="I739" s="345">
        <v>624</v>
      </c>
      <c r="J739" s="347"/>
      <c r="K739" s="345">
        <v>0</v>
      </c>
      <c r="L739" s="347" t="s">
        <v>1755</v>
      </c>
      <c r="M739" s="347"/>
      <c r="N739" s="347" t="s">
        <v>4446</v>
      </c>
      <c r="O739" s="347" t="s">
        <v>4441</v>
      </c>
      <c r="P739" s="347"/>
      <c r="Q739" s="347"/>
      <c r="R739" s="347"/>
      <c r="S739" s="348">
        <v>43544</v>
      </c>
      <c r="T739" s="348">
        <v>43544</v>
      </c>
      <c r="U739" s="347" t="s">
        <v>1956</v>
      </c>
      <c r="V739" s="345">
        <v>700</v>
      </c>
      <c r="W739" s="345">
        <v>14050</v>
      </c>
      <c r="X739" s="349">
        <v>32121.81</v>
      </c>
      <c r="Y739" s="345">
        <v>14056</v>
      </c>
      <c r="Z739" s="349">
        <v>25238.54</v>
      </c>
      <c r="AA739" s="349">
        <f t="shared" si="95"/>
        <v>6883.27</v>
      </c>
      <c r="AB739" s="349">
        <v>3441.6</v>
      </c>
      <c r="AC739" s="345">
        <v>54260</v>
      </c>
      <c r="AD739" s="349">
        <v>382.4</v>
      </c>
      <c r="AE739" s="345" t="s">
        <v>944</v>
      </c>
      <c r="AF739" s="347"/>
      <c r="AG739" s="347"/>
      <c r="AH739" s="347" t="s">
        <v>57</v>
      </c>
      <c r="AI739" s="347" t="s">
        <v>4442</v>
      </c>
      <c r="AJ739" s="347" t="s">
        <v>4443</v>
      </c>
      <c r="AK739" s="347" t="s">
        <v>4437</v>
      </c>
      <c r="AL739" s="387">
        <v>45574</v>
      </c>
    </row>
    <row r="740" spans="2:38" ht="15.75" outlineLevel="1">
      <c r="B740" s="345">
        <v>2111</v>
      </c>
      <c r="C740" s="346">
        <v>212877</v>
      </c>
      <c r="D740" s="345" t="s">
        <v>944</v>
      </c>
      <c r="E740" s="347" t="s">
        <v>4240</v>
      </c>
      <c r="F740" s="343" t="s">
        <v>1936</v>
      </c>
      <c r="I740" s="345">
        <v>624</v>
      </c>
      <c r="J740" s="347"/>
      <c r="K740" s="345">
        <v>0</v>
      </c>
      <c r="L740" s="347" t="s">
        <v>1755</v>
      </c>
      <c r="M740" s="347"/>
      <c r="N740" s="347" t="s">
        <v>4446</v>
      </c>
      <c r="O740" s="347" t="s">
        <v>4441</v>
      </c>
      <c r="P740" s="347"/>
      <c r="Q740" s="347"/>
      <c r="R740" s="347"/>
      <c r="S740" s="348">
        <v>43544</v>
      </c>
      <c r="T740" s="348">
        <v>43544</v>
      </c>
      <c r="U740" s="347" t="s">
        <v>1956</v>
      </c>
      <c r="V740" s="345">
        <v>700</v>
      </c>
      <c r="W740" s="345">
        <v>14050</v>
      </c>
      <c r="X740" s="349">
        <v>32121.81</v>
      </c>
      <c r="Y740" s="345">
        <v>14056</v>
      </c>
      <c r="Z740" s="349">
        <v>25238.54</v>
      </c>
      <c r="AA740" s="349">
        <f t="shared" si="95"/>
        <v>6883.27</v>
      </c>
      <c r="AB740" s="349">
        <v>3441.6</v>
      </c>
      <c r="AC740" s="345">
        <v>54260</v>
      </c>
      <c r="AD740" s="349">
        <v>382.4</v>
      </c>
      <c r="AE740" s="345" t="s">
        <v>944</v>
      </c>
      <c r="AF740" s="347"/>
      <c r="AG740" s="347"/>
      <c r="AH740" s="347" t="s">
        <v>57</v>
      </c>
      <c r="AI740" s="347" t="s">
        <v>4442</v>
      </c>
      <c r="AJ740" s="347" t="s">
        <v>4443</v>
      </c>
      <c r="AK740" s="347" t="s">
        <v>4437</v>
      </c>
      <c r="AL740" s="387">
        <v>45574</v>
      </c>
    </row>
    <row r="741" spans="2:38" ht="15.75" outlineLevel="1">
      <c r="B741" s="345">
        <v>2111</v>
      </c>
      <c r="C741" s="346">
        <v>212170</v>
      </c>
      <c r="D741" s="345">
        <v>212164</v>
      </c>
      <c r="E741" s="347" t="s">
        <v>4240</v>
      </c>
      <c r="F741" s="343" t="s">
        <v>1958</v>
      </c>
      <c r="I741" s="345">
        <v>1</v>
      </c>
      <c r="J741" s="347"/>
      <c r="K741" s="345">
        <v>2015</v>
      </c>
      <c r="L741" s="347" t="s">
        <v>1959</v>
      </c>
      <c r="M741" s="347" t="s">
        <v>1959</v>
      </c>
      <c r="N741" s="347" t="s">
        <v>4458</v>
      </c>
      <c r="O741" s="347" t="s">
        <v>4441</v>
      </c>
      <c r="P741" s="347" t="s">
        <v>1960</v>
      </c>
      <c r="Q741" s="347"/>
      <c r="R741" s="347"/>
      <c r="S741" s="348">
        <v>43556</v>
      </c>
      <c r="T741" s="348">
        <v>43556</v>
      </c>
      <c r="U741" s="347" t="s">
        <v>1961</v>
      </c>
      <c r="V741" s="345">
        <v>300</v>
      </c>
      <c r="W741" s="345">
        <v>14030</v>
      </c>
      <c r="X741" s="349">
        <v>9447.0400000000009</v>
      </c>
      <c r="Y741" s="345">
        <v>14036</v>
      </c>
      <c r="Z741" s="349">
        <v>9447.0400000000009</v>
      </c>
      <c r="AA741" s="349">
        <f t="shared" ref="AA741:AA804" si="96">+X741-Z741</f>
        <v>0</v>
      </c>
      <c r="AB741" s="349">
        <v>0</v>
      </c>
      <c r="AC741" s="345">
        <v>51260</v>
      </c>
      <c r="AD741" s="349">
        <v>0</v>
      </c>
      <c r="AE741" s="345" t="s">
        <v>944</v>
      </c>
      <c r="AF741" s="347"/>
      <c r="AG741" s="347"/>
      <c r="AH741" s="347" t="s">
        <v>57</v>
      </c>
      <c r="AI741" s="347" t="s">
        <v>4442</v>
      </c>
      <c r="AJ741" s="347" t="s">
        <v>4443</v>
      </c>
      <c r="AK741" s="347" t="s">
        <v>4437</v>
      </c>
      <c r="AL741" s="387">
        <v>45574</v>
      </c>
    </row>
    <row r="742" spans="2:38" ht="15.75" outlineLevel="1">
      <c r="B742" s="345">
        <v>2111</v>
      </c>
      <c r="C742" s="346">
        <v>212169</v>
      </c>
      <c r="D742" s="345">
        <v>212164</v>
      </c>
      <c r="E742" s="347" t="s">
        <v>4240</v>
      </c>
      <c r="F742" s="343" t="s">
        <v>1963</v>
      </c>
      <c r="I742" s="345">
        <v>1</v>
      </c>
      <c r="J742" s="347"/>
      <c r="K742" s="345">
        <v>2015</v>
      </c>
      <c r="L742" s="347" t="s">
        <v>1959</v>
      </c>
      <c r="M742" s="347" t="s">
        <v>1959</v>
      </c>
      <c r="N742" s="347" t="s">
        <v>4458</v>
      </c>
      <c r="O742" s="347" t="s">
        <v>4441</v>
      </c>
      <c r="P742" s="347" t="s">
        <v>1960</v>
      </c>
      <c r="Q742" s="347"/>
      <c r="R742" s="347"/>
      <c r="S742" s="348">
        <v>43556</v>
      </c>
      <c r="T742" s="348">
        <v>43556</v>
      </c>
      <c r="U742" s="347" t="s">
        <v>1961</v>
      </c>
      <c r="V742" s="345">
        <v>300</v>
      </c>
      <c r="W742" s="345">
        <v>14030</v>
      </c>
      <c r="X742" s="349">
        <v>9447.0400000000009</v>
      </c>
      <c r="Y742" s="345">
        <v>14036</v>
      </c>
      <c r="Z742" s="349">
        <v>9447.0400000000009</v>
      </c>
      <c r="AA742" s="349">
        <f t="shared" si="96"/>
        <v>0</v>
      </c>
      <c r="AB742" s="349">
        <v>0</v>
      </c>
      <c r="AC742" s="345">
        <v>51260</v>
      </c>
      <c r="AD742" s="349">
        <v>0</v>
      </c>
      <c r="AE742" s="345" t="s">
        <v>944</v>
      </c>
      <c r="AF742" s="347"/>
      <c r="AG742" s="347"/>
      <c r="AH742" s="347" t="s">
        <v>57</v>
      </c>
      <c r="AI742" s="347" t="s">
        <v>4442</v>
      </c>
      <c r="AJ742" s="347" t="s">
        <v>4443</v>
      </c>
      <c r="AK742" s="347" t="s">
        <v>4437</v>
      </c>
      <c r="AL742" s="387">
        <v>45574</v>
      </c>
    </row>
    <row r="743" spans="2:38" ht="15.75" outlineLevel="1">
      <c r="B743" s="345">
        <v>2111</v>
      </c>
      <c r="C743" s="346">
        <v>212168</v>
      </c>
      <c r="D743" s="345">
        <v>212164</v>
      </c>
      <c r="E743" s="347" t="s">
        <v>4240</v>
      </c>
      <c r="F743" s="343" t="s">
        <v>1964</v>
      </c>
      <c r="I743" s="345">
        <v>1</v>
      </c>
      <c r="J743" s="347"/>
      <c r="K743" s="345">
        <v>2015</v>
      </c>
      <c r="L743" s="347" t="s">
        <v>1959</v>
      </c>
      <c r="M743" s="347" t="s">
        <v>1959</v>
      </c>
      <c r="N743" s="347" t="s">
        <v>4458</v>
      </c>
      <c r="O743" s="347" t="s">
        <v>4441</v>
      </c>
      <c r="P743" s="347" t="s">
        <v>1960</v>
      </c>
      <c r="Q743" s="347"/>
      <c r="R743" s="347"/>
      <c r="S743" s="348">
        <v>43556</v>
      </c>
      <c r="T743" s="348">
        <v>43556</v>
      </c>
      <c r="U743" s="347" t="s">
        <v>1961</v>
      </c>
      <c r="V743" s="345">
        <v>300</v>
      </c>
      <c r="W743" s="345">
        <v>14030</v>
      </c>
      <c r="X743" s="349">
        <v>18894.080000000002</v>
      </c>
      <c r="Y743" s="345">
        <v>14036</v>
      </c>
      <c r="Z743" s="349">
        <v>18894.080000000002</v>
      </c>
      <c r="AA743" s="349">
        <f t="shared" si="96"/>
        <v>0</v>
      </c>
      <c r="AB743" s="349">
        <v>0</v>
      </c>
      <c r="AC743" s="345">
        <v>51260</v>
      </c>
      <c r="AD743" s="349">
        <v>0</v>
      </c>
      <c r="AE743" s="345" t="s">
        <v>944</v>
      </c>
      <c r="AF743" s="347"/>
      <c r="AG743" s="347"/>
      <c r="AH743" s="347" t="s">
        <v>57</v>
      </c>
      <c r="AI743" s="347" t="s">
        <v>4442</v>
      </c>
      <c r="AJ743" s="347" t="s">
        <v>4443</v>
      </c>
      <c r="AK743" s="347" t="s">
        <v>4437</v>
      </c>
      <c r="AL743" s="387">
        <v>45574</v>
      </c>
    </row>
    <row r="744" spans="2:38" ht="15.75" outlineLevel="1">
      <c r="B744" s="345">
        <v>2111</v>
      </c>
      <c r="C744" s="346">
        <v>212167</v>
      </c>
      <c r="D744" s="345">
        <v>212164</v>
      </c>
      <c r="E744" s="347" t="s">
        <v>4240</v>
      </c>
      <c r="F744" s="343" t="s">
        <v>1965</v>
      </c>
      <c r="I744" s="345">
        <v>1</v>
      </c>
      <c r="J744" s="347"/>
      <c r="K744" s="345">
        <v>2015</v>
      </c>
      <c r="L744" s="347" t="s">
        <v>1959</v>
      </c>
      <c r="M744" s="347" t="s">
        <v>1959</v>
      </c>
      <c r="N744" s="347" t="s">
        <v>4458</v>
      </c>
      <c r="O744" s="347" t="s">
        <v>4441</v>
      </c>
      <c r="P744" s="347" t="s">
        <v>1960</v>
      </c>
      <c r="Q744" s="347"/>
      <c r="R744" s="347"/>
      <c r="S744" s="348">
        <v>43556</v>
      </c>
      <c r="T744" s="348">
        <v>43556</v>
      </c>
      <c r="U744" s="347" t="s">
        <v>1961</v>
      </c>
      <c r="V744" s="345">
        <v>300</v>
      </c>
      <c r="W744" s="345">
        <v>14030</v>
      </c>
      <c r="X744" s="349">
        <v>9447.0400000000009</v>
      </c>
      <c r="Y744" s="345">
        <v>14036</v>
      </c>
      <c r="Z744" s="349">
        <v>9447.0400000000009</v>
      </c>
      <c r="AA744" s="349">
        <f t="shared" si="96"/>
        <v>0</v>
      </c>
      <c r="AB744" s="349">
        <v>0</v>
      </c>
      <c r="AC744" s="345">
        <v>51260</v>
      </c>
      <c r="AD744" s="349">
        <v>0</v>
      </c>
      <c r="AE744" s="345" t="s">
        <v>944</v>
      </c>
      <c r="AF744" s="347"/>
      <c r="AG744" s="347"/>
      <c r="AH744" s="347" t="s">
        <v>57</v>
      </c>
      <c r="AI744" s="347" t="s">
        <v>4442</v>
      </c>
      <c r="AJ744" s="347" t="s">
        <v>4443</v>
      </c>
      <c r="AK744" s="347" t="s">
        <v>4437</v>
      </c>
      <c r="AL744" s="387">
        <v>45574</v>
      </c>
    </row>
    <row r="745" spans="2:38" ht="15.75" outlineLevel="1">
      <c r="B745" s="345">
        <v>2111</v>
      </c>
      <c r="C745" s="346">
        <v>212166</v>
      </c>
      <c r="D745" s="345">
        <v>212164</v>
      </c>
      <c r="E745" s="347" t="s">
        <v>4240</v>
      </c>
      <c r="F745" s="343" t="s">
        <v>1966</v>
      </c>
      <c r="I745" s="345">
        <v>1</v>
      </c>
      <c r="J745" s="347"/>
      <c r="K745" s="345">
        <v>2015</v>
      </c>
      <c r="L745" s="347" t="s">
        <v>1959</v>
      </c>
      <c r="M745" s="347" t="s">
        <v>1959</v>
      </c>
      <c r="N745" s="347" t="s">
        <v>4458</v>
      </c>
      <c r="O745" s="347" t="s">
        <v>4441</v>
      </c>
      <c r="P745" s="347" t="s">
        <v>1960</v>
      </c>
      <c r="Q745" s="347"/>
      <c r="R745" s="347"/>
      <c r="S745" s="348">
        <v>43556</v>
      </c>
      <c r="T745" s="348">
        <v>43556</v>
      </c>
      <c r="U745" s="347" t="s">
        <v>1961</v>
      </c>
      <c r="V745" s="345">
        <v>300</v>
      </c>
      <c r="W745" s="345">
        <v>14030</v>
      </c>
      <c r="X745" s="349">
        <v>18894.080000000002</v>
      </c>
      <c r="Y745" s="345">
        <v>14036</v>
      </c>
      <c r="Z745" s="349">
        <v>18894.080000000002</v>
      </c>
      <c r="AA745" s="349">
        <f t="shared" si="96"/>
        <v>0</v>
      </c>
      <c r="AB745" s="349">
        <v>0</v>
      </c>
      <c r="AC745" s="345">
        <v>51260</v>
      </c>
      <c r="AD745" s="349">
        <v>0</v>
      </c>
      <c r="AE745" s="345" t="s">
        <v>944</v>
      </c>
      <c r="AF745" s="347"/>
      <c r="AG745" s="347"/>
      <c r="AH745" s="347" t="s">
        <v>57</v>
      </c>
      <c r="AI745" s="347" t="s">
        <v>4442</v>
      </c>
      <c r="AJ745" s="347" t="s">
        <v>4443</v>
      </c>
      <c r="AK745" s="347" t="s">
        <v>4437</v>
      </c>
      <c r="AL745" s="387">
        <v>45574</v>
      </c>
    </row>
    <row r="746" spans="2:38" ht="15.75" outlineLevel="1">
      <c r="B746" s="345">
        <v>2111</v>
      </c>
      <c r="C746" s="346">
        <v>212165</v>
      </c>
      <c r="D746" s="345">
        <v>212164</v>
      </c>
      <c r="E746" s="347" t="s">
        <v>4240</v>
      </c>
      <c r="F746" s="343" t="s">
        <v>1967</v>
      </c>
      <c r="I746" s="345">
        <v>1</v>
      </c>
      <c r="J746" s="347"/>
      <c r="K746" s="345">
        <v>2015</v>
      </c>
      <c r="L746" s="347" t="s">
        <v>1959</v>
      </c>
      <c r="M746" s="347" t="s">
        <v>1959</v>
      </c>
      <c r="N746" s="347" t="s">
        <v>4458</v>
      </c>
      <c r="O746" s="347" t="s">
        <v>4441</v>
      </c>
      <c r="P746" s="347" t="s">
        <v>1960</v>
      </c>
      <c r="Q746" s="347"/>
      <c r="R746" s="347"/>
      <c r="S746" s="348">
        <v>43556</v>
      </c>
      <c r="T746" s="348">
        <v>43556</v>
      </c>
      <c r="U746" s="347" t="s">
        <v>1961</v>
      </c>
      <c r="V746" s="345">
        <v>300</v>
      </c>
      <c r="W746" s="345">
        <v>14030</v>
      </c>
      <c r="X746" s="349">
        <v>21255.84</v>
      </c>
      <c r="Y746" s="345">
        <v>14036</v>
      </c>
      <c r="Z746" s="349">
        <v>21255.84</v>
      </c>
      <c r="AA746" s="349">
        <f t="shared" si="96"/>
        <v>0</v>
      </c>
      <c r="AB746" s="349">
        <v>0</v>
      </c>
      <c r="AC746" s="345">
        <v>51260</v>
      </c>
      <c r="AD746" s="349">
        <v>0</v>
      </c>
      <c r="AE746" s="345" t="s">
        <v>944</v>
      </c>
      <c r="AF746" s="347"/>
      <c r="AG746" s="347"/>
      <c r="AH746" s="347" t="s">
        <v>57</v>
      </c>
      <c r="AI746" s="347" t="s">
        <v>4442</v>
      </c>
      <c r="AJ746" s="347" t="s">
        <v>4443</v>
      </c>
      <c r="AK746" s="347" t="s">
        <v>4437</v>
      </c>
      <c r="AL746" s="387">
        <v>45574</v>
      </c>
    </row>
    <row r="747" spans="2:38" ht="15.75" outlineLevel="1">
      <c r="B747" s="345">
        <v>2111</v>
      </c>
      <c r="C747" s="346">
        <v>212164</v>
      </c>
      <c r="D747" s="345" t="s">
        <v>944</v>
      </c>
      <c r="E747" s="347" t="s">
        <v>4240</v>
      </c>
      <c r="F747" s="343" t="s">
        <v>1968</v>
      </c>
      <c r="I747" s="345">
        <v>1</v>
      </c>
      <c r="J747" s="347" t="s">
        <v>1969</v>
      </c>
      <c r="K747" s="345">
        <v>2015</v>
      </c>
      <c r="L747" s="347" t="s">
        <v>1959</v>
      </c>
      <c r="M747" s="347" t="s">
        <v>1959</v>
      </c>
      <c r="N747" s="347" t="s">
        <v>4458</v>
      </c>
      <c r="O747" s="347" t="s">
        <v>4441</v>
      </c>
      <c r="P747" s="347" t="s">
        <v>1044</v>
      </c>
      <c r="Q747" s="347"/>
      <c r="R747" s="347"/>
      <c r="S747" s="348">
        <v>43556</v>
      </c>
      <c r="T747" s="348">
        <v>43556</v>
      </c>
      <c r="U747" s="347" t="s">
        <v>1961</v>
      </c>
      <c r="V747" s="345">
        <v>800</v>
      </c>
      <c r="W747" s="345">
        <v>14030</v>
      </c>
      <c r="X747" s="349">
        <v>148790.88</v>
      </c>
      <c r="Y747" s="345">
        <v>14036</v>
      </c>
      <c r="Z747" s="349">
        <v>102293.78</v>
      </c>
      <c r="AA747" s="349">
        <f t="shared" si="96"/>
        <v>46497.100000000006</v>
      </c>
      <c r="AB747" s="349">
        <v>13949.19</v>
      </c>
      <c r="AC747" s="345">
        <v>51260</v>
      </c>
      <c r="AD747" s="349">
        <v>1549.91</v>
      </c>
      <c r="AE747" s="345" t="s">
        <v>944</v>
      </c>
      <c r="AF747" s="347">
        <v>0</v>
      </c>
      <c r="AG747" s="347" t="s">
        <v>1970</v>
      </c>
      <c r="AH747" s="347" t="s">
        <v>57</v>
      </c>
      <c r="AI747" s="347" t="s">
        <v>4442</v>
      </c>
      <c r="AJ747" s="347" t="s">
        <v>4443</v>
      </c>
      <c r="AK747" s="347" t="s">
        <v>4437</v>
      </c>
      <c r="AL747" s="387">
        <v>45574</v>
      </c>
    </row>
    <row r="748" spans="2:38" ht="15.75" outlineLevel="1">
      <c r="B748" s="345">
        <v>2111</v>
      </c>
      <c r="C748" s="346">
        <v>211523</v>
      </c>
      <c r="D748" s="345" t="s">
        <v>944</v>
      </c>
      <c r="E748" s="347" t="s">
        <v>4240</v>
      </c>
      <c r="F748" s="343" t="s">
        <v>1971</v>
      </c>
      <c r="I748" s="345">
        <v>1</v>
      </c>
      <c r="J748" s="347" t="s">
        <v>1969</v>
      </c>
      <c r="K748" s="345">
        <v>2015</v>
      </c>
      <c r="L748" s="347" t="s">
        <v>1959</v>
      </c>
      <c r="M748" s="347" t="s">
        <v>1959</v>
      </c>
      <c r="N748" s="347" t="s">
        <v>4458</v>
      </c>
      <c r="O748" s="347" t="s">
        <v>4441</v>
      </c>
      <c r="P748" s="347" t="s">
        <v>1044</v>
      </c>
      <c r="Q748" s="347"/>
      <c r="R748" s="347"/>
      <c r="S748" s="348">
        <v>43555</v>
      </c>
      <c r="T748" s="348">
        <v>43555</v>
      </c>
      <c r="U748" s="347" t="s">
        <v>1961</v>
      </c>
      <c r="V748" s="345">
        <v>800</v>
      </c>
      <c r="W748" s="345">
        <v>14030</v>
      </c>
      <c r="X748" s="349">
        <v>10000</v>
      </c>
      <c r="Y748" s="345">
        <v>14036</v>
      </c>
      <c r="Z748" s="349">
        <v>6875.03</v>
      </c>
      <c r="AA748" s="349">
        <f t="shared" si="96"/>
        <v>3124.9700000000003</v>
      </c>
      <c r="AB748" s="349">
        <v>937.53</v>
      </c>
      <c r="AC748" s="345">
        <v>51260</v>
      </c>
      <c r="AD748" s="349">
        <v>104.17</v>
      </c>
      <c r="AE748" s="345" t="s">
        <v>944</v>
      </c>
      <c r="AF748" s="347"/>
      <c r="AG748" s="347"/>
      <c r="AH748" s="347" t="s">
        <v>57</v>
      </c>
      <c r="AI748" s="347" t="s">
        <v>4442</v>
      </c>
      <c r="AJ748" s="347" t="s">
        <v>4443</v>
      </c>
      <c r="AK748" s="347" t="s">
        <v>4437</v>
      </c>
      <c r="AL748" s="387">
        <v>45574</v>
      </c>
    </row>
    <row r="749" spans="2:38" ht="15.75" outlineLevel="1">
      <c r="B749" s="345">
        <v>2111</v>
      </c>
      <c r="C749" s="346">
        <v>211496</v>
      </c>
      <c r="D749" s="345" t="s">
        <v>944</v>
      </c>
      <c r="E749" s="347" t="s">
        <v>4240</v>
      </c>
      <c r="F749" s="343" t="s">
        <v>1972</v>
      </c>
      <c r="I749" s="345">
        <v>1</v>
      </c>
      <c r="J749" s="347"/>
      <c r="K749" s="345">
        <v>0</v>
      </c>
      <c r="L749" s="347" t="s">
        <v>1973</v>
      </c>
      <c r="M749" s="347"/>
      <c r="N749" s="347" t="s">
        <v>4444</v>
      </c>
      <c r="O749" s="347" t="s">
        <v>4444</v>
      </c>
      <c r="P749" s="347"/>
      <c r="Q749" s="347"/>
      <c r="R749" s="347"/>
      <c r="S749" s="348">
        <v>43555</v>
      </c>
      <c r="T749" s="348">
        <v>43555</v>
      </c>
      <c r="U749" s="347" t="s">
        <v>1974</v>
      </c>
      <c r="V749" s="345">
        <v>0</v>
      </c>
      <c r="W749" s="345">
        <v>14000</v>
      </c>
      <c r="X749" s="349">
        <v>15428.17</v>
      </c>
      <c r="Y749" s="345">
        <v>14016</v>
      </c>
      <c r="Z749" s="349">
        <v>0</v>
      </c>
      <c r="AA749" s="349">
        <f t="shared" si="96"/>
        <v>15428.17</v>
      </c>
      <c r="AB749" s="349">
        <v>0</v>
      </c>
      <c r="AC749" s="345">
        <v>57260</v>
      </c>
      <c r="AD749" s="349">
        <v>0</v>
      </c>
      <c r="AE749" s="345" t="s">
        <v>944</v>
      </c>
      <c r="AF749" s="347"/>
      <c r="AG749" s="347"/>
      <c r="AH749" s="347" t="s">
        <v>57</v>
      </c>
      <c r="AI749" s="347" t="s">
        <v>4442</v>
      </c>
      <c r="AJ749" s="347" t="s">
        <v>1660</v>
      </c>
      <c r="AK749" s="347" t="s">
        <v>4437</v>
      </c>
      <c r="AL749" s="387">
        <v>45574</v>
      </c>
    </row>
    <row r="750" spans="2:38" ht="15.75" outlineLevel="1">
      <c r="B750" s="345">
        <v>2111</v>
      </c>
      <c r="C750" s="346">
        <v>211495</v>
      </c>
      <c r="D750" s="345" t="s">
        <v>944</v>
      </c>
      <c r="E750" s="347" t="s">
        <v>4240</v>
      </c>
      <c r="F750" s="343" t="s">
        <v>1972</v>
      </c>
      <c r="I750" s="345">
        <v>1</v>
      </c>
      <c r="J750" s="347"/>
      <c r="K750" s="345">
        <v>0</v>
      </c>
      <c r="L750" s="347" t="s">
        <v>1973</v>
      </c>
      <c r="M750" s="347"/>
      <c r="N750" s="347" t="s">
        <v>4444</v>
      </c>
      <c r="O750" s="347" t="s">
        <v>4444</v>
      </c>
      <c r="P750" s="347"/>
      <c r="Q750" s="347"/>
      <c r="R750" s="347"/>
      <c r="S750" s="348">
        <v>43555</v>
      </c>
      <c r="T750" s="348">
        <v>43555</v>
      </c>
      <c r="U750" s="347" t="s">
        <v>1976</v>
      </c>
      <c r="V750" s="345">
        <v>0</v>
      </c>
      <c r="W750" s="345">
        <v>14000</v>
      </c>
      <c r="X750" s="349">
        <v>1695.6</v>
      </c>
      <c r="Y750" s="345">
        <v>14016</v>
      </c>
      <c r="Z750" s="349">
        <v>0</v>
      </c>
      <c r="AA750" s="349">
        <f t="shared" si="96"/>
        <v>1695.6</v>
      </c>
      <c r="AB750" s="349">
        <v>0</v>
      </c>
      <c r="AC750" s="345">
        <v>57260</v>
      </c>
      <c r="AD750" s="349">
        <v>0</v>
      </c>
      <c r="AE750" s="345" t="s">
        <v>944</v>
      </c>
      <c r="AF750" s="347"/>
      <c r="AG750" s="347"/>
      <c r="AH750" s="347" t="s">
        <v>57</v>
      </c>
      <c r="AI750" s="347" t="s">
        <v>4442</v>
      </c>
      <c r="AJ750" s="347" t="s">
        <v>1660</v>
      </c>
      <c r="AK750" s="347" t="s">
        <v>4437</v>
      </c>
      <c r="AL750" s="387">
        <v>45574</v>
      </c>
    </row>
    <row r="751" spans="2:38" ht="15.75" outlineLevel="1">
      <c r="B751" s="345">
        <v>2111</v>
      </c>
      <c r="C751" s="346">
        <v>211105</v>
      </c>
      <c r="D751" s="345" t="s">
        <v>944</v>
      </c>
      <c r="E751" s="347" t="s">
        <v>4240</v>
      </c>
      <c r="F751" s="343" t="s">
        <v>1977</v>
      </c>
      <c r="I751" s="345">
        <v>1</v>
      </c>
      <c r="J751" s="347"/>
      <c r="K751" s="345">
        <v>0</v>
      </c>
      <c r="L751" s="347"/>
      <c r="M751" s="347"/>
      <c r="N751" s="347" t="s">
        <v>4452</v>
      </c>
      <c r="O751" s="347" t="s">
        <v>4441</v>
      </c>
      <c r="P751" s="347"/>
      <c r="Q751" s="347"/>
      <c r="R751" s="347"/>
      <c r="S751" s="348">
        <v>43466</v>
      </c>
      <c r="T751" s="348">
        <v>43466</v>
      </c>
      <c r="U751" s="347" t="s">
        <v>1978</v>
      </c>
      <c r="V751" s="345">
        <v>2000</v>
      </c>
      <c r="W751" s="345">
        <v>14080</v>
      </c>
      <c r="X751" s="349">
        <v>9590.25</v>
      </c>
      <c r="Y751" s="345">
        <v>14086</v>
      </c>
      <c r="Z751" s="349">
        <v>2757.19</v>
      </c>
      <c r="AA751" s="349">
        <f t="shared" si="96"/>
        <v>6833.0599999999995</v>
      </c>
      <c r="AB751" s="349">
        <v>359.64</v>
      </c>
      <c r="AC751" s="345">
        <v>57260</v>
      </c>
      <c r="AD751" s="349">
        <v>39.96</v>
      </c>
      <c r="AE751" s="345" t="s">
        <v>944</v>
      </c>
      <c r="AF751" s="347"/>
      <c r="AG751" s="347"/>
      <c r="AH751" s="347" t="s">
        <v>57</v>
      </c>
      <c r="AI751" s="347" t="s">
        <v>4442</v>
      </c>
      <c r="AJ751" s="347" t="s">
        <v>4443</v>
      </c>
      <c r="AK751" s="347" t="s">
        <v>4437</v>
      </c>
      <c r="AL751" s="387">
        <v>45574</v>
      </c>
    </row>
    <row r="752" spans="2:38" ht="15.75" outlineLevel="1">
      <c r="B752" s="345">
        <v>2111</v>
      </c>
      <c r="C752" s="346">
        <v>210046</v>
      </c>
      <c r="D752" s="345">
        <v>210037</v>
      </c>
      <c r="E752" s="347" t="s">
        <v>4240</v>
      </c>
      <c r="F752" s="343" t="s">
        <v>1983</v>
      </c>
      <c r="I752" s="345">
        <v>1</v>
      </c>
      <c r="J752" s="347" t="s">
        <v>1984</v>
      </c>
      <c r="K752" s="345">
        <v>2019</v>
      </c>
      <c r="L752" s="347" t="s">
        <v>1985</v>
      </c>
      <c r="M752" s="347"/>
      <c r="N752" s="347" t="s">
        <v>4458</v>
      </c>
      <c r="O752" s="347" t="s">
        <v>4441</v>
      </c>
      <c r="P752" s="347" t="s">
        <v>1467</v>
      </c>
      <c r="Q752" s="347"/>
      <c r="R752" s="347"/>
      <c r="S752" s="348">
        <v>43466</v>
      </c>
      <c r="T752" s="348">
        <v>43466</v>
      </c>
      <c r="U752" s="347" t="s">
        <v>1986</v>
      </c>
      <c r="V752" s="345">
        <v>300</v>
      </c>
      <c r="W752" s="345">
        <v>14030</v>
      </c>
      <c r="X752" s="349">
        <v>5336.04</v>
      </c>
      <c r="Y752" s="345">
        <v>14036</v>
      </c>
      <c r="Z752" s="349">
        <v>5336.04</v>
      </c>
      <c r="AA752" s="349">
        <f t="shared" si="96"/>
        <v>0</v>
      </c>
      <c r="AB752" s="349">
        <v>0</v>
      </c>
      <c r="AC752" s="345">
        <v>51260</v>
      </c>
      <c r="AD752" s="349">
        <v>0</v>
      </c>
      <c r="AE752" s="345" t="s">
        <v>944</v>
      </c>
      <c r="AF752" s="347"/>
      <c r="AG752" s="347"/>
      <c r="AH752" s="347" t="s">
        <v>57</v>
      </c>
      <c r="AI752" s="347" t="s">
        <v>4442</v>
      </c>
      <c r="AJ752" s="347" t="s">
        <v>4443</v>
      </c>
      <c r="AK752" s="347" t="s">
        <v>4437</v>
      </c>
      <c r="AL752" s="387">
        <v>45574</v>
      </c>
    </row>
    <row r="753" spans="2:38" ht="15.75" outlineLevel="1">
      <c r="B753" s="345">
        <v>2111</v>
      </c>
      <c r="C753" s="346">
        <v>210045</v>
      </c>
      <c r="D753" s="345">
        <v>210037</v>
      </c>
      <c r="E753" s="347" t="s">
        <v>4240</v>
      </c>
      <c r="F753" s="343" t="s">
        <v>1988</v>
      </c>
      <c r="I753" s="345">
        <v>1</v>
      </c>
      <c r="J753" s="347" t="s">
        <v>1984</v>
      </c>
      <c r="K753" s="345">
        <v>2019</v>
      </c>
      <c r="L753" s="347" t="s">
        <v>1985</v>
      </c>
      <c r="M753" s="347"/>
      <c r="N753" s="347" t="s">
        <v>4458</v>
      </c>
      <c r="O753" s="347" t="s">
        <v>4441</v>
      </c>
      <c r="P753" s="347" t="s">
        <v>1467</v>
      </c>
      <c r="Q753" s="347"/>
      <c r="R753" s="347"/>
      <c r="S753" s="348">
        <v>43466</v>
      </c>
      <c r="T753" s="348">
        <v>43466</v>
      </c>
      <c r="U753" s="347" t="s">
        <v>1986</v>
      </c>
      <c r="V753" s="345">
        <v>300</v>
      </c>
      <c r="W753" s="345">
        <v>14030</v>
      </c>
      <c r="X753" s="349">
        <v>5336.04</v>
      </c>
      <c r="Y753" s="345">
        <v>14036</v>
      </c>
      <c r="Z753" s="349">
        <v>5336.04</v>
      </c>
      <c r="AA753" s="349">
        <f t="shared" si="96"/>
        <v>0</v>
      </c>
      <c r="AB753" s="349">
        <v>0</v>
      </c>
      <c r="AC753" s="345">
        <v>51260</v>
      </c>
      <c r="AD753" s="349">
        <v>0</v>
      </c>
      <c r="AE753" s="345" t="s">
        <v>944</v>
      </c>
      <c r="AF753" s="347"/>
      <c r="AG753" s="347"/>
      <c r="AH753" s="347" t="s">
        <v>57</v>
      </c>
      <c r="AI753" s="347" t="s">
        <v>4442</v>
      </c>
      <c r="AJ753" s="347" t="s">
        <v>4443</v>
      </c>
      <c r="AK753" s="347" t="s">
        <v>4437</v>
      </c>
      <c r="AL753" s="387">
        <v>45574</v>
      </c>
    </row>
    <row r="754" spans="2:38" ht="15.75" outlineLevel="1">
      <c r="B754" s="345">
        <v>2111</v>
      </c>
      <c r="C754" s="346">
        <v>210044</v>
      </c>
      <c r="D754" s="345">
        <v>210037</v>
      </c>
      <c r="E754" s="347" t="s">
        <v>4240</v>
      </c>
      <c r="F754" s="343" t="s">
        <v>1989</v>
      </c>
      <c r="I754" s="345">
        <v>1</v>
      </c>
      <c r="J754" s="347" t="s">
        <v>1984</v>
      </c>
      <c r="K754" s="345">
        <v>2019</v>
      </c>
      <c r="L754" s="347" t="s">
        <v>1985</v>
      </c>
      <c r="M754" s="347"/>
      <c r="N754" s="347" t="s">
        <v>4458</v>
      </c>
      <c r="O754" s="347" t="s">
        <v>4441</v>
      </c>
      <c r="P754" s="347" t="s">
        <v>1467</v>
      </c>
      <c r="Q754" s="347"/>
      <c r="R754" s="347"/>
      <c r="S754" s="348">
        <v>43466</v>
      </c>
      <c r="T754" s="348">
        <v>43466</v>
      </c>
      <c r="U754" s="347" t="s">
        <v>1986</v>
      </c>
      <c r="V754" s="345">
        <v>300</v>
      </c>
      <c r="W754" s="345">
        <v>14030</v>
      </c>
      <c r="X754" s="349">
        <v>5336.04</v>
      </c>
      <c r="Y754" s="345">
        <v>14036</v>
      </c>
      <c r="Z754" s="349">
        <v>5336.04</v>
      </c>
      <c r="AA754" s="349">
        <f t="shared" si="96"/>
        <v>0</v>
      </c>
      <c r="AB754" s="349">
        <v>0</v>
      </c>
      <c r="AC754" s="345">
        <v>51260</v>
      </c>
      <c r="AD754" s="349">
        <v>0</v>
      </c>
      <c r="AE754" s="345" t="s">
        <v>944</v>
      </c>
      <c r="AF754" s="347"/>
      <c r="AG754" s="347"/>
      <c r="AH754" s="347" t="s">
        <v>57</v>
      </c>
      <c r="AI754" s="347" t="s">
        <v>4442</v>
      </c>
      <c r="AJ754" s="347" t="s">
        <v>4443</v>
      </c>
      <c r="AK754" s="347" t="s">
        <v>4437</v>
      </c>
      <c r="AL754" s="387">
        <v>45574</v>
      </c>
    </row>
    <row r="755" spans="2:38" ht="15.75" outlineLevel="1">
      <c r="B755" s="345">
        <v>2111</v>
      </c>
      <c r="C755" s="346">
        <v>210043</v>
      </c>
      <c r="D755" s="345">
        <v>210037</v>
      </c>
      <c r="E755" s="347" t="s">
        <v>4240</v>
      </c>
      <c r="F755" s="343" t="s">
        <v>1990</v>
      </c>
      <c r="I755" s="345">
        <v>1</v>
      </c>
      <c r="J755" s="347" t="s">
        <v>1984</v>
      </c>
      <c r="K755" s="345">
        <v>2019</v>
      </c>
      <c r="L755" s="347" t="s">
        <v>1985</v>
      </c>
      <c r="M755" s="347"/>
      <c r="N755" s="347" t="s">
        <v>4458</v>
      </c>
      <c r="O755" s="347" t="s">
        <v>4441</v>
      </c>
      <c r="P755" s="347" t="s">
        <v>1467</v>
      </c>
      <c r="Q755" s="347"/>
      <c r="R755" s="347"/>
      <c r="S755" s="348">
        <v>43466</v>
      </c>
      <c r="T755" s="348">
        <v>43466</v>
      </c>
      <c r="U755" s="347" t="s">
        <v>1986</v>
      </c>
      <c r="V755" s="345">
        <v>300</v>
      </c>
      <c r="W755" s="345">
        <v>14030</v>
      </c>
      <c r="X755" s="349">
        <v>5336.04</v>
      </c>
      <c r="Y755" s="345">
        <v>14036</v>
      </c>
      <c r="Z755" s="349">
        <v>5336.04</v>
      </c>
      <c r="AA755" s="349">
        <f t="shared" si="96"/>
        <v>0</v>
      </c>
      <c r="AB755" s="349">
        <v>0</v>
      </c>
      <c r="AC755" s="345">
        <v>51260</v>
      </c>
      <c r="AD755" s="349">
        <v>0</v>
      </c>
      <c r="AE755" s="345" t="s">
        <v>944</v>
      </c>
      <c r="AF755" s="347"/>
      <c r="AG755" s="347"/>
      <c r="AH755" s="347" t="s">
        <v>57</v>
      </c>
      <c r="AI755" s="347" t="s">
        <v>4442</v>
      </c>
      <c r="AJ755" s="347" t="s">
        <v>4443</v>
      </c>
      <c r="AK755" s="347" t="s">
        <v>4437</v>
      </c>
      <c r="AL755" s="387">
        <v>45574</v>
      </c>
    </row>
    <row r="756" spans="2:38" ht="15.75" outlineLevel="1">
      <c r="B756" s="345">
        <v>2111</v>
      </c>
      <c r="C756" s="346">
        <v>210042</v>
      </c>
      <c r="D756" s="345">
        <v>210037</v>
      </c>
      <c r="E756" s="347" t="s">
        <v>4240</v>
      </c>
      <c r="F756" s="343" t="s">
        <v>1991</v>
      </c>
      <c r="I756" s="345">
        <v>1</v>
      </c>
      <c r="J756" s="347" t="s">
        <v>1984</v>
      </c>
      <c r="K756" s="345">
        <v>2019</v>
      </c>
      <c r="L756" s="347" t="s">
        <v>1985</v>
      </c>
      <c r="M756" s="347"/>
      <c r="N756" s="347" t="s">
        <v>4458</v>
      </c>
      <c r="O756" s="347" t="s">
        <v>4441</v>
      </c>
      <c r="P756" s="347" t="s">
        <v>1467</v>
      </c>
      <c r="Q756" s="347"/>
      <c r="R756" s="347"/>
      <c r="S756" s="348">
        <v>43466</v>
      </c>
      <c r="T756" s="348">
        <v>43466</v>
      </c>
      <c r="U756" s="347" t="s">
        <v>1986</v>
      </c>
      <c r="V756" s="345">
        <v>300</v>
      </c>
      <c r="W756" s="345">
        <v>14030</v>
      </c>
      <c r="X756" s="349">
        <v>8893.4</v>
      </c>
      <c r="Y756" s="345">
        <v>14036</v>
      </c>
      <c r="Z756" s="349">
        <v>8893.4</v>
      </c>
      <c r="AA756" s="349">
        <f t="shared" si="96"/>
        <v>0</v>
      </c>
      <c r="AB756" s="349">
        <v>0</v>
      </c>
      <c r="AC756" s="345">
        <v>51260</v>
      </c>
      <c r="AD756" s="349">
        <v>0</v>
      </c>
      <c r="AE756" s="345" t="s">
        <v>944</v>
      </c>
      <c r="AF756" s="347"/>
      <c r="AG756" s="347"/>
      <c r="AH756" s="347" t="s">
        <v>57</v>
      </c>
      <c r="AI756" s="347" t="s">
        <v>4442</v>
      </c>
      <c r="AJ756" s="347" t="s">
        <v>4443</v>
      </c>
      <c r="AK756" s="347" t="s">
        <v>4437</v>
      </c>
      <c r="AL756" s="387">
        <v>45574</v>
      </c>
    </row>
    <row r="757" spans="2:38" ht="15.75" outlineLevel="1">
      <c r="B757" s="345">
        <v>2111</v>
      </c>
      <c r="C757" s="346">
        <v>210041</v>
      </c>
      <c r="D757" s="345">
        <v>210037</v>
      </c>
      <c r="E757" s="347" t="s">
        <v>4240</v>
      </c>
      <c r="F757" s="343" t="s">
        <v>1992</v>
      </c>
      <c r="I757" s="345">
        <v>1</v>
      </c>
      <c r="J757" s="347" t="s">
        <v>1984</v>
      </c>
      <c r="K757" s="345">
        <v>2019</v>
      </c>
      <c r="L757" s="347" t="s">
        <v>1985</v>
      </c>
      <c r="M757" s="347"/>
      <c r="N757" s="347" t="s">
        <v>4458</v>
      </c>
      <c r="O757" s="347" t="s">
        <v>4441</v>
      </c>
      <c r="P757" s="347" t="s">
        <v>1467</v>
      </c>
      <c r="Q757" s="347"/>
      <c r="R757" s="347"/>
      <c r="S757" s="348">
        <v>43466</v>
      </c>
      <c r="T757" s="348">
        <v>43466</v>
      </c>
      <c r="U757" s="347" t="s">
        <v>1986</v>
      </c>
      <c r="V757" s="345">
        <v>300</v>
      </c>
      <c r="W757" s="345">
        <v>14030</v>
      </c>
      <c r="X757" s="349">
        <v>8893.4</v>
      </c>
      <c r="Y757" s="345">
        <v>14036</v>
      </c>
      <c r="Z757" s="349">
        <v>8893.4</v>
      </c>
      <c r="AA757" s="349">
        <f t="shared" si="96"/>
        <v>0</v>
      </c>
      <c r="AB757" s="349">
        <v>0</v>
      </c>
      <c r="AC757" s="345">
        <v>51260</v>
      </c>
      <c r="AD757" s="349">
        <v>0</v>
      </c>
      <c r="AE757" s="345" t="s">
        <v>944</v>
      </c>
      <c r="AF757" s="347"/>
      <c r="AG757" s="347"/>
      <c r="AH757" s="347" t="s">
        <v>57</v>
      </c>
      <c r="AI757" s="347" t="s">
        <v>4442</v>
      </c>
      <c r="AJ757" s="347" t="s">
        <v>4443</v>
      </c>
      <c r="AK757" s="347" t="s">
        <v>4437</v>
      </c>
      <c r="AL757" s="387">
        <v>45574</v>
      </c>
    </row>
    <row r="758" spans="2:38" ht="15.75" outlineLevel="1">
      <c r="B758" s="345">
        <v>2111</v>
      </c>
      <c r="C758" s="346">
        <v>210040</v>
      </c>
      <c r="D758" s="345">
        <v>210037</v>
      </c>
      <c r="E758" s="347" t="s">
        <v>4240</v>
      </c>
      <c r="F758" s="343" t="s">
        <v>1993</v>
      </c>
      <c r="I758" s="345">
        <v>1</v>
      </c>
      <c r="J758" s="347" t="s">
        <v>1984</v>
      </c>
      <c r="K758" s="345">
        <v>2019</v>
      </c>
      <c r="L758" s="347" t="s">
        <v>1985</v>
      </c>
      <c r="M758" s="347"/>
      <c r="N758" s="347" t="s">
        <v>4458</v>
      </c>
      <c r="O758" s="347" t="s">
        <v>4441</v>
      </c>
      <c r="P758" s="347" t="s">
        <v>1467</v>
      </c>
      <c r="Q758" s="347"/>
      <c r="R758" s="347"/>
      <c r="S758" s="348">
        <v>43466</v>
      </c>
      <c r="T758" s="348">
        <v>43466</v>
      </c>
      <c r="U758" s="347" t="s">
        <v>1986</v>
      </c>
      <c r="V758" s="345">
        <v>300</v>
      </c>
      <c r="W758" s="345">
        <v>14030</v>
      </c>
      <c r="X758" s="349">
        <v>7114.72</v>
      </c>
      <c r="Y758" s="345">
        <v>14036</v>
      </c>
      <c r="Z758" s="349">
        <v>7114.72</v>
      </c>
      <c r="AA758" s="349">
        <f t="shared" si="96"/>
        <v>0</v>
      </c>
      <c r="AB758" s="349">
        <v>0</v>
      </c>
      <c r="AC758" s="345">
        <v>51260</v>
      </c>
      <c r="AD758" s="349">
        <v>0</v>
      </c>
      <c r="AE758" s="345" t="s">
        <v>944</v>
      </c>
      <c r="AF758" s="347"/>
      <c r="AG758" s="347"/>
      <c r="AH758" s="347" t="s">
        <v>57</v>
      </c>
      <c r="AI758" s="347" t="s">
        <v>4442</v>
      </c>
      <c r="AJ758" s="347" t="s">
        <v>4443</v>
      </c>
      <c r="AK758" s="347" t="s">
        <v>4437</v>
      </c>
      <c r="AL758" s="387">
        <v>45574</v>
      </c>
    </row>
    <row r="759" spans="2:38" ht="15.75" outlineLevel="1">
      <c r="B759" s="345">
        <v>2111</v>
      </c>
      <c r="C759" s="346">
        <v>210039</v>
      </c>
      <c r="D759" s="345">
        <v>210037</v>
      </c>
      <c r="E759" s="347" t="s">
        <v>4240</v>
      </c>
      <c r="F759" s="343" t="s">
        <v>1994</v>
      </c>
      <c r="I759" s="345">
        <v>1</v>
      </c>
      <c r="J759" s="347" t="s">
        <v>1984</v>
      </c>
      <c r="K759" s="345">
        <v>2019</v>
      </c>
      <c r="L759" s="347" t="s">
        <v>1985</v>
      </c>
      <c r="M759" s="347"/>
      <c r="N759" s="347" t="s">
        <v>4458</v>
      </c>
      <c r="O759" s="347" t="s">
        <v>4441</v>
      </c>
      <c r="P759" s="347" t="s">
        <v>1467</v>
      </c>
      <c r="Q759" s="347"/>
      <c r="R759" s="347"/>
      <c r="S759" s="348">
        <v>43466</v>
      </c>
      <c r="T759" s="348">
        <v>43466</v>
      </c>
      <c r="U759" s="347" t="s">
        <v>1986</v>
      </c>
      <c r="V759" s="345">
        <v>300</v>
      </c>
      <c r="W759" s="345">
        <v>14030</v>
      </c>
      <c r="X759" s="349">
        <v>14229.44</v>
      </c>
      <c r="Y759" s="345">
        <v>14036</v>
      </c>
      <c r="Z759" s="349">
        <v>14229.44</v>
      </c>
      <c r="AA759" s="349">
        <f t="shared" si="96"/>
        <v>0</v>
      </c>
      <c r="AB759" s="349">
        <v>0</v>
      </c>
      <c r="AC759" s="345">
        <v>51260</v>
      </c>
      <c r="AD759" s="349">
        <v>0</v>
      </c>
      <c r="AE759" s="345" t="s">
        <v>944</v>
      </c>
      <c r="AF759" s="347"/>
      <c r="AG759" s="347"/>
      <c r="AH759" s="347" t="s">
        <v>57</v>
      </c>
      <c r="AI759" s="347" t="s">
        <v>4442</v>
      </c>
      <c r="AJ759" s="347" t="s">
        <v>4443</v>
      </c>
      <c r="AK759" s="347" t="s">
        <v>4437</v>
      </c>
      <c r="AL759" s="387">
        <v>45574</v>
      </c>
    </row>
    <row r="760" spans="2:38" ht="15.75" outlineLevel="1">
      <c r="B760" s="345">
        <v>2111</v>
      </c>
      <c r="C760" s="346">
        <v>210038</v>
      </c>
      <c r="D760" s="345">
        <v>210037</v>
      </c>
      <c r="E760" s="347" t="s">
        <v>4240</v>
      </c>
      <c r="F760" s="343" t="s">
        <v>1995</v>
      </c>
      <c r="I760" s="345">
        <v>1</v>
      </c>
      <c r="J760" s="347" t="s">
        <v>1984</v>
      </c>
      <c r="K760" s="345">
        <v>2019</v>
      </c>
      <c r="L760" s="347" t="s">
        <v>1985</v>
      </c>
      <c r="M760" s="347"/>
      <c r="N760" s="347" t="s">
        <v>4458</v>
      </c>
      <c r="O760" s="347" t="s">
        <v>4441</v>
      </c>
      <c r="P760" s="347" t="s">
        <v>1467</v>
      </c>
      <c r="Q760" s="347"/>
      <c r="R760" s="347"/>
      <c r="S760" s="348">
        <v>43466</v>
      </c>
      <c r="T760" s="348">
        <v>43466</v>
      </c>
      <c r="U760" s="347" t="s">
        <v>1986</v>
      </c>
      <c r="V760" s="345">
        <v>300</v>
      </c>
      <c r="W760" s="345">
        <v>14030</v>
      </c>
      <c r="X760" s="349">
        <v>21344.17</v>
      </c>
      <c r="Y760" s="345">
        <v>14036</v>
      </c>
      <c r="Z760" s="349">
        <v>21344.17</v>
      </c>
      <c r="AA760" s="349">
        <f t="shared" si="96"/>
        <v>0</v>
      </c>
      <c r="AB760" s="349">
        <v>0</v>
      </c>
      <c r="AC760" s="345">
        <v>51260</v>
      </c>
      <c r="AD760" s="349">
        <v>0</v>
      </c>
      <c r="AE760" s="345" t="s">
        <v>944</v>
      </c>
      <c r="AF760" s="347"/>
      <c r="AG760" s="347"/>
      <c r="AH760" s="347" t="s">
        <v>57</v>
      </c>
      <c r="AI760" s="347" t="s">
        <v>4442</v>
      </c>
      <c r="AJ760" s="347" t="s">
        <v>4443</v>
      </c>
      <c r="AK760" s="347" t="s">
        <v>4437</v>
      </c>
      <c r="AL760" s="387">
        <v>45574</v>
      </c>
    </row>
    <row r="761" spans="2:38" ht="15.75" outlineLevel="1">
      <c r="B761" s="345">
        <v>2111</v>
      </c>
      <c r="C761" s="346">
        <v>210037</v>
      </c>
      <c r="D761" s="345" t="s">
        <v>944</v>
      </c>
      <c r="E761" s="347" t="s">
        <v>4240</v>
      </c>
      <c r="F761" s="343" t="s">
        <v>1996</v>
      </c>
      <c r="I761" s="345">
        <v>1</v>
      </c>
      <c r="J761" s="347" t="s">
        <v>1984</v>
      </c>
      <c r="K761" s="345">
        <v>2019</v>
      </c>
      <c r="L761" s="347" t="s">
        <v>1985</v>
      </c>
      <c r="M761" s="347"/>
      <c r="N761" s="347" t="s">
        <v>4458</v>
      </c>
      <c r="O761" s="347" t="s">
        <v>4441</v>
      </c>
      <c r="P761" s="347" t="s">
        <v>1041</v>
      </c>
      <c r="Q761" s="347"/>
      <c r="R761" s="347"/>
      <c r="S761" s="348">
        <v>43466</v>
      </c>
      <c r="T761" s="348">
        <v>43466</v>
      </c>
      <c r="U761" s="347" t="s">
        <v>1986</v>
      </c>
      <c r="V761" s="345">
        <v>1200</v>
      </c>
      <c r="W761" s="345">
        <v>14030</v>
      </c>
      <c r="X761" s="349">
        <v>96048.76</v>
      </c>
      <c r="Y761" s="345">
        <v>14036</v>
      </c>
      <c r="Z761" s="349">
        <v>46023.39</v>
      </c>
      <c r="AA761" s="349">
        <f t="shared" si="96"/>
        <v>50025.369999999995</v>
      </c>
      <c r="AB761" s="349">
        <v>6003.09</v>
      </c>
      <c r="AC761" s="345">
        <v>51260</v>
      </c>
      <c r="AD761" s="349">
        <v>667.01</v>
      </c>
      <c r="AE761" s="345" t="s">
        <v>944</v>
      </c>
      <c r="AF761" s="347">
        <v>0</v>
      </c>
      <c r="AG761" s="347" t="s">
        <v>1997</v>
      </c>
      <c r="AH761" s="347" t="s">
        <v>57</v>
      </c>
      <c r="AI761" s="347" t="s">
        <v>4442</v>
      </c>
      <c r="AJ761" s="347" t="s">
        <v>4443</v>
      </c>
      <c r="AK761" s="347" t="s">
        <v>4437</v>
      </c>
      <c r="AL761" s="387">
        <v>45574</v>
      </c>
    </row>
    <row r="762" spans="2:38" ht="15.75" outlineLevel="1">
      <c r="B762" s="345">
        <v>2111</v>
      </c>
      <c r="C762" s="346">
        <v>209120</v>
      </c>
      <c r="D762" s="345">
        <v>25019</v>
      </c>
      <c r="E762" s="347" t="s">
        <v>4240</v>
      </c>
      <c r="F762" s="343" t="s">
        <v>1998</v>
      </c>
      <c r="I762" s="345">
        <v>1</v>
      </c>
      <c r="J762" s="347"/>
      <c r="K762" s="345">
        <v>0</v>
      </c>
      <c r="L762" s="347" t="s">
        <v>1759</v>
      </c>
      <c r="M762" s="347"/>
      <c r="N762" s="347" t="s">
        <v>4445</v>
      </c>
      <c r="O762" s="347" t="s">
        <v>4441</v>
      </c>
      <c r="P762" s="347" t="s">
        <v>1467</v>
      </c>
      <c r="Q762" s="347"/>
      <c r="R762" s="347"/>
      <c r="S762" s="348">
        <v>43466</v>
      </c>
      <c r="T762" s="348">
        <v>43466</v>
      </c>
      <c r="U762" s="347" t="s">
        <v>1999</v>
      </c>
      <c r="V762" s="345">
        <v>210</v>
      </c>
      <c r="W762" s="345">
        <v>14040</v>
      </c>
      <c r="X762" s="349">
        <v>12383.93</v>
      </c>
      <c r="Y762" s="345">
        <v>14046</v>
      </c>
      <c r="Z762" s="349">
        <v>12383.93</v>
      </c>
      <c r="AA762" s="349">
        <f t="shared" si="96"/>
        <v>0</v>
      </c>
      <c r="AB762" s="349">
        <v>0</v>
      </c>
      <c r="AC762" s="345">
        <v>51260</v>
      </c>
      <c r="AD762" s="349">
        <v>0</v>
      </c>
      <c r="AE762" s="345" t="s">
        <v>944</v>
      </c>
      <c r="AF762" s="347"/>
      <c r="AG762" s="347"/>
      <c r="AH762" s="347" t="s">
        <v>57</v>
      </c>
      <c r="AI762" s="347" t="s">
        <v>4442</v>
      </c>
      <c r="AJ762" s="347" t="s">
        <v>4443</v>
      </c>
      <c r="AK762" s="347" t="s">
        <v>4437</v>
      </c>
      <c r="AL762" s="387">
        <v>45574</v>
      </c>
    </row>
    <row r="763" spans="2:38" ht="15.75" outlineLevel="1">
      <c r="B763" s="345">
        <v>2111</v>
      </c>
      <c r="C763" s="346">
        <v>208020</v>
      </c>
      <c r="D763" s="345">
        <v>202939</v>
      </c>
      <c r="E763" s="347" t="s">
        <v>4240</v>
      </c>
      <c r="F763" s="343" t="s">
        <v>1253</v>
      </c>
      <c r="I763" s="345">
        <v>1</v>
      </c>
      <c r="J763" s="347"/>
      <c r="K763" s="345">
        <v>0</v>
      </c>
      <c r="L763" s="347" t="s">
        <v>2001</v>
      </c>
      <c r="M763" s="347"/>
      <c r="N763" s="347" t="s">
        <v>4445</v>
      </c>
      <c r="O763" s="347" t="s">
        <v>4441</v>
      </c>
      <c r="P763" s="347" t="s">
        <v>1467</v>
      </c>
      <c r="Q763" s="347"/>
      <c r="R763" s="347"/>
      <c r="S763" s="348">
        <v>43328</v>
      </c>
      <c r="T763" s="348">
        <v>43328</v>
      </c>
      <c r="U763" s="347" t="s">
        <v>2002</v>
      </c>
      <c r="V763" s="345">
        <v>500</v>
      </c>
      <c r="W763" s="345">
        <v>14040</v>
      </c>
      <c r="X763" s="349">
        <v>471.37</v>
      </c>
      <c r="Y763" s="345">
        <v>14046</v>
      </c>
      <c r="Z763" s="349">
        <v>471.37</v>
      </c>
      <c r="AA763" s="349">
        <f t="shared" si="96"/>
        <v>0</v>
      </c>
      <c r="AB763" s="349">
        <v>0</v>
      </c>
      <c r="AC763" s="345">
        <v>51260</v>
      </c>
      <c r="AD763" s="349">
        <v>0</v>
      </c>
      <c r="AE763" s="345" t="s">
        <v>944</v>
      </c>
      <c r="AF763" s="347"/>
      <c r="AG763" s="347"/>
      <c r="AH763" s="347" t="s">
        <v>57</v>
      </c>
      <c r="AI763" s="347" t="s">
        <v>4442</v>
      </c>
      <c r="AJ763" s="347" t="s">
        <v>4443</v>
      </c>
      <c r="AK763" s="347" t="s">
        <v>4437</v>
      </c>
      <c r="AL763" s="387">
        <v>45574</v>
      </c>
    </row>
    <row r="764" spans="2:38" ht="15.75" outlineLevel="1">
      <c r="B764" s="345">
        <v>2111</v>
      </c>
      <c r="C764" s="346">
        <v>208019</v>
      </c>
      <c r="D764" s="345">
        <v>102347</v>
      </c>
      <c r="E764" s="347" t="s">
        <v>4240</v>
      </c>
      <c r="F764" s="343" t="s">
        <v>1254</v>
      </c>
      <c r="I764" s="345">
        <v>1</v>
      </c>
      <c r="J764" s="347"/>
      <c r="K764" s="345">
        <v>0</v>
      </c>
      <c r="L764" s="347" t="s">
        <v>2003</v>
      </c>
      <c r="M764" s="347"/>
      <c r="N764" s="347" t="s">
        <v>4445</v>
      </c>
      <c r="O764" s="347" t="s">
        <v>4441</v>
      </c>
      <c r="P764" s="347" t="s">
        <v>1467</v>
      </c>
      <c r="Q764" s="347"/>
      <c r="R764" s="347"/>
      <c r="S764" s="348">
        <v>43430</v>
      </c>
      <c r="T764" s="348">
        <v>43430</v>
      </c>
      <c r="U764" s="347" t="s">
        <v>2004</v>
      </c>
      <c r="V764" s="345">
        <v>300</v>
      </c>
      <c r="W764" s="345">
        <v>14040</v>
      </c>
      <c r="X764" s="349">
        <v>26806.880000000001</v>
      </c>
      <c r="Y764" s="345">
        <v>14046</v>
      </c>
      <c r="Z764" s="349">
        <v>26806.880000000001</v>
      </c>
      <c r="AA764" s="349">
        <f t="shared" si="96"/>
        <v>0</v>
      </c>
      <c r="AB764" s="349">
        <v>0</v>
      </c>
      <c r="AC764" s="345">
        <v>51260</v>
      </c>
      <c r="AD764" s="349">
        <v>0</v>
      </c>
      <c r="AE764" s="345" t="s">
        <v>944</v>
      </c>
      <c r="AF764" s="347"/>
      <c r="AG764" s="347"/>
      <c r="AH764" s="347" t="s">
        <v>57</v>
      </c>
      <c r="AI764" s="347" t="s">
        <v>4442</v>
      </c>
      <c r="AJ764" s="347" t="s">
        <v>4443</v>
      </c>
      <c r="AK764" s="347" t="s">
        <v>4437</v>
      </c>
      <c r="AL764" s="387">
        <v>45574</v>
      </c>
    </row>
    <row r="765" spans="2:38" ht="15.75" outlineLevel="1">
      <c r="B765" s="345">
        <v>2111</v>
      </c>
      <c r="C765" s="346">
        <v>207730</v>
      </c>
      <c r="D765" s="345" t="s">
        <v>944</v>
      </c>
      <c r="E765" s="347" t="s">
        <v>4240</v>
      </c>
      <c r="F765" s="343" t="s">
        <v>900</v>
      </c>
      <c r="I765" s="345">
        <v>624</v>
      </c>
      <c r="J765" s="347"/>
      <c r="K765" s="345">
        <v>0</v>
      </c>
      <c r="L765" s="347" t="s">
        <v>1755</v>
      </c>
      <c r="M765" s="347"/>
      <c r="N765" s="347" t="s">
        <v>4446</v>
      </c>
      <c r="O765" s="347" t="s">
        <v>4441</v>
      </c>
      <c r="P765" s="347"/>
      <c r="Q765" s="347"/>
      <c r="R765" s="347"/>
      <c r="S765" s="348">
        <v>43411</v>
      </c>
      <c r="T765" s="348">
        <v>43411</v>
      </c>
      <c r="U765" s="347" t="s">
        <v>2005</v>
      </c>
      <c r="V765" s="345">
        <v>700</v>
      </c>
      <c r="W765" s="345">
        <v>14050</v>
      </c>
      <c r="X765" s="349">
        <v>34653.24</v>
      </c>
      <c r="Y765" s="345">
        <v>14056</v>
      </c>
      <c r="Z765" s="349">
        <v>29290.240000000002</v>
      </c>
      <c r="AA765" s="349">
        <f t="shared" si="96"/>
        <v>5362.9999999999964</v>
      </c>
      <c r="AB765" s="349">
        <v>3712.86</v>
      </c>
      <c r="AC765" s="345">
        <v>54260</v>
      </c>
      <c r="AD765" s="349">
        <v>412.54</v>
      </c>
      <c r="AE765" s="345" t="s">
        <v>944</v>
      </c>
      <c r="AF765" s="347"/>
      <c r="AG765" s="347"/>
      <c r="AH765" s="347" t="s">
        <v>57</v>
      </c>
      <c r="AI765" s="347" t="s">
        <v>4442</v>
      </c>
      <c r="AJ765" s="347" t="s">
        <v>4443</v>
      </c>
      <c r="AK765" s="347" t="s">
        <v>4437</v>
      </c>
      <c r="AL765" s="387">
        <v>45574</v>
      </c>
    </row>
    <row r="766" spans="2:38" ht="15.75" outlineLevel="1">
      <c r="B766" s="345">
        <v>2111</v>
      </c>
      <c r="C766" s="346">
        <v>207729</v>
      </c>
      <c r="D766" s="345" t="s">
        <v>944</v>
      </c>
      <c r="E766" s="347" t="s">
        <v>4240</v>
      </c>
      <c r="F766" s="343" t="s">
        <v>903</v>
      </c>
      <c r="I766" s="345">
        <v>312</v>
      </c>
      <c r="J766" s="347"/>
      <c r="K766" s="345">
        <v>0</v>
      </c>
      <c r="L766" s="347" t="s">
        <v>1755</v>
      </c>
      <c r="M766" s="347"/>
      <c r="N766" s="347" t="s">
        <v>4446</v>
      </c>
      <c r="O766" s="347" t="s">
        <v>4441</v>
      </c>
      <c r="P766" s="347"/>
      <c r="Q766" s="347"/>
      <c r="R766" s="347"/>
      <c r="S766" s="348">
        <v>43411</v>
      </c>
      <c r="T766" s="348">
        <v>43411</v>
      </c>
      <c r="U766" s="347" t="s">
        <v>2005</v>
      </c>
      <c r="V766" s="345">
        <v>700</v>
      </c>
      <c r="W766" s="345">
        <v>14050</v>
      </c>
      <c r="X766" s="349">
        <v>16563.830000000002</v>
      </c>
      <c r="Y766" s="345">
        <v>14056</v>
      </c>
      <c r="Z766" s="349">
        <v>14000.39</v>
      </c>
      <c r="AA766" s="349">
        <f t="shared" si="96"/>
        <v>2563.4400000000023</v>
      </c>
      <c r="AB766" s="349">
        <v>1774.71</v>
      </c>
      <c r="AC766" s="345">
        <v>54260</v>
      </c>
      <c r="AD766" s="349">
        <v>197.19</v>
      </c>
      <c r="AE766" s="345" t="s">
        <v>944</v>
      </c>
      <c r="AF766" s="347"/>
      <c r="AG766" s="347"/>
      <c r="AH766" s="347" t="s">
        <v>57</v>
      </c>
      <c r="AI766" s="347" t="s">
        <v>4442</v>
      </c>
      <c r="AJ766" s="347" t="s">
        <v>4443</v>
      </c>
      <c r="AK766" s="347" t="s">
        <v>4437</v>
      </c>
      <c r="AL766" s="387">
        <v>45574</v>
      </c>
    </row>
    <row r="767" spans="2:38" ht="15.75" outlineLevel="1">
      <c r="B767" s="345">
        <v>2111</v>
      </c>
      <c r="C767" s="346">
        <v>207728</v>
      </c>
      <c r="D767" s="345" t="s">
        <v>944</v>
      </c>
      <c r="E767" s="347" t="s">
        <v>4240</v>
      </c>
      <c r="F767" s="343" t="s">
        <v>902</v>
      </c>
      <c r="I767" s="345">
        <v>432</v>
      </c>
      <c r="J767" s="347"/>
      <c r="K767" s="345">
        <v>0</v>
      </c>
      <c r="L767" s="347" t="s">
        <v>1755</v>
      </c>
      <c r="M767" s="347"/>
      <c r="N767" s="347" t="s">
        <v>4446</v>
      </c>
      <c r="O767" s="347" t="s">
        <v>4441</v>
      </c>
      <c r="P767" s="347"/>
      <c r="Q767" s="347"/>
      <c r="R767" s="347"/>
      <c r="S767" s="348">
        <v>43411</v>
      </c>
      <c r="T767" s="348">
        <v>43411</v>
      </c>
      <c r="U767" s="347" t="s">
        <v>2005</v>
      </c>
      <c r="V767" s="345">
        <v>700</v>
      </c>
      <c r="W767" s="345">
        <v>14050</v>
      </c>
      <c r="X767" s="349">
        <v>20205.03</v>
      </c>
      <c r="Y767" s="345">
        <v>14056</v>
      </c>
      <c r="Z767" s="349">
        <v>17078.080000000002</v>
      </c>
      <c r="AA767" s="349">
        <f t="shared" si="96"/>
        <v>3126.9499999999971</v>
      </c>
      <c r="AB767" s="349">
        <v>2164.86</v>
      </c>
      <c r="AC767" s="345">
        <v>54260</v>
      </c>
      <c r="AD767" s="349">
        <v>240.54</v>
      </c>
      <c r="AE767" s="345" t="s">
        <v>944</v>
      </c>
      <c r="AF767" s="347"/>
      <c r="AG767" s="347"/>
      <c r="AH767" s="347" t="s">
        <v>57</v>
      </c>
      <c r="AI767" s="347" t="s">
        <v>4442</v>
      </c>
      <c r="AJ767" s="347" t="s">
        <v>4443</v>
      </c>
      <c r="AK767" s="347" t="s">
        <v>4437</v>
      </c>
      <c r="AL767" s="387">
        <v>45574</v>
      </c>
    </row>
    <row r="768" spans="2:38" ht="15.75" outlineLevel="1">
      <c r="B768" s="345">
        <v>2111</v>
      </c>
      <c r="C768" s="346">
        <v>207727</v>
      </c>
      <c r="D768" s="345" t="s">
        <v>944</v>
      </c>
      <c r="E768" s="347" t="s">
        <v>4240</v>
      </c>
      <c r="F768" s="343" t="s">
        <v>899</v>
      </c>
      <c r="I768" s="345">
        <v>624</v>
      </c>
      <c r="J768" s="347"/>
      <c r="K768" s="345">
        <v>0</v>
      </c>
      <c r="L768" s="347" t="s">
        <v>1755</v>
      </c>
      <c r="M768" s="347"/>
      <c r="N768" s="347" t="s">
        <v>4446</v>
      </c>
      <c r="O768" s="347" t="s">
        <v>4441</v>
      </c>
      <c r="P768" s="347"/>
      <c r="Q768" s="347"/>
      <c r="R768" s="347"/>
      <c r="S768" s="348">
        <v>43411</v>
      </c>
      <c r="T768" s="348">
        <v>43411</v>
      </c>
      <c r="U768" s="347" t="s">
        <v>2005</v>
      </c>
      <c r="V768" s="345">
        <v>700</v>
      </c>
      <c r="W768" s="345">
        <v>14050</v>
      </c>
      <c r="X768" s="349">
        <v>33597.15</v>
      </c>
      <c r="Y768" s="345">
        <v>14056</v>
      </c>
      <c r="Z768" s="349">
        <v>28397.61</v>
      </c>
      <c r="AA768" s="349">
        <f t="shared" si="96"/>
        <v>5199.5400000000009</v>
      </c>
      <c r="AB768" s="349">
        <v>3599.73</v>
      </c>
      <c r="AC768" s="345">
        <v>54260</v>
      </c>
      <c r="AD768" s="349">
        <v>399.97</v>
      </c>
      <c r="AE768" s="345" t="s">
        <v>944</v>
      </c>
      <c r="AF768" s="347"/>
      <c r="AG768" s="347"/>
      <c r="AH768" s="347" t="s">
        <v>57</v>
      </c>
      <c r="AI768" s="347" t="s">
        <v>4442</v>
      </c>
      <c r="AJ768" s="347" t="s">
        <v>4443</v>
      </c>
      <c r="AK768" s="347" t="s">
        <v>4437</v>
      </c>
      <c r="AL768" s="387">
        <v>45574</v>
      </c>
    </row>
    <row r="769" spans="2:38" ht="15.75" outlineLevel="1">
      <c r="B769" s="345">
        <v>2111</v>
      </c>
      <c r="C769" s="346">
        <v>207291</v>
      </c>
      <c r="D769" s="345" t="s">
        <v>944</v>
      </c>
      <c r="E769" s="347" t="s">
        <v>4240</v>
      </c>
      <c r="F769" s="343" t="s">
        <v>1070</v>
      </c>
      <c r="I769" s="345">
        <v>1</v>
      </c>
      <c r="J769" s="347"/>
      <c r="K769" s="345">
        <v>0</v>
      </c>
      <c r="L769" s="347"/>
      <c r="M769" s="347"/>
      <c r="N769" s="347" t="s">
        <v>4452</v>
      </c>
      <c r="O769" s="347" t="s">
        <v>4441</v>
      </c>
      <c r="P769" s="347"/>
      <c r="Q769" s="347"/>
      <c r="R769" s="347"/>
      <c r="S769" s="348">
        <v>43465</v>
      </c>
      <c r="T769" s="348">
        <v>43465</v>
      </c>
      <c r="U769" s="347" t="s">
        <v>1978</v>
      </c>
      <c r="V769" s="345">
        <v>2000</v>
      </c>
      <c r="W769" s="345">
        <v>14080</v>
      </c>
      <c r="X769" s="349">
        <v>768057.19</v>
      </c>
      <c r="Y769" s="345">
        <v>14086</v>
      </c>
      <c r="Z769" s="349">
        <v>220816.46</v>
      </c>
      <c r="AA769" s="349">
        <f t="shared" si="96"/>
        <v>547240.73</v>
      </c>
      <c r="AB769" s="349">
        <v>28802.16</v>
      </c>
      <c r="AC769" s="345">
        <v>57260</v>
      </c>
      <c r="AD769" s="349">
        <v>3200.24</v>
      </c>
      <c r="AE769" s="345" t="s">
        <v>944</v>
      </c>
      <c r="AF769" s="347"/>
      <c r="AG769" s="347"/>
      <c r="AH769" s="347" t="s">
        <v>57</v>
      </c>
      <c r="AI769" s="347" t="s">
        <v>4442</v>
      </c>
      <c r="AJ769" s="347" t="s">
        <v>4443</v>
      </c>
      <c r="AK769" s="347" t="s">
        <v>4437</v>
      </c>
      <c r="AL769" s="387">
        <v>45574</v>
      </c>
    </row>
    <row r="770" spans="2:38" ht="15.75" outlineLevel="1">
      <c r="B770" s="345">
        <v>2111</v>
      </c>
      <c r="C770" s="346">
        <v>207290</v>
      </c>
      <c r="D770" s="345" t="s">
        <v>944</v>
      </c>
      <c r="E770" s="347" t="s">
        <v>4240</v>
      </c>
      <c r="F770" s="343" t="s">
        <v>1070</v>
      </c>
      <c r="I770" s="345">
        <v>1</v>
      </c>
      <c r="J770" s="347"/>
      <c r="K770" s="345">
        <v>0</v>
      </c>
      <c r="L770" s="347"/>
      <c r="M770" s="347"/>
      <c r="N770" s="347" t="s">
        <v>4452</v>
      </c>
      <c r="O770" s="347" t="s">
        <v>4441</v>
      </c>
      <c r="P770" s="347"/>
      <c r="Q770" s="347"/>
      <c r="R770" s="347"/>
      <c r="S770" s="348">
        <v>43465</v>
      </c>
      <c r="T770" s="348">
        <v>43465</v>
      </c>
      <c r="U770" s="347" t="s">
        <v>2006</v>
      </c>
      <c r="V770" s="345">
        <v>2000</v>
      </c>
      <c r="W770" s="345">
        <v>14080</v>
      </c>
      <c r="X770" s="349">
        <v>909559.57</v>
      </c>
      <c r="Y770" s="345">
        <v>14086</v>
      </c>
      <c r="Z770" s="349">
        <v>261498.37</v>
      </c>
      <c r="AA770" s="349">
        <f t="shared" si="96"/>
        <v>648061.19999999995</v>
      </c>
      <c r="AB770" s="349">
        <v>34108.47</v>
      </c>
      <c r="AC770" s="345">
        <v>57260</v>
      </c>
      <c r="AD770" s="349">
        <v>3789.83</v>
      </c>
      <c r="AE770" s="345" t="s">
        <v>944</v>
      </c>
      <c r="AF770" s="347"/>
      <c r="AG770" s="347"/>
      <c r="AH770" s="347" t="s">
        <v>57</v>
      </c>
      <c r="AI770" s="347" t="s">
        <v>4442</v>
      </c>
      <c r="AJ770" s="347" t="s">
        <v>4443</v>
      </c>
      <c r="AK770" s="347" t="s">
        <v>4437</v>
      </c>
      <c r="AL770" s="387">
        <v>45574</v>
      </c>
    </row>
    <row r="771" spans="2:38" ht="15.75" outlineLevel="1">
      <c r="B771" s="345">
        <v>2111</v>
      </c>
      <c r="C771" s="346">
        <v>207289</v>
      </c>
      <c r="D771" s="345" t="s">
        <v>944</v>
      </c>
      <c r="E771" s="347" t="s">
        <v>4240</v>
      </c>
      <c r="F771" s="343" t="s">
        <v>1070</v>
      </c>
      <c r="I771" s="345">
        <v>1</v>
      </c>
      <c r="J771" s="347"/>
      <c r="K771" s="345">
        <v>0</v>
      </c>
      <c r="L771" s="347"/>
      <c r="M771" s="347"/>
      <c r="N771" s="347" t="s">
        <v>4452</v>
      </c>
      <c r="O771" s="347" t="s">
        <v>4441</v>
      </c>
      <c r="P771" s="347"/>
      <c r="Q771" s="347"/>
      <c r="R771" s="347"/>
      <c r="S771" s="348">
        <v>43465</v>
      </c>
      <c r="T771" s="348">
        <v>43465</v>
      </c>
      <c r="U771" s="347" t="s">
        <v>2007</v>
      </c>
      <c r="V771" s="345">
        <v>2000</v>
      </c>
      <c r="W771" s="345">
        <v>14080</v>
      </c>
      <c r="X771" s="349">
        <v>160834.74</v>
      </c>
      <c r="Y771" s="345">
        <v>14086</v>
      </c>
      <c r="Z771" s="349">
        <v>46239.96</v>
      </c>
      <c r="AA771" s="349">
        <f t="shared" si="96"/>
        <v>114594.78</v>
      </c>
      <c r="AB771" s="349">
        <v>6031.26</v>
      </c>
      <c r="AC771" s="345">
        <v>57260</v>
      </c>
      <c r="AD771" s="349">
        <v>670.14</v>
      </c>
      <c r="AE771" s="345" t="s">
        <v>944</v>
      </c>
      <c r="AF771" s="347"/>
      <c r="AG771" s="347"/>
      <c r="AH771" s="347" t="s">
        <v>57</v>
      </c>
      <c r="AI771" s="347" t="s">
        <v>4442</v>
      </c>
      <c r="AJ771" s="347" t="s">
        <v>4443</v>
      </c>
      <c r="AK771" s="347" t="s">
        <v>4437</v>
      </c>
      <c r="AL771" s="387">
        <v>45574</v>
      </c>
    </row>
    <row r="772" spans="2:38" ht="15.75" outlineLevel="1">
      <c r="B772" s="345">
        <v>2111</v>
      </c>
      <c r="C772" s="346">
        <v>207288</v>
      </c>
      <c r="D772" s="345" t="s">
        <v>944</v>
      </c>
      <c r="E772" s="347" t="s">
        <v>4240</v>
      </c>
      <c r="F772" s="343" t="s">
        <v>1070</v>
      </c>
      <c r="I772" s="345">
        <v>1</v>
      </c>
      <c r="J772" s="347"/>
      <c r="K772" s="345">
        <v>0</v>
      </c>
      <c r="L772" s="347"/>
      <c r="M772" s="347"/>
      <c r="N772" s="347" t="s">
        <v>4452</v>
      </c>
      <c r="O772" s="347" t="s">
        <v>4441</v>
      </c>
      <c r="P772" s="347"/>
      <c r="Q772" s="347"/>
      <c r="R772" s="347"/>
      <c r="S772" s="348">
        <v>43465</v>
      </c>
      <c r="T772" s="348">
        <v>43465</v>
      </c>
      <c r="U772" s="347" t="s">
        <v>2008</v>
      </c>
      <c r="V772" s="345">
        <v>2000</v>
      </c>
      <c r="W772" s="345">
        <v>14080</v>
      </c>
      <c r="X772" s="349">
        <v>242372.07</v>
      </c>
      <c r="Y772" s="345">
        <v>14086</v>
      </c>
      <c r="Z772" s="349">
        <v>69681.919999999998</v>
      </c>
      <c r="AA772" s="349">
        <f t="shared" si="96"/>
        <v>172690.15000000002</v>
      </c>
      <c r="AB772" s="349">
        <v>9088.92</v>
      </c>
      <c r="AC772" s="345">
        <v>57260</v>
      </c>
      <c r="AD772" s="349">
        <v>1009.88</v>
      </c>
      <c r="AE772" s="345" t="s">
        <v>944</v>
      </c>
      <c r="AF772" s="347"/>
      <c r="AG772" s="347"/>
      <c r="AH772" s="347" t="s">
        <v>57</v>
      </c>
      <c r="AI772" s="347" t="s">
        <v>4442</v>
      </c>
      <c r="AJ772" s="347" t="s">
        <v>4443</v>
      </c>
      <c r="AK772" s="347" t="s">
        <v>4437</v>
      </c>
      <c r="AL772" s="387">
        <v>45574</v>
      </c>
    </row>
    <row r="773" spans="2:38" ht="15.75" outlineLevel="1">
      <c r="B773" s="345">
        <v>2111</v>
      </c>
      <c r="C773" s="346">
        <v>207287</v>
      </c>
      <c r="D773" s="345" t="s">
        <v>944</v>
      </c>
      <c r="E773" s="347" t="s">
        <v>4240</v>
      </c>
      <c r="F773" s="343" t="s">
        <v>1070</v>
      </c>
      <c r="I773" s="345">
        <v>1</v>
      </c>
      <c r="J773" s="347"/>
      <c r="K773" s="345">
        <v>0</v>
      </c>
      <c r="L773" s="347"/>
      <c r="M773" s="347"/>
      <c r="N773" s="347" t="s">
        <v>4452</v>
      </c>
      <c r="O773" s="347" t="s">
        <v>4441</v>
      </c>
      <c r="P773" s="347"/>
      <c r="Q773" s="347"/>
      <c r="R773" s="347"/>
      <c r="S773" s="348">
        <v>43465</v>
      </c>
      <c r="T773" s="348">
        <v>43465</v>
      </c>
      <c r="U773" s="347" t="s">
        <v>2009</v>
      </c>
      <c r="V773" s="345">
        <v>2000</v>
      </c>
      <c r="W773" s="345">
        <v>14080</v>
      </c>
      <c r="X773" s="349">
        <v>1555350.36</v>
      </c>
      <c r="Y773" s="345">
        <v>14086</v>
      </c>
      <c r="Z773" s="349">
        <v>447163.27</v>
      </c>
      <c r="AA773" s="349">
        <f t="shared" si="96"/>
        <v>1108187.0900000001</v>
      </c>
      <c r="AB773" s="349">
        <v>58325.67</v>
      </c>
      <c r="AC773" s="345">
        <v>57260</v>
      </c>
      <c r="AD773" s="349">
        <v>6480.63</v>
      </c>
      <c r="AE773" s="345" t="s">
        <v>944</v>
      </c>
      <c r="AF773" s="347"/>
      <c r="AG773" s="347"/>
      <c r="AH773" s="347" t="s">
        <v>57</v>
      </c>
      <c r="AI773" s="347" t="s">
        <v>4442</v>
      </c>
      <c r="AJ773" s="347" t="s">
        <v>4443</v>
      </c>
      <c r="AK773" s="347" t="s">
        <v>4437</v>
      </c>
      <c r="AL773" s="387">
        <v>45574</v>
      </c>
    </row>
    <row r="774" spans="2:38" ht="15.75" outlineLevel="1">
      <c r="B774" s="345">
        <v>2111</v>
      </c>
      <c r="C774" s="346">
        <v>207202</v>
      </c>
      <c r="D774" s="345" t="s">
        <v>944</v>
      </c>
      <c r="E774" s="347" t="s">
        <v>4240</v>
      </c>
      <c r="F774" s="343" t="s">
        <v>2010</v>
      </c>
      <c r="I774" s="345">
        <v>24</v>
      </c>
      <c r="J774" s="347"/>
      <c r="K774" s="345">
        <v>0</v>
      </c>
      <c r="L774" s="347" t="s">
        <v>1509</v>
      </c>
      <c r="M774" s="347"/>
      <c r="N774" s="347" t="s">
        <v>4446</v>
      </c>
      <c r="O774" s="347" t="s">
        <v>4441</v>
      </c>
      <c r="P774" s="347"/>
      <c r="Q774" s="347" t="s">
        <v>4509</v>
      </c>
      <c r="R774" s="347" t="s">
        <v>4450</v>
      </c>
      <c r="S774" s="348">
        <v>43395</v>
      </c>
      <c r="T774" s="348">
        <v>43395</v>
      </c>
      <c r="U774" s="347" t="s">
        <v>2012</v>
      </c>
      <c r="V774" s="345">
        <v>1200</v>
      </c>
      <c r="W774" s="345">
        <v>14050</v>
      </c>
      <c r="X774" s="349">
        <v>31591.94</v>
      </c>
      <c r="Y774" s="345">
        <v>14056</v>
      </c>
      <c r="Z774" s="349">
        <v>15576.59</v>
      </c>
      <c r="AA774" s="349">
        <f t="shared" si="96"/>
        <v>16015.349999999999</v>
      </c>
      <c r="AB774" s="349">
        <v>1974.51</v>
      </c>
      <c r="AC774" s="345">
        <v>54260</v>
      </c>
      <c r="AD774" s="349">
        <v>219.39</v>
      </c>
      <c r="AE774" s="345" t="s">
        <v>944</v>
      </c>
      <c r="AF774" s="347"/>
      <c r="AG774" s="347"/>
      <c r="AH774" s="347" t="s">
        <v>57</v>
      </c>
      <c r="AI774" s="347" t="s">
        <v>4442</v>
      </c>
      <c r="AJ774" s="347" t="s">
        <v>4443</v>
      </c>
      <c r="AK774" s="347" t="s">
        <v>4437</v>
      </c>
      <c r="AL774" s="387">
        <v>45574</v>
      </c>
    </row>
    <row r="775" spans="2:38" ht="15.75" outlineLevel="1">
      <c r="B775" s="345">
        <v>2111</v>
      </c>
      <c r="C775" s="346">
        <v>207201</v>
      </c>
      <c r="D775" s="345" t="s">
        <v>944</v>
      </c>
      <c r="E775" s="347" t="s">
        <v>4240</v>
      </c>
      <c r="F775" s="343" t="s">
        <v>2014</v>
      </c>
      <c r="I775" s="345">
        <v>6</v>
      </c>
      <c r="J775" s="347"/>
      <c r="K775" s="345">
        <v>0</v>
      </c>
      <c r="L775" s="347" t="s">
        <v>1509</v>
      </c>
      <c r="M775" s="347"/>
      <c r="N775" s="347" t="s">
        <v>4446</v>
      </c>
      <c r="O775" s="347" t="s">
        <v>4441</v>
      </c>
      <c r="P775" s="347"/>
      <c r="Q775" s="347" t="s">
        <v>4464</v>
      </c>
      <c r="R775" s="347" t="s">
        <v>4450</v>
      </c>
      <c r="S775" s="348">
        <v>43395</v>
      </c>
      <c r="T775" s="348">
        <v>43395</v>
      </c>
      <c r="U775" s="347" t="s">
        <v>2012</v>
      </c>
      <c r="V775" s="345">
        <v>1200</v>
      </c>
      <c r="W775" s="345">
        <v>14050</v>
      </c>
      <c r="X775" s="349">
        <v>6008.18</v>
      </c>
      <c r="Y775" s="345">
        <v>14056</v>
      </c>
      <c r="Z775" s="349">
        <v>2962.33</v>
      </c>
      <c r="AA775" s="349">
        <f t="shared" si="96"/>
        <v>3045.8500000000004</v>
      </c>
      <c r="AB775" s="349">
        <v>375.48</v>
      </c>
      <c r="AC775" s="345">
        <v>54260</v>
      </c>
      <c r="AD775" s="349">
        <v>41.72</v>
      </c>
      <c r="AE775" s="345" t="s">
        <v>944</v>
      </c>
      <c r="AF775" s="347"/>
      <c r="AG775" s="347"/>
      <c r="AH775" s="347" t="s">
        <v>57</v>
      </c>
      <c r="AI775" s="347" t="s">
        <v>4442</v>
      </c>
      <c r="AJ775" s="347" t="s">
        <v>4443</v>
      </c>
      <c r="AK775" s="347" t="s">
        <v>4437</v>
      </c>
      <c r="AL775" s="387">
        <v>45574</v>
      </c>
    </row>
    <row r="776" spans="2:38" ht="15.75" outlineLevel="1">
      <c r="B776" s="345">
        <v>2111</v>
      </c>
      <c r="C776" s="346">
        <v>207200</v>
      </c>
      <c r="D776" s="345" t="s">
        <v>944</v>
      </c>
      <c r="E776" s="347" t="s">
        <v>4240</v>
      </c>
      <c r="F776" s="343" t="s">
        <v>2015</v>
      </c>
      <c r="I776" s="345">
        <v>30</v>
      </c>
      <c r="J776" s="347"/>
      <c r="K776" s="345">
        <v>0</v>
      </c>
      <c r="L776" s="347" t="s">
        <v>1509</v>
      </c>
      <c r="M776" s="347"/>
      <c r="N776" s="347" t="s">
        <v>4446</v>
      </c>
      <c r="O776" s="347" t="s">
        <v>4441</v>
      </c>
      <c r="P776" s="347"/>
      <c r="Q776" s="347" t="s">
        <v>4479</v>
      </c>
      <c r="R776" s="347" t="s">
        <v>4450</v>
      </c>
      <c r="S776" s="348">
        <v>43395</v>
      </c>
      <c r="T776" s="348">
        <v>43395</v>
      </c>
      <c r="U776" s="347" t="s">
        <v>2012</v>
      </c>
      <c r="V776" s="345">
        <v>1200</v>
      </c>
      <c r="W776" s="345">
        <v>14050</v>
      </c>
      <c r="X776" s="349">
        <v>36935.919999999998</v>
      </c>
      <c r="Y776" s="345">
        <v>14056</v>
      </c>
      <c r="Z776" s="349">
        <v>18211.45</v>
      </c>
      <c r="AA776" s="349">
        <f t="shared" si="96"/>
        <v>18724.469999999998</v>
      </c>
      <c r="AB776" s="349">
        <v>2308.5</v>
      </c>
      <c r="AC776" s="345">
        <v>54260</v>
      </c>
      <c r="AD776" s="349">
        <v>256.5</v>
      </c>
      <c r="AE776" s="345" t="s">
        <v>944</v>
      </c>
      <c r="AF776" s="347"/>
      <c r="AG776" s="347"/>
      <c r="AH776" s="347" t="s">
        <v>57</v>
      </c>
      <c r="AI776" s="347" t="s">
        <v>4442</v>
      </c>
      <c r="AJ776" s="347" t="s">
        <v>4443</v>
      </c>
      <c r="AK776" s="347" t="s">
        <v>4437</v>
      </c>
      <c r="AL776" s="387">
        <v>45574</v>
      </c>
    </row>
    <row r="777" spans="2:38" ht="15.75" outlineLevel="1">
      <c r="B777" s="345">
        <v>2111</v>
      </c>
      <c r="C777" s="346">
        <v>206330</v>
      </c>
      <c r="D777" s="345" t="s">
        <v>944</v>
      </c>
      <c r="E777" s="347" t="s">
        <v>4240</v>
      </c>
      <c r="F777" s="343" t="s">
        <v>2017</v>
      </c>
      <c r="I777" s="345">
        <v>1</v>
      </c>
      <c r="J777" s="347"/>
      <c r="K777" s="345">
        <v>0</v>
      </c>
      <c r="L777" s="347" t="s">
        <v>2018</v>
      </c>
      <c r="M777" s="347"/>
      <c r="N777" s="347" t="s">
        <v>4452</v>
      </c>
      <c r="O777" s="347" t="s">
        <v>4441</v>
      </c>
      <c r="P777" s="347"/>
      <c r="Q777" s="347"/>
      <c r="R777" s="347"/>
      <c r="S777" s="348">
        <v>43375</v>
      </c>
      <c r="T777" s="348">
        <v>43375</v>
      </c>
      <c r="U777" s="347" t="s">
        <v>2019</v>
      </c>
      <c r="V777" s="345">
        <v>1000</v>
      </c>
      <c r="W777" s="345">
        <v>14080</v>
      </c>
      <c r="X777" s="349">
        <v>14028.1</v>
      </c>
      <c r="Y777" s="345">
        <v>14086</v>
      </c>
      <c r="Z777" s="349">
        <v>8416.85</v>
      </c>
      <c r="AA777" s="349">
        <f t="shared" si="96"/>
        <v>5611.25</v>
      </c>
      <c r="AB777" s="349">
        <v>1052.0999999999999</v>
      </c>
      <c r="AC777" s="345">
        <v>57260</v>
      </c>
      <c r="AD777" s="349">
        <v>116.9</v>
      </c>
      <c r="AE777" s="345" t="s">
        <v>944</v>
      </c>
      <c r="AF777" s="347"/>
      <c r="AG777" s="347"/>
      <c r="AH777" s="347" t="s">
        <v>57</v>
      </c>
      <c r="AI777" s="347" t="s">
        <v>4442</v>
      </c>
      <c r="AJ777" s="347" t="s">
        <v>4443</v>
      </c>
      <c r="AK777" s="347" t="s">
        <v>4437</v>
      </c>
      <c r="AL777" s="387">
        <v>45574</v>
      </c>
    </row>
    <row r="778" spans="2:38" ht="15.75" outlineLevel="1">
      <c r="B778" s="345">
        <v>2111</v>
      </c>
      <c r="C778" s="346">
        <v>205635</v>
      </c>
      <c r="D778" s="345" t="s">
        <v>944</v>
      </c>
      <c r="E778" s="347" t="s">
        <v>4240</v>
      </c>
      <c r="F778" s="343" t="s">
        <v>1255</v>
      </c>
      <c r="I778" s="345">
        <v>1</v>
      </c>
      <c r="J778" s="347" t="s">
        <v>2020</v>
      </c>
      <c r="K778" s="345">
        <v>2016</v>
      </c>
      <c r="L778" s="347" t="s">
        <v>1594</v>
      </c>
      <c r="M778" s="347"/>
      <c r="N778" s="347" t="s">
        <v>4445</v>
      </c>
      <c r="O778" s="347" t="s">
        <v>4441</v>
      </c>
      <c r="P778" s="347" t="s">
        <v>4478</v>
      </c>
      <c r="Q778" s="347"/>
      <c r="R778" s="347"/>
      <c r="S778" s="348">
        <v>43425</v>
      </c>
      <c r="T778" s="348">
        <v>43425</v>
      </c>
      <c r="U778" s="347" t="s">
        <v>2022</v>
      </c>
      <c r="V778" s="345">
        <v>300</v>
      </c>
      <c r="W778" s="345">
        <v>14040</v>
      </c>
      <c r="X778" s="349">
        <v>23708</v>
      </c>
      <c r="Y778" s="345">
        <v>14046</v>
      </c>
      <c r="Z778" s="349">
        <v>23708</v>
      </c>
      <c r="AA778" s="349">
        <f t="shared" si="96"/>
        <v>0</v>
      </c>
      <c r="AB778" s="349">
        <v>0</v>
      </c>
      <c r="AC778" s="345">
        <v>51260</v>
      </c>
      <c r="AD778" s="349">
        <v>0</v>
      </c>
      <c r="AE778" s="345" t="s">
        <v>944</v>
      </c>
      <c r="AF778" s="347"/>
      <c r="AG778" s="347">
        <v>15</v>
      </c>
      <c r="AH778" s="347" t="s">
        <v>57</v>
      </c>
      <c r="AI778" s="347" t="s">
        <v>4442</v>
      </c>
      <c r="AJ778" s="347" t="s">
        <v>4443</v>
      </c>
      <c r="AK778" s="347" t="s">
        <v>4437</v>
      </c>
      <c r="AL778" s="387">
        <v>45574</v>
      </c>
    </row>
    <row r="779" spans="2:38" ht="15.75" outlineLevel="1">
      <c r="B779" s="345">
        <v>2111</v>
      </c>
      <c r="C779" s="346">
        <v>204986</v>
      </c>
      <c r="D779" s="345">
        <v>202833</v>
      </c>
      <c r="E779" s="347" t="s">
        <v>4240</v>
      </c>
      <c r="F779" s="343" t="s">
        <v>1256</v>
      </c>
      <c r="I779" s="345">
        <v>1</v>
      </c>
      <c r="J779" s="347"/>
      <c r="K779" s="345">
        <v>0</v>
      </c>
      <c r="L779" s="347" t="s">
        <v>1554</v>
      </c>
      <c r="M779" s="347"/>
      <c r="N779" s="347" t="s">
        <v>4445</v>
      </c>
      <c r="O779" s="347" t="s">
        <v>4441</v>
      </c>
      <c r="P779" s="347" t="s">
        <v>1467</v>
      </c>
      <c r="Q779" s="347"/>
      <c r="R779" s="347"/>
      <c r="S779" s="348">
        <v>43373</v>
      </c>
      <c r="T779" s="348">
        <v>43373</v>
      </c>
      <c r="U779" s="347" t="s">
        <v>2023</v>
      </c>
      <c r="V779" s="345">
        <v>1000</v>
      </c>
      <c r="W779" s="345">
        <v>14040</v>
      </c>
      <c r="X779" s="349">
        <v>1094.5</v>
      </c>
      <c r="Y779" s="345">
        <v>14046</v>
      </c>
      <c r="Z779" s="349">
        <v>656.49</v>
      </c>
      <c r="AA779" s="349">
        <f t="shared" si="96"/>
        <v>438.01</v>
      </c>
      <c r="AB779" s="349">
        <v>82.08</v>
      </c>
      <c r="AC779" s="345">
        <v>51260</v>
      </c>
      <c r="AD779" s="349">
        <v>9.1199999999999992</v>
      </c>
      <c r="AE779" s="345" t="s">
        <v>944</v>
      </c>
      <c r="AF779" s="347"/>
      <c r="AG779" s="347"/>
      <c r="AH779" s="347" t="s">
        <v>57</v>
      </c>
      <c r="AI779" s="347" t="s">
        <v>4442</v>
      </c>
      <c r="AJ779" s="347" t="s">
        <v>4443</v>
      </c>
      <c r="AK779" s="347" t="s">
        <v>4437</v>
      </c>
      <c r="AL779" s="387">
        <v>45574</v>
      </c>
    </row>
    <row r="780" spans="2:38" ht="15.75" outlineLevel="1">
      <c r="B780" s="345">
        <v>2111</v>
      </c>
      <c r="C780" s="346">
        <v>204870</v>
      </c>
      <c r="D780" s="345" t="s">
        <v>944</v>
      </c>
      <c r="E780" s="347" t="s">
        <v>4240</v>
      </c>
      <c r="F780" s="343" t="s">
        <v>899</v>
      </c>
      <c r="I780" s="345">
        <v>624</v>
      </c>
      <c r="J780" s="347"/>
      <c r="K780" s="345">
        <v>0</v>
      </c>
      <c r="L780" s="347" t="s">
        <v>1755</v>
      </c>
      <c r="M780" s="347"/>
      <c r="N780" s="347" t="s">
        <v>4446</v>
      </c>
      <c r="O780" s="347" t="s">
        <v>4441</v>
      </c>
      <c r="P780" s="347"/>
      <c r="Q780" s="347"/>
      <c r="R780" s="347"/>
      <c r="S780" s="348">
        <v>43371</v>
      </c>
      <c r="T780" s="348">
        <v>43371</v>
      </c>
      <c r="U780" s="347" t="s">
        <v>2024</v>
      </c>
      <c r="V780" s="345">
        <v>700</v>
      </c>
      <c r="W780" s="345">
        <v>14050</v>
      </c>
      <c r="X780" s="349">
        <v>33406.58</v>
      </c>
      <c r="Y780" s="345">
        <v>14056</v>
      </c>
      <c r="Z780" s="349">
        <v>28634.240000000002</v>
      </c>
      <c r="AA780" s="349">
        <f t="shared" si="96"/>
        <v>4772.34</v>
      </c>
      <c r="AB780" s="349">
        <v>3579.3</v>
      </c>
      <c r="AC780" s="345">
        <v>54260</v>
      </c>
      <c r="AD780" s="349">
        <v>397.7</v>
      </c>
      <c r="AE780" s="345" t="s">
        <v>944</v>
      </c>
      <c r="AF780" s="347"/>
      <c r="AG780" s="347"/>
      <c r="AH780" s="347" t="s">
        <v>57</v>
      </c>
      <c r="AI780" s="347" t="s">
        <v>4442</v>
      </c>
      <c r="AJ780" s="347" t="s">
        <v>4443</v>
      </c>
      <c r="AK780" s="347" t="s">
        <v>4437</v>
      </c>
      <c r="AL780" s="387">
        <v>45574</v>
      </c>
    </row>
    <row r="781" spans="2:38" ht="15.75" outlineLevel="1">
      <c r="B781" s="345">
        <v>2111</v>
      </c>
      <c r="C781" s="346">
        <v>204869</v>
      </c>
      <c r="D781" s="345" t="s">
        <v>944</v>
      </c>
      <c r="E781" s="347" t="s">
        <v>4240</v>
      </c>
      <c r="F781" s="343" t="s">
        <v>900</v>
      </c>
      <c r="I781" s="345">
        <v>624</v>
      </c>
      <c r="J781" s="347"/>
      <c r="K781" s="345">
        <v>0</v>
      </c>
      <c r="L781" s="347" t="s">
        <v>1755</v>
      </c>
      <c r="M781" s="347"/>
      <c r="N781" s="347" t="s">
        <v>4446</v>
      </c>
      <c r="O781" s="347" t="s">
        <v>4441</v>
      </c>
      <c r="P781" s="347"/>
      <c r="Q781" s="347"/>
      <c r="R781" s="347"/>
      <c r="S781" s="348">
        <v>43371</v>
      </c>
      <c r="T781" s="348">
        <v>43371</v>
      </c>
      <c r="U781" s="347" t="s">
        <v>2024</v>
      </c>
      <c r="V781" s="345">
        <v>700</v>
      </c>
      <c r="W781" s="345">
        <v>14050</v>
      </c>
      <c r="X781" s="349">
        <v>34462.67</v>
      </c>
      <c r="Y781" s="345">
        <v>14056</v>
      </c>
      <c r="Z781" s="349">
        <v>29539.439999999999</v>
      </c>
      <c r="AA781" s="349">
        <f t="shared" si="96"/>
        <v>4923.2299999999996</v>
      </c>
      <c r="AB781" s="349">
        <v>3692.43</v>
      </c>
      <c r="AC781" s="345">
        <v>54260</v>
      </c>
      <c r="AD781" s="349">
        <v>410.27</v>
      </c>
      <c r="AE781" s="345" t="s">
        <v>944</v>
      </c>
      <c r="AF781" s="347"/>
      <c r="AG781" s="347"/>
      <c r="AH781" s="347" t="s">
        <v>57</v>
      </c>
      <c r="AI781" s="347" t="s">
        <v>4442</v>
      </c>
      <c r="AJ781" s="347" t="s">
        <v>4443</v>
      </c>
      <c r="AK781" s="347" t="s">
        <v>4437</v>
      </c>
      <c r="AL781" s="387">
        <v>45574</v>
      </c>
    </row>
    <row r="782" spans="2:38" ht="15.75" outlineLevel="1">
      <c r="B782" s="345">
        <v>2111</v>
      </c>
      <c r="C782" s="346">
        <v>204868</v>
      </c>
      <c r="D782" s="345" t="s">
        <v>944</v>
      </c>
      <c r="E782" s="347" t="s">
        <v>4240</v>
      </c>
      <c r="F782" s="343" t="s">
        <v>903</v>
      </c>
      <c r="I782" s="345">
        <v>312</v>
      </c>
      <c r="J782" s="347"/>
      <c r="K782" s="345">
        <v>0</v>
      </c>
      <c r="L782" s="347" t="s">
        <v>1755</v>
      </c>
      <c r="M782" s="347"/>
      <c r="N782" s="347" t="s">
        <v>4446</v>
      </c>
      <c r="O782" s="347" t="s">
        <v>4441</v>
      </c>
      <c r="P782" s="347"/>
      <c r="Q782" s="347"/>
      <c r="R782" s="347"/>
      <c r="S782" s="348">
        <v>43371</v>
      </c>
      <c r="T782" s="348">
        <v>43371</v>
      </c>
      <c r="U782" s="347" t="s">
        <v>2024</v>
      </c>
      <c r="V782" s="345">
        <v>700</v>
      </c>
      <c r="W782" s="345">
        <v>14050</v>
      </c>
      <c r="X782" s="349">
        <v>16484.36</v>
      </c>
      <c r="Y782" s="345">
        <v>14056</v>
      </c>
      <c r="Z782" s="349">
        <v>14129.44</v>
      </c>
      <c r="AA782" s="349">
        <f t="shared" si="96"/>
        <v>2354.92</v>
      </c>
      <c r="AB782" s="349">
        <v>1766.16</v>
      </c>
      <c r="AC782" s="345">
        <v>54260</v>
      </c>
      <c r="AD782" s="349">
        <v>196.24</v>
      </c>
      <c r="AE782" s="345" t="s">
        <v>944</v>
      </c>
      <c r="AF782" s="347"/>
      <c r="AG782" s="347"/>
      <c r="AH782" s="347" t="s">
        <v>57</v>
      </c>
      <c r="AI782" s="347" t="s">
        <v>4442</v>
      </c>
      <c r="AJ782" s="347" t="s">
        <v>4443</v>
      </c>
      <c r="AK782" s="347" t="s">
        <v>4437</v>
      </c>
      <c r="AL782" s="387">
        <v>45574</v>
      </c>
    </row>
    <row r="783" spans="2:38" ht="15.75" outlineLevel="1">
      <c r="B783" s="345">
        <v>2111</v>
      </c>
      <c r="C783" s="346">
        <v>204867</v>
      </c>
      <c r="D783" s="345" t="s">
        <v>944</v>
      </c>
      <c r="E783" s="347" t="s">
        <v>4240</v>
      </c>
      <c r="F783" s="343" t="s">
        <v>902</v>
      </c>
      <c r="I783" s="345">
        <v>432</v>
      </c>
      <c r="J783" s="347"/>
      <c r="K783" s="345">
        <v>0</v>
      </c>
      <c r="L783" s="347" t="s">
        <v>1755</v>
      </c>
      <c r="M783" s="347"/>
      <c r="N783" s="347" t="s">
        <v>4446</v>
      </c>
      <c r="O783" s="347" t="s">
        <v>4441</v>
      </c>
      <c r="P783" s="347"/>
      <c r="Q783" s="347"/>
      <c r="R783" s="347"/>
      <c r="S783" s="348">
        <v>43371</v>
      </c>
      <c r="T783" s="348">
        <v>43371</v>
      </c>
      <c r="U783" s="347" t="s">
        <v>2024</v>
      </c>
      <c r="V783" s="345">
        <v>700</v>
      </c>
      <c r="W783" s="345">
        <v>14050</v>
      </c>
      <c r="X783" s="349">
        <v>20093.93</v>
      </c>
      <c r="Y783" s="345">
        <v>14056</v>
      </c>
      <c r="Z783" s="349">
        <v>17223.330000000002</v>
      </c>
      <c r="AA783" s="349">
        <f t="shared" si="96"/>
        <v>2870.5999999999985</v>
      </c>
      <c r="AB783" s="349">
        <v>2152.89</v>
      </c>
      <c r="AC783" s="345">
        <v>54260</v>
      </c>
      <c r="AD783" s="349">
        <v>239.21</v>
      </c>
      <c r="AE783" s="345" t="s">
        <v>944</v>
      </c>
      <c r="AF783" s="347"/>
      <c r="AG783" s="347"/>
      <c r="AH783" s="347" t="s">
        <v>57</v>
      </c>
      <c r="AI783" s="347" t="s">
        <v>4442</v>
      </c>
      <c r="AJ783" s="347" t="s">
        <v>4443</v>
      </c>
      <c r="AK783" s="347" t="s">
        <v>4437</v>
      </c>
      <c r="AL783" s="387">
        <v>45574</v>
      </c>
    </row>
    <row r="784" spans="2:38" ht="15.75" outlineLevel="1">
      <c r="B784" s="345">
        <v>2111</v>
      </c>
      <c r="C784" s="346">
        <v>204027</v>
      </c>
      <c r="D784" s="345" t="s">
        <v>944</v>
      </c>
      <c r="E784" s="347" t="s">
        <v>4240</v>
      </c>
      <c r="F784" s="343" t="s">
        <v>945</v>
      </c>
      <c r="I784" s="345">
        <v>1</v>
      </c>
      <c r="J784" s="347" t="s">
        <v>2025</v>
      </c>
      <c r="K784" s="345">
        <v>2012</v>
      </c>
      <c r="L784" s="347" t="s">
        <v>2026</v>
      </c>
      <c r="M784" s="347"/>
      <c r="N784" s="347" t="s">
        <v>4445</v>
      </c>
      <c r="O784" s="347" t="s">
        <v>4441</v>
      </c>
      <c r="P784" s="347" t="s">
        <v>4478</v>
      </c>
      <c r="Q784" s="347"/>
      <c r="R784" s="347"/>
      <c r="S784" s="348">
        <v>42173</v>
      </c>
      <c r="T784" s="348">
        <v>42173</v>
      </c>
      <c r="U784" s="347" t="s">
        <v>2027</v>
      </c>
      <c r="V784" s="345">
        <v>300</v>
      </c>
      <c r="W784" s="345">
        <v>14040</v>
      </c>
      <c r="X784" s="349">
        <v>29540.76</v>
      </c>
      <c r="Y784" s="345">
        <v>14046</v>
      </c>
      <c r="Z784" s="349">
        <v>29540.76</v>
      </c>
      <c r="AA784" s="349">
        <f t="shared" si="96"/>
        <v>0</v>
      </c>
      <c r="AB784" s="349">
        <v>0</v>
      </c>
      <c r="AC784" s="345">
        <v>51260</v>
      </c>
      <c r="AD784" s="349">
        <v>0</v>
      </c>
      <c r="AE784" s="345" t="s">
        <v>944</v>
      </c>
      <c r="AF784" s="347"/>
      <c r="AG784" s="347">
        <v>16</v>
      </c>
      <c r="AH784" s="347" t="s">
        <v>57</v>
      </c>
      <c r="AI784" s="347" t="s">
        <v>4442</v>
      </c>
      <c r="AJ784" s="347" t="s">
        <v>4443</v>
      </c>
      <c r="AK784" s="347" t="s">
        <v>4437</v>
      </c>
      <c r="AL784" s="387">
        <v>45574</v>
      </c>
    </row>
    <row r="785" spans="2:38" ht="15.75" outlineLevel="1">
      <c r="B785" s="345">
        <v>2111</v>
      </c>
      <c r="C785" s="346">
        <v>203952</v>
      </c>
      <c r="D785" s="345" t="s">
        <v>944</v>
      </c>
      <c r="E785" s="347" t="s">
        <v>4240</v>
      </c>
      <c r="F785" s="343" t="s">
        <v>946</v>
      </c>
      <c r="I785" s="345">
        <v>10</v>
      </c>
      <c r="J785" s="347"/>
      <c r="K785" s="345">
        <v>0</v>
      </c>
      <c r="L785" s="347" t="s">
        <v>1509</v>
      </c>
      <c r="M785" s="347"/>
      <c r="N785" s="347" t="s">
        <v>4446</v>
      </c>
      <c r="O785" s="347" t="s">
        <v>4441</v>
      </c>
      <c r="P785" s="347"/>
      <c r="Q785" s="347" t="s">
        <v>4509</v>
      </c>
      <c r="R785" s="347" t="s">
        <v>4450</v>
      </c>
      <c r="S785" s="348">
        <v>43328</v>
      </c>
      <c r="T785" s="348">
        <v>43328</v>
      </c>
      <c r="U785" s="347" t="s">
        <v>2028</v>
      </c>
      <c r="V785" s="345">
        <v>1200</v>
      </c>
      <c r="W785" s="345">
        <v>14050</v>
      </c>
      <c r="X785" s="349">
        <v>11725.27</v>
      </c>
      <c r="Y785" s="345">
        <v>14056</v>
      </c>
      <c r="Z785" s="349">
        <v>5944.04</v>
      </c>
      <c r="AA785" s="349">
        <f t="shared" si="96"/>
        <v>5781.2300000000005</v>
      </c>
      <c r="AB785" s="349">
        <v>1245.78</v>
      </c>
      <c r="AC785" s="345">
        <v>54260</v>
      </c>
      <c r="AD785" s="349">
        <v>138.41999999999999</v>
      </c>
      <c r="AE785" s="345" t="s">
        <v>944</v>
      </c>
      <c r="AF785" s="347"/>
      <c r="AG785" s="347"/>
      <c r="AH785" s="347" t="s">
        <v>57</v>
      </c>
      <c r="AI785" s="347" t="s">
        <v>4442</v>
      </c>
      <c r="AJ785" s="347" t="s">
        <v>4443</v>
      </c>
      <c r="AK785" s="347" t="s">
        <v>4437</v>
      </c>
      <c r="AL785" s="387">
        <v>45574</v>
      </c>
    </row>
    <row r="786" spans="2:38" ht="15.75" outlineLevel="1">
      <c r="B786" s="345">
        <v>2111</v>
      </c>
      <c r="C786" s="346">
        <v>203951</v>
      </c>
      <c r="D786" s="345" t="s">
        <v>944</v>
      </c>
      <c r="E786" s="347" t="s">
        <v>4240</v>
      </c>
      <c r="F786" s="343" t="s">
        <v>947</v>
      </c>
      <c r="I786" s="345">
        <v>45</v>
      </c>
      <c r="J786" s="347"/>
      <c r="K786" s="345">
        <v>0</v>
      </c>
      <c r="L786" s="347" t="s">
        <v>1509</v>
      </c>
      <c r="M786" s="347"/>
      <c r="N786" s="347" t="s">
        <v>4446</v>
      </c>
      <c r="O786" s="347" t="s">
        <v>4441</v>
      </c>
      <c r="P786" s="347"/>
      <c r="Q786" s="347" t="s">
        <v>4459</v>
      </c>
      <c r="R786" s="347" t="s">
        <v>4450</v>
      </c>
      <c r="S786" s="348">
        <v>43328</v>
      </c>
      <c r="T786" s="348">
        <v>43328</v>
      </c>
      <c r="U786" s="347" t="s">
        <v>2028</v>
      </c>
      <c r="V786" s="345">
        <v>1200</v>
      </c>
      <c r="W786" s="345">
        <v>14050</v>
      </c>
      <c r="X786" s="349">
        <v>30114.18</v>
      </c>
      <c r="Y786" s="345">
        <v>14056</v>
      </c>
      <c r="Z786" s="349">
        <v>15266.28</v>
      </c>
      <c r="AA786" s="349">
        <f t="shared" si="96"/>
        <v>14847.9</v>
      </c>
      <c r="AB786" s="349">
        <v>1882.17</v>
      </c>
      <c r="AC786" s="345">
        <v>54260</v>
      </c>
      <c r="AD786" s="349">
        <v>209.13</v>
      </c>
      <c r="AE786" s="345" t="s">
        <v>944</v>
      </c>
      <c r="AF786" s="347"/>
      <c r="AG786" s="347"/>
      <c r="AH786" s="347" t="s">
        <v>57</v>
      </c>
      <c r="AI786" s="347" t="s">
        <v>4442</v>
      </c>
      <c r="AJ786" s="347" t="s">
        <v>4443</v>
      </c>
      <c r="AK786" s="347" t="s">
        <v>4437</v>
      </c>
      <c r="AL786" s="387">
        <v>45574</v>
      </c>
    </row>
    <row r="787" spans="2:38" ht="15.75" outlineLevel="1">
      <c r="B787" s="345">
        <v>2111</v>
      </c>
      <c r="C787" s="346">
        <v>203939</v>
      </c>
      <c r="D787" s="345">
        <v>9537</v>
      </c>
      <c r="E787" s="347" t="s">
        <v>4240</v>
      </c>
      <c r="F787" s="343" t="s">
        <v>940</v>
      </c>
      <c r="I787" s="345">
        <v>1</v>
      </c>
      <c r="J787" s="347"/>
      <c r="K787" s="345">
        <v>0</v>
      </c>
      <c r="L787" s="347" t="s">
        <v>1572</v>
      </c>
      <c r="M787" s="347"/>
      <c r="N787" s="347" t="s">
        <v>4445</v>
      </c>
      <c r="O787" s="347" t="s">
        <v>4441</v>
      </c>
      <c r="P787" s="347" t="s">
        <v>1467</v>
      </c>
      <c r="Q787" s="347"/>
      <c r="R787" s="347"/>
      <c r="S787" s="348">
        <v>43356</v>
      </c>
      <c r="T787" s="348">
        <v>43356</v>
      </c>
      <c r="U787" s="347" t="s">
        <v>2030</v>
      </c>
      <c r="V787" s="345">
        <v>300</v>
      </c>
      <c r="W787" s="345">
        <v>14040</v>
      </c>
      <c r="X787" s="349">
        <v>11069.35</v>
      </c>
      <c r="Y787" s="345">
        <v>14046</v>
      </c>
      <c r="Z787" s="349">
        <v>11069.35</v>
      </c>
      <c r="AA787" s="349">
        <f t="shared" si="96"/>
        <v>0</v>
      </c>
      <c r="AB787" s="349">
        <v>0</v>
      </c>
      <c r="AC787" s="345">
        <v>51260</v>
      </c>
      <c r="AD787" s="349">
        <v>0</v>
      </c>
      <c r="AE787" s="345" t="s">
        <v>944</v>
      </c>
      <c r="AF787" s="347"/>
      <c r="AG787" s="347"/>
      <c r="AH787" s="347" t="s">
        <v>57</v>
      </c>
      <c r="AI787" s="347" t="s">
        <v>4442</v>
      </c>
      <c r="AJ787" s="347" t="s">
        <v>4443</v>
      </c>
      <c r="AK787" s="347" t="s">
        <v>4437</v>
      </c>
      <c r="AL787" s="387">
        <v>45574</v>
      </c>
    </row>
    <row r="788" spans="2:38" ht="15.75" outlineLevel="1">
      <c r="B788" s="345">
        <v>2111</v>
      </c>
      <c r="C788" s="346">
        <v>203867</v>
      </c>
      <c r="D788" s="345" t="s">
        <v>944</v>
      </c>
      <c r="E788" s="347" t="s">
        <v>4240</v>
      </c>
      <c r="F788" s="343" t="s">
        <v>2031</v>
      </c>
      <c r="I788" s="345">
        <v>1</v>
      </c>
      <c r="J788" s="347" t="s">
        <v>2032</v>
      </c>
      <c r="K788" s="345">
        <v>2019</v>
      </c>
      <c r="L788" s="347"/>
      <c r="M788" s="347"/>
      <c r="N788" s="347" t="s">
        <v>4445</v>
      </c>
      <c r="O788" s="347" t="s">
        <v>4441</v>
      </c>
      <c r="P788" s="347" t="s">
        <v>4487</v>
      </c>
      <c r="Q788" s="347"/>
      <c r="R788" s="347"/>
      <c r="S788" s="348">
        <v>43385</v>
      </c>
      <c r="T788" s="348">
        <v>43385</v>
      </c>
      <c r="U788" s="347" t="s">
        <v>2033</v>
      </c>
      <c r="V788" s="345">
        <v>1000</v>
      </c>
      <c r="W788" s="345">
        <v>14040</v>
      </c>
      <c r="X788" s="349">
        <v>350406.5</v>
      </c>
      <c r="Y788" s="345">
        <v>14046</v>
      </c>
      <c r="Z788" s="349">
        <v>210243.86</v>
      </c>
      <c r="AA788" s="349">
        <f t="shared" si="96"/>
        <v>140162.64000000001</v>
      </c>
      <c r="AB788" s="349">
        <v>26280.45</v>
      </c>
      <c r="AC788" s="345">
        <v>51260</v>
      </c>
      <c r="AD788" s="349">
        <v>2920.05</v>
      </c>
      <c r="AE788" s="345" t="s">
        <v>944</v>
      </c>
      <c r="AF788" s="347"/>
      <c r="AG788" s="347">
        <v>856</v>
      </c>
      <c r="AH788" s="347" t="s">
        <v>57</v>
      </c>
      <c r="AI788" s="347" t="s">
        <v>4442</v>
      </c>
      <c r="AJ788" s="347" t="s">
        <v>4443</v>
      </c>
      <c r="AK788" s="347" t="s">
        <v>4437</v>
      </c>
      <c r="AL788" s="387">
        <v>45574</v>
      </c>
    </row>
    <row r="789" spans="2:38" ht="15.75" outlineLevel="1">
      <c r="B789" s="345">
        <v>2111</v>
      </c>
      <c r="C789" s="346">
        <v>203779</v>
      </c>
      <c r="D789" s="345">
        <v>201533</v>
      </c>
      <c r="E789" s="347" t="s">
        <v>4240</v>
      </c>
      <c r="F789" s="343" t="s">
        <v>943</v>
      </c>
      <c r="I789" s="345">
        <v>1</v>
      </c>
      <c r="J789" s="347"/>
      <c r="K789" s="345">
        <v>0</v>
      </c>
      <c r="L789" s="347" t="s">
        <v>1522</v>
      </c>
      <c r="M789" s="347"/>
      <c r="N789" s="347" t="s">
        <v>4445</v>
      </c>
      <c r="O789" s="347" t="s">
        <v>4441</v>
      </c>
      <c r="P789" s="347" t="s">
        <v>1467</v>
      </c>
      <c r="Q789" s="347"/>
      <c r="R789" s="347"/>
      <c r="S789" s="348">
        <v>43287</v>
      </c>
      <c r="T789" s="348">
        <v>43287</v>
      </c>
      <c r="U789" s="347" t="s">
        <v>2034</v>
      </c>
      <c r="V789" s="345">
        <v>700</v>
      </c>
      <c r="W789" s="345">
        <v>14040</v>
      </c>
      <c r="X789" s="349">
        <v>9206.56</v>
      </c>
      <c r="Y789" s="345">
        <v>14046</v>
      </c>
      <c r="Z789" s="349">
        <v>9206.56</v>
      </c>
      <c r="AA789" s="349">
        <f t="shared" si="96"/>
        <v>0</v>
      </c>
      <c r="AB789" s="349">
        <v>400.29</v>
      </c>
      <c r="AC789" s="345">
        <v>51260</v>
      </c>
      <c r="AD789" s="349">
        <v>0</v>
      </c>
      <c r="AE789" s="345" t="s">
        <v>944</v>
      </c>
      <c r="AF789" s="347"/>
      <c r="AG789" s="347"/>
      <c r="AH789" s="347" t="s">
        <v>57</v>
      </c>
      <c r="AI789" s="347" t="s">
        <v>4442</v>
      </c>
      <c r="AJ789" s="347" t="s">
        <v>4443</v>
      </c>
      <c r="AK789" s="347" t="s">
        <v>4437</v>
      </c>
      <c r="AL789" s="387">
        <v>45574</v>
      </c>
    </row>
    <row r="790" spans="2:38" ht="15.75" outlineLevel="1">
      <c r="B790" s="345">
        <v>2111</v>
      </c>
      <c r="C790" s="346">
        <v>203608</v>
      </c>
      <c r="D790" s="345" t="s">
        <v>944</v>
      </c>
      <c r="E790" s="347" t="s">
        <v>4240</v>
      </c>
      <c r="F790" s="343" t="s">
        <v>899</v>
      </c>
      <c r="I790" s="345">
        <v>624</v>
      </c>
      <c r="J790" s="347"/>
      <c r="K790" s="345">
        <v>0</v>
      </c>
      <c r="L790" s="347" t="s">
        <v>1755</v>
      </c>
      <c r="M790" s="347"/>
      <c r="N790" s="347" t="s">
        <v>4446</v>
      </c>
      <c r="O790" s="347" t="s">
        <v>4441</v>
      </c>
      <c r="P790" s="347"/>
      <c r="Q790" s="347"/>
      <c r="R790" s="347"/>
      <c r="S790" s="348">
        <v>43309</v>
      </c>
      <c r="T790" s="348">
        <v>43309</v>
      </c>
      <c r="U790" s="347" t="s">
        <v>2036</v>
      </c>
      <c r="V790" s="345">
        <v>700</v>
      </c>
      <c r="W790" s="345">
        <v>14050</v>
      </c>
      <c r="X790" s="349">
        <v>33831.370000000003</v>
      </c>
      <c r="Y790" s="345">
        <v>14056</v>
      </c>
      <c r="Z790" s="349">
        <v>29803.77</v>
      </c>
      <c r="AA790" s="349">
        <f t="shared" si="96"/>
        <v>4027.6000000000022</v>
      </c>
      <c r="AB790" s="349">
        <v>3624.75</v>
      </c>
      <c r="AC790" s="345">
        <v>54260</v>
      </c>
      <c r="AD790" s="349">
        <v>402.75</v>
      </c>
      <c r="AE790" s="345" t="s">
        <v>944</v>
      </c>
      <c r="AF790" s="347"/>
      <c r="AG790" s="347"/>
      <c r="AH790" s="347" t="s">
        <v>57</v>
      </c>
      <c r="AI790" s="347" t="s">
        <v>4442</v>
      </c>
      <c r="AJ790" s="347" t="s">
        <v>4443</v>
      </c>
      <c r="AK790" s="347" t="s">
        <v>4437</v>
      </c>
      <c r="AL790" s="387">
        <v>45574</v>
      </c>
    </row>
    <row r="791" spans="2:38" ht="15.75" outlineLevel="1">
      <c r="B791" s="345">
        <v>2111</v>
      </c>
      <c r="C791" s="346">
        <v>203607</v>
      </c>
      <c r="D791" s="345" t="s">
        <v>944</v>
      </c>
      <c r="E791" s="347" t="s">
        <v>4240</v>
      </c>
      <c r="F791" s="343" t="s">
        <v>900</v>
      </c>
      <c r="I791" s="345">
        <v>312</v>
      </c>
      <c r="J791" s="347"/>
      <c r="K791" s="345">
        <v>0</v>
      </c>
      <c r="L791" s="347" t="s">
        <v>1755</v>
      </c>
      <c r="M791" s="347"/>
      <c r="N791" s="347" t="s">
        <v>4446</v>
      </c>
      <c r="O791" s="347" t="s">
        <v>4441</v>
      </c>
      <c r="P791" s="347"/>
      <c r="Q791" s="347"/>
      <c r="R791" s="347"/>
      <c r="S791" s="348">
        <v>43309</v>
      </c>
      <c r="T791" s="348">
        <v>43309</v>
      </c>
      <c r="U791" s="347" t="s">
        <v>2036</v>
      </c>
      <c r="V791" s="345">
        <v>700</v>
      </c>
      <c r="W791" s="345">
        <v>14050</v>
      </c>
      <c r="X791" s="349">
        <v>16915.689999999999</v>
      </c>
      <c r="Y791" s="345">
        <v>14056</v>
      </c>
      <c r="Z791" s="349">
        <v>14901.96</v>
      </c>
      <c r="AA791" s="349">
        <f t="shared" si="96"/>
        <v>2013.7299999999996</v>
      </c>
      <c r="AB791" s="349">
        <v>1812.42</v>
      </c>
      <c r="AC791" s="345">
        <v>54260</v>
      </c>
      <c r="AD791" s="349">
        <v>201.38</v>
      </c>
      <c r="AE791" s="345" t="s">
        <v>944</v>
      </c>
      <c r="AF791" s="347"/>
      <c r="AG791" s="347"/>
      <c r="AH791" s="347" t="s">
        <v>57</v>
      </c>
      <c r="AI791" s="347" t="s">
        <v>4442</v>
      </c>
      <c r="AJ791" s="347" t="s">
        <v>4443</v>
      </c>
      <c r="AK791" s="347" t="s">
        <v>4437</v>
      </c>
      <c r="AL791" s="387">
        <v>45574</v>
      </c>
    </row>
    <row r="792" spans="2:38" ht="15.75" outlineLevel="1">
      <c r="B792" s="345">
        <v>2111</v>
      </c>
      <c r="C792" s="346">
        <v>203606</v>
      </c>
      <c r="D792" s="345" t="s">
        <v>944</v>
      </c>
      <c r="E792" s="347" t="s">
        <v>4240</v>
      </c>
      <c r="F792" s="343" t="s">
        <v>901</v>
      </c>
      <c r="I792" s="345">
        <v>475</v>
      </c>
      <c r="J792" s="347"/>
      <c r="K792" s="345">
        <v>0</v>
      </c>
      <c r="L792" s="347" t="s">
        <v>1755</v>
      </c>
      <c r="M792" s="347"/>
      <c r="N792" s="347" t="s">
        <v>4446</v>
      </c>
      <c r="O792" s="347" t="s">
        <v>4441</v>
      </c>
      <c r="P792" s="347"/>
      <c r="Q792" s="347"/>
      <c r="R792" s="347"/>
      <c r="S792" s="348">
        <v>43309</v>
      </c>
      <c r="T792" s="348">
        <v>43309</v>
      </c>
      <c r="U792" s="347" t="s">
        <v>2036</v>
      </c>
      <c r="V792" s="345">
        <v>700</v>
      </c>
      <c r="W792" s="345">
        <v>14050</v>
      </c>
      <c r="X792" s="349">
        <v>18365.82</v>
      </c>
      <c r="Y792" s="345">
        <v>14056</v>
      </c>
      <c r="Z792" s="349">
        <v>16179.41</v>
      </c>
      <c r="AA792" s="349">
        <f t="shared" si="96"/>
        <v>2186.41</v>
      </c>
      <c r="AB792" s="349">
        <v>1967.76</v>
      </c>
      <c r="AC792" s="345">
        <v>54260</v>
      </c>
      <c r="AD792" s="349">
        <v>218.64</v>
      </c>
      <c r="AE792" s="345" t="s">
        <v>944</v>
      </c>
      <c r="AF792" s="347"/>
      <c r="AG792" s="347"/>
      <c r="AH792" s="347" t="s">
        <v>57</v>
      </c>
      <c r="AI792" s="347" t="s">
        <v>4442</v>
      </c>
      <c r="AJ792" s="347" t="s">
        <v>4443</v>
      </c>
      <c r="AK792" s="347" t="s">
        <v>4437</v>
      </c>
      <c r="AL792" s="387">
        <v>45574</v>
      </c>
    </row>
    <row r="793" spans="2:38" ht="15.75" outlineLevel="1">
      <c r="B793" s="345">
        <v>2111</v>
      </c>
      <c r="C793" s="346">
        <v>202939</v>
      </c>
      <c r="D793" s="345" t="s">
        <v>944</v>
      </c>
      <c r="E793" s="347" t="s">
        <v>4240</v>
      </c>
      <c r="F793" s="343" t="s">
        <v>895</v>
      </c>
      <c r="I793" s="345">
        <v>1</v>
      </c>
      <c r="J793" s="347" t="s">
        <v>2037</v>
      </c>
      <c r="K793" s="345">
        <v>2016</v>
      </c>
      <c r="L793" s="347" t="s">
        <v>2038</v>
      </c>
      <c r="M793" s="347"/>
      <c r="N793" s="347" t="s">
        <v>4445</v>
      </c>
      <c r="O793" s="347" t="s">
        <v>4441</v>
      </c>
      <c r="P793" s="347" t="s">
        <v>2039</v>
      </c>
      <c r="Q793" s="347"/>
      <c r="R793" s="347"/>
      <c r="S793" s="348">
        <v>43328</v>
      </c>
      <c r="T793" s="348">
        <v>43328</v>
      </c>
      <c r="U793" s="347" t="s">
        <v>2002</v>
      </c>
      <c r="V793" s="345">
        <v>700</v>
      </c>
      <c r="W793" s="345">
        <v>14040</v>
      </c>
      <c r="X793" s="349">
        <v>42500</v>
      </c>
      <c r="Y793" s="345">
        <v>14046</v>
      </c>
      <c r="Z793" s="349">
        <v>36934.51</v>
      </c>
      <c r="AA793" s="349">
        <f t="shared" si="96"/>
        <v>5565.489999999998</v>
      </c>
      <c r="AB793" s="349">
        <v>4553.55</v>
      </c>
      <c r="AC793" s="345">
        <v>51260</v>
      </c>
      <c r="AD793" s="349">
        <v>505.95</v>
      </c>
      <c r="AE793" s="345" t="s">
        <v>944</v>
      </c>
      <c r="AF793" s="347">
        <v>0</v>
      </c>
      <c r="AG793" s="347" t="s">
        <v>1006</v>
      </c>
      <c r="AH793" s="347" t="s">
        <v>57</v>
      </c>
      <c r="AI793" s="347" t="s">
        <v>4442</v>
      </c>
      <c r="AJ793" s="347" t="s">
        <v>4443</v>
      </c>
      <c r="AK793" s="347" t="s">
        <v>4437</v>
      </c>
      <c r="AL793" s="387">
        <v>45574</v>
      </c>
    </row>
    <row r="794" spans="2:38" ht="15.75" outlineLevel="1">
      <c r="B794" s="345">
        <v>2111</v>
      </c>
      <c r="C794" s="346">
        <v>202833</v>
      </c>
      <c r="D794" s="345" t="s">
        <v>944</v>
      </c>
      <c r="E794" s="347" t="s">
        <v>4240</v>
      </c>
      <c r="F794" s="343" t="s">
        <v>898</v>
      </c>
      <c r="I794" s="345">
        <v>1</v>
      </c>
      <c r="J794" s="347" t="s">
        <v>2040</v>
      </c>
      <c r="K794" s="345">
        <v>2019</v>
      </c>
      <c r="L794" s="347" t="s">
        <v>751</v>
      </c>
      <c r="M794" s="347" t="s">
        <v>751</v>
      </c>
      <c r="N794" s="347" t="s">
        <v>4445</v>
      </c>
      <c r="O794" s="347" t="s">
        <v>4441</v>
      </c>
      <c r="P794" s="347" t="s">
        <v>4487</v>
      </c>
      <c r="Q794" s="347"/>
      <c r="R794" s="347"/>
      <c r="S794" s="348">
        <v>43373</v>
      </c>
      <c r="T794" s="348">
        <v>43373</v>
      </c>
      <c r="U794" s="347" t="s">
        <v>2023</v>
      </c>
      <c r="V794" s="345">
        <v>1000</v>
      </c>
      <c r="W794" s="345">
        <v>14040</v>
      </c>
      <c r="X794" s="349">
        <v>330697.77</v>
      </c>
      <c r="Y794" s="345">
        <v>14046</v>
      </c>
      <c r="Z794" s="349">
        <v>198418.64</v>
      </c>
      <c r="AA794" s="349">
        <f t="shared" si="96"/>
        <v>132279.13</v>
      </c>
      <c r="AB794" s="349">
        <v>24802.29</v>
      </c>
      <c r="AC794" s="345">
        <v>51260</v>
      </c>
      <c r="AD794" s="349">
        <v>2755.81</v>
      </c>
      <c r="AE794" s="345" t="s">
        <v>944</v>
      </c>
      <c r="AF794" s="347"/>
      <c r="AG794" s="347">
        <v>913</v>
      </c>
      <c r="AH794" s="347" t="s">
        <v>57</v>
      </c>
      <c r="AI794" s="347" t="s">
        <v>4442</v>
      </c>
      <c r="AJ794" s="347" t="s">
        <v>4443</v>
      </c>
      <c r="AK794" s="347" t="s">
        <v>4437</v>
      </c>
      <c r="AL794" s="387">
        <v>45574</v>
      </c>
    </row>
    <row r="795" spans="2:38" ht="15.75" outlineLevel="1">
      <c r="B795" s="345">
        <v>2111</v>
      </c>
      <c r="C795" s="346">
        <v>202832</v>
      </c>
      <c r="D795" s="345" t="s">
        <v>944</v>
      </c>
      <c r="E795" s="347" t="s">
        <v>4240</v>
      </c>
      <c r="F795" s="343" t="s">
        <v>898</v>
      </c>
      <c r="I795" s="345">
        <v>1</v>
      </c>
      <c r="J795" s="347" t="s">
        <v>2041</v>
      </c>
      <c r="K795" s="345">
        <v>2019</v>
      </c>
      <c r="L795" s="347" t="s">
        <v>751</v>
      </c>
      <c r="M795" s="347" t="s">
        <v>751</v>
      </c>
      <c r="N795" s="347" t="s">
        <v>4445</v>
      </c>
      <c r="O795" s="347" t="s">
        <v>4441</v>
      </c>
      <c r="P795" s="347" t="s">
        <v>4487</v>
      </c>
      <c r="Q795" s="347"/>
      <c r="R795" s="347"/>
      <c r="S795" s="348">
        <v>43373</v>
      </c>
      <c r="T795" s="348">
        <v>43373</v>
      </c>
      <c r="U795" s="347" t="s">
        <v>2042</v>
      </c>
      <c r="V795" s="345">
        <v>1000</v>
      </c>
      <c r="W795" s="345">
        <v>14040</v>
      </c>
      <c r="X795" s="349">
        <v>331358.90999999997</v>
      </c>
      <c r="Y795" s="345">
        <v>14046</v>
      </c>
      <c r="Z795" s="349">
        <v>198815.3</v>
      </c>
      <c r="AA795" s="349">
        <f t="shared" si="96"/>
        <v>132543.60999999999</v>
      </c>
      <c r="AB795" s="349">
        <v>24851.88</v>
      </c>
      <c r="AC795" s="345">
        <v>51260</v>
      </c>
      <c r="AD795" s="349">
        <v>2761.32</v>
      </c>
      <c r="AE795" s="345" t="s">
        <v>944</v>
      </c>
      <c r="AF795" s="347"/>
      <c r="AG795" s="347">
        <v>912</v>
      </c>
      <c r="AH795" s="347" t="s">
        <v>57</v>
      </c>
      <c r="AI795" s="347" t="s">
        <v>4442</v>
      </c>
      <c r="AJ795" s="347" t="s">
        <v>4443</v>
      </c>
      <c r="AK795" s="347" t="s">
        <v>4437</v>
      </c>
      <c r="AL795" s="387">
        <v>45574</v>
      </c>
    </row>
    <row r="796" spans="2:38" ht="15.75" outlineLevel="1">
      <c r="B796" s="345">
        <v>2111</v>
      </c>
      <c r="C796" s="346">
        <v>202609</v>
      </c>
      <c r="D796" s="345" t="s">
        <v>944</v>
      </c>
      <c r="E796" s="347" t="s">
        <v>4240</v>
      </c>
      <c r="F796" s="343" t="s">
        <v>902</v>
      </c>
      <c r="I796" s="345">
        <v>864</v>
      </c>
      <c r="J796" s="347"/>
      <c r="K796" s="345">
        <v>0</v>
      </c>
      <c r="L796" s="347" t="s">
        <v>1755</v>
      </c>
      <c r="M796" s="347"/>
      <c r="N796" s="347" t="s">
        <v>4446</v>
      </c>
      <c r="O796" s="347" t="s">
        <v>4441</v>
      </c>
      <c r="P796" s="347"/>
      <c r="Q796" s="347"/>
      <c r="R796" s="347"/>
      <c r="S796" s="348">
        <v>43309</v>
      </c>
      <c r="T796" s="348">
        <v>43309</v>
      </c>
      <c r="U796" s="347" t="s">
        <v>2036</v>
      </c>
      <c r="V796" s="345">
        <v>700</v>
      </c>
      <c r="W796" s="345">
        <v>14050</v>
      </c>
      <c r="X796" s="349">
        <v>40306.68</v>
      </c>
      <c r="Y796" s="345">
        <v>14056</v>
      </c>
      <c r="Z796" s="349">
        <v>35508.269999999997</v>
      </c>
      <c r="AA796" s="349">
        <f t="shared" si="96"/>
        <v>4798.4100000000035</v>
      </c>
      <c r="AB796" s="349">
        <v>4318.5600000000004</v>
      </c>
      <c r="AC796" s="345">
        <v>54260</v>
      </c>
      <c r="AD796" s="349">
        <v>479.84</v>
      </c>
      <c r="AE796" s="345" t="s">
        <v>944</v>
      </c>
      <c r="AF796" s="347"/>
      <c r="AG796" s="347"/>
      <c r="AH796" s="347" t="s">
        <v>57</v>
      </c>
      <c r="AI796" s="347" t="s">
        <v>4442</v>
      </c>
      <c r="AJ796" s="347" t="s">
        <v>4443</v>
      </c>
      <c r="AK796" s="347" t="s">
        <v>4437</v>
      </c>
      <c r="AL796" s="387">
        <v>45574</v>
      </c>
    </row>
    <row r="797" spans="2:38" ht="15.75" outlineLevel="1">
      <c r="B797" s="345">
        <v>2111</v>
      </c>
      <c r="C797" s="346">
        <v>202478</v>
      </c>
      <c r="D797" s="345" t="s">
        <v>944</v>
      </c>
      <c r="E797" s="347" t="s">
        <v>4240</v>
      </c>
      <c r="F797" s="343" t="s">
        <v>903</v>
      </c>
      <c r="I797" s="345">
        <v>864</v>
      </c>
      <c r="J797" s="347"/>
      <c r="K797" s="345">
        <v>0</v>
      </c>
      <c r="L797" s="347" t="s">
        <v>1755</v>
      </c>
      <c r="M797" s="347"/>
      <c r="N797" s="347" t="s">
        <v>4446</v>
      </c>
      <c r="O797" s="347" t="s">
        <v>4441</v>
      </c>
      <c r="P797" s="347"/>
      <c r="Q797" s="347"/>
      <c r="R797" s="347"/>
      <c r="S797" s="348">
        <v>43276</v>
      </c>
      <c r="T797" s="348">
        <v>43276</v>
      </c>
      <c r="U797" s="347" t="s">
        <v>2043</v>
      </c>
      <c r="V797" s="345">
        <v>700</v>
      </c>
      <c r="W797" s="345">
        <v>14050</v>
      </c>
      <c r="X797" s="349">
        <v>40104.33</v>
      </c>
      <c r="Y797" s="345">
        <v>14056</v>
      </c>
      <c r="Z797" s="349">
        <v>35807.42</v>
      </c>
      <c r="AA797" s="349">
        <f t="shared" si="96"/>
        <v>4296.9100000000035</v>
      </c>
      <c r="AB797" s="349">
        <v>4296.87</v>
      </c>
      <c r="AC797" s="345">
        <v>54260</v>
      </c>
      <c r="AD797" s="349">
        <v>477.43</v>
      </c>
      <c r="AE797" s="345" t="s">
        <v>944</v>
      </c>
      <c r="AF797" s="347"/>
      <c r="AG797" s="347"/>
      <c r="AH797" s="347" t="s">
        <v>57</v>
      </c>
      <c r="AI797" s="347" t="s">
        <v>4442</v>
      </c>
      <c r="AJ797" s="347" t="s">
        <v>4443</v>
      </c>
      <c r="AK797" s="347" t="s">
        <v>4437</v>
      </c>
      <c r="AL797" s="387">
        <v>45574</v>
      </c>
    </row>
    <row r="798" spans="2:38" ht="15.75" outlineLevel="1">
      <c r="B798" s="345">
        <v>2111</v>
      </c>
      <c r="C798" s="346">
        <v>201533</v>
      </c>
      <c r="D798" s="345" t="s">
        <v>944</v>
      </c>
      <c r="E798" s="347" t="s">
        <v>4240</v>
      </c>
      <c r="F798" s="343" t="s">
        <v>896</v>
      </c>
      <c r="I798" s="345">
        <v>1</v>
      </c>
      <c r="J798" s="347" t="s">
        <v>2044</v>
      </c>
      <c r="K798" s="345">
        <v>2019</v>
      </c>
      <c r="L798" s="347" t="s">
        <v>1594</v>
      </c>
      <c r="M798" s="347" t="s">
        <v>1594</v>
      </c>
      <c r="N798" s="347" t="s">
        <v>4445</v>
      </c>
      <c r="O798" s="347" t="s">
        <v>4441</v>
      </c>
      <c r="P798" s="347" t="s">
        <v>4497</v>
      </c>
      <c r="Q798" s="347"/>
      <c r="R798" s="347"/>
      <c r="S798" s="348">
        <v>43287</v>
      </c>
      <c r="T798" s="348">
        <v>43287</v>
      </c>
      <c r="U798" s="347" t="s">
        <v>2034</v>
      </c>
      <c r="V798" s="345">
        <v>700</v>
      </c>
      <c r="W798" s="345">
        <v>14040</v>
      </c>
      <c r="X798" s="349">
        <v>82859.97</v>
      </c>
      <c r="Y798" s="345">
        <v>14046</v>
      </c>
      <c r="Z798" s="349">
        <v>82859.97</v>
      </c>
      <c r="AA798" s="349">
        <f t="shared" si="96"/>
        <v>0</v>
      </c>
      <c r="AB798" s="349">
        <v>3602.61</v>
      </c>
      <c r="AC798" s="345">
        <v>51260</v>
      </c>
      <c r="AD798" s="349">
        <v>0</v>
      </c>
      <c r="AE798" s="345" t="s">
        <v>944</v>
      </c>
      <c r="AF798" s="347">
        <v>0</v>
      </c>
      <c r="AG798" s="347" t="s">
        <v>1007</v>
      </c>
      <c r="AH798" s="347" t="s">
        <v>57</v>
      </c>
      <c r="AI798" s="347" t="s">
        <v>4442</v>
      </c>
      <c r="AJ798" s="347" t="s">
        <v>4443</v>
      </c>
      <c r="AK798" s="347" t="s">
        <v>4437</v>
      </c>
      <c r="AL798" s="387">
        <v>45574</v>
      </c>
    </row>
    <row r="799" spans="2:38" ht="15.75" outlineLevel="1">
      <c r="B799" s="345">
        <v>2111</v>
      </c>
      <c r="C799" s="346">
        <v>201178</v>
      </c>
      <c r="D799" s="345" t="s">
        <v>944</v>
      </c>
      <c r="E799" s="347" t="s">
        <v>4240</v>
      </c>
      <c r="F799" s="343" t="s">
        <v>906</v>
      </c>
      <c r="I799" s="345">
        <v>1</v>
      </c>
      <c r="J799" s="347"/>
      <c r="K799" s="345">
        <v>0</v>
      </c>
      <c r="L799" s="347" t="s">
        <v>1657</v>
      </c>
      <c r="M799" s="347"/>
      <c r="N799" s="347" t="s">
        <v>4440</v>
      </c>
      <c r="O799" s="347" t="s">
        <v>4441</v>
      </c>
      <c r="P799" s="347"/>
      <c r="Q799" s="347"/>
      <c r="R799" s="347"/>
      <c r="S799" s="348">
        <v>43318</v>
      </c>
      <c r="T799" s="348">
        <v>43318</v>
      </c>
      <c r="U799" s="347" t="s">
        <v>2046</v>
      </c>
      <c r="V799" s="345">
        <v>300</v>
      </c>
      <c r="W799" s="345">
        <v>14110</v>
      </c>
      <c r="X799" s="349">
        <v>1365.39</v>
      </c>
      <c r="Y799" s="345">
        <v>14116</v>
      </c>
      <c r="Z799" s="349">
        <v>1365.39</v>
      </c>
      <c r="AA799" s="349">
        <f t="shared" si="96"/>
        <v>0</v>
      </c>
      <c r="AB799" s="349">
        <v>0</v>
      </c>
      <c r="AC799" s="345">
        <v>70260</v>
      </c>
      <c r="AD799" s="349">
        <v>0</v>
      </c>
      <c r="AE799" s="345" t="s">
        <v>944</v>
      </c>
      <c r="AF799" s="347"/>
      <c r="AG799" s="347"/>
      <c r="AH799" s="347" t="s">
        <v>57</v>
      </c>
      <c r="AI799" s="347" t="s">
        <v>4442</v>
      </c>
      <c r="AJ799" s="347" t="s">
        <v>4443</v>
      </c>
      <c r="AK799" s="347" t="s">
        <v>4437</v>
      </c>
      <c r="AL799" s="387">
        <v>45574</v>
      </c>
    </row>
    <row r="800" spans="2:38" ht="15.75" outlineLevel="1">
      <c r="B800" s="345">
        <v>2111</v>
      </c>
      <c r="C800" s="346">
        <v>201172</v>
      </c>
      <c r="D800" s="345" t="s">
        <v>944</v>
      </c>
      <c r="E800" s="347" t="s">
        <v>4240</v>
      </c>
      <c r="F800" s="343" t="s">
        <v>903</v>
      </c>
      <c r="I800" s="345">
        <v>624</v>
      </c>
      <c r="J800" s="347"/>
      <c r="K800" s="345">
        <v>0</v>
      </c>
      <c r="L800" s="347" t="s">
        <v>1755</v>
      </c>
      <c r="M800" s="347"/>
      <c r="N800" s="347" t="s">
        <v>4446</v>
      </c>
      <c r="O800" s="347" t="s">
        <v>4441</v>
      </c>
      <c r="P800" s="347"/>
      <c r="Q800" s="347"/>
      <c r="R800" s="347"/>
      <c r="S800" s="348">
        <v>43276</v>
      </c>
      <c r="T800" s="348">
        <v>43276</v>
      </c>
      <c r="U800" s="347" t="s">
        <v>2043</v>
      </c>
      <c r="V800" s="345">
        <v>700</v>
      </c>
      <c r="W800" s="345">
        <v>14050</v>
      </c>
      <c r="X800" s="349">
        <v>33629.019999999997</v>
      </c>
      <c r="Y800" s="345">
        <v>14056</v>
      </c>
      <c r="Z800" s="349">
        <v>30025.97</v>
      </c>
      <c r="AA800" s="349">
        <f t="shared" si="96"/>
        <v>3603.0499999999956</v>
      </c>
      <c r="AB800" s="349">
        <v>3603.15</v>
      </c>
      <c r="AC800" s="345">
        <v>54260</v>
      </c>
      <c r="AD800" s="349">
        <v>400.35</v>
      </c>
      <c r="AE800" s="345" t="s">
        <v>944</v>
      </c>
      <c r="AF800" s="347"/>
      <c r="AG800" s="347"/>
      <c r="AH800" s="347" t="s">
        <v>57</v>
      </c>
      <c r="AI800" s="347" t="s">
        <v>4442</v>
      </c>
      <c r="AJ800" s="347" t="s">
        <v>4443</v>
      </c>
      <c r="AK800" s="347" t="s">
        <v>4437</v>
      </c>
      <c r="AL800" s="387">
        <v>45574</v>
      </c>
    </row>
    <row r="801" spans="2:38" ht="15.75" outlineLevel="1">
      <c r="B801" s="345">
        <v>2111</v>
      </c>
      <c r="C801" s="346">
        <v>201171</v>
      </c>
      <c r="D801" s="345" t="s">
        <v>944</v>
      </c>
      <c r="E801" s="347" t="s">
        <v>4240</v>
      </c>
      <c r="F801" s="343" t="s">
        <v>899</v>
      </c>
      <c r="I801" s="345">
        <v>624</v>
      </c>
      <c r="J801" s="347"/>
      <c r="K801" s="345">
        <v>0</v>
      </c>
      <c r="L801" s="347" t="s">
        <v>1755</v>
      </c>
      <c r="M801" s="347"/>
      <c r="N801" s="347" t="s">
        <v>4446</v>
      </c>
      <c r="O801" s="347" t="s">
        <v>4441</v>
      </c>
      <c r="P801" s="347"/>
      <c r="Q801" s="347"/>
      <c r="R801" s="347"/>
      <c r="S801" s="348">
        <v>43276</v>
      </c>
      <c r="T801" s="348">
        <v>43276</v>
      </c>
      <c r="U801" s="347" t="s">
        <v>2043</v>
      </c>
      <c r="V801" s="345">
        <v>700</v>
      </c>
      <c r="W801" s="345">
        <v>14050</v>
      </c>
      <c r="X801" s="349">
        <v>33629.03</v>
      </c>
      <c r="Y801" s="345">
        <v>14056</v>
      </c>
      <c r="Z801" s="349">
        <v>30025.97</v>
      </c>
      <c r="AA801" s="349">
        <f t="shared" si="96"/>
        <v>3603.0599999999977</v>
      </c>
      <c r="AB801" s="349">
        <v>3603.15</v>
      </c>
      <c r="AC801" s="345">
        <v>54260</v>
      </c>
      <c r="AD801" s="349">
        <v>400.35</v>
      </c>
      <c r="AE801" s="345" t="s">
        <v>944</v>
      </c>
      <c r="AF801" s="347"/>
      <c r="AG801" s="347"/>
      <c r="AH801" s="347" t="s">
        <v>57</v>
      </c>
      <c r="AI801" s="347" t="s">
        <v>4442</v>
      </c>
      <c r="AJ801" s="347" t="s">
        <v>4443</v>
      </c>
      <c r="AK801" s="347" t="s">
        <v>4437</v>
      </c>
      <c r="AL801" s="387">
        <v>45574</v>
      </c>
    </row>
    <row r="802" spans="2:38" ht="15.75" outlineLevel="1">
      <c r="B802" s="345">
        <v>2111</v>
      </c>
      <c r="C802" s="346">
        <v>201170</v>
      </c>
      <c r="D802" s="345" t="s">
        <v>944</v>
      </c>
      <c r="E802" s="347" t="s">
        <v>4240</v>
      </c>
      <c r="F802" s="343" t="s">
        <v>904</v>
      </c>
      <c r="I802" s="345">
        <v>624</v>
      </c>
      <c r="J802" s="347"/>
      <c r="K802" s="345">
        <v>0</v>
      </c>
      <c r="L802" s="347" t="s">
        <v>1755</v>
      </c>
      <c r="M802" s="347"/>
      <c r="N802" s="347" t="s">
        <v>4446</v>
      </c>
      <c r="O802" s="347" t="s">
        <v>4441</v>
      </c>
      <c r="P802" s="347"/>
      <c r="Q802" s="347"/>
      <c r="R802" s="347"/>
      <c r="S802" s="348">
        <v>43276</v>
      </c>
      <c r="T802" s="348">
        <v>43276</v>
      </c>
      <c r="U802" s="347" t="s">
        <v>2043</v>
      </c>
      <c r="V802" s="345">
        <v>700</v>
      </c>
      <c r="W802" s="345">
        <v>14050</v>
      </c>
      <c r="X802" s="349">
        <v>34685.120000000003</v>
      </c>
      <c r="Y802" s="345">
        <v>14056</v>
      </c>
      <c r="Z802" s="349">
        <v>30968.89</v>
      </c>
      <c r="AA802" s="349">
        <f t="shared" si="96"/>
        <v>3716.2300000000032</v>
      </c>
      <c r="AB802" s="349">
        <v>3716.28</v>
      </c>
      <c r="AC802" s="345">
        <v>54260</v>
      </c>
      <c r="AD802" s="349">
        <v>412.92</v>
      </c>
      <c r="AE802" s="345" t="s">
        <v>944</v>
      </c>
      <c r="AF802" s="347"/>
      <c r="AG802" s="347"/>
      <c r="AH802" s="347" t="s">
        <v>57</v>
      </c>
      <c r="AI802" s="347" t="s">
        <v>4442</v>
      </c>
      <c r="AJ802" s="347" t="s">
        <v>4443</v>
      </c>
      <c r="AK802" s="347" t="s">
        <v>4437</v>
      </c>
      <c r="AL802" s="387">
        <v>45574</v>
      </c>
    </row>
    <row r="803" spans="2:38" ht="15.75" outlineLevel="1">
      <c r="B803" s="345">
        <v>2111</v>
      </c>
      <c r="C803" s="346">
        <v>200835</v>
      </c>
      <c r="D803" s="345" t="s">
        <v>944</v>
      </c>
      <c r="E803" s="347" t="s">
        <v>4240</v>
      </c>
      <c r="F803" s="343" t="s">
        <v>777</v>
      </c>
      <c r="I803" s="345">
        <v>6</v>
      </c>
      <c r="J803" s="347"/>
      <c r="K803" s="345">
        <v>0</v>
      </c>
      <c r="L803" s="347"/>
      <c r="M803" s="347"/>
      <c r="N803" s="347" t="s">
        <v>4446</v>
      </c>
      <c r="O803" s="347" t="s">
        <v>4441</v>
      </c>
      <c r="P803" s="347"/>
      <c r="Q803" s="347" t="s">
        <v>4447</v>
      </c>
      <c r="R803" s="347" t="s">
        <v>4448</v>
      </c>
      <c r="S803" s="348">
        <v>39755</v>
      </c>
      <c r="T803" s="348">
        <v>39755</v>
      </c>
      <c r="U803" s="347"/>
      <c r="V803" s="345">
        <v>700</v>
      </c>
      <c r="W803" s="345">
        <v>14050</v>
      </c>
      <c r="X803" s="349">
        <v>3754.29</v>
      </c>
      <c r="Y803" s="345">
        <v>14056</v>
      </c>
      <c r="Z803" s="349">
        <v>3754.29</v>
      </c>
      <c r="AA803" s="349">
        <f t="shared" si="96"/>
        <v>0</v>
      </c>
      <c r="AB803" s="349">
        <v>0</v>
      </c>
      <c r="AC803" s="345">
        <v>54260</v>
      </c>
      <c r="AD803" s="349">
        <v>0</v>
      </c>
      <c r="AE803" s="345" t="s">
        <v>410</v>
      </c>
      <c r="AF803" s="347" t="s">
        <v>1828</v>
      </c>
      <c r="AG803" s="347" t="s">
        <v>2206</v>
      </c>
      <c r="AH803" s="347" t="s">
        <v>57</v>
      </c>
      <c r="AI803" s="347" t="s">
        <v>4442</v>
      </c>
      <c r="AJ803" s="347" t="s">
        <v>4443</v>
      </c>
      <c r="AK803" s="347" t="s">
        <v>4437</v>
      </c>
      <c r="AL803" s="387">
        <v>45574</v>
      </c>
    </row>
    <row r="804" spans="2:38" ht="15.75" outlineLevel="1">
      <c r="B804" s="345">
        <v>2111</v>
      </c>
      <c r="C804" s="346">
        <v>200783</v>
      </c>
      <c r="D804" s="345" t="s">
        <v>944</v>
      </c>
      <c r="E804" s="347" t="s">
        <v>4240</v>
      </c>
      <c r="F804" s="343" t="s">
        <v>897</v>
      </c>
      <c r="I804" s="345">
        <v>1</v>
      </c>
      <c r="J804" s="347" t="s">
        <v>2048</v>
      </c>
      <c r="K804" s="345">
        <v>2019</v>
      </c>
      <c r="L804" s="347"/>
      <c r="M804" s="347"/>
      <c r="N804" s="347" t="s">
        <v>4445</v>
      </c>
      <c r="O804" s="347" t="s">
        <v>4441</v>
      </c>
      <c r="P804" s="347" t="s">
        <v>4490</v>
      </c>
      <c r="Q804" s="347"/>
      <c r="R804" s="347"/>
      <c r="S804" s="348">
        <v>43294</v>
      </c>
      <c r="T804" s="348">
        <v>43294</v>
      </c>
      <c r="U804" s="347" t="s">
        <v>2050</v>
      </c>
      <c r="V804" s="345">
        <v>1000</v>
      </c>
      <c r="W804" s="345">
        <v>14040</v>
      </c>
      <c r="X804" s="349">
        <v>131900.57999999999</v>
      </c>
      <c r="Y804" s="345">
        <v>14046</v>
      </c>
      <c r="Z804" s="349">
        <v>82437.8</v>
      </c>
      <c r="AA804" s="349">
        <f t="shared" si="96"/>
        <v>49462.779999999984</v>
      </c>
      <c r="AB804" s="349">
        <v>9892.5300000000007</v>
      </c>
      <c r="AC804" s="345">
        <v>51260</v>
      </c>
      <c r="AD804" s="349">
        <v>1099.17</v>
      </c>
      <c r="AE804" s="345" t="s">
        <v>944</v>
      </c>
      <c r="AF804" s="347"/>
      <c r="AG804" s="347">
        <v>150</v>
      </c>
      <c r="AH804" s="347" t="s">
        <v>57</v>
      </c>
      <c r="AI804" s="347" t="s">
        <v>4442</v>
      </c>
      <c r="AJ804" s="347" t="s">
        <v>4443</v>
      </c>
      <c r="AK804" s="347" t="s">
        <v>4437</v>
      </c>
      <c r="AL804" s="387">
        <v>45574</v>
      </c>
    </row>
    <row r="805" spans="2:38" ht="15.75" outlineLevel="1">
      <c r="B805" s="345">
        <v>2111</v>
      </c>
      <c r="C805" s="346">
        <v>200782</v>
      </c>
      <c r="D805" s="345" t="s">
        <v>944</v>
      </c>
      <c r="E805" s="347" t="s">
        <v>4240</v>
      </c>
      <c r="F805" s="343" t="s">
        <v>907</v>
      </c>
      <c r="I805" s="345">
        <v>1</v>
      </c>
      <c r="J805" s="347"/>
      <c r="K805" s="345">
        <v>0</v>
      </c>
      <c r="L805" s="347"/>
      <c r="M805" s="347"/>
      <c r="N805" s="347" t="s">
        <v>4440</v>
      </c>
      <c r="O805" s="347" t="s">
        <v>4441</v>
      </c>
      <c r="P805" s="347"/>
      <c r="Q805" s="347"/>
      <c r="R805" s="347"/>
      <c r="S805" s="348">
        <v>43296</v>
      </c>
      <c r="T805" s="348">
        <v>43296</v>
      </c>
      <c r="U805" s="347" t="s">
        <v>2051</v>
      </c>
      <c r="V805" s="345">
        <v>300</v>
      </c>
      <c r="W805" s="345">
        <v>14110</v>
      </c>
      <c r="X805" s="349">
        <v>2910</v>
      </c>
      <c r="Y805" s="345">
        <v>14116</v>
      </c>
      <c r="Z805" s="349">
        <v>2910</v>
      </c>
      <c r="AA805" s="349">
        <f t="shared" ref="AA805:AA868" si="97">+X805-Z805</f>
        <v>0</v>
      </c>
      <c r="AB805" s="349">
        <v>0</v>
      </c>
      <c r="AC805" s="345">
        <v>70260</v>
      </c>
      <c r="AD805" s="349">
        <v>0</v>
      </c>
      <c r="AE805" s="345" t="s">
        <v>944</v>
      </c>
      <c r="AF805" s="347"/>
      <c r="AG805" s="347"/>
      <c r="AH805" s="347" t="s">
        <v>57</v>
      </c>
      <c r="AI805" s="347" t="s">
        <v>4442</v>
      </c>
      <c r="AJ805" s="347" t="s">
        <v>4443</v>
      </c>
      <c r="AK805" s="347" t="s">
        <v>4437</v>
      </c>
      <c r="AL805" s="387">
        <v>45574</v>
      </c>
    </row>
    <row r="806" spans="2:38" ht="15.75" outlineLevel="1">
      <c r="B806" s="345">
        <v>2111</v>
      </c>
      <c r="C806" s="346">
        <v>200714</v>
      </c>
      <c r="D806" s="345">
        <v>173078</v>
      </c>
      <c r="E806" s="347" t="s">
        <v>4240</v>
      </c>
      <c r="F806" s="343" t="s">
        <v>567</v>
      </c>
      <c r="I806" s="345">
        <v>1</v>
      </c>
      <c r="J806" s="347"/>
      <c r="K806" s="345">
        <v>0</v>
      </c>
      <c r="L806" s="347" t="s">
        <v>1561</v>
      </c>
      <c r="M806" s="347"/>
      <c r="N806" s="347" t="s">
        <v>4445</v>
      </c>
      <c r="O806" s="347" t="s">
        <v>4441</v>
      </c>
      <c r="P806" s="347" t="s">
        <v>1467</v>
      </c>
      <c r="Q806" s="347"/>
      <c r="R806" s="347"/>
      <c r="S806" s="348">
        <v>43306</v>
      </c>
      <c r="T806" s="348">
        <v>43306</v>
      </c>
      <c r="U806" s="347" t="s">
        <v>2052</v>
      </c>
      <c r="V806" s="345">
        <v>300</v>
      </c>
      <c r="W806" s="345">
        <v>14040</v>
      </c>
      <c r="X806" s="349">
        <v>9099.7199999999993</v>
      </c>
      <c r="Y806" s="345">
        <v>14046</v>
      </c>
      <c r="Z806" s="349">
        <v>9099.7199999999993</v>
      </c>
      <c r="AA806" s="349">
        <f t="shared" si="97"/>
        <v>0</v>
      </c>
      <c r="AB806" s="349">
        <v>0</v>
      </c>
      <c r="AC806" s="345">
        <v>51260</v>
      </c>
      <c r="AD806" s="349">
        <v>0</v>
      </c>
      <c r="AE806" s="345" t="s">
        <v>944</v>
      </c>
      <c r="AF806" s="347"/>
      <c r="AG806" s="347"/>
      <c r="AH806" s="347" t="s">
        <v>57</v>
      </c>
      <c r="AI806" s="347" t="s">
        <v>4442</v>
      </c>
      <c r="AJ806" s="347" t="s">
        <v>4443</v>
      </c>
      <c r="AK806" s="347" t="s">
        <v>4437</v>
      </c>
      <c r="AL806" s="387">
        <v>45574</v>
      </c>
    </row>
    <row r="807" spans="2:38" ht="15.75" outlineLevel="1">
      <c r="B807" s="345">
        <v>2111</v>
      </c>
      <c r="C807" s="346">
        <v>199577</v>
      </c>
      <c r="D807" s="345" t="s">
        <v>944</v>
      </c>
      <c r="E807" s="347" t="s">
        <v>4240</v>
      </c>
      <c r="F807" s="343" t="s">
        <v>2053</v>
      </c>
      <c r="I807" s="345">
        <v>1</v>
      </c>
      <c r="J807" s="347"/>
      <c r="K807" s="345">
        <v>0</v>
      </c>
      <c r="L807" s="347" t="s">
        <v>2054</v>
      </c>
      <c r="M807" s="347"/>
      <c r="N807" s="347" t="s">
        <v>4440</v>
      </c>
      <c r="O807" s="347" t="s">
        <v>4441</v>
      </c>
      <c r="P807" s="347"/>
      <c r="Q807" s="347"/>
      <c r="R807" s="347"/>
      <c r="S807" s="348">
        <v>43251</v>
      </c>
      <c r="T807" s="348">
        <v>43251</v>
      </c>
      <c r="U807" s="347" t="s">
        <v>2055</v>
      </c>
      <c r="V807" s="345">
        <v>300</v>
      </c>
      <c r="W807" s="345">
        <v>14110</v>
      </c>
      <c r="X807" s="349">
        <v>2910</v>
      </c>
      <c r="Y807" s="345">
        <v>14116</v>
      </c>
      <c r="Z807" s="349">
        <v>2910</v>
      </c>
      <c r="AA807" s="349">
        <f t="shared" si="97"/>
        <v>0</v>
      </c>
      <c r="AB807" s="349">
        <v>0</v>
      </c>
      <c r="AC807" s="345">
        <v>70260</v>
      </c>
      <c r="AD807" s="349">
        <v>0</v>
      </c>
      <c r="AE807" s="345" t="s">
        <v>944</v>
      </c>
      <c r="AF807" s="347"/>
      <c r="AG807" s="347"/>
      <c r="AH807" s="347" t="s">
        <v>57</v>
      </c>
      <c r="AI807" s="347" t="s">
        <v>4442</v>
      </c>
      <c r="AJ807" s="347" t="s">
        <v>4443</v>
      </c>
      <c r="AK807" s="347" t="s">
        <v>4437</v>
      </c>
      <c r="AL807" s="387">
        <v>45574</v>
      </c>
    </row>
    <row r="808" spans="2:38" ht="15.75" outlineLevel="1">
      <c r="B808" s="345">
        <v>2111</v>
      </c>
      <c r="C808" s="346">
        <v>199570</v>
      </c>
      <c r="D808" s="345">
        <v>199165</v>
      </c>
      <c r="E808" s="347" t="s">
        <v>4240</v>
      </c>
      <c r="F808" s="343" t="s">
        <v>2056</v>
      </c>
      <c r="I808" s="345">
        <v>1</v>
      </c>
      <c r="J808" s="347"/>
      <c r="K808" s="345">
        <v>0</v>
      </c>
      <c r="L808" s="347" t="s">
        <v>2057</v>
      </c>
      <c r="M808" s="347"/>
      <c r="N808" s="347" t="s">
        <v>4445</v>
      </c>
      <c r="O808" s="347" t="s">
        <v>4441</v>
      </c>
      <c r="P808" s="347" t="s">
        <v>1467</v>
      </c>
      <c r="Q808" s="347"/>
      <c r="R808" s="347"/>
      <c r="S808" s="348">
        <v>43252</v>
      </c>
      <c r="T808" s="348">
        <v>43252</v>
      </c>
      <c r="U808" s="347" t="s">
        <v>2058</v>
      </c>
      <c r="V808" s="345">
        <v>900</v>
      </c>
      <c r="W808" s="345">
        <v>14040</v>
      </c>
      <c r="X808" s="349">
        <v>1745</v>
      </c>
      <c r="Y808" s="345">
        <v>14046</v>
      </c>
      <c r="Z808" s="349">
        <v>1227.99</v>
      </c>
      <c r="AA808" s="349">
        <f t="shared" si="97"/>
        <v>517.01</v>
      </c>
      <c r="AB808" s="349">
        <v>145.44</v>
      </c>
      <c r="AC808" s="345">
        <v>51260</v>
      </c>
      <c r="AD808" s="349">
        <v>16.16</v>
      </c>
      <c r="AE808" s="345" t="s">
        <v>944</v>
      </c>
      <c r="AF808" s="347"/>
      <c r="AG808" s="347"/>
      <c r="AH808" s="347" t="s">
        <v>57</v>
      </c>
      <c r="AI808" s="347" t="s">
        <v>4442</v>
      </c>
      <c r="AJ808" s="347" t="s">
        <v>4443</v>
      </c>
      <c r="AK808" s="347" t="s">
        <v>4437</v>
      </c>
      <c r="AL808" s="387">
        <v>45574</v>
      </c>
    </row>
    <row r="809" spans="2:38" ht="15.75" outlineLevel="1">
      <c r="B809" s="345">
        <v>2111</v>
      </c>
      <c r="C809" s="346">
        <v>199443</v>
      </c>
      <c r="D809" s="345" t="s">
        <v>944</v>
      </c>
      <c r="E809" s="347" t="s">
        <v>4240</v>
      </c>
      <c r="F809" s="343" t="s">
        <v>900</v>
      </c>
      <c r="I809" s="345">
        <v>624</v>
      </c>
      <c r="J809" s="347"/>
      <c r="K809" s="345">
        <v>0</v>
      </c>
      <c r="L809" s="347" t="s">
        <v>1755</v>
      </c>
      <c r="M809" s="347"/>
      <c r="N809" s="347" t="s">
        <v>4446</v>
      </c>
      <c r="O809" s="347" t="s">
        <v>4441</v>
      </c>
      <c r="P809" s="347"/>
      <c r="Q809" s="347"/>
      <c r="R809" s="347"/>
      <c r="S809" s="348">
        <v>43200</v>
      </c>
      <c r="T809" s="348">
        <v>43200</v>
      </c>
      <c r="U809" s="347" t="s">
        <v>2060</v>
      </c>
      <c r="V809" s="345">
        <v>700</v>
      </c>
      <c r="W809" s="345">
        <v>14050</v>
      </c>
      <c r="X809" s="349">
        <v>33245.019999999997</v>
      </c>
      <c r="Y809" s="345">
        <v>14056</v>
      </c>
      <c r="Z809" s="349">
        <v>30870.35</v>
      </c>
      <c r="AA809" s="349">
        <f t="shared" si="97"/>
        <v>2374.6699999999983</v>
      </c>
      <c r="AB809" s="349">
        <v>3561.93</v>
      </c>
      <c r="AC809" s="345">
        <v>54260</v>
      </c>
      <c r="AD809" s="349">
        <v>395.77</v>
      </c>
      <c r="AE809" s="345" t="s">
        <v>944</v>
      </c>
      <c r="AF809" s="347"/>
      <c r="AG809" s="347"/>
      <c r="AH809" s="347" t="s">
        <v>57</v>
      </c>
      <c r="AI809" s="347" t="s">
        <v>4442</v>
      </c>
      <c r="AJ809" s="347" t="s">
        <v>4443</v>
      </c>
      <c r="AK809" s="347" t="s">
        <v>4437</v>
      </c>
      <c r="AL809" s="387">
        <v>45574</v>
      </c>
    </row>
    <row r="810" spans="2:38" ht="15.75" outlineLevel="1">
      <c r="B810" s="345">
        <v>2111</v>
      </c>
      <c r="C810" s="346">
        <v>199192</v>
      </c>
      <c r="D810" s="345">
        <v>9537</v>
      </c>
      <c r="E810" s="347" t="s">
        <v>4240</v>
      </c>
      <c r="F810" s="343" t="s">
        <v>460</v>
      </c>
      <c r="I810" s="345">
        <v>1</v>
      </c>
      <c r="J810" s="347"/>
      <c r="K810" s="345">
        <v>0</v>
      </c>
      <c r="L810" s="347" t="s">
        <v>1980</v>
      </c>
      <c r="M810" s="347"/>
      <c r="N810" s="347" t="s">
        <v>4445</v>
      </c>
      <c r="O810" s="347" t="s">
        <v>4441</v>
      </c>
      <c r="P810" s="347" t="s">
        <v>1467</v>
      </c>
      <c r="Q810" s="347"/>
      <c r="R810" s="347"/>
      <c r="S810" s="348">
        <v>43228</v>
      </c>
      <c r="T810" s="348">
        <v>43228</v>
      </c>
      <c r="U810" s="347" t="s">
        <v>2061</v>
      </c>
      <c r="V810" s="345">
        <v>300</v>
      </c>
      <c r="W810" s="345">
        <v>14040</v>
      </c>
      <c r="X810" s="349">
        <v>28485.64</v>
      </c>
      <c r="Y810" s="345">
        <v>14046</v>
      </c>
      <c r="Z810" s="349">
        <v>28485.64</v>
      </c>
      <c r="AA810" s="349">
        <f t="shared" si="97"/>
        <v>0</v>
      </c>
      <c r="AB810" s="349">
        <v>0</v>
      </c>
      <c r="AC810" s="345">
        <v>51260</v>
      </c>
      <c r="AD810" s="349">
        <v>0</v>
      </c>
      <c r="AE810" s="345" t="s">
        <v>944</v>
      </c>
      <c r="AF810" s="347"/>
      <c r="AG810" s="347"/>
      <c r="AH810" s="347" t="s">
        <v>57</v>
      </c>
      <c r="AI810" s="347" t="s">
        <v>4442</v>
      </c>
      <c r="AJ810" s="347" t="s">
        <v>4443</v>
      </c>
      <c r="AK810" s="347" t="s">
        <v>4437</v>
      </c>
      <c r="AL810" s="387">
        <v>45574</v>
      </c>
    </row>
    <row r="811" spans="2:38" ht="15.75" outlineLevel="1">
      <c r="B811" s="345">
        <v>2111</v>
      </c>
      <c r="C811" s="346">
        <v>199165</v>
      </c>
      <c r="D811" s="345" t="s">
        <v>944</v>
      </c>
      <c r="E811" s="347" t="s">
        <v>4240</v>
      </c>
      <c r="F811" s="343" t="s">
        <v>501</v>
      </c>
      <c r="I811" s="345">
        <v>1</v>
      </c>
      <c r="J811" s="347" t="s">
        <v>2063</v>
      </c>
      <c r="K811" s="345">
        <v>2017</v>
      </c>
      <c r="L811" s="347"/>
      <c r="M811" s="347"/>
      <c r="N811" s="347" t="s">
        <v>4445</v>
      </c>
      <c r="O811" s="347" t="s">
        <v>4441</v>
      </c>
      <c r="P811" s="347" t="s">
        <v>4482</v>
      </c>
      <c r="Q811" s="347"/>
      <c r="R811" s="347"/>
      <c r="S811" s="348">
        <v>43252</v>
      </c>
      <c r="T811" s="348">
        <v>43252</v>
      </c>
      <c r="U811" s="347" t="s">
        <v>2058</v>
      </c>
      <c r="V811" s="345">
        <v>900</v>
      </c>
      <c r="W811" s="345">
        <v>14040</v>
      </c>
      <c r="X811" s="349">
        <v>345746.04</v>
      </c>
      <c r="Y811" s="345">
        <v>14046</v>
      </c>
      <c r="Z811" s="349">
        <v>243302.77</v>
      </c>
      <c r="AA811" s="349">
        <f t="shared" si="97"/>
        <v>102443.26999999999</v>
      </c>
      <c r="AB811" s="349">
        <v>28812.15</v>
      </c>
      <c r="AC811" s="345">
        <v>51260</v>
      </c>
      <c r="AD811" s="349">
        <v>3201.35</v>
      </c>
      <c r="AE811" s="345" t="s">
        <v>944</v>
      </c>
      <c r="AF811" s="347"/>
      <c r="AG811" s="347">
        <v>855</v>
      </c>
      <c r="AH811" s="347" t="s">
        <v>57</v>
      </c>
      <c r="AI811" s="347" t="s">
        <v>4442</v>
      </c>
      <c r="AJ811" s="347" t="s">
        <v>4443</v>
      </c>
      <c r="AK811" s="347" t="s">
        <v>4437</v>
      </c>
      <c r="AL811" s="387">
        <v>45574</v>
      </c>
    </row>
    <row r="812" spans="2:38" ht="15.75" outlineLevel="1">
      <c r="B812" s="345">
        <v>2111</v>
      </c>
      <c r="C812" s="346">
        <v>199164</v>
      </c>
      <c r="D812" s="345" t="s">
        <v>944</v>
      </c>
      <c r="E812" s="347" t="s">
        <v>4240</v>
      </c>
      <c r="F812" s="343" t="s">
        <v>501</v>
      </c>
      <c r="I812" s="345">
        <v>1</v>
      </c>
      <c r="J812" s="347" t="s">
        <v>2064</v>
      </c>
      <c r="K812" s="345">
        <v>2017</v>
      </c>
      <c r="L812" s="347"/>
      <c r="M812" s="347"/>
      <c r="N812" s="347" t="s">
        <v>4445</v>
      </c>
      <c r="O812" s="347" t="s">
        <v>4441</v>
      </c>
      <c r="P812" s="347" t="s">
        <v>4482</v>
      </c>
      <c r="Q812" s="347"/>
      <c r="R812" s="347"/>
      <c r="S812" s="348">
        <v>43252</v>
      </c>
      <c r="T812" s="348">
        <v>43252</v>
      </c>
      <c r="U812" s="347" t="s">
        <v>2065</v>
      </c>
      <c r="V812" s="345">
        <v>900</v>
      </c>
      <c r="W812" s="345">
        <v>14040</v>
      </c>
      <c r="X812" s="349">
        <v>347491.04</v>
      </c>
      <c r="Y812" s="345">
        <v>14046</v>
      </c>
      <c r="Z812" s="349">
        <v>244530.76</v>
      </c>
      <c r="AA812" s="349">
        <f t="shared" si="97"/>
        <v>102960.27999999997</v>
      </c>
      <c r="AB812" s="349">
        <v>28957.59</v>
      </c>
      <c r="AC812" s="345">
        <v>51260</v>
      </c>
      <c r="AD812" s="349">
        <v>3217.51</v>
      </c>
      <c r="AE812" s="345" t="s">
        <v>944</v>
      </c>
      <c r="AF812" s="347"/>
      <c r="AG812" s="347">
        <v>854</v>
      </c>
      <c r="AH812" s="347" t="s">
        <v>57</v>
      </c>
      <c r="AI812" s="347" t="s">
        <v>4442</v>
      </c>
      <c r="AJ812" s="347" t="s">
        <v>4443</v>
      </c>
      <c r="AK812" s="347" t="s">
        <v>4437</v>
      </c>
      <c r="AL812" s="387">
        <v>45574</v>
      </c>
    </row>
    <row r="813" spans="2:38" ht="15.75" outlineLevel="1">
      <c r="B813" s="345">
        <v>2111</v>
      </c>
      <c r="C813" s="346">
        <v>199096</v>
      </c>
      <c r="D813" s="345" t="s">
        <v>944</v>
      </c>
      <c r="E813" s="347" t="s">
        <v>4240</v>
      </c>
      <c r="F813" s="343" t="s">
        <v>2066</v>
      </c>
      <c r="I813" s="345">
        <v>15</v>
      </c>
      <c r="J813" s="347"/>
      <c r="K813" s="345">
        <v>0</v>
      </c>
      <c r="L813" s="347" t="s">
        <v>1509</v>
      </c>
      <c r="M813" s="347"/>
      <c r="N813" s="347" t="s">
        <v>4446</v>
      </c>
      <c r="O813" s="347" t="s">
        <v>4441</v>
      </c>
      <c r="P813" s="347"/>
      <c r="Q813" s="347" t="s">
        <v>4479</v>
      </c>
      <c r="R813" s="347" t="s">
        <v>4450</v>
      </c>
      <c r="S813" s="348">
        <v>43224</v>
      </c>
      <c r="T813" s="348">
        <v>43224</v>
      </c>
      <c r="U813" s="347" t="s">
        <v>2067</v>
      </c>
      <c r="V813" s="345">
        <v>1200</v>
      </c>
      <c r="W813" s="345">
        <v>14050</v>
      </c>
      <c r="X813" s="349">
        <v>13539.32</v>
      </c>
      <c r="Y813" s="345">
        <v>14056</v>
      </c>
      <c r="Z813" s="349">
        <v>7239.77</v>
      </c>
      <c r="AA813" s="349">
        <f t="shared" si="97"/>
        <v>6299.5499999999993</v>
      </c>
      <c r="AB813" s="349">
        <v>846.18</v>
      </c>
      <c r="AC813" s="345">
        <v>54260</v>
      </c>
      <c r="AD813" s="349">
        <v>94.02</v>
      </c>
      <c r="AE813" s="345" t="s">
        <v>944</v>
      </c>
      <c r="AF813" s="347"/>
      <c r="AG813" s="347"/>
      <c r="AH813" s="347" t="s">
        <v>57</v>
      </c>
      <c r="AI813" s="347" t="s">
        <v>4442</v>
      </c>
      <c r="AJ813" s="347" t="s">
        <v>4443</v>
      </c>
      <c r="AK813" s="347" t="s">
        <v>4437</v>
      </c>
      <c r="AL813" s="387">
        <v>45574</v>
      </c>
    </row>
    <row r="814" spans="2:38" ht="15.75" outlineLevel="1">
      <c r="B814" s="345">
        <v>2111</v>
      </c>
      <c r="C814" s="346">
        <v>199095</v>
      </c>
      <c r="D814" s="345" t="s">
        <v>944</v>
      </c>
      <c r="E814" s="347" t="s">
        <v>4240</v>
      </c>
      <c r="F814" s="343" t="s">
        <v>2069</v>
      </c>
      <c r="I814" s="345">
        <v>15</v>
      </c>
      <c r="J814" s="347"/>
      <c r="K814" s="345">
        <v>0</v>
      </c>
      <c r="L814" s="347" t="s">
        <v>1509</v>
      </c>
      <c r="M814" s="347"/>
      <c r="N814" s="347" t="s">
        <v>4446</v>
      </c>
      <c r="O814" s="347" t="s">
        <v>4441</v>
      </c>
      <c r="P814" s="347"/>
      <c r="Q814" s="347" t="s">
        <v>4464</v>
      </c>
      <c r="R814" s="347" t="s">
        <v>4450</v>
      </c>
      <c r="S814" s="348">
        <v>43224</v>
      </c>
      <c r="T814" s="348">
        <v>43224</v>
      </c>
      <c r="U814" s="347" t="s">
        <v>2067</v>
      </c>
      <c r="V814" s="345">
        <v>1200</v>
      </c>
      <c r="W814" s="345">
        <v>14050</v>
      </c>
      <c r="X814" s="349">
        <v>11547.28</v>
      </c>
      <c r="Y814" s="345">
        <v>14056</v>
      </c>
      <c r="Z814" s="349">
        <v>6174.58</v>
      </c>
      <c r="AA814" s="349">
        <f t="shared" si="97"/>
        <v>5372.7000000000007</v>
      </c>
      <c r="AB814" s="349">
        <v>721.71</v>
      </c>
      <c r="AC814" s="345">
        <v>54260</v>
      </c>
      <c r="AD814" s="349">
        <v>80.19</v>
      </c>
      <c r="AE814" s="345" t="s">
        <v>944</v>
      </c>
      <c r="AF814" s="347"/>
      <c r="AG814" s="347"/>
      <c r="AH814" s="347" t="s">
        <v>57</v>
      </c>
      <c r="AI814" s="347" t="s">
        <v>4442</v>
      </c>
      <c r="AJ814" s="347" t="s">
        <v>4443</v>
      </c>
      <c r="AK814" s="347" t="s">
        <v>4437</v>
      </c>
      <c r="AL814" s="387">
        <v>45574</v>
      </c>
    </row>
    <row r="815" spans="2:38" ht="15.75" outlineLevel="1">
      <c r="B815" s="345">
        <v>2111</v>
      </c>
      <c r="C815" s="346">
        <v>198690</v>
      </c>
      <c r="D815" s="345" t="s">
        <v>944</v>
      </c>
      <c r="E815" s="347" t="s">
        <v>4240</v>
      </c>
      <c r="F815" s="343" t="s">
        <v>2070</v>
      </c>
      <c r="I815" s="345">
        <v>50</v>
      </c>
      <c r="J815" s="347"/>
      <c r="K815" s="345">
        <v>0</v>
      </c>
      <c r="L815" s="347" t="s">
        <v>1509</v>
      </c>
      <c r="M815" s="347"/>
      <c r="N815" s="347" t="s">
        <v>4446</v>
      </c>
      <c r="O815" s="347" t="s">
        <v>4441</v>
      </c>
      <c r="P815" s="347"/>
      <c r="Q815" s="347" t="s">
        <v>4459</v>
      </c>
      <c r="R815" s="347" t="s">
        <v>4450</v>
      </c>
      <c r="S815" s="348">
        <v>43224</v>
      </c>
      <c r="T815" s="348">
        <v>43224</v>
      </c>
      <c r="U815" s="347" t="s">
        <v>2067</v>
      </c>
      <c r="V815" s="345">
        <v>1200</v>
      </c>
      <c r="W815" s="345">
        <v>14050</v>
      </c>
      <c r="X815" s="349">
        <v>31389.09</v>
      </c>
      <c r="Y815" s="345">
        <v>14056</v>
      </c>
      <c r="Z815" s="349">
        <v>16784.46</v>
      </c>
      <c r="AA815" s="349">
        <f t="shared" si="97"/>
        <v>14604.630000000001</v>
      </c>
      <c r="AB815" s="349">
        <v>1961.82</v>
      </c>
      <c r="AC815" s="345">
        <v>54260</v>
      </c>
      <c r="AD815" s="349">
        <v>217.98</v>
      </c>
      <c r="AE815" s="345" t="s">
        <v>944</v>
      </c>
      <c r="AF815" s="347"/>
      <c r="AG815" s="347"/>
      <c r="AH815" s="347" t="s">
        <v>57</v>
      </c>
      <c r="AI815" s="347" t="s">
        <v>4442</v>
      </c>
      <c r="AJ815" s="347" t="s">
        <v>4443</v>
      </c>
      <c r="AK815" s="347" t="s">
        <v>4437</v>
      </c>
      <c r="AL815" s="387">
        <v>45574</v>
      </c>
    </row>
    <row r="816" spans="2:38" ht="15.75" outlineLevel="1">
      <c r="B816" s="345">
        <v>2111</v>
      </c>
      <c r="C816" s="346">
        <v>198526</v>
      </c>
      <c r="D816" s="345" t="s">
        <v>944</v>
      </c>
      <c r="E816" s="347" t="s">
        <v>4240</v>
      </c>
      <c r="F816" s="343" t="s">
        <v>1243</v>
      </c>
      <c r="I816" s="345">
        <v>1</v>
      </c>
      <c r="J816" s="347" t="s">
        <v>2072</v>
      </c>
      <c r="K816" s="345">
        <v>2016</v>
      </c>
      <c r="L816" s="347"/>
      <c r="M816" s="347"/>
      <c r="N816" s="347" t="s">
        <v>4445</v>
      </c>
      <c r="O816" s="347" t="s">
        <v>4441</v>
      </c>
      <c r="P816" s="347" t="s">
        <v>4482</v>
      </c>
      <c r="Q816" s="347"/>
      <c r="R816" s="347"/>
      <c r="S816" s="348">
        <v>42566</v>
      </c>
      <c r="T816" s="348">
        <v>42566</v>
      </c>
      <c r="U816" s="347" t="s">
        <v>2073</v>
      </c>
      <c r="V816" s="345">
        <v>900</v>
      </c>
      <c r="W816" s="345">
        <v>14040</v>
      </c>
      <c r="X816" s="349">
        <v>327729.78000000003</v>
      </c>
      <c r="Y816" s="345">
        <v>14046</v>
      </c>
      <c r="Z816" s="349">
        <v>300419.01</v>
      </c>
      <c r="AA816" s="349">
        <f t="shared" si="97"/>
        <v>27310.770000000019</v>
      </c>
      <c r="AB816" s="349">
        <v>27310.86</v>
      </c>
      <c r="AC816" s="345">
        <v>51260</v>
      </c>
      <c r="AD816" s="349">
        <v>3034.54</v>
      </c>
      <c r="AE816" s="345" t="s">
        <v>944</v>
      </c>
      <c r="AF816" s="347"/>
      <c r="AG816" s="347">
        <v>838</v>
      </c>
      <c r="AH816" s="347" t="s">
        <v>57</v>
      </c>
      <c r="AI816" s="347" t="s">
        <v>4442</v>
      </c>
      <c r="AJ816" s="347" t="s">
        <v>4443</v>
      </c>
      <c r="AK816" s="347" t="s">
        <v>4437</v>
      </c>
      <c r="AL816" s="387">
        <v>45574</v>
      </c>
    </row>
    <row r="817" spans="2:38" ht="15.75" outlineLevel="1">
      <c r="B817" s="345">
        <v>2111</v>
      </c>
      <c r="C817" s="346">
        <v>197999</v>
      </c>
      <c r="D817" s="345" t="s">
        <v>944</v>
      </c>
      <c r="E817" s="347" t="s">
        <v>4240</v>
      </c>
      <c r="F817" s="343" t="s">
        <v>4507</v>
      </c>
      <c r="I817" s="345">
        <v>1</v>
      </c>
      <c r="J817" s="347"/>
      <c r="K817" s="345">
        <v>0</v>
      </c>
      <c r="L817" s="347"/>
      <c r="M817" s="347"/>
      <c r="N817" s="347" t="s">
        <v>4446</v>
      </c>
      <c r="O817" s="347" t="s">
        <v>4441</v>
      </c>
      <c r="P817" s="347"/>
      <c r="Q817" s="347" t="s">
        <v>4508</v>
      </c>
      <c r="R817" s="347" t="s">
        <v>4448</v>
      </c>
      <c r="S817" s="348">
        <v>43252</v>
      </c>
      <c r="T817" s="348">
        <v>43252</v>
      </c>
      <c r="U817" s="347"/>
      <c r="V817" s="345">
        <v>0</v>
      </c>
      <c r="W817" s="345">
        <v>14050</v>
      </c>
      <c r="X817" s="349">
        <v>0</v>
      </c>
      <c r="Y817" s="345">
        <v>14056</v>
      </c>
      <c r="Z817" s="349">
        <v>0</v>
      </c>
      <c r="AA817" s="349">
        <f t="shared" si="97"/>
        <v>0</v>
      </c>
      <c r="AB817" s="349">
        <v>0</v>
      </c>
      <c r="AC817" s="345">
        <v>54260</v>
      </c>
      <c r="AD817" s="349">
        <v>0</v>
      </c>
      <c r="AE817" s="345" t="s">
        <v>944</v>
      </c>
      <c r="AF817" s="347"/>
      <c r="AG817" s="347"/>
      <c r="AH817" s="347" t="s">
        <v>57</v>
      </c>
      <c r="AI817" s="347" t="s">
        <v>4442</v>
      </c>
      <c r="AJ817" s="347" t="s">
        <v>1660</v>
      </c>
      <c r="AK817" s="347" t="s">
        <v>4437</v>
      </c>
      <c r="AL817" s="387">
        <v>45574</v>
      </c>
    </row>
    <row r="818" spans="2:38" ht="15.75" outlineLevel="1">
      <c r="B818" s="345">
        <v>2111</v>
      </c>
      <c r="C818" s="346">
        <v>197020</v>
      </c>
      <c r="D818" s="345" t="s">
        <v>944</v>
      </c>
      <c r="E818" s="347" t="s">
        <v>4240</v>
      </c>
      <c r="F818" s="343" t="s">
        <v>2079</v>
      </c>
      <c r="I818" s="345">
        <v>20</v>
      </c>
      <c r="J818" s="347"/>
      <c r="K818" s="345">
        <v>0</v>
      </c>
      <c r="L818" s="347" t="s">
        <v>1509</v>
      </c>
      <c r="M818" s="347"/>
      <c r="N818" s="347" t="s">
        <v>4446</v>
      </c>
      <c r="O818" s="347" t="s">
        <v>4441</v>
      </c>
      <c r="P818" s="347"/>
      <c r="Q818" s="347" t="s">
        <v>4479</v>
      </c>
      <c r="R818" s="347" t="s">
        <v>4450</v>
      </c>
      <c r="S818" s="348">
        <v>43185</v>
      </c>
      <c r="T818" s="348">
        <v>43185</v>
      </c>
      <c r="U818" s="347" t="s">
        <v>2080</v>
      </c>
      <c r="V818" s="345">
        <v>1200</v>
      </c>
      <c r="W818" s="345">
        <v>14050</v>
      </c>
      <c r="X818" s="349">
        <v>18996.43</v>
      </c>
      <c r="Y818" s="345">
        <v>14056</v>
      </c>
      <c r="Z818" s="349">
        <v>10289.76</v>
      </c>
      <c r="AA818" s="349">
        <f t="shared" si="97"/>
        <v>8706.67</v>
      </c>
      <c r="AB818" s="349">
        <v>1187.28</v>
      </c>
      <c r="AC818" s="345">
        <v>54260</v>
      </c>
      <c r="AD818" s="349">
        <v>131.91999999999999</v>
      </c>
      <c r="AE818" s="345" t="s">
        <v>944</v>
      </c>
      <c r="AF818" s="347"/>
      <c r="AG818" s="347"/>
      <c r="AH818" s="347" t="s">
        <v>57</v>
      </c>
      <c r="AI818" s="347" t="s">
        <v>4442</v>
      </c>
      <c r="AJ818" s="347" t="s">
        <v>4443</v>
      </c>
      <c r="AK818" s="347" t="s">
        <v>4437</v>
      </c>
      <c r="AL818" s="387">
        <v>45574</v>
      </c>
    </row>
    <row r="819" spans="2:38" ht="15.75" outlineLevel="1">
      <c r="B819" s="345">
        <v>2111</v>
      </c>
      <c r="C819" s="346">
        <v>197019</v>
      </c>
      <c r="D819" s="345" t="s">
        <v>944</v>
      </c>
      <c r="E819" s="347" t="s">
        <v>4240</v>
      </c>
      <c r="F819" s="343" t="s">
        <v>2082</v>
      </c>
      <c r="I819" s="345">
        <v>18</v>
      </c>
      <c r="J819" s="347"/>
      <c r="K819" s="345">
        <v>0</v>
      </c>
      <c r="L819" s="347" t="s">
        <v>1509</v>
      </c>
      <c r="M819" s="347"/>
      <c r="N819" s="347" t="s">
        <v>4446</v>
      </c>
      <c r="O819" s="347" t="s">
        <v>4441</v>
      </c>
      <c r="P819" s="347"/>
      <c r="Q819" s="347" t="s">
        <v>4479</v>
      </c>
      <c r="R819" s="347" t="s">
        <v>4450</v>
      </c>
      <c r="S819" s="348">
        <v>43185</v>
      </c>
      <c r="T819" s="348">
        <v>43185</v>
      </c>
      <c r="U819" s="347" t="s">
        <v>2080</v>
      </c>
      <c r="V819" s="345">
        <v>1200</v>
      </c>
      <c r="W819" s="345">
        <v>14050</v>
      </c>
      <c r="X819" s="349">
        <v>14958.12</v>
      </c>
      <c r="Y819" s="345">
        <v>14056</v>
      </c>
      <c r="Z819" s="349">
        <v>8102.35</v>
      </c>
      <c r="AA819" s="349">
        <f t="shared" si="97"/>
        <v>6855.77</v>
      </c>
      <c r="AB819" s="349">
        <v>934.92</v>
      </c>
      <c r="AC819" s="345">
        <v>54260</v>
      </c>
      <c r="AD819" s="349">
        <v>103.88</v>
      </c>
      <c r="AE819" s="345" t="s">
        <v>944</v>
      </c>
      <c r="AF819" s="347"/>
      <c r="AG819" s="347"/>
      <c r="AH819" s="347" t="s">
        <v>57</v>
      </c>
      <c r="AI819" s="347" t="s">
        <v>4442</v>
      </c>
      <c r="AJ819" s="347" t="s">
        <v>4443</v>
      </c>
      <c r="AK819" s="347" t="s">
        <v>4437</v>
      </c>
      <c r="AL819" s="387">
        <v>45574</v>
      </c>
    </row>
    <row r="820" spans="2:38" ht="15.75" outlineLevel="1">
      <c r="B820" s="345">
        <v>2111</v>
      </c>
      <c r="C820" s="346">
        <v>197018</v>
      </c>
      <c r="D820" s="345" t="s">
        <v>944</v>
      </c>
      <c r="E820" s="347" t="s">
        <v>4240</v>
      </c>
      <c r="F820" s="343" t="s">
        <v>2084</v>
      </c>
      <c r="I820" s="345">
        <v>15</v>
      </c>
      <c r="J820" s="347"/>
      <c r="K820" s="345">
        <v>0</v>
      </c>
      <c r="L820" s="347" t="s">
        <v>1509</v>
      </c>
      <c r="M820" s="347"/>
      <c r="N820" s="347" t="s">
        <v>4446</v>
      </c>
      <c r="O820" s="347" t="s">
        <v>4441</v>
      </c>
      <c r="P820" s="347"/>
      <c r="Q820" s="347" t="s">
        <v>4459</v>
      </c>
      <c r="R820" s="347" t="s">
        <v>4450</v>
      </c>
      <c r="S820" s="348">
        <v>43185</v>
      </c>
      <c r="T820" s="348">
        <v>43185</v>
      </c>
      <c r="U820" s="347" t="s">
        <v>2080</v>
      </c>
      <c r="V820" s="345">
        <v>1200</v>
      </c>
      <c r="W820" s="345">
        <v>14050</v>
      </c>
      <c r="X820" s="349">
        <v>9539.17</v>
      </c>
      <c r="Y820" s="345">
        <v>14056</v>
      </c>
      <c r="Z820" s="349">
        <v>5167.01</v>
      </c>
      <c r="AA820" s="349">
        <f t="shared" si="97"/>
        <v>4372.16</v>
      </c>
      <c r="AB820" s="349">
        <v>596.16</v>
      </c>
      <c r="AC820" s="345">
        <v>54260</v>
      </c>
      <c r="AD820" s="349">
        <v>66.239999999999995</v>
      </c>
      <c r="AE820" s="345" t="s">
        <v>944</v>
      </c>
      <c r="AF820" s="347"/>
      <c r="AG820" s="347"/>
      <c r="AH820" s="347" t="s">
        <v>57</v>
      </c>
      <c r="AI820" s="347" t="s">
        <v>4442</v>
      </c>
      <c r="AJ820" s="347" t="s">
        <v>4443</v>
      </c>
      <c r="AK820" s="347" t="s">
        <v>4437</v>
      </c>
      <c r="AL820" s="387">
        <v>45574</v>
      </c>
    </row>
    <row r="821" spans="2:38" ht="15.75" outlineLevel="1">
      <c r="B821" s="345">
        <v>2111</v>
      </c>
      <c r="C821" s="346">
        <v>196666</v>
      </c>
      <c r="D821" s="345" t="s">
        <v>944</v>
      </c>
      <c r="E821" s="347" t="s">
        <v>4240</v>
      </c>
      <c r="F821" s="343" t="s">
        <v>2085</v>
      </c>
      <c r="I821" s="345">
        <v>624</v>
      </c>
      <c r="J821" s="347"/>
      <c r="K821" s="345">
        <v>0</v>
      </c>
      <c r="L821" s="347" t="s">
        <v>1755</v>
      </c>
      <c r="M821" s="347"/>
      <c r="N821" s="347" t="s">
        <v>4446</v>
      </c>
      <c r="O821" s="347" t="s">
        <v>4441</v>
      </c>
      <c r="P821" s="347"/>
      <c r="Q821" s="347"/>
      <c r="R821" s="347"/>
      <c r="S821" s="348">
        <v>43185</v>
      </c>
      <c r="T821" s="348">
        <v>43185</v>
      </c>
      <c r="U821" s="347" t="s">
        <v>2086</v>
      </c>
      <c r="V821" s="345">
        <v>700</v>
      </c>
      <c r="W821" s="345">
        <v>14050</v>
      </c>
      <c r="X821" s="349">
        <v>32931.01</v>
      </c>
      <c r="Y821" s="345">
        <v>14056</v>
      </c>
      <c r="Z821" s="349">
        <v>30578.83</v>
      </c>
      <c r="AA821" s="349">
        <f t="shared" si="97"/>
        <v>2352.1800000000003</v>
      </c>
      <c r="AB821" s="349">
        <v>3528.36</v>
      </c>
      <c r="AC821" s="345">
        <v>54260</v>
      </c>
      <c r="AD821" s="349">
        <v>392.04</v>
      </c>
      <c r="AE821" s="345" t="s">
        <v>944</v>
      </c>
      <c r="AF821" s="347"/>
      <c r="AG821" s="347"/>
      <c r="AH821" s="347" t="s">
        <v>57</v>
      </c>
      <c r="AI821" s="347" t="s">
        <v>4442</v>
      </c>
      <c r="AJ821" s="347" t="s">
        <v>4443</v>
      </c>
      <c r="AK821" s="347" t="s">
        <v>4437</v>
      </c>
      <c r="AL821" s="387">
        <v>45574</v>
      </c>
    </row>
    <row r="822" spans="2:38" ht="15.75" outlineLevel="1">
      <c r="B822" s="345">
        <v>2111</v>
      </c>
      <c r="C822" s="346">
        <v>196665</v>
      </c>
      <c r="D822" s="345" t="s">
        <v>944</v>
      </c>
      <c r="E822" s="347" t="s">
        <v>4240</v>
      </c>
      <c r="F822" s="343" t="s">
        <v>2085</v>
      </c>
      <c r="I822" s="345">
        <v>624</v>
      </c>
      <c r="J822" s="347"/>
      <c r="K822" s="345">
        <v>0</v>
      </c>
      <c r="L822" s="347" t="s">
        <v>1755</v>
      </c>
      <c r="M822" s="347"/>
      <c r="N822" s="347" t="s">
        <v>4446</v>
      </c>
      <c r="O822" s="347" t="s">
        <v>4441</v>
      </c>
      <c r="P822" s="347"/>
      <c r="Q822" s="347"/>
      <c r="R822" s="347"/>
      <c r="S822" s="348">
        <v>43200</v>
      </c>
      <c r="T822" s="348">
        <v>43200</v>
      </c>
      <c r="U822" s="347" t="s">
        <v>2060</v>
      </c>
      <c r="V822" s="345">
        <v>700</v>
      </c>
      <c r="W822" s="345">
        <v>14050</v>
      </c>
      <c r="X822" s="349">
        <v>32912.57</v>
      </c>
      <c r="Y822" s="345">
        <v>14056</v>
      </c>
      <c r="Z822" s="349">
        <v>30561.73</v>
      </c>
      <c r="AA822" s="349">
        <f t="shared" si="97"/>
        <v>2350.84</v>
      </c>
      <c r="AB822" s="349">
        <v>3526.38</v>
      </c>
      <c r="AC822" s="345">
        <v>54260</v>
      </c>
      <c r="AD822" s="349">
        <v>391.82</v>
      </c>
      <c r="AE822" s="345" t="s">
        <v>944</v>
      </c>
      <c r="AF822" s="347"/>
      <c r="AG822" s="347"/>
      <c r="AH822" s="347" t="s">
        <v>57</v>
      </c>
      <c r="AI822" s="347" t="s">
        <v>4442</v>
      </c>
      <c r="AJ822" s="347" t="s">
        <v>4443</v>
      </c>
      <c r="AK822" s="347" t="s">
        <v>4437</v>
      </c>
      <c r="AL822" s="387">
        <v>45574</v>
      </c>
    </row>
    <row r="823" spans="2:38" ht="15.75" outlineLevel="1">
      <c r="B823" s="345">
        <v>2111</v>
      </c>
      <c r="C823" s="346">
        <v>196664</v>
      </c>
      <c r="D823" s="345" t="s">
        <v>944</v>
      </c>
      <c r="E823" s="347" t="s">
        <v>4240</v>
      </c>
      <c r="F823" s="343" t="s">
        <v>2085</v>
      </c>
      <c r="I823" s="345">
        <v>624</v>
      </c>
      <c r="J823" s="347"/>
      <c r="K823" s="345">
        <v>0</v>
      </c>
      <c r="L823" s="347" t="s">
        <v>1755</v>
      </c>
      <c r="M823" s="347"/>
      <c r="N823" s="347" t="s">
        <v>4446</v>
      </c>
      <c r="O823" s="347" t="s">
        <v>4441</v>
      </c>
      <c r="P823" s="347"/>
      <c r="Q823" s="347"/>
      <c r="R823" s="347"/>
      <c r="S823" s="348">
        <v>43200</v>
      </c>
      <c r="T823" s="348">
        <v>43200</v>
      </c>
      <c r="U823" s="347" t="s">
        <v>2060</v>
      </c>
      <c r="V823" s="345">
        <v>700</v>
      </c>
      <c r="W823" s="345">
        <v>14050</v>
      </c>
      <c r="X823" s="349">
        <v>32912.57</v>
      </c>
      <c r="Y823" s="345">
        <v>14056</v>
      </c>
      <c r="Z823" s="349">
        <v>30561.73</v>
      </c>
      <c r="AA823" s="349">
        <f t="shared" si="97"/>
        <v>2350.84</v>
      </c>
      <c r="AB823" s="349">
        <v>3526.38</v>
      </c>
      <c r="AC823" s="345">
        <v>54260</v>
      </c>
      <c r="AD823" s="349">
        <v>391.82</v>
      </c>
      <c r="AE823" s="345" t="s">
        <v>944</v>
      </c>
      <c r="AF823" s="347"/>
      <c r="AG823" s="347"/>
      <c r="AH823" s="347" t="s">
        <v>57</v>
      </c>
      <c r="AI823" s="347" t="s">
        <v>4442</v>
      </c>
      <c r="AJ823" s="347" t="s">
        <v>4443</v>
      </c>
      <c r="AK823" s="347" t="s">
        <v>4437</v>
      </c>
      <c r="AL823" s="387">
        <v>45574</v>
      </c>
    </row>
    <row r="824" spans="2:38" ht="15.75" outlineLevel="1">
      <c r="B824" s="345">
        <v>2111</v>
      </c>
      <c r="C824" s="346">
        <v>196548</v>
      </c>
      <c r="D824" s="345" t="s">
        <v>944</v>
      </c>
      <c r="E824" s="347" t="s">
        <v>4240</v>
      </c>
      <c r="F824" s="343" t="s">
        <v>2087</v>
      </c>
      <c r="I824" s="345">
        <v>624</v>
      </c>
      <c r="J824" s="347"/>
      <c r="K824" s="345">
        <v>0</v>
      </c>
      <c r="L824" s="347" t="s">
        <v>2088</v>
      </c>
      <c r="M824" s="347"/>
      <c r="N824" s="347" t="s">
        <v>4446</v>
      </c>
      <c r="O824" s="347" t="s">
        <v>4441</v>
      </c>
      <c r="P824" s="347"/>
      <c r="Q824" s="347"/>
      <c r="R824" s="347"/>
      <c r="S824" s="348">
        <v>43185</v>
      </c>
      <c r="T824" s="348">
        <v>43185</v>
      </c>
      <c r="U824" s="347" t="s">
        <v>2086</v>
      </c>
      <c r="V824" s="345">
        <v>700</v>
      </c>
      <c r="W824" s="345">
        <v>14050</v>
      </c>
      <c r="X824" s="349">
        <v>33263.65</v>
      </c>
      <c r="Y824" s="345">
        <v>14056</v>
      </c>
      <c r="Z824" s="349">
        <v>30887.71</v>
      </c>
      <c r="AA824" s="349">
        <f t="shared" si="97"/>
        <v>2375.9400000000023</v>
      </c>
      <c r="AB824" s="349">
        <v>3564</v>
      </c>
      <c r="AC824" s="345">
        <v>54260</v>
      </c>
      <c r="AD824" s="349">
        <v>396</v>
      </c>
      <c r="AE824" s="345" t="s">
        <v>944</v>
      </c>
      <c r="AF824" s="347"/>
      <c r="AG824" s="347"/>
      <c r="AH824" s="347" t="s">
        <v>57</v>
      </c>
      <c r="AI824" s="347" t="s">
        <v>4442</v>
      </c>
      <c r="AJ824" s="347" t="s">
        <v>4443</v>
      </c>
      <c r="AK824" s="347" t="s">
        <v>4437</v>
      </c>
      <c r="AL824" s="387">
        <v>45574</v>
      </c>
    </row>
    <row r="825" spans="2:38" ht="15.75" outlineLevel="1">
      <c r="B825" s="345">
        <v>2111</v>
      </c>
      <c r="C825" s="346">
        <v>196547</v>
      </c>
      <c r="D825" s="345" t="s">
        <v>944</v>
      </c>
      <c r="E825" s="347" t="s">
        <v>4240</v>
      </c>
      <c r="F825" s="343" t="s">
        <v>2089</v>
      </c>
      <c r="I825" s="345">
        <v>312</v>
      </c>
      <c r="J825" s="347"/>
      <c r="K825" s="345">
        <v>0</v>
      </c>
      <c r="L825" s="347" t="s">
        <v>2088</v>
      </c>
      <c r="M825" s="347"/>
      <c r="N825" s="347" t="s">
        <v>4446</v>
      </c>
      <c r="O825" s="347" t="s">
        <v>4441</v>
      </c>
      <c r="P825" s="347"/>
      <c r="Q825" s="347"/>
      <c r="R825" s="347"/>
      <c r="S825" s="348">
        <v>43185</v>
      </c>
      <c r="T825" s="348">
        <v>43185</v>
      </c>
      <c r="U825" s="347" t="s">
        <v>2086</v>
      </c>
      <c r="V825" s="345">
        <v>700</v>
      </c>
      <c r="W825" s="345">
        <v>14050</v>
      </c>
      <c r="X825" s="349">
        <v>16631.830000000002</v>
      </c>
      <c r="Y825" s="345">
        <v>14056</v>
      </c>
      <c r="Z825" s="349">
        <v>15443.88</v>
      </c>
      <c r="AA825" s="349">
        <f t="shared" si="97"/>
        <v>1187.9500000000025</v>
      </c>
      <c r="AB825" s="349">
        <v>1782</v>
      </c>
      <c r="AC825" s="345">
        <v>54260</v>
      </c>
      <c r="AD825" s="349">
        <v>198</v>
      </c>
      <c r="AE825" s="345" t="s">
        <v>944</v>
      </c>
      <c r="AF825" s="347"/>
      <c r="AG825" s="347"/>
      <c r="AH825" s="347" t="s">
        <v>57</v>
      </c>
      <c r="AI825" s="347" t="s">
        <v>4442</v>
      </c>
      <c r="AJ825" s="347" t="s">
        <v>4443</v>
      </c>
      <c r="AK825" s="347" t="s">
        <v>4437</v>
      </c>
      <c r="AL825" s="387">
        <v>45574</v>
      </c>
    </row>
    <row r="826" spans="2:38" ht="15.75" outlineLevel="1">
      <c r="B826" s="345">
        <v>2111</v>
      </c>
      <c r="C826" s="346">
        <v>196546</v>
      </c>
      <c r="D826" s="345" t="s">
        <v>944</v>
      </c>
      <c r="E826" s="347" t="s">
        <v>4240</v>
      </c>
      <c r="F826" s="343" t="s">
        <v>2090</v>
      </c>
      <c r="I826" s="345">
        <v>312</v>
      </c>
      <c r="J826" s="347"/>
      <c r="K826" s="345">
        <v>0</v>
      </c>
      <c r="L826" s="347" t="s">
        <v>2088</v>
      </c>
      <c r="M826" s="347"/>
      <c r="N826" s="347" t="s">
        <v>4446</v>
      </c>
      <c r="O826" s="347" t="s">
        <v>4441</v>
      </c>
      <c r="P826" s="347"/>
      <c r="Q826" s="347"/>
      <c r="R826" s="347"/>
      <c r="S826" s="348">
        <v>43185</v>
      </c>
      <c r="T826" s="348">
        <v>43185</v>
      </c>
      <c r="U826" s="347" t="s">
        <v>2086</v>
      </c>
      <c r="V826" s="345">
        <v>700</v>
      </c>
      <c r="W826" s="345">
        <v>14050</v>
      </c>
      <c r="X826" s="349">
        <v>16631.830000000002</v>
      </c>
      <c r="Y826" s="345">
        <v>14056</v>
      </c>
      <c r="Z826" s="349">
        <v>15443.88</v>
      </c>
      <c r="AA826" s="349">
        <f t="shared" si="97"/>
        <v>1187.9500000000025</v>
      </c>
      <c r="AB826" s="349">
        <v>1782</v>
      </c>
      <c r="AC826" s="345">
        <v>54260</v>
      </c>
      <c r="AD826" s="349">
        <v>198</v>
      </c>
      <c r="AE826" s="345" t="s">
        <v>944</v>
      </c>
      <c r="AF826" s="347"/>
      <c r="AG826" s="347"/>
      <c r="AH826" s="347" t="s">
        <v>57</v>
      </c>
      <c r="AI826" s="347" t="s">
        <v>4442</v>
      </c>
      <c r="AJ826" s="347" t="s">
        <v>4443</v>
      </c>
      <c r="AK826" s="347" t="s">
        <v>4437</v>
      </c>
      <c r="AL826" s="387">
        <v>45574</v>
      </c>
    </row>
    <row r="827" spans="2:38" ht="15.75" outlineLevel="1">
      <c r="B827" s="345">
        <v>2111</v>
      </c>
      <c r="C827" s="346">
        <v>195820</v>
      </c>
      <c r="D827" s="345">
        <v>102169</v>
      </c>
      <c r="E827" s="347" t="s">
        <v>4240</v>
      </c>
      <c r="F827" s="343" t="s">
        <v>2091</v>
      </c>
      <c r="I827" s="345">
        <v>1</v>
      </c>
      <c r="J827" s="347"/>
      <c r="K827" s="345">
        <v>0</v>
      </c>
      <c r="L827" s="347" t="s">
        <v>1572</v>
      </c>
      <c r="M827" s="347"/>
      <c r="N827" s="347" t="s">
        <v>4445</v>
      </c>
      <c r="O827" s="347" t="s">
        <v>4441</v>
      </c>
      <c r="P827" s="347" t="s">
        <v>1467</v>
      </c>
      <c r="Q827" s="347"/>
      <c r="R827" s="347"/>
      <c r="S827" s="348">
        <v>43214</v>
      </c>
      <c r="T827" s="348">
        <v>43214</v>
      </c>
      <c r="U827" s="347" t="s">
        <v>2092</v>
      </c>
      <c r="V827" s="345">
        <v>300</v>
      </c>
      <c r="W827" s="345">
        <v>14040</v>
      </c>
      <c r="X827" s="349">
        <v>8770.02</v>
      </c>
      <c r="Y827" s="345">
        <v>14046</v>
      </c>
      <c r="Z827" s="349">
        <v>8770.02</v>
      </c>
      <c r="AA827" s="349">
        <f t="shared" si="97"/>
        <v>0</v>
      </c>
      <c r="AB827" s="349">
        <v>0</v>
      </c>
      <c r="AC827" s="345">
        <v>51260</v>
      </c>
      <c r="AD827" s="349">
        <v>0</v>
      </c>
      <c r="AE827" s="345" t="s">
        <v>944</v>
      </c>
      <c r="AF827" s="347"/>
      <c r="AG827" s="347"/>
      <c r="AH827" s="347" t="s">
        <v>57</v>
      </c>
      <c r="AI827" s="347" t="s">
        <v>4442</v>
      </c>
      <c r="AJ827" s="347" t="s">
        <v>4443</v>
      </c>
      <c r="AK827" s="347" t="s">
        <v>4437</v>
      </c>
      <c r="AL827" s="387">
        <v>45574</v>
      </c>
    </row>
    <row r="828" spans="2:38" ht="15.75" outlineLevel="1">
      <c r="B828" s="345">
        <v>2111</v>
      </c>
      <c r="C828" s="346">
        <v>194937</v>
      </c>
      <c r="D828" s="345" t="s">
        <v>944</v>
      </c>
      <c r="E828" s="347" t="s">
        <v>4240</v>
      </c>
      <c r="F828" s="343" t="s">
        <v>512</v>
      </c>
      <c r="I828" s="345">
        <v>624</v>
      </c>
      <c r="J828" s="347"/>
      <c r="K828" s="345">
        <v>0</v>
      </c>
      <c r="L828" s="347" t="s">
        <v>2093</v>
      </c>
      <c r="M828" s="347"/>
      <c r="N828" s="347" t="s">
        <v>4446</v>
      </c>
      <c r="O828" s="347" t="s">
        <v>4441</v>
      </c>
      <c r="P828" s="347"/>
      <c r="Q828" s="347"/>
      <c r="R828" s="347"/>
      <c r="S828" s="348">
        <v>43133</v>
      </c>
      <c r="T828" s="348">
        <v>43133</v>
      </c>
      <c r="U828" s="347" t="s">
        <v>2094</v>
      </c>
      <c r="V828" s="345">
        <v>700</v>
      </c>
      <c r="W828" s="345">
        <v>14050</v>
      </c>
      <c r="X828" s="349">
        <v>33120.080000000002</v>
      </c>
      <c r="Y828" s="345">
        <v>14056</v>
      </c>
      <c r="Z828" s="349">
        <v>31542.959999999999</v>
      </c>
      <c r="AA828" s="349">
        <f t="shared" si="97"/>
        <v>1577.1200000000026</v>
      </c>
      <c r="AB828" s="349">
        <v>3548.61</v>
      </c>
      <c r="AC828" s="345">
        <v>54260</v>
      </c>
      <c r="AD828" s="349">
        <v>394.29</v>
      </c>
      <c r="AE828" s="345" t="s">
        <v>944</v>
      </c>
      <c r="AF828" s="347"/>
      <c r="AG828" s="347"/>
      <c r="AH828" s="347" t="s">
        <v>57</v>
      </c>
      <c r="AI828" s="347" t="s">
        <v>4442</v>
      </c>
      <c r="AJ828" s="347" t="s">
        <v>4443</v>
      </c>
      <c r="AK828" s="347" t="s">
        <v>4437</v>
      </c>
      <c r="AL828" s="387">
        <v>45574</v>
      </c>
    </row>
    <row r="829" spans="2:38" ht="15.75" outlineLevel="1">
      <c r="B829" s="345">
        <v>2111</v>
      </c>
      <c r="C829" s="346">
        <v>194936</v>
      </c>
      <c r="D829" s="345" t="s">
        <v>944</v>
      </c>
      <c r="E829" s="347" t="s">
        <v>4240</v>
      </c>
      <c r="F829" s="343" t="s">
        <v>513</v>
      </c>
      <c r="I829" s="345">
        <v>864</v>
      </c>
      <c r="J829" s="347"/>
      <c r="K829" s="345">
        <v>0</v>
      </c>
      <c r="L829" s="347" t="s">
        <v>2093</v>
      </c>
      <c r="M829" s="347"/>
      <c r="N829" s="347" t="s">
        <v>4446</v>
      </c>
      <c r="O829" s="347" t="s">
        <v>4441</v>
      </c>
      <c r="P829" s="347"/>
      <c r="Q829" s="347"/>
      <c r="R829" s="347"/>
      <c r="S829" s="348">
        <v>43125</v>
      </c>
      <c r="T829" s="348">
        <v>43125</v>
      </c>
      <c r="U829" s="347" t="s">
        <v>2094</v>
      </c>
      <c r="V829" s="345">
        <v>700</v>
      </c>
      <c r="W829" s="345">
        <v>14050</v>
      </c>
      <c r="X829" s="349">
        <v>39634.949999999997</v>
      </c>
      <c r="Y829" s="345">
        <v>14056</v>
      </c>
      <c r="Z829" s="349">
        <v>37747.550000000003</v>
      </c>
      <c r="AA829" s="349">
        <f t="shared" si="97"/>
        <v>1887.3999999999942</v>
      </c>
      <c r="AB829" s="349">
        <v>4246.5600000000004</v>
      </c>
      <c r="AC829" s="345">
        <v>54260</v>
      </c>
      <c r="AD829" s="349">
        <v>471.84</v>
      </c>
      <c r="AE829" s="345" t="s">
        <v>944</v>
      </c>
      <c r="AF829" s="347"/>
      <c r="AG829" s="347"/>
      <c r="AH829" s="347" t="s">
        <v>57</v>
      </c>
      <c r="AI829" s="347" t="s">
        <v>4442</v>
      </c>
      <c r="AJ829" s="347" t="s">
        <v>4443</v>
      </c>
      <c r="AK829" s="347" t="s">
        <v>4437</v>
      </c>
      <c r="AL829" s="387">
        <v>45574</v>
      </c>
    </row>
    <row r="830" spans="2:38" ht="15.75" outlineLevel="1">
      <c r="B830" s="345">
        <v>2111</v>
      </c>
      <c r="C830" s="346">
        <v>194935</v>
      </c>
      <c r="D830" s="345" t="s">
        <v>944</v>
      </c>
      <c r="E830" s="347" t="s">
        <v>4240</v>
      </c>
      <c r="F830" s="343" t="s">
        <v>514</v>
      </c>
      <c r="I830" s="345">
        <v>624</v>
      </c>
      <c r="J830" s="347"/>
      <c r="K830" s="345">
        <v>0</v>
      </c>
      <c r="L830" s="347" t="s">
        <v>2093</v>
      </c>
      <c r="M830" s="347"/>
      <c r="N830" s="347" t="s">
        <v>4446</v>
      </c>
      <c r="O830" s="347" t="s">
        <v>4441</v>
      </c>
      <c r="P830" s="347"/>
      <c r="Q830" s="347"/>
      <c r="R830" s="347"/>
      <c r="S830" s="348">
        <v>43101</v>
      </c>
      <c r="T830" s="348">
        <v>43101</v>
      </c>
      <c r="U830" s="347" t="s">
        <v>2095</v>
      </c>
      <c r="V830" s="345">
        <v>610</v>
      </c>
      <c r="W830" s="345">
        <v>14050</v>
      </c>
      <c r="X830" s="349">
        <v>32987.93</v>
      </c>
      <c r="Y830" s="345">
        <v>14056</v>
      </c>
      <c r="Z830" s="349">
        <v>32585.61</v>
      </c>
      <c r="AA830" s="349">
        <f t="shared" si="97"/>
        <v>402.31999999999971</v>
      </c>
      <c r="AB830" s="349">
        <v>3620.61</v>
      </c>
      <c r="AC830" s="345">
        <v>54260</v>
      </c>
      <c r="AD830" s="349">
        <v>402.29</v>
      </c>
      <c r="AE830" s="345" t="s">
        <v>944</v>
      </c>
      <c r="AF830" s="347"/>
      <c r="AG830" s="347"/>
      <c r="AH830" s="347" t="s">
        <v>57</v>
      </c>
      <c r="AI830" s="347" t="s">
        <v>4442</v>
      </c>
      <c r="AJ830" s="347" t="s">
        <v>4443</v>
      </c>
      <c r="AK830" s="347" t="s">
        <v>4437</v>
      </c>
      <c r="AL830" s="387">
        <v>45574</v>
      </c>
    </row>
    <row r="831" spans="2:38" ht="15.75" outlineLevel="1">
      <c r="B831" s="345">
        <v>2111</v>
      </c>
      <c r="C831" s="346">
        <v>194073</v>
      </c>
      <c r="D831" s="345" t="s">
        <v>944</v>
      </c>
      <c r="E831" s="347" t="s">
        <v>4240</v>
      </c>
      <c r="F831" s="343" t="s">
        <v>594</v>
      </c>
      <c r="I831" s="345">
        <v>1</v>
      </c>
      <c r="J831" s="347"/>
      <c r="K831" s="345">
        <v>0</v>
      </c>
      <c r="L831" s="347" t="s">
        <v>2096</v>
      </c>
      <c r="M831" s="347"/>
      <c r="N831" s="347" t="s">
        <v>4452</v>
      </c>
      <c r="O831" s="347" t="s">
        <v>4441</v>
      </c>
      <c r="P831" s="347"/>
      <c r="Q831" s="347"/>
      <c r="R831" s="347"/>
      <c r="S831" s="348">
        <v>43186</v>
      </c>
      <c r="T831" s="348">
        <v>43186</v>
      </c>
      <c r="U831" s="347" t="s">
        <v>2097</v>
      </c>
      <c r="V831" s="345">
        <v>1000</v>
      </c>
      <c r="W831" s="345">
        <v>14080</v>
      </c>
      <c r="X831" s="349">
        <v>69188.7</v>
      </c>
      <c r="Y831" s="345">
        <v>14086</v>
      </c>
      <c r="Z831" s="349">
        <v>44972.63</v>
      </c>
      <c r="AA831" s="349">
        <f t="shared" si="97"/>
        <v>24216.07</v>
      </c>
      <c r="AB831" s="349">
        <v>5189.13</v>
      </c>
      <c r="AC831" s="345">
        <v>57260</v>
      </c>
      <c r="AD831" s="349">
        <v>576.57000000000005</v>
      </c>
      <c r="AE831" s="345" t="s">
        <v>944</v>
      </c>
      <c r="AF831" s="347"/>
      <c r="AG831" s="347"/>
      <c r="AH831" s="347" t="s">
        <v>57</v>
      </c>
      <c r="AI831" s="347" t="s">
        <v>4442</v>
      </c>
      <c r="AJ831" s="347" t="s">
        <v>4443</v>
      </c>
      <c r="AK831" s="347" t="s">
        <v>4437</v>
      </c>
      <c r="AL831" s="387">
        <v>45574</v>
      </c>
    </row>
    <row r="832" spans="2:38" ht="15.75" outlineLevel="1">
      <c r="B832" s="345">
        <v>2111</v>
      </c>
      <c r="C832" s="346">
        <v>190633</v>
      </c>
      <c r="D832" s="345" t="s">
        <v>944</v>
      </c>
      <c r="E832" s="347" t="s">
        <v>4240</v>
      </c>
      <c r="F832" s="343" t="s">
        <v>515</v>
      </c>
      <c r="I832" s="345">
        <v>312</v>
      </c>
      <c r="J832" s="347"/>
      <c r="K832" s="345">
        <v>0</v>
      </c>
      <c r="L832" s="347" t="s">
        <v>2093</v>
      </c>
      <c r="M832" s="347"/>
      <c r="N832" s="347" t="s">
        <v>4446</v>
      </c>
      <c r="O832" s="347" t="s">
        <v>4441</v>
      </c>
      <c r="P832" s="347"/>
      <c r="Q832" s="347"/>
      <c r="R832" s="347"/>
      <c r="S832" s="348">
        <v>43064</v>
      </c>
      <c r="T832" s="348">
        <v>43064</v>
      </c>
      <c r="U832" s="347" t="s">
        <v>2098</v>
      </c>
      <c r="V832" s="345">
        <v>700</v>
      </c>
      <c r="W832" s="345">
        <v>14050</v>
      </c>
      <c r="X832" s="349">
        <v>16322.37</v>
      </c>
      <c r="Y832" s="345">
        <v>14056</v>
      </c>
      <c r="Z832" s="349">
        <v>15933.72</v>
      </c>
      <c r="AA832" s="349">
        <f t="shared" si="97"/>
        <v>388.65000000000146</v>
      </c>
      <c r="AB832" s="349">
        <v>1748.79</v>
      </c>
      <c r="AC832" s="345">
        <v>54260</v>
      </c>
      <c r="AD832" s="349">
        <v>194.31</v>
      </c>
      <c r="AE832" s="345" t="s">
        <v>944</v>
      </c>
      <c r="AF832" s="347"/>
      <c r="AG832" s="347"/>
      <c r="AH832" s="347" t="s">
        <v>57</v>
      </c>
      <c r="AI832" s="347" t="s">
        <v>4442</v>
      </c>
      <c r="AJ832" s="347" t="s">
        <v>4443</v>
      </c>
      <c r="AK832" s="347" t="s">
        <v>4437</v>
      </c>
      <c r="AL832" s="387">
        <v>45574</v>
      </c>
    </row>
    <row r="833" spans="2:38" ht="15.75" outlineLevel="1">
      <c r="B833" s="345">
        <v>2111</v>
      </c>
      <c r="C833" s="346">
        <v>190632</v>
      </c>
      <c r="D833" s="345" t="s">
        <v>944</v>
      </c>
      <c r="E833" s="347" t="s">
        <v>4240</v>
      </c>
      <c r="F833" s="343" t="s">
        <v>516</v>
      </c>
      <c r="I833" s="345">
        <v>432</v>
      </c>
      <c r="J833" s="347"/>
      <c r="K833" s="345">
        <v>0</v>
      </c>
      <c r="L833" s="347" t="s">
        <v>2093</v>
      </c>
      <c r="M833" s="347"/>
      <c r="N833" s="347" t="s">
        <v>4446</v>
      </c>
      <c r="O833" s="347" t="s">
        <v>4441</v>
      </c>
      <c r="P833" s="347"/>
      <c r="Q833" s="347"/>
      <c r="R833" s="347"/>
      <c r="S833" s="348">
        <v>43064</v>
      </c>
      <c r="T833" s="348">
        <v>43064</v>
      </c>
      <c r="U833" s="347" t="s">
        <v>2098</v>
      </c>
      <c r="V833" s="345">
        <v>700</v>
      </c>
      <c r="W833" s="345">
        <v>14050</v>
      </c>
      <c r="X833" s="349">
        <v>19988.98</v>
      </c>
      <c r="Y833" s="345">
        <v>14056</v>
      </c>
      <c r="Z833" s="349">
        <v>19513.02</v>
      </c>
      <c r="AA833" s="349">
        <f t="shared" si="97"/>
        <v>475.95999999999913</v>
      </c>
      <c r="AB833" s="349">
        <v>2141.64</v>
      </c>
      <c r="AC833" s="345">
        <v>54260</v>
      </c>
      <c r="AD833" s="349">
        <v>237.96</v>
      </c>
      <c r="AE833" s="345" t="s">
        <v>944</v>
      </c>
      <c r="AF833" s="347"/>
      <c r="AG833" s="347"/>
      <c r="AH833" s="347" t="s">
        <v>57</v>
      </c>
      <c r="AI833" s="347" t="s">
        <v>4442</v>
      </c>
      <c r="AJ833" s="347" t="s">
        <v>4443</v>
      </c>
      <c r="AK833" s="347" t="s">
        <v>4437</v>
      </c>
      <c r="AL833" s="387">
        <v>45574</v>
      </c>
    </row>
    <row r="834" spans="2:38" ht="15.75" outlineLevel="1">
      <c r="B834" s="345">
        <v>2111</v>
      </c>
      <c r="C834" s="346">
        <v>190183</v>
      </c>
      <c r="D834" s="345" t="s">
        <v>944</v>
      </c>
      <c r="E834" s="347" t="s">
        <v>4240</v>
      </c>
      <c r="F834" s="343" t="s">
        <v>534</v>
      </c>
      <c r="I834" s="345">
        <v>15</v>
      </c>
      <c r="J834" s="347"/>
      <c r="K834" s="345">
        <v>0</v>
      </c>
      <c r="L834" s="347" t="s">
        <v>1509</v>
      </c>
      <c r="M834" s="347"/>
      <c r="N834" s="347" t="s">
        <v>4446</v>
      </c>
      <c r="O834" s="347" t="s">
        <v>4441</v>
      </c>
      <c r="P834" s="347"/>
      <c r="Q834" s="347" t="s">
        <v>4479</v>
      </c>
      <c r="R834" s="347" t="s">
        <v>4450</v>
      </c>
      <c r="S834" s="348">
        <v>43077</v>
      </c>
      <c r="T834" s="348">
        <v>43077</v>
      </c>
      <c r="U834" s="347" t="s">
        <v>2099</v>
      </c>
      <c r="V834" s="345">
        <v>1200</v>
      </c>
      <c r="W834" s="345">
        <v>14050</v>
      </c>
      <c r="X834" s="349">
        <v>12736.29</v>
      </c>
      <c r="Y834" s="345">
        <v>14056</v>
      </c>
      <c r="Z834" s="349">
        <v>7252.66</v>
      </c>
      <c r="AA834" s="349">
        <f t="shared" si="97"/>
        <v>5483.630000000001</v>
      </c>
      <c r="AB834" s="349">
        <v>796.05</v>
      </c>
      <c r="AC834" s="345">
        <v>54260</v>
      </c>
      <c r="AD834" s="349">
        <v>88.45</v>
      </c>
      <c r="AE834" s="345" t="s">
        <v>944</v>
      </c>
      <c r="AF834" s="347"/>
      <c r="AG834" s="347"/>
      <c r="AH834" s="347" t="s">
        <v>57</v>
      </c>
      <c r="AI834" s="347" t="s">
        <v>4442</v>
      </c>
      <c r="AJ834" s="347" t="s">
        <v>4443</v>
      </c>
      <c r="AK834" s="347" t="s">
        <v>4437</v>
      </c>
      <c r="AL834" s="387">
        <v>45574</v>
      </c>
    </row>
    <row r="835" spans="2:38" ht="15.75" outlineLevel="1">
      <c r="B835" s="345">
        <v>2111</v>
      </c>
      <c r="C835" s="346">
        <v>190182</v>
      </c>
      <c r="D835" s="345" t="s">
        <v>944</v>
      </c>
      <c r="E835" s="347" t="s">
        <v>4240</v>
      </c>
      <c r="F835" s="343" t="s">
        <v>2101</v>
      </c>
      <c r="I835" s="345">
        <v>19</v>
      </c>
      <c r="J835" s="347"/>
      <c r="K835" s="345">
        <v>0</v>
      </c>
      <c r="L835" s="347" t="s">
        <v>1509</v>
      </c>
      <c r="M835" s="347"/>
      <c r="N835" s="347" t="s">
        <v>4446</v>
      </c>
      <c r="O835" s="347" t="s">
        <v>4441</v>
      </c>
      <c r="P835" s="347"/>
      <c r="Q835" s="347" t="s">
        <v>4464</v>
      </c>
      <c r="R835" s="347" t="s">
        <v>4450</v>
      </c>
      <c r="S835" s="348">
        <v>43077</v>
      </c>
      <c r="T835" s="348">
        <v>43077</v>
      </c>
      <c r="U835" s="347" t="s">
        <v>2099</v>
      </c>
      <c r="V835" s="345">
        <v>1200</v>
      </c>
      <c r="W835" s="345">
        <v>14050</v>
      </c>
      <c r="X835" s="349">
        <v>14023.45</v>
      </c>
      <c r="Y835" s="345">
        <v>14056</v>
      </c>
      <c r="Z835" s="349">
        <v>7985.62</v>
      </c>
      <c r="AA835" s="349">
        <f t="shared" si="97"/>
        <v>6037.8300000000008</v>
      </c>
      <c r="AB835" s="349">
        <v>876.51</v>
      </c>
      <c r="AC835" s="345">
        <v>54260</v>
      </c>
      <c r="AD835" s="349">
        <v>97.39</v>
      </c>
      <c r="AE835" s="345" t="s">
        <v>944</v>
      </c>
      <c r="AF835" s="347"/>
      <c r="AG835" s="347"/>
      <c r="AH835" s="347" t="s">
        <v>57</v>
      </c>
      <c r="AI835" s="347" t="s">
        <v>4442</v>
      </c>
      <c r="AJ835" s="347" t="s">
        <v>4443</v>
      </c>
      <c r="AK835" s="347" t="s">
        <v>4437</v>
      </c>
      <c r="AL835" s="387">
        <v>45574</v>
      </c>
    </row>
    <row r="836" spans="2:38" ht="15.75" outlineLevel="1">
      <c r="B836" s="345">
        <v>2111</v>
      </c>
      <c r="C836" s="346">
        <v>190181</v>
      </c>
      <c r="D836" s="345" t="s">
        <v>944</v>
      </c>
      <c r="E836" s="347" t="s">
        <v>4240</v>
      </c>
      <c r="F836" s="343" t="s">
        <v>2101</v>
      </c>
      <c r="I836" s="345">
        <v>1</v>
      </c>
      <c r="J836" s="347"/>
      <c r="K836" s="345">
        <v>0</v>
      </c>
      <c r="L836" s="347" t="s">
        <v>1509</v>
      </c>
      <c r="M836" s="347"/>
      <c r="N836" s="347" t="s">
        <v>4446</v>
      </c>
      <c r="O836" s="347" t="s">
        <v>4441</v>
      </c>
      <c r="P836" s="347"/>
      <c r="Q836" s="347" t="s">
        <v>4464</v>
      </c>
      <c r="R836" s="347" t="s">
        <v>4450</v>
      </c>
      <c r="S836" s="348">
        <v>43077</v>
      </c>
      <c r="T836" s="348">
        <v>43077</v>
      </c>
      <c r="U836" s="347" t="s">
        <v>2102</v>
      </c>
      <c r="V836" s="345">
        <v>1200</v>
      </c>
      <c r="W836" s="345">
        <v>14050</v>
      </c>
      <c r="X836" s="349">
        <v>738.08</v>
      </c>
      <c r="Y836" s="345">
        <v>14056</v>
      </c>
      <c r="Z836" s="349">
        <v>420.36</v>
      </c>
      <c r="AA836" s="349">
        <f t="shared" si="97"/>
        <v>317.72000000000003</v>
      </c>
      <c r="AB836" s="349">
        <v>46.17</v>
      </c>
      <c r="AC836" s="345">
        <v>54260</v>
      </c>
      <c r="AD836" s="349">
        <v>5.13</v>
      </c>
      <c r="AE836" s="345" t="s">
        <v>944</v>
      </c>
      <c r="AF836" s="347"/>
      <c r="AG836" s="347"/>
      <c r="AH836" s="347" t="s">
        <v>57</v>
      </c>
      <c r="AI836" s="347" t="s">
        <v>4442</v>
      </c>
      <c r="AJ836" s="347" t="s">
        <v>4443</v>
      </c>
      <c r="AK836" s="347" t="s">
        <v>4437</v>
      </c>
      <c r="AL836" s="387">
        <v>45574</v>
      </c>
    </row>
    <row r="837" spans="2:38" ht="15.75" outlineLevel="1">
      <c r="B837" s="345">
        <v>2111</v>
      </c>
      <c r="C837" s="346">
        <v>190180</v>
      </c>
      <c r="D837" s="345" t="s">
        <v>944</v>
      </c>
      <c r="E837" s="347" t="s">
        <v>4240</v>
      </c>
      <c r="F837" s="343" t="s">
        <v>472</v>
      </c>
      <c r="I837" s="345">
        <v>1</v>
      </c>
      <c r="J837" s="347"/>
      <c r="K837" s="345">
        <v>0</v>
      </c>
      <c r="L837" s="347" t="s">
        <v>1509</v>
      </c>
      <c r="M837" s="347"/>
      <c r="N837" s="347" t="s">
        <v>4446</v>
      </c>
      <c r="O837" s="347" t="s">
        <v>4441</v>
      </c>
      <c r="P837" s="347"/>
      <c r="Q837" s="347" t="s">
        <v>4449</v>
      </c>
      <c r="R837" s="347" t="s">
        <v>4450</v>
      </c>
      <c r="S837" s="348">
        <v>43077</v>
      </c>
      <c r="T837" s="348">
        <v>43077</v>
      </c>
      <c r="U837" s="347" t="s">
        <v>2102</v>
      </c>
      <c r="V837" s="345">
        <v>1200</v>
      </c>
      <c r="W837" s="345">
        <v>14050</v>
      </c>
      <c r="X837" s="349">
        <v>677.85</v>
      </c>
      <c r="Y837" s="345">
        <v>14056</v>
      </c>
      <c r="Z837" s="349">
        <v>386.04</v>
      </c>
      <c r="AA837" s="349">
        <f t="shared" si="97"/>
        <v>291.81</v>
      </c>
      <c r="AB837" s="349">
        <v>42.39</v>
      </c>
      <c r="AC837" s="345">
        <v>54260</v>
      </c>
      <c r="AD837" s="349">
        <v>4.71</v>
      </c>
      <c r="AE837" s="345" t="s">
        <v>944</v>
      </c>
      <c r="AF837" s="347"/>
      <c r="AG837" s="347"/>
      <c r="AH837" s="347" t="s">
        <v>57</v>
      </c>
      <c r="AI837" s="347" t="s">
        <v>4442</v>
      </c>
      <c r="AJ837" s="347" t="s">
        <v>4443</v>
      </c>
      <c r="AK837" s="347" t="s">
        <v>4437</v>
      </c>
      <c r="AL837" s="387">
        <v>45574</v>
      </c>
    </row>
    <row r="838" spans="2:38" ht="15.75" outlineLevel="1">
      <c r="B838" s="345">
        <v>2111</v>
      </c>
      <c r="C838" s="346">
        <v>190070</v>
      </c>
      <c r="D838" s="345" t="s">
        <v>944</v>
      </c>
      <c r="E838" s="347" t="s">
        <v>4240</v>
      </c>
      <c r="F838" s="343" t="s">
        <v>536</v>
      </c>
      <c r="I838" s="345">
        <v>25</v>
      </c>
      <c r="J838" s="347"/>
      <c r="K838" s="345">
        <v>0</v>
      </c>
      <c r="L838" s="347" t="s">
        <v>1509</v>
      </c>
      <c r="M838" s="347"/>
      <c r="N838" s="347" t="s">
        <v>4446</v>
      </c>
      <c r="O838" s="347" t="s">
        <v>4441</v>
      </c>
      <c r="P838" s="347"/>
      <c r="Q838" s="347" t="s">
        <v>4459</v>
      </c>
      <c r="R838" s="347" t="s">
        <v>4450</v>
      </c>
      <c r="S838" s="348">
        <v>43077</v>
      </c>
      <c r="T838" s="348">
        <v>43077</v>
      </c>
      <c r="U838" s="347" t="s">
        <v>2102</v>
      </c>
      <c r="V838" s="345">
        <v>1200</v>
      </c>
      <c r="W838" s="345">
        <v>14050</v>
      </c>
      <c r="X838" s="349">
        <v>16723.55</v>
      </c>
      <c r="Y838" s="345">
        <v>14056</v>
      </c>
      <c r="Z838" s="349">
        <v>9523.18</v>
      </c>
      <c r="AA838" s="349">
        <f t="shared" si="97"/>
        <v>7200.369999999999</v>
      </c>
      <c r="AB838" s="349">
        <v>1045.26</v>
      </c>
      <c r="AC838" s="345">
        <v>54260</v>
      </c>
      <c r="AD838" s="349">
        <v>116.14</v>
      </c>
      <c r="AE838" s="345" t="s">
        <v>944</v>
      </c>
      <c r="AF838" s="347"/>
      <c r="AG838" s="347"/>
      <c r="AH838" s="347" t="s">
        <v>57</v>
      </c>
      <c r="AI838" s="347" t="s">
        <v>4442</v>
      </c>
      <c r="AJ838" s="347" t="s">
        <v>4443</v>
      </c>
      <c r="AK838" s="347" t="s">
        <v>4437</v>
      </c>
      <c r="AL838" s="387">
        <v>45574</v>
      </c>
    </row>
    <row r="839" spans="2:38" ht="15.75" outlineLevel="1">
      <c r="B839" s="345">
        <v>2111</v>
      </c>
      <c r="C839" s="346">
        <v>190069</v>
      </c>
      <c r="D839" s="345" t="s">
        <v>944</v>
      </c>
      <c r="E839" s="347" t="s">
        <v>4240</v>
      </c>
      <c r="F839" s="343" t="s">
        <v>537</v>
      </c>
      <c r="I839" s="345">
        <v>25</v>
      </c>
      <c r="J839" s="347"/>
      <c r="K839" s="345">
        <v>0</v>
      </c>
      <c r="L839" s="347" t="s">
        <v>1509</v>
      </c>
      <c r="M839" s="347"/>
      <c r="N839" s="347" t="s">
        <v>4446</v>
      </c>
      <c r="O839" s="347" t="s">
        <v>4441</v>
      </c>
      <c r="P839" s="347"/>
      <c r="Q839" s="347" t="s">
        <v>4459</v>
      </c>
      <c r="R839" s="347" t="s">
        <v>4450</v>
      </c>
      <c r="S839" s="348">
        <v>43077</v>
      </c>
      <c r="T839" s="348">
        <v>43077</v>
      </c>
      <c r="U839" s="347" t="s">
        <v>2102</v>
      </c>
      <c r="V839" s="345">
        <v>1200</v>
      </c>
      <c r="W839" s="345">
        <v>14050</v>
      </c>
      <c r="X839" s="349">
        <v>15212.43</v>
      </c>
      <c r="Y839" s="345">
        <v>14056</v>
      </c>
      <c r="Z839" s="349">
        <v>8662.6</v>
      </c>
      <c r="AA839" s="349">
        <f t="shared" si="97"/>
        <v>6549.83</v>
      </c>
      <c r="AB839" s="349">
        <v>950.76</v>
      </c>
      <c r="AC839" s="345">
        <v>54260</v>
      </c>
      <c r="AD839" s="349">
        <v>105.64</v>
      </c>
      <c r="AE839" s="345" t="s">
        <v>944</v>
      </c>
      <c r="AF839" s="347"/>
      <c r="AG839" s="347"/>
      <c r="AH839" s="347" t="s">
        <v>57</v>
      </c>
      <c r="AI839" s="347" t="s">
        <v>4442</v>
      </c>
      <c r="AJ839" s="347" t="s">
        <v>4443</v>
      </c>
      <c r="AK839" s="347" t="s">
        <v>4437</v>
      </c>
      <c r="AL839" s="387">
        <v>45574</v>
      </c>
    </row>
    <row r="840" spans="2:38" ht="15.75" outlineLevel="1">
      <c r="B840" s="345">
        <v>2111</v>
      </c>
      <c r="C840" s="346">
        <v>190068</v>
      </c>
      <c r="D840" s="345" t="s">
        <v>944</v>
      </c>
      <c r="E840" s="347" t="s">
        <v>4240</v>
      </c>
      <c r="F840" s="343" t="s">
        <v>472</v>
      </c>
      <c r="I840" s="345">
        <v>19</v>
      </c>
      <c r="J840" s="347"/>
      <c r="K840" s="345">
        <v>0</v>
      </c>
      <c r="L840" s="347" t="s">
        <v>1509</v>
      </c>
      <c r="M840" s="347"/>
      <c r="N840" s="347" t="s">
        <v>4446</v>
      </c>
      <c r="O840" s="347" t="s">
        <v>4441</v>
      </c>
      <c r="P840" s="347"/>
      <c r="Q840" s="347" t="s">
        <v>4449</v>
      </c>
      <c r="R840" s="347" t="s">
        <v>4450</v>
      </c>
      <c r="S840" s="348">
        <v>43077</v>
      </c>
      <c r="T840" s="348">
        <v>43077</v>
      </c>
      <c r="U840" s="347" t="s">
        <v>2102</v>
      </c>
      <c r="V840" s="345">
        <v>1200</v>
      </c>
      <c r="W840" s="345">
        <v>14050</v>
      </c>
      <c r="X840" s="349">
        <v>12188.71</v>
      </c>
      <c r="Y840" s="345">
        <v>14056</v>
      </c>
      <c r="Z840" s="349">
        <v>6940.78</v>
      </c>
      <c r="AA840" s="349">
        <f t="shared" si="97"/>
        <v>5247.9299999999994</v>
      </c>
      <c r="AB840" s="349">
        <v>761.76</v>
      </c>
      <c r="AC840" s="345">
        <v>54260</v>
      </c>
      <c r="AD840" s="349">
        <v>84.64</v>
      </c>
      <c r="AE840" s="345" t="s">
        <v>944</v>
      </c>
      <c r="AF840" s="347"/>
      <c r="AG840" s="347"/>
      <c r="AH840" s="347" t="s">
        <v>57</v>
      </c>
      <c r="AI840" s="347" t="s">
        <v>4442</v>
      </c>
      <c r="AJ840" s="347" t="s">
        <v>4443</v>
      </c>
      <c r="AK840" s="347" t="s">
        <v>4437</v>
      </c>
      <c r="AL840" s="387">
        <v>45574</v>
      </c>
    </row>
    <row r="841" spans="2:38" ht="15.75" outlineLevel="1">
      <c r="B841" s="345">
        <v>2111</v>
      </c>
      <c r="C841" s="346">
        <v>190067</v>
      </c>
      <c r="D841" s="345" t="s">
        <v>944</v>
      </c>
      <c r="E841" s="347" t="s">
        <v>4240</v>
      </c>
      <c r="F841" s="343" t="s">
        <v>534</v>
      </c>
      <c r="I841" s="345">
        <v>25</v>
      </c>
      <c r="J841" s="347"/>
      <c r="K841" s="345">
        <v>0</v>
      </c>
      <c r="L841" s="347" t="s">
        <v>1509</v>
      </c>
      <c r="M841" s="347"/>
      <c r="N841" s="347" t="s">
        <v>4446</v>
      </c>
      <c r="O841" s="347" t="s">
        <v>4441</v>
      </c>
      <c r="P841" s="347"/>
      <c r="Q841" s="347" t="s">
        <v>4479</v>
      </c>
      <c r="R841" s="347" t="s">
        <v>4450</v>
      </c>
      <c r="S841" s="348">
        <v>43020</v>
      </c>
      <c r="T841" s="348">
        <v>43020</v>
      </c>
      <c r="U841" s="347" t="s">
        <v>2099</v>
      </c>
      <c r="V841" s="345">
        <v>1200</v>
      </c>
      <c r="W841" s="345">
        <v>14050</v>
      </c>
      <c r="X841" s="349">
        <v>22541.040000000001</v>
      </c>
      <c r="Y841" s="345">
        <v>14056</v>
      </c>
      <c r="Z841" s="349">
        <v>13148.99</v>
      </c>
      <c r="AA841" s="349">
        <f t="shared" si="97"/>
        <v>9392.0500000000011</v>
      </c>
      <c r="AB841" s="349">
        <v>1408.86</v>
      </c>
      <c r="AC841" s="345">
        <v>54260</v>
      </c>
      <c r="AD841" s="349">
        <v>156.54</v>
      </c>
      <c r="AE841" s="345" t="s">
        <v>944</v>
      </c>
      <c r="AF841" s="347"/>
      <c r="AG841" s="347"/>
      <c r="AH841" s="347" t="s">
        <v>57</v>
      </c>
      <c r="AI841" s="347" t="s">
        <v>4442</v>
      </c>
      <c r="AJ841" s="347" t="s">
        <v>4443</v>
      </c>
      <c r="AK841" s="347" t="s">
        <v>4437</v>
      </c>
      <c r="AL841" s="387">
        <v>45574</v>
      </c>
    </row>
    <row r="842" spans="2:38" ht="15.75" outlineLevel="1">
      <c r="B842" s="345">
        <v>2111</v>
      </c>
      <c r="C842" s="346">
        <v>189538</v>
      </c>
      <c r="D842" s="345">
        <v>183279</v>
      </c>
      <c r="E842" s="347" t="s">
        <v>4240</v>
      </c>
      <c r="F842" s="343" t="s">
        <v>2105</v>
      </c>
      <c r="I842" s="345">
        <v>1</v>
      </c>
      <c r="J842" s="347"/>
      <c r="K842" s="345">
        <v>0</v>
      </c>
      <c r="L842" s="347" t="s">
        <v>1832</v>
      </c>
      <c r="M842" s="347"/>
      <c r="N842" s="347" t="s">
        <v>4445</v>
      </c>
      <c r="O842" s="347" t="s">
        <v>4441</v>
      </c>
      <c r="P842" s="347" t="s">
        <v>1467</v>
      </c>
      <c r="Q842" s="347"/>
      <c r="R842" s="347"/>
      <c r="S842" s="348">
        <v>42887</v>
      </c>
      <c r="T842" s="348">
        <v>42887</v>
      </c>
      <c r="U842" s="347" t="s">
        <v>2106</v>
      </c>
      <c r="V842" s="345">
        <v>1000</v>
      </c>
      <c r="W842" s="345">
        <v>14040</v>
      </c>
      <c r="X842" s="349">
        <v>494.55</v>
      </c>
      <c r="Y842" s="345">
        <v>14046</v>
      </c>
      <c r="Z842" s="349">
        <v>362.63</v>
      </c>
      <c r="AA842" s="349">
        <f t="shared" si="97"/>
        <v>131.92000000000002</v>
      </c>
      <c r="AB842" s="349">
        <v>37.08</v>
      </c>
      <c r="AC842" s="345">
        <v>51260</v>
      </c>
      <c r="AD842" s="349">
        <v>4.12</v>
      </c>
      <c r="AE842" s="345" t="s">
        <v>944</v>
      </c>
      <c r="AF842" s="347"/>
      <c r="AG842" s="347"/>
      <c r="AH842" s="347" t="s">
        <v>57</v>
      </c>
      <c r="AI842" s="347" t="s">
        <v>4442</v>
      </c>
      <c r="AJ842" s="347" t="s">
        <v>4443</v>
      </c>
      <c r="AK842" s="347" t="s">
        <v>4437</v>
      </c>
      <c r="AL842" s="387">
        <v>45574</v>
      </c>
    </row>
    <row r="843" spans="2:38" ht="15.75" outlineLevel="1">
      <c r="B843" s="345">
        <v>2111</v>
      </c>
      <c r="C843" s="346">
        <v>189537</v>
      </c>
      <c r="D843" s="345">
        <v>183277</v>
      </c>
      <c r="E843" s="347" t="s">
        <v>4240</v>
      </c>
      <c r="F843" s="343" t="s">
        <v>2105</v>
      </c>
      <c r="I843" s="345">
        <v>1</v>
      </c>
      <c r="J843" s="347"/>
      <c r="K843" s="345">
        <v>0</v>
      </c>
      <c r="L843" s="347" t="s">
        <v>1832</v>
      </c>
      <c r="M843" s="347"/>
      <c r="N843" s="347" t="s">
        <v>4445</v>
      </c>
      <c r="O843" s="347" t="s">
        <v>4441</v>
      </c>
      <c r="P843" s="347" t="s">
        <v>1467</v>
      </c>
      <c r="Q843" s="347"/>
      <c r="R843" s="347"/>
      <c r="S843" s="348">
        <v>42887</v>
      </c>
      <c r="T843" s="348">
        <v>42887</v>
      </c>
      <c r="U843" s="347" t="s">
        <v>2107</v>
      </c>
      <c r="V843" s="345">
        <v>1000</v>
      </c>
      <c r="W843" s="345">
        <v>14040</v>
      </c>
      <c r="X843" s="349">
        <v>494.55</v>
      </c>
      <c r="Y843" s="345">
        <v>14046</v>
      </c>
      <c r="Z843" s="349">
        <v>362.63</v>
      </c>
      <c r="AA843" s="349">
        <f t="shared" si="97"/>
        <v>131.92000000000002</v>
      </c>
      <c r="AB843" s="349">
        <v>37.08</v>
      </c>
      <c r="AC843" s="345">
        <v>51260</v>
      </c>
      <c r="AD843" s="349">
        <v>4.12</v>
      </c>
      <c r="AE843" s="345" t="s">
        <v>944</v>
      </c>
      <c r="AF843" s="347"/>
      <c r="AG843" s="347"/>
      <c r="AH843" s="347" t="s">
        <v>57</v>
      </c>
      <c r="AI843" s="347" t="s">
        <v>4442</v>
      </c>
      <c r="AJ843" s="347" t="s">
        <v>4443</v>
      </c>
      <c r="AK843" s="347" t="s">
        <v>4437</v>
      </c>
      <c r="AL843" s="387">
        <v>45574</v>
      </c>
    </row>
    <row r="844" spans="2:38" ht="15.75" outlineLevel="1">
      <c r="B844" s="345">
        <v>2111</v>
      </c>
      <c r="C844" s="346">
        <v>189536</v>
      </c>
      <c r="D844" s="345">
        <v>180338</v>
      </c>
      <c r="E844" s="347" t="s">
        <v>4240</v>
      </c>
      <c r="F844" s="343" t="s">
        <v>2105</v>
      </c>
      <c r="I844" s="345">
        <v>1</v>
      </c>
      <c r="J844" s="347"/>
      <c r="K844" s="345">
        <v>0</v>
      </c>
      <c r="L844" s="347" t="s">
        <v>1832</v>
      </c>
      <c r="M844" s="347"/>
      <c r="N844" s="347" t="s">
        <v>4445</v>
      </c>
      <c r="O844" s="347" t="s">
        <v>4441</v>
      </c>
      <c r="P844" s="347" t="s">
        <v>1467</v>
      </c>
      <c r="Q844" s="347"/>
      <c r="R844" s="347"/>
      <c r="S844" s="348">
        <v>42826</v>
      </c>
      <c r="T844" s="348">
        <v>42826</v>
      </c>
      <c r="U844" s="347" t="s">
        <v>2108</v>
      </c>
      <c r="V844" s="345">
        <v>1000</v>
      </c>
      <c r="W844" s="345">
        <v>14040</v>
      </c>
      <c r="X844" s="349">
        <v>494.55</v>
      </c>
      <c r="Y844" s="345">
        <v>14046</v>
      </c>
      <c r="Z844" s="349">
        <v>370.87</v>
      </c>
      <c r="AA844" s="349">
        <f t="shared" si="97"/>
        <v>123.68</v>
      </c>
      <c r="AB844" s="349">
        <v>37.08</v>
      </c>
      <c r="AC844" s="345">
        <v>51260</v>
      </c>
      <c r="AD844" s="349">
        <v>4.12</v>
      </c>
      <c r="AE844" s="345" t="s">
        <v>944</v>
      </c>
      <c r="AF844" s="347"/>
      <c r="AG844" s="347"/>
      <c r="AH844" s="347" t="s">
        <v>57</v>
      </c>
      <c r="AI844" s="347" t="s">
        <v>4442</v>
      </c>
      <c r="AJ844" s="347" t="s">
        <v>4443</v>
      </c>
      <c r="AK844" s="347" t="s">
        <v>4437</v>
      </c>
      <c r="AL844" s="387">
        <v>45574</v>
      </c>
    </row>
    <row r="845" spans="2:38" ht="15.75" outlineLevel="1">
      <c r="B845" s="345">
        <v>2111</v>
      </c>
      <c r="C845" s="346">
        <v>189535</v>
      </c>
      <c r="D845" s="345">
        <v>183278</v>
      </c>
      <c r="E845" s="347" t="s">
        <v>4240</v>
      </c>
      <c r="F845" s="343" t="s">
        <v>2105</v>
      </c>
      <c r="I845" s="345">
        <v>1</v>
      </c>
      <c r="J845" s="347"/>
      <c r="K845" s="345">
        <v>0</v>
      </c>
      <c r="L845" s="347" t="s">
        <v>1832</v>
      </c>
      <c r="M845" s="347"/>
      <c r="N845" s="347" t="s">
        <v>4445</v>
      </c>
      <c r="O845" s="347" t="s">
        <v>4441</v>
      </c>
      <c r="P845" s="347" t="s">
        <v>1467</v>
      </c>
      <c r="Q845" s="347"/>
      <c r="R845" s="347"/>
      <c r="S845" s="348">
        <v>42887</v>
      </c>
      <c r="T845" s="348">
        <v>42887</v>
      </c>
      <c r="U845" s="347" t="s">
        <v>2109</v>
      </c>
      <c r="V845" s="345">
        <v>1000</v>
      </c>
      <c r="W845" s="345">
        <v>14040</v>
      </c>
      <c r="X845" s="349">
        <v>494.55</v>
      </c>
      <c r="Y845" s="345">
        <v>14046</v>
      </c>
      <c r="Z845" s="349">
        <v>362.63</v>
      </c>
      <c r="AA845" s="349">
        <f t="shared" si="97"/>
        <v>131.92000000000002</v>
      </c>
      <c r="AB845" s="349">
        <v>37.08</v>
      </c>
      <c r="AC845" s="345">
        <v>51260</v>
      </c>
      <c r="AD845" s="349">
        <v>4.12</v>
      </c>
      <c r="AE845" s="345" t="s">
        <v>944</v>
      </c>
      <c r="AF845" s="347"/>
      <c r="AG845" s="347"/>
      <c r="AH845" s="347" t="s">
        <v>57</v>
      </c>
      <c r="AI845" s="347" t="s">
        <v>4442</v>
      </c>
      <c r="AJ845" s="347" t="s">
        <v>4443</v>
      </c>
      <c r="AK845" s="347" t="s">
        <v>4437</v>
      </c>
      <c r="AL845" s="387">
        <v>45574</v>
      </c>
    </row>
    <row r="846" spans="2:38" ht="15.75" outlineLevel="1">
      <c r="B846" s="345">
        <v>2111</v>
      </c>
      <c r="C846" s="346">
        <v>189448</v>
      </c>
      <c r="D846" s="345" t="s">
        <v>944</v>
      </c>
      <c r="E846" s="347" t="s">
        <v>4240</v>
      </c>
      <c r="F846" s="343" t="s">
        <v>2110</v>
      </c>
      <c r="I846" s="345">
        <v>312</v>
      </c>
      <c r="J846" s="347"/>
      <c r="K846" s="345">
        <v>0</v>
      </c>
      <c r="L846" s="347" t="s">
        <v>2111</v>
      </c>
      <c r="M846" s="347"/>
      <c r="N846" s="347" t="s">
        <v>4446</v>
      </c>
      <c r="O846" s="347" t="s">
        <v>4441</v>
      </c>
      <c r="P846" s="347"/>
      <c r="Q846" s="347"/>
      <c r="R846" s="347"/>
      <c r="S846" s="348">
        <v>43006</v>
      </c>
      <c r="T846" s="348">
        <v>43006</v>
      </c>
      <c r="U846" s="347" t="s">
        <v>2112</v>
      </c>
      <c r="V846" s="345">
        <v>700</v>
      </c>
      <c r="W846" s="345">
        <v>14050</v>
      </c>
      <c r="X846" s="349">
        <v>16446.669999999998</v>
      </c>
      <c r="Y846" s="345">
        <v>14056</v>
      </c>
      <c r="Z846" s="349">
        <v>16446.669999999998</v>
      </c>
      <c r="AA846" s="349">
        <f t="shared" si="97"/>
        <v>0</v>
      </c>
      <c r="AB846" s="349">
        <v>1762.11</v>
      </c>
      <c r="AC846" s="345">
        <v>54260</v>
      </c>
      <c r="AD846" s="349">
        <v>195.79</v>
      </c>
      <c r="AE846" s="345" t="s">
        <v>944</v>
      </c>
      <c r="AF846" s="347"/>
      <c r="AG846" s="347"/>
      <c r="AH846" s="347" t="s">
        <v>57</v>
      </c>
      <c r="AI846" s="347" t="s">
        <v>4442</v>
      </c>
      <c r="AJ846" s="347" t="s">
        <v>4443</v>
      </c>
      <c r="AK846" s="347" t="s">
        <v>4437</v>
      </c>
      <c r="AL846" s="387">
        <v>45574</v>
      </c>
    </row>
    <row r="847" spans="2:38" ht="15.75" outlineLevel="1">
      <c r="B847" s="345">
        <v>2111</v>
      </c>
      <c r="C847" s="346">
        <v>189447</v>
      </c>
      <c r="D847" s="345" t="s">
        <v>944</v>
      </c>
      <c r="E847" s="347" t="s">
        <v>4240</v>
      </c>
      <c r="F847" s="343" t="s">
        <v>2113</v>
      </c>
      <c r="I847" s="345">
        <v>312</v>
      </c>
      <c r="J847" s="347"/>
      <c r="K847" s="345">
        <v>0</v>
      </c>
      <c r="L847" s="347" t="s">
        <v>2111</v>
      </c>
      <c r="M847" s="347"/>
      <c r="N847" s="347" t="s">
        <v>4446</v>
      </c>
      <c r="O847" s="347" t="s">
        <v>4441</v>
      </c>
      <c r="P847" s="347"/>
      <c r="Q847" s="347"/>
      <c r="R847" s="347"/>
      <c r="S847" s="348">
        <v>43006</v>
      </c>
      <c r="T847" s="348">
        <v>43006</v>
      </c>
      <c r="U847" s="347" t="s">
        <v>2112</v>
      </c>
      <c r="V847" s="345">
        <v>700</v>
      </c>
      <c r="W847" s="345">
        <v>14050</v>
      </c>
      <c r="X847" s="349">
        <v>16446.68</v>
      </c>
      <c r="Y847" s="345">
        <v>14056</v>
      </c>
      <c r="Z847" s="349">
        <v>16446.68</v>
      </c>
      <c r="AA847" s="349">
        <f t="shared" si="97"/>
        <v>0</v>
      </c>
      <c r="AB847" s="349">
        <v>1762.12</v>
      </c>
      <c r="AC847" s="345">
        <v>54260</v>
      </c>
      <c r="AD847" s="349">
        <v>195.8</v>
      </c>
      <c r="AE847" s="345" t="s">
        <v>944</v>
      </c>
      <c r="AF847" s="347"/>
      <c r="AG847" s="347"/>
      <c r="AH847" s="347" t="s">
        <v>57</v>
      </c>
      <c r="AI847" s="347" t="s">
        <v>4442</v>
      </c>
      <c r="AJ847" s="347" t="s">
        <v>4443</v>
      </c>
      <c r="AK847" s="347" t="s">
        <v>4437</v>
      </c>
      <c r="AL847" s="387">
        <v>45574</v>
      </c>
    </row>
    <row r="848" spans="2:38" ht="15.75" outlineLevel="1">
      <c r="B848" s="345">
        <v>2111</v>
      </c>
      <c r="C848" s="346">
        <v>189446</v>
      </c>
      <c r="D848" s="345" t="s">
        <v>944</v>
      </c>
      <c r="E848" s="347" t="s">
        <v>4240</v>
      </c>
      <c r="F848" s="343" t="s">
        <v>2114</v>
      </c>
      <c r="I848" s="345">
        <v>864</v>
      </c>
      <c r="J848" s="347"/>
      <c r="K848" s="345">
        <v>0</v>
      </c>
      <c r="L848" s="347" t="s">
        <v>2111</v>
      </c>
      <c r="M848" s="347"/>
      <c r="N848" s="347" t="s">
        <v>4446</v>
      </c>
      <c r="O848" s="347" t="s">
        <v>4441</v>
      </c>
      <c r="P848" s="347"/>
      <c r="Q848" s="347"/>
      <c r="R848" s="347"/>
      <c r="S848" s="348">
        <v>42963</v>
      </c>
      <c r="T848" s="348">
        <v>42963</v>
      </c>
      <c r="U848" s="347" t="s">
        <v>2115</v>
      </c>
      <c r="V848" s="345">
        <v>700</v>
      </c>
      <c r="W848" s="345">
        <v>14050</v>
      </c>
      <c r="X848" s="349">
        <v>39027.35</v>
      </c>
      <c r="Y848" s="345">
        <v>14056</v>
      </c>
      <c r="Z848" s="349">
        <v>39027.35</v>
      </c>
      <c r="AA848" s="349">
        <f t="shared" si="97"/>
        <v>0</v>
      </c>
      <c r="AB848" s="349">
        <v>3716.92</v>
      </c>
      <c r="AC848" s="345">
        <v>54260</v>
      </c>
      <c r="AD848" s="349">
        <v>464.65</v>
      </c>
      <c r="AE848" s="345" t="s">
        <v>944</v>
      </c>
      <c r="AF848" s="347"/>
      <c r="AG848" s="347"/>
      <c r="AH848" s="347" t="s">
        <v>57</v>
      </c>
      <c r="AI848" s="347" t="s">
        <v>4442</v>
      </c>
      <c r="AJ848" s="347" t="s">
        <v>4443</v>
      </c>
      <c r="AK848" s="347" t="s">
        <v>4437</v>
      </c>
      <c r="AL848" s="387">
        <v>45574</v>
      </c>
    </row>
    <row r="849" spans="2:38" ht="15.75" outlineLevel="1">
      <c r="B849" s="345">
        <v>2111</v>
      </c>
      <c r="C849" s="346">
        <v>189445</v>
      </c>
      <c r="D849" s="345" t="s">
        <v>944</v>
      </c>
      <c r="E849" s="347" t="s">
        <v>4240</v>
      </c>
      <c r="F849" s="343" t="s">
        <v>2116</v>
      </c>
      <c r="I849" s="345">
        <v>624</v>
      </c>
      <c r="J849" s="347"/>
      <c r="K849" s="345">
        <v>0</v>
      </c>
      <c r="L849" s="347" t="s">
        <v>2111</v>
      </c>
      <c r="M849" s="347"/>
      <c r="N849" s="347" t="s">
        <v>4446</v>
      </c>
      <c r="O849" s="347" t="s">
        <v>4441</v>
      </c>
      <c r="P849" s="347"/>
      <c r="Q849" s="347"/>
      <c r="R849" s="347"/>
      <c r="S849" s="348">
        <v>42933</v>
      </c>
      <c r="T849" s="348">
        <v>42933</v>
      </c>
      <c r="U849" s="347" t="s">
        <v>2117</v>
      </c>
      <c r="V849" s="345">
        <v>700</v>
      </c>
      <c r="W849" s="345">
        <v>14050</v>
      </c>
      <c r="X849" s="349">
        <v>32408.89</v>
      </c>
      <c r="Y849" s="345">
        <v>14056</v>
      </c>
      <c r="Z849" s="349">
        <v>32408.89</v>
      </c>
      <c r="AA849" s="349">
        <f t="shared" si="97"/>
        <v>0</v>
      </c>
      <c r="AB849" s="349">
        <v>2700.75</v>
      </c>
      <c r="AC849" s="345">
        <v>54260</v>
      </c>
      <c r="AD849" s="349">
        <v>385.83</v>
      </c>
      <c r="AE849" s="345" t="s">
        <v>944</v>
      </c>
      <c r="AF849" s="347"/>
      <c r="AG849" s="347"/>
      <c r="AH849" s="347" t="s">
        <v>57</v>
      </c>
      <c r="AI849" s="347" t="s">
        <v>4442</v>
      </c>
      <c r="AJ849" s="347" t="s">
        <v>4443</v>
      </c>
      <c r="AK849" s="347" t="s">
        <v>4437</v>
      </c>
      <c r="AL849" s="387">
        <v>45574</v>
      </c>
    </row>
    <row r="850" spans="2:38" ht="15.75" outlineLevel="1">
      <c r="B850" s="345">
        <v>2111</v>
      </c>
      <c r="C850" s="346">
        <v>188830</v>
      </c>
      <c r="D850" s="345">
        <v>185179</v>
      </c>
      <c r="E850" s="347" t="s">
        <v>4240</v>
      </c>
      <c r="F850" s="343" t="s">
        <v>2118</v>
      </c>
      <c r="I850" s="345">
        <v>1</v>
      </c>
      <c r="J850" s="347"/>
      <c r="K850" s="345">
        <v>0</v>
      </c>
      <c r="L850" s="347" t="s">
        <v>1462</v>
      </c>
      <c r="M850" s="347"/>
      <c r="N850" s="347" t="s">
        <v>4446</v>
      </c>
      <c r="O850" s="347" t="s">
        <v>4441</v>
      </c>
      <c r="P850" s="347"/>
      <c r="Q850" s="347"/>
      <c r="R850" s="347"/>
      <c r="S850" s="348">
        <v>42870</v>
      </c>
      <c r="T850" s="348">
        <v>42870</v>
      </c>
      <c r="U850" s="347" t="s">
        <v>2119</v>
      </c>
      <c r="V850" s="345">
        <v>700</v>
      </c>
      <c r="W850" s="345">
        <v>14050</v>
      </c>
      <c r="X850" s="349">
        <v>623.76</v>
      </c>
      <c r="Y850" s="345">
        <v>14056</v>
      </c>
      <c r="Z850" s="349">
        <v>623.76</v>
      </c>
      <c r="AA850" s="349">
        <f t="shared" si="97"/>
        <v>0</v>
      </c>
      <c r="AB850" s="349">
        <v>29.69</v>
      </c>
      <c r="AC850" s="345">
        <v>54260</v>
      </c>
      <c r="AD850" s="349">
        <v>7.4</v>
      </c>
      <c r="AE850" s="345" t="s">
        <v>944</v>
      </c>
      <c r="AF850" s="347"/>
      <c r="AG850" s="347"/>
      <c r="AH850" s="347" t="s">
        <v>57</v>
      </c>
      <c r="AI850" s="347" t="s">
        <v>4442</v>
      </c>
      <c r="AJ850" s="347" t="s">
        <v>4443</v>
      </c>
      <c r="AK850" s="347" t="s">
        <v>4437</v>
      </c>
      <c r="AL850" s="387">
        <v>45574</v>
      </c>
    </row>
    <row r="851" spans="2:38" ht="15.75" outlineLevel="1">
      <c r="B851" s="345">
        <v>2111</v>
      </c>
      <c r="C851" s="346">
        <v>188829</v>
      </c>
      <c r="D851" s="345">
        <v>185178</v>
      </c>
      <c r="E851" s="347" t="s">
        <v>4240</v>
      </c>
      <c r="F851" s="343" t="s">
        <v>2121</v>
      </c>
      <c r="I851" s="345">
        <v>1</v>
      </c>
      <c r="J851" s="347"/>
      <c r="K851" s="345">
        <v>0</v>
      </c>
      <c r="L851" s="347" t="s">
        <v>1462</v>
      </c>
      <c r="M851" s="347"/>
      <c r="N851" s="347" t="s">
        <v>4446</v>
      </c>
      <c r="O851" s="347" t="s">
        <v>4441</v>
      </c>
      <c r="P851" s="347"/>
      <c r="Q851" s="347"/>
      <c r="R851" s="347"/>
      <c r="S851" s="348">
        <v>42870</v>
      </c>
      <c r="T851" s="348">
        <v>42870</v>
      </c>
      <c r="U851" s="347" t="s">
        <v>2119</v>
      </c>
      <c r="V851" s="345">
        <v>700</v>
      </c>
      <c r="W851" s="345">
        <v>14050</v>
      </c>
      <c r="X851" s="349">
        <v>5821.73</v>
      </c>
      <c r="Y851" s="345">
        <v>14056</v>
      </c>
      <c r="Z851" s="349">
        <v>5821.73</v>
      </c>
      <c r="AA851" s="349">
        <f t="shared" si="97"/>
        <v>0</v>
      </c>
      <c r="AB851" s="349">
        <v>277.2</v>
      </c>
      <c r="AC851" s="345">
        <v>54260</v>
      </c>
      <c r="AD851" s="349">
        <v>69.27</v>
      </c>
      <c r="AE851" s="345" t="s">
        <v>944</v>
      </c>
      <c r="AF851" s="347"/>
      <c r="AG851" s="347"/>
      <c r="AH851" s="347" t="s">
        <v>57</v>
      </c>
      <c r="AI851" s="347" t="s">
        <v>4442</v>
      </c>
      <c r="AJ851" s="347" t="s">
        <v>4443</v>
      </c>
      <c r="AK851" s="347" t="s">
        <v>4437</v>
      </c>
      <c r="AL851" s="387">
        <v>45574</v>
      </c>
    </row>
    <row r="852" spans="2:38" ht="15.75" outlineLevel="1">
      <c r="B852" s="345">
        <v>2111</v>
      </c>
      <c r="C852" s="346">
        <v>188828</v>
      </c>
      <c r="D852" s="345">
        <v>185177</v>
      </c>
      <c r="E852" s="347" t="s">
        <v>4240</v>
      </c>
      <c r="F852" s="343" t="s">
        <v>2122</v>
      </c>
      <c r="I852" s="345">
        <v>1</v>
      </c>
      <c r="J852" s="347"/>
      <c r="K852" s="345">
        <v>0</v>
      </c>
      <c r="L852" s="347" t="s">
        <v>1462</v>
      </c>
      <c r="M852" s="347"/>
      <c r="N852" s="347" t="s">
        <v>4446</v>
      </c>
      <c r="O852" s="347" t="s">
        <v>4441</v>
      </c>
      <c r="P852" s="347"/>
      <c r="Q852" s="347"/>
      <c r="R852" s="347"/>
      <c r="S852" s="348">
        <v>42870</v>
      </c>
      <c r="T852" s="348">
        <v>42870</v>
      </c>
      <c r="U852" s="347" t="s">
        <v>2119</v>
      </c>
      <c r="V852" s="345">
        <v>700</v>
      </c>
      <c r="W852" s="345">
        <v>14050</v>
      </c>
      <c r="X852" s="349">
        <v>16009.75</v>
      </c>
      <c r="Y852" s="345">
        <v>14056</v>
      </c>
      <c r="Z852" s="349">
        <v>16009.75</v>
      </c>
      <c r="AA852" s="349">
        <f t="shared" si="97"/>
        <v>0</v>
      </c>
      <c r="AB852" s="349">
        <v>762.35</v>
      </c>
      <c r="AC852" s="345">
        <v>54260</v>
      </c>
      <c r="AD852" s="349">
        <v>190.58</v>
      </c>
      <c r="AE852" s="345" t="s">
        <v>944</v>
      </c>
      <c r="AF852" s="347"/>
      <c r="AG852" s="347"/>
      <c r="AH852" s="347" t="s">
        <v>57</v>
      </c>
      <c r="AI852" s="347" t="s">
        <v>4442</v>
      </c>
      <c r="AJ852" s="347" t="s">
        <v>4443</v>
      </c>
      <c r="AK852" s="347" t="s">
        <v>4437</v>
      </c>
      <c r="AL852" s="387">
        <v>45574</v>
      </c>
    </row>
    <row r="853" spans="2:38" ht="15.75" outlineLevel="1">
      <c r="B853" s="345">
        <v>2111</v>
      </c>
      <c r="C853" s="346">
        <v>188827</v>
      </c>
      <c r="D853" s="345">
        <v>185180</v>
      </c>
      <c r="E853" s="347" t="s">
        <v>4240</v>
      </c>
      <c r="F853" s="343" t="s">
        <v>2123</v>
      </c>
      <c r="I853" s="345">
        <v>1</v>
      </c>
      <c r="J853" s="347"/>
      <c r="K853" s="345">
        <v>0</v>
      </c>
      <c r="L853" s="347" t="s">
        <v>1462</v>
      </c>
      <c r="M853" s="347"/>
      <c r="N853" s="347" t="s">
        <v>4446</v>
      </c>
      <c r="O853" s="347" t="s">
        <v>4441</v>
      </c>
      <c r="P853" s="347"/>
      <c r="Q853" s="347"/>
      <c r="R853" s="347"/>
      <c r="S853" s="348">
        <v>42870</v>
      </c>
      <c r="T853" s="348">
        <v>42870</v>
      </c>
      <c r="U853" s="347" t="s">
        <v>2119</v>
      </c>
      <c r="V853" s="345">
        <v>700</v>
      </c>
      <c r="W853" s="345">
        <v>14050</v>
      </c>
      <c r="X853" s="349">
        <v>623.76</v>
      </c>
      <c r="Y853" s="345">
        <v>14056</v>
      </c>
      <c r="Z853" s="349">
        <v>623.76</v>
      </c>
      <c r="AA853" s="349">
        <f t="shared" si="97"/>
        <v>0</v>
      </c>
      <c r="AB853" s="349">
        <v>29.69</v>
      </c>
      <c r="AC853" s="345">
        <v>54260</v>
      </c>
      <c r="AD853" s="349">
        <v>7.4</v>
      </c>
      <c r="AE853" s="345" t="s">
        <v>944</v>
      </c>
      <c r="AF853" s="347"/>
      <c r="AG853" s="347"/>
      <c r="AH853" s="347" t="s">
        <v>57</v>
      </c>
      <c r="AI853" s="347" t="s">
        <v>4442</v>
      </c>
      <c r="AJ853" s="347" t="s">
        <v>4443</v>
      </c>
      <c r="AK853" s="347" t="s">
        <v>4437</v>
      </c>
      <c r="AL853" s="387">
        <v>45574</v>
      </c>
    </row>
    <row r="854" spans="2:38" ht="15.75" outlineLevel="1">
      <c r="B854" s="345">
        <v>2111</v>
      </c>
      <c r="C854" s="346">
        <v>188020</v>
      </c>
      <c r="D854" s="345" t="s">
        <v>944</v>
      </c>
      <c r="E854" s="347" t="s">
        <v>4240</v>
      </c>
      <c r="F854" s="343" t="s">
        <v>2124</v>
      </c>
      <c r="I854" s="345">
        <v>12</v>
      </c>
      <c r="J854" s="347"/>
      <c r="K854" s="345">
        <v>0</v>
      </c>
      <c r="L854" s="347" t="s">
        <v>2125</v>
      </c>
      <c r="M854" s="347"/>
      <c r="N854" s="347" t="s">
        <v>4446</v>
      </c>
      <c r="O854" s="347" t="s">
        <v>4441</v>
      </c>
      <c r="P854" s="347"/>
      <c r="Q854" s="347" t="s">
        <v>4479</v>
      </c>
      <c r="R854" s="347" t="s">
        <v>4450</v>
      </c>
      <c r="S854" s="348">
        <v>42864</v>
      </c>
      <c r="T854" s="348">
        <v>42864</v>
      </c>
      <c r="U854" s="347" t="s">
        <v>2126</v>
      </c>
      <c r="V854" s="345">
        <v>1200</v>
      </c>
      <c r="W854" s="345">
        <v>14050</v>
      </c>
      <c r="X854" s="349">
        <v>10576.78</v>
      </c>
      <c r="Y854" s="345">
        <v>14056</v>
      </c>
      <c r="Z854" s="349">
        <v>6537.05</v>
      </c>
      <c r="AA854" s="349">
        <f t="shared" si="97"/>
        <v>4039.7300000000005</v>
      </c>
      <c r="AB854" s="349">
        <v>661.05</v>
      </c>
      <c r="AC854" s="345">
        <v>54260</v>
      </c>
      <c r="AD854" s="349">
        <v>73.45</v>
      </c>
      <c r="AE854" s="345" t="s">
        <v>944</v>
      </c>
      <c r="AF854" s="347"/>
      <c r="AG854" s="347"/>
      <c r="AH854" s="347" t="s">
        <v>57</v>
      </c>
      <c r="AI854" s="347" t="s">
        <v>4442</v>
      </c>
      <c r="AJ854" s="347" t="s">
        <v>4443</v>
      </c>
      <c r="AK854" s="347" t="s">
        <v>4437</v>
      </c>
      <c r="AL854" s="387">
        <v>45574</v>
      </c>
    </row>
    <row r="855" spans="2:38" ht="15.75" outlineLevel="1">
      <c r="B855" s="345">
        <v>2111</v>
      </c>
      <c r="C855" s="346">
        <v>188019</v>
      </c>
      <c r="D855" s="345" t="s">
        <v>944</v>
      </c>
      <c r="E855" s="347" t="s">
        <v>4240</v>
      </c>
      <c r="F855" s="343" t="s">
        <v>2124</v>
      </c>
      <c r="I855" s="345">
        <v>9</v>
      </c>
      <c r="J855" s="347"/>
      <c r="K855" s="345">
        <v>0</v>
      </c>
      <c r="L855" s="347" t="s">
        <v>2125</v>
      </c>
      <c r="M855" s="347"/>
      <c r="N855" s="347" t="s">
        <v>4446</v>
      </c>
      <c r="O855" s="347" t="s">
        <v>4441</v>
      </c>
      <c r="P855" s="347"/>
      <c r="Q855" s="347" t="s">
        <v>4479</v>
      </c>
      <c r="R855" s="347" t="s">
        <v>4450</v>
      </c>
      <c r="S855" s="348">
        <v>42864</v>
      </c>
      <c r="T855" s="348">
        <v>42864</v>
      </c>
      <c r="U855" s="347" t="s">
        <v>2126</v>
      </c>
      <c r="V855" s="345">
        <v>1200</v>
      </c>
      <c r="W855" s="345">
        <v>14050</v>
      </c>
      <c r="X855" s="349">
        <v>7932.58</v>
      </c>
      <c r="Y855" s="345">
        <v>14056</v>
      </c>
      <c r="Z855" s="349">
        <v>4902.8100000000004</v>
      </c>
      <c r="AA855" s="349">
        <f t="shared" si="97"/>
        <v>3029.7699999999995</v>
      </c>
      <c r="AB855" s="349">
        <v>495.81</v>
      </c>
      <c r="AC855" s="345">
        <v>54260</v>
      </c>
      <c r="AD855" s="349">
        <v>55.09</v>
      </c>
      <c r="AE855" s="345" t="s">
        <v>944</v>
      </c>
      <c r="AF855" s="347"/>
      <c r="AG855" s="347"/>
      <c r="AH855" s="347" t="s">
        <v>57</v>
      </c>
      <c r="AI855" s="347" t="s">
        <v>4442</v>
      </c>
      <c r="AJ855" s="347" t="s">
        <v>4443</v>
      </c>
      <c r="AK855" s="347" t="s">
        <v>4437</v>
      </c>
      <c r="AL855" s="387">
        <v>45574</v>
      </c>
    </row>
    <row r="856" spans="2:38" ht="15.75" outlineLevel="1">
      <c r="B856" s="345">
        <v>2111</v>
      </c>
      <c r="C856" s="346">
        <v>188018</v>
      </c>
      <c r="D856" s="345" t="s">
        <v>944</v>
      </c>
      <c r="E856" s="347" t="s">
        <v>4240</v>
      </c>
      <c r="F856" s="343" t="s">
        <v>2124</v>
      </c>
      <c r="I856" s="345">
        <v>9</v>
      </c>
      <c r="J856" s="347"/>
      <c r="K856" s="345">
        <v>0</v>
      </c>
      <c r="L856" s="347" t="s">
        <v>2125</v>
      </c>
      <c r="M856" s="347"/>
      <c r="N856" s="347" t="s">
        <v>4446</v>
      </c>
      <c r="O856" s="347" t="s">
        <v>4441</v>
      </c>
      <c r="P856" s="347"/>
      <c r="Q856" s="347" t="s">
        <v>4479</v>
      </c>
      <c r="R856" s="347" t="s">
        <v>4450</v>
      </c>
      <c r="S856" s="348">
        <v>42864</v>
      </c>
      <c r="T856" s="348">
        <v>42864</v>
      </c>
      <c r="U856" s="347" t="s">
        <v>2126</v>
      </c>
      <c r="V856" s="345">
        <v>1200</v>
      </c>
      <c r="W856" s="345">
        <v>14050</v>
      </c>
      <c r="X856" s="349">
        <v>7932.58</v>
      </c>
      <c r="Y856" s="345">
        <v>14056</v>
      </c>
      <c r="Z856" s="349">
        <v>4902.8100000000004</v>
      </c>
      <c r="AA856" s="349">
        <f t="shared" si="97"/>
        <v>3029.7699999999995</v>
      </c>
      <c r="AB856" s="349">
        <v>495.81</v>
      </c>
      <c r="AC856" s="345">
        <v>54260</v>
      </c>
      <c r="AD856" s="349">
        <v>55.09</v>
      </c>
      <c r="AE856" s="345" t="s">
        <v>944</v>
      </c>
      <c r="AF856" s="347"/>
      <c r="AG856" s="347"/>
      <c r="AH856" s="347" t="s">
        <v>57</v>
      </c>
      <c r="AI856" s="347" t="s">
        <v>4442</v>
      </c>
      <c r="AJ856" s="347" t="s">
        <v>4443</v>
      </c>
      <c r="AK856" s="347" t="s">
        <v>4437</v>
      </c>
      <c r="AL856" s="387">
        <v>45574</v>
      </c>
    </row>
    <row r="857" spans="2:38" ht="15.75" outlineLevel="1">
      <c r="B857" s="345">
        <v>2111</v>
      </c>
      <c r="C857" s="346">
        <v>186746</v>
      </c>
      <c r="D857" s="345" t="s">
        <v>944</v>
      </c>
      <c r="E857" s="347" t="s">
        <v>4240</v>
      </c>
      <c r="F857" s="343" t="s">
        <v>517</v>
      </c>
      <c r="I857" s="345">
        <v>350</v>
      </c>
      <c r="J857" s="347"/>
      <c r="K857" s="345">
        <v>0</v>
      </c>
      <c r="L857" s="347" t="s">
        <v>2093</v>
      </c>
      <c r="M857" s="347"/>
      <c r="N857" s="347" t="s">
        <v>4446</v>
      </c>
      <c r="O857" s="347" t="s">
        <v>4441</v>
      </c>
      <c r="P857" s="347"/>
      <c r="Q857" s="347"/>
      <c r="R857" s="347"/>
      <c r="S857" s="348">
        <v>42888</v>
      </c>
      <c r="T857" s="348">
        <v>42888</v>
      </c>
      <c r="U857" s="347" t="s">
        <v>2127</v>
      </c>
      <c r="V857" s="345">
        <v>700</v>
      </c>
      <c r="W857" s="345">
        <v>14050</v>
      </c>
      <c r="X857" s="349">
        <v>11193.83</v>
      </c>
      <c r="Y857" s="345">
        <v>14056</v>
      </c>
      <c r="Z857" s="349">
        <v>11193.83</v>
      </c>
      <c r="AA857" s="349">
        <f t="shared" si="97"/>
        <v>0</v>
      </c>
      <c r="AB857" s="349">
        <v>666.29</v>
      </c>
      <c r="AC857" s="345">
        <v>54260</v>
      </c>
      <c r="AD857" s="349">
        <v>133.25</v>
      </c>
      <c r="AE857" s="345" t="s">
        <v>944</v>
      </c>
      <c r="AF857" s="347"/>
      <c r="AG857" s="347"/>
      <c r="AH857" s="347" t="s">
        <v>57</v>
      </c>
      <c r="AI857" s="347" t="s">
        <v>4442</v>
      </c>
      <c r="AJ857" s="347" t="s">
        <v>4443</v>
      </c>
      <c r="AK857" s="347" t="s">
        <v>4437</v>
      </c>
      <c r="AL857" s="387">
        <v>45574</v>
      </c>
    </row>
    <row r="858" spans="2:38" ht="15.75" outlineLevel="1">
      <c r="B858" s="345">
        <v>2111</v>
      </c>
      <c r="C858" s="346">
        <v>186745</v>
      </c>
      <c r="D858" s="345" t="s">
        <v>944</v>
      </c>
      <c r="E858" s="347" t="s">
        <v>4240</v>
      </c>
      <c r="F858" s="343" t="s">
        <v>530</v>
      </c>
      <c r="I858" s="345">
        <v>350</v>
      </c>
      <c r="J858" s="347"/>
      <c r="K858" s="345">
        <v>0</v>
      </c>
      <c r="L858" s="347" t="s">
        <v>2093</v>
      </c>
      <c r="M858" s="347"/>
      <c r="N858" s="347" t="s">
        <v>4446</v>
      </c>
      <c r="O858" s="347" t="s">
        <v>4441</v>
      </c>
      <c r="P858" s="347"/>
      <c r="Q858" s="347"/>
      <c r="R858" s="347"/>
      <c r="S858" s="348">
        <v>42888</v>
      </c>
      <c r="T858" s="348">
        <v>42888</v>
      </c>
      <c r="U858" s="347" t="s">
        <v>2127</v>
      </c>
      <c r="V858" s="345">
        <v>700</v>
      </c>
      <c r="W858" s="345">
        <v>14050</v>
      </c>
      <c r="X858" s="349">
        <v>13501.74</v>
      </c>
      <c r="Y858" s="345">
        <v>14056</v>
      </c>
      <c r="Z858" s="349">
        <v>13501.74</v>
      </c>
      <c r="AA858" s="349">
        <f t="shared" si="97"/>
        <v>0</v>
      </c>
      <c r="AB858" s="349">
        <v>803.67</v>
      </c>
      <c r="AC858" s="345">
        <v>54260</v>
      </c>
      <c r="AD858" s="349">
        <v>160.71</v>
      </c>
      <c r="AE858" s="345" t="s">
        <v>944</v>
      </c>
      <c r="AF858" s="347"/>
      <c r="AG858" s="347"/>
      <c r="AH858" s="347" t="s">
        <v>57</v>
      </c>
      <c r="AI858" s="347" t="s">
        <v>4442</v>
      </c>
      <c r="AJ858" s="347" t="s">
        <v>4443</v>
      </c>
      <c r="AK858" s="347" t="s">
        <v>4437</v>
      </c>
      <c r="AL858" s="387">
        <v>45574</v>
      </c>
    </row>
    <row r="859" spans="2:38" ht="15.75" outlineLevel="1">
      <c r="B859" s="345">
        <v>2111</v>
      </c>
      <c r="C859" s="346">
        <v>186676</v>
      </c>
      <c r="D859" s="345" t="s">
        <v>944</v>
      </c>
      <c r="E859" s="347" t="s">
        <v>4240</v>
      </c>
      <c r="F859" s="343" t="s">
        <v>518</v>
      </c>
      <c r="I859" s="345">
        <v>624</v>
      </c>
      <c r="J859" s="347"/>
      <c r="K859" s="345">
        <v>0</v>
      </c>
      <c r="L859" s="347" t="s">
        <v>2093</v>
      </c>
      <c r="M859" s="347"/>
      <c r="N859" s="347" t="s">
        <v>4446</v>
      </c>
      <c r="O859" s="347" t="s">
        <v>4441</v>
      </c>
      <c r="P859" s="347"/>
      <c r="Q859" s="347"/>
      <c r="R859" s="347"/>
      <c r="S859" s="348">
        <v>42823</v>
      </c>
      <c r="T859" s="348">
        <v>42823</v>
      </c>
      <c r="U859" s="347" t="s">
        <v>2128</v>
      </c>
      <c r="V859" s="345">
        <v>700</v>
      </c>
      <c r="W859" s="345">
        <v>14050</v>
      </c>
      <c r="X859" s="349">
        <v>32611.53</v>
      </c>
      <c r="Y859" s="345">
        <v>14056</v>
      </c>
      <c r="Z859" s="349">
        <v>32611.53</v>
      </c>
      <c r="AA859" s="349">
        <f t="shared" si="97"/>
        <v>0</v>
      </c>
      <c r="AB859" s="349">
        <v>1164.7</v>
      </c>
      <c r="AC859" s="345">
        <v>54260</v>
      </c>
      <c r="AD859" s="349">
        <v>388.24</v>
      </c>
      <c r="AE859" s="345" t="s">
        <v>944</v>
      </c>
      <c r="AF859" s="347"/>
      <c r="AG859" s="347"/>
      <c r="AH859" s="347" t="s">
        <v>57</v>
      </c>
      <c r="AI859" s="347" t="s">
        <v>4442</v>
      </c>
      <c r="AJ859" s="347" t="s">
        <v>4443</v>
      </c>
      <c r="AK859" s="347" t="s">
        <v>4437</v>
      </c>
      <c r="AL859" s="387">
        <v>45574</v>
      </c>
    </row>
    <row r="860" spans="2:38" ht="15.75" outlineLevel="1">
      <c r="B860" s="345">
        <v>2111</v>
      </c>
      <c r="C860" s="346">
        <v>186095</v>
      </c>
      <c r="D860" s="345">
        <v>102350</v>
      </c>
      <c r="E860" s="347" t="s">
        <v>4240</v>
      </c>
      <c r="F860" s="343" t="s">
        <v>2129</v>
      </c>
      <c r="I860" s="345">
        <v>1</v>
      </c>
      <c r="J860" s="347"/>
      <c r="K860" s="345">
        <v>0</v>
      </c>
      <c r="L860" s="347" t="s">
        <v>1561</v>
      </c>
      <c r="M860" s="347"/>
      <c r="N860" s="347" t="s">
        <v>4445</v>
      </c>
      <c r="O860" s="347" t="s">
        <v>4441</v>
      </c>
      <c r="P860" s="347" t="s">
        <v>1467</v>
      </c>
      <c r="Q860" s="347"/>
      <c r="R860" s="347"/>
      <c r="S860" s="348">
        <v>42951</v>
      </c>
      <c r="T860" s="348">
        <v>42951</v>
      </c>
      <c r="U860" s="347" t="s">
        <v>2130</v>
      </c>
      <c r="V860" s="345">
        <v>300</v>
      </c>
      <c r="W860" s="345">
        <v>14040</v>
      </c>
      <c r="X860" s="349">
        <v>9492.07</v>
      </c>
      <c r="Y860" s="345">
        <v>14046</v>
      </c>
      <c r="Z860" s="349">
        <v>9492.07</v>
      </c>
      <c r="AA860" s="349">
        <f t="shared" si="97"/>
        <v>0</v>
      </c>
      <c r="AB860" s="349">
        <v>0</v>
      </c>
      <c r="AC860" s="345">
        <v>51260</v>
      </c>
      <c r="AD860" s="349">
        <v>0</v>
      </c>
      <c r="AE860" s="345" t="s">
        <v>944</v>
      </c>
      <c r="AF860" s="347"/>
      <c r="AG860" s="347"/>
      <c r="AH860" s="347" t="s">
        <v>57</v>
      </c>
      <c r="AI860" s="347" t="s">
        <v>4442</v>
      </c>
      <c r="AJ860" s="347" t="s">
        <v>4443</v>
      </c>
      <c r="AK860" s="347" t="s">
        <v>4437</v>
      </c>
      <c r="AL860" s="387">
        <v>45574</v>
      </c>
    </row>
    <row r="861" spans="2:38" ht="15.75" outlineLevel="1">
      <c r="B861" s="345">
        <v>2111</v>
      </c>
      <c r="C861" s="346">
        <v>185867</v>
      </c>
      <c r="D861" s="345" t="s">
        <v>944</v>
      </c>
      <c r="E861" s="347" t="s">
        <v>4240</v>
      </c>
      <c r="F861" s="343" t="s">
        <v>517</v>
      </c>
      <c r="I861" s="345">
        <v>430</v>
      </c>
      <c r="J861" s="347"/>
      <c r="K861" s="345">
        <v>0</v>
      </c>
      <c r="L861" s="347" t="s">
        <v>1462</v>
      </c>
      <c r="M861" s="347"/>
      <c r="N861" s="347" t="s">
        <v>4446</v>
      </c>
      <c r="O861" s="347" t="s">
        <v>4441</v>
      </c>
      <c r="P861" s="347"/>
      <c r="Q861" s="347"/>
      <c r="R861" s="347"/>
      <c r="S861" s="348">
        <v>42941</v>
      </c>
      <c r="T861" s="348">
        <v>42941</v>
      </c>
      <c r="U861" s="347" t="s">
        <v>2132</v>
      </c>
      <c r="V861" s="345">
        <v>700</v>
      </c>
      <c r="W861" s="345">
        <v>14050</v>
      </c>
      <c r="X861" s="349">
        <v>18827.189999999999</v>
      </c>
      <c r="Y861" s="345">
        <v>14056</v>
      </c>
      <c r="Z861" s="349">
        <v>18827.189999999999</v>
      </c>
      <c r="AA861" s="349">
        <f t="shared" si="97"/>
        <v>0</v>
      </c>
      <c r="AB861" s="349">
        <v>1568.92</v>
      </c>
      <c r="AC861" s="345">
        <v>54260</v>
      </c>
      <c r="AD861" s="349">
        <v>224.14</v>
      </c>
      <c r="AE861" s="345" t="s">
        <v>944</v>
      </c>
      <c r="AF861" s="347"/>
      <c r="AG861" s="347"/>
      <c r="AH861" s="347" t="s">
        <v>57</v>
      </c>
      <c r="AI861" s="347" t="s">
        <v>4442</v>
      </c>
      <c r="AJ861" s="347" t="s">
        <v>4443</v>
      </c>
      <c r="AK861" s="347" t="s">
        <v>4437</v>
      </c>
      <c r="AL861" s="387">
        <v>45574</v>
      </c>
    </row>
    <row r="862" spans="2:38" ht="15.75" outlineLevel="1">
      <c r="B862" s="345">
        <v>2111</v>
      </c>
      <c r="C862" s="346">
        <v>185866</v>
      </c>
      <c r="D862" s="345" t="s">
        <v>944</v>
      </c>
      <c r="E862" s="347" t="s">
        <v>4240</v>
      </c>
      <c r="F862" s="343" t="s">
        <v>519</v>
      </c>
      <c r="I862" s="345">
        <v>220</v>
      </c>
      <c r="J862" s="347"/>
      <c r="K862" s="345">
        <v>0</v>
      </c>
      <c r="L862" s="347" t="s">
        <v>1462</v>
      </c>
      <c r="M862" s="347"/>
      <c r="N862" s="347" t="s">
        <v>4446</v>
      </c>
      <c r="O862" s="347" t="s">
        <v>4441</v>
      </c>
      <c r="P862" s="347"/>
      <c r="Q862" s="347"/>
      <c r="R862" s="347"/>
      <c r="S862" s="348">
        <v>42941</v>
      </c>
      <c r="T862" s="348">
        <v>42941</v>
      </c>
      <c r="U862" s="347" t="s">
        <v>2132</v>
      </c>
      <c r="V862" s="345">
        <v>700</v>
      </c>
      <c r="W862" s="345">
        <v>14050</v>
      </c>
      <c r="X862" s="349">
        <v>13394.61</v>
      </c>
      <c r="Y862" s="345">
        <v>14056</v>
      </c>
      <c r="Z862" s="349">
        <v>13394.61</v>
      </c>
      <c r="AA862" s="349">
        <f t="shared" si="97"/>
        <v>0</v>
      </c>
      <c r="AB862" s="349">
        <v>1116.19</v>
      </c>
      <c r="AC862" s="345">
        <v>54260</v>
      </c>
      <c r="AD862" s="349">
        <v>159.43</v>
      </c>
      <c r="AE862" s="345" t="s">
        <v>944</v>
      </c>
      <c r="AF862" s="347"/>
      <c r="AG862" s="347"/>
      <c r="AH862" s="347" t="s">
        <v>57</v>
      </c>
      <c r="AI862" s="347" t="s">
        <v>4442</v>
      </c>
      <c r="AJ862" s="347" t="s">
        <v>4443</v>
      </c>
      <c r="AK862" s="347" t="s">
        <v>4437</v>
      </c>
      <c r="AL862" s="387">
        <v>45574</v>
      </c>
    </row>
    <row r="863" spans="2:38" ht="15.75" outlineLevel="1">
      <c r="B863" s="345">
        <v>2111</v>
      </c>
      <c r="C863" s="346">
        <v>185865</v>
      </c>
      <c r="D863" s="345" t="s">
        <v>944</v>
      </c>
      <c r="E863" s="347" t="s">
        <v>4240</v>
      </c>
      <c r="F863" s="343" t="s">
        <v>530</v>
      </c>
      <c r="I863" s="345">
        <v>702</v>
      </c>
      <c r="J863" s="347"/>
      <c r="K863" s="345">
        <v>0</v>
      </c>
      <c r="L863" s="347" t="s">
        <v>1462</v>
      </c>
      <c r="M863" s="347"/>
      <c r="N863" s="347" t="s">
        <v>4446</v>
      </c>
      <c r="O863" s="347" t="s">
        <v>4441</v>
      </c>
      <c r="P863" s="347"/>
      <c r="Q863" s="347"/>
      <c r="R863" s="347"/>
      <c r="S863" s="348">
        <v>42906</v>
      </c>
      <c r="T863" s="348">
        <v>42906</v>
      </c>
      <c r="U863" s="347" t="s">
        <v>2135</v>
      </c>
      <c r="V863" s="345">
        <v>700</v>
      </c>
      <c r="W863" s="345">
        <v>14050</v>
      </c>
      <c r="X863" s="349">
        <v>35294.01</v>
      </c>
      <c r="Y863" s="345">
        <v>14056</v>
      </c>
      <c r="Z863" s="349">
        <v>35294.01</v>
      </c>
      <c r="AA863" s="349">
        <f t="shared" si="97"/>
        <v>0</v>
      </c>
      <c r="AB863" s="349">
        <v>2521.0100000000002</v>
      </c>
      <c r="AC863" s="345">
        <v>54260</v>
      </c>
      <c r="AD863" s="349">
        <v>420.16</v>
      </c>
      <c r="AE863" s="345" t="s">
        <v>944</v>
      </c>
      <c r="AF863" s="347"/>
      <c r="AG863" s="347"/>
      <c r="AH863" s="347" t="s">
        <v>57</v>
      </c>
      <c r="AI863" s="347" t="s">
        <v>4442</v>
      </c>
      <c r="AJ863" s="347" t="s">
        <v>4443</v>
      </c>
      <c r="AK863" s="347" t="s">
        <v>4437</v>
      </c>
      <c r="AL863" s="387">
        <v>45574</v>
      </c>
    </row>
    <row r="864" spans="2:38" ht="15.75" outlineLevel="1">
      <c r="B864" s="345">
        <v>2111</v>
      </c>
      <c r="C864" s="346">
        <v>185864</v>
      </c>
      <c r="D864" s="345" t="s">
        <v>944</v>
      </c>
      <c r="E864" s="347" t="s">
        <v>4240</v>
      </c>
      <c r="F864" s="343" t="s">
        <v>530</v>
      </c>
      <c r="I864" s="345">
        <v>702</v>
      </c>
      <c r="J864" s="347"/>
      <c r="K864" s="345">
        <v>0</v>
      </c>
      <c r="L864" s="347" t="s">
        <v>1462</v>
      </c>
      <c r="M864" s="347"/>
      <c r="N864" s="347" t="s">
        <v>4446</v>
      </c>
      <c r="O864" s="347" t="s">
        <v>4441</v>
      </c>
      <c r="P864" s="347"/>
      <c r="Q864" s="347"/>
      <c r="R864" s="347"/>
      <c r="S864" s="348">
        <v>42906</v>
      </c>
      <c r="T864" s="348">
        <v>42906</v>
      </c>
      <c r="U864" s="347" t="s">
        <v>2135</v>
      </c>
      <c r="V864" s="345">
        <v>700</v>
      </c>
      <c r="W864" s="345">
        <v>14050</v>
      </c>
      <c r="X864" s="349">
        <v>35294.01</v>
      </c>
      <c r="Y864" s="345">
        <v>14056</v>
      </c>
      <c r="Z864" s="349">
        <v>35294.01</v>
      </c>
      <c r="AA864" s="349">
        <f t="shared" si="97"/>
        <v>0</v>
      </c>
      <c r="AB864" s="349">
        <v>2521.0100000000002</v>
      </c>
      <c r="AC864" s="345">
        <v>54260</v>
      </c>
      <c r="AD864" s="349">
        <v>420.16</v>
      </c>
      <c r="AE864" s="345" t="s">
        <v>944</v>
      </c>
      <c r="AF864" s="347"/>
      <c r="AG864" s="347"/>
      <c r="AH864" s="347" t="s">
        <v>57</v>
      </c>
      <c r="AI864" s="347" t="s">
        <v>4442</v>
      </c>
      <c r="AJ864" s="347" t="s">
        <v>4443</v>
      </c>
      <c r="AK864" s="347" t="s">
        <v>4437</v>
      </c>
      <c r="AL864" s="387">
        <v>45574</v>
      </c>
    </row>
    <row r="865" spans="2:38" ht="15.75" outlineLevel="1">
      <c r="B865" s="345">
        <v>2111</v>
      </c>
      <c r="C865" s="346">
        <v>185863</v>
      </c>
      <c r="D865" s="345" t="s">
        <v>944</v>
      </c>
      <c r="E865" s="347" t="s">
        <v>4240</v>
      </c>
      <c r="F865" s="343" t="s">
        <v>530</v>
      </c>
      <c r="I865" s="345">
        <v>702</v>
      </c>
      <c r="J865" s="347"/>
      <c r="K865" s="345">
        <v>0</v>
      </c>
      <c r="L865" s="347" t="s">
        <v>1462</v>
      </c>
      <c r="M865" s="347"/>
      <c r="N865" s="347" t="s">
        <v>4446</v>
      </c>
      <c r="O865" s="347" t="s">
        <v>4441</v>
      </c>
      <c r="P865" s="347"/>
      <c r="Q865" s="347"/>
      <c r="R865" s="347"/>
      <c r="S865" s="348">
        <v>42751</v>
      </c>
      <c r="T865" s="348">
        <v>42751</v>
      </c>
      <c r="U865" s="347" t="s">
        <v>2138</v>
      </c>
      <c r="V865" s="345">
        <v>700</v>
      </c>
      <c r="W865" s="345">
        <v>14050</v>
      </c>
      <c r="X865" s="349">
        <v>36186.67</v>
      </c>
      <c r="Y865" s="345">
        <v>14056</v>
      </c>
      <c r="Z865" s="349">
        <v>36186.67</v>
      </c>
      <c r="AA865" s="349">
        <f t="shared" si="97"/>
        <v>0</v>
      </c>
      <c r="AB865" s="349">
        <v>430.76</v>
      </c>
      <c r="AC865" s="345">
        <v>54260</v>
      </c>
      <c r="AD865" s="349">
        <v>430.76</v>
      </c>
      <c r="AE865" s="345" t="s">
        <v>944</v>
      </c>
      <c r="AF865" s="347"/>
      <c r="AG865" s="347"/>
      <c r="AH865" s="347" t="s">
        <v>57</v>
      </c>
      <c r="AI865" s="347" t="s">
        <v>4442</v>
      </c>
      <c r="AJ865" s="347" t="s">
        <v>4443</v>
      </c>
      <c r="AK865" s="347" t="s">
        <v>4437</v>
      </c>
      <c r="AL865" s="387">
        <v>45574</v>
      </c>
    </row>
    <row r="866" spans="2:38" ht="15.75" outlineLevel="1">
      <c r="B866" s="345">
        <v>2111</v>
      </c>
      <c r="C866" s="346">
        <v>185862</v>
      </c>
      <c r="D866" s="345" t="s">
        <v>944</v>
      </c>
      <c r="E866" s="347" t="s">
        <v>4240</v>
      </c>
      <c r="F866" s="343" t="s">
        <v>530</v>
      </c>
      <c r="I866" s="345">
        <v>702</v>
      </c>
      <c r="J866" s="347"/>
      <c r="K866" s="345">
        <v>0</v>
      </c>
      <c r="L866" s="347" t="s">
        <v>1462</v>
      </c>
      <c r="M866" s="347"/>
      <c r="N866" s="347" t="s">
        <v>4446</v>
      </c>
      <c r="O866" s="347" t="s">
        <v>4441</v>
      </c>
      <c r="P866" s="347"/>
      <c r="Q866" s="347"/>
      <c r="R866" s="347"/>
      <c r="S866" s="348">
        <v>42751</v>
      </c>
      <c r="T866" s="348">
        <v>42751</v>
      </c>
      <c r="U866" s="347" t="s">
        <v>2138</v>
      </c>
      <c r="V866" s="345">
        <v>700</v>
      </c>
      <c r="W866" s="345">
        <v>14050</v>
      </c>
      <c r="X866" s="349">
        <v>36186.67</v>
      </c>
      <c r="Y866" s="345">
        <v>14056</v>
      </c>
      <c r="Z866" s="349">
        <v>36186.67</v>
      </c>
      <c r="AA866" s="349">
        <f t="shared" si="97"/>
        <v>0</v>
      </c>
      <c r="AB866" s="349">
        <v>430.76</v>
      </c>
      <c r="AC866" s="345">
        <v>54260</v>
      </c>
      <c r="AD866" s="349">
        <v>430.76</v>
      </c>
      <c r="AE866" s="345" t="s">
        <v>944</v>
      </c>
      <c r="AF866" s="347"/>
      <c r="AG866" s="347"/>
      <c r="AH866" s="347" t="s">
        <v>57</v>
      </c>
      <c r="AI866" s="347" t="s">
        <v>4442</v>
      </c>
      <c r="AJ866" s="347" t="s">
        <v>4443</v>
      </c>
      <c r="AK866" s="347" t="s">
        <v>4437</v>
      </c>
      <c r="AL866" s="387">
        <v>45574</v>
      </c>
    </row>
    <row r="867" spans="2:38" ht="15.75" outlineLevel="1">
      <c r="B867" s="345">
        <v>2111</v>
      </c>
      <c r="C867" s="346">
        <v>185768</v>
      </c>
      <c r="D867" s="345">
        <v>102169</v>
      </c>
      <c r="E867" s="347" t="s">
        <v>4240</v>
      </c>
      <c r="F867" s="343" t="s">
        <v>2141</v>
      </c>
      <c r="I867" s="345">
        <v>1</v>
      </c>
      <c r="J867" s="347"/>
      <c r="K867" s="345">
        <v>0</v>
      </c>
      <c r="L867" s="347" t="s">
        <v>1561</v>
      </c>
      <c r="M867" s="347"/>
      <c r="N867" s="347" t="s">
        <v>4445</v>
      </c>
      <c r="O867" s="347" t="s">
        <v>4441</v>
      </c>
      <c r="P867" s="347" t="s">
        <v>1467</v>
      </c>
      <c r="Q867" s="347"/>
      <c r="R867" s="347"/>
      <c r="S867" s="348">
        <v>42961</v>
      </c>
      <c r="T867" s="348">
        <v>42961</v>
      </c>
      <c r="U867" s="347" t="s">
        <v>2142</v>
      </c>
      <c r="V867" s="345">
        <v>300</v>
      </c>
      <c r="W867" s="345">
        <v>14040</v>
      </c>
      <c r="X867" s="349">
        <v>9492.07</v>
      </c>
      <c r="Y867" s="345">
        <v>14046</v>
      </c>
      <c r="Z867" s="349">
        <v>9492.07</v>
      </c>
      <c r="AA867" s="349">
        <f t="shared" si="97"/>
        <v>0</v>
      </c>
      <c r="AB867" s="349">
        <v>0</v>
      </c>
      <c r="AC867" s="345">
        <v>51260</v>
      </c>
      <c r="AD867" s="349">
        <v>0</v>
      </c>
      <c r="AE867" s="345" t="s">
        <v>944</v>
      </c>
      <c r="AF867" s="347"/>
      <c r="AG867" s="347"/>
      <c r="AH867" s="347" t="s">
        <v>57</v>
      </c>
      <c r="AI867" s="347" t="s">
        <v>4442</v>
      </c>
      <c r="AJ867" s="347" t="s">
        <v>4443</v>
      </c>
      <c r="AK867" s="347" t="s">
        <v>4437</v>
      </c>
      <c r="AL867" s="387">
        <v>45574</v>
      </c>
    </row>
    <row r="868" spans="2:38" ht="15.75" outlineLevel="1">
      <c r="B868" s="345">
        <v>2111</v>
      </c>
      <c r="C868" s="346">
        <v>185180</v>
      </c>
      <c r="D868" s="345" t="s">
        <v>944</v>
      </c>
      <c r="E868" s="347" t="s">
        <v>4240</v>
      </c>
      <c r="F868" s="343" t="s">
        <v>2144</v>
      </c>
      <c r="I868" s="345">
        <v>1500</v>
      </c>
      <c r="J868" s="347"/>
      <c r="K868" s="345">
        <v>0</v>
      </c>
      <c r="L868" s="347" t="s">
        <v>1462</v>
      </c>
      <c r="M868" s="347"/>
      <c r="N868" s="347" t="s">
        <v>4446</v>
      </c>
      <c r="O868" s="347" t="s">
        <v>4441</v>
      </c>
      <c r="P868" s="347"/>
      <c r="Q868" s="347"/>
      <c r="R868" s="347"/>
      <c r="S868" s="348">
        <v>42870</v>
      </c>
      <c r="T868" s="348">
        <v>42870</v>
      </c>
      <c r="U868" s="347" t="s">
        <v>2119</v>
      </c>
      <c r="V868" s="345">
        <v>700</v>
      </c>
      <c r="W868" s="345">
        <v>14050</v>
      </c>
      <c r="X868" s="349">
        <v>58945.49</v>
      </c>
      <c r="Y868" s="345">
        <v>14056</v>
      </c>
      <c r="Z868" s="349">
        <v>58945.49</v>
      </c>
      <c r="AA868" s="349">
        <f t="shared" si="97"/>
        <v>0</v>
      </c>
      <c r="AB868" s="349">
        <v>2806.96</v>
      </c>
      <c r="AC868" s="345">
        <v>54260</v>
      </c>
      <c r="AD868" s="349">
        <v>701.77</v>
      </c>
      <c r="AE868" s="345" t="s">
        <v>944</v>
      </c>
      <c r="AF868" s="347"/>
      <c r="AG868" s="347"/>
      <c r="AH868" s="347" t="s">
        <v>57</v>
      </c>
      <c r="AI868" s="347" t="s">
        <v>4442</v>
      </c>
      <c r="AJ868" s="347" t="s">
        <v>4443</v>
      </c>
      <c r="AK868" s="347" t="s">
        <v>4437</v>
      </c>
      <c r="AL868" s="387">
        <v>45574</v>
      </c>
    </row>
    <row r="869" spans="2:38" ht="15.75" outlineLevel="1">
      <c r="B869" s="345">
        <v>2111</v>
      </c>
      <c r="C869" s="346">
        <v>185179</v>
      </c>
      <c r="D869" s="345" t="s">
        <v>944</v>
      </c>
      <c r="E869" s="347" t="s">
        <v>4240</v>
      </c>
      <c r="F869" s="343" t="s">
        <v>2146</v>
      </c>
      <c r="I869" s="345">
        <v>1500</v>
      </c>
      <c r="J869" s="347"/>
      <c r="K869" s="345">
        <v>0</v>
      </c>
      <c r="L869" s="347" t="s">
        <v>1462</v>
      </c>
      <c r="M869" s="347"/>
      <c r="N869" s="347" t="s">
        <v>4446</v>
      </c>
      <c r="O869" s="347" t="s">
        <v>4441</v>
      </c>
      <c r="P869" s="347"/>
      <c r="Q869" s="347"/>
      <c r="R869" s="347"/>
      <c r="S869" s="348">
        <v>42870</v>
      </c>
      <c r="T869" s="348">
        <v>42870</v>
      </c>
      <c r="U869" s="347" t="s">
        <v>2119</v>
      </c>
      <c r="V869" s="345">
        <v>700</v>
      </c>
      <c r="W869" s="345">
        <v>14050</v>
      </c>
      <c r="X869" s="349">
        <v>79480.89</v>
      </c>
      <c r="Y869" s="345">
        <v>14056</v>
      </c>
      <c r="Z869" s="349">
        <v>79480.89</v>
      </c>
      <c r="AA869" s="349">
        <f t="shared" ref="AA869:AA932" si="98">+X869-Z869</f>
        <v>0</v>
      </c>
      <c r="AB869" s="349">
        <v>3784.82</v>
      </c>
      <c r="AC869" s="345">
        <v>54260</v>
      </c>
      <c r="AD869" s="349">
        <v>946.22</v>
      </c>
      <c r="AE869" s="345" t="s">
        <v>944</v>
      </c>
      <c r="AF869" s="347"/>
      <c r="AG869" s="347"/>
      <c r="AH869" s="347" t="s">
        <v>57</v>
      </c>
      <c r="AI869" s="347" t="s">
        <v>4442</v>
      </c>
      <c r="AJ869" s="347" t="s">
        <v>4443</v>
      </c>
      <c r="AK869" s="347" t="s">
        <v>4437</v>
      </c>
      <c r="AL869" s="387">
        <v>45574</v>
      </c>
    </row>
    <row r="870" spans="2:38" ht="15.75" outlineLevel="1">
      <c r="B870" s="345">
        <v>2111</v>
      </c>
      <c r="C870" s="346">
        <v>185178</v>
      </c>
      <c r="D870" s="345" t="s">
        <v>944</v>
      </c>
      <c r="E870" s="347" t="s">
        <v>4240</v>
      </c>
      <c r="F870" s="343" t="s">
        <v>2147</v>
      </c>
      <c r="I870" s="345">
        <v>14000</v>
      </c>
      <c r="J870" s="347"/>
      <c r="K870" s="345">
        <v>0</v>
      </c>
      <c r="L870" s="347" t="s">
        <v>1462</v>
      </c>
      <c r="M870" s="347"/>
      <c r="N870" s="347" t="s">
        <v>4446</v>
      </c>
      <c r="O870" s="347" t="s">
        <v>4441</v>
      </c>
      <c r="P870" s="347"/>
      <c r="Q870" s="347"/>
      <c r="R870" s="347"/>
      <c r="S870" s="348">
        <v>42870</v>
      </c>
      <c r="T870" s="348">
        <v>42870</v>
      </c>
      <c r="U870" s="347" t="s">
        <v>2119</v>
      </c>
      <c r="V870" s="345">
        <v>700</v>
      </c>
      <c r="W870" s="345">
        <v>14050</v>
      </c>
      <c r="X870" s="349">
        <v>660879.97</v>
      </c>
      <c r="Y870" s="345">
        <v>14056</v>
      </c>
      <c r="Z870" s="349">
        <v>660879.97</v>
      </c>
      <c r="AA870" s="349">
        <f t="shared" si="98"/>
        <v>0</v>
      </c>
      <c r="AB870" s="349">
        <v>31470.44</v>
      </c>
      <c r="AC870" s="345">
        <v>54260</v>
      </c>
      <c r="AD870" s="349">
        <v>7867.58</v>
      </c>
      <c r="AE870" s="345" t="s">
        <v>944</v>
      </c>
      <c r="AF870" s="347"/>
      <c r="AG870" s="347"/>
      <c r="AH870" s="347" t="s">
        <v>57</v>
      </c>
      <c r="AI870" s="347" t="s">
        <v>4442</v>
      </c>
      <c r="AJ870" s="347" t="s">
        <v>4443</v>
      </c>
      <c r="AK870" s="347" t="s">
        <v>4437</v>
      </c>
      <c r="AL870" s="387">
        <v>45574</v>
      </c>
    </row>
    <row r="871" spans="2:38" ht="15.75" outlineLevel="1">
      <c r="B871" s="345">
        <v>2111</v>
      </c>
      <c r="C871" s="346">
        <v>185177</v>
      </c>
      <c r="D871" s="345" t="s">
        <v>944</v>
      </c>
      <c r="E871" s="347" t="s">
        <v>4240</v>
      </c>
      <c r="F871" s="343" t="s">
        <v>2148</v>
      </c>
      <c r="I871" s="345">
        <v>38500</v>
      </c>
      <c r="J871" s="347"/>
      <c r="K871" s="345">
        <v>0</v>
      </c>
      <c r="L871" s="347" t="s">
        <v>1462</v>
      </c>
      <c r="M871" s="347"/>
      <c r="N871" s="347" t="s">
        <v>4446</v>
      </c>
      <c r="O871" s="347" t="s">
        <v>4441</v>
      </c>
      <c r="P871" s="347"/>
      <c r="Q871" s="347"/>
      <c r="R871" s="347"/>
      <c r="S871" s="348">
        <v>42870</v>
      </c>
      <c r="T871" s="348">
        <v>42870</v>
      </c>
      <c r="U871" s="347" t="s">
        <v>2119</v>
      </c>
      <c r="V871" s="345">
        <v>700</v>
      </c>
      <c r="W871" s="345">
        <v>14050</v>
      </c>
      <c r="X871" s="349">
        <v>1531833.28</v>
      </c>
      <c r="Y871" s="345">
        <v>14056</v>
      </c>
      <c r="Z871" s="349">
        <v>1531833.28</v>
      </c>
      <c r="AA871" s="349">
        <f t="shared" si="98"/>
        <v>0</v>
      </c>
      <c r="AB871" s="349">
        <v>72944.42</v>
      </c>
      <c r="AC871" s="345">
        <v>54260</v>
      </c>
      <c r="AD871" s="349">
        <v>18236.09</v>
      </c>
      <c r="AE871" s="345" t="s">
        <v>944</v>
      </c>
      <c r="AF871" s="347"/>
      <c r="AG871" s="347"/>
      <c r="AH871" s="347" t="s">
        <v>57</v>
      </c>
      <c r="AI871" s="347" t="s">
        <v>4442</v>
      </c>
      <c r="AJ871" s="347" t="s">
        <v>4443</v>
      </c>
      <c r="AK871" s="347" t="s">
        <v>4437</v>
      </c>
      <c r="AL871" s="387">
        <v>45574</v>
      </c>
    </row>
    <row r="872" spans="2:38" ht="15.75" outlineLevel="1">
      <c r="B872" s="345">
        <v>2111</v>
      </c>
      <c r="C872" s="346">
        <v>184822</v>
      </c>
      <c r="D872" s="345" t="s">
        <v>944</v>
      </c>
      <c r="E872" s="347" t="s">
        <v>4240</v>
      </c>
      <c r="F872" s="343" t="s">
        <v>524</v>
      </c>
      <c r="I872" s="345">
        <v>940</v>
      </c>
      <c r="J872" s="347"/>
      <c r="K872" s="345">
        <v>0</v>
      </c>
      <c r="L872" s="347" t="s">
        <v>2093</v>
      </c>
      <c r="M872" s="347"/>
      <c r="N872" s="347" t="s">
        <v>4446</v>
      </c>
      <c r="O872" s="347" t="s">
        <v>4441</v>
      </c>
      <c r="P872" s="347"/>
      <c r="Q872" s="347"/>
      <c r="R872" s="347"/>
      <c r="S872" s="348">
        <v>42854</v>
      </c>
      <c r="T872" s="348">
        <v>42854</v>
      </c>
      <c r="U872" s="347" t="s">
        <v>2149</v>
      </c>
      <c r="V872" s="345">
        <v>700</v>
      </c>
      <c r="W872" s="345">
        <v>14050</v>
      </c>
      <c r="X872" s="349">
        <v>35253.71</v>
      </c>
      <c r="Y872" s="345">
        <v>14056</v>
      </c>
      <c r="Z872" s="349">
        <v>35253.71</v>
      </c>
      <c r="AA872" s="349">
        <f t="shared" si="98"/>
        <v>0</v>
      </c>
      <c r="AB872" s="349">
        <v>1678.71</v>
      </c>
      <c r="AC872" s="345">
        <v>54260</v>
      </c>
      <c r="AD872" s="349">
        <v>419.64</v>
      </c>
      <c r="AE872" s="345" t="s">
        <v>944</v>
      </c>
      <c r="AF872" s="347"/>
      <c r="AG872" s="347"/>
      <c r="AH872" s="347" t="s">
        <v>57</v>
      </c>
      <c r="AI872" s="347" t="s">
        <v>4442</v>
      </c>
      <c r="AJ872" s="347" t="s">
        <v>4443</v>
      </c>
      <c r="AK872" s="347" t="s">
        <v>4437</v>
      </c>
      <c r="AL872" s="387">
        <v>45574</v>
      </c>
    </row>
    <row r="873" spans="2:38" ht="15.75" outlineLevel="1">
      <c r="B873" s="345">
        <v>2111</v>
      </c>
      <c r="C873" s="346">
        <v>184821</v>
      </c>
      <c r="D873" s="345" t="s">
        <v>944</v>
      </c>
      <c r="E873" s="347" t="s">
        <v>4240</v>
      </c>
      <c r="F873" s="343" t="s">
        <v>512</v>
      </c>
      <c r="I873" s="345">
        <v>624</v>
      </c>
      <c r="J873" s="347"/>
      <c r="K873" s="345">
        <v>0</v>
      </c>
      <c r="L873" s="347" t="s">
        <v>2093</v>
      </c>
      <c r="M873" s="347"/>
      <c r="N873" s="347" t="s">
        <v>4446</v>
      </c>
      <c r="O873" s="347" t="s">
        <v>4441</v>
      </c>
      <c r="P873" s="347"/>
      <c r="Q873" s="347"/>
      <c r="R873" s="347"/>
      <c r="S873" s="348">
        <v>42832</v>
      </c>
      <c r="T873" s="348">
        <v>42832</v>
      </c>
      <c r="U873" s="347" t="s">
        <v>2150</v>
      </c>
      <c r="V873" s="345">
        <v>700</v>
      </c>
      <c r="W873" s="345">
        <v>14050</v>
      </c>
      <c r="X873" s="349">
        <v>32760.57</v>
      </c>
      <c r="Y873" s="345">
        <v>14056</v>
      </c>
      <c r="Z873" s="349">
        <v>32760.57</v>
      </c>
      <c r="AA873" s="349">
        <f t="shared" si="98"/>
        <v>0</v>
      </c>
      <c r="AB873" s="349">
        <v>1170.03</v>
      </c>
      <c r="AC873" s="345">
        <v>54260</v>
      </c>
      <c r="AD873" s="349">
        <v>390.01</v>
      </c>
      <c r="AE873" s="345" t="s">
        <v>944</v>
      </c>
      <c r="AF873" s="347"/>
      <c r="AG873" s="347"/>
      <c r="AH873" s="347" t="s">
        <v>57</v>
      </c>
      <c r="AI873" s="347" t="s">
        <v>4442</v>
      </c>
      <c r="AJ873" s="347" t="s">
        <v>4443</v>
      </c>
      <c r="AK873" s="347" t="s">
        <v>4437</v>
      </c>
      <c r="AL873" s="387">
        <v>45574</v>
      </c>
    </row>
    <row r="874" spans="2:38" ht="15.75" outlineLevel="1">
      <c r="B874" s="345">
        <v>2111</v>
      </c>
      <c r="C874" s="346">
        <v>184458</v>
      </c>
      <c r="D874" s="345" t="s">
        <v>944</v>
      </c>
      <c r="E874" s="347" t="s">
        <v>4240</v>
      </c>
      <c r="F874" s="343" t="s">
        <v>2151</v>
      </c>
      <c r="I874" s="345">
        <v>40</v>
      </c>
      <c r="J874" s="347"/>
      <c r="K874" s="345">
        <v>0</v>
      </c>
      <c r="L874" s="347" t="s">
        <v>1726</v>
      </c>
      <c r="M874" s="347"/>
      <c r="N874" s="347" t="s">
        <v>4446</v>
      </c>
      <c r="O874" s="347" t="s">
        <v>4441</v>
      </c>
      <c r="P874" s="347"/>
      <c r="Q874" s="347" t="s">
        <v>4459</v>
      </c>
      <c r="R874" s="347" t="s">
        <v>4450</v>
      </c>
      <c r="S874" s="348">
        <v>42825</v>
      </c>
      <c r="T874" s="348">
        <v>42825</v>
      </c>
      <c r="U874" s="347" t="s">
        <v>2152</v>
      </c>
      <c r="V874" s="345">
        <v>1200</v>
      </c>
      <c r="W874" s="345">
        <v>14050</v>
      </c>
      <c r="X874" s="349">
        <v>23674.15</v>
      </c>
      <c r="Y874" s="345">
        <v>14056</v>
      </c>
      <c r="Z874" s="349">
        <v>14796.34</v>
      </c>
      <c r="AA874" s="349">
        <f t="shared" si="98"/>
        <v>8877.8100000000013</v>
      </c>
      <c r="AB874" s="349">
        <v>1479.6</v>
      </c>
      <c r="AC874" s="345">
        <v>54260</v>
      </c>
      <c r="AD874" s="349">
        <v>164.4</v>
      </c>
      <c r="AE874" s="345" t="s">
        <v>944</v>
      </c>
      <c r="AF874" s="347"/>
      <c r="AG874" s="347"/>
      <c r="AH874" s="347" t="s">
        <v>57</v>
      </c>
      <c r="AI874" s="347" t="s">
        <v>4442</v>
      </c>
      <c r="AJ874" s="347" t="s">
        <v>4443</v>
      </c>
      <c r="AK874" s="347" t="s">
        <v>4437</v>
      </c>
      <c r="AL874" s="387">
        <v>45574</v>
      </c>
    </row>
    <row r="875" spans="2:38" ht="15.75" outlineLevel="1">
      <c r="B875" s="345">
        <v>2111</v>
      </c>
      <c r="C875" s="346">
        <v>183742</v>
      </c>
      <c r="D875" s="345">
        <v>173166</v>
      </c>
      <c r="E875" s="347" t="s">
        <v>4240</v>
      </c>
      <c r="F875" s="343" t="s">
        <v>2153</v>
      </c>
      <c r="I875" s="345">
        <v>1</v>
      </c>
      <c r="J875" s="347"/>
      <c r="K875" s="345">
        <v>0</v>
      </c>
      <c r="L875" s="347" t="s">
        <v>2154</v>
      </c>
      <c r="M875" s="347"/>
      <c r="N875" s="347" t="s">
        <v>4445</v>
      </c>
      <c r="O875" s="347" t="s">
        <v>4441</v>
      </c>
      <c r="P875" s="347" t="s">
        <v>1467</v>
      </c>
      <c r="Q875" s="347"/>
      <c r="R875" s="347"/>
      <c r="S875" s="348">
        <v>42811</v>
      </c>
      <c r="T875" s="348">
        <v>42811</v>
      </c>
      <c r="U875" s="347" t="s">
        <v>2155</v>
      </c>
      <c r="V875" s="345">
        <v>300</v>
      </c>
      <c r="W875" s="345">
        <v>14040</v>
      </c>
      <c r="X875" s="349">
        <v>15283.31</v>
      </c>
      <c r="Y875" s="345">
        <v>14046</v>
      </c>
      <c r="Z875" s="349">
        <v>15283.31</v>
      </c>
      <c r="AA875" s="349">
        <f t="shared" si="98"/>
        <v>0</v>
      </c>
      <c r="AB875" s="349">
        <v>0</v>
      </c>
      <c r="AC875" s="345">
        <v>51260</v>
      </c>
      <c r="AD875" s="349">
        <v>0</v>
      </c>
      <c r="AE875" s="345" t="s">
        <v>944</v>
      </c>
      <c r="AF875" s="347"/>
      <c r="AG875" s="347"/>
      <c r="AH875" s="347" t="s">
        <v>57</v>
      </c>
      <c r="AI875" s="347" t="s">
        <v>4442</v>
      </c>
      <c r="AJ875" s="347" t="s">
        <v>4443</v>
      </c>
      <c r="AK875" s="347" t="s">
        <v>4437</v>
      </c>
      <c r="AL875" s="387">
        <v>45574</v>
      </c>
    </row>
    <row r="876" spans="2:38" ht="15.75" outlineLevel="1">
      <c r="B876" s="345">
        <v>2111</v>
      </c>
      <c r="C876" s="346">
        <v>183279</v>
      </c>
      <c r="D876" s="345" t="s">
        <v>944</v>
      </c>
      <c r="E876" s="347" t="s">
        <v>4240</v>
      </c>
      <c r="F876" s="343" t="s">
        <v>510</v>
      </c>
      <c r="I876" s="345">
        <v>1</v>
      </c>
      <c r="J876" s="347" t="s">
        <v>2156</v>
      </c>
      <c r="K876" s="345">
        <v>2017</v>
      </c>
      <c r="L876" s="347" t="s">
        <v>1483</v>
      </c>
      <c r="M876" s="347" t="s">
        <v>1522</v>
      </c>
      <c r="N876" s="347" t="s">
        <v>4445</v>
      </c>
      <c r="O876" s="347" t="s">
        <v>4441</v>
      </c>
      <c r="P876" s="347" t="s">
        <v>4482</v>
      </c>
      <c r="Q876" s="347"/>
      <c r="R876" s="347"/>
      <c r="S876" s="348">
        <v>42887</v>
      </c>
      <c r="T876" s="348">
        <v>42887</v>
      </c>
      <c r="U876" s="347" t="s">
        <v>2106</v>
      </c>
      <c r="V876" s="345">
        <v>1000</v>
      </c>
      <c r="W876" s="345">
        <v>14040</v>
      </c>
      <c r="X876" s="349">
        <v>336597.94</v>
      </c>
      <c r="Y876" s="345">
        <v>14046</v>
      </c>
      <c r="Z876" s="349">
        <v>246838.44</v>
      </c>
      <c r="AA876" s="349">
        <f t="shared" si="98"/>
        <v>89759.5</v>
      </c>
      <c r="AB876" s="349">
        <v>25244.82</v>
      </c>
      <c r="AC876" s="345">
        <v>51260</v>
      </c>
      <c r="AD876" s="349">
        <v>2804.98</v>
      </c>
      <c r="AE876" s="345" t="s">
        <v>944</v>
      </c>
      <c r="AF876" s="347"/>
      <c r="AG876" s="347">
        <v>853</v>
      </c>
      <c r="AH876" s="347" t="s">
        <v>57</v>
      </c>
      <c r="AI876" s="347" t="s">
        <v>4442</v>
      </c>
      <c r="AJ876" s="347" t="s">
        <v>4443</v>
      </c>
      <c r="AK876" s="347" t="s">
        <v>4437</v>
      </c>
      <c r="AL876" s="387">
        <v>45574</v>
      </c>
    </row>
    <row r="877" spans="2:38" ht="15.75" outlineLevel="1">
      <c r="B877" s="345">
        <v>2111</v>
      </c>
      <c r="C877" s="346">
        <v>183278</v>
      </c>
      <c r="D877" s="345" t="s">
        <v>944</v>
      </c>
      <c r="E877" s="347" t="s">
        <v>4240</v>
      </c>
      <c r="F877" s="343" t="s">
        <v>510</v>
      </c>
      <c r="I877" s="345">
        <v>1</v>
      </c>
      <c r="J877" s="347" t="s">
        <v>2158</v>
      </c>
      <c r="K877" s="345">
        <v>2017</v>
      </c>
      <c r="L877" s="347" t="s">
        <v>1483</v>
      </c>
      <c r="M877" s="347" t="s">
        <v>1522</v>
      </c>
      <c r="N877" s="347" t="s">
        <v>4445</v>
      </c>
      <c r="O877" s="347" t="s">
        <v>4441</v>
      </c>
      <c r="P877" s="347" t="s">
        <v>4482</v>
      </c>
      <c r="Q877" s="347"/>
      <c r="R877" s="347"/>
      <c r="S877" s="348">
        <v>42887</v>
      </c>
      <c r="T877" s="348">
        <v>42887</v>
      </c>
      <c r="U877" s="347" t="s">
        <v>2109</v>
      </c>
      <c r="V877" s="345">
        <v>1000</v>
      </c>
      <c r="W877" s="345">
        <v>14040</v>
      </c>
      <c r="X877" s="349">
        <v>336597.94</v>
      </c>
      <c r="Y877" s="345">
        <v>14046</v>
      </c>
      <c r="Z877" s="349">
        <v>246838.44</v>
      </c>
      <c r="AA877" s="349">
        <f t="shared" si="98"/>
        <v>89759.5</v>
      </c>
      <c r="AB877" s="349">
        <v>25244.82</v>
      </c>
      <c r="AC877" s="345">
        <v>51260</v>
      </c>
      <c r="AD877" s="349">
        <v>2804.98</v>
      </c>
      <c r="AE877" s="345" t="s">
        <v>944</v>
      </c>
      <c r="AF877" s="347"/>
      <c r="AG877" s="347">
        <v>852</v>
      </c>
      <c r="AH877" s="347" t="s">
        <v>57</v>
      </c>
      <c r="AI877" s="347" t="s">
        <v>4442</v>
      </c>
      <c r="AJ877" s="347" t="s">
        <v>4443</v>
      </c>
      <c r="AK877" s="347" t="s">
        <v>4437</v>
      </c>
      <c r="AL877" s="387">
        <v>45574</v>
      </c>
    </row>
    <row r="878" spans="2:38" ht="15.75" outlineLevel="1">
      <c r="B878" s="345">
        <v>2111</v>
      </c>
      <c r="C878" s="346">
        <v>183277</v>
      </c>
      <c r="D878" s="345" t="s">
        <v>944</v>
      </c>
      <c r="E878" s="347" t="s">
        <v>4240</v>
      </c>
      <c r="F878" s="343" t="s">
        <v>510</v>
      </c>
      <c r="I878" s="345">
        <v>1</v>
      </c>
      <c r="J878" s="347" t="s">
        <v>2159</v>
      </c>
      <c r="K878" s="345">
        <v>2017</v>
      </c>
      <c r="L878" s="347" t="s">
        <v>1483</v>
      </c>
      <c r="M878" s="347" t="s">
        <v>1522</v>
      </c>
      <c r="N878" s="347" t="s">
        <v>4445</v>
      </c>
      <c r="O878" s="347" t="s">
        <v>4441</v>
      </c>
      <c r="P878" s="347" t="s">
        <v>4482</v>
      </c>
      <c r="Q878" s="347"/>
      <c r="R878" s="347"/>
      <c r="S878" s="348">
        <v>42887</v>
      </c>
      <c r="T878" s="348">
        <v>42887</v>
      </c>
      <c r="U878" s="347" t="s">
        <v>2107</v>
      </c>
      <c r="V878" s="345">
        <v>1000</v>
      </c>
      <c r="W878" s="345">
        <v>14040</v>
      </c>
      <c r="X878" s="349">
        <v>336597.94</v>
      </c>
      <c r="Y878" s="345">
        <v>14046</v>
      </c>
      <c r="Z878" s="349">
        <v>246838.44</v>
      </c>
      <c r="AA878" s="349">
        <f t="shared" si="98"/>
        <v>89759.5</v>
      </c>
      <c r="AB878" s="349">
        <v>25244.82</v>
      </c>
      <c r="AC878" s="345">
        <v>51260</v>
      </c>
      <c r="AD878" s="349">
        <v>2804.98</v>
      </c>
      <c r="AE878" s="345" t="s">
        <v>944</v>
      </c>
      <c r="AF878" s="347"/>
      <c r="AG878" s="347">
        <v>851</v>
      </c>
      <c r="AH878" s="347" t="s">
        <v>57</v>
      </c>
      <c r="AI878" s="347" t="s">
        <v>4442</v>
      </c>
      <c r="AJ878" s="347" t="s">
        <v>4443</v>
      </c>
      <c r="AK878" s="347" t="s">
        <v>4437</v>
      </c>
      <c r="AL878" s="387">
        <v>45574</v>
      </c>
    </row>
    <row r="879" spans="2:38" ht="15.75" outlineLevel="1">
      <c r="B879" s="345">
        <v>2111</v>
      </c>
      <c r="C879" s="346">
        <v>180515</v>
      </c>
      <c r="D879" s="345" t="s">
        <v>944</v>
      </c>
      <c r="E879" s="347" t="s">
        <v>4240</v>
      </c>
      <c r="F879" s="343" t="s">
        <v>574</v>
      </c>
      <c r="I879" s="345">
        <v>1</v>
      </c>
      <c r="J879" s="347"/>
      <c r="K879" s="345">
        <v>0</v>
      </c>
      <c r="L879" s="347" t="s">
        <v>2160</v>
      </c>
      <c r="M879" s="347"/>
      <c r="N879" s="347" t="s">
        <v>4440</v>
      </c>
      <c r="O879" s="347" t="s">
        <v>4441</v>
      </c>
      <c r="P879" s="347"/>
      <c r="Q879" s="347"/>
      <c r="R879" s="347"/>
      <c r="S879" s="348">
        <v>42795</v>
      </c>
      <c r="T879" s="348">
        <v>42795</v>
      </c>
      <c r="U879" s="347" t="s">
        <v>2161</v>
      </c>
      <c r="V879" s="345">
        <v>100</v>
      </c>
      <c r="W879" s="345">
        <v>14110</v>
      </c>
      <c r="X879" s="349">
        <v>6597.75</v>
      </c>
      <c r="Y879" s="345">
        <v>14116</v>
      </c>
      <c r="Z879" s="349">
        <v>6597.75</v>
      </c>
      <c r="AA879" s="349">
        <f t="shared" si="98"/>
        <v>0</v>
      </c>
      <c r="AB879" s="349">
        <v>0</v>
      </c>
      <c r="AC879" s="345">
        <v>70260</v>
      </c>
      <c r="AD879" s="349">
        <v>0</v>
      </c>
      <c r="AE879" s="345" t="s">
        <v>944</v>
      </c>
      <c r="AF879" s="347"/>
      <c r="AG879" s="347"/>
      <c r="AH879" s="347" t="s">
        <v>57</v>
      </c>
      <c r="AI879" s="347" t="s">
        <v>4442</v>
      </c>
      <c r="AJ879" s="347" t="s">
        <v>4443</v>
      </c>
      <c r="AK879" s="347" t="s">
        <v>4437</v>
      </c>
      <c r="AL879" s="387">
        <v>45574</v>
      </c>
    </row>
    <row r="880" spans="2:38" ht="15.75" outlineLevel="1">
      <c r="B880" s="345">
        <v>2111</v>
      </c>
      <c r="C880" s="346">
        <v>180514</v>
      </c>
      <c r="D880" s="345" t="s">
        <v>944</v>
      </c>
      <c r="E880" s="347" t="s">
        <v>4240</v>
      </c>
      <c r="F880" s="343" t="s">
        <v>572</v>
      </c>
      <c r="I880" s="345">
        <v>1</v>
      </c>
      <c r="J880" s="347"/>
      <c r="K880" s="345">
        <v>0</v>
      </c>
      <c r="L880" s="347" t="s">
        <v>2163</v>
      </c>
      <c r="M880" s="347"/>
      <c r="N880" s="347" t="s">
        <v>4440</v>
      </c>
      <c r="O880" s="347" t="s">
        <v>4441</v>
      </c>
      <c r="P880" s="347"/>
      <c r="Q880" s="347"/>
      <c r="R880" s="347"/>
      <c r="S880" s="348">
        <v>42760</v>
      </c>
      <c r="T880" s="348">
        <v>42760</v>
      </c>
      <c r="U880" s="347" t="s">
        <v>2164</v>
      </c>
      <c r="V880" s="345">
        <v>200</v>
      </c>
      <c r="W880" s="345">
        <v>14110</v>
      </c>
      <c r="X880" s="349">
        <v>6944.72</v>
      </c>
      <c r="Y880" s="345">
        <v>14116</v>
      </c>
      <c r="Z880" s="349">
        <v>6944.72</v>
      </c>
      <c r="AA880" s="349">
        <f t="shared" si="98"/>
        <v>0</v>
      </c>
      <c r="AB880" s="349">
        <v>0</v>
      </c>
      <c r="AC880" s="345">
        <v>70260</v>
      </c>
      <c r="AD880" s="349">
        <v>0</v>
      </c>
      <c r="AE880" s="345" t="s">
        <v>944</v>
      </c>
      <c r="AF880" s="347"/>
      <c r="AG880" s="347"/>
      <c r="AH880" s="347" t="s">
        <v>57</v>
      </c>
      <c r="AI880" s="347" t="s">
        <v>4442</v>
      </c>
      <c r="AJ880" s="347" t="s">
        <v>4443</v>
      </c>
      <c r="AK880" s="347" t="s">
        <v>4437</v>
      </c>
      <c r="AL880" s="387">
        <v>45574</v>
      </c>
    </row>
    <row r="881" spans="2:38" ht="15.75" outlineLevel="1">
      <c r="B881" s="345">
        <v>2111</v>
      </c>
      <c r="C881" s="346">
        <v>180339</v>
      </c>
      <c r="D881" s="345" t="s">
        <v>944</v>
      </c>
      <c r="E881" s="347" t="s">
        <v>4240</v>
      </c>
      <c r="F881" s="343" t="s">
        <v>584</v>
      </c>
      <c r="I881" s="345">
        <v>1</v>
      </c>
      <c r="J881" s="347" t="s">
        <v>2165</v>
      </c>
      <c r="K881" s="345">
        <v>2012</v>
      </c>
      <c r="L881" s="347" t="s">
        <v>2166</v>
      </c>
      <c r="M881" s="347"/>
      <c r="N881" s="347" t="s">
        <v>4445</v>
      </c>
      <c r="O881" s="347" t="s">
        <v>4441</v>
      </c>
      <c r="P881" s="347" t="s">
        <v>2039</v>
      </c>
      <c r="Q881" s="347"/>
      <c r="R881" s="347"/>
      <c r="S881" s="348">
        <v>42849</v>
      </c>
      <c r="T881" s="348">
        <v>42849</v>
      </c>
      <c r="U881" s="347" t="s">
        <v>2168</v>
      </c>
      <c r="V881" s="345">
        <v>500</v>
      </c>
      <c r="W881" s="345">
        <v>14040</v>
      </c>
      <c r="X881" s="349">
        <v>35072</v>
      </c>
      <c r="Y881" s="345">
        <v>14046</v>
      </c>
      <c r="Z881" s="349">
        <v>35072</v>
      </c>
      <c r="AA881" s="349">
        <f t="shared" si="98"/>
        <v>0</v>
      </c>
      <c r="AB881" s="349">
        <v>0</v>
      </c>
      <c r="AC881" s="345">
        <v>51260</v>
      </c>
      <c r="AD881" s="349">
        <v>0</v>
      </c>
      <c r="AE881" s="345" t="s">
        <v>944</v>
      </c>
      <c r="AF881" s="347">
        <v>0</v>
      </c>
      <c r="AG881" s="347" t="s">
        <v>583</v>
      </c>
      <c r="AH881" s="347" t="s">
        <v>57</v>
      </c>
      <c r="AI881" s="347" t="s">
        <v>4442</v>
      </c>
      <c r="AJ881" s="347" t="s">
        <v>4443</v>
      </c>
      <c r="AK881" s="347" t="s">
        <v>4437</v>
      </c>
      <c r="AL881" s="387">
        <v>45574</v>
      </c>
    </row>
    <row r="882" spans="2:38" ht="15.75" outlineLevel="1">
      <c r="B882" s="345">
        <v>2111</v>
      </c>
      <c r="C882" s="346">
        <v>180338</v>
      </c>
      <c r="D882" s="345" t="s">
        <v>944</v>
      </c>
      <c r="E882" s="347" t="s">
        <v>4240</v>
      </c>
      <c r="F882" s="343" t="s">
        <v>510</v>
      </c>
      <c r="I882" s="345">
        <v>1</v>
      </c>
      <c r="J882" s="347" t="s">
        <v>2169</v>
      </c>
      <c r="K882" s="345">
        <v>2017</v>
      </c>
      <c r="L882" s="347" t="s">
        <v>1483</v>
      </c>
      <c r="M882" s="347" t="s">
        <v>1522</v>
      </c>
      <c r="N882" s="347" t="s">
        <v>4445</v>
      </c>
      <c r="O882" s="347" t="s">
        <v>4441</v>
      </c>
      <c r="P882" s="347" t="s">
        <v>4482</v>
      </c>
      <c r="Q882" s="347"/>
      <c r="R882" s="347"/>
      <c r="S882" s="348">
        <v>42826</v>
      </c>
      <c r="T882" s="348">
        <v>42826</v>
      </c>
      <c r="U882" s="347" t="s">
        <v>2108</v>
      </c>
      <c r="V882" s="345">
        <v>1000</v>
      </c>
      <c r="W882" s="345">
        <v>14040</v>
      </c>
      <c r="X882" s="349">
        <v>336597.94</v>
      </c>
      <c r="Y882" s="345">
        <v>14046</v>
      </c>
      <c r="Z882" s="349">
        <v>252448.41</v>
      </c>
      <c r="AA882" s="349">
        <f t="shared" si="98"/>
        <v>84149.53</v>
      </c>
      <c r="AB882" s="349">
        <v>25244.82</v>
      </c>
      <c r="AC882" s="345">
        <v>51260</v>
      </c>
      <c r="AD882" s="349">
        <v>2804.98</v>
      </c>
      <c r="AE882" s="345" t="s">
        <v>944</v>
      </c>
      <c r="AF882" s="347"/>
      <c r="AG882" s="347">
        <v>850</v>
      </c>
      <c r="AH882" s="347" t="s">
        <v>57</v>
      </c>
      <c r="AI882" s="347" t="s">
        <v>4442</v>
      </c>
      <c r="AJ882" s="347" t="s">
        <v>4443</v>
      </c>
      <c r="AK882" s="347" t="s">
        <v>4437</v>
      </c>
      <c r="AL882" s="387">
        <v>45574</v>
      </c>
    </row>
    <row r="883" spans="2:38" ht="15.75" outlineLevel="1">
      <c r="B883" s="345">
        <v>2111</v>
      </c>
      <c r="C883" s="346">
        <v>179408</v>
      </c>
      <c r="D883" s="345">
        <v>173291</v>
      </c>
      <c r="E883" s="347" t="s">
        <v>4240</v>
      </c>
      <c r="F883" s="343" t="s">
        <v>508</v>
      </c>
      <c r="I883" s="345">
        <v>1</v>
      </c>
      <c r="J883" s="347"/>
      <c r="K883" s="345">
        <v>0</v>
      </c>
      <c r="L883" s="347" t="s">
        <v>2170</v>
      </c>
      <c r="M883" s="347"/>
      <c r="N883" s="347" t="s">
        <v>4445</v>
      </c>
      <c r="O883" s="347" t="s">
        <v>4441</v>
      </c>
      <c r="P883" s="347" t="s">
        <v>1467</v>
      </c>
      <c r="Q883" s="347"/>
      <c r="R883" s="347"/>
      <c r="S883" s="348">
        <v>42790</v>
      </c>
      <c r="T883" s="348">
        <v>42790</v>
      </c>
      <c r="U883" s="347" t="s">
        <v>2171</v>
      </c>
      <c r="V883" s="345">
        <v>300</v>
      </c>
      <c r="W883" s="345">
        <v>14040</v>
      </c>
      <c r="X883" s="349">
        <v>19762.41</v>
      </c>
      <c r="Y883" s="345">
        <v>14046</v>
      </c>
      <c r="Z883" s="349">
        <v>19762.41</v>
      </c>
      <c r="AA883" s="349">
        <f t="shared" si="98"/>
        <v>0</v>
      </c>
      <c r="AB883" s="349">
        <v>0</v>
      </c>
      <c r="AC883" s="345">
        <v>51260</v>
      </c>
      <c r="AD883" s="349">
        <v>0</v>
      </c>
      <c r="AE883" s="345" t="s">
        <v>944</v>
      </c>
      <c r="AF883" s="347"/>
      <c r="AG883" s="347"/>
      <c r="AH883" s="347" t="s">
        <v>57</v>
      </c>
      <c r="AI883" s="347" t="s">
        <v>4442</v>
      </c>
      <c r="AJ883" s="347" t="s">
        <v>4443</v>
      </c>
      <c r="AK883" s="347" t="s">
        <v>4437</v>
      </c>
      <c r="AL883" s="387">
        <v>45574</v>
      </c>
    </row>
    <row r="884" spans="2:38" ht="15.75" outlineLevel="1">
      <c r="B884" s="345">
        <v>2111</v>
      </c>
      <c r="C884" s="346">
        <v>179047</v>
      </c>
      <c r="D884" s="345" t="s">
        <v>944</v>
      </c>
      <c r="E884" s="347" t="s">
        <v>4240</v>
      </c>
      <c r="F884" s="343" t="s">
        <v>512</v>
      </c>
      <c r="I884" s="345">
        <v>624</v>
      </c>
      <c r="J884" s="347"/>
      <c r="K884" s="345">
        <v>0</v>
      </c>
      <c r="L884" s="347" t="s">
        <v>2093</v>
      </c>
      <c r="M884" s="347"/>
      <c r="N884" s="347" t="s">
        <v>4446</v>
      </c>
      <c r="O884" s="347" t="s">
        <v>4441</v>
      </c>
      <c r="P884" s="347"/>
      <c r="Q884" s="347"/>
      <c r="R884" s="347"/>
      <c r="S884" s="348">
        <v>42736</v>
      </c>
      <c r="T884" s="348">
        <v>42736</v>
      </c>
      <c r="U884" s="347" t="s">
        <v>2173</v>
      </c>
      <c r="V884" s="345">
        <v>611</v>
      </c>
      <c r="W884" s="345">
        <v>14050</v>
      </c>
      <c r="X884" s="349">
        <v>31928.87</v>
      </c>
      <c r="Y884" s="345">
        <v>14056</v>
      </c>
      <c r="Z884" s="349">
        <v>31928.87</v>
      </c>
      <c r="AA884" s="349">
        <f t="shared" si="98"/>
        <v>0</v>
      </c>
      <c r="AB884" s="349">
        <v>0</v>
      </c>
      <c r="AC884" s="345">
        <v>54260</v>
      </c>
      <c r="AD884" s="349">
        <v>0</v>
      </c>
      <c r="AE884" s="345" t="s">
        <v>944</v>
      </c>
      <c r="AF884" s="347"/>
      <c r="AG884" s="347"/>
      <c r="AH884" s="347" t="s">
        <v>57</v>
      </c>
      <c r="AI884" s="347" t="s">
        <v>4442</v>
      </c>
      <c r="AJ884" s="347" t="s">
        <v>4443</v>
      </c>
      <c r="AK884" s="347" t="s">
        <v>4437</v>
      </c>
      <c r="AL884" s="387">
        <v>45574</v>
      </c>
    </row>
    <row r="885" spans="2:38" ht="15.75" outlineLevel="1">
      <c r="B885" s="345">
        <v>2111</v>
      </c>
      <c r="C885" s="346">
        <v>178939</v>
      </c>
      <c r="D885" s="345" t="s">
        <v>944</v>
      </c>
      <c r="E885" s="347" t="s">
        <v>4240</v>
      </c>
      <c r="F885" s="343" t="s">
        <v>573</v>
      </c>
      <c r="I885" s="345">
        <v>1</v>
      </c>
      <c r="J885" s="347"/>
      <c r="K885" s="345">
        <v>0</v>
      </c>
      <c r="L885" s="347"/>
      <c r="M885" s="347"/>
      <c r="N885" s="347" t="s">
        <v>4440</v>
      </c>
      <c r="O885" s="347" t="s">
        <v>4441</v>
      </c>
      <c r="P885" s="347"/>
      <c r="Q885" s="347"/>
      <c r="R885" s="347"/>
      <c r="S885" s="348">
        <v>42794</v>
      </c>
      <c r="T885" s="348">
        <v>42794</v>
      </c>
      <c r="U885" s="347" t="s">
        <v>2164</v>
      </c>
      <c r="V885" s="345">
        <v>300</v>
      </c>
      <c r="W885" s="345">
        <v>14110</v>
      </c>
      <c r="X885" s="349">
        <v>435.41</v>
      </c>
      <c r="Y885" s="345">
        <v>14116</v>
      </c>
      <c r="Z885" s="349">
        <v>435.41</v>
      </c>
      <c r="AA885" s="349">
        <f t="shared" si="98"/>
        <v>0</v>
      </c>
      <c r="AB885" s="349">
        <v>0</v>
      </c>
      <c r="AC885" s="345">
        <v>70260</v>
      </c>
      <c r="AD885" s="349">
        <v>0</v>
      </c>
      <c r="AE885" s="345" t="s">
        <v>944</v>
      </c>
      <c r="AF885" s="347"/>
      <c r="AG885" s="347"/>
      <c r="AH885" s="347" t="s">
        <v>57</v>
      </c>
      <c r="AI885" s="347" t="s">
        <v>4442</v>
      </c>
      <c r="AJ885" s="347" t="s">
        <v>4443</v>
      </c>
      <c r="AK885" s="347" t="s">
        <v>4437</v>
      </c>
      <c r="AL885" s="387">
        <v>45574</v>
      </c>
    </row>
    <row r="886" spans="2:38" ht="15.75" outlineLevel="1">
      <c r="B886" s="345">
        <v>2111</v>
      </c>
      <c r="C886" s="346">
        <v>178938</v>
      </c>
      <c r="D886" s="345" t="s">
        <v>944</v>
      </c>
      <c r="E886" s="347" t="s">
        <v>4240</v>
      </c>
      <c r="F886" s="343" t="s">
        <v>510</v>
      </c>
      <c r="I886" s="345">
        <v>1</v>
      </c>
      <c r="J886" s="347" t="s">
        <v>2175</v>
      </c>
      <c r="K886" s="345">
        <v>2017</v>
      </c>
      <c r="L886" s="347" t="s">
        <v>1483</v>
      </c>
      <c r="M886" s="347" t="s">
        <v>1522</v>
      </c>
      <c r="N886" s="347" t="s">
        <v>4445</v>
      </c>
      <c r="O886" s="347" t="s">
        <v>4441</v>
      </c>
      <c r="P886" s="347" t="s">
        <v>4482</v>
      </c>
      <c r="Q886" s="347"/>
      <c r="R886" s="347"/>
      <c r="S886" s="348">
        <v>42795</v>
      </c>
      <c r="T886" s="348">
        <v>42795</v>
      </c>
      <c r="U886" s="347" t="s">
        <v>2176</v>
      </c>
      <c r="V886" s="345">
        <v>1000</v>
      </c>
      <c r="W886" s="345">
        <v>14040</v>
      </c>
      <c r="X886" s="349">
        <v>329412.94</v>
      </c>
      <c r="Y886" s="345">
        <v>14046</v>
      </c>
      <c r="Z886" s="349">
        <v>249804.81</v>
      </c>
      <c r="AA886" s="349">
        <f t="shared" si="98"/>
        <v>79608.13</v>
      </c>
      <c r="AB886" s="349">
        <v>24705.99</v>
      </c>
      <c r="AC886" s="345">
        <v>51260</v>
      </c>
      <c r="AD886" s="349">
        <v>2745.11</v>
      </c>
      <c r="AE886" s="345" t="s">
        <v>944</v>
      </c>
      <c r="AF886" s="347"/>
      <c r="AG886" s="347">
        <v>839</v>
      </c>
      <c r="AH886" s="347" t="s">
        <v>57</v>
      </c>
      <c r="AI886" s="347" t="s">
        <v>4442</v>
      </c>
      <c r="AJ886" s="347" t="s">
        <v>4443</v>
      </c>
      <c r="AK886" s="347" t="s">
        <v>4437</v>
      </c>
      <c r="AL886" s="387">
        <v>45574</v>
      </c>
    </row>
    <row r="887" spans="2:38" ht="15.75" outlineLevel="1">
      <c r="B887" s="345">
        <v>2111</v>
      </c>
      <c r="C887" s="346">
        <v>178937</v>
      </c>
      <c r="D887" s="345" t="s">
        <v>944</v>
      </c>
      <c r="E887" s="347" t="s">
        <v>4240</v>
      </c>
      <c r="F887" s="343" t="s">
        <v>510</v>
      </c>
      <c r="I887" s="345">
        <v>1</v>
      </c>
      <c r="J887" s="347" t="s">
        <v>2177</v>
      </c>
      <c r="K887" s="345">
        <v>2017</v>
      </c>
      <c r="L887" s="347" t="s">
        <v>1483</v>
      </c>
      <c r="M887" s="347" t="s">
        <v>1522</v>
      </c>
      <c r="N887" s="347" t="s">
        <v>4445</v>
      </c>
      <c r="O887" s="347" t="s">
        <v>4441</v>
      </c>
      <c r="P887" s="347" t="s">
        <v>4482</v>
      </c>
      <c r="Q887" s="347"/>
      <c r="R887" s="347"/>
      <c r="S887" s="348">
        <v>42795</v>
      </c>
      <c r="T887" s="348">
        <v>42795</v>
      </c>
      <c r="U887" s="347" t="s">
        <v>2178</v>
      </c>
      <c r="V887" s="345">
        <v>1000</v>
      </c>
      <c r="W887" s="345">
        <v>14040</v>
      </c>
      <c r="X887" s="349">
        <v>330469.13</v>
      </c>
      <c r="Y887" s="345">
        <v>14046</v>
      </c>
      <c r="Z887" s="349">
        <v>250605.75</v>
      </c>
      <c r="AA887" s="349">
        <f t="shared" si="98"/>
        <v>79863.38</v>
      </c>
      <c r="AB887" s="349">
        <v>24785.19</v>
      </c>
      <c r="AC887" s="345">
        <v>51260</v>
      </c>
      <c r="AD887" s="349">
        <v>2753.91</v>
      </c>
      <c r="AE887" s="345" t="s">
        <v>944</v>
      </c>
      <c r="AF887" s="347"/>
      <c r="AG887" s="347">
        <v>849</v>
      </c>
      <c r="AH887" s="347" t="s">
        <v>57</v>
      </c>
      <c r="AI887" s="347" t="s">
        <v>4442</v>
      </c>
      <c r="AJ887" s="347" t="s">
        <v>4443</v>
      </c>
      <c r="AK887" s="347" t="s">
        <v>4437</v>
      </c>
      <c r="AL887" s="387">
        <v>45574</v>
      </c>
    </row>
    <row r="888" spans="2:38" ht="15.75" outlineLevel="1">
      <c r="B888" s="345">
        <v>2111</v>
      </c>
      <c r="C888" s="346">
        <v>178936</v>
      </c>
      <c r="D888" s="345" t="s">
        <v>944</v>
      </c>
      <c r="E888" s="347" t="s">
        <v>4240</v>
      </c>
      <c r="F888" s="343" t="s">
        <v>510</v>
      </c>
      <c r="I888" s="345">
        <v>1</v>
      </c>
      <c r="J888" s="347" t="s">
        <v>2179</v>
      </c>
      <c r="K888" s="345">
        <v>2017</v>
      </c>
      <c r="L888" s="347" t="s">
        <v>1483</v>
      </c>
      <c r="M888" s="347" t="s">
        <v>1522</v>
      </c>
      <c r="N888" s="347" t="s">
        <v>4445</v>
      </c>
      <c r="O888" s="347" t="s">
        <v>4441</v>
      </c>
      <c r="P888" s="347" t="s">
        <v>4482</v>
      </c>
      <c r="Q888" s="347"/>
      <c r="R888" s="347"/>
      <c r="S888" s="348">
        <v>42795</v>
      </c>
      <c r="T888" s="348">
        <v>42795</v>
      </c>
      <c r="U888" s="347" t="s">
        <v>2180</v>
      </c>
      <c r="V888" s="345">
        <v>1000</v>
      </c>
      <c r="W888" s="345">
        <v>14040</v>
      </c>
      <c r="X888" s="349">
        <v>329574.24</v>
      </c>
      <c r="Y888" s="345">
        <v>14046</v>
      </c>
      <c r="Z888" s="349">
        <v>249927.09</v>
      </c>
      <c r="AA888" s="349">
        <f t="shared" si="98"/>
        <v>79647.149999999994</v>
      </c>
      <c r="AB888" s="349">
        <v>24718.05</v>
      </c>
      <c r="AC888" s="345">
        <v>51260</v>
      </c>
      <c r="AD888" s="349">
        <v>2746.45</v>
      </c>
      <c r="AE888" s="345" t="s">
        <v>944</v>
      </c>
      <c r="AF888" s="347"/>
      <c r="AG888" s="347">
        <v>842</v>
      </c>
      <c r="AH888" s="347" t="s">
        <v>57</v>
      </c>
      <c r="AI888" s="347" t="s">
        <v>4442</v>
      </c>
      <c r="AJ888" s="347" t="s">
        <v>4443</v>
      </c>
      <c r="AK888" s="347" t="s">
        <v>4437</v>
      </c>
      <c r="AL888" s="387">
        <v>45574</v>
      </c>
    </row>
    <row r="889" spans="2:38" ht="15.75" outlineLevel="1">
      <c r="B889" s="345">
        <v>2111</v>
      </c>
      <c r="C889" s="346">
        <v>178935</v>
      </c>
      <c r="D889" s="345" t="s">
        <v>944</v>
      </c>
      <c r="E889" s="347" t="s">
        <v>4240</v>
      </c>
      <c r="F889" s="343" t="s">
        <v>510</v>
      </c>
      <c r="I889" s="345">
        <v>1</v>
      </c>
      <c r="J889" s="347" t="s">
        <v>2181</v>
      </c>
      <c r="K889" s="345">
        <v>2017</v>
      </c>
      <c r="L889" s="347" t="s">
        <v>1483</v>
      </c>
      <c r="M889" s="347" t="s">
        <v>1522</v>
      </c>
      <c r="N889" s="347" t="s">
        <v>4445</v>
      </c>
      <c r="O889" s="347" t="s">
        <v>4441</v>
      </c>
      <c r="P889" s="347" t="s">
        <v>4482</v>
      </c>
      <c r="Q889" s="347"/>
      <c r="R889" s="347"/>
      <c r="S889" s="348">
        <v>42795</v>
      </c>
      <c r="T889" s="348">
        <v>42795</v>
      </c>
      <c r="U889" s="347" t="s">
        <v>2182</v>
      </c>
      <c r="V889" s="345">
        <v>1000</v>
      </c>
      <c r="W889" s="345">
        <v>14040</v>
      </c>
      <c r="X889" s="349">
        <v>327597.21000000002</v>
      </c>
      <c r="Y889" s="345">
        <v>14046</v>
      </c>
      <c r="Z889" s="349">
        <v>248427.91</v>
      </c>
      <c r="AA889" s="349">
        <f t="shared" si="98"/>
        <v>79169.300000000017</v>
      </c>
      <c r="AB889" s="349">
        <v>24569.82</v>
      </c>
      <c r="AC889" s="345">
        <v>51260</v>
      </c>
      <c r="AD889" s="349">
        <v>2729.98</v>
      </c>
      <c r="AE889" s="345" t="s">
        <v>944</v>
      </c>
      <c r="AF889" s="347"/>
      <c r="AG889" s="347">
        <v>840</v>
      </c>
      <c r="AH889" s="347" t="s">
        <v>57</v>
      </c>
      <c r="AI889" s="347" t="s">
        <v>4442</v>
      </c>
      <c r="AJ889" s="347" t="s">
        <v>4443</v>
      </c>
      <c r="AK889" s="347" t="s">
        <v>4437</v>
      </c>
      <c r="AL889" s="387">
        <v>45574</v>
      </c>
    </row>
    <row r="890" spans="2:38" ht="15.75" outlineLevel="1">
      <c r="B890" s="345">
        <v>2111</v>
      </c>
      <c r="C890" s="346">
        <v>178934</v>
      </c>
      <c r="D890" s="345" t="s">
        <v>944</v>
      </c>
      <c r="E890" s="347" t="s">
        <v>4240</v>
      </c>
      <c r="F890" s="343" t="s">
        <v>510</v>
      </c>
      <c r="I890" s="345">
        <v>1</v>
      </c>
      <c r="J890" s="347" t="s">
        <v>2183</v>
      </c>
      <c r="K890" s="345">
        <v>2017</v>
      </c>
      <c r="L890" s="347" t="s">
        <v>1483</v>
      </c>
      <c r="M890" s="347" t="s">
        <v>1522</v>
      </c>
      <c r="N890" s="347" t="s">
        <v>4445</v>
      </c>
      <c r="O890" s="347" t="s">
        <v>4441</v>
      </c>
      <c r="P890" s="347" t="s">
        <v>4482</v>
      </c>
      <c r="Q890" s="347"/>
      <c r="R890" s="347"/>
      <c r="S890" s="348">
        <v>42795</v>
      </c>
      <c r="T890" s="348">
        <v>42795</v>
      </c>
      <c r="U890" s="347" t="s">
        <v>2184</v>
      </c>
      <c r="V890" s="345">
        <v>1000</v>
      </c>
      <c r="W890" s="345">
        <v>14040</v>
      </c>
      <c r="X890" s="349">
        <v>329869.31</v>
      </c>
      <c r="Y890" s="345">
        <v>14046</v>
      </c>
      <c r="Z890" s="349">
        <v>250150.88</v>
      </c>
      <c r="AA890" s="349">
        <f t="shared" si="98"/>
        <v>79718.429999999993</v>
      </c>
      <c r="AB890" s="349">
        <v>24740.19</v>
      </c>
      <c r="AC890" s="345">
        <v>51260</v>
      </c>
      <c r="AD890" s="349">
        <v>2748.91</v>
      </c>
      <c r="AE890" s="345" t="s">
        <v>944</v>
      </c>
      <c r="AF890" s="347"/>
      <c r="AG890" s="347">
        <v>844</v>
      </c>
      <c r="AH890" s="347" t="s">
        <v>57</v>
      </c>
      <c r="AI890" s="347" t="s">
        <v>4442</v>
      </c>
      <c r="AJ890" s="347" t="s">
        <v>4443</v>
      </c>
      <c r="AK890" s="347" t="s">
        <v>4437</v>
      </c>
      <c r="AL890" s="387">
        <v>45574</v>
      </c>
    </row>
    <row r="891" spans="2:38" ht="15.75" outlineLevel="1">
      <c r="B891" s="345">
        <v>2111</v>
      </c>
      <c r="C891" s="346">
        <v>178933</v>
      </c>
      <c r="D891" s="345" t="s">
        <v>944</v>
      </c>
      <c r="E891" s="347" t="s">
        <v>4240</v>
      </c>
      <c r="F891" s="343" t="s">
        <v>510</v>
      </c>
      <c r="I891" s="345">
        <v>1</v>
      </c>
      <c r="J891" s="347" t="s">
        <v>2185</v>
      </c>
      <c r="K891" s="345">
        <v>2017</v>
      </c>
      <c r="L891" s="347" t="s">
        <v>1483</v>
      </c>
      <c r="M891" s="347" t="s">
        <v>1522</v>
      </c>
      <c r="N891" s="347" t="s">
        <v>4445</v>
      </c>
      <c r="O891" s="347" t="s">
        <v>4441</v>
      </c>
      <c r="P891" s="347" t="s">
        <v>4482</v>
      </c>
      <c r="Q891" s="347"/>
      <c r="R891" s="347"/>
      <c r="S891" s="348">
        <v>42795</v>
      </c>
      <c r="T891" s="348">
        <v>42795</v>
      </c>
      <c r="U891" s="347" t="s">
        <v>2186</v>
      </c>
      <c r="V891" s="345">
        <v>1000</v>
      </c>
      <c r="W891" s="345">
        <v>14040</v>
      </c>
      <c r="X891" s="349">
        <v>330173.56</v>
      </c>
      <c r="Y891" s="345">
        <v>14046</v>
      </c>
      <c r="Z891" s="349">
        <v>250381.67</v>
      </c>
      <c r="AA891" s="349">
        <f t="shared" si="98"/>
        <v>79791.889999999985</v>
      </c>
      <c r="AB891" s="349">
        <v>24763.05</v>
      </c>
      <c r="AC891" s="345">
        <v>51260</v>
      </c>
      <c r="AD891" s="349">
        <v>2751.45</v>
      </c>
      <c r="AE891" s="345" t="s">
        <v>944</v>
      </c>
      <c r="AF891" s="347"/>
      <c r="AG891" s="347">
        <v>841</v>
      </c>
      <c r="AH891" s="347" t="s">
        <v>57</v>
      </c>
      <c r="AI891" s="347" t="s">
        <v>4442</v>
      </c>
      <c r="AJ891" s="347" t="s">
        <v>4443</v>
      </c>
      <c r="AK891" s="347" t="s">
        <v>4437</v>
      </c>
      <c r="AL891" s="387">
        <v>45574</v>
      </c>
    </row>
    <row r="892" spans="2:38" ht="15.75" outlineLevel="1">
      <c r="B892" s="345">
        <v>2111</v>
      </c>
      <c r="C892" s="346">
        <v>178932</v>
      </c>
      <c r="D892" s="345" t="s">
        <v>944</v>
      </c>
      <c r="E892" s="347" t="s">
        <v>4240</v>
      </c>
      <c r="F892" s="343" t="s">
        <v>510</v>
      </c>
      <c r="I892" s="345">
        <v>1</v>
      </c>
      <c r="J892" s="347" t="s">
        <v>2187</v>
      </c>
      <c r="K892" s="345">
        <v>2017</v>
      </c>
      <c r="L892" s="347" t="s">
        <v>1483</v>
      </c>
      <c r="M892" s="347" t="s">
        <v>1522</v>
      </c>
      <c r="N892" s="347" t="s">
        <v>4445</v>
      </c>
      <c r="O892" s="347" t="s">
        <v>4441</v>
      </c>
      <c r="P892" s="347" t="s">
        <v>4482</v>
      </c>
      <c r="Q892" s="347"/>
      <c r="R892" s="347"/>
      <c r="S892" s="348">
        <v>42795</v>
      </c>
      <c r="T892" s="348">
        <v>42795</v>
      </c>
      <c r="U892" s="347" t="s">
        <v>2188</v>
      </c>
      <c r="V892" s="345">
        <v>1000</v>
      </c>
      <c r="W892" s="345">
        <v>14040</v>
      </c>
      <c r="X892" s="349">
        <v>327489.68</v>
      </c>
      <c r="Y892" s="345">
        <v>14046</v>
      </c>
      <c r="Z892" s="349">
        <v>248346.35</v>
      </c>
      <c r="AA892" s="349">
        <f t="shared" si="98"/>
        <v>79143.329999999987</v>
      </c>
      <c r="AB892" s="349">
        <v>24561.72</v>
      </c>
      <c r="AC892" s="345">
        <v>51260</v>
      </c>
      <c r="AD892" s="349">
        <v>2729.08</v>
      </c>
      <c r="AE892" s="345" t="s">
        <v>944</v>
      </c>
      <c r="AF892" s="347"/>
      <c r="AG892" s="347">
        <v>843</v>
      </c>
      <c r="AH892" s="347" t="s">
        <v>57</v>
      </c>
      <c r="AI892" s="347" t="s">
        <v>4442</v>
      </c>
      <c r="AJ892" s="347" t="s">
        <v>4443</v>
      </c>
      <c r="AK892" s="347" t="s">
        <v>4437</v>
      </c>
      <c r="AL892" s="387">
        <v>45574</v>
      </c>
    </row>
    <row r="893" spans="2:38" ht="15.75" outlineLevel="1">
      <c r="B893" s="345">
        <v>2111</v>
      </c>
      <c r="C893" s="346">
        <v>178931</v>
      </c>
      <c r="D893" s="345" t="s">
        <v>944</v>
      </c>
      <c r="E893" s="347" t="s">
        <v>4240</v>
      </c>
      <c r="F893" s="343" t="s">
        <v>511</v>
      </c>
      <c r="I893" s="345">
        <v>1</v>
      </c>
      <c r="J893" s="347" t="s">
        <v>2189</v>
      </c>
      <c r="K893" s="345">
        <v>2017</v>
      </c>
      <c r="L893" s="347" t="s">
        <v>1483</v>
      </c>
      <c r="M893" s="347" t="s">
        <v>2190</v>
      </c>
      <c r="N893" s="347" t="s">
        <v>4445</v>
      </c>
      <c r="O893" s="347" t="s">
        <v>4441</v>
      </c>
      <c r="P893" s="347" t="s">
        <v>4463</v>
      </c>
      <c r="Q893" s="347"/>
      <c r="R893" s="347"/>
      <c r="S893" s="348">
        <v>42795</v>
      </c>
      <c r="T893" s="348">
        <v>42795</v>
      </c>
      <c r="U893" s="347" t="s">
        <v>2191</v>
      </c>
      <c r="V893" s="345">
        <v>1000</v>
      </c>
      <c r="W893" s="345">
        <v>14040</v>
      </c>
      <c r="X893" s="349">
        <v>173960.49</v>
      </c>
      <c r="Y893" s="345">
        <v>14046</v>
      </c>
      <c r="Z893" s="349">
        <v>131920.04</v>
      </c>
      <c r="AA893" s="349">
        <f t="shared" si="98"/>
        <v>42040.449999999983</v>
      </c>
      <c r="AB893" s="349">
        <v>13047.03</v>
      </c>
      <c r="AC893" s="345">
        <v>51260</v>
      </c>
      <c r="AD893" s="349">
        <v>1449.67</v>
      </c>
      <c r="AE893" s="345" t="s">
        <v>944</v>
      </c>
      <c r="AF893" s="347"/>
      <c r="AG893" s="347">
        <v>304</v>
      </c>
      <c r="AH893" s="347" t="s">
        <v>57</v>
      </c>
      <c r="AI893" s="347" t="s">
        <v>4442</v>
      </c>
      <c r="AJ893" s="347" t="s">
        <v>4443</v>
      </c>
      <c r="AK893" s="347" t="s">
        <v>4437</v>
      </c>
      <c r="AL893" s="387">
        <v>45574</v>
      </c>
    </row>
    <row r="894" spans="2:38" ht="15.75" outlineLevel="1">
      <c r="B894" s="345">
        <v>2111</v>
      </c>
      <c r="C894" s="346">
        <v>178930</v>
      </c>
      <c r="D894" s="345" t="s">
        <v>944</v>
      </c>
      <c r="E894" s="347" t="s">
        <v>4240</v>
      </c>
      <c r="F894" s="343" t="s">
        <v>510</v>
      </c>
      <c r="I894" s="345">
        <v>1</v>
      </c>
      <c r="J894" s="347" t="s">
        <v>2193</v>
      </c>
      <c r="K894" s="345">
        <v>2017</v>
      </c>
      <c r="L894" s="347" t="s">
        <v>1483</v>
      </c>
      <c r="M894" s="347" t="s">
        <v>1522</v>
      </c>
      <c r="N894" s="347" t="s">
        <v>4445</v>
      </c>
      <c r="O894" s="347" t="s">
        <v>4441</v>
      </c>
      <c r="P894" s="347" t="s">
        <v>4482</v>
      </c>
      <c r="Q894" s="347"/>
      <c r="R894" s="347"/>
      <c r="S894" s="348">
        <v>42825</v>
      </c>
      <c r="T894" s="348">
        <v>42825</v>
      </c>
      <c r="U894" s="347" t="s">
        <v>2194</v>
      </c>
      <c r="V894" s="345">
        <v>1000</v>
      </c>
      <c r="W894" s="345">
        <v>14040</v>
      </c>
      <c r="X894" s="349">
        <v>327150.13</v>
      </c>
      <c r="Y894" s="345">
        <v>14046</v>
      </c>
      <c r="Z894" s="349">
        <v>245362.57</v>
      </c>
      <c r="AA894" s="349">
        <f t="shared" si="98"/>
        <v>81787.56</v>
      </c>
      <c r="AB894" s="349">
        <v>24536.25</v>
      </c>
      <c r="AC894" s="345">
        <v>51260</v>
      </c>
      <c r="AD894" s="349">
        <v>2726.25</v>
      </c>
      <c r="AE894" s="345" t="s">
        <v>944</v>
      </c>
      <c r="AF894" s="347"/>
      <c r="AG894" s="347">
        <v>846</v>
      </c>
      <c r="AH894" s="347" t="s">
        <v>57</v>
      </c>
      <c r="AI894" s="347" t="s">
        <v>4442</v>
      </c>
      <c r="AJ894" s="347" t="s">
        <v>4443</v>
      </c>
      <c r="AK894" s="347" t="s">
        <v>4437</v>
      </c>
      <c r="AL894" s="387">
        <v>45574</v>
      </c>
    </row>
    <row r="895" spans="2:38" ht="15.75" outlineLevel="1">
      <c r="B895" s="345">
        <v>2111</v>
      </c>
      <c r="C895" s="346">
        <v>178929</v>
      </c>
      <c r="D895" s="345" t="s">
        <v>944</v>
      </c>
      <c r="E895" s="347" t="s">
        <v>4240</v>
      </c>
      <c r="F895" s="343" t="s">
        <v>510</v>
      </c>
      <c r="I895" s="345">
        <v>1</v>
      </c>
      <c r="J895" s="347" t="s">
        <v>2196</v>
      </c>
      <c r="K895" s="345">
        <v>2017</v>
      </c>
      <c r="L895" s="347" t="s">
        <v>1483</v>
      </c>
      <c r="M895" s="347" t="s">
        <v>1522</v>
      </c>
      <c r="N895" s="347" t="s">
        <v>4445</v>
      </c>
      <c r="O895" s="347" t="s">
        <v>4441</v>
      </c>
      <c r="P895" s="347" t="s">
        <v>4482</v>
      </c>
      <c r="Q895" s="347"/>
      <c r="R895" s="347"/>
      <c r="S895" s="348">
        <v>42795</v>
      </c>
      <c r="T895" s="348">
        <v>42795</v>
      </c>
      <c r="U895" s="347" t="s">
        <v>2197</v>
      </c>
      <c r="V895" s="345">
        <v>1000</v>
      </c>
      <c r="W895" s="345">
        <v>14040</v>
      </c>
      <c r="X895" s="349">
        <v>327150.13</v>
      </c>
      <c r="Y895" s="345">
        <v>14046</v>
      </c>
      <c r="Z895" s="349">
        <v>248088.82</v>
      </c>
      <c r="AA895" s="349">
        <f t="shared" si="98"/>
        <v>79061.31</v>
      </c>
      <c r="AB895" s="349">
        <v>24536.25</v>
      </c>
      <c r="AC895" s="345">
        <v>51260</v>
      </c>
      <c r="AD895" s="349">
        <v>2726.25</v>
      </c>
      <c r="AE895" s="345" t="s">
        <v>944</v>
      </c>
      <c r="AF895" s="347"/>
      <c r="AG895" s="347">
        <v>847</v>
      </c>
      <c r="AH895" s="347" t="s">
        <v>57</v>
      </c>
      <c r="AI895" s="347" t="s">
        <v>4442</v>
      </c>
      <c r="AJ895" s="347" t="s">
        <v>4443</v>
      </c>
      <c r="AK895" s="347" t="s">
        <v>4437</v>
      </c>
      <c r="AL895" s="387">
        <v>45574</v>
      </c>
    </row>
    <row r="896" spans="2:38" ht="15.75" outlineLevel="1">
      <c r="B896" s="345">
        <v>2111</v>
      </c>
      <c r="C896" s="346">
        <v>178928</v>
      </c>
      <c r="D896" s="345" t="s">
        <v>944</v>
      </c>
      <c r="E896" s="347" t="s">
        <v>4240</v>
      </c>
      <c r="F896" s="343" t="s">
        <v>510</v>
      </c>
      <c r="I896" s="345">
        <v>1</v>
      </c>
      <c r="J896" s="347" t="s">
        <v>2199</v>
      </c>
      <c r="K896" s="345">
        <v>2017</v>
      </c>
      <c r="L896" s="347" t="s">
        <v>1483</v>
      </c>
      <c r="M896" s="347" t="s">
        <v>1522</v>
      </c>
      <c r="N896" s="347" t="s">
        <v>4445</v>
      </c>
      <c r="O896" s="347" t="s">
        <v>4441</v>
      </c>
      <c r="P896" s="347" t="s">
        <v>4482</v>
      </c>
      <c r="Q896" s="347"/>
      <c r="R896" s="347"/>
      <c r="S896" s="348">
        <v>42795</v>
      </c>
      <c r="T896" s="348">
        <v>42795</v>
      </c>
      <c r="U896" s="347" t="s">
        <v>2200</v>
      </c>
      <c r="V896" s="345">
        <v>1000</v>
      </c>
      <c r="W896" s="345">
        <v>14040</v>
      </c>
      <c r="X896" s="349">
        <v>327150.13</v>
      </c>
      <c r="Y896" s="345">
        <v>14046</v>
      </c>
      <c r="Z896" s="349">
        <v>248088.82</v>
      </c>
      <c r="AA896" s="349">
        <f t="shared" si="98"/>
        <v>79061.31</v>
      </c>
      <c r="AB896" s="349">
        <v>24536.25</v>
      </c>
      <c r="AC896" s="345">
        <v>51260</v>
      </c>
      <c r="AD896" s="349">
        <v>2726.25</v>
      </c>
      <c r="AE896" s="345" t="s">
        <v>944</v>
      </c>
      <c r="AF896" s="347"/>
      <c r="AG896" s="347">
        <v>845</v>
      </c>
      <c r="AH896" s="347" t="s">
        <v>57</v>
      </c>
      <c r="AI896" s="347" t="s">
        <v>4442</v>
      </c>
      <c r="AJ896" s="347" t="s">
        <v>4443</v>
      </c>
      <c r="AK896" s="347" t="s">
        <v>4437</v>
      </c>
      <c r="AL896" s="387">
        <v>45574</v>
      </c>
    </row>
    <row r="897" spans="2:38" ht="15.75" outlineLevel="1">
      <c r="B897" s="345">
        <v>2111</v>
      </c>
      <c r="C897" s="346">
        <v>178927</v>
      </c>
      <c r="D897" s="345" t="s">
        <v>944</v>
      </c>
      <c r="E897" s="347" t="s">
        <v>4240</v>
      </c>
      <c r="F897" s="343" t="s">
        <v>510</v>
      </c>
      <c r="I897" s="345">
        <v>1</v>
      </c>
      <c r="J897" s="347" t="s">
        <v>2202</v>
      </c>
      <c r="K897" s="345">
        <v>2017</v>
      </c>
      <c r="L897" s="347" t="s">
        <v>1483</v>
      </c>
      <c r="M897" s="347" t="s">
        <v>1522</v>
      </c>
      <c r="N897" s="347" t="s">
        <v>4445</v>
      </c>
      <c r="O897" s="347" t="s">
        <v>4441</v>
      </c>
      <c r="P897" s="347" t="s">
        <v>4482</v>
      </c>
      <c r="Q897" s="347"/>
      <c r="R897" s="347"/>
      <c r="S897" s="348">
        <v>42795</v>
      </c>
      <c r="T897" s="348">
        <v>42795</v>
      </c>
      <c r="U897" s="347" t="s">
        <v>2203</v>
      </c>
      <c r="V897" s="345">
        <v>1000</v>
      </c>
      <c r="W897" s="345">
        <v>14040</v>
      </c>
      <c r="X897" s="349">
        <v>327150.14</v>
      </c>
      <c r="Y897" s="345">
        <v>14046</v>
      </c>
      <c r="Z897" s="349">
        <v>248088.82</v>
      </c>
      <c r="AA897" s="349">
        <f t="shared" si="98"/>
        <v>79061.320000000007</v>
      </c>
      <c r="AB897" s="349">
        <v>24536.25</v>
      </c>
      <c r="AC897" s="345">
        <v>51260</v>
      </c>
      <c r="AD897" s="349">
        <v>2726.25</v>
      </c>
      <c r="AE897" s="345" t="s">
        <v>944</v>
      </c>
      <c r="AF897" s="347"/>
      <c r="AG897" s="347">
        <v>848</v>
      </c>
      <c r="AH897" s="347" t="s">
        <v>57</v>
      </c>
      <c r="AI897" s="347" t="s">
        <v>4442</v>
      </c>
      <c r="AJ897" s="347" t="s">
        <v>4443</v>
      </c>
      <c r="AK897" s="347" t="s">
        <v>4437</v>
      </c>
      <c r="AL897" s="387">
        <v>45574</v>
      </c>
    </row>
    <row r="898" spans="2:38" ht="15.75" outlineLevel="1">
      <c r="B898" s="345">
        <v>2111</v>
      </c>
      <c r="C898" s="346">
        <v>177519</v>
      </c>
      <c r="D898" s="345">
        <v>171235</v>
      </c>
      <c r="E898" s="347" t="s">
        <v>4240</v>
      </c>
      <c r="F898" s="343" t="s">
        <v>555</v>
      </c>
      <c r="I898" s="345">
        <v>1</v>
      </c>
      <c r="J898" s="347"/>
      <c r="K898" s="345">
        <v>0</v>
      </c>
      <c r="L898" s="347" t="s">
        <v>2205</v>
      </c>
      <c r="M898" s="347" t="s">
        <v>2206</v>
      </c>
      <c r="N898" s="347" t="s">
        <v>4445</v>
      </c>
      <c r="O898" s="347" t="s">
        <v>4441</v>
      </c>
      <c r="P898" s="347" t="s">
        <v>1467</v>
      </c>
      <c r="Q898" s="347"/>
      <c r="R898" s="347"/>
      <c r="S898" s="348">
        <v>42736</v>
      </c>
      <c r="T898" s="348">
        <v>42736</v>
      </c>
      <c r="U898" s="347" t="s">
        <v>2207</v>
      </c>
      <c r="V898" s="345">
        <v>500</v>
      </c>
      <c r="W898" s="345">
        <v>14040</v>
      </c>
      <c r="X898" s="349">
        <v>9021.1200000000008</v>
      </c>
      <c r="Y898" s="345">
        <v>14046</v>
      </c>
      <c r="Z898" s="349">
        <v>9021.1200000000008</v>
      </c>
      <c r="AA898" s="349">
        <f t="shared" si="98"/>
        <v>0</v>
      </c>
      <c r="AB898" s="349">
        <v>0</v>
      </c>
      <c r="AC898" s="345">
        <v>51260</v>
      </c>
      <c r="AD898" s="349">
        <v>0</v>
      </c>
      <c r="AE898" s="345" t="s">
        <v>944</v>
      </c>
      <c r="AF898" s="347"/>
      <c r="AG898" s="347"/>
      <c r="AH898" s="347" t="s">
        <v>57</v>
      </c>
      <c r="AI898" s="347" t="s">
        <v>4442</v>
      </c>
      <c r="AJ898" s="347" t="s">
        <v>4443</v>
      </c>
      <c r="AK898" s="347" t="s">
        <v>4437</v>
      </c>
      <c r="AL898" s="387">
        <v>45574</v>
      </c>
    </row>
    <row r="899" spans="2:38" ht="15.75" outlineLevel="1">
      <c r="B899" s="345">
        <v>2111</v>
      </c>
      <c r="C899" s="346">
        <v>174545</v>
      </c>
      <c r="D899" s="345" t="s">
        <v>944</v>
      </c>
      <c r="E899" s="347" t="s">
        <v>4240</v>
      </c>
      <c r="F899" s="343" t="s">
        <v>4506</v>
      </c>
      <c r="I899" s="345">
        <v>1</v>
      </c>
      <c r="J899" s="347"/>
      <c r="K899" s="345">
        <v>0</v>
      </c>
      <c r="L899" s="347" t="s">
        <v>1657</v>
      </c>
      <c r="M899" s="347"/>
      <c r="N899" s="347" t="s">
        <v>4440</v>
      </c>
      <c r="O899" s="347" t="s">
        <v>4441</v>
      </c>
      <c r="P899" s="347"/>
      <c r="Q899" s="347"/>
      <c r="R899" s="347"/>
      <c r="S899" s="348">
        <v>42747</v>
      </c>
      <c r="T899" s="348">
        <v>42747</v>
      </c>
      <c r="U899" s="347" t="s">
        <v>2210</v>
      </c>
      <c r="V899" s="345">
        <v>300</v>
      </c>
      <c r="W899" s="345">
        <v>14110</v>
      </c>
      <c r="X899" s="349">
        <v>1197.03</v>
      </c>
      <c r="Y899" s="345">
        <v>14116</v>
      </c>
      <c r="Z899" s="349">
        <v>1197.03</v>
      </c>
      <c r="AA899" s="349">
        <f t="shared" si="98"/>
        <v>0</v>
      </c>
      <c r="AB899" s="349">
        <v>0</v>
      </c>
      <c r="AC899" s="345">
        <v>70260</v>
      </c>
      <c r="AD899" s="349">
        <v>0</v>
      </c>
      <c r="AE899" s="345" t="s">
        <v>944</v>
      </c>
      <c r="AF899" s="347"/>
      <c r="AG899" s="347"/>
      <c r="AH899" s="347" t="s">
        <v>57</v>
      </c>
      <c r="AI899" s="347" t="s">
        <v>4442</v>
      </c>
      <c r="AJ899" s="347" t="s">
        <v>4443</v>
      </c>
      <c r="AK899" s="347" t="s">
        <v>4437</v>
      </c>
      <c r="AL899" s="387">
        <v>45574</v>
      </c>
    </row>
    <row r="900" spans="2:38" ht="15.75" outlineLevel="1">
      <c r="B900" s="345">
        <v>2111</v>
      </c>
      <c r="C900" s="346">
        <v>173961</v>
      </c>
      <c r="D900" s="345" t="s">
        <v>944</v>
      </c>
      <c r="E900" s="347" t="s">
        <v>4240</v>
      </c>
      <c r="F900" s="343" t="s">
        <v>2212</v>
      </c>
      <c r="I900" s="345">
        <v>1</v>
      </c>
      <c r="J900" s="347" t="s">
        <v>2213</v>
      </c>
      <c r="K900" s="345">
        <v>2001</v>
      </c>
      <c r="L900" s="347" t="s">
        <v>2214</v>
      </c>
      <c r="M900" s="347" t="s">
        <v>2214</v>
      </c>
      <c r="N900" s="347" t="s">
        <v>4445</v>
      </c>
      <c r="O900" s="347" t="s">
        <v>4441</v>
      </c>
      <c r="P900" s="347" t="s">
        <v>4497</v>
      </c>
      <c r="Q900" s="347"/>
      <c r="R900" s="347"/>
      <c r="S900" s="348">
        <v>39755</v>
      </c>
      <c r="T900" s="348">
        <v>39755</v>
      </c>
      <c r="U900" s="347"/>
      <c r="V900" s="345">
        <v>300</v>
      </c>
      <c r="W900" s="345">
        <v>14040</v>
      </c>
      <c r="X900" s="349">
        <v>10000</v>
      </c>
      <c r="Y900" s="345">
        <v>14046</v>
      </c>
      <c r="Z900" s="349">
        <v>10000</v>
      </c>
      <c r="AA900" s="349">
        <f t="shared" si="98"/>
        <v>0</v>
      </c>
      <c r="AB900" s="349">
        <v>0</v>
      </c>
      <c r="AC900" s="345">
        <v>51260</v>
      </c>
      <c r="AD900" s="349">
        <v>0</v>
      </c>
      <c r="AE900" s="345" t="s">
        <v>410</v>
      </c>
      <c r="AF900" s="347" t="s">
        <v>1828</v>
      </c>
      <c r="AG900" s="347">
        <v>8714</v>
      </c>
      <c r="AH900" s="347" t="s">
        <v>57</v>
      </c>
      <c r="AI900" s="347" t="s">
        <v>4442</v>
      </c>
      <c r="AJ900" s="347" t="s">
        <v>4443</v>
      </c>
      <c r="AK900" s="347" t="s">
        <v>4437</v>
      </c>
      <c r="AL900" s="387">
        <v>45574</v>
      </c>
    </row>
    <row r="901" spans="2:38" ht="15.75" outlineLevel="1">
      <c r="B901" s="345">
        <v>2111</v>
      </c>
      <c r="C901" s="346">
        <v>173957</v>
      </c>
      <c r="D901" s="345" t="s">
        <v>944</v>
      </c>
      <c r="E901" s="347" t="s">
        <v>4240</v>
      </c>
      <c r="F901" s="343" t="s">
        <v>578</v>
      </c>
      <c r="I901" s="345">
        <v>1</v>
      </c>
      <c r="J901" s="347" t="s">
        <v>2215</v>
      </c>
      <c r="K901" s="345">
        <v>1973</v>
      </c>
      <c r="L901" s="347" t="s">
        <v>1954</v>
      </c>
      <c r="M901" s="347" t="s">
        <v>1954</v>
      </c>
      <c r="N901" s="347" t="s">
        <v>4445</v>
      </c>
      <c r="O901" s="347" t="s">
        <v>4441</v>
      </c>
      <c r="P901" s="347" t="s">
        <v>4497</v>
      </c>
      <c r="Q901" s="347"/>
      <c r="R901" s="347"/>
      <c r="S901" s="348">
        <v>39755</v>
      </c>
      <c r="T901" s="348">
        <v>39755</v>
      </c>
      <c r="U901" s="347"/>
      <c r="V901" s="345">
        <v>300</v>
      </c>
      <c r="W901" s="345">
        <v>14040</v>
      </c>
      <c r="X901" s="349">
        <v>1000</v>
      </c>
      <c r="Y901" s="345">
        <v>14046</v>
      </c>
      <c r="Z901" s="349">
        <v>1000</v>
      </c>
      <c r="AA901" s="349">
        <f t="shared" si="98"/>
        <v>0</v>
      </c>
      <c r="AB901" s="349">
        <v>0</v>
      </c>
      <c r="AC901" s="345">
        <v>51260</v>
      </c>
      <c r="AD901" s="349">
        <v>0</v>
      </c>
      <c r="AE901" s="345" t="s">
        <v>410</v>
      </c>
      <c r="AF901" s="347" t="s">
        <v>1828</v>
      </c>
      <c r="AG901" s="347" t="s">
        <v>577</v>
      </c>
      <c r="AH901" s="347" t="s">
        <v>57</v>
      </c>
      <c r="AI901" s="347" t="s">
        <v>4442</v>
      </c>
      <c r="AJ901" s="347" t="s">
        <v>4443</v>
      </c>
      <c r="AK901" s="347" t="s">
        <v>4437</v>
      </c>
      <c r="AL901" s="387">
        <v>45574</v>
      </c>
    </row>
    <row r="902" spans="2:38" ht="15.75" outlineLevel="1">
      <c r="B902" s="345">
        <v>2111</v>
      </c>
      <c r="C902" s="346">
        <v>173956</v>
      </c>
      <c r="D902" s="345" t="s">
        <v>944</v>
      </c>
      <c r="E902" s="347" t="s">
        <v>4240</v>
      </c>
      <c r="F902" s="343" t="s">
        <v>580</v>
      </c>
      <c r="I902" s="345">
        <v>1</v>
      </c>
      <c r="J902" s="347" t="s">
        <v>2216</v>
      </c>
      <c r="K902" s="345">
        <v>1991</v>
      </c>
      <c r="L902" s="347" t="s">
        <v>1954</v>
      </c>
      <c r="M902" s="347" t="s">
        <v>1954</v>
      </c>
      <c r="N902" s="347" t="s">
        <v>4445</v>
      </c>
      <c r="O902" s="347" t="s">
        <v>4441</v>
      </c>
      <c r="P902" s="347" t="s">
        <v>4497</v>
      </c>
      <c r="Q902" s="347"/>
      <c r="R902" s="347"/>
      <c r="S902" s="348">
        <v>39755</v>
      </c>
      <c r="T902" s="348">
        <v>39755</v>
      </c>
      <c r="U902" s="347"/>
      <c r="V902" s="345">
        <v>300</v>
      </c>
      <c r="W902" s="345">
        <v>14040</v>
      </c>
      <c r="X902" s="349">
        <v>2500</v>
      </c>
      <c r="Y902" s="345">
        <v>14046</v>
      </c>
      <c r="Z902" s="349">
        <v>2500</v>
      </c>
      <c r="AA902" s="349">
        <f t="shared" si="98"/>
        <v>0</v>
      </c>
      <c r="AB902" s="349">
        <v>0</v>
      </c>
      <c r="AC902" s="345">
        <v>51260</v>
      </c>
      <c r="AD902" s="349">
        <v>0</v>
      </c>
      <c r="AE902" s="345" t="s">
        <v>410</v>
      </c>
      <c r="AF902" s="347" t="s">
        <v>1828</v>
      </c>
      <c r="AG902" s="347" t="s">
        <v>579</v>
      </c>
      <c r="AH902" s="347" t="s">
        <v>57</v>
      </c>
      <c r="AI902" s="347" t="s">
        <v>4442</v>
      </c>
      <c r="AJ902" s="347" t="s">
        <v>4443</v>
      </c>
      <c r="AK902" s="347" t="s">
        <v>4437</v>
      </c>
      <c r="AL902" s="387">
        <v>45574</v>
      </c>
    </row>
    <row r="903" spans="2:38" ht="15.75" outlineLevel="1">
      <c r="B903" s="345">
        <v>2111</v>
      </c>
      <c r="C903" s="346">
        <v>173761</v>
      </c>
      <c r="D903" s="345" t="s">
        <v>944</v>
      </c>
      <c r="E903" s="347" t="s">
        <v>4240</v>
      </c>
      <c r="F903" s="343" t="s">
        <v>4504</v>
      </c>
      <c r="I903" s="345">
        <v>5</v>
      </c>
      <c r="J903" s="347"/>
      <c r="K903" s="345">
        <v>0</v>
      </c>
      <c r="L903" s="347" t="s">
        <v>2738</v>
      </c>
      <c r="M903" s="347"/>
      <c r="N903" s="347" t="s">
        <v>4446</v>
      </c>
      <c r="O903" s="347" t="s">
        <v>4441</v>
      </c>
      <c r="P903" s="347"/>
      <c r="Q903" s="347" t="s">
        <v>4449</v>
      </c>
      <c r="R903" s="347" t="s">
        <v>4450</v>
      </c>
      <c r="S903" s="348">
        <v>40360</v>
      </c>
      <c r="T903" s="348">
        <v>40360</v>
      </c>
      <c r="U903" s="347" t="s">
        <v>4505</v>
      </c>
      <c r="V903" s="345">
        <v>1200</v>
      </c>
      <c r="W903" s="345">
        <v>14050</v>
      </c>
      <c r="X903" s="349">
        <v>2196.46</v>
      </c>
      <c r="Y903" s="345">
        <v>14056</v>
      </c>
      <c r="Z903" s="349">
        <v>2196.46</v>
      </c>
      <c r="AA903" s="349">
        <f t="shared" si="98"/>
        <v>0</v>
      </c>
      <c r="AB903" s="349">
        <v>0</v>
      </c>
      <c r="AC903" s="345">
        <v>54260</v>
      </c>
      <c r="AD903" s="349">
        <v>0</v>
      </c>
      <c r="AE903" s="345" t="s">
        <v>944</v>
      </c>
      <c r="AF903" s="347"/>
      <c r="AG903" s="347"/>
      <c r="AH903" s="347" t="s">
        <v>57</v>
      </c>
      <c r="AI903" s="347" t="s">
        <v>4442</v>
      </c>
      <c r="AJ903" s="347" t="s">
        <v>4443</v>
      </c>
      <c r="AK903" s="347" t="s">
        <v>4437</v>
      </c>
      <c r="AL903" s="387">
        <v>45574</v>
      </c>
    </row>
    <row r="904" spans="2:38" ht="15.75" outlineLevel="1">
      <c r="B904" s="345">
        <v>2111</v>
      </c>
      <c r="C904" s="346">
        <v>173333</v>
      </c>
      <c r="D904" s="345" t="s">
        <v>944</v>
      </c>
      <c r="E904" s="347" t="s">
        <v>4240</v>
      </c>
      <c r="F904" s="343" t="s">
        <v>2217</v>
      </c>
      <c r="I904" s="345">
        <v>1</v>
      </c>
      <c r="J904" s="347"/>
      <c r="K904" s="345">
        <v>0</v>
      </c>
      <c r="L904" s="347"/>
      <c r="M904" s="347"/>
      <c r="N904" s="347" t="s">
        <v>4455</v>
      </c>
      <c r="O904" s="347" t="s">
        <v>4455</v>
      </c>
      <c r="P904" s="347"/>
      <c r="Q904" s="347"/>
      <c r="R904" s="347"/>
      <c r="S904" s="348">
        <v>36160</v>
      </c>
      <c r="T904" s="348">
        <v>36160</v>
      </c>
      <c r="U904" s="347"/>
      <c r="V904" s="345">
        <v>0</v>
      </c>
      <c r="W904" s="345">
        <v>15260</v>
      </c>
      <c r="X904" s="349">
        <v>15470</v>
      </c>
      <c r="Y904" s="345">
        <v>15266</v>
      </c>
      <c r="Z904" s="349">
        <v>1837.06</v>
      </c>
      <c r="AA904" s="349">
        <f t="shared" si="98"/>
        <v>13632.94</v>
      </c>
      <c r="AB904" s="349">
        <v>0</v>
      </c>
      <c r="AC904" s="345">
        <v>70264</v>
      </c>
      <c r="AD904" s="349">
        <v>0</v>
      </c>
      <c r="AE904" s="345" t="s">
        <v>410</v>
      </c>
      <c r="AF904" s="347" t="s">
        <v>2218</v>
      </c>
      <c r="AG904" s="347" t="s">
        <v>2206</v>
      </c>
      <c r="AH904" s="347" t="s">
        <v>57</v>
      </c>
      <c r="AI904" s="347" t="s">
        <v>4442</v>
      </c>
      <c r="AJ904" s="347" t="s">
        <v>1660</v>
      </c>
      <c r="AK904" s="347" t="s">
        <v>4437</v>
      </c>
      <c r="AL904" s="387">
        <v>45574</v>
      </c>
    </row>
    <row r="905" spans="2:38" ht="15.75" outlineLevel="1">
      <c r="B905" s="345">
        <v>2111</v>
      </c>
      <c r="C905" s="346">
        <v>173332</v>
      </c>
      <c r="D905" s="345" t="s">
        <v>944</v>
      </c>
      <c r="E905" s="347" t="s">
        <v>4240</v>
      </c>
      <c r="F905" s="343" t="s">
        <v>2217</v>
      </c>
      <c r="I905" s="345">
        <v>1</v>
      </c>
      <c r="J905" s="347"/>
      <c r="K905" s="345">
        <v>0</v>
      </c>
      <c r="L905" s="347"/>
      <c r="M905" s="347"/>
      <c r="N905" s="347" t="s">
        <v>4503</v>
      </c>
      <c r="O905" s="347" t="s">
        <v>4503</v>
      </c>
      <c r="P905" s="347"/>
      <c r="Q905" s="347"/>
      <c r="R905" s="347"/>
      <c r="S905" s="348">
        <v>36160</v>
      </c>
      <c r="T905" s="348">
        <v>36160</v>
      </c>
      <c r="U905" s="347"/>
      <c r="V905" s="345">
        <v>4000</v>
      </c>
      <c r="W905" s="345">
        <v>15240</v>
      </c>
      <c r="X905" s="349">
        <v>25000</v>
      </c>
      <c r="Y905" s="345">
        <v>15246</v>
      </c>
      <c r="Z905" s="349">
        <v>16093.72</v>
      </c>
      <c r="AA905" s="349">
        <f t="shared" si="98"/>
        <v>8906.2800000000007</v>
      </c>
      <c r="AB905" s="349">
        <v>468.72</v>
      </c>
      <c r="AC905" s="345">
        <v>70264</v>
      </c>
      <c r="AD905" s="349">
        <v>52.08</v>
      </c>
      <c r="AE905" s="345" t="s">
        <v>410</v>
      </c>
      <c r="AF905" s="347" t="s">
        <v>2218</v>
      </c>
      <c r="AG905" s="347" t="s">
        <v>2206</v>
      </c>
      <c r="AH905" s="347" t="s">
        <v>57</v>
      </c>
      <c r="AI905" s="347" t="s">
        <v>4442</v>
      </c>
      <c r="AJ905" s="347" t="s">
        <v>4443</v>
      </c>
      <c r="AK905" s="347" t="s">
        <v>4437</v>
      </c>
      <c r="AL905" s="387">
        <v>45574</v>
      </c>
    </row>
    <row r="906" spans="2:38" ht="15.75" outlineLevel="1">
      <c r="B906" s="345">
        <v>2111</v>
      </c>
      <c r="C906" s="346">
        <v>173331</v>
      </c>
      <c r="D906" s="345" t="s">
        <v>944</v>
      </c>
      <c r="E906" s="347" t="s">
        <v>4240</v>
      </c>
      <c r="F906" s="343" t="s">
        <v>2219</v>
      </c>
      <c r="I906" s="345">
        <v>1</v>
      </c>
      <c r="J906" s="347"/>
      <c r="K906" s="345">
        <v>0</v>
      </c>
      <c r="L906" s="347"/>
      <c r="M906" s="347"/>
      <c r="N906" s="347" t="s">
        <v>4453</v>
      </c>
      <c r="O906" s="347" t="s">
        <v>4441</v>
      </c>
      <c r="P906" s="347"/>
      <c r="Q906" s="347"/>
      <c r="R906" s="347"/>
      <c r="S906" s="348">
        <v>31001</v>
      </c>
      <c r="T906" s="348">
        <v>31001</v>
      </c>
      <c r="U906" s="347"/>
      <c r="V906" s="345">
        <v>500</v>
      </c>
      <c r="W906" s="345">
        <v>14100</v>
      </c>
      <c r="X906" s="349">
        <v>197.1</v>
      </c>
      <c r="Y906" s="345">
        <v>14106</v>
      </c>
      <c r="Z906" s="349">
        <v>197.1</v>
      </c>
      <c r="AA906" s="349">
        <f t="shared" si="98"/>
        <v>0</v>
      </c>
      <c r="AB906" s="349">
        <v>0</v>
      </c>
      <c r="AC906" s="345">
        <v>70260</v>
      </c>
      <c r="AD906" s="349">
        <v>0</v>
      </c>
      <c r="AE906" s="345" t="s">
        <v>410</v>
      </c>
      <c r="AF906" s="347" t="s">
        <v>2218</v>
      </c>
      <c r="AG906" s="347" t="s">
        <v>2206</v>
      </c>
      <c r="AH906" s="347" t="s">
        <v>57</v>
      </c>
      <c r="AI906" s="347" t="s">
        <v>4442</v>
      </c>
      <c r="AJ906" s="347" t="s">
        <v>4443</v>
      </c>
      <c r="AK906" s="347" t="s">
        <v>4437</v>
      </c>
      <c r="AL906" s="387">
        <v>45574</v>
      </c>
    </row>
    <row r="907" spans="2:38" ht="15.75" outlineLevel="1">
      <c r="B907" s="345">
        <v>2111</v>
      </c>
      <c r="C907" s="346">
        <v>173330</v>
      </c>
      <c r="D907" s="345" t="s">
        <v>944</v>
      </c>
      <c r="E907" s="347" t="s">
        <v>4240</v>
      </c>
      <c r="F907" s="343" t="s">
        <v>2220</v>
      </c>
      <c r="I907" s="345">
        <v>1</v>
      </c>
      <c r="J907" s="347"/>
      <c r="K907" s="345">
        <v>0</v>
      </c>
      <c r="L907" s="347"/>
      <c r="M907" s="347"/>
      <c r="N907" s="347" t="s">
        <v>4453</v>
      </c>
      <c r="O907" s="347" t="s">
        <v>4441</v>
      </c>
      <c r="P907" s="347"/>
      <c r="Q907" s="347"/>
      <c r="R907" s="347"/>
      <c r="S907" s="348">
        <v>34148</v>
      </c>
      <c r="T907" s="348">
        <v>30495</v>
      </c>
      <c r="U907" s="347"/>
      <c r="V907" s="345">
        <v>500</v>
      </c>
      <c r="W907" s="345">
        <v>14100</v>
      </c>
      <c r="X907" s="349">
        <v>400</v>
      </c>
      <c r="Y907" s="345">
        <v>14106</v>
      </c>
      <c r="Z907" s="349">
        <v>400</v>
      </c>
      <c r="AA907" s="349">
        <f t="shared" si="98"/>
        <v>0</v>
      </c>
      <c r="AB907" s="349">
        <v>0</v>
      </c>
      <c r="AC907" s="345">
        <v>70260</v>
      </c>
      <c r="AD907" s="349">
        <v>0</v>
      </c>
      <c r="AE907" s="345" t="s">
        <v>410</v>
      </c>
      <c r="AF907" s="347" t="s">
        <v>2218</v>
      </c>
      <c r="AG907" s="347" t="s">
        <v>2206</v>
      </c>
      <c r="AH907" s="347" t="s">
        <v>57</v>
      </c>
      <c r="AI907" s="347" t="s">
        <v>4442</v>
      </c>
      <c r="AJ907" s="347" t="s">
        <v>4443</v>
      </c>
      <c r="AK907" s="347" t="s">
        <v>4437</v>
      </c>
      <c r="AL907" s="387">
        <v>45574</v>
      </c>
    </row>
    <row r="908" spans="2:38" ht="15.75" outlineLevel="1">
      <c r="B908" s="345">
        <v>2111</v>
      </c>
      <c r="C908" s="346">
        <v>173328</v>
      </c>
      <c r="D908" s="345" t="s">
        <v>944</v>
      </c>
      <c r="E908" s="347" t="s">
        <v>4240</v>
      </c>
      <c r="F908" s="343" t="s">
        <v>2221</v>
      </c>
      <c r="I908" s="345">
        <v>702</v>
      </c>
      <c r="J908" s="347"/>
      <c r="K908" s="345">
        <v>0</v>
      </c>
      <c r="L908" s="347" t="s">
        <v>2222</v>
      </c>
      <c r="M908" s="347"/>
      <c r="N908" s="347" t="s">
        <v>4446</v>
      </c>
      <c r="O908" s="347" t="s">
        <v>4441</v>
      </c>
      <c r="P908" s="347"/>
      <c r="Q908" s="347"/>
      <c r="R908" s="347"/>
      <c r="S908" s="348">
        <v>42704</v>
      </c>
      <c r="T908" s="348">
        <v>42704</v>
      </c>
      <c r="U908" s="347" t="s">
        <v>2223</v>
      </c>
      <c r="V908" s="345">
        <v>700</v>
      </c>
      <c r="W908" s="345">
        <v>14050</v>
      </c>
      <c r="X908" s="349">
        <v>35858.480000000003</v>
      </c>
      <c r="Y908" s="345">
        <v>14056</v>
      </c>
      <c r="Z908" s="349">
        <v>35858.480000000003</v>
      </c>
      <c r="AA908" s="349">
        <f t="shared" si="98"/>
        <v>0</v>
      </c>
      <c r="AB908" s="349">
        <v>0</v>
      </c>
      <c r="AC908" s="345">
        <v>54260</v>
      </c>
      <c r="AD908" s="349">
        <v>0</v>
      </c>
      <c r="AE908" s="345" t="s">
        <v>944</v>
      </c>
      <c r="AF908" s="347"/>
      <c r="AG908" s="347"/>
      <c r="AH908" s="347" t="s">
        <v>57</v>
      </c>
      <c r="AI908" s="347" t="s">
        <v>4442</v>
      </c>
      <c r="AJ908" s="347" t="s">
        <v>4443</v>
      </c>
      <c r="AK908" s="347" t="s">
        <v>4437</v>
      </c>
      <c r="AL908" s="387">
        <v>45574</v>
      </c>
    </row>
    <row r="909" spans="2:38" ht="15.75" outlineLevel="1">
      <c r="B909" s="345">
        <v>2111</v>
      </c>
      <c r="C909" s="346">
        <v>173327</v>
      </c>
      <c r="D909" s="345" t="s">
        <v>944</v>
      </c>
      <c r="E909" s="347" t="s">
        <v>4240</v>
      </c>
      <c r="F909" s="343" t="s">
        <v>514</v>
      </c>
      <c r="I909" s="345">
        <v>702</v>
      </c>
      <c r="J909" s="347"/>
      <c r="K909" s="345">
        <v>0</v>
      </c>
      <c r="L909" s="347" t="s">
        <v>2225</v>
      </c>
      <c r="M909" s="347"/>
      <c r="N909" s="347" t="s">
        <v>4446</v>
      </c>
      <c r="O909" s="347" t="s">
        <v>4441</v>
      </c>
      <c r="P909" s="347"/>
      <c r="Q909" s="347"/>
      <c r="R909" s="347"/>
      <c r="S909" s="348">
        <v>42626</v>
      </c>
      <c r="T909" s="348">
        <v>42626</v>
      </c>
      <c r="U909" s="347" t="s">
        <v>2226</v>
      </c>
      <c r="V909" s="345">
        <v>700</v>
      </c>
      <c r="W909" s="345">
        <v>14050</v>
      </c>
      <c r="X909" s="349">
        <v>35858.47</v>
      </c>
      <c r="Y909" s="345">
        <v>14056</v>
      </c>
      <c r="Z909" s="349">
        <v>35858.47</v>
      </c>
      <c r="AA909" s="349">
        <f t="shared" si="98"/>
        <v>0</v>
      </c>
      <c r="AB909" s="349">
        <v>0</v>
      </c>
      <c r="AC909" s="345">
        <v>54260</v>
      </c>
      <c r="AD909" s="349">
        <v>0</v>
      </c>
      <c r="AE909" s="345" t="s">
        <v>944</v>
      </c>
      <c r="AF909" s="347"/>
      <c r="AG909" s="347"/>
      <c r="AH909" s="347" t="s">
        <v>57</v>
      </c>
      <c r="AI909" s="347" t="s">
        <v>4442</v>
      </c>
      <c r="AJ909" s="347" t="s">
        <v>4443</v>
      </c>
      <c r="AK909" s="347" t="s">
        <v>4437</v>
      </c>
      <c r="AL909" s="387">
        <v>45574</v>
      </c>
    </row>
    <row r="910" spans="2:38" ht="15.75" outlineLevel="1">
      <c r="B910" s="345">
        <v>2111</v>
      </c>
      <c r="C910" s="346">
        <v>173326</v>
      </c>
      <c r="D910" s="345" t="s">
        <v>944</v>
      </c>
      <c r="E910" s="347" t="s">
        <v>4240</v>
      </c>
      <c r="F910" s="343" t="s">
        <v>2228</v>
      </c>
      <c r="I910" s="345">
        <v>1</v>
      </c>
      <c r="J910" s="347"/>
      <c r="K910" s="345">
        <v>0</v>
      </c>
      <c r="L910" s="347"/>
      <c r="M910" s="347"/>
      <c r="N910" s="347" t="s">
        <v>4445</v>
      </c>
      <c r="O910" s="347" t="s">
        <v>4441</v>
      </c>
      <c r="P910" s="347" t="s">
        <v>4482</v>
      </c>
      <c r="Q910" s="347"/>
      <c r="R910" s="347"/>
      <c r="S910" s="348">
        <v>40353</v>
      </c>
      <c r="T910" s="348">
        <v>40353</v>
      </c>
      <c r="U910" s="347" t="s">
        <v>2229</v>
      </c>
      <c r="V910" s="345">
        <v>1000</v>
      </c>
      <c r="W910" s="345">
        <v>14040</v>
      </c>
      <c r="X910" s="349">
        <v>1916.25</v>
      </c>
      <c r="Y910" s="345">
        <v>14046</v>
      </c>
      <c r="Z910" s="349">
        <v>1916.25</v>
      </c>
      <c r="AA910" s="349">
        <f t="shared" si="98"/>
        <v>0</v>
      </c>
      <c r="AB910" s="349">
        <v>0</v>
      </c>
      <c r="AC910" s="345">
        <v>51260</v>
      </c>
      <c r="AD910" s="349">
        <v>0</v>
      </c>
      <c r="AE910" s="345" t="s">
        <v>944</v>
      </c>
      <c r="AF910" s="347"/>
      <c r="AG910" s="347"/>
      <c r="AH910" s="347" t="s">
        <v>57</v>
      </c>
      <c r="AI910" s="347" t="s">
        <v>4442</v>
      </c>
      <c r="AJ910" s="347" t="s">
        <v>4443</v>
      </c>
      <c r="AK910" s="347" t="s">
        <v>4437</v>
      </c>
      <c r="AL910" s="387">
        <v>45574</v>
      </c>
    </row>
    <row r="911" spans="2:38" ht="15.75" outlineLevel="1">
      <c r="B911" s="345">
        <v>2111</v>
      </c>
      <c r="C911" s="346">
        <v>173325</v>
      </c>
      <c r="D911" s="345" t="s">
        <v>944</v>
      </c>
      <c r="E911" s="347" t="s">
        <v>4240</v>
      </c>
      <c r="F911" s="343" t="s">
        <v>2231</v>
      </c>
      <c r="I911" s="345">
        <v>1</v>
      </c>
      <c r="J911" s="347"/>
      <c r="K911" s="345">
        <v>0</v>
      </c>
      <c r="L911" s="347" t="s">
        <v>1483</v>
      </c>
      <c r="M911" s="347"/>
      <c r="N911" s="347" t="s">
        <v>4445</v>
      </c>
      <c r="O911" s="347" t="s">
        <v>4441</v>
      </c>
      <c r="P911" s="347" t="s">
        <v>4482</v>
      </c>
      <c r="Q911" s="347"/>
      <c r="R911" s="347"/>
      <c r="S911" s="348">
        <v>40353</v>
      </c>
      <c r="T911" s="348">
        <v>40353</v>
      </c>
      <c r="U911" s="347" t="s">
        <v>2229</v>
      </c>
      <c r="V911" s="345">
        <v>1000</v>
      </c>
      <c r="W911" s="345">
        <v>14040</v>
      </c>
      <c r="X911" s="349">
        <v>137.06</v>
      </c>
      <c r="Y911" s="345">
        <v>14046</v>
      </c>
      <c r="Z911" s="349">
        <v>137.06</v>
      </c>
      <c r="AA911" s="349">
        <f t="shared" si="98"/>
        <v>0</v>
      </c>
      <c r="AB911" s="349">
        <v>0</v>
      </c>
      <c r="AC911" s="345">
        <v>51260</v>
      </c>
      <c r="AD911" s="349">
        <v>0</v>
      </c>
      <c r="AE911" s="345" t="s">
        <v>944</v>
      </c>
      <c r="AF911" s="347"/>
      <c r="AG911" s="347"/>
      <c r="AH911" s="347" t="s">
        <v>57</v>
      </c>
      <c r="AI911" s="347" t="s">
        <v>4442</v>
      </c>
      <c r="AJ911" s="347" t="s">
        <v>4443</v>
      </c>
      <c r="AK911" s="347" t="s">
        <v>4437</v>
      </c>
      <c r="AL911" s="387">
        <v>45574</v>
      </c>
    </row>
    <row r="912" spans="2:38" ht="15.75" outlineLevel="1">
      <c r="B912" s="345">
        <v>2111</v>
      </c>
      <c r="C912" s="346">
        <v>173324</v>
      </c>
      <c r="D912" s="345" t="s">
        <v>944</v>
      </c>
      <c r="E912" s="347" t="s">
        <v>4240</v>
      </c>
      <c r="F912" s="343" t="s">
        <v>2233</v>
      </c>
      <c r="I912" s="345">
        <v>1</v>
      </c>
      <c r="J912" s="347" t="s">
        <v>2234</v>
      </c>
      <c r="K912" s="345">
        <v>2010</v>
      </c>
      <c r="L912" s="347" t="s">
        <v>1483</v>
      </c>
      <c r="M912" s="347"/>
      <c r="N912" s="347" t="s">
        <v>4445</v>
      </c>
      <c r="O912" s="347" t="s">
        <v>4441</v>
      </c>
      <c r="P912" s="347" t="s">
        <v>1467</v>
      </c>
      <c r="Q912" s="347"/>
      <c r="R912" s="347"/>
      <c r="S912" s="348">
        <v>40353</v>
      </c>
      <c r="T912" s="348">
        <v>40353</v>
      </c>
      <c r="U912" s="347" t="s">
        <v>2229</v>
      </c>
      <c r="V912" s="345">
        <v>1000</v>
      </c>
      <c r="W912" s="345">
        <v>14040</v>
      </c>
      <c r="X912" s="349">
        <v>133793.45000000001</v>
      </c>
      <c r="Y912" s="345">
        <v>14046</v>
      </c>
      <c r="Z912" s="349">
        <v>133793.45000000001</v>
      </c>
      <c r="AA912" s="349">
        <f t="shared" si="98"/>
        <v>0</v>
      </c>
      <c r="AB912" s="349">
        <v>0</v>
      </c>
      <c r="AC912" s="345">
        <v>51260</v>
      </c>
      <c r="AD912" s="349">
        <v>0</v>
      </c>
      <c r="AE912" s="345" t="s">
        <v>944</v>
      </c>
      <c r="AF912" s="347"/>
      <c r="AG912" s="347"/>
      <c r="AH912" s="347" t="s">
        <v>57</v>
      </c>
      <c r="AI912" s="347" t="s">
        <v>4442</v>
      </c>
      <c r="AJ912" s="347" t="s">
        <v>4443</v>
      </c>
      <c r="AK912" s="347" t="s">
        <v>4437</v>
      </c>
      <c r="AL912" s="387">
        <v>45574</v>
      </c>
    </row>
    <row r="913" spans="2:38" ht="15.75" outlineLevel="1">
      <c r="B913" s="345">
        <v>2111</v>
      </c>
      <c r="C913" s="346">
        <v>173323</v>
      </c>
      <c r="D913" s="345" t="s">
        <v>944</v>
      </c>
      <c r="E913" s="347" t="s">
        <v>4240</v>
      </c>
      <c r="F913" s="343" t="s">
        <v>2236</v>
      </c>
      <c r="I913" s="345">
        <v>1</v>
      </c>
      <c r="J913" s="347" t="s">
        <v>2234</v>
      </c>
      <c r="K913" s="345">
        <v>2010</v>
      </c>
      <c r="L913" s="347" t="s">
        <v>1483</v>
      </c>
      <c r="M913" s="347" t="s">
        <v>2190</v>
      </c>
      <c r="N913" s="347" t="s">
        <v>4445</v>
      </c>
      <c r="O913" s="347" t="s">
        <v>4441</v>
      </c>
      <c r="P913" s="347" t="s">
        <v>4482</v>
      </c>
      <c r="Q913" s="347"/>
      <c r="R913" s="347"/>
      <c r="S913" s="348">
        <v>40353</v>
      </c>
      <c r="T913" s="348">
        <v>40353</v>
      </c>
      <c r="U913" s="347" t="s">
        <v>2229</v>
      </c>
      <c r="V913" s="345">
        <v>1000</v>
      </c>
      <c r="W913" s="345">
        <v>14040</v>
      </c>
      <c r="X913" s="349">
        <v>138066.26</v>
      </c>
      <c r="Y913" s="345">
        <v>14046</v>
      </c>
      <c r="Z913" s="349">
        <v>138066.26</v>
      </c>
      <c r="AA913" s="349">
        <f t="shared" si="98"/>
        <v>0</v>
      </c>
      <c r="AB913" s="349">
        <v>0</v>
      </c>
      <c r="AC913" s="345">
        <v>51260</v>
      </c>
      <c r="AD913" s="349">
        <v>0</v>
      </c>
      <c r="AE913" s="345" t="s">
        <v>944</v>
      </c>
      <c r="AF913" s="347"/>
      <c r="AG913" s="347">
        <v>818</v>
      </c>
      <c r="AH913" s="347" t="s">
        <v>57</v>
      </c>
      <c r="AI913" s="347" t="s">
        <v>4442</v>
      </c>
      <c r="AJ913" s="347" t="s">
        <v>4443</v>
      </c>
      <c r="AK913" s="347" t="s">
        <v>4437</v>
      </c>
      <c r="AL913" s="387">
        <v>45574</v>
      </c>
    </row>
    <row r="914" spans="2:38" ht="15.75" outlineLevel="1">
      <c r="B914" s="345">
        <v>2111</v>
      </c>
      <c r="C914" s="346">
        <v>173322</v>
      </c>
      <c r="D914" s="345" t="s">
        <v>944</v>
      </c>
      <c r="E914" s="347" t="s">
        <v>4240</v>
      </c>
      <c r="F914" s="343" t="s">
        <v>2238</v>
      </c>
      <c r="I914" s="345">
        <v>1</v>
      </c>
      <c r="J914" s="347" t="s">
        <v>2239</v>
      </c>
      <c r="K914" s="345">
        <v>2017</v>
      </c>
      <c r="L914" s="347"/>
      <c r="M914" s="347"/>
      <c r="N914" s="347" t="s">
        <v>4445</v>
      </c>
      <c r="O914" s="347" t="s">
        <v>4441</v>
      </c>
      <c r="P914" s="347" t="s">
        <v>1004</v>
      </c>
      <c r="Q914" s="347"/>
      <c r="R914" s="347"/>
      <c r="S914" s="348">
        <v>42612</v>
      </c>
      <c r="T914" s="348">
        <v>42612</v>
      </c>
      <c r="U914" s="347" t="s">
        <v>2240</v>
      </c>
      <c r="V914" s="345">
        <v>1000</v>
      </c>
      <c r="W914" s="345">
        <v>14040</v>
      </c>
      <c r="X914" s="349">
        <v>168769.58</v>
      </c>
      <c r="Y914" s="345">
        <v>14046</v>
      </c>
      <c r="Z914" s="349">
        <v>168769.58</v>
      </c>
      <c r="AA914" s="349">
        <f t="shared" si="98"/>
        <v>0</v>
      </c>
      <c r="AB914" s="349">
        <v>5563.83</v>
      </c>
      <c r="AC914" s="345">
        <v>51260</v>
      </c>
      <c r="AD914" s="349">
        <v>0</v>
      </c>
      <c r="AE914" s="345" t="s">
        <v>944</v>
      </c>
      <c r="AF914" s="347"/>
      <c r="AG914" s="347">
        <v>426</v>
      </c>
      <c r="AH914" s="347" t="s">
        <v>57</v>
      </c>
      <c r="AI914" s="347" t="s">
        <v>4442</v>
      </c>
      <c r="AJ914" s="347" t="s">
        <v>4443</v>
      </c>
      <c r="AK914" s="347" t="s">
        <v>4437</v>
      </c>
      <c r="AL914" s="387">
        <v>45574</v>
      </c>
    </row>
    <row r="915" spans="2:38" ht="15.75" outlineLevel="1">
      <c r="B915" s="345">
        <v>2111</v>
      </c>
      <c r="C915" s="346">
        <v>173321</v>
      </c>
      <c r="D915" s="345" t="s">
        <v>944</v>
      </c>
      <c r="E915" s="347" t="s">
        <v>4240</v>
      </c>
      <c r="F915" s="343" t="s">
        <v>444</v>
      </c>
      <c r="I915" s="345">
        <v>1</v>
      </c>
      <c r="J915" s="347"/>
      <c r="K915" s="345">
        <v>0</v>
      </c>
      <c r="L915" s="347" t="s">
        <v>2242</v>
      </c>
      <c r="M915" s="347"/>
      <c r="N915" s="347" t="s">
        <v>4445</v>
      </c>
      <c r="O915" s="347" t="s">
        <v>4441</v>
      </c>
      <c r="P915" s="347" t="s">
        <v>1467</v>
      </c>
      <c r="Q915" s="347"/>
      <c r="R915" s="347"/>
      <c r="S915" s="348">
        <v>42528</v>
      </c>
      <c r="T915" s="348">
        <v>42528</v>
      </c>
      <c r="U915" s="347" t="s">
        <v>2243</v>
      </c>
      <c r="V915" s="345">
        <v>300</v>
      </c>
      <c r="W915" s="345">
        <v>14040</v>
      </c>
      <c r="X915" s="349">
        <v>20959</v>
      </c>
      <c r="Y915" s="345">
        <v>14046</v>
      </c>
      <c r="Z915" s="349">
        <v>20959</v>
      </c>
      <c r="AA915" s="349">
        <f t="shared" si="98"/>
        <v>0</v>
      </c>
      <c r="AB915" s="349">
        <v>0</v>
      </c>
      <c r="AC915" s="345">
        <v>51260</v>
      </c>
      <c r="AD915" s="349">
        <v>0</v>
      </c>
      <c r="AE915" s="345" t="s">
        <v>944</v>
      </c>
      <c r="AF915" s="347"/>
      <c r="AG915" s="347"/>
      <c r="AH915" s="347" t="s">
        <v>57</v>
      </c>
      <c r="AI915" s="347" t="s">
        <v>4442</v>
      </c>
      <c r="AJ915" s="347" t="s">
        <v>4443</v>
      </c>
      <c r="AK915" s="347" t="s">
        <v>4437</v>
      </c>
      <c r="AL915" s="387">
        <v>45574</v>
      </c>
    </row>
    <row r="916" spans="2:38" ht="15.75" outlineLevel="1">
      <c r="B916" s="345">
        <v>2111</v>
      </c>
      <c r="C916" s="346">
        <v>173320</v>
      </c>
      <c r="D916" s="345" t="s">
        <v>944</v>
      </c>
      <c r="E916" s="347" t="s">
        <v>4240</v>
      </c>
      <c r="F916" s="343" t="s">
        <v>2244</v>
      </c>
      <c r="I916" s="345">
        <v>324</v>
      </c>
      <c r="J916" s="347"/>
      <c r="K916" s="345">
        <v>0</v>
      </c>
      <c r="L916" s="347" t="s">
        <v>2245</v>
      </c>
      <c r="M916" s="347"/>
      <c r="N916" s="347" t="s">
        <v>4446</v>
      </c>
      <c r="O916" s="347" t="s">
        <v>4441</v>
      </c>
      <c r="P916" s="347"/>
      <c r="Q916" s="347"/>
      <c r="R916" s="347"/>
      <c r="S916" s="348">
        <v>42464</v>
      </c>
      <c r="T916" s="348">
        <v>42464</v>
      </c>
      <c r="U916" s="347" t="s">
        <v>2246</v>
      </c>
      <c r="V916" s="345">
        <v>700</v>
      </c>
      <c r="W916" s="345">
        <v>14050</v>
      </c>
      <c r="X916" s="349">
        <v>12863.21</v>
      </c>
      <c r="Y916" s="345">
        <v>14056</v>
      </c>
      <c r="Z916" s="349">
        <v>12863.21</v>
      </c>
      <c r="AA916" s="349">
        <f t="shared" si="98"/>
        <v>0</v>
      </c>
      <c r="AB916" s="349">
        <v>0</v>
      </c>
      <c r="AC916" s="345">
        <v>54260</v>
      </c>
      <c r="AD916" s="349">
        <v>0</v>
      </c>
      <c r="AE916" s="345" t="s">
        <v>944</v>
      </c>
      <c r="AF916" s="347"/>
      <c r="AG916" s="347"/>
      <c r="AH916" s="347" t="s">
        <v>57</v>
      </c>
      <c r="AI916" s="347" t="s">
        <v>4442</v>
      </c>
      <c r="AJ916" s="347" t="s">
        <v>4443</v>
      </c>
      <c r="AK916" s="347" t="s">
        <v>4437</v>
      </c>
      <c r="AL916" s="387">
        <v>45574</v>
      </c>
    </row>
    <row r="917" spans="2:38" ht="15.75" outlineLevel="1">
      <c r="B917" s="345">
        <v>2111</v>
      </c>
      <c r="C917" s="346">
        <v>173319</v>
      </c>
      <c r="D917" s="345" t="s">
        <v>944</v>
      </c>
      <c r="E917" s="347" t="s">
        <v>4240</v>
      </c>
      <c r="F917" s="343" t="s">
        <v>2221</v>
      </c>
      <c r="I917" s="345">
        <v>1053</v>
      </c>
      <c r="J917" s="347"/>
      <c r="K917" s="345">
        <v>0</v>
      </c>
      <c r="L917" s="347" t="s">
        <v>2245</v>
      </c>
      <c r="M917" s="347"/>
      <c r="N917" s="347" t="s">
        <v>4446</v>
      </c>
      <c r="O917" s="347" t="s">
        <v>4441</v>
      </c>
      <c r="P917" s="347"/>
      <c r="Q917" s="347"/>
      <c r="R917" s="347"/>
      <c r="S917" s="348">
        <v>42464</v>
      </c>
      <c r="T917" s="348">
        <v>42464</v>
      </c>
      <c r="U917" s="347" t="s">
        <v>2246</v>
      </c>
      <c r="V917" s="345">
        <v>700</v>
      </c>
      <c r="W917" s="345">
        <v>14050</v>
      </c>
      <c r="X917" s="349">
        <v>53440.33</v>
      </c>
      <c r="Y917" s="345">
        <v>14056</v>
      </c>
      <c r="Z917" s="349">
        <v>53440.33</v>
      </c>
      <c r="AA917" s="349">
        <f t="shared" si="98"/>
        <v>0</v>
      </c>
      <c r="AB917" s="349">
        <v>0</v>
      </c>
      <c r="AC917" s="345">
        <v>54260</v>
      </c>
      <c r="AD917" s="349">
        <v>0</v>
      </c>
      <c r="AE917" s="345" t="s">
        <v>944</v>
      </c>
      <c r="AF917" s="347"/>
      <c r="AG917" s="347"/>
      <c r="AH917" s="347" t="s">
        <v>57</v>
      </c>
      <c r="AI917" s="347" t="s">
        <v>4442</v>
      </c>
      <c r="AJ917" s="347" t="s">
        <v>4443</v>
      </c>
      <c r="AK917" s="347" t="s">
        <v>4437</v>
      </c>
      <c r="AL917" s="387">
        <v>45574</v>
      </c>
    </row>
    <row r="918" spans="2:38" ht="15.75" outlineLevel="1">
      <c r="B918" s="345">
        <v>2111</v>
      </c>
      <c r="C918" s="346">
        <v>173318</v>
      </c>
      <c r="D918" s="345" t="s">
        <v>944</v>
      </c>
      <c r="E918" s="347" t="s">
        <v>4240</v>
      </c>
      <c r="F918" s="343" t="s">
        <v>1243</v>
      </c>
      <c r="I918" s="345">
        <v>1</v>
      </c>
      <c r="J918" s="347" t="s">
        <v>2249</v>
      </c>
      <c r="K918" s="345">
        <v>2016</v>
      </c>
      <c r="L918" s="347"/>
      <c r="M918" s="347"/>
      <c r="N918" s="347" t="s">
        <v>4445</v>
      </c>
      <c r="O918" s="347" t="s">
        <v>4441</v>
      </c>
      <c r="P918" s="347" t="s">
        <v>4482</v>
      </c>
      <c r="Q918" s="347"/>
      <c r="R918" s="347"/>
      <c r="S918" s="348">
        <v>42460</v>
      </c>
      <c r="T918" s="348">
        <v>42460</v>
      </c>
      <c r="U918" s="347" t="s">
        <v>2250</v>
      </c>
      <c r="V918" s="345">
        <v>1000</v>
      </c>
      <c r="W918" s="345">
        <v>14040</v>
      </c>
      <c r="X918" s="349">
        <v>326844.58</v>
      </c>
      <c r="Y918" s="345">
        <v>14046</v>
      </c>
      <c r="Z918" s="349">
        <v>277817.86</v>
      </c>
      <c r="AA918" s="349">
        <f t="shared" si="98"/>
        <v>49026.72000000003</v>
      </c>
      <c r="AB918" s="349">
        <v>24513.3</v>
      </c>
      <c r="AC918" s="345">
        <v>51260</v>
      </c>
      <c r="AD918" s="349">
        <v>2723.7</v>
      </c>
      <c r="AE918" s="345" t="s">
        <v>944</v>
      </c>
      <c r="AF918" s="347"/>
      <c r="AG918" s="347">
        <v>836</v>
      </c>
      <c r="AH918" s="347" t="s">
        <v>57</v>
      </c>
      <c r="AI918" s="347" t="s">
        <v>4442</v>
      </c>
      <c r="AJ918" s="347" t="s">
        <v>4443</v>
      </c>
      <c r="AK918" s="347" t="s">
        <v>4437</v>
      </c>
      <c r="AL918" s="387">
        <v>45574</v>
      </c>
    </row>
    <row r="919" spans="2:38" ht="15.75" outlineLevel="1">
      <c r="B919" s="345">
        <v>2111</v>
      </c>
      <c r="C919" s="346">
        <v>173317</v>
      </c>
      <c r="D919" s="345" t="s">
        <v>944</v>
      </c>
      <c r="E919" s="347" t="s">
        <v>4240</v>
      </c>
      <c r="F919" s="343" t="s">
        <v>416</v>
      </c>
      <c r="I919" s="345">
        <v>1</v>
      </c>
      <c r="J919" s="347"/>
      <c r="K919" s="345">
        <v>0</v>
      </c>
      <c r="L919" s="347" t="s">
        <v>2252</v>
      </c>
      <c r="M919" s="347"/>
      <c r="N919" s="347" t="s">
        <v>4445</v>
      </c>
      <c r="O919" s="347" t="s">
        <v>4441</v>
      </c>
      <c r="P919" s="347" t="s">
        <v>1467</v>
      </c>
      <c r="Q919" s="347"/>
      <c r="R919" s="347"/>
      <c r="S919" s="348">
        <v>42460</v>
      </c>
      <c r="T919" s="348">
        <v>42460</v>
      </c>
      <c r="U919" s="347" t="s">
        <v>2253</v>
      </c>
      <c r="V919" s="345">
        <v>300</v>
      </c>
      <c r="W919" s="345">
        <v>14040</v>
      </c>
      <c r="X919" s="349">
        <v>24214.62</v>
      </c>
      <c r="Y919" s="345">
        <v>14046</v>
      </c>
      <c r="Z919" s="349">
        <v>24214.62</v>
      </c>
      <c r="AA919" s="349">
        <f t="shared" si="98"/>
        <v>0</v>
      </c>
      <c r="AB919" s="349">
        <v>0</v>
      </c>
      <c r="AC919" s="345">
        <v>51260</v>
      </c>
      <c r="AD919" s="349">
        <v>0</v>
      </c>
      <c r="AE919" s="345" t="s">
        <v>944</v>
      </c>
      <c r="AF919" s="347"/>
      <c r="AG919" s="347"/>
      <c r="AH919" s="347" t="s">
        <v>57</v>
      </c>
      <c r="AI919" s="347" t="s">
        <v>4442</v>
      </c>
      <c r="AJ919" s="347" t="s">
        <v>4443</v>
      </c>
      <c r="AK919" s="347" t="s">
        <v>4437</v>
      </c>
      <c r="AL919" s="387">
        <v>45574</v>
      </c>
    </row>
    <row r="920" spans="2:38" ht="15.75" outlineLevel="1">
      <c r="B920" s="345">
        <v>2111</v>
      </c>
      <c r="C920" s="346">
        <v>173316</v>
      </c>
      <c r="D920" s="345" t="s">
        <v>944</v>
      </c>
      <c r="E920" s="347" t="s">
        <v>4240</v>
      </c>
      <c r="F920" s="343" t="s">
        <v>2255</v>
      </c>
      <c r="I920" s="345">
        <v>624</v>
      </c>
      <c r="J920" s="347"/>
      <c r="K920" s="345">
        <v>0</v>
      </c>
      <c r="L920" s="347" t="s">
        <v>2093</v>
      </c>
      <c r="M920" s="347"/>
      <c r="N920" s="347" t="s">
        <v>4446</v>
      </c>
      <c r="O920" s="347" t="s">
        <v>4441</v>
      </c>
      <c r="P920" s="347"/>
      <c r="Q920" s="347"/>
      <c r="R920" s="347"/>
      <c r="S920" s="348">
        <v>42382</v>
      </c>
      <c r="T920" s="348">
        <v>42382</v>
      </c>
      <c r="U920" s="347" t="s">
        <v>2256</v>
      </c>
      <c r="V920" s="345">
        <v>700</v>
      </c>
      <c r="W920" s="345">
        <v>14050</v>
      </c>
      <c r="X920" s="349">
        <v>31910.84</v>
      </c>
      <c r="Y920" s="345">
        <v>14056</v>
      </c>
      <c r="Z920" s="349">
        <v>31910.84</v>
      </c>
      <c r="AA920" s="349">
        <f t="shared" si="98"/>
        <v>0</v>
      </c>
      <c r="AB920" s="349">
        <v>0</v>
      </c>
      <c r="AC920" s="345">
        <v>54260</v>
      </c>
      <c r="AD920" s="349">
        <v>0</v>
      </c>
      <c r="AE920" s="345" t="s">
        <v>944</v>
      </c>
      <c r="AF920" s="347"/>
      <c r="AG920" s="347"/>
      <c r="AH920" s="347" t="s">
        <v>57</v>
      </c>
      <c r="AI920" s="347" t="s">
        <v>4442</v>
      </c>
      <c r="AJ920" s="347" t="s">
        <v>4443</v>
      </c>
      <c r="AK920" s="347" t="s">
        <v>4437</v>
      </c>
      <c r="AL920" s="387">
        <v>45574</v>
      </c>
    </row>
    <row r="921" spans="2:38" ht="15.75" outlineLevel="1">
      <c r="B921" s="345">
        <v>2111</v>
      </c>
      <c r="C921" s="346">
        <v>173315</v>
      </c>
      <c r="D921" s="345" t="s">
        <v>944</v>
      </c>
      <c r="E921" s="347" t="s">
        <v>4240</v>
      </c>
      <c r="F921" s="343" t="s">
        <v>471</v>
      </c>
      <c r="I921" s="345">
        <v>4</v>
      </c>
      <c r="J921" s="347"/>
      <c r="K921" s="345">
        <v>0</v>
      </c>
      <c r="L921" s="347" t="s">
        <v>2257</v>
      </c>
      <c r="M921" s="347"/>
      <c r="N921" s="347" t="s">
        <v>4446</v>
      </c>
      <c r="O921" s="347" t="s">
        <v>4441</v>
      </c>
      <c r="P921" s="347"/>
      <c r="Q921" s="347" t="s">
        <v>4464</v>
      </c>
      <c r="R921" s="347" t="s">
        <v>4450</v>
      </c>
      <c r="S921" s="348">
        <v>41449</v>
      </c>
      <c r="T921" s="348">
        <v>41449</v>
      </c>
      <c r="U921" s="347" t="s">
        <v>2258</v>
      </c>
      <c r="V921" s="345">
        <v>1200</v>
      </c>
      <c r="W921" s="345">
        <v>14050</v>
      </c>
      <c r="X921" s="349">
        <v>2713.12</v>
      </c>
      <c r="Y921" s="345">
        <v>14056</v>
      </c>
      <c r="Z921" s="349">
        <v>2543.5100000000002</v>
      </c>
      <c r="AA921" s="349">
        <f t="shared" si="98"/>
        <v>169.60999999999967</v>
      </c>
      <c r="AB921" s="349">
        <v>169.56</v>
      </c>
      <c r="AC921" s="345">
        <v>54260</v>
      </c>
      <c r="AD921" s="349">
        <v>18.84</v>
      </c>
      <c r="AE921" s="345" t="s">
        <v>944</v>
      </c>
      <c r="AF921" s="347"/>
      <c r="AG921" s="347"/>
      <c r="AH921" s="347" t="s">
        <v>57</v>
      </c>
      <c r="AI921" s="347" t="s">
        <v>4442</v>
      </c>
      <c r="AJ921" s="347" t="s">
        <v>4443</v>
      </c>
      <c r="AK921" s="347" t="s">
        <v>4437</v>
      </c>
      <c r="AL921" s="387">
        <v>45574</v>
      </c>
    </row>
    <row r="922" spans="2:38" ht="15.75" outlineLevel="1">
      <c r="B922" s="345">
        <v>2111</v>
      </c>
      <c r="C922" s="346">
        <v>173314</v>
      </c>
      <c r="D922" s="345" t="s">
        <v>944</v>
      </c>
      <c r="E922" s="347" t="s">
        <v>4240</v>
      </c>
      <c r="F922" s="343" t="s">
        <v>853</v>
      </c>
      <c r="I922" s="345">
        <v>333</v>
      </c>
      <c r="J922" s="347"/>
      <c r="K922" s="345">
        <v>0</v>
      </c>
      <c r="L922" s="347" t="s">
        <v>2245</v>
      </c>
      <c r="M922" s="347"/>
      <c r="N922" s="347" t="s">
        <v>4446</v>
      </c>
      <c r="O922" s="347" t="s">
        <v>4441</v>
      </c>
      <c r="P922" s="347"/>
      <c r="Q922" s="347"/>
      <c r="R922" s="347"/>
      <c r="S922" s="348">
        <v>42331</v>
      </c>
      <c r="T922" s="348">
        <v>42331</v>
      </c>
      <c r="U922" s="347" t="s">
        <v>2259</v>
      </c>
      <c r="V922" s="345">
        <v>700</v>
      </c>
      <c r="W922" s="345">
        <v>14050</v>
      </c>
      <c r="X922" s="349">
        <v>19105.13</v>
      </c>
      <c r="Y922" s="345">
        <v>14056</v>
      </c>
      <c r="Z922" s="349">
        <v>19105.13</v>
      </c>
      <c r="AA922" s="349">
        <f t="shared" si="98"/>
        <v>0</v>
      </c>
      <c r="AB922" s="349">
        <v>0</v>
      </c>
      <c r="AC922" s="345">
        <v>54260</v>
      </c>
      <c r="AD922" s="349">
        <v>0</v>
      </c>
      <c r="AE922" s="345" t="s">
        <v>944</v>
      </c>
      <c r="AF922" s="347"/>
      <c r="AG922" s="347"/>
      <c r="AH922" s="347" t="s">
        <v>57</v>
      </c>
      <c r="AI922" s="347" t="s">
        <v>4442</v>
      </c>
      <c r="AJ922" s="347" t="s">
        <v>4443</v>
      </c>
      <c r="AK922" s="347" t="s">
        <v>4437</v>
      </c>
      <c r="AL922" s="387">
        <v>45574</v>
      </c>
    </row>
    <row r="923" spans="2:38" ht="15.75" outlineLevel="1">
      <c r="B923" s="345">
        <v>2111</v>
      </c>
      <c r="C923" s="346">
        <v>173313</v>
      </c>
      <c r="D923" s="345">
        <v>173079</v>
      </c>
      <c r="E923" s="347" t="s">
        <v>4240</v>
      </c>
      <c r="F923" s="343" t="s">
        <v>2261</v>
      </c>
      <c r="I923" s="345">
        <v>1</v>
      </c>
      <c r="J923" s="347"/>
      <c r="K923" s="345">
        <v>0</v>
      </c>
      <c r="L923" s="347" t="s">
        <v>2262</v>
      </c>
      <c r="M923" s="347"/>
      <c r="N923" s="347" t="s">
        <v>4445</v>
      </c>
      <c r="O923" s="347" t="s">
        <v>4441</v>
      </c>
      <c r="P923" s="347" t="s">
        <v>1467</v>
      </c>
      <c r="Q923" s="347"/>
      <c r="R923" s="347"/>
      <c r="S923" s="348">
        <v>42305</v>
      </c>
      <c r="T923" s="348">
        <v>42305</v>
      </c>
      <c r="U923" s="347" t="s">
        <v>2263</v>
      </c>
      <c r="V923" s="345">
        <v>300</v>
      </c>
      <c r="W923" s="345">
        <v>14040</v>
      </c>
      <c r="X923" s="349">
        <v>7490.62</v>
      </c>
      <c r="Y923" s="345">
        <v>14046</v>
      </c>
      <c r="Z923" s="349">
        <v>7490.62</v>
      </c>
      <c r="AA923" s="349">
        <f t="shared" si="98"/>
        <v>0</v>
      </c>
      <c r="AB923" s="349">
        <v>0</v>
      </c>
      <c r="AC923" s="345">
        <v>51260</v>
      </c>
      <c r="AD923" s="349">
        <v>0</v>
      </c>
      <c r="AE923" s="345" t="s">
        <v>944</v>
      </c>
      <c r="AF923" s="347"/>
      <c r="AG923" s="347"/>
      <c r="AH923" s="347" t="s">
        <v>57</v>
      </c>
      <c r="AI923" s="347" t="s">
        <v>4442</v>
      </c>
      <c r="AJ923" s="347" t="s">
        <v>4443</v>
      </c>
      <c r="AK923" s="347" t="s">
        <v>4437</v>
      </c>
      <c r="AL923" s="387">
        <v>45574</v>
      </c>
    </row>
    <row r="924" spans="2:38" ht="15.75" outlineLevel="1">
      <c r="B924" s="345">
        <v>2111</v>
      </c>
      <c r="C924" s="346">
        <v>173311</v>
      </c>
      <c r="D924" s="345" t="s">
        <v>944</v>
      </c>
      <c r="E924" s="347" t="s">
        <v>4240</v>
      </c>
      <c r="F924" s="343" t="s">
        <v>2265</v>
      </c>
      <c r="I924" s="345">
        <v>30</v>
      </c>
      <c r="J924" s="347"/>
      <c r="K924" s="345">
        <v>0</v>
      </c>
      <c r="L924" s="347" t="s">
        <v>1726</v>
      </c>
      <c r="M924" s="347"/>
      <c r="N924" s="347" t="s">
        <v>4446</v>
      </c>
      <c r="O924" s="347" t="s">
        <v>4441</v>
      </c>
      <c r="P924" s="347"/>
      <c r="Q924" s="347" t="s">
        <v>4449</v>
      </c>
      <c r="R924" s="347" t="s">
        <v>4450</v>
      </c>
      <c r="S924" s="348">
        <v>42177</v>
      </c>
      <c r="T924" s="348">
        <v>42177</v>
      </c>
      <c r="U924" s="347" t="s">
        <v>2266</v>
      </c>
      <c r="V924" s="345">
        <v>1200</v>
      </c>
      <c r="W924" s="345">
        <v>14050</v>
      </c>
      <c r="X924" s="349">
        <v>14342.34</v>
      </c>
      <c r="Y924" s="345">
        <v>14056</v>
      </c>
      <c r="Z924" s="349">
        <v>11055.6</v>
      </c>
      <c r="AA924" s="349">
        <f t="shared" si="98"/>
        <v>3286.74</v>
      </c>
      <c r="AB924" s="349">
        <v>896.4</v>
      </c>
      <c r="AC924" s="345">
        <v>54260</v>
      </c>
      <c r="AD924" s="349">
        <v>99.6</v>
      </c>
      <c r="AE924" s="345" t="s">
        <v>944</v>
      </c>
      <c r="AF924" s="347"/>
      <c r="AG924" s="347"/>
      <c r="AH924" s="347" t="s">
        <v>57</v>
      </c>
      <c r="AI924" s="347" t="s">
        <v>4442</v>
      </c>
      <c r="AJ924" s="347" t="s">
        <v>4443</v>
      </c>
      <c r="AK924" s="347" t="s">
        <v>4437</v>
      </c>
      <c r="AL924" s="387">
        <v>45574</v>
      </c>
    </row>
    <row r="925" spans="2:38" ht="15.75" outlineLevel="1">
      <c r="B925" s="345">
        <v>2111</v>
      </c>
      <c r="C925" s="346">
        <v>173310</v>
      </c>
      <c r="D925" s="345" t="s">
        <v>944</v>
      </c>
      <c r="E925" s="347" t="s">
        <v>4240</v>
      </c>
      <c r="F925" s="343" t="s">
        <v>2267</v>
      </c>
      <c r="I925" s="345">
        <v>486</v>
      </c>
      <c r="J925" s="347"/>
      <c r="K925" s="345">
        <v>0</v>
      </c>
      <c r="L925" s="347" t="s">
        <v>2245</v>
      </c>
      <c r="M925" s="347"/>
      <c r="N925" s="347" t="s">
        <v>4446</v>
      </c>
      <c r="O925" s="347" t="s">
        <v>4441</v>
      </c>
      <c r="P925" s="347"/>
      <c r="Q925" s="347"/>
      <c r="R925" s="347"/>
      <c r="S925" s="348">
        <v>42116</v>
      </c>
      <c r="T925" s="348">
        <v>42116</v>
      </c>
      <c r="U925" s="347" t="s">
        <v>2268</v>
      </c>
      <c r="V925" s="345">
        <v>700</v>
      </c>
      <c r="W925" s="345">
        <v>14050</v>
      </c>
      <c r="X925" s="349">
        <v>26191.29</v>
      </c>
      <c r="Y925" s="345">
        <v>14056</v>
      </c>
      <c r="Z925" s="349">
        <v>26191.29</v>
      </c>
      <c r="AA925" s="349">
        <f t="shared" si="98"/>
        <v>0</v>
      </c>
      <c r="AB925" s="349">
        <v>0</v>
      </c>
      <c r="AC925" s="345">
        <v>54260</v>
      </c>
      <c r="AD925" s="349">
        <v>0</v>
      </c>
      <c r="AE925" s="345" t="s">
        <v>944</v>
      </c>
      <c r="AF925" s="347"/>
      <c r="AG925" s="347"/>
      <c r="AH925" s="347" t="s">
        <v>57</v>
      </c>
      <c r="AI925" s="347" t="s">
        <v>4442</v>
      </c>
      <c r="AJ925" s="347" t="s">
        <v>4443</v>
      </c>
      <c r="AK925" s="347" t="s">
        <v>4437</v>
      </c>
      <c r="AL925" s="387">
        <v>45574</v>
      </c>
    </row>
    <row r="926" spans="2:38" ht="15.75" outlineLevel="1">
      <c r="B926" s="345">
        <v>2111</v>
      </c>
      <c r="C926" s="346">
        <v>173309</v>
      </c>
      <c r="D926" s="345" t="s">
        <v>944</v>
      </c>
      <c r="E926" s="347" t="s">
        <v>4240</v>
      </c>
      <c r="F926" s="343" t="s">
        <v>853</v>
      </c>
      <c r="I926" s="345">
        <v>348</v>
      </c>
      <c r="J926" s="347"/>
      <c r="K926" s="345">
        <v>0</v>
      </c>
      <c r="L926" s="347" t="s">
        <v>2245</v>
      </c>
      <c r="M926" s="347"/>
      <c r="N926" s="347" t="s">
        <v>4446</v>
      </c>
      <c r="O926" s="347" t="s">
        <v>4441</v>
      </c>
      <c r="P926" s="347"/>
      <c r="Q926" s="347"/>
      <c r="R926" s="347"/>
      <c r="S926" s="348">
        <v>42116</v>
      </c>
      <c r="T926" s="348">
        <v>42116</v>
      </c>
      <c r="U926" s="347" t="s">
        <v>2268</v>
      </c>
      <c r="V926" s="345">
        <v>700</v>
      </c>
      <c r="W926" s="345">
        <v>14050</v>
      </c>
      <c r="X926" s="349">
        <v>19406.59</v>
      </c>
      <c r="Y926" s="345">
        <v>14056</v>
      </c>
      <c r="Z926" s="349">
        <v>19406.59</v>
      </c>
      <c r="AA926" s="349">
        <f t="shared" si="98"/>
        <v>0</v>
      </c>
      <c r="AB926" s="349">
        <v>0</v>
      </c>
      <c r="AC926" s="345">
        <v>54260</v>
      </c>
      <c r="AD926" s="349">
        <v>0</v>
      </c>
      <c r="AE926" s="345" t="s">
        <v>944</v>
      </c>
      <c r="AF926" s="347"/>
      <c r="AG926" s="347"/>
      <c r="AH926" s="347" t="s">
        <v>57</v>
      </c>
      <c r="AI926" s="347" t="s">
        <v>4442</v>
      </c>
      <c r="AJ926" s="347" t="s">
        <v>4443</v>
      </c>
      <c r="AK926" s="347" t="s">
        <v>4437</v>
      </c>
      <c r="AL926" s="387">
        <v>45574</v>
      </c>
    </row>
    <row r="927" spans="2:38" ht="15.75" outlineLevel="1">
      <c r="B927" s="345">
        <v>2111</v>
      </c>
      <c r="C927" s="346">
        <v>173308</v>
      </c>
      <c r="D927" s="345" t="s">
        <v>944</v>
      </c>
      <c r="E927" s="347" t="s">
        <v>4240</v>
      </c>
      <c r="F927" s="343" t="s">
        <v>1243</v>
      </c>
      <c r="I927" s="345">
        <v>1</v>
      </c>
      <c r="J927" s="347" t="s">
        <v>2271</v>
      </c>
      <c r="K927" s="345">
        <v>2016</v>
      </c>
      <c r="L927" s="347"/>
      <c r="M927" s="347"/>
      <c r="N927" s="347" t="s">
        <v>4445</v>
      </c>
      <c r="O927" s="347" t="s">
        <v>4441</v>
      </c>
      <c r="P927" s="347" t="s">
        <v>4482</v>
      </c>
      <c r="Q927" s="347"/>
      <c r="R927" s="347"/>
      <c r="S927" s="348">
        <v>42155</v>
      </c>
      <c r="T927" s="348">
        <v>42155</v>
      </c>
      <c r="U927" s="347" t="s">
        <v>2272</v>
      </c>
      <c r="V927" s="345">
        <v>1000</v>
      </c>
      <c r="W927" s="345">
        <v>14040</v>
      </c>
      <c r="X927" s="349">
        <v>326336.78000000003</v>
      </c>
      <c r="Y927" s="345">
        <v>14046</v>
      </c>
      <c r="Z927" s="349">
        <v>304580.98</v>
      </c>
      <c r="AA927" s="349">
        <f t="shared" si="98"/>
        <v>21755.800000000047</v>
      </c>
      <c r="AB927" s="349">
        <v>24475.23</v>
      </c>
      <c r="AC927" s="345">
        <v>51260</v>
      </c>
      <c r="AD927" s="349">
        <v>2719.47</v>
      </c>
      <c r="AE927" s="345" t="s">
        <v>944</v>
      </c>
      <c r="AF927" s="347"/>
      <c r="AG927" s="347">
        <v>832</v>
      </c>
      <c r="AH927" s="347" t="s">
        <v>57</v>
      </c>
      <c r="AI927" s="347" t="s">
        <v>4442</v>
      </c>
      <c r="AJ927" s="347" t="s">
        <v>4443</v>
      </c>
      <c r="AK927" s="347" t="s">
        <v>4437</v>
      </c>
      <c r="AL927" s="387">
        <v>45574</v>
      </c>
    </row>
    <row r="928" spans="2:38" ht="15.75" outlineLevel="1">
      <c r="B928" s="345">
        <v>2111</v>
      </c>
      <c r="C928" s="346">
        <v>173307</v>
      </c>
      <c r="D928" s="345" t="s">
        <v>944</v>
      </c>
      <c r="E928" s="347" t="s">
        <v>4240</v>
      </c>
      <c r="F928" s="343" t="s">
        <v>1243</v>
      </c>
      <c r="I928" s="345">
        <v>1</v>
      </c>
      <c r="J928" s="347" t="s">
        <v>2274</v>
      </c>
      <c r="K928" s="345">
        <v>2015</v>
      </c>
      <c r="L928" s="347"/>
      <c r="M928" s="347" t="s">
        <v>1483</v>
      </c>
      <c r="N928" s="347" t="s">
        <v>4445</v>
      </c>
      <c r="O928" s="347" t="s">
        <v>4441</v>
      </c>
      <c r="P928" s="347" t="s">
        <v>4482</v>
      </c>
      <c r="Q928" s="347"/>
      <c r="R928" s="347"/>
      <c r="S928" s="348">
        <v>41942</v>
      </c>
      <c r="T928" s="348">
        <v>41942</v>
      </c>
      <c r="U928" s="347" t="s">
        <v>2275</v>
      </c>
      <c r="V928" s="345">
        <v>1000</v>
      </c>
      <c r="W928" s="345">
        <v>14040</v>
      </c>
      <c r="X928" s="349">
        <v>305787.71000000002</v>
      </c>
      <c r="Y928" s="345">
        <v>14046</v>
      </c>
      <c r="Z928" s="349">
        <v>305787.71000000002</v>
      </c>
      <c r="AA928" s="349">
        <f t="shared" si="98"/>
        <v>0</v>
      </c>
      <c r="AB928" s="349">
        <v>8118.27</v>
      </c>
      <c r="AC928" s="345">
        <v>51260</v>
      </c>
      <c r="AD928" s="349">
        <v>0</v>
      </c>
      <c r="AE928" s="345" t="s">
        <v>944</v>
      </c>
      <c r="AF928" s="347"/>
      <c r="AG928" s="347">
        <v>829</v>
      </c>
      <c r="AH928" s="347" t="s">
        <v>57</v>
      </c>
      <c r="AI928" s="347" t="s">
        <v>4442</v>
      </c>
      <c r="AJ928" s="347" t="s">
        <v>4443</v>
      </c>
      <c r="AK928" s="347" t="s">
        <v>4437</v>
      </c>
      <c r="AL928" s="387">
        <v>45574</v>
      </c>
    </row>
    <row r="929" spans="2:38" ht="15.75" outlineLevel="1">
      <c r="B929" s="345">
        <v>2111</v>
      </c>
      <c r="C929" s="346">
        <v>173306</v>
      </c>
      <c r="D929" s="345">
        <v>173166</v>
      </c>
      <c r="E929" s="347" t="s">
        <v>4240</v>
      </c>
      <c r="F929" s="343" t="s">
        <v>2276</v>
      </c>
      <c r="I929" s="345">
        <v>1</v>
      </c>
      <c r="J929" s="347"/>
      <c r="K929" s="345">
        <v>0</v>
      </c>
      <c r="L929" s="347" t="s">
        <v>2277</v>
      </c>
      <c r="M929" s="347"/>
      <c r="N929" s="347" t="s">
        <v>4445</v>
      </c>
      <c r="O929" s="347" t="s">
        <v>4441</v>
      </c>
      <c r="P929" s="347" t="s">
        <v>1467</v>
      </c>
      <c r="Q929" s="347"/>
      <c r="R929" s="347"/>
      <c r="S929" s="348">
        <v>41852</v>
      </c>
      <c r="T929" s="348">
        <v>41852</v>
      </c>
      <c r="U929" s="347" t="s">
        <v>2278</v>
      </c>
      <c r="V929" s="345">
        <v>300</v>
      </c>
      <c r="W929" s="345">
        <v>14040</v>
      </c>
      <c r="X929" s="349">
        <v>5046.9399999999996</v>
      </c>
      <c r="Y929" s="345">
        <v>14046</v>
      </c>
      <c r="Z929" s="349">
        <v>5046.9399999999996</v>
      </c>
      <c r="AA929" s="349">
        <f t="shared" si="98"/>
        <v>0</v>
      </c>
      <c r="AB929" s="349">
        <v>0</v>
      </c>
      <c r="AC929" s="345">
        <v>51260</v>
      </c>
      <c r="AD929" s="349">
        <v>0</v>
      </c>
      <c r="AE929" s="345" t="s">
        <v>944</v>
      </c>
      <c r="AF929" s="347"/>
      <c r="AG929" s="347"/>
      <c r="AH929" s="347" t="s">
        <v>57</v>
      </c>
      <c r="AI929" s="347" t="s">
        <v>4442</v>
      </c>
      <c r="AJ929" s="347" t="s">
        <v>4443</v>
      </c>
      <c r="AK929" s="347" t="s">
        <v>4437</v>
      </c>
      <c r="AL929" s="387">
        <v>45574</v>
      </c>
    </row>
    <row r="930" spans="2:38" ht="15.75" outlineLevel="1">
      <c r="B930" s="345">
        <v>2111</v>
      </c>
      <c r="C930" s="346">
        <v>173305</v>
      </c>
      <c r="D930" s="345" t="s">
        <v>944</v>
      </c>
      <c r="E930" s="347" t="s">
        <v>4240</v>
      </c>
      <c r="F930" s="343" t="s">
        <v>2279</v>
      </c>
      <c r="I930" s="345">
        <v>1</v>
      </c>
      <c r="J930" s="347"/>
      <c r="K930" s="345">
        <v>0</v>
      </c>
      <c r="L930" s="347" t="s">
        <v>2280</v>
      </c>
      <c r="M930" s="347"/>
      <c r="N930" s="347" t="s">
        <v>4445</v>
      </c>
      <c r="O930" s="347" t="s">
        <v>4441</v>
      </c>
      <c r="P930" s="347" t="s">
        <v>1467</v>
      </c>
      <c r="Q930" s="347"/>
      <c r="R930" s="347"/>
      <c r="S930" s="348">
        <v>41851</v>
      </c>
      <c r="T930" s="348">
        <v>41851</v>
      </c>
      <c r="U930" s="347" t="s">
        <v>2281</v>
      </c>
      <c r="V930" s="345">
        <v>300</v>
      </c>
      <c r="W930" s="345">
        <v>14040</v>
      </c>
      <c r="X930" s="349">
        <v>18555.36</v>
      </c>
      <c r="Y930" s="345">
        <v>14046</v>
      </c>
      <c r="Z930" s="349">
        <v>18555.36</v>
      </c>
      <c r="AA930" s="349">
        <f t="shared" si="98"/>
        <v>0</v>
      </c>
      <c r="AB930" s="349">
        <v>0</v>
      </c>
      <c r="AC930" s="345">
        <v>51260</v>
      </c>
      <c r="AD930" s="349">
        <v>0</v>
      </c>
      <c r="AE930" s="345" t="s">
        <v>944</v>
      </c>
      <c r="AF930" s="347"/>
      <c r="AG930" s="347"/>
      <c r="AH930" s="347" t="s">
        <v>57</v>
      </c>
      <c r="AI930" s="347" t="s">
        <v>4442</v>
      </c>
      <c r="AJ930" s="347" t="s">
        <v>4443</v>
      </c>
      <c r="AK930" s="347" t="s">
        <v>4437</v>
      </c>
      <c r="AL930" s="387">
        <v>45574</v>
      </c>
    </row>
    <row r="931" spans="2:38" ht="15.75" outlineLevel="1">
      <c r="B931" s="345">
        <v>2111</v>
      </c>
      <c r="C931" s="346">
        <v>173304</v>
      </c>
      <c r="D931" s="345" t="s">
        <v>944</v>
      </c>
      <c r="E931" s="347" t="s">
        <v>4240</v>
      </c>
      <c r="F931" s="343" t="s">
        <v>2283</v>
      </c>
      <c r="I931" s="345">
        <v>4</v>
      </c>
      <c r="J931" s="347"/>
      <c r="K931" s="345">
        <v>0</v>
      </c>
      <c r="L931" s="347"/>
      <c r="M931" s="347"/>
      <c r="N931" s="347" t="s">
        <v>4446</v>
      </c>
      <c r="O931" s="347" t="s">
        <v>4441</v>
      </c>
      <c r="P931" s="347"/>
      <c r="Q931" s="347" t="s">
        <v>4501</v>
      </c>
      <c r="R931" s="347" t="s">
        <v>4448</v>
      </c>
      <c r="S931" s="348">
        <v>34576</v>
      </c>
      <c r="T931" s="348">
        <v>34576</v>
      </c>
      <c r="U931" s="347"/>
      <c r="V931" s="345">
        <v>1200</v>
      </c>
      <c r="W931" s="345">
        <v>14050</v>
      </c>
      <c r="X931" s="349">
        <v>828.69</v>
      </c>
      <c r="Y931" s="345">
        <v>14056</v>
      </c>
      <c r="Z931" s="349">
        <v>828.69</v>
      </c>
      <c r="AA931" s="349">
        <f t="shared" si="98"/>
        <v>0</v>
      </c>
      <c r="AB931" s="349">
        <v>0</v>
      </c>
      <c r="AC931" s="345">
        <v>54260</v>
      </c>
      <c r="AD931" s="349">
        <v>0</v>
      </c>
      <c r="AE931" s="345" t="s">
        <v>410</v>
      </c>
      <c r="AF931" s="347" t="s">
        <v>2284</v>
      </c>
      <c r="AG931" s="347" t="s">
        <v>2206</v>
      </c>
      <c r="AH931" s="347" t="s">
        <v>57</v>
      </c>
      <c r="AI931" s="347" t="s">
        <v>4442</v>
      </c>
      <c r="AJ931" s="347" t="s">
        <v>4443</v>
      </c>
      <c r="AK931" s="347" t="s">
        <v>4437</v>
      </c>
      <c r="AL931" s="387">
        <v>45574</v>
      </c>
    </row>
    <row r="932" spans="2:38" ht="15.75" outlineLevel="1">
      <c r="B932" s="345">
        <v>2111</v>
      </c>
      <c r="C932" s="346">
        <v>173303</v>
      </c>
      <c r="D932" s="345" t="s">
        <v>944</v>
      </c>
      <c r="E932" s="347" t="s">
        <v>4240</v>
      </c>
      <c r="F932" s="343" t="s">
        <v>2285</v>
      </c>
      <c r="I932" s="345">
        <v>486</v>
      </c>
      <c r="J932" s="347"/>
      <c r="K932" s="345">
        <v>0</v>
      </c>
      <c r="L932" s="347" t="s">
        <v>2245</v>
      </c>
      <c r="M932" s="347"/>
      <c r="N932" s="347" t="s">
        <v>4446</v>
      </c>
      <c r="O932" s="347" t="s">
        <v>4441</v>
      </c>
      <c r="P932" s="347"/>
      <c r="Q932" s="347"/>
      <c r="R932" s="347"/>
      <c r="S932" s="348">
        <v>41769</v>
      </c>
      <c r="T932" s="348">
        <v>41769</v>
      </c>
      <c r="U932" s="347" t="s">
        <v>2286</v>
      </c>
      <c r="V932" s="345">
        <v>700</v>
      </c>
      <c r="W932" s="345">
        <v>14050</v>
      </c>
      <c r="X932" s="349">
        <v>28330.85</v>
      </c>
      <c r="Y932" s="345">
        <v>14056</v>
      </c>
      <c r="Z932" s="349">
        <v>28330.85</v>
      </c>
      <c r="AA932" s="349">
        <f t="shared" si="98"/>
        <v>0</v>
      </c>
      <c r="AB932" s="349">
        <v>0</v>
      </c>
      <c r="AC932" s="345">
        <v>54260</v>
      </c>
      <c r="AD932" s="349">
        <v>0</v>
      </c>
      <c r="AE932" s="345" t="s">
        <v>944</v>
      </c>
      <c r="AF932" s="347"/>
      <c r="AG932" s="347"/>
      <c r="AH932" s="347" t="s">
        <v>57</v>
      </c>
      <c r="AI932" s="347" t="s">
        <v>4442</v>
      </c>
      <c r="AJ932" s="347" t="s">
        <v>4443</v>
      </c>
      <c r="AK932" s="347" t="s">
        <v>4437</v>
      </c>
      <c r="AL932" s="387">
        <v>45574</v>
      </c>
    </row>
    <row r="933" spans="2:38" ht="15.75" outlineLevel="1">
      <c r="B933" s="345">
        <v>2111</v>
      </c>
      <c r="C933" s="346">
        <v>173302</v>
      </c>
      <c r="D933" s="345" t="s">
        <v>944</v>
      </c>
      <c r="E933" s="347" t="s">
        <v>4240</v>
      </c>
      <c r="F933" s="343" t="s">
        <v>2288</v>
      </c>
      <c r="I933" s="345">
        <v>243</v>
      </c>
      <c r="J933" s="347"/>
      <c r="K933" s="345">
        <v>0</v>
      </c>
      <c r="L933" s="347" t="s">
        <v>2245</v>
      </c>
      <c r="M933" s="347"/>
      <c r="N933" s="347" t="s">
        <v>4446</v>
      </c>
      <c r="O933" s="347" t="s">
        <v>4441</v>
      </c>
      <c r="P933" s="347"/>
      <c r="Q933" s="347"/>
      <c r="R933" s="347"/>
      <c r="S933" s="348">
        <v>41745</v>
      </c>
      <c r="T933" s="348">
        <v>41745</v>
      </c>
      <c r="U933" s="347" t="s">
        <v>2289</v>
      </c>
      <c r="V933" s="345">
        <v>700</v>
      </c>
      <c r="W933" s="345">
        <v>14050</v>
      </c>
      <c r="X933" s="349">
        <v>13865.54</v>
      </c>
      <c r="Y933" s="345">
        <v>14056</v>
      </c>
      <c r="Z933" s="349">
        <v>13865.54</v>
      </c>
      <c r="AA933" s="349">
        <f t="shared" ref="AA933:AA996" si="99">+X933-Z933</f>
        <v>0</v>
      </c>
      <c r="AB933" s="349">
        <v>0</v>
      </c>
      <c r="AC933" s="345">
        <v>54260</v>
      </c>
      <c r="AD933" s="349">
        <v>0</v>
      </c>
      <c r="AE933" s="345" t="s">
        <v>944</v>
      </c>
      <c r="AF933" s="347"/>
      <c r="AG933" s="347"/>
      <c r="AH933" s="347" t="s">
        <v>57</v>
      </c>
      <c r="AI933" s="347" t="s">
        <v>4442</v>
      </c>
      <c r="AJ933" s="347" t="s">
        <v>4443</v>
      </c>
      <c r="AK933" s="347" t="s">
        <v>4437</v>
      </c>
      <c r="AL933" s="387">
        <v>45574</v>
      </c>
    </row>
    <row r="934" spans="2:38" ht="15.75" outlineLevel="1">
      <c r="B934" s="345">
        <v>2111</v>
      </c>
      <c r="C934" s="346">
        <v>173301</v>
      </c>
      <c r="D934" s="345" t="s">
        <v>944</v>
      </c>
      <c r="E934" s="347" t="s">
        <v>4240</v>
      </c>
      <c r="F934" s="343" t="s">
        <v>2291</v>
      </c>
      <c r="I934" s="345">
        <v>243</v>
      </c>
      <c r="J934" s="347"/>
      <c r="K934" s="345">
        <v>0</v>
      </c>
      <c r="L934" s="347" t="s">
        <v>2245</v>
      </c>
      <c r="M934" s="347"/>
      <c r="N934" s="347" t="s">
        <v>4446</v>
      </c>
      <c r="O934" s="347" t="s">
        <v>4441</v>
      </c>
      <c r="P934" s="347"/>
      <c r="Q934" s="347"/>
      <c r="R934" s="347"/>
      <c r="S934" s="348">
        <v>41745</v>
      </c>
      <c r="T934" s="348">
        <v>41745</v>
      </c>
      <c r="U934" s="347" t="s">
        <v>2289</v>
      </c>
      <c r="V934" s="345">
        <v>700</v>
      </c>
      <c r="W934" s="345">
        <v>14050</v>
      </c>
      <c r="X934" s="349">
        <v>14367.99</v>
      </c>
      <c r="Y934" s="345">
        <v>14056</v>
      </c>
      <c r="Z934" s="349">
        <v>14367.99</v>
      </c>
      <c r="AA934" s="349">
        <f t="shared" si="99"/>
        <v>0</v>
      </c>
      <c r="AB934" s="349">
        <v>0</v>
      </c>
      <c r="AC934" s="345">
        <v>54260</v>
      </c>
      <c r="AD934" s="349">
        <v>0</v>
      </c>
      <c r="AE934" s="345" t="s">
        <v>944</v>
      </c>
      <c r="AF934" s="347"/>
      <c r="AG934" s="347"/>
      <c r="AH934" s="347" t="s">
        <v>57</v>
      </c>
      <c r="AI934" s="347" t="s">
        <v>4442</v>
      </c>
      <c r="AJ934" s="347" t="s">
        <v>4443</v>
      </c>
      <c r="AK934" s="347" t="s">
        <v>4437</v>
      </c>
      <c r="AL934" s="387">
        <v>45574</v>
      </c>
    </row>
    <row r="935" spans="2:38" ht="15.75" outlineLevel="1">
      <c r="B935" s="345">
        <v>2111</v>
      </c>
      <c r="C935" s="346">
        <v>173300</v>
      </c>
      <c r="D935" s="345" t="s">
        <v>944</v>
      </c>
      <c r="E935" s="347" t="s">
        <v>4240</v>
      </c>
      <c r="F935" s="343" t="s">
        <v>1243</v>
      </c>
      <c r="I935" s="345">
        <v>1</v>
      </c>
      <c r="J935" s="347" t="s">
        <v>2293</v>
      </c>
      <c r="K935" s="345">
        <v>2014</v>
      </c>
      <c r="L935" s="347" t="s">
        <v>2294</v>
      </c>
      <c r="M935" s="347" t="s">
        <v>1483</v>
      </c>
      <c r="N935" s="347" t="s">
        <v>4445</v>
      </c>
      <c r="O935" s="347" t="s">
        <v>4441</v>
      </c>
      <c r="P935" s="347" t="s">
        <v>4482</v>
      </c>
      <c r="Q935" s="347"/>
      <c r="R935" s="347"/>
      <c r="S935" s="348">
        <v>41640</v>
      </c>
      <c r="T935" s="348">
        <v>41640</v>
      </c>
      <c r="U935" s="347" t="s">
        <v>2295</v>
      </c>
      <c r="V935" s="345">
        <v>911</v>
      </c>
      <c r="W935" s="345">
        <v>14040</v>
      </c>
      <c r="X935" s="349">
        <v>319176.65000000002</v>
      </c>
      <c r="Y935" s="345">
        <v>14046</v>
      </c>
      <c r="Z935" s="349">
        <v>319176.65000000002</v>
      </c>
      <c r="AA935" s="349">
        <f t="shared" si="99"/>
        <v>0</v>
      </c>
      <c r="AB935" s="349">
        <v>0</v>
      </c>
      <c r="AC935" s="345">
        <v>51260</v>
      </c>
      <c r="AD935" s="349">
        <v>0</v>
      </c>
      <c r="AE935" s="345" t="s">
        <v>944</v>
      </c>
      <c r="AF935" s="347"/>
      <c r="AG935" s="347">
        <v>823</v>
      </c>
      <c r="AH935" s="347" t="s">
        <v>57</v>
      </c>
      <c r="AI935" s="347" t="s">
        <v>4442</v>
      </c>
      <c r="AJ935" s="347" t="s">
        <v>4443</v>
      </c>
      <c r="AK935" s="347" t="s">
        <v>4437</v>
      </c>
      <c r="AL935" s="387">
        <v>45574</v>
      </c>
    </row>
    <row r="936" spans="2:38" ht="15.75" outlineLevel="1">
      <c r="B936" s="345">
        <v>2111</v>
      </c>
      <c r="C936" s="346">
        <v>173297</v>
      </c>
      <c r="D936" s="345" t="s">
        <v>944</v>
      </c>
      <c r="E936" s="347" t="s">
        <v>4240</v>
      </c>
      <c r="F936" s="343" t="s">
        <v>512</v>
      </c>
      <c r="I936" s="345">
        <v>486</v>
      </c>
      <c r="J936" s="347"/>
      <c r="K936" s="345">
        <v>0</v>
      </c>
      <c r="L936" s="347" t="s">
        <v>2245</v>
      </c>
      <c r="M936" s="347"/>
      <c r="N936" s="347" t="s">
        <v>4446</v>
      </c>
      <c r="O936" s="347" t="s">
        <v>4441</v>
      </c>
      <c r="P936" s="347"/>
      <c r="Q936" s="347"/>
      <c r="R936" s="347"/>
      <c r="S936" s="348">
        <v>41498</v>
      </c>
      <c r="T936" s="348">
        <v>41498</v>
      </c>
      <c r="U936" s="347" t="s">
        <v>2296</v>
      </c>
      <c r="V936" s="345">
        <v>700</v>
      </c>
      <c r="W936" s="345">
        <v>14050</v>
      </c>
      <c r="X936" s="349">
        <v>26316.799999999999</v>
      </c>
      <c r="Y936" s="345">
        <v>14056</v>
      </c>
      <c r="Z936" s="349">
        <v>26316.799999999999</v>
      </c>
      <c r="AA936" s="349">
        <f t="shared" si="99"/>
        <v>0</v>
      </c>
      <c r="AB936" s="349">
        <v>0</v>
      </c>
      <c r="AC936" s="345">
        <v>54260</v>
      </c>
      <c r="AD936" s="349">
        <v>0</v>
      </c>
      <c r="AE936" s="345" t="s">
        <v>944</v>
      </c>
      <c r="AF936" s="347"/>
      <c r="AG936" s="347"/>
      <c r="AH936" s="347" t="s">
        <v>57</v>
      </c>
      <c r="AI936" s="347" t="s">
        <v>4442</v>
      </c>
      <c r="AJ936" s="347" t="s">
        <v>4443</v>
      </c>
      <c r="AK936" s="347" t="s">
        <v>4437</v>
      </c>
      <c r="AL936" s="387">
        <v>45574</v>
      </c>
    </row>
    <row r="937" spans="2:38" ht="15.75" outlineLevel="1">
      <c r="B937" s="345">
        <v>2111</v>
      </c>
      <c r="C937" s="346">
        <v>173296</v>
      </c>
      <c r="D937" s="345" t="s">
        <v>944</v>
      </c>
      <c r="E937" s="347" t="s">
        <v>4240</v>
      </c>
      <c r="F937" s="343" t="s">
        <v>2298</v>
      </c>
      <c r="I937" s="345">
        <v>1</v>
      </c>
      <c r="J937" s="347" t="s">
        <v>2299</v>
      </c>
      <c r="K937" s="345">
        <v>2013</v>
      </c>
      <c r="L937" s="347" t="s">
        <v>2300</v>
      </c>
      <c r="M937" s="347" t="s">
        <v>2301</v>
      </c>
      <c r="N937" s="347" t="s">
        <v>4445</v>
      </c>
      <c r="O937" s="347" t="s">
        <v>4441</v>
      </c>
      <c r="P937" s="347" t="s">
        <v>4463</v>
      </c>
      <c r="Q937" s="347"/>
      <c r="R937" s="347"/>
      <c r="S937" s="348">
        <v>41274</v>
      </c>
      <c r="T937" s="348">
        <v>41274</v>
      </c>
      <c r="U937" s="347" t="s">
        <v>2302</v>
      </c>
      <c r="V937" s="345">
        <v>1000</v>
      </c>
      <c r="W937" s="345">
        <v>14040</v>
      </c>
      <c r="X937" s="349">
        <v>249953.17</v>
      </c>
      <c r="Y937" s="345">
        <v>14046</v>
      </c>
      <c r="Z937" s="349">
        <v>249953.17</v>
      </c>
      <c r="AA937" s="349">
        <f t="shared" si="99"/>
        <v>0</v>
      </c>
      <c r="AB937" s="349">
        <v>0</v>
      </c>
      <c r="AC937" s="345">
        <v>51260</v>
      </c>
      <c r="AD937" s="349">
        <v>0</v>
      </c>
      <c r="AE937" s="345" t="s">
        <v>944</v>
      </c>
      <c r="AF937" s="347"/>
      <c r="AG937" s="347">
        <v>628</v>
      </c>
      <c r="AH937" s="347" t="s">
        <v>57</v>
      </c>
      <c r="AI937" s="347" t="s">
        <v>4442</v>
      </c>
      <c r="AJ937" s="347" t="s">
        <v>4443</v>
      </c>
      <c r="AK937" s="347" t="s">
        <v>4437</v>
      </c>
      <c r="AL937" s="387">
        <v>45574</v>
      </c>
    </row>
    <row r="938" spans="2:38" ht="15.75" outlineLevel="1">
      <c r="B938" s="345">
        <v>2111</v>
      </c>
      <c r="C938" s="346">
        <v>173294</v>
      </c>
      <c r="D938" s="345" t="s">
        <v>944</v>
      </c>
      <c r="E938" s="347" t="s">
        <v>4240</v>
      </c>
      <c r="F938" s="343" t="s">
        <v>2303</v>
      </c>
      <c r="I938" s="345">
        <v>1</v>
      </c>
      <c r="J938" s="347" t="s">
        <v>2304</v>
      </c>
      <c r="K938" s="345">
        <v>2009</v>
      </c>
      <c r="L938" s="347" t="s">
        <v>2305</v>
      </c>
      <c r="M938" s="347" t="s">
        <v>2306</v>
      </c>
      <c r="N938" s="347" t="s">
        <v>4445</v>
      </c>
      <c r="O938" s="347" t="s">
        <v>4441</v>
      </c>
      <c r="P938" s="347" t="s">
        <v>2306</v>
      </c>
      <c r="Q938" s="347"/>
      <c r="R938" s="347"/>
      <c r="S938" s="348">
        <v>40238</v>
      </c>
      <c r="T938" s="348">
        <v>40238</v>
      </c>
      <c r="U938" s="347" t="s">
        <v>2307</v>
      </c>
      <c r="V938" s="345">
        <v>900</v>
      </c>
      <c r="W938" s="345">
        <v>14040</v>
      </c>
      <c r="X938" s="349">
        <v>33819</v>
      </c>
      <c r="Y938" s="345">
        <v>14046</v>
      </c>
      <c r="Z938" s="349">
        <v>33819</v>
      </c>
      <c r="AA938" s="349">
        <f t="shared" si="99"/>
        <v>0</v>
      </c>
      <c r="AB938" s="349">
        <v>0</v>
      </c>
      <c r="AC938" s="345">
        <v>51260</v>
      </c>
      <c r="AD938" s="349">
        <v>0</v>
      </c>
      <c r="AE938" s="345" t="s">
        <v>944</v>
      </c>
      <c r="AF938" s="347"/>
      <c r="AG938" s="347">
        <v>48</v>
      </c>
      <c r="AH938" s="347" t="s">
        <v>57</v>
      </c>
      <c r="AI938" s="347" t="s">
        <v>4442</v>
      </c>
      <c r="AJ938" s="347" t="s">
        <v>4443</v>
      </c>
      <c r="AK938" s="347" t="s">
        <v>4437</v>
      </c>
      <c r="AL938" s="387">
        <v>45574</v>
      </c>
    </row>
    <row r="939" spans="2:38" ht="15.75" outlineLevel="1">
      <c r="B939" s="345">
        <v>2111</v>
      </c>
      <c r="C939" s="346">
        <v>173293</v>
      </c>
      <c r="D939" s="345" t="s">
        <v>944</v>
      </c>
      <c r="E939" s="347" t="s">
        <v>4240</v>
      </c>
      <c r="F939" s="343" t="s">
        <v>2309</v>
      </c>
      <c r="I939" s="345">
        <v>1</v>
      </c>
      <c r="J939" s="347"/>
      <c r="K939" s="345">
        <v>0</v>
      </c>
      <c r="L939" s="347"/>
      <c r="M939" s="347"/>
      <c r="N939" s="347" t="s">
        <v>4445</v>
      </c>
      <c r="O939" s="347" t="s">
        <v>4441</v>
      </c>
      <c r="P939" s="347" t="s">
        <v>4170</v>
      </c>
      <c r="Q939" s="347"/>
      <c r="R939" s="347"/>
      <c r="S939" s="348">
        <v>39814</v>
      </c>
      <c r="T939" s="348">
        <v>39814</v>
      </c>
      <c r="U939" s="347" t="s">
        <v>2310</v>
      </c>
      <c r="V939" s="345">
        <v>300</v>
      </c>
      <c r="W939" s="345">
        <v>14040</v>
      </c>
      <c r="X939" s="349">
        <v>6818.83</v>
      </c>
      <c r="Y939" s="345">
        <v>14046</v>
      </c>
      <c r="Z939" s="349">
        <v>6818.83</v>
      </c>
      <c r="AA939" s="349">
        <f t="shared" si="99"/>
        <v>0</v>
      </c>
      <c r="AB939" s="349">
        <v>0</v>
      </c>
      <c r="AC939" s="345">
        <v>51260</v>
      </c>
      <c r="AD939" s="349">
        <v>0</v>
      </c>
      <c r="AE939" s="345" t="s">
        <v>944</v>
      </c>
      <c r="AF939" s="347"/>
      <c r="AG939" s="347">
        <v>409</v>
      </c>
      <c r="AH939" s="347" t="s">
        <v>57</v>
      </c>
      <c r="AI939" s="347" t="s">
        <v>4442</v>
      </c>
      <c r="AJ939" s="347" t="s">
        <v>4443</v>
      </c>
      <c r="AK939" s="347" t="s">
        <v>4437</v>
      </c>
      <c r="AL939" s="387">
        <v>45574</v>
      </c>
    </row>
    <row r="940" spans="2:38" ht="15.75" outlineLevel="1">
      <c r="B940" s="345">
        <v>2111</v>
      </c>
      <c r="C940" s="346">
        <v>173292</v>
      </c>
      <c r="D940" s="345" t="s">
        <v>944</v>
      </c>
      <c r="E940" s="347" t="s">
        <v>4240</v>
      </c>
      <c r="F940" s="343" t="s">
        <v>2311</v>
      </c>
      <c r="I940" s="345">
        <v>1</v>
      </c>
      <c r="J940" s="347" t="s">
        <v>2312</v>
      </c>
      <c r="K940" s="345">
        <v>2005</v>
      </c>
      <c r="L940" s="347"/>
      <c r="M940" s="347"/>
      <c r="N940" s="347" t="s">
        <v>4445</v>
      </c>
      <c r="O940" s="347" t="s">
        <v>4441</v>
      </c>
      <c r="P940" s="347" t="s">
        <v>1467</v>
      </c>
      <c r="Q940" s="347"/>
      <c r="R940" s="347"/>
      <c r="S940" s="348">
        <v>38188</v>
      </c>
      <c r="T940" s="348">
        <v>38188</v>
      </c>
      <c r="U940" s="347">
        <v>42111007</v>
      </c>
      <c r="V940" s="345">
        <v>1000</v>
      </c>
      <c r="W940" s="345">
        <v>14040</v>
      </c>
      <c r="X940" s="349">
        <v>32990.49</v>
      </c>
      <c r="Y940" s="345">
        <v>14046</v>
      </c>
      <c r="Z940" s="349">
        <v>32990.49</v>
      </c>
      <c r="AA940" s="349">
        <f t="shared" si="99"/>
        <v>0</v>
      </c>
      <c r="AB940" s="349">
        <v>0</v>
      </c>
      <c r="AC940" s="345">
        <v>51260</v>
      </c>
      <c r="AD940" s="349">
        <v>0</v>
      </c>
      <c r="AE940" s="345" t="s">
        <v>944</v>
      </c>
      <c r="AF940" s="347">
        <v>0</v>
      </c>
      <c r="AG940" s="347"/>
      <c r="AH940" s="347" t="s">
        <v>57</v>
      </c>
      <c r="AI940" s="347" t="s">
        <v>4442</v>
      </c>
      <c r="AJ940" s="347" t="s">
        <v>4443</v>
      </c>
      <c r="AK940" s="347" t="s">
        <v>4437</v>
      </c>
      <c r="AL940" s="387">
        <v>45574</v>
      </c>
    </row>
    <row r="941" spans="2:38" ht="15.75" outlineLevel="1">
      <c r="B941" s="345">
        <v>2111</v>
      </c>
      <c r="C941" s="346">
        <v>173291</v>
      </c>
      <c r="D941" s="345" t="s">
        <v>944</v>
      </c>
      <c r="E941" s="347" t="s">
        <v>4240</v>
      </c>
      <c r="F941" s="343" t="s">
        <v>2313</v>
      </c>
      <c r="I941" s="345">
        <v>1</v>
      </c>
      <c r="J941" s="347" t="s">
        <v>2314</v>
      </c>
      <c r="K941" s="345">
        <v>2005</v>
      </c>
      <c r="L941" s="347" t="s">
        <v>2315</v>
      </c>
      <c r="M941" s="347" t="s">
        <v>2316</v>
      </c>
      <c r="N941" s="347" t="s">
        <v>4445</v>
      </c>
      <c r="O941" s="347" t="s">
        <v>4441</v>
      </c>
      <c r="P941" s="347" t="s">
        <v>1004</v>
      </c>
      <c r="Q941" s="347"/>
      <c r="R941" s="347"/>
      <c r="S941" s="348">
        <v>38139</v>
      </c>
      <c r="T941" s="348">
        <v>38139</v>
      </c>
      <c r="U941" s="347">
        <v>42111007</v>
      </c>
      <c r="V941" s="345">
        <v>1000</v>
      </c>
      <c r="W941" s="345">
        <v>14040</v>
      </c>
      <c r="X941" s="349">
        <v>86270.65</v>
      </c>
      <c r="Y941" s="345">
        <v>14046</v>
      </c>
      <c r="Z941" s="349">
        <v>86270.65</v>
      </c>
      <c r="AA941" s="349">
        <f t="shared" si="99"/>
        <v>0</v>
      </c>
      <c r="AB941" s="349">
        <v>0</v>
      </c>
      <c r="AC941" s="345">
        <v>51260</v>
      </c>
      <c r="AD941" s="349">
        <v>0</v>
      </c>
      <c r="AE941" s="345" t="s">
        <v>944</v>
      </c>
      <c r="AF941" s="347">
        <v>0</v>
      </c>
      <c r="AG941" s="347">
        <v>409</v>
      </c>
      <c r="AH941" s="347" t="s">
        <v>57</v>
      </c>
      <c r="AI941" s="347" t="s">
        <v>4442</v>
      </c>
      <c r="AJ941" s="347" t="s">
        <v>4443</v>
      </c>
      <c r="AK941" s="347" t="s">
        <v>4437</v>
      </c>
      <c r="AL941" s="387">
        <v>45574</v>
      </c>
    </row>
    <row r="942" spans="2:38" ht="15.75" outlineLevel="1">
      <c r="B942" s="345">
        <v>2111</v>
      </c>
      <c r="C942" s="346">
        <v>173290</v>
      </c>
      <c r="D942" s="345" t="s">
        <v>944</v>
      </c>
      <c r="E942" s="347" t="s">
        <v>4240</v>
      </c>
      <c r="F942" s="343" t="s">
        <v>2317</v>
      </c>
      <c r="I942" s="345">
        <v>1</v>
      </c>
      <c r="J942" s="347" t="s">
        <v>2318</v>
      </c>
      <c r="K942" s="345">
        <v>2013</v>
      </c>
      <c r="L942" s="347" t="s">
        <v>2300</v>
      </c>
      <c r="M942" s="347" t="s">
        <v>2301</v>
      </c>
      <c r="N942" s="347" t="s">
        <v>4445</v>
      </c>
      <c r="O942" s="347" t="s">
        <v>4441</v>
      </c>
      <c r="P942" s="347" t="s">
        <v>4463</v>
      </c>
      <c r="Q942" s="347"/>
      <c r="R942" s="347"/>
      <c r="S942" s="348">
        <v>41228</v>
      </c>
      <c r="T942" s="348">
        <v>41228</v>
      </c>
      <c r="U942" s="347" t="s">
        <v>2319</v>
      </c>
      <c r="V942" s="345">
        <v>1000</v>
      </c>
      <c r="W942" s="345">
        <v>14040</v>
      </c>
      <c r="X942" s="349">
        <v>249751.74</v>
      </c>
      <c r="Y942" s="345">
        <v>14046</v>
      </c>
      <c r="Z942" s="349">
        <v>249751.74</v>
      </c>
      <c r="AA942" s="349">
        <f t="shared" si="99"/>
        <v>0</v>
      </c>
      <c r="AB942" s="349">
        <v>0</v>
      </c>
      <c r="AC942" s="345">
        <v>51260</v>
      </c>
      <c r="AD942" s="349">
        <v>0</v>
      </c>
      <c r="AE942" s="345" t="s">
        <v>944</v>
      </c>
      <c r="AF942" s="347"/>
      <c r="AG942" s="347">
        <v>629</v>
      </c>
      <c r="AH942" s="347" t="s">
        <v>57</v>
      </c>
      <c r="AI942" s="347" t="s">
        <v>4442</v>
      </c>
      <c r="AJ942" s="347" t="s">
        <v>4443</v>
      </c>
      <c r="AK942" s="347" t="s">
        <v>4437</v>
      </c>
      <c r="AL942" s="387">
        <v>45574</v>
      </c>
    </row>
    <row r="943" spans="2:38" ht="15.75" outlineLevel="1">
      <c r="B943" s="345">
        <v>2111</v>
      </c>
      <c r="C943" s="346">
        <v>173289</v>
      </c>
      <c r="D943" s="345" t="s">
        <v>944</v>
      </c>
      <c r="E943" s="347" t="s">
        <v>4240</v>
      </c>
      <c r="F943" s="343" t="s">
        <v>2320</v>
      </c>
      <c r="I943" s="345">
        <v>486</v>
      </c>
      <c r="J943" s="347"/>
      <c r="K943" s="345">
        <v>0</v>
      </c>
      <c r="L943" s="347" t="s">
        <v>2245</v>
      </c>
      <c r="M943" s="347"/>
      <c r="N943" s="347" t="s">
        <v>4446</v>
      </c>
      <c r="O943" s="347" t="s">
        <v>4441</v>
      </c>
      <c r="P943" s="347"/>
      <c r="Q943" s="347"/>
      <c r="R943" s="347"/>
      <c r="S943" s="348">
        <v>41177</v>
      </c>
      <c r="T943" s="348">
        <v>41177</v>
      </c>
      <c r="U943" s="347" t="s">
        <v>2321</v>
      </c>
      <c r="V943" s="345">
        <v>700</v>
      </c>
      <c r="W943" s="345">
        <v>14050</v>
      </c>
      <c r="X943" s="349">
        <v>25116.76</v>
      </c>
      <c r="Y943" s="345">
        <v>14056</v>
      </c>
      <c r="Z943" s="349">
        <v>25116.76</v>
      </c>
      <c r="AA943" s="349">
        <f t="shared" si="99"/>
        <v>0</v>
      </c>
      <c r="AB943" s="349">
        <v>0</v>
      </c>
      <c r="AC943" s="345">
        <v>54260</v>
      </c>
      <c r="AD943" s="349">
        <v>0</v>
      </c>
      <c r="AE943" s="345" t="s">
        <v>944</v>
      </c>
      <c r="AF943" s="347"/>
      <c r="AG943" s="347"/>
      <c r="AH943" s="347" t="s">
        <v>57</v>
      </c>
      <c r="AI943" s="347" t="s">
        <v>4442</v>
      </c>
      <c r="AJ943" s="347" t="s">
        <v>4443</v>
      </c>
      <c r="AK943" s="347" t="s">
        <v>4437</v>
      </c>
      <c r="AL943" s="387">
        <v>45574</v>
      </c>
    </row>
    <row r="944" spans="2:38" ht="15.75" outlineLevel="1">
      <c r="B944" s="345">
        <v>2111</v>
      </c>
      <c r="C944" s="346">
        <v>173288</v>
      </c>
      <c r="D944" s="345" t="s">
        <v>944</v>
      </c>
      <c r="E944" s="347" t="s">
        <v>4240</v>
      </c>
      <c r="F944" s="343" t="s">
        <v>2323</v>
      </c>
      <c r="I944" s="345">
        <v>1</v>
      </c>
      <c r="J944" s="347" t="s">
        <v>2324</v>
      </c>
      <c r="K944" s="345">
        <v>2010</v>
      </c>
      <c r="L944" s="347" t="s">
        <v>2325</v>
      </c>
      <c r="M944" s="347" t="s">
        <v>2326</v>
      </c>
      <c r="N944" s="347" t="s">
        <v>4445</v>
      </c>
      <c r="O944" s="347" t="s">
        <v>4441</v>
      </c>
      <c r="P944" s="347" t="s">
        <v>4478</v>
      </c>
      <c r="Q944" s="347"/>
      <c r="R944" s="347"/>
      <c r="S944" s="348">
        <v>41030</v>
      </c>
      <c r="T944" s="348">
        <v>41030</v>
      </c>
      <c r="U944" s="347" t="s">
        <v>2327</v>
      </c>
      <c r="V944" s="345">
        <v>300</v>
      </c>
      <c r="W944" s="345">
        <v>14040</v>
      </c>
      <c r="X944" s="349">
        <v>26700</v>
      </c>
      <c r="Y944" s="345">
        <v>14046</v>
      </c>
      <c r="Z944" s="349">
        <v>26700</v>
      </c>
      <c r="AA944" s="349">
        <f t="shared" si="99"/>
        <v>0</v>
      </c>
      <c r="AB944" s="349">
        <v>0</v>
      </c>
      <c r="AC944" s="345">
        <v>51260</v>
      </c>
      <c r="AD944" s="349">
        <v>0</v>
      </c>
      <c r="AE944" s="345" t="s">
        <v>944</v>
      </c>
      <c r="AF944" s="347"/>
      <c r="AG944" s="347">
        <v>9</v>
      </c>
      <c r="AH944" s="347" t="s">
        <v>57</v>
      </c>
      <c r="AI944" s="347" t="s">
        <v>4442</v>
      </c>
      <c r="AJ944" s="347" t="s">
        <v>4443</v>
      </c>
      <c r="AK944" s="347" t="s">
        <v>4437</v>
      </c>
      <c r="AL944" s="387">
        <v>45574</v>
      </c>
    </row>
    <row r="945" spans="2:38" ht="15.75" outlineLevel="1">
      <c r="B945" s="345">
        <v>2111</v>
      </c>
      <c r="C945" s="346">
        <v>173287</v>
      </c>
      <c r="D945" s="345" t="s">
        <v>944</v>
      </c>
      <c r="E945" s="347" t="s">
        <v>4240</v>
      </c>
      <c r="F945" s="343" t="s">
        <v>2328</v>
      </c>
      <c r="I945" s="345">
        <v>1</v>
      </c>
      <c r="J945" s="347" t="s">
        <v>2329</v>
      </c>
      <c r="K945" s="345">
        <v>2008</v>
      </c>
      <c r="L945" s="347"/>
      <c r="M945" s="347"/>
      <c r="N945" s="347" t="s">
        <v>4445</v>
      </c>
      <c r="O945" s="347" t="s">
        <v>4441</v>
      </c>
      <c r="P945" s="347" t="s">
        <v>4487</v>
      </c>
      <c r="Q945" s="347"/>
      <c r="R945" s="347"/>
      <c r="S945" s="348">
        <v>39661</v>
      </c>
      <c r="T945" s="348">
        <v>39661</v>
      </c>
      <c r="U945" s="347" t="s">
        <v>2330</v>
      </c>
      <c r="V945" s="345">
        <v>900</v>
      </c>
      <c r="W945" s="345">
        <v>14040</v>
      </c>
      <c r="X945" s="349">
        <v>113448.07</v>
      </c>
      <c r="Y945" s="345">
        <v>14046</v>
      </c>
      <c r="Z945" s="349">
        <v>113448.07</v>
      </c>
      <c r="AA945" s="349">
        <f t="shared" si="99"/>
        <v>0</v>
      </c>
      <c r="AB945" s="349">
        <v>0</v>
      </c>
      <c r="AC945" s="345">
        <v>51260</v>
      </c>
      <c r="AD945" s="349">
        <v>0</v>
      </c>
      <c r="AE945" s="345" t="s">
        <v>944</v>
      </c>
      <c r="AF945" s="347"/>
      <c r="AG945" s="347"/>
      <c r="AH945" s="347" t="s">
        <v>57</v>
      </c>
      <c r="AI945" s="347" t="s">
        <v>4442</v>
      </c>
      <c r="AJ945" s="347" t="s">
        <v>4443</v>
      </c>
      <c r="AK945" s="347" t="s">
        <v>4437</v>
      </c>
      <c r="AL945" s="387">
        <v>45574</v>
      </c>
    </row>
    <row r="946" spans="2:38" ht="15.75" outlineLevel="1">
      <c r="B946" s="345">
        <v>2111</v>
      </c>
      <c r="C946" s="346">
        <v>173286</v>
      </c>
      <c r="D946" s="345" t="s">
        <v>944</v>
      </c>
      <c r="E946" s="347" t="s">
        <v>4240</v>
      </c>
      <c r="F946" s="343" t="s">
        <v>2332</v>
      </c>
      <c r="I946" s="345">
        <v>1</v>
      </c>
      <c r="J946" s="347"/>
      <c r="K946" s="345">
        <v>0</v>
      </c>
      <c r="L946" s="347" t="s">
        <v>2333</v>
      </c>
      <c r="M946" s="347"/>
      <c r="N946" s="347" t="s">
        <v>4451</v>
      </c>
      <c r="O946" s="347" t="s">
        <v>4441</v>
      </c>
      <c r="P946" s="347"/>
      <c r="Q946" s="347"/>
      <c r="R946" s="347"/>
      <c r="S946" s="348">
        <v>40892</v>
      </c>
      <c r="T946" s="348">
        <v>40892</v>
      </c>
      <c r="U946" s="347" t="s">
        <v>2334</v>
      </c>
      <c r="V946" s="345">
        <v>500</v>
      </c>
      <c r="W946" s="345">
        <v>14070</v>
      </c>
      <c r="X946" s="349">
        <v>131.16</v>
      </c>
      <c r="Y946" s="345">
        <v>14076</v>
      </c>
      <c r="Z946" s="349">
        <v>131.16</v>
      </c>
      <c r="AA946" s="349">
        <f t="shared" si="99"/>
        <v>0</v>
      </c>
      <c r="AB946" s="349">
        <v>0</v>
      </c>
      <c r="AC946" s="345">
        <v>51260</v>
      </c>
      <c r="AD946" s="349">
        <v>0</v>
      </c>
      <c r="AE946" s="345" t="s">
        <v>944</v>
      </c>
      <c r="AF946" s="347"/>
      <c r="AG946" s="347"/>
      <c r="AH946" s="347" t="s">
        <v>57</v>
      </c>
      <c r="AI946" s="347" t="s">
        <v>4442</v>
      </c>
      <c r="AJ946" s="347" t="s">
        <v>4443</v>
      </c>
      <c r="AK946" s="347" t="s">
        <v>4437</v>
      </c>
      <c r="AL946" s="387">
        <v>45574</v>
      </c>
    </row>
    <row r="947" spans="2:38" ht="15.75" outlineLevel="1">
      <c r="B947" s="345">
        <v>2111</v>
      </c>
      <c r="C947" s="346">
        <v>173285</v>
      </c>
      <c r="D947" s="345" t="s">
        <v>944</v>
      </c>
      <c r="E947" s="347" t="s">
        <v>4240</v>
      </c>
      <c r="F947" s="343" t="s">
        <v>2335</v>
      </c>
      <c r="I947" s="345">
        <v>1</v>
      </c>
      <c r="J947" s="347"/>
      <c r="K947" s="345">
        <v>0</v>
      </c>
      <c r="L947" s="347" t="s">
        <v>2333</v>
      </c>
      <c r="M947" s="347"/>
      <c r="N947" s="347" t="s">
        <v>4451</v>
      </c>
      <c r="O947" s="347" t="s">
        <v>4441</v>
      </c>
      <c r="P947" s="347"/>
      <c r="Q947" s="347"/>
      <c r="R947" s="347"/>
      <c r="S947" s="348">
        <v>40892</v>
      </c>
      <c r="T947" s="348">
        <v>40892</v>
      </c>
      <c r="U947" s="347" t="s">
        <v>2334</v>
      </c>
      <c r="V947" s="345">
        <v>500</v>
      </c>
      <c r="W947" s="345">
        <v>14070</v>
      </c>
      <c r="X947" s="349">
        <v>2437.25</v>
      </c>
      <c r="Y947" s="345">
        <v>14076</v>
      </c>
      <c r="Z947" s="349">
        <v>2437.25</v>
      </c>
      <c r="AA947" s="349">
        <f t="shared" si="99"/>
        <v>0</v>
      </c>
      <c r="AB947" s="349">
        <v>0</v>
      </c>
      <c r="AC947" s="345">
        <v>51260</v>
      </c>
      <c r="AD947" s="349">
        <v>0</v>
      </c>
      <c r="AE947" s="345" t="s">
        <v>944</v>
      </c>
      <c r="AF947" s="347"/>
      <c r="AG947" s="347"/>
      <c r="AH947" s="347" t="s">
        <v>57</v>
      </c>
      <c r="AI947" s="347" t="s">
        <v>4442</v>
      </c>
      <c r="AJ947" s="347" t="s">
        <v>4443</v>
      </c>
      <c r="AK947" s="347" t="s">
        <v>4437</v>
      </c>
      <c r="AL947" s="387">
        <v>45574</v>
      </c>
    </row>
    <row r="948" spans="2:38" ht="15.75" outlineLevel="1">
      <c r="B948" s="345">
        <v>2111</v>
      </c>
      <c r="C948" s="346">
        <v>173284</v>
      </c>
      <c r="D948" s="345" t="s">
        <v>944</v>
      </c>
      <c r="E948" s="347" t="s">
        <v>4240</v>
      </c>
      <c r="F948" s="343" t="s">
        <v>2336</v>
      </c>
      <c r="I948" s="345">
        <v>1</v>
      </c>
      <c r="J948" s="347" t="s">
        <v>2337</v>
      </c>
      <c r="K948" s="345">
        <v>2012</v>
      </c>
      <c r="L948" s="347" t="s">
        <v>2338</v>
      </c>
      <c r="M948" s="347"/>
      <c r="N948" s="347" t="s">
        <v>4445</v>
      </c>
      <c r="O948" s="347" t="s">
        <v>4441</v>
      </c>
      <c r="P948" s="347" t="s">
        <v>4490</v>
      </c>
      <c r="Q948" s="347"/>
      <c r="R948" s="347"/>
      <c r="S948" s="348">
        <v>40908</v>
      </c>
      <c r="T948" s="348">
        <v>40908</v>
      </c>
      <c r="U948" s="347" t="s">
        <v>2339</v>
      </c>
      <c r="V948" s="345">
        <v>700</v>
      </c>
      <c r="W948" s="345">
        <v>14040</v>
      </c>
      <c r="X948" s="349">
        <v>105733.19</v>
      </c>
      <c r="Y948" s="345">
        <v>14046</v>
      </c>
      <c r="Z948" s="349">
        <v>105733.19</v>
      </c>
      <c r="AA948" s="349">
        <f t="shared" si="99"/>
        <v>0</v>
      </c>
      <c r="AB948" s="349">
        <v>0</v>
      </c>
      <c r="AC948" s="345">
        <v>51260</v>
      </c>
      <c r="AD948" s="349">
        <v>0</v>
      </c>
      <c r="AE948" s="345" t="s">
        <v>944</v>
      </c>
      <c r="AF948" s="347"/>
      <c r="AG948" s="347">
        <v>139</v>
      </c>
      <c r="AH948" s="347" t="s">
        <v>57</v>
      </c>
      <c r="AI948" s="347" t="s">
        <v>4442</v>
      </c>
      <c r="AJ948" s="347" t="s">
        <v>4443</v>
      </c>
      <c r="AK948" s="347" t="s">
        <v>4437</v>
      </c>
      <c r="AL948" s="387">
        <v>45574</v>
      </c>
    </row>
    <row r="949" spans="2:38" ht="15.75" outlineLevel="1">
      <c r="B949" s="345">
        <v>2111</v>
      </c>
      <c r="C949" s="346">
        <v>173283</v>
      </c>
      <c r="D949" s="345" t="s">
        <v>944</v>
      </c>
      <c r="E949" s="347" t="s">
        <v>4240</v>
      </c>
      <c r="F949" s="343" t="s">
        <v>2341</v>
      </c>
      <c r="I949" s="345">
        <v>624</v>
      </c>
      <c r="J949" s="347"/>
      <c r="K949" s="345">
        <v>0</v>
      </c>
      <c r="L949" s="347" t="s">
        <v>2342</v>
      </c>
      <c r="M949" s="347"/>
      <c r="N949" s="347" t="s">
        <v>4446</v>
      </c>
      <c r="O949" s="347" t="s">
        <v>4441</v>
      </c>
      <c r="P949" s="347"/>
      <c r="Q949" s="347"/>
      <c r="R949" s="347"/>
      <c r="S949" s="348">
        <v>40663</v>
      </c>
      <c r="T949" s="348">
        <v>40663</v>
      </c>
      <c r="U949" s="347" t="s">
        <v>2343</v>
      </c>
      <c r="V949" s="345">
        <v>700</v>
      </c>
      <c r="W949" s="345">
        <v>14050</v>
      </c>
      <c r="X949" s="349">
        <v>32802.68</v>
      </c>
      <c r="Y949" s="345">
        <v>14056</v>
      </c>
      <c r="Z949" s="349">
        <v>32802.68</v>
      </c>
      <c r="AA949" s="349">
        <f t="shared" si="99"/>
        <v>0</v>
      </c>
      <c r="AB949" s="349">
        <v>0</v>
      </c>
      <c r="AC949" s="345">
        <v>54260</v>
      </c>
      <c r="AD949" s="349">
        <v>0</v>
      </c>
      <c r="AE949" s="345" t="s">
        <v>944</v>
      </c>
      <c r="AF949" s="347"/>
      <c r="AG949" s="347"/>
      <c r="AH949" s="347" t="s">
        <v>57</v>
      </c>
      <c r="AI949" s="347" t="s">
        <v>4442</v>
      </c>
      <c r="AJ949" s="347" t="s">
        <v>4443</v>
      </c>
      <c r="AK949" s="347" t="s">
        <v>4437</v>
      </c>
      <c r="AL949" s="387">
        <v>45574</v>
      </c>
    </row>
    <row r="950" spans="2:38" ht="15.75" outlineLevel="1">
      <c r="B950" s="345">
        <v>2111</v>
      </c>
      <c r="C950" s="346">
        <v>173282</v>
      </c>
      <c r="D950" s="345" t="s">
        <v>944</v>
      </c>
      <c r="E950" s="347" t="s">
        <v>4240</v>
      </c>
      <c r="F950" s="343" t="s">
        <v>2344</v>
      </c>
      <c r="I950" s="345">
        <v>624</v>
      </c>
      <c r="J950" s="347"/>
      <c r="K950" s="345">
        <v>0</v>
      </c>
      <c r="L950" s="347" t="s">
        <v>2345</v>
      </c>
      <c r="M950" s="347"/>
      <c r="N950" s="347" t="s">
        <v>4446</v>
      </c>
      <c r="O950" s="347" t="s">
        <v>4441</v>
      </c>
      <c r="P950" s="347"/>
      <c r="Q950" s="347"/>
      <c r="R950" s="347"/>
      <c r="S950" s="348">
        <v>40644</v>
      </c>
      <c r="T950" s="348">
        <v>40644</v>
      </c>
      <c r="U950" s="347" t="s">
        <v>2343</v>
      </c>
      <c r="V950" s="345">
        <v>700</v>
      </c>
      <c r="W950" s="345">
        <v>14050</v>
      </c>
      <c r="X950" s="349">
        <v>32802.68</v>
      </c>
      <c r="Y950" s="345">
        <v>14056</v>
      </c>
      <c r="Z950" s="349">
        <v>32802.68</v>
      </c>
      <c r="AA950" s="349">
        <f t="shared" si="99"/>
        <v>0</v>
      </c>
      <c r="AB950" s="349">
        <v>0</v>
      </c>
      <c r="AC950" s="345">
        <v>54260</v>
      </c>
      <c r="AD950" s="349">
        <v>0</v>
      </c>
      <c r="AE950" s="345" t="s">
        <v>944</v>
      </c>
      <c r="AF950" s="347"/>
      <c r="AG950" s="347"/>
      <c r="AH950" s="347" t="s">
        <v>57</v>
      </c>
      <c r="AI950" s="347" t="s">
        <v>4442</v>
      </c>
      <c r="AJ950" s="347" t="s">
        <v>4443</v>
      </c>
      <c r="AK950" s="347" t="s">
        <v>4437</v>
      </c>
      <c r="AL950" s="387">
        <v>45574</v>
      </c>
    </row>
    <row r="951" spans="2:38" ht="15.75" outlineLevel="1">
      <c r="B951" s="345">
        <v>2111</v>
      </c>
      <c r="C951" s="346">
        <v>173281</v>
      </c>
      <c r="D951" s="345" t="s">
        <v>944</v>
      </c>
      <c r="E951" s="347" t="s">
        <v>4240</v>
      </c>
      <c r="F951" s="343" t="s">
        <v>2346</v>
      </c>
      <c r="I951" s="345">
        <v>1</v>
      </c>
      <c r="J951" s="347"/>
      <c r="K951" s="345">
        <v>0</v>
      </c>
      <c r="L951" s="347" t="s">
        <v>2347</v>
      </c>
      <c r="M951" s="347"/>
      <c r="N951" s="347" t="s">
        <v>4440</v>
      </c>
      <c r="O951" s="347" t="s">
        <v>4441</v>
      </c>
      <c r="P951" s="347"/>
      <c r="Q951" s="347"/>
      <c r="R951" s="347"/>
      <c r="S951" s="348">
        <v>40527</v>
      </c>
      <c r="T951" s="348">
        <v>40527</v>
      </c>
      <c r="U951" s="347" t="s">
        <v>2348</v>
      </c>
      <c r="V951" s="345">
        <v>300</v>
      </c>
      <c r="W951" s="345">
        <v>14110</v>
      </c>
      <c r="X951" s="349">
        <v>875</v>
      </c>
      <c r="Y951" s="345">
        <v>14116</v>
      </c>
      <c r="Z951" s="349">
        <v>875</v>
      </c>
      <c r="AA951" s="349">
        <f t="shared" si="99"/>
        <v>0</v>
      </c>
      <c r="AB951" s="349">
        <v>0</v>
      </c>
      <c r="AC951" s="345">
        <v>70260</v>
      </c>
      <c r="AD951" s="349">
        <v>0</v>
      </c>
      <c r="AE951" s="345" t="s">
        <v>944</v>
      </c>
      <c r="AF951" s="347"/>
      <c r="AG951" s="347"/>
      <c r="AH951" s="347" t="s">
        <v>57</v>
      </c>
      <c r="AI951" s="347" t="s">
        <v>4442</v>
      </c>
      <c r="AJ951" s="347" t="s">
        <v>4443</v>
      </c>
      <c r="AK951" s="347" t="s">
        <v>4437</v>
      </c>
      <c r="AL951" s="387">
        <v>45574</v>
      </c>
    </row>
    <row r="952" spans="2:38" ht="15.75" outlineLevel="1">
      <c r="B952" s="345">
        <v>2111</v>
      </c>
      <c r="C952" s="346">
        <v>173280</v>
      </c>
      <c r="D952" s="345" t="s">
        <v>944</v>
      </c>
      <c r="E952" s="347" t="s">
        <v>4240</v>
      </c>
      <c r="F952" s="343" t="s">
        <v>514</v>
      </c>
      <c r="I952" s="345">
        <v>486</v>
      </c>
      <c r="J952" s="347"/>
      <c r="K952" s="345">
        <v>0</v>
      </c>
      <c r="L952" s="347" t="s">
        <v>2245</v>
      </c>
      <c r="M952" s="347"/>
      <c r="N952" s="347" t="s">
        <v>4446</v>
      </c>
      <c r="O952" s="347" t="s">
        <v>4441</v>
      </c>
      <c r="P952" s="347"/>
      <c r="Q952" s="347"/>
      <c r="R952" s="347"/>
      <c r="S952" s="348">
        <v>40509</v>
      </c>
      <c r="T952" s="348">
        <v>40509</v>
      </c>
      <c r="U952" s="347" t="s">
        <v>2349</v>
      </c>
      <c r="V952" s="345">
        <v>700</v>
      </c>
      <c r="W952" s="345">
        <v>14050</v>
      </c>
      <c r="X952" s="349">
        <v>23340.85</v>
      </c>
      <c r="Y952" s="345">
        <v>14056</v>
      </c>
      <c r="Z952" s="349">
        <v>23340.85</v>
      </c>
      <c r="AA952" s="349">
        <f t="shared" si="99"/>
        <v>0</v>
      </c>
      <c r="AB952" s="349">
        <v>0</v>
      </c>
      <c r="AC952" s="345">
        <v>54260</v>
      </c>
      <c r="AD952" s="349">
        <v>0</v>
      </c>
      <c r="AE952" s="345" t="s">
        <v>944</v>
      </c>
      <c r="AF952" s="347"/>
      <c r="AG952" s="347"/>
      <c r="AH952" s="347" t="s">
        <v>57</v>
      </c>
      <c r="AI952" s="347" t="s">
        <v>4442</v>
      </c>
      <c r="AJ952" s="347" t="s">
        <v>4443</v>
      </c>
      <c r="AK952" s="347" t="s">
        <v>4437</v>
      </c>
      <c r="AL952" s="387">
        <v>45574</v>
      </c>
    </row>
    <row r="953" spans="2:38" ht="15.75" outlineLevel="1">
      <c r="B953" s="345">
        <v>2111</v>
      </c>
      <c r="C953" s="346">
        <v>173279</v>
      </c>
      <c r="D953" s="345" t="s">
        <v>944</v>
      </c>
      <c r="E953" s="347" t="s">
        <v>4240</v>
      </c>
      <c r="F953" s="343" t="s">
        <v>514</v>
      </c>
      <c r="I953" s="345">
        <v>486</v>
      </c>
      <c r="J953" s="347"/>
      <c r="K953" s="345">
        <v>0</v>
      </c>
      <c r="L953" s="347" t="s">
        <v>2245</v>
      </c>
      <c r="M953" s="347"/>
      <c r="N953" s="347" t="s">
        <v>4446</v>
      </c>
      <c r="O953" s="347" t="s">
        <v>4441</v>
      </c>
      <c r="P953" s="347"/>
      <c r="Q953" s="347"/>
      <c r="R953" s="347"/>
      <c r="S953" s="348">
        <v>40509</v>
      </c>
      <c r="T953" s="348">
        <v>40509</v>
      </c>
      <c r="U953" s="347" t="s">
        <v>2349</v>
      </c>
      <c r="V953" s="345">
        <v>700</v>
      </c>
      <c r="W953" s="345">
        <v>14050</v>
      </c>
      <c r="X953" s="349">
        <v>23340.85</v>
      </c>
      <c r="Y953" s="345">
        <v>14056</v>
      </c>
      <c r="Z953" s="349">
        <v>23340.85</v>
      </c>
      <c r="AA953" s="349">
        <f t="shared" si="99"/>
        <v>0</v>
      </c>
      <c r="AB953" s="349">
        <v>0</v>
      </c>
      <c r="AC953" s="345">
        <v>54260</v>
      </c>
      <c r="AD953" s="349">
        <v>0</v>
      </c>
      <c r="AE953" s="345" t="s">
        <v>944</v>
      </c>
      <c r="AF953" s="347"/>
      <c r="AG953" s="347"/>
      <c r="AH953" s="347" t="s">
        <v>57</v>
      </c>
      <c r="AI953" s="347" t="s">
        <v>4442</v>
      </c>
      <c r="AJ953" s="347" t="s">
        <v>4443</v>
      </c>
      <c r="AK953" s="347" t="s">
        <v>4437</v>
      </c>
      <c r="AL953" s="387">
        <v>45574</v>
      </c>
    </row>
    <row r="954" spans="2:38" ht="15.75" outlineLevel="1">
      <c r="B954" s="345">
        <v>2111</v>
      </c>
      <c r="C954" s="346">
        <v>173278</v>
      </c>
      <c r="D954" s="345" t="s">
        <v>944</v>
      </c>
      <c r="E954" s="347" t="s">
        <v>4240</v>
      </c>
      <c r="F954" s="343" t="s">
        <v>2352</v>
      </c>
      <c r="I954" s="345">
        <v>9</v>
      </c>
      <c r="J954" s="347"/>
      <c r="K954" s="345">
        <v>0</v>
      </c>
      <c r="L954" s="347" t="s">
        <v>2257</v>
      </c>
      <c r="M954" s="347"/>
      <c r="N954" s="347" t="s">
        <v>4446</v>
      </c>
      <c r="O954" s="347" t="s">
        <v>4441</v>
      </c>
      <c r="P954" s="347"/>
      <c r="Q954" s="347" t="s">
        <v>4461</v>
      </c>
      <c r="R954" s="347" t="s">
        <v>4450</v>
      </c>
      <c r="S954" s="348">
        <v>40350</v>
      </c>
      <c r="T954" s="348">
        <v>40350</v>
      </c>
      <c r="U954" s="347" t="s">
        <v>2353</v>
      </c>
      <c r="V954" s="345">
        <v>1200</v>
      </c>
      <c r="W954" s="345">
        <v>14050</v>
      </c>
      <c r="X954" s="349">
        <v>4033.17</v>
      </c>
      <c r="Y954" s="345">
        <v>14056</v>
      </c>
      <c r="Z954" s="349">
        <v>4033.17</v>
      </c>
      <c r="AA954" s="349">
        <f t="shared" si="99"/>
        <v>0</v>
      </c>
      <c r="AB954" s="349">
        <v>0</v>
      </c>
      <c r="AC954" s="345">
        <v>54260</v>
      </c>
      <c r="AD954" s="349">
        <v>0</v>
      </c>
      <c r="AE954" s="345" t="s">
        <v>944</v>
      </c>
      <c r="AF954" s="347"/>
      <c r="AG954" s="347"/>
      <c r="AH954" s="347" t="s">
        <v>57</v>
      </c>
      <c r="AI954" s="347" t="s">
        <v>4442</v>
      </c>
      <c r="AJ954" s="347" t="s">
        <v>4443</v>
      </c>
      <c r="AK954" s="347" t="s">
        <v>4437</v>
      </c>
      <c r="AL954" s="387">
        <v>45574</v>
      </c>
    </row>
    <row r="955" spans="2:38" ht="15.75" outlineLevel="1">
      <c r="B955" s="345">
        <v>2111</v>
      </c>
      <c r="C955" s="346">
        <v>173277</v>
      </c>
      <c r="D955" s="345" t="s">
        <v>944</v>
      </c>
      <c r="E955" s="347" t="s">
        <v>4240</v>
      </c>
      <c r="F955" s="343" t="s">
        <v>675</v>
      </c>
      <c r="I955" s="345">
        <v>10</v>
      </c>
      <c r="J955" s="347"/>
      <c r="K955" s="345">
        <v>0</v>
      </c>
      <c r="L955" s="347" t="s">
        <v>2257</v>
      </c>
      <c r="M955" s="347"/>
      <c r="N955" s="347" t="s">
        <v>4446</v>
      </c>
      <c r="O955" s="347" t="s">
        <v>4441</v>
      </c>
      <c r="P955" s="347"/>
      <c r="Q955" s="347" t="s">
        <v>4449</v>
      </c>
      <c r="R955" s="347" t="s">
        <v>4450</v>
      </c>
      <c r="S955" s="348">
        <v>40345</v>
      </c>
      <c r="T955" s="348">
        <v>40345</v>
      </c>
      <c r="U955" s="347" t="s">
        <v>2354</v>
      </c>
      <c r="V955" s="345">
        <v>1200</v>
      </c>
      <c r="W955" s="345">
        <v>14050</v>
      </c>
      <c r="X955" s="349">
        <v>4109.68</v>
      </c>
      <c r="Y955" s="345">
        <v>14056</v>
      </c>
      <c r="Z955" s="349">
        <v>4109.68</v>
      </c>
      <c r="AA955" s="349">
        <f t="shared" si="99"/>
        <v>0</v>
      </c>
      <c r="AB955" s="349">
        <v>0</v>
      </c>
      <c r="AC955" s="345">
        <v>54260</v>
      </c>
      <c r="AD955" s="349">
        <v>0</v>
      </c>
      <c r="AE955" s="345" t="s">
        <v>944</v>
      </c>
      <c r="AF955" s="347"/>
      <c r="AG955" s="347"/>
      <c r="AH955" s="347" t="s">
        <v>57</v>
      </c>
      <c r="AI955" s="347" t="s">
        <v>4442</v>
      </c>
      <c r="AJ955" s="347" t="s">
        <v>4443</v>
      </c>
      <c r="AK955" s="347" t="s">
        <v>4437</v>
      </c>
      <c r="AL955" s="387">
        <v>45574</v>
      </c>
    </row>
    <row r="956" spans="2:38" ht="15.75" outlineLevel="1">
      <c r="B956" s="345">
        <v>2111</v>
      </c>
      <c r="C956" s="346">
        <v>173276</v>
      </c>
      <c r="D956" s="345" t="s">
        <v>944</v>
      </c>
      <c r="E956" s="347" t="s">
        <v>4240</v>
      </c>
      <c r="F956" s="343" t="s">
        <v>2355</v>
      </c>
      <c r="I956" s="345">
        <v>486</v>
      </c>
      <c r="J956" s="347"/>
      <c r="K956" s="345">
        <v>0</v>
      </c>
      <c r="L956" s="347" t="s">
        <v>2245</v>
      </c>
      <c r="M956" s="347"/>
      <c r="N956" s="347" t="s">
        <v>4446</v>
      </c>
      <c r="O956" s="347" t="s">
        <v>4441</v>
      </c>
      <c r="P956" s="347"/>
      <c r="Q956" s="347"/>
      <c r="R956" s="347"/>
      <c r="S956" s="348">
        <v>40370</v>
      </c>
      <c r="T956" s="348">
        <v>40370</v>
      </c>
      <c r="U956" s="347" t="s">
        <v>2349</v>
      </c>
      <c r="V956" s="345">
        <v>700</v>
      </c>
      <c r="W956" s="345">
        <v>14050</v>
      </c>
      <c r="X956" s="349">
        <v>24211.15</v>
      </c>
      <c r="Y956" s="345">
        <v>14056</v>
      </c>
      <c r="Z956" s="349">
        <v>24211.15</v>
      </c>
      <c r="AA956" s="349">
        <f t="shared" si="99"/>
        <v>0</v>
      </c>
      <c r="AB956" s="349">
        <v>0</v>
      </c>
      <c r="AC956" s="345">
        <v>54260</v>
      </c>
      <c r="AD956" s="349">
        <v>0</v>
      </c>
      <c r="AE956" s="345" t="s">
        <v>944</v>
      </c>
      <c r="AF956" s="347"/>
      <c r="AG956" s="347"/>
      <c r="AH956" s="347" t="s">
        <v>57</v>
      </c>
      <c r="AI956" s="347" t="s">
        <v>4442</v>
      </c>
      <c r="AJ956" s="347" t="s">
        <v>4443</v>
      </c>
      <c r="AK956" s="347" t="s">
        <v>4437</v>
      </c>
      <c r="AL956" s="387">
        <v>45574</v>
      </c>
    </row>
    <row r="957" spans="2:38" ht="15.75" outlineLevel="1">
      <c r="B957" s="345">
        <v>2111</v>
      </c>
      <c r="C957" s="346">
        <v>173275</v>
      </c>
      <c r="D957" s="345" t="s">
        <v>944</v>
      </c>
      <c r="E957" s="347" t="s">
        <v>4240</v>
      </c>
      <c r="F957" s="343" t="s">
        <v>2357</v>
      </c>
      <c r="I957" s="345">
        <v>6</v>
      </c>
      <c r="J957" s="347"/>
      <c r="K957" s="345">
        <v>0</v>
      </c>
      <c r="L957" s="347" t="s">
        <v>2257</v>
      </c>
      <c r="M957" s="347"/>
      <c r="N957" s="347" t="s">
        <v>4446</v>
      </c>
      <c r="O957" s="347" t="s">
        <v>4441</v>
      </c>
      <c r="P957" s="347"/>
      <c r="Q957" s="347" t="s">
        <v>4479</v>
      </c>
      <c r="R957" s="347" t="s">
        <v>4450</v>
      </c>
      <c r="S957" s="348">
        <v>40357</v>
      </c>
      <c r="T957" s="348">
        <v>40357</v>
      </c>
      <c r="U957" s="347" t="s">
        <v>2358</v>
      </c>
      <c r="V957" s="345">
        <v>1200</v>
      </c>
      <c r="W957" s="345">
        <v>14050</v>
      </c>
      <c r="X957" s="349">
        <v>5115.24</v>
      </c>
      <c r="Y957" s="345">
        <v>14056</v>
      </c>
      <c r="Z957" s="349">
        <v>5115.24</v>
      </c>
      <c r="AA957" s="349">
        <f t="shared" si="99"/>
        <v>0</v>
      </c>
      <c r="AB957" s="349">
        <v>0</v>
      </c>
      <c r="AC957" s="345">
        <v>54260</v>
      </c>
      <c r="AD957" s="349">
        <v>0</v>
      </c>
      <c r="AE957" s="345" t="s">
        <v>944</v>
      </c>
      <c r="AF957" s="347"/>
      <c r="AG957" s="347"/>
      <c r="AH957" s="347" t="s">
        <v>57</v>
      </c>
      <c r="AI957" s="347" t="s">
        <v>4442</v>
      </c>
      <c r="AJ957" s="347" t="s">
        <v>4443</v>
      </c>
      <c r="AK957" s="347" t="s">
        <v>4437</v>
      </c>
      <c r="AL957" s="387">
        <v>45574</v>
      </c>
    </row>
    <row r="958" spans="2:38" ht="15.75" outlineLevel="1">
      <c r="B958" s="345">
        <v>2111</v>
      </c>
      <c r="C958" s="346">
        <v>173274</v>
      </c>
      <c r="D958" s="345" t="s">
        <v>944</v>
      </c>
      <c r="E958" s="347" t="s">
        <v>4240</v>
      </c>
      <c r="F958" s="343" t="s">
        <v>2357</v>
      </c>
      <c r="I958" s="345">
        <v>10</v>
      </c>
      <c r="J958" s="347"/>
      <c r="K958" s="345">
        <v>0</v>
      </c>
      <c r="L958" s="347" t="s">
        <v>2257</v>
      </c>
      <c r="M958" s="347"/>
      <c r="N958" s="347" t="s">
        <v>4446</v>
      </c>
      <c r="O958" s="347" t="s">
        <v>4441</v>
      </c>
      <c r="P958" s="347"/>
      <c r="Q958" s="347" t="s">
        <v>4479</v>
      </c>
      <c r="R958" s="347" t="s">
        <v>4450</v>
      </c>
      <c r="S958" s="348">
        <v>40357</v>
      </c>
      <c r="T958" s="348">
        <v>40357</v>
      </c>
      <c r="U958" s="347" t="s">
        <v>2358</v>
      </c>
      <c r="V958" s="345">
        <v>1200</v>
      </c>
      <c r="W958" s="345">
        <v>14050</v>
      </c>
      <c r="X958" s="349">
        <v>8525.4</v>
      </c>
      <c r="Y958" s="345">
        <v>14056</v>
      </c>
      <c r="Z958" s="349">
        <v>8525.4</v>
      </c>
      <c r="AA958" s="349">
        <f t="shared" si="99"/>
        <v>0</v>
      </c>
      <c r="AB958" s="349">
        <v>0</v>
      </c>
      <c r="AC958" s="345">
        <v>54260</v>
      </c>
      <c r="AD958" s="349">
        <v>0</v>
      </c>
      <c r="AE958" s="345" t="s">
        <v>944</v>
      </c>
      <c r="AF958" s="347"/>
      <c r="AG958" s="347"/>
      <c r="AH958" s="347" t="s">
        <v>57</v>
      </c>
      <c r="AI958" s="347" t="s">
        <v>4442</v>
      </c>
      <c r="AJ958" s="347" t="s">
        <v>4443</v>
      </c>
      <c r="AK958" s="347" t="s">
        <v>4437</v>
      </c>
      <c r="AL958" s="387">
        <v>45574</v>
      </c>
    </row>
    <row r="959" spans="2:38" ht="15.75" outlineLevel="1">
      <c r="B959" s="345">
        <v>2111</v>
      </c>
      <c r="C959" s="346">
        <v>173273</v>
      </c>
      <c r="D959" s="345" t="s">
        <v>944</v>
      </c>
      <c r="E959" s="347" t="s">
        <v>4240</v>
      </c>
      <c r="F959" s="343" t="s">
        <v>2359</v>
      </c>
      <c r="I959" s="345">
        <v>1</v>
      </c>
      <c r="J959" s="347"/>
      <c r="K959" s="345">
        <v>0</v>
      </c>
      <c r="L959" s="347"/>
      <c r="M959" s="347"/>
      <c r="N959" s="347" t="s">
        <v>4445</v>
      </c>
      <c r="O959" s="347" t="s">
        <v>4441</v>
      </c>
      <c r="P959" s="347" t="s">
        <v>1467</v>
      </c>
      <c r="Q959" s="347"/>
      <c r="R959" s="347"/>
      <c r="S959" s="348">
        <v>40267</v>
      </c>
      <c r="T959" s="348">
        <v>40267</v>
      </c>
      <c r="U959" s="347" t="s">
        <v>2360</v>
      </c>
      <c r="V959" s="345">
        <v>300</v>
      </c>
      <c r="W959" s="345">
        <v>14040</v>
      </c>
      <c r="X959" s="349">
        <v>3781.69</v>
      </c>
      <c r="Y959" s="345">
        <v>14046</v>
      </c>
      <c r="Z959" s="349">
        <v>3781.69</v>
      </c>
      <c r="AA959" s="349">
        <f t="shared" si="99"/>
        <v>0</v>
      </c>
      <c r="AB959" s="349">
        <v>0</v>
      </c>
      <c r="AC959" s="345">
        <v>51260</v>
      </c>
      <c r="AD959" s="349">
        <v>0</v>
      </c>
      <c r="AE959" s="345" t="s">
        <v>944</v>
      </c>
      <c r="AF959" s="347"/>
      <c r="AG959" s="347"/>
      <c r="AH959" s="347" t="s">
        <v>57</v>
      </c>
      <c r="AI959" s="347" t="s">
        <v>4442</v>
      </c>
      <c r="AJ959" s="347" t="s">
        <v>4443</v>
      </c>
      <c r="AK959" s="347" t="s">
        <v>4437</v>
      </c>
      <c r="AL959" s="387">
        <v>45574</v>
      </c>
    </row>
    <row r="960" spans="2:38" ht="15.75" outlineLevel="1">
      <c r="B960" s="345">
        <v>2111</v>
      </c>
      <c r="C960" s="346">
        <v>173272</v>
      </c>
      <c r="D960" s="345" t="s">
        <v>944</v>
      </c>
      <c r="E960" s="347" t="s">
        <v>4240</v>
      </c>
      <c r="F960" s="343" t="s">
        <v>2361</v>
      </c>
      <c r="I960" s="345">
        <v>1</v>
      </c>
      <c r="J960" s="347"/>
      <c r="K960" s="345">
        <v>0</v>
      </c>
      <c r="L960" s="347"/>
      <c r="M960" s="347"/>
      <c r="N960" s="347" t="s">
        <v>4445</v>
      </c>
      <c r="O960" s="347" t="s">
        <v>4441</v>
      </c>
      <c r="P960" s="347" t="s">
        <v>1467</v>
      </c>
      <c r="Q960" s="347"/>
      <c r="R960" s="347"/>
      <c r="S960" s="348">
        <v>40267</v>
      </c>
      <c r="T960" s="348">
        <v>40267</v>
      </c>
      <c r="U960" s="347" t="s">
        <v>2360</v>
      </c>
      <c r="V960" s="345">
        <v>300</v>
      </c>
      <c r="W960" s="345">
        <v>14040</v>
      </c>
      <c r="X960" s="349">
        <v>4257.24</v>
      </c>
      <c r="Y960" s="345">
        <v>14046</v>
      </c>
      <c r="Z960" s="349">
        <v>4257.24</v>
      </c>
      <c r="AA960" s="349">
        <f t="shared" si="99"/>
        <v>0</v>
      </c>
      <c r="AB960" s="349">
        <v>0</v>
      </c>
      <c r="AC960" s="345">
        <v>51260</v>
      </c>
      <c r="AD960" s="349">
        <v>0</v>
      </c>
      <c r="AE960" s="345" t="s">
        <v>944</v>
      </c>
      <c r="AF960" s="347"/>
      <c r="AG960" s="347"/>
      <c r="AH960" s="347" t="s">
        <v>57</v>
      </c>
      <c r="AI960" s="347" t="s">
        <v>4442</v>
      </c>
      <c r="AJ960" s="347" t="s">
        <v>4443</v>
      </c>
      <c r="AK960" s="347" t="s">
        <v>4437</v>
      </c>
      <c r="AL960" s="387">
        <v>45574</v>
      </c>
    </row>
    <row r="961" spans="2:38" ht="15.75" outlineLevel="1">
      <c r="B961" s="345">
        <v>2111</v>
      </c>
      <c r="C961" s="346">
        <v>173271</v>
      </c>
      <c r="D961" s="345" t="s">
        <v>944</v>
      </c>
      <c r="E961" s="347" t="s">
        <v>4240</v>
      </c>
      <c r="F961" s="343" t="s">
        <v>2363</v>
      </c>
      <c r="I961" s="345">
        <v>624</v>
      </c>
      <c r="J961" s="347"/>
      <c r="K961" s="345">
        <v>0</v>
      </c>
      <c r="L961" s="347" t="s">
        <v>2342</v>
      </c>
      <c r="M961" s="347"/>
      <c r="N961" s="347" t="s">
        <v>4446</v>
      </c>
      <c r="O961" s="347" t="s">
        <v>4441</v>
      </c>
      <c r="P961" s="347"/>
      <c r="Q961" s="347"/>
      <c r="R961" s="347"/>
      <c r="S961" s="348">
        <v>40071</v>
      </c>
      <c r="T961" s="348">
        <v>40071</v>
      </c>
      <c r="U961" s="347" t="s">
        <v>2364</v>
      </c>
      <c r="V961" s="345">
        <v>700</v>
      </c>
      <c r="W961" s="345">
        <v>14050</v>
      </c>
      <c r="X961" s="349">
        <v>29186.16</v>
      </c>
      <c r="Y961" s="345">
        <v>14056</v>
      </c>
      <c r="Z961" s="349">
        <v>29186.16</v>
      </c>
      <c r="AA961" s="349">
        <f t="shared" si="99"/>
        <v>0</v>
      </c>
      <c r="AB961" s="349">
        <v>0</v>
      </c>
      <c r="AC961" s="345">
        <v>54260</v>
      </c>
      <c r="AD961" s="349">
        <v>0</v>
      </c>
      <c r="AE961" s="345" t="s">
        <v>944</v>
      </c>
      <c r="AF961" s="347"/>
      <c r="AG961" s="347"/>
      <c r="AH961" s="347" t="s">
        <v>57</v>
      </c>
      <c r="AI961" s="347" t="s">
        <v>4442</v>
      </c>
      <c r="AJ961" s="347" t="s">
        <v>4443</v>
      </c>
      <c r="AK961" s="347" t="s">
        <v>4437</v>
      </c>
      <c r="AL961" s="387">
        <v>45574</v>
      </c>
    </row>
    <row r="962" spans="2:38" ht="15.75" outlineLevel="1">
      <c r="B962" s="345">
        <v>2111</v>
      </c>
      <c r="C962" s="346">
        <v>173270</v>
      </c>
      <c r="D962" s="345" t="s">
        <v>944</v>
      </c>
      <c r="E962" s="347" t="s">
        <v>4240</v>
      </c>
      <c r="F962" s="343" t="s">
        <v>2366</v>
      </c>
      <c r="I962" s="345">
        <v>486</v>
      </c>
      <c r="J962" s="347"/>
      <c r="K962" s="345">
        <v>0</v>
      </c>
      <c r="L962" s="347" t="s">
        <v>2245</v>
      </c>
      <c r="M962" s="347"/>
      <c r="N962" s="347" t="s">
        <v>4446</v>
      </c>
      <c r="O962" s="347" t="s">
        <v>4441</v>
      </c>
      <c r="P962" s="347"/>
      <c r="Q962" s="347"/>
      <c r="R962" s="347"/>
      <c r="S962" s="348">
        <v>39986</v>
      </c>
      <c r="T962" s="348">
        <v>39986</v>
      </c>
      <c r="U962" s="347" t="s">
        <v>2367</v>
      </c>
      <c r="V962" s="345">
        <v>700</v>
      </c>
      <c r="W962" s="345">
        <v>14050</v>
      </c>
      <c r="X962" s="349">
        <v>23659.56</v>
      </c>
      <c r="Y962" s="345">
        <v>14056</v>
      </c>
      <c r="Z962" s="349">
        <v>23659.56</v>
      </c>
      <c r="AA962" s="349">
        <f t="shared" si="99"/>
        <v>0</v>
      </c>
      <c r="AB962" s="349">
        <v>0</v>
      </c>
      <c r="AC962" s="345">
        <v>54260</v>
      </c>
      <c r="AD962" s="349">
        <v>0</v>
      </c>
      <c r="AE962" s="345" t="s">
        <v>944</v>
      </c>
      <c r="AF962" s="347"/>
      <c r="AG962" s="347"/>
      <c r="AH962" s="347" t="s">
        <v>57</v>
      </c>
      <c r="AI962" s="347" t="s">
        <v>4442</v>
      </c>
      <c r="AJ962" s="347" t="s">
        <v>4443</v>
      </c>
      <c r="AK962" s="347" t="s">
        <v>4437</v>
      </c>
      <c r="AL962" s="387">
        <v>45574</v>
      </c>
    </row>
    <row r="963" spans="2:38" ht="15.75" outlineLevel="1">
      <c r="B963" s="345">
        <v>2111</v>
      </c>
      <c r="C963" s="346">
        <v>173269</v>
      </c>
      <c r="D963" s="345" t="s">
        <v>944</v>
      </c>
      <c r="E963" s="347" t="s">
        <v>4240</v>
      </c>
      <c r="F963" s="343" t="s">
        <v>2369</v>
      </c>
      <c r="I963" s="345">
        <v>1</v>
      </c>
      <c r="J963" s="347" t="s">
        <v>2370</v>
      </c>
      <c r="K963" s="345">
        <v>2009</v>
      </c>
      <c r="L963" s="347"/>
      <c r="M963" s="347"/>
      <c r="N963" s="347" t="s">
        <v>4445</v>
      </c>
      <c r="O963" s="347" t="s">
        <v>4441</v>
      </c>
      <c r="P963" s="347" t="s">
        <v>4463</v>
      </c>
      <c r="Q963" s="347"/>
      <c r="R963" s="347"/>
      <c r="S963" s="348">
        <v>39946</v>
      </c>
      <c r="T963" s="348">
        <v>39946</v>
      </c>
      <c r="U963" s="347" t="s">
        <v>2371</v>
      </c>
      <c r="V963" s="345">
        <v>1000</v>
      </c>
      <c r="W963" s="345">
        <v>14040</v>
      </c>
      <c r="X963" s="349">
        <v>8004.29</v>
      </c>
      <c r="Y963" s="345">
        <v>14046</v>
      </c>
      <c r="Z963" s="349">
        <v>8004.29</v>
      </c>
      <c r="AA963" s="349">
        <f t="shared" si="99"/>
        <v>0</v>
      </c>
      <c r="AB963" s="349">
        <v>0</v>
      </c>
      <c r="AC963" s="345">
        <v>51260</v>
      </c>
      <c r="AD963" s="349">
        <v>0</v>
      </c>
      <c r="AE963" s="345" t="s">
        <v>944</v>
      </c>
      <c r="AF963" s="347"/>
      <c r="AG963" s="347"/>
      <c r="AH963" s="347" t="s">
        <v>57</v>
      </c>
      <c r="AI963" s="347" t="s">
        <v>4442</v>
      </c>
      <c r="AJ963" s="347" t="s">
        <v>4443</v>
      </c>
      <c r="AK963" s="347" t="s">
        <v>4437</v>
      </c>
      <c r="AL963" s="387">
        <v>45574</v>
      </c>
    </row>
    <row r="964" spans="2:38" ht="15.75" outlineLevel="1">
      <c r="B964" s="345">
        <v>2111</v>
      </c>
      <c r="C964" s="346">
        <v>173268</v>
      </c>
      <c r="D964" s="345" t="s">
        <v>944</v>
      </c>
      <c r="E964" s="347" t="s">
        <v>4240</v>
      </c>
      <c r="F964" s="343" t="s">
        <v>2373</v>
      </c>
      <c r="I964" s="345">
        <v>1</v>
      </c>
      <c r="J964" s="347">
        <v>203879</v>
      </c>
      <c r="K964" s="345">
        <v>2007</v>
      </c>
      <c r="L964" s="347"/>
      <c r="M964" s="347"/>
      <c r="N964" s="347" t="s">
        <v>4445</v>
      </c>
      <c r="O964" s="347" t="s">
        <v>4441</v>
      </c>
      <c r="P964" s="347" t="s">
        <v>4482</v>
      </c>
      <c r="Q964" s="347"/>
      <c r="R964" s="347"/>
      <c r="S964" s="348">
        <v>39934</v>
      </c>
      <c r="T964" s="348">
        <v>39934</v>
      </c>
      <c r="U964" s="347" t="s">
        <v>2374</v>
      </c>
      <c r="V964" s="345">
        <v>800</v>
      </c>
      <c r="W964" s="345">
        <v>14040</v>
      </c>
      <c r="X964" s="349">
        <v>4174.1400000000003</v>
      </c>
      <c r="Y964" s="345">
        <v>14046</v>
      </c>
      <c r="Z964" s="349">
        <v>4174.1400000000003</v>
      </c>
      <c r="AA964" s="349">
        <f t="shared" si="99"/>
        <v>0</v>
      </c>
      <c r="AB964" s="349">
        <v>0</v>
      </c>
      <c r="AC964" s="345">
        <v>51260</v>
      </c>
      <c r="AD964" s="349">
        <v>0</v>
      </c>
      <c r="AE964" s="345" t="s">
        <v>944</v>
      </c>
      <c r="AF964" s="347"/>
      <c r="AG964" s="347"/>
      <c r="AH964" s="347" t="s">
        <v>57</v>
      </c>
      <c r="AI964" s="347" t="s">
        <v>4442</v>
      </c>
      <c r="AJ964" s="347" t="s">
        <v>4443</v>
      </c>
      <c r="AK964" s="347" t="s">
        <v>4437</v>
      </c>
      <c r="AL964" s="387">
        <v>45574</v>
      </c>
    </row>
    <row r="965" spans="2:38" ht="15.75" outlineLevel="1">
      <c r="B965" s="345">
        <v>2111</v>
      </c>
      <c r="C965" s="346">
        <v>173267</v>
      </c>
      <c r="D965" s="345" t="s">
        <v>944</v>
      </c>
      <c r="E965" s="347" t="s">
        <v>4240</v>
      </c>
      <c r="F965" s="343" t="s">
        <v>2375</v>
      </c>
      <c r="I965" s="345">
        <v>1</v>
      </c>
      <c r="J965" s="347" t="s">
        <v>2370</v>
      </c>
      <c r="K965" s="345">
        <v>2009</v>
      </c>
      <c r="L965" s="347"/>
      <c r="M965" s="347"/>
      <c r="N965" s="347" t="s">
        <v>4445</v>
      </c>
      <c r="O965" s="347" t="s">
        <v>4441</v>
      </c>
      <c r="P965" s="347" t="s">
        <v>4463</v>
      </c>
      <c r="Q965" s="347"/>
      <c r="R965" s="347"/>
      <c r="S965" s="348">
        <v>39946</v>
      </c>
      <c r="T965" s="348">
        <v>39946</v>
      </c>
      <c r="U965" s="347" t="s">
        <v>2371</v>
      </c>
      <c r="V965" s="345">
        <v>1000</v>
      </c>
      <c r="W965" s="345">
        <v>14040</v>
      </c>
      <c r="X965" s="349">
        <v>3443.78</v>
      </c>
      <c r="Y965" s="345">
        <v>14046</v>
      </c>
      <c r="Z965" s="349">
        <v>3443.78</v>
      </c>
      <c r="AA965" s="349">
        <f t="shared" si="99"/>
        <v>0</v>
      </c>
      <c r="AB965" s="349">
        <v>0</v>
      </c>
      <c r="AC965" s="345">
        <v>51260</v>
      </c>
      <c r="AD965" s="349">
        <v>0</v>
      </c>
      <c r="AE965" s="345" t="s">
        <v>944</v>
      </c>
      <c r="AF965" s="347"/>
      <c r="AG965" s="347"/>
      <c r="AH965" s="347" t="s">
        <v>57</v>
      </c>
      <c r="AI965" s="347" t="s">
        <v>4442</v>
      </c>
      <c r="AJ965" s="347" t="s">
        <v>4443</v>
      </c>
      <c r="AK965" s="347" t="s">
        <v>4437</v>
      </c>
      <c r="AL965" s="387">
        <v>45574</v>
      </c>
    </row>
    <row r="966" spans="2:38" ht="15.75" outlineLevel="1">
      <c r="B966" s="345">
        <v>2111</v>
      </c>
      <c r="C966" s="346">
        <v>173266</v>
      </c>
      <c r="D966" s="345" t="s">
        <v>944</v>
      </c>
      <c r="E966" s="347" t="s">
        <v>4240</v>
      </c>
      <c r="F966" s="343" t="s">
        <v>2377</v>
      </c>
      <c r="I966" s="345">
        <v>1</v>
      </c>
      <c r="J966" s="347" t="s">
        <v>2370</v>
      </c>
      <c r="K966" s="345">
        <v>2009</v>
      </c>
      <c r="L966" s="347" t="s">
        <v>2378</v>
      </c>
      <c r="M966" s="347" t="s">
        <v>1522</v>
      </c>
      <c r="N966" s="347" t="s">
        <v>4445</v>
      </c>
      <c r="O966" s="347" t="s">
        <v>4441</v>
      </c>
      <c r="P966" s="347" t="s">
        <v>1467</v>
      </c>
      <c r="Q966" s="347"/>
      <c r="R966" s="347"/>
      <c r="S966" s="348">
        <v>39946</v>
      </c>
      <c r="T966" s="348">
        <v>39946</v>
      </c>
      <c r="U966" s="347" t="s">
        <v>2371</v>
      </c>
      <c r="V966" s="345">
        <v>1000</v>
      </c>
      <c r="W966" s="345">
        <v>14040</v>
      </c>
      <c r="X966" s="349">
        <v>84814.3</v>
      </c>
      <c r="Y966" s="345">
        <v>14046</v>
      </c>
      <c r="Z966" s="349">
        <v>84814.3</v>
      </c>
      <c r="AA966" s="349">
        <f t="shared" si="99"/>
        <v>0</v>
      </c>
      <c r="AB966" s="349">
        <v>0</v>
      </c>
      <c r="AC966" s="345">
        <v>51260</v>
      </c>
      <c r="AD966" s="349">
        <v>0</v>
      </c>
      <c r="AE966" s="345" t="s">
        <v>944</v>
      </c>
      <c r="AF966" s="347"/>
      <c r="AG966" s="347"/>
      <c r="AH966" s="347" t="s">
        <v>57</v>
      </c>
      <c r="AI966" s="347" t="s">
        <v>4442</v>
      </c>
      <c r="AJ966" s="347" t="s">
        <v>4443</v>
      </c>
      <c r="AK966" s="347" t="s">
        <v>4437</v>
      </c>
      <c r="AL966" s="387">
        <v>45574</v>
      </c>
    </row>
    <row r="967" spans="2:38" ht="15.75" outlineLevel="1">
      <c r="B967" s="345">
        <v>2111</v>
      </c>
      <c r="C967" s="346">
        <v>173265</v>
      </c>
      <c r="D967" s="345" t="s">
        <v>944</v>
      </c>
      <c r="E967" s="347" t="s">
        <v>4240</v>
      </c>
      <c r="F967" s="343" t="s">
        <v>2379</v>
      </c>
      <c r="I967" s="345">
        <v>1</v>
      </c>
      <c r="J967" s="347" t="s">
        <v>2380</v>
      </c>
      <c r="K967" s="345">
        <v>2007</v>
      </c>
      <c r="L967" s="347"/>
      <c r="M967" s="347"/>
      <c r="N967" s="347" t="s">
        <v>4445</v>
      </c>
      <c r="O967" s="347" t="s">
        <v>4441</v>
      </c>
      <c r="P967" s="347" t="s">
        <v>4482</v>
      </c>
      <c r="Q967" s="347"/>
      <c r="R967" s="347"/>
      <c r="S967" s="348">
        <v>39934</v>
      </c>
      <c r="T967" s="348">
        <v>39934</v>
      </c>
      <c r="U967" s="347" t="s">
        <v>2374</v>
      </c>
      <c r="V967" s="345">
        <v>800</v>
      </c>
      <c r="W967" s="345">
        <v>14040</v>
      </c>
      <c r="X967" s="349">
        <v>18230.400000000001</v>
      </c>
      <c r="Y967" s="345">
        <v>14046</v>
      </c>
      <c r="Z967" s="349">
        <v>18230.400000000001</v>
      </c>
      <c r="AA967" s="349">
        <f t="shared" si="99"/>
        <v>0</v>
      </c>
      <c r="AB967" s="349">
        <v>0</v>
      </c>
      <c r="AC967" s="345">
        <v>51260</v>
      </c>
      <c r="AD967" s="349">
        <v>0</v>
      </c>
      <c r="AE967" s="345" t="s">
        <v>944</v>
      </c>
      <c r="AF967" s="347"/>
      <c r="AG967" s="347"/>
      <c r="AH967" s="347" t="s">
        <v>57</v>
      </c>
      <c r="AI967" s="347" t="s">
        <v>4442</v>
      </c>
      <c r="AJ967" s="347" t="s">
        <v>4443</v>
      </c>
      <c r="AK967" s="347" t="s">
        <v>4437</v>
      </c>
      <c r="AL967" s="387">
        <v>45574</v>
      </c>
    </row>
    <row r="968" spans="2:38" ht="15.75" outlineLevel="1">
      <c r="B968" s="345">
        <v>2111</v>
      </c>
      <c r="C968" s="346">
        <v>173263</v>
      </c>
      <c r="D968" s="345" t="s">
        <v>944</v>
      </c>
      <c r="E968" s="347" t="s">
        <v>4240</v>
      </c>
      <c r="F968" s="343" t="s">
        <v>2382</v>
      </c>
      <c r="I968" s="345">
        <v>1</v>
      </c>
      <c r="J968" s="347" t="s">
        <v>2383</v>
      </c>
      <c r="K968" s="345">
        <v>2007</v>
      </c>
      <c r="L968" s="347" t="s">
        <v>2384</v>
      </c>
      <c r="M968" s="347" t="s">
        <v>1522</v>
      </c>
      <c r="N968" s="347" t="s">
        <v>4445</v>
      </c>
      <c r="O968" s="347" t="s">
        <v>4441</v>
      </c>
      <c r="P968" s="347" t="s">
        <v>4482</v>
      </c>
      <c r="Q968" s="347"/>
      <c r="R968" s="347"/>
      <c r="S968" s="348">
        <v>39934</v>
      </c>
      <c r="T968" s="348">
        <v>39934</v>
      </c>
      <c r="U968" s="347" t="s">
        <v>2374</v>
      </c>
      <c r="V968" s="345">
        <v>800</v>
      </c>
      <c r="W968" s="345">
        <v>14040</v>
      </c>
      <c r="X968" s="349">
        <v>189900</v>
      </c>
      <c r="Y968" s="345">
        <v>14046</v>
      </c>
      <c r="Z968" s="349">
        <v>189900</v>
      </c>
      <c r="AA968" s="349">
        <f t="shared" si="99"/>
        <v>0</v>
      </c>
      <c r="AB968" s="349">
        <v>0</v>
      </c>
      <c r="AC968" s="345">
        <v>51260</v>
      </c>
      <c r="AD968" s="349">
        <v>0</v>
      </c>
      <c r="AE968" s="345" t="s">
        <v>944</v>
      </c>
      <c r="AF968" s="347"/>
      <c r="AG968" s="347">
        <v>816</v>
      </c>
      <c r="AH968" s="347" t="s">
        <v>57</v>
      </c>
      <c r="AI968" s="347" t="s">
        <v>4442</v>
      </c>
      <c r="AJ968" s="347" t="s">
        <v>4443</v>
      </c>
      <c r="AK968" s="347" t="s">
        <v>4437</v>
      </c>
      <c r="AL968" s="387">
        <v>45574</v>
      </c>
    </row>
    <row r="969" spans="2:38" ht="15.75" outlineLevel="1">
      <c r="B969" s="345">
        <v>2111</v>
      </c>
      <c r="C969" s="346">
        <v>173262</v>
      </c>
      <c r="D969" s="345">
        <v>25363</v>
      </c>
      <c r="E969" s="347" t="s">
        <v>4240</v>
      </c>
      <c r="F969" s="343" t="s">
        <v>2386</v>
      </c>
      <c r="I969" s="345">
        <v>1</v>
      </c>
      <c r="J969" s="347"/>
      <c r="K969" s="345">
        <v>0</v>
      </c>
      <c r="L969" s="347"/>
      <c r="M969" s="347"/>
      <c r="N969" s="347" t="s">
        <v>4445</v>
      </c>
      <c r="O969" s="347" t="s">
        <v>4441</v>
      </c>
      <c r="P969" s="347" t="s">
        <v>1467</v>
      </c>
      <c r="Q969" s="347"/>
      <c r="R969" s="347"/>
      <c r="S969" s="348">
        <v>39814</v>
      </c>
      <c r="T969" s="348">
        <v>39814</v>
      </c>
      <c r="U969" s="347" t="s">
        <v>2387</v>
      </c>
      <c r="V969" s="345">
        <v>300</v>
      </c>
      <c r="W969" s="345">
        <v>14040</v>
      </c>
      <c r="X969" s="349">
        <v>6818.83</v>
      </c>
      <c r="Y969" s="345">
        <v>14046</v>
      </c>
      <c r="Z969" s="349">
        <v>6818.83</v>
      </c>
      <c r="AA969" s="349">
        <f t="shared" si="99"/>
        <v>0</v>
      </c>
      <c r="AB969" s="349">
        <v>0</v>
      </c>
      <c r="AC969" s="345">
        <v>51260</v>
      </c>
      <c r="AD969" s="349">
        <v>0</v>
      </c>
      <c r="AE969" s="345" t="s">
        <v>944</v>
      </c>
      <c r="AF969" s="347"/>
      <c r="AG969" s="347"/>
      <c r="AH969" s="347" t="s">
        <v>57</v>
      </c>
      <c r="AI969" s="347" t="s">
        <v>4442</v>
      </c>
      <c r="AJ969" s="347" t="s">
        <v>4443</v>
      </c>
      <c r="AK969" s="347" t="s">
        <v>4437</v>
      </c>
      <c r="AL969" s="387">
        <v>45574</v>
      </c>
    </row>
    <row r="970" spans="2:38" ht="15.75" outlineLevel="1">
      <c r="B970" s="345">
        <v>2111</v>
      </c>
      <c r="C970" s="346">
        <v>173261</v>
      </c>
      <c r="D970" s="345" t="s">
        <v>944</v>
      </c>
      <c r="E970" s="347" t="s">
        <v>4240</v>
      </c>
      <c r="F970" s="343" t="s">
        <v>695</v>
      </c>
      <c r="I970" s="345">
        <v>5</v>
      </c>
      <c r="J970" s="347"/>
      <c r="K970" s="345">
        <v>0</v>
      </c>
      <c r="L970" s="347" t="s">
        <v>2257</v>
      </c>
      <c r="M970" s="347"/>
      <c r="N970" s="347" t="s">
        <v>4446</v>
      </c>
      <c r="O970" s="347" t="s">
        <v>4441</v>
      </c>
      <c r="P970" s="347"/>
      <c r="Q970" s="347" t="s">
        <v>4459</v>
      </c>
      <c r="R970" s="347" t="s">
        <v>4450</v>
      </c>
      <c r="S970" s="348">
        <v>39752</v>
      </c>
      <c r="T970" s="348">
        <v>39752</v>
      </c>
      <c r="U970" s="347" t="s">
        <v>2388</v>
      </c>
      <c r="V970" s="345">
        <v>1200</v>
      </c>
      <c r="W970" s="345">
        <v>14050</v>
      </c>
      <c r="X970" s="349">
        <v>2872.32</v>
      </c>
      <c r="Y970" s="345">
        <v>14056</v>
      </c>
      <c r="Z970" s="349">
        <v>2872.32</v>
      </c>
      <c r="AA970" s="349">
        <f t="shared" si="99"/>
        <v>0</v>
      </c>
      <c r="AB970" s="349">
        <v>0</v>
      </c>
      <c r="AC970" s="345">
        <v>54260</v>
      </c>
      <c r="AD970" s="349">
        <v>0</v>
      </c>
      <c r="AE970" s="345" t="s">
        <v>944</v>
      </c>
      <c r="AF970" s="347"/>
      <c r="AG970" s="347"/>
      <c r="AH970" s="347" t="s">
        <v>57</v>
      </c>
      <c r="AI970" s="347" t="s">
        <v>4442</v>
      </c>
      <c r="AJ970" s="347" t="s">
        <v>4443</v>
      </c>
      <c r="AK970" s="347" t="s">
        <v>4437</v>
      </c>
      <c r="AL970" s="387">
        <v>45574</v>
      </c>
    </row>
    <row r="971" spans="2:38" ht="15.75" outlineLevel="1">
      <c r="B971" s="345">
        <v>2111</v>
      </c>
      <c r="C971" s="346">
        <v>173259</v>
      </c>
      <c r="D971" s="345" t="s">
        <v>944</v>
      </c>
      <c r="E971" s="347" t="s">
        <v>4240</v>
      </c>
      <c r="F971" s="343" t="s">
        <v>2389</v>
      </c>
      <c r="I971" s="345">
        <v>1</v>
      </c>
      <c r="J971" s="347">
        <v>206219</v>
      </c>
      <c r="K971" s="345">
        <v>2008</v>
      </c>
      <c r="L971" s="347"/>
      <c r="M971" s="347"/>
      <c r="N971" s="347" t="s">
        <v>4445</v>
      </c>
      <c r="O971" s="347" t="s">
        <v>4441</v>
      </c>
      <c r="P971" s="347" t="s">
        <v>4487</v>
      </c>
      <c r="Q971" s="347"/>
      <c r="R971" s="347"/>
      <c r="S971" s="348">
        <v>39661</v>
      </c>
      <c r="T971" s="348">
        <v>39661</v>
      </c>
      <c r="U971" s="347" t="s">
        <v>2330</v>
      </c>
      <c r="V971" s="345">
        <v>900</v>
      </c>
      <c r="W971" s="345">
        <v>14040</v>
      </c>
      <c r="X971" s="349">
        <v>3070.3</v>
      </c>
      <c r="Y971" s="345">
        <v>14046</v>
      </c>
      <c r="Z971" s="349">
        <v>3070.3</v>
      </c>
      <c r="AA971" s="349">
        <f t="shared" si="99"/>
        <v>0</v>
      </c>
      <c r="AB971" s="349">
        <v>0</v>
      </c>
      <c r="AC971" s="345">
        <v>51260</v>
      </c>
      <c r="AD971" s="349">
        <v>0</v>
      </c>
      <c r="AE971" s="345" t="s">
        <v>944</v>
      </c>
      <c r="AF971" s="347"/>
      <c r="AG971" s="347"/>
      <c r="AH971" s="347" t="s">
        <v>57</v>
      </c>
      <c r="AI971" s="347" t="s">
        <v>4442</v>
      </c>
      <c r="AJ971" s="347" t="s">
        <v>4443</v>
      </c>
      <c r="AK971" s="347" t="s">
        <v>4437</v>
      </c>
      <c r="AL971" s="387">
        <v>45574</v>
      </c>
    </row>
    <row r="972" spans="2:38" ht="15.75" outlineLevel="1">
      <c r="B972" s="345">
        <v>2111</v>
      </c>
      <c r="C972" s="346">
        <v>173258</v>
      </c>
      <c r="D972" s="345" t="s">
        <v>944</v>
      </c>
      <c r="E972" s="347" t="s">
        <v>4240</v>
      </c>
      <c r="F972" s="343" t="s">
        <v>2391</v>
      </c>
      <c r="I972" s="345">
        <v>1</v>
      </c>
      <c r="J972" s="347"/>
      <c r="K972" s="345">
        <v>2008</v>
      </c>
      <c r="L972" s="347"/>
      <c r="M972" s="347"/>
      <c r="N972" s="347" t="s">
        <v>4445</v>
      </c>
      <c r="O972" s="347" t="s">
        <v>4441</v>
      </c>
      <c r="P972" s="347" t="s">
        <v>1467</v>
      </c>
      <c r="Q972" s="347"/>
      <c r="R972" s="347"/>
      <c r="S972" s="348">
        <v>39661</v>
      </c>
      <c r="T972" s="348">
        <v>39661</v>
      </c>
      <c r="U972" s="347" t="s">
        <v>2330</v>
      </c>
      <c r="V972" s="345">
        <v>900</v>
      </c>
      <c r="W972" s="345">
        <v>14040</v>
      </c>
      <c r="X972" s="349">
        <v>191.1</v>
      </c>
      <c r="Y972" s="345">
        <v>14046</v>
      </c>
      <c r="Z972" s="349">
        <v>191.1</v>
      </c>
      <c r="AA972" s="349">
        <f t="shared" si="99"/>
        <v>0</v>
      </c>
      <c r="AB972" s="349">
        <v>0</v>
      </c>
      <c r="AC972" s="345">
        <v>51260</v>
      </c>
      <c r="AD972" s="349">
        <v>0</v>
      </c>
      <c r="AE972" s="345" t="s">
        <v>944</v>
      </c>
      <c r="AF972" s="347"/>
      <c r="AG972" s="347"/>
      <c r="AH972" s="347" t="s">
        <v>57</v>
      </c>
      <c r="AI972" s="347" t="s">
        <v>4442</v>
      </c>
      <c r="AJ972" s="347" t="s">
        <v>4443</v>
      </c>
      <c r="AK972" s="347" t="s">
        <v>4437</v>
      </c>
      <c r="AL972" s="387">
        <v>45574</v>
      </c>
    </row>
    <row r="973" spans="2:38" ht="15.75" outlineLevel="1">
      <c r="B973" s="345">
        <v>2111</v>
      </c>
      <c r="C973" s="346">
        <v>173256</v>
      </c>
      <c r="D973" s="345" t="s">
        <v>944</v>
      </c>
      <c r="E973" s="347" t="s">
        <v>4240</v>
      </c>
      <c r="F973" s="343" t="s">
        <v>691</v>
      </c>
      <c r="I973" s="345">
        <v>2</v>
      </c>
      <c r="J973" s="347"/>
      <c r="K973" s="345">
        <v>0</v>
      </c>
      <c r="L973" s="347" t="s">
        <v>2257</v>
      </c>
      <c r="M973" s="347"/>
      <c r="N973" s="347" t="s">
        <v>4446</v>
      </c>
      <c r="O973" s="347" t="s">
        <v>4441</v>
      </c>
      <c r="P973" s="347"/>
      <c r="Q973" s="347" t="s">
        <v>4479</v>
      </c>
      <c r="R973" s="347" t="s">
        <v>4450</v>
      </c>
      <c r="S973" s="348">
        <v>39707</v>
      </c>
      <c r="T973" s="348">
        <v>39707</v>
      </c>
      <c r="U973" s="347" t="s">
        <v>2394</v>
      </c>
      <c r="V973" s="345">
        <v>1200</v>
      </c>
      <c r="W973" s="345">
        <v>14050</v>
      </c>
      <c r="X973" s="349">
        <v>1991.04</v>
      </c>
      <c r="Y973" s="345">
        <v>14056</v>
      </c>
      <c r="Z973" s="349">
        <v>1991.04</v>
      </c>
      <c r="AA973" s="349">
        <f t="shared" si="99"/>
        <v>0</v>
      </c>
      <c r="AB973" s="349">
        <v>0</v>
      </c>
      <c r="AC973" s="345">
        <v>54260</v>
      </c>
      <c r="AD973" s="349">
        <v>0</v>
      </c>
      <c r="AE973" s="345" t="s">
        <v>944</v>
      </c>
      <c r="AF973" s="347"/>
      <c r="AG973" s="347"/>
      <c r="AH973" s="347" t="s">
        <v>57</v>
      </c>
      <c r="AI973" s="347" t="s">
        <v>4442</v>
      </c>
      <c r="AJ973" s="347" t="s">
        <v>4443</v>
      </c>
      <c r="AK973" s="347" t="s">
        <v>4437</v>
      </c>
      <c r="AL973" s="387">
        <v>45574</v>
      </c>
    </row>
    <row r="974" spans="2:38" ht="15.75" outlineLevel="1">
      <c r="B974" s="345">
        <v>2111</v>
      </c>
      <c r="C974" s="346">
        <v>173255</v>
      </c>
      <c r="D974" s="345" t="s">
        <v>944</v>
      </c>
      <c r="E974" s="347" t="s">
        <v>4240</v>
      </c>
      <c r="F974" s="343" t="s">
        <v>690</v>
      </c>
      <c r="I974" s="345">
        <v>2</v>
      </c>
      <c r="J974" s="347"/>
      <c r="K974" s="345">
        <v>0</v>
      </c>
      <c r="L974" s="347" t="s">
        <v>2257</v>
      </c>
      <c r="M974" s="347"/>
      <c r="N974" s="347" t="s">
        <v>4446</v>
      </c>
      <c r="O974" s="347" t="s">
        <v>4441</v>
      </c>
      <c r="P974" s="347"/>
      <c r="Q974" s="347" t="s">
        <v>4464</v>
      </c>
      <c r="R974" s="347" t="s">
        <v>4450</v>
      </c>
      <c r="S974" s="348">
        <v>39716</v>
      </c>
      <c r="T974" s="348">
        <v>39716</v>
      </c>
      <c r="U974" s="347" t="s">
        <v>2395</v>
      </c>
      <c r="V974" s="345">
        <v>1200</v>
      </c>
      <c r="W974" s="345">
        <v>14050</v>
      </c>
      <c r="X974" s="349">
        <v>1490.56</v>
      </c>
      <c r="Y974" s="345">
        <v>14056</v>
      </c>
      <c r="Z974" s="349">
        <v>1490.56</v>
      </c>
      <c r="AA974" s="349">
        <f t="shared" si="99"/>
        <v>0</v>
      </c>
      <c r="AB974" s="349">
        <v>0</v>
      </c>
      <c r="AC974" s="345">
        <v>54260</v>
      </c>
      <c r="AD974" s="349">
        <v>0</v>
      </c>
      <c r="AE974" s="345" t="s">
        <v>944</v>
      </c>
      <c r="AF974" s="347"/>
      <c r="AG974" s="347"/>
      <c r="AH974" s="347" t="s">
        <v>57</v>
      </c>
      <c r="AI974" s="347" t="s">
        <v>4442</v>
      </c>
      <c r="AJ974" s="347" t="s">
        <v>4443</v>
      </c>
      <c r="AK974" s="347" t="s">
        <v>4437</v>
      </c>
      <c r="AL974" s="387">
        <v>45574</v>
      </c>
    </row>
    <row r="975" spans="2:38" ht="15.75" outlineLevel="1">
      <c r="B975" s="345">
        <v>2111</v>
      </c>
      <c r="C975" s="346">
        <v>173254</v>
      </c>
      <c r="D975" s="345" t="s">
        <v>944</v>
      </c>
      <c r="E975" s="347" t="s">
        <v>4240</v>
      </c>
      <c r="F975" s="343" t="s">
        <v>850</v>
      </c>
      <c r="I975" s="345">
        <v>486</v>
      </c>
      <c r="J975" s="347"/>
      <c r="K975" s="345">
        <v>0</v>
      </c>
      <c r="L975" s="347" t="s">
        <v>2245</v>
      </c>
      <c r="M975" s="347"/>
      <c r="N975" s="347" t="s">
        <v>4446</v>
      </c>
      <c r="O975" s="347" t="s">
        <v>4441</v>
      </c>
      <c r="P975" s="347"/>
      <c r="Q975" s="347"/>
      <c r="R975" s="347"/>
      <c r="S975" s="348">
        <v>39664</v>
      </c>
      <c r="T975" s="348">
        <v>39664</v>
      </c>
      <c r="U975" s="347" t="s">
        <v>2396</v>
      </c>
      <c r="V975" s="345">
        <v>700</v>
      </c>
      <c r="W975" s="345">
        <v>14050</v>
      </c>
      <c r="X975" s="349">
        <v>28400.13</v>
      </c>
      <c r="Y975" s="345">
        <v>14056</v>
      </c>
      <c r="Z975" s="349">
        <v>28400.13</v>
      </c>
      <c r="AA975" s="349">
        <f t="shared" si="99"/>
        <v>0</v>
      </c>
      <c r="AB975" s="349">
        <v>0</v>
      </c>
      <c r="AC975" s="345">
        <v>54260</v>
      </c>
      <c r="AD975" s="349">
        <v>0</v>
      </c>
      <c r="AE975" s="345" t="s">
        <v>944</v>
      </c>
      <c r="AF975" s="347"/>
      <c r="AG975" s="347"/>
      <c r="AH975" s="347" t="s">
        <v>57</v>
      </c>
      <c r="AI975" s="347" t="s">
        <v>4442</v>
      </c>
      <c r="AJ975" s="347" t="s">
        <v>4443</v>
      </c>
      <c r="AK975" s="347" t="s">
        <v>4437</v>
      </c>
      <c r="AL975" s="387">
        <v>45574</v>
      </c>
    </row>
    <row r="976" spans="2:38" ht="15.75" outlineLevel="1">
      <c r="B976" s="345">
        <v>2111</v>
      </c>
      <c r="C976" s="346">
        <v>173253</v>
      </c>
      <c r="D976" s="345" t="s">
        <v>944</v>
      </c>
      <c r="E976" s="347" t="s">
        <v>4240</v>
      </c>
      <c r="F976" s="343" t="s">
        <v>2398</v>
      </c>
      <c r="I976" s="345">
        <v>486</v>
      </c>
      <c r="J976" s="347"/>
      <c r="K976" s="345">
        <v>0</v>
      </c>
      <c r="L976" s="347" t="s">
        <v>2245</v>
      </c>
      <c r="M976" s="347"/>
      <c r="N976" s="347" t="s">
        <v>4446</v>
      </c>
      <c r="O976" s="347" t="s">
        <v>4441</v>
      </c>
      <c r="P976" s="347"/>
      <c r="Q976" s="347"/>
      <c r="R976" s="347"/>
      <c r="S976" s="348">
        <v>39664</v>
      </c>
      <c r="T976" s="348">
        <v>39664</v>
      </c>
      <c r="U976" s="347" t="s">
        <v>2396</v>
      </c>
      <c r="V976" s="345">
        <v>700</v>
      </c>
      <c r="W976" s="345">
        <v>14050</v>
      </c>
      <c r="X976" s="349">
        <v>28400.13</v>
      </c>
      <c r="Y976" s="345">
        <v>14056</v>
      </c>
      <c r="Z976" s="349">
        <v>28400.13</v>
      </c>
      <c r="AA976" s="349">
        <f t="shared" si="99"/>
        <v>0</v>
      </c>
      <c r="AB976" s="349">
        <v>0</v>
      </c>
      <c r="AC976" s="345">
        <v>54260</v>
      </c>
      <c r="AD976" s="349">
        <v>0</v>
      </c>
      <c r="AE976" s="345" t="s">
        <v>944</v>
      </c>
      <c r="AF976" s="347"/>
      <c r="AG976" s="347"/>
      <c r="AH976" s="347" t="s">
        <v>57</v>
      </c>
      <c r="AI976" s="347" t="s">
        <v>4442</v>
      </c>
      <c r="AJ976" s="347" t="s">
        <v>4443</v>
      </c>
      <c r="AK976" s="347" t="s">
        <v>4437</v>
      </c>
      <c r="AL976" s="387">
        <v>45574</v>
      </c>
    </row>
    <row r="977" spans="2:38" ht="15.75" outlineLevel="1">
      <c r="B977" s="345">
        <v>2111</v>
      </c>
      <c r="C977" s="346">
        <v>173252</v>
      </c>
      <c r="D977" s="345">
        <v>57325</v>
      </c>
      <c r="E977" s="347" t="s">
        <v>4240</v>
      </c>
      <c r="F977" s="343" t="s">
        <v>2400</v>
      </c>
      <c r="I977" s="345">
        <v>1</v>
      </c>
      <c r="J977" s="347"/>
      <c r="K977" s="345">
        <v>0</v>
      </c>
      <c r="L977" s="347" t="s">
        <v>2333</v>
      </c>
      <c r="M977" s="347"/>
      <c r="N977" s="347" t="s">
        <v>4451</v>
      </c>
      <c r="O977" s="347" t="s">
        <v>4441</v>
      </c>
      <c r="P977" s="347"/>
      <c r="Q977" s="347"/>
      <c r="R977" s="347"/>
      <c r="S977" s="348">
        <v>39599</v>
      </c>
      <c r="T977" s="348">
        <v>39599</v>
      </c>
      <c r="U977" s="347" t="s">
        <v>2401</v>
      </c>
      <c r="V977" s="345">
        <v>500</v>
      </c>
      <c r="W977" s="345">
        <v>14070</v>
      </c>
      <c r="X977" s="349">
        <v>9272.31</v>
      </c>
      <c r="Y977" s="345">
        <v>14076</v>
      </c>
      <c r="Z977" s="349">
        <v>9272.31</v>
      </c>
      <c r="AA977" s="349">
        <f t="shared" si="99"/>
        <v>0</v>
      </c>
      <c r="AB977" s="349">
        <v>0</v>
      </c>
      <c r="AC977" s="345">
        <v>51260</v>
      </c>
      <c r="AD977" s="349">
        <v>0</v>
      </c>
      <c r="AE977" s="345" t="s">
        <v>944</v>
      </c>
      <c r="AF977" s="347"/>
      <c r="AG977" s="347"/>
      <c r="AH977" s="347" t="s">
        <v>57</v>
      </c>
      <c r="AI977" s="347" t="s">
        <v>4442</v>
      </c>
      <c r="AJ977" s="347" t="s">
        <v>4443</v>
      </c>
      <c r="AK977" s="347" t="s">
        <v>4437</v>
      </c>
      <c r="AL977" s="387">
        <v>45574</v>
      </c>
    </row>
    <row r="978" spans="2:38" ht="15.75" outlineLevel="1">
      <c r="B978" s="345">
        <v>2111</v>
      </c>
      <c r="C978" s="346">
        <v>173251</v>
      </c>
      <c r="D978" s="345" t="s">
        <v>944</v>
      </c>
      <c r="E978" s="347" t="s">
        <v>4240</v>
      </c>
      <c r="F978" s="343" t="s">
        <v>730</v>
      </c>
      <c r="I978" s="345">
        <v>30</v>
      </c>
      <c r="J978" s="347"/>
      <c r="K978" s="345">
        <v>0</v>
      </c>
      <c r="L978" s="347" t="s">
        <v>2403</v>
      </c>
      <c r="M978" s="347"/>
      <c r="N978" s="347" t="s">
        <v>4446</v>
      </c>
      <c r="O978" s="347" t="s">
        <v>4441</v>
      </c>
      <c r="P978" s="347"/>
      <c r="Q978" s="347" t="s">
        <v>4459</v>
      </c>
      <c r="R978" s="347" t="s">
        <v>4450</v>
      </c>
      <c r="S978" s="348">
        <v>39454</v>
      </c>
      <c r="T978" s="348">
        <v>39454</v>
      </c>
      <c r="U978" s="347" t="s">
        <v>2404</v>
      </c>
      <c r="V978" s="345">
        <v>1200</v>
      </c>
      <c r="W978" s="345">
        <v>14050</v>
      </c>
      <c r="X978" s="349">
        <v>14100.48</v>
      </c>
      <c r="Y978" s="345">
        <v>14056</v>
      </c>
      <c r="Z978" s="349">
        <v>14100.48</v>
      </c>
      <c r="AA978" s="349">
        <f t="shared" si="99"/>
        <v>0</v>
      </c>
      <c r="AB978" s="349">
        <v>0</v>
      </c>
      <c r="AC978" s="345">
        <v>54260</v>
      </c>
      <c r="AD978" s="349">
        <v>0</v>
      </c>
      <c r="AE978" s="345" t="s">
        <v>944</v>
      </c>
      <c r="AF978" s="347"/>
      <c r="AG978" s="347"/>
      <c r="AH978" s="347" t="s">
        <v>57</v>
      </c>
      <c r="AI978" s="347" t="s">
        <v>4442</v>
      </c>
      <c r="AJ978" s="347" t="s">
        <v>4443</v>
      </c>
      <c r="AK978" s="347" t="s">
        <v>4437</v>
      </c>
      <c r="AL978" s="387">
        <v>45574</v>
      </c>
    </row>
    <row r="979" spans="2:38" ht="15.75" outlineLevel="1">
      <c r="B979" s="345">
        <v>2111</v>
      </c>
      <c r="C979" s="346">
        <v>173250</v>
      </c>
      <c r="D979" s="345" t="s">
        <v>944</v>
      </c>
      <c r="E979" s="347" t="s">
        <v>4240</v>
      </c>
      <c r="F979" s="343" t="s">
        <v>689</v>
      </c>
      <c r="I979" s="345">
        <v>2</v>
      </c>
      <c r="J979" s="347"/>
      <c r="K979" s="345">
        <v>0</v>
      </c>
      <c r="L979" s="347" t="s">
        <v>2257</v>
      </c>
      <c r="M979" s="347"/>
      <c r="N979" s="347" t="s">
        <v>4446</v>
      </c>
      <c r="O979" s="347" t="s">
        <v>4441</v>
      </c>
      <c r="P979" s="347"/>
      <c r="Q979" s="347" t="s">
        <v>4447</v>
      </c>
      <c r="R979" s="347" t="s">
        <v>4448</v>
      </c>
      <c r="S979" s="348">
        <v>39471</v>
      </c>
      <c r="T979" s="348">
        <v>39471</v>
      </c>
      <c r="U979" s="347" t="s">
        <v>2405</v>
      </c>
      <c r="V979" s="345">
        <v>1200</v>
      </c>
      <c r="W979" s="345">
        <v>14050</v>
      </c>
      <c r="X979" s="349">
        <v>10759.02</v>
      </c>
      <c r="Y979" s="345">
        <v>14056</v>
      </c>
      <c r="Z979" s="349">
        <v>10759.02</v>
      </c>
      <c r="AA979" s="349">
        <f t="shared" si="99"/>
        <v>0</v>
      </c>
      <c r="AB979" s="349">
        <v>0</v>
      </c>
      <c r="AC979" s="345">
        <v>54260</v>
      </c>
      <c r="AD979" s="349">
        <v>0</v>
      </c>
      <c r="AE979" s="345" t="s">
        <v>944</v>
      </c>
      <c r="AF979" s="347"/>
      <c r="AG979" s="347"/>
      <c r="AH979" s="347" t="s">
        <v>57</v>
      </c>
      <c r="AI979" s="347" t="s">
        <v>4442</v>
      </c>
      <c r="AJ979" s="347" t="s">
        <v>4443</v>
      </c>
      <c r="AK979" s="347" t="s">
        <v>4437</v>
      </c>
      <c r="AL979" s="387">
        <v>45574</v>
      </c>
    </row>
    <row r="980" spans="2:38" ht="15.75" outlineLevel="1">
      <c r="B980" s="345">
        <v>2111</v>
      </c>
      <c r="C980" s="346">
        <v>173249</v>
      </c>
      <c r="D980" s="345" t="s">
        <v>944</v>
      </c>
      <c r="E980" s="347" t="s">
        <v>4240</v>
      </c>
      <c r="F980" s="343" t="s">
        <v>689</v>
      </c>
      <c r="I980" s="345">
        <v>3</v>
      </c>
      <c r="J980" s="347"/>
      <c r="K980" s="345">
        <v>0</v>
      </c>
      <c r="L980" s="347" t="s">
        <v>2257</v>
      </c>
      <c r="M980" s="347"/>
      <c r="N980" s="347" t="s">
        <v>4446</v>
      </c>
      <c r="O980" s="347" t="s">
        <v>4441</v>
      </c>
      <c r="P980" s="347"/>
      <c r="Q980" s="347" t="s">
        <v>4447</v>
      </c>
      <c r="R980" s="347" t="s">
        <v>4448</v>
      </c>
      <c r="S980" s="348">
        <v>39471</v>
      </c>
      <c r="T980" s="348">
        <v>39471</v>
      </c>
      <c r="U980" s="347" t="s">
        <v>2405</v>
      </c>
      <c r="V980" s="345">
        <v>1200</v>
      </c>
      <c r="W980" s="345">
        <v>14050</v>
      </c>
      <c r="X980" s="349">
        <v>16138.98</v>
      </c>
      <c r="Y980" s="345">
        <v>14056</v>
      </c>
      <c r="Z980" s="349">
        <v>16138.98</v>
      </c>
      <c r="AA980" s="349">
        <f t="shared" si="99"/>
        <v>0</v>
      </c>
      <c r="AB980" s="349">
        <v>0</v>
      </c>
      <c r="AC980" s="345">
        <v>54260</v>
      </c>
      <c r="AD980" s="349">
        <v>0</v>
      </c>
      <c r="AE980" s="345" t="s">
        <v>944</v>
      </c>
      <c r="AF980" s="347"/>
      <c r="AG980" s="347"/>
      <c r="AH980" s="347" t="s">
        <v>57</v>
      </c>
      <c r="AI980" s="347" t="s">
        <v>4442</v>
      </c>
      <c r="AJ980" s="347" t="s">
        <v>4443</v>
      </c>
      <c r="AK980" s="347" t="s">
        <v>4437</v>
      </c>
      <c r="AL980" s="387">
        <v>45574</v>
      </c>
    </row>
    <row r="981" spans="2:38" ht="15.75" outlineLevel="1">
      <c r="B981" s="345">
        <v>2111</v>
      </c>
      <c r="C981" s="346">
        <v>173248</v>
      </c>
      <c r="D981" s="345" t="s">
        <v>944</v>
      </c>
      <c r="E981" s="347" t="s">
        <v>4240</v>
      </c>
      <c r="F981" s="343" t="s">
        <v>2406</v>
      </c>
      <c r="I981" s="345">
        <v>1</v>
      </c>
      <c r="J981" s="347" t="s">
        <v>2407</v>
      </c>
      <c r="K981" s="345">
        <v>2007</v>
      </c>
      <c r="L981" s="347"/>
      <c r="M981" s="347"/>
      <c r="N981" s="347" t="s">
        <v>4445</v>
      </c>
      <c r="O981" s="347" t="s">
        <v>4441</v>
      </c>
      <c r="P981" s="347" t="s">
        <v>1467</v>
      </c>
      <c r="Q981" s="347"/>
      <c r="R981" s="347"/>
      <c r="S981" s="348">
        <v>39422</v>
      </c>
      <c r="T981" s="348">
        <v>39422</v>
      </c>
      <c r="U981" s="347" t="s">
        <v>2408</v>
      </c>
      <c r="V981" s="345">
        <v>1000</v>
      </c>
      <c r="W981" s="345">
        <v>14040</v>
      </c>
      <c r="X981" s="349">
        <v>58428.6</v>
      </c>
      <c r="Y981" s="345">
        <v>14046</v>
      </c>
      <c r="Z981" s="349">
        <v>58428.6</v>
      </c>
      <c r="AA981" s="349">
        <f t="shared" si="99"/>
        <v>0</v>
      </c>
      <c r="AB981" s="349">
        <v>0</v>
      </c>
      <c r="AC981" s="345">
        <v>51260</v>
      </c>
      <c r="AD981" s="349">
        <v>0</v>
      </c>
      <c r="AE981" s="345" t="s">
        <v>944</v>
      </c>
      <c r="AF981" s="347"/>
      <c r="AG981" s="347"/>
      <c r="AH981" s="347" t="s">
        <v>57</v>
      </c>
      <c r="AI981" s="347" t="s">
        <v>4442</v>
      </c>
      <c r="AJ981" s="347" t="s">
        <v>4443</v>
      </c>
      <c r="AK981" s="347" t="s">
        <v>4437</v>
      </c>
      <c r="AL981" s="387">
        <v>45574</v>
      </c>
    </row>
    <row r="982" spans="2:38" ht="15.75" outlineLevel="1">
      <c r="B982" s="345">
        <v>2111</v>
      </c>
      <c r="C982" s="346">
        <v>173247</v>
      </c>
      <c r="D982" s="345" t="s">
        <v>944</v>
      </c>
      <c r="E982" s="347" t="s">
        <v>4240</v>
      </c>
      <c r="F982" s="343" t="s">
        <v>2409</v>
      </c>
      <c r="I982" s="345">
        <v>1</v>
      </c>
      <c r="J982" s="347" t="s">
        <v>2407</v>
      </c>
      <c r="K982" s="345">
        <v>2008</v>
      </c>
      <c r="L982" s="347" t="s">
        <v>2410</v>
      </c>
      <c r="M982" s="347" t="s">
        <v>1522</v>
      </c>
      <c r="N982" s="347" t="s">
        <v>4445</v>
      </c>
      <c r="O982" s="347" t="s">
        <v>4441</v>
      </c>
      <c r="P982" s="347" t="s">
        <v>4463</v>
      </c>
      <c r="Q982" s="347"/>
      <c r="R982" s="347"/>
      <c r="S982" s="348">
        <v>39416</v>
      </c>
      <c r="T982" s="348">
        <v>39416</v>
      </c>
      <c r="U982" s="347" t="s">
        <v>2408</v>
      </c>
      <c r="V982" s="345">
        <v>1000</v>
      </c>
      <c r="W982" s="345">
        <v>14040</v>
      </c>
      <c r="X982" s="349">
        <v>138814.73000000001</v>
      </c>
      <c r="Y982" s="345">
        <v>14046</v>
      </c>
      <c r="Z982" s="349">
        <v>138814.73000000001</v>
      </c>
      <c r="AA982" s="349">
        <f t="shared" si="99"/>
        <v>0</v>
      </c>
      <c r="AB982" s="349">
        <v>0</v>
      </c>
      <c r="AC982" s="345">
        <v>51260</v>
      </c>
      <c r="AD982" s="349">
        <v>0</v>
      </c>
      <c r="AE982" s="345" t="s">
        <v>944</v>
      </c>
      <c r="AF982" s="347">
        <v>0</v>
      </c>
      <c r="AG982" s="347">
        <v>616</v>
      </c>
      <c r="AH982" s="347" t="s">
        <v>57</v>
      </c>
      <c r="AI982" s="347" t="s">
        <v>4442</v>
      </c>
      <c r="AJ982" s="347" t="s">
        <v>4443</v>
      </c>
      <c r="AK982" s="347" t="s">
        <v>4437</v>
      </c>
      <c r="AL982" s="387">
        <v>45574</v>
      </c>
    </row>
    <row r="983" spans="2:38" ht="15.75" outlineLevel="1">
      <c r="B983" s="345">
        <v>2111</v>
      </c>
      <c r="C983" s="346">
        <v>173246</v>
      </c>
      <c r="D983" s="345" t="s">
        <v>944</v>
      </c>
      <c r="E983" s="347" t="s">
        <v>4240</v>
      </c>
      <c r="F983" s="343" t="s">
        <v>755</v>
      </c>
      <c r="I983" s="345">
        <v>5</v>
      </c>
      <c r="J983" s="347">
        <v>0</v>
      </c>
      <c r="K983" s="345">
        <v>0</v>
      </c>
      <c r="L983" s="347" t="s">
        <v>2403</v>
      </c>
      <c r="M983" s="347"/>
      <c r="N983" s="347" t="s">
        <v>4446</v>
      </c>
      <c r="O983" s="347" t="s">
        <v>4441</v>
      </c>
      <c r="P983" s="347"/>
      <c r="Q983" s="347" t="s">
        <v>4447</v>
      </c>
      <c r="R983" s="347" t="s">
        <v>4448</v>
      </c>
      <c r="S983" s="348">
        <v>39317</v>
      </c>
      <c r="T983" s="348">
        <v>39317</v>
      </c>
      <c r="U983" s="347" t="s">
        <v>2412</v>
      </c>
      <c r="V983" s="345">
        <v>1200</v>
      </c>
      <c r="W983" s="345">
        <v>14050</v>
      </c>
      <c r="X983" s="349">
        <v>25704</v>
      </c>
      <c r="Y983" s="345">
        <v>14056</v>
      </c>
      <c r="Z983" s="349">
        <v>25704</v>
      </c>
      <c r="AA983" s="349">
        <f t="shared" si="99"/>
        <v>0</v>
      </c>
      <c r="AB983" s="349">
        <v>0</v>
      </c>
      <c r="AC983" s="345">
        <v>54260</v>
      </c>
      <c r="AD983" s="349">
        <v>0</v>
      </c>
      <c r="AE983" s="345" t="s">
        <v>944</v>
      </c>
      <c r="AF983" s="347"/>
      <c r="AG983" s="347"/>
      <c r="AH983" s="347" t="s">
        <v>57</v>
      </c>
      <c r="AI983" s="347" t="s">
        <v>4442</v>
      </c>
      <c r="AJ983" s="347" t="s">
        <v>4443</v>
      </c>
      <c r="AK983" s="347" t="s">
        <v>4437</v>
      </c>
      <c r="AL983" s="387">
        <v>45574</v>
      </c>
    </row>
    <row r="984" spans="2:38" ht="15.75" outlineLevel="1">
      <c r="B984" s="345">
        <v>2111</v>
      </c>
      <c r="C984" s="346">
        <v>173245</v>
      </c>
      <c r="D984" s="345" t="s">
        <v>944</v>
      </c>
      <c r="E984" s="347" t="s">
        <v>4240</v>
      </c>
      <c r="F984" s="343" t="s">
        <v>593</v>
      </c>
      <c r="I984" s="345">
        <v>486</v>
      </c>
      <c r="J984" s="347">
        <v>0</v>
      </c>
      <c r="K984" s="345">
        <v>0</v>
      </c>
      <c r="L984" s="347" t="s">
        <v>2245</v>
      </c>
      <c r="M984" s="347"/>
      <c r="N984" s="347" t="s">
        <v>4446</v>
      </c>
      <c r="O984" s="347" t="s">
        <v>4441</v>
      </c>
      <c r="P984" s="347"/>
      <c r="Q984" s="347"/>
      <c r="R984" s="347"/>
      <c r="S984" s="348">
        <v>39265</v>
      </c>
      <c r="T984" s="348">
        <v>39265</v>
      </c>
      <c r="U984" s="347" t="s">
        <v>2413</v>
      </c>
      <c r="V984" s="345">
        <v>700</v>
      </c>
      <c r="W984" s="345">
        <v>14050</v>
      </c>
      <c r="X984" s="349">
        <v>24439.65</v>
      </c>
      <c r="Y984" s="345">
        <v>14056</v>
      </c>
      <c r="Z984" s="349">
        <v>24439.65</v>
      </c>
      <c r="AA984" s="349">
        <f t="shared" si="99"/>
        <v>0</v>
      </c>
      <c r="AB984" s="349">
        <v>0</v>
      </c>
      <c r="AC984" s="345">
        <v>54260</v>
      </c>
      <c r="AD984" s="349">
        <v>0</v>
      </c>
      <c r="AE984" s="345" t="s">
        <v>944</v>
      </c>
      <c r="AF984" s="347"/>
      <c r="AG984" s="347"/>
      <c r="AH984" s="347" t="s">
        <v>57</v>
      </c>
      <c r="AI984" s="347" t="s">
        <v>4442</v>
      </c>
      <c r="AJ984" s="347" t="s">
        <v>4443</v>
      </c>
      <c r="AK984" s="347" t="s">
        <v>4437</v>
      </c>
      <c r="AL984" s="387">
        <v>45574</v>
      </c>
    </row>
    <row r="985" spans="2:38" ht="15.75" outlineLevel="1">
      <c r="B985" s="345">
        <v>2111</v>
      </c>
      <c r="C985" s="346">
        <v>173244</v>
      </c>
      <c r="D985" s="345" t="s">
        <v>944</v>
      </c>
      <c r="E985" s="347" t="s">
        <v>4240</v>
      </c>
      <c r="F985" s="343" t="s">
        <v>696</v>
      </c>
      <c r="I985" s="345">
        <v>6</v>
      </c>
      <c r="J985" s="347">
        <v>0</v>
      </c>
      <c r="K985" s="345">
        <v>0</v>
      </c>
      <c r="L985" s="347" t="s">
        <v>2257</v>
      </c>
      <c r="M985" s="347"/>
      <c r="N985" s="347" t="s">
        <v>4446</v>
      </c>
      <c r="O985" s="347" t="s">
        <v>4441</v>
      </c>
      <c r="P985" s="347"/>
      <c r="Q985" s="347" t="s">
        <v>4479</v>
      </c>
      <c r="R985" s="347" t="s">
        <v>4450</v>
      </c>
      <c r="S985" s="348">
        <v>39252</v>
      </c>
      <c r="T985" s="348">
        <v>39252</v>
      </c>
      <c r="U985" s="347" t="s">
        <v>2415</v>
      </c>
      <c r="V985" s="345">
        <v>1200</v>
      </c>
      <c r="W985" s="345">
        <v>14050</v>
      </c>
      <c r="X985" s="349">
        <v>4867.83</v>
      </c>
      <c r="Y985" s="345">
        <v>14056</v>
      </c>
      <c r="Z985" s="349">
        <v>4867.83</v>
      </c>
      <c r="AA985" s="349">
        <f t="shared" si="99"/>
        <v>0</v>
      </c>
      <c r="AB985" s="349">
        <v>0</v>
      </c>
      <c r="AC985" s="345">
        <v>54260</v>
      </c>
      <c r="AD985" s="349">
        <v>0</v>
      </c>
      <c r="AE985" s="345" t="s">
        <v>944</v>
      </c>
      <c r="AF985" s="347"/>
      <c r="AG985" s="347"/>
      <c r="AH985" s="347" t="s">
        <v>57</v>
      </c>
      <c r="AI985" s="347" t="s">
        <v>4442</v>
      </c>
      <c r="AJ985" s="347" t="s">
        <v>4443</v>
      </c>
      <c r="AK985" s="347" t="s">
        <v>4437</v>
      </c>
      <c r="AL985" s="387">
        <v>45574</v>
      </c>
    </row>
    <row r="986" spans="2:38" ht="15.75" outlineLevel="1">
      <c r="B986" s="345">
        <v>2111</v>
      </c>
      <c r="C986" s="346">
        <v>173243</v>
      </c>
      <c r="D986" s="345" t="s">
        <v>944</v>
      </c>
      <c r="E986" s="347" t="s">
        <v>4240</v>
      </c>
      <c r="F986" s="343" t="s">
        <v>696</v>
      </c>
      <c r="I986" s="345">
        <v>9</v>
      </c>
      <c r="J986" s="347">
        <v>0</v>
      </c>
      <c r="K986" s="345">
        <v>0</v>
      </c>
      <c r="L986" s="347" t="s">
        <v>2257</v>
      </c>
      <c r="M986" s="347"/>
      <c r="N986" s="347" t="s">
        <v>4446</v>
      </c>
      <c r="O986" s="347" t="s">
        <v>4441</v>
      </c>
      <c r="P986" s="347"/>
      <c r="Q986" s="347" t="s">
        <v>4479</v>
      </c>
      <c r="R986" s="347" t="s">
        <v>4450</v>
      </c>
      <c r="S986" s="348">
        <v>39252</v>
      </c>
      <c r="T986" s="348">
        <v>39252</v>
      </c>
      <c r="U986" s="347" t="s">
        <v>2415</v>
      </c>
      <c r="V986" s="345">
        <v>1200</v>
      </c>
      <c r="W986" s="345">
        <v>14050</v>
      </c>
      <c r="X986" s="349">
        <v>7301.75</v>
      </c>
      <c r="Y986" s="345">
        <v>14056</v>
      </c>
      <c r="Z986" s="349">
        <v>7301.75</v>
      </c>
      <c r="AA986" s="349">
        <f t="shared" si="99"/>
        <v>0</v>
      </c>
      <c r="AB986" s="349">
        <v>0</v>
      </c>
      <c r="AC986" s="345">
        <v>54260</v>
      </c>
      <c r="AD986" s="349">
        <v>0</v>
      </c>
      <c r="AE986" s="345" t="s">
        <v>944</v>
      </c>
      <c r="AF986" s="347"/>
      <c r="AG986" s="347"/>
      <c r="AH986" s="347" t="s">
        <v>57</v>
      </c>
      <c r="AI986" s="347" t="s">
        <v>4442</v>
      </c>
      <c r="AJ986" s="347" t="s">
        <v>4443</v>
      </c>
      <c r="AK986" s="347" t="s">
        <v>4437</v>
      </c>
      <c r="AL986" s="387">
        <v>45574</v>
      </c>
    </row>
    <row r="987" spans="2:38" ht="15.75" outlineLevel="1">
      <c r="B987" s="345">
        <v>2111</v>
      </c>
      <c r="C987" s="346">
        <v>173242</v>
      </c>
      <c r="D987" s="345" t="s">
        <v>944</v>
      </c>
      <c r="E987" s="347" t="s">
        <v>4240</v>
      </c>
      <c r="F987" s="343" t="s">
        <v>593</v>
      </c>
      <c r="I987" s="345">
        <v>486</v>
      </c>
      <c r="J987" s="347">
        <v>0</v>
      </c>
      <c r="K987" s="345">
        <v>0</v>
      </c>
      <c r="L987" s="347" t="s">
        <v>2245</v>
      </c>
      <c r="M987" s="347"/>
      <c r="N987" s="347" t="s">
        <v>4446</v>
      </c>
      <c r="O987" s="347" t="s">
        <v>4441</v>
      </c>
      <c r="P987" s="347"/>
      <c r="Q987" s="347"/>
      <c r="R987" s="347"/>
      <c r="S987" s="348">
        <v>39236</v>
      </c>
      <c r="T987" s="348">
        <v>39236</v>
      </c>
      <c r="U987" s="347" t="s">
        <v>2413</v>
      </c>
      <c r="V987" s="345">
        <v>700</v>
      </c>
      <c r="W987" s="345">
        <v>14050</v>
      </c>
      <c r="X987" s="349">
        <v>26258.62</v>
      </c>
      <c r="Y987" s="345">
        <v>14056</v>
      </c>
      <c r="Z987" s="349">
        <v>26258.62</v>
      </c>
      <c r="AA987" s="349">
        <f t="shared" si="99"/>
        <v>0</v>
      </c>
      <c r="AB987" s="349">
        <v>0</v>
      </c>
      <c r="AC987" s="345">
        <v>54260</v>
      </c>
      <c r="AD987" s="349">
        <v>0</v>
      </c>
      <c r="AE987" s="345" t="s">
        <v>944</v>
      </c>
      <c r="AF987" s="347"/>
      <c r="AG987" s="347"/>
      <c r="AH987" s="347" t="s">
        <v>57</v>
      </c>
      <c r="AI987" s="347" t="s">
        <v>4442</v>
      </c>
      <c r="AJ987" s="347" t="s">
        <v>4443</v>
      </c>
      <c r="AK987" s="347" t="s">
        <v>4437</v>
      </c>
      <c r="AL987" s="387">
        <v>45574</v>
      </c>
    </row>
    <row r="988" spans="2:38" ht="15.75" outlineLevel="1">
      <c r="B988" s="345">
        <v>2111</v>
      </c>
      <c r="C988" s="346">
        <v>173241</v>
      </c>
      <c r="D988" s="345" t="s">
        <v>944</v>
      </c>
      <c r="E988" s="347" t="s">
        <v>4240</v>
      </c>
      <c r="F988" s="343" t="s">
        <v>593</v>
      </c>
      <c r="I988" s="345">
        <v>486</v>
      </c>
      <c r="J988" s="347">
        <v>0</v>
      </c>
      <c r="K988" s="345">
        <v>0</v>
      </c>
      <c r="L988" s="347" t="s">
        <v>2245</v>
      </c>
      <c r="M988" s="347"/>
      <c r="N988" s="347" t="s">
        <v>4446</v>
      </c>
      <c r="O988" s="347" t="s">
        <v>4441</v>
      </c>
      <c r="P988" s="347"/>
      <c r="Q988" s="347"/>
      <c r="R988" s="347"/>
      <c r="S988" s="348">
        <v>39236</v>
      </c>
      <c r="T988" s="348">
        <v>39236</v>
      </c>
      <c r="U988" s="347" t="s">
        <v>2413</v>
      </c>
      <c r="V988" s="345">
        <v>700</v>
      </c>
      <c r="W988" s="345">
        <v>14050</v>
      </c>
      <c r="X988" s="349">
        <v>26258.62</v>
      </c>
      <c r="Y988" s="345">
        <v>14056</v>
      </c>
      <c r="Z988" s="349">
        <v>26258.62</v>
      </c>
      <c r="AA988" s="349">
        <f t="shared" si="99"/>
        <v>0</v>
      </c>
      <c r="AB988" s="349">
        <v>0</v>
      </c>
      <c r="AC988" s="345">
        <v>54260</v>
      </c>
      <c r="AD988" s="349">
        <v>0</v>
      </c>
      <c r="AE988" s="345" t="s">
        <v>944</v>
      </c>
      <c r="AF988" s="347"/>
      <c r="AG988" s="347"/>
      <c r="AH988" s="347" t="s">
        <v>57</v>
      </c>
      <c r="AI988" s="347" t="s">
        <v>4442</v>
      </c>
      <c r="AJ988" s="347" t="s">
        <v>4443</v>
      </c>
      <c r="AK988" s="347" t="s">
        <v>4437</v>
      </c>
      <c r="AL988" s="387">
        <v>45574</v>
      </c>
    </row>
    <row r="989" spans="2:38" ht="15.75" outlineLevel="1">
      <c r="B989" s="345">
        <v>2111</v>
      </c>
      <c r="C989" s="346">
        <v>173240</v>
      </c>
      <c r="D989" s="345" t="s">
        <v>944</v>
      </c>
      <c r="E989" s="347" t="s">
        <v>4240</v>
      </c>
      <c r="F989" s="343" t="s">
        <v>593</v>
      </c>
      <c r="I989" s="345">
        <v>486</v>
      </c>
      <c r="J989" s="347">
        <v>0</v>
      </c>
      <c r="K989" s="345">
        <v>0</v>
      </c>
      <c r="L989" s="347" t="s">
        <v>2245</v>
      </c>
      <c r="M989" s="347"/>
      <c r="N989" s="347" t="s">
        <v>4446</v>
      </c>
      <c r="O989" s="347" t="s">
        <v>4441</v>
      </c>
      <c r="P989" s="347"/>
      <c r="Q989" s="347"/>
      <c r="R989" s="347"/>
      <c r="S989" s="348">
        <v>39217</v>
      </c>
      <c r="T989" s="348">
        <v>39217</v>
      </c>
      <c r="U989" s="347" t="s">
        <v>2418</v>
      </c>
      <c r="V989" s="345">
        <v>700</v>
      </c>
      <c r="W989" s="345">
        <v>14050</v>
      </c>
      <c r="X989" s="349">
        <v>26554.73</v>
      </c>
      <c r="Y989" s="345">
        <v>14056</v>
      </c>
      <c r="Z989" s="349">
        <v>26554.73</v>
      </c>
      <c r="AA989" s="349">
        <f t="shared" si="99"/>
        <v>0</v>
      </c>
      <c r="AB989" s="349">
        <v>0</v>
      </c>
      <c r="AC989" s="345">
        <v>54260</v>
      </c>
      <c r="AD989" s="349">
        <v>0</v>
      </c>
      <c r="AE989" s="345" t="s">
        <v>944</v>
      </c>
      <c r="AF989" s="347"/>
      <c r="AG989" s="347"/>
      <c r="AH989" s="347" t="s">
        <v>57</v>
      </c>
      <c r="AI989" s="347" t="s">
        <v>4442</v>
      </c>
      <c r="AJ989" s="347" t="s">
        <v>4443</v>
      </c>
      <c r="AK989" s="347" t="s">
        <v>4437</v>
      </c>
      <c r="AL989" s="387">
        <v>45574</v>
      </c>
    </row>
    <row r="990" spans="2:38" ht="15.75" outlineLevel="1">
      <c r="B990" s="345">
        <v>2111</v>
      </c>
      <c r="C990" s="346">
        <v>173239</v>
      </c>
      <c r="D990" s="345" t="s">
        <v>944</v>
      </c>
      <c r="E990" s="347" t="s">
        <v>4240</v>
      </c>
      <c r="F990" s="343" t="s">
        <v>2420</v>
      </c>
      <c r="I990" s="345">
        <v>4</v>
      </c>
      <c r="J990" s="347">
        <v>0</v>
      </c>
      <c r="K990" s="345">
        <v>0</v>
      </c>
      <c r="L990" s="347" t="s">
        <v>2257</v>
      </c>
      <c r="M990" s="347"/>
      <c r="N990" s="347" t="s">
        <v>4446</v>
      </c>
      <c r="O990" s="347" t="s">
        <v>4441</v>
      </c>
      <c r="P990" s="347"/>
      <c r="Q990" s="347" t="s">
        <v>4464</v>
      </c>
      <c r="R990" s="347" t="s">
        <v>4450</v>
      </c>
      <c r="S990" s="348">
        <v>39219</v>
      </c>
      <c r="T990" s="348">
        <v>39219</v>
      </c>
      <c r="U990" s="347" t="s">
        <v>2421</v>
      </c>
      <c r="V990" s="345">
        <v>1200</v>
      </c>
      <c r="W990" s="345">
        <v>14050</v>
      </c>
      <c r="X990" s="349">
        <v>2885.85</v>
      </c>
      <c r="Y990" s="345">
        <v>14056</v>
      </c>
      <c r="Z990" s="349">
        <v>2885.85</v>
      </c>
      <c r="AA990" s="349">
        <f t="shared" si="99"/>
        <v>0</v>
      </c>
      <c r="AB990" s="349">
        <v>0</v>
      </c>
      <c r="AC990" s="345">
        <v>54260</v>
      </c>
      <c r="AD990" s="349">
        <v>0</v>
      </c>
      <c r="AE990" s="345" t="s">
        <v>944</v>
      </c>
      <c r="AF990" s="347"/>
      <c r="AG990" s="347"/>
      <c r="AH990" s="347" t="s">
        <v>57</v>
      </c>
      <c r="AI990" s="347" t="s">
        <v>4442</v>
      </c>
      <c r="AJ990" s="347" t="s">
        <v>4443</v>
      </c>
      <c r="AK990" s="347" t="s">
        <v>4437</v>
      </c>
      <c r="AL990" s="387">
        <v>45574</v>
      </c>
    </row>
    <row r="991" spans="2:38" ht="15.75" outlineLevel="1">
      <c r="B991" s="345">
        <v>2111</v>
      </c>
      <c r="C991" s="346">
        <v>173238</v>
      </c>
      <c r="D991" s="345" t="s">
        <v>944</v>
      </c>
      <c r="E991" s="347" t="s">
        <v>4240</v>
      </c>
      <c r="F991" s="343" t="s">
        <v>681</v>
      </c>
      <c r="I991" s="345">
        <v>10</v>
      </c>
      <c r="J991" s="347">
        <v>0</v>
      </c>
      <c r="K991" s="345">
        <v>0</v>
      </c>
      <c r="L991" s="347" t="s">
        <v>2403</v>
      </c>
      <c r="M991" s="347"/>
      <c r="N991" s="347" t="s">
        <v>4446</v>
      </c>
      <c r="O991" s="347" t="s">
        <v>4441</v>
      </c>
      <c r="P991" s="347"/>
      <c r="Q991" s="347" t="s">
        <v>4449</v>
      </c>
      <c r="R991" s="347" t="s">
        <v>4450</v>
      </c>
      <c r="S991" s="348">
        <v>39063</v>
      </c>
      <c r="T991" s="348">
        <v>39063</v>
      </c>
      <c r="U991" s="347" t="s">
        <v>2422</v>
      </c>
      <c r="V991" s="345">
        <v>1200</v>
      </c>
      <c r="W991" s="345">
        <v>14050</v>
      </c>
      <c r="X991" s="349">
        <v>4308.4799999999996</v>
      </c>
      <c r="Y991" s="345">
        <v>14056</v>
      </c>
      <c r="Z991" s="349">
        <v>4308.4799999999996</v>
      </c>
      <c r="AA991" s="349">
        <f t="shared" si="99"/>
        <v>0</v>
      </c>
      <c r="AB991" s="349">
        <v>0</v>
      </c>
      <c r="AC991" s="345">
        <v>54260</v>
      </c>
      <c r="AD991" s="349">
        <v>0</v>
      </c>
      <c r="AE991" s="345" t="s">
        <v>944</v>
      </c>
      <c r="AF991" s="347"/>
      <c r="AG991" s="347"/>
      <c r="AH991" s="347" t="s">
        <v>57</v>
      </c>
      <c r="AI991" s="347" t="s">
        <v>4442</v>
      </c>
      <c r="AJ991" s="347" t="s">
        <v>4443</v>
      </c>
      <c r="AK991" s="347" t="s">
        <v>4437</v>
      </c>
      <c r="AL991" s="387">
        <v>45574</v>
      </c>
    </row>
    <row r="992" spans="2:38" ht="15.75" outlineLevel="1">
      <c r="B992" s="345">
        <v>2111</v>
      </c>
      <c r="C992" s="346">
        <v>173237</v>
      </c>
      <c r="D992" s="345" t="s">
        <v>944</v>
      </c>
      <c r="E992" s="347" t="s">
        <v>4240</v>
      </c>
      <c r="F992" s="343" t="s">
        <v>682</v>
      </c>
      <c r="I992" s="345">
        <v>22</v>
      </c>
      <c r="J992" s="347">
        <v>0</v>
      </c>
      <c r="K992" s="345">
        <v>0</v>
      </c>
      <c r="L992" s="347" t="s">
        <v>2403</v>
      </c>
      <c r="M992" s="347"/>
      <c r="N992" s="347" t="s">
        <v>4446</v>
      </c>
      <c r="O992" s="347" t="s">
        <v>4441</v>
      </c>
      <c r="P992" s="347"/>
      <c r="Q992" s="347" t="s">
        <v>4459</v>
      </c>
      <c r="R992" s="347" t="s">
        <v>4450</v>
      </c>
      <c r="S992" s="348">
        <v>39063</v>
      </c>
      <c r="T992" s="348">
        <v>39063</v>
      </c>
      <c r="U992" s="347" t="s">
        <v>2423</v>
      </c>
      <c r="V992" s="345">
        <v>1200</v>
      </c>
      <c r="W992" s="345">
        <v>14050</v>
      </c>
      <c r="X992" s="349">
        <v>10340.35</v>
      </c>
      <c r="Y992" s="345">
        <v>14056</v>
      </c>
      <c r="Z992" s="349">
        <v>10340.35</v>
      </c>
      <c r="AA992" s="349">
        <f t="shared" si="99"/>
        <v>0</v>
      </c>
      <c r="AB992" s="349">
        <v>0</v>
      </c>
      <c r="AC992" s="345">
        <v>54260</v>
      </c>
      <c r="AD992" s="349">
        <v>0</v>
      </c>
      <c r="AE992" s="345" t="s">
        <v>944</v>
      </c>
      <c r="AF992" s="347"/>
      <c r="AG992" s="347"/>
      <c r="AH992" s="347" t="s">
        <v>57</v>
      </c>
      <c r="AI992" s="347" t="s">
        <v>4442</v>
      </c>
      <c r="AJ992" s="347" t="s">
        <v>4443</v>
      </c>
      <c r="AK992" s="347" t="s">
        <v>4437</v>
      </c>
      <c r="AL992" s="387">
        <v>45574</v>
      </c>
    </row>
    <row r="993" spans="2:38" ht="15.75" outlineLevel="1">
      <c r="B993" s="345">
        <v>2111</v>
      </c>
      <c r="C993" s="346">
        <v>173236</v>
      </c>
      <c r="D993" s="345" t="s">
        <v>944</v>
      </c>
      <c r="E993" s="347" t="s">
        <v>4240</v>
      </c>
      <c r="F993" s="343" t="s">
        <v>2424</v>
      </c>
      <c r="I993" s="345">
        <v>1</v>
      </c>
      <c r="J993" s="347" t="s">
        <v>2425</v>
      </c>
      <c r="K993" s="345">
        <v>2006</v>
      </c>
      <c r="L993" s="347"/>
      <c r="M993" s="347"/>
      <c r="N993" s="347" t="s">
        <v>4445</v>
      </c>
      <c r="O993" s="347" t="s">
        <v>4441</v>
      </c>
      <c r="P993" s="347" t="s">
        <v>1467</v>
      </c>
      <c r="Q993" s="347"/>
      <c r="R993" s="347"/>
      <c r="S993" s="348">
        <v>38985</v>
      </c>
      <c r="T993" s="348">
        <v>38985</v>
      </c>
      <c r="U993" s="347" t="s">
        <v>2426</v>
      </c>
      <c r="V993" s="345">
        <v>1000</v>
      </c>
      <c r="W993" s="345">
        <v>14040</v>
      </c>
      <c r="X993" s="349">
        <v>65281.09</v>
      </c>
      <c r="Y993" s="345">
        <v>14046</v>
      </c>
      <c r="Z993" s="349">
        <v>65281.09</v>
      </c>
      <c r="AA993" s="349">
        <f t="shared" si="99"/>
        <v>0</v>
      </c>
      <c r="AB993" s="349">
        <v>0</v>
      </c>
      <c r="AC993" s="345">
        <v>51260</v>
      </c>
      <c r="AD993" s="349">
        <v>0</v>
      </c>
      <c r="AE993" s="345" t="s">
        <v>944</v>
      </c>
      <c r="AF993" s="347"/>
      <c r="AG993" s="347"/>
      <c r="AH993" s="347" t="s">
        <v>57</v>
      </c>
      <c r="AI993" s="347" t="s">
        <v>4442</v>
      </c>
      <c r="AJ993" s="347" t="s">
        <v>4443</v>
      </c>
      <c r="AK993" s="347" t="s">
        <v>4437</v>
      </c>
      <c r="AL993" s="387">
        <v>45574</v>
      </c>
    </row>
    <row r="994" spans="2:38" ht="15.75" outlineLevel="1">
      <c r="B994" s="345">
        <v>2111</v>
      </c>
      <c r="C994" s="346">
        <v>173235</v>
      </c>
      <c r="D994" s="345" t="s">
        <v>944</v>
      </c>
      <c r="E994" s="347" t="s">
        <v>4240</v>
      </c>
      <c r="F994" s="343" t="s">
        <v>2427</v>
      </c>
      <c r="I994" s="345">
        <v>437</v>
      </c>
      <c r="J994" s="347">
        <v>0</v>
      </c>
      <c r="K994" s="345">
        <v>0</v>
      </c>
      <c r="L994" s="347" t="s">
        <v>2342</v>
      </c>
      <c r="M994" s="347"/>
      <c r="N994" s="347" t="s">
        <v>4446</v>
      </c>
      <c r="O994" s="347" t="s">
        <v>4441</v>
      </c>
      <c r="P994" s="347"/>
      <c r="Q994" s="347"/>
      <c r="R994" s="347"/>
      <c r="S994" s="348">
        <v>38917</v>
      </c>
      <c r="T994" s="348">
        <v>38917</v>
      </c>
      <c r="U994" s="347" t="s">
        <v>2429</v>
      </c>
      <c r="V994" s="345">
        <v>700</v>
      </c>
      <c r="W994" s="345">
        <v>14050</v>
      </c>
      <c r="X994" s="349">
        <v>1426.36</v>
      </c>
      <c r="Y994" s="345">
        <v>14056</v>
      </c>
      <c r="Z994" s="349">
        <v>1426.36</v>
      </c>
      <c r="AA994" s="349">
        <f t="shared" si="99"/>
        <v>0</v>
      </c>
      <c r="AB994" s="349">
        <v>0</v>
      </c>
      <c r="AC994" s="345">
        <v>54260</v>
      </c>
      <c r="AD994" s="349">
        <v>0</v>
      </c>
      <c r="AE994" s="345" t="s">
        <v>944</v>
      </c>
      <c r="AF994" s="347"/>
      <c r="AG994" s="347"/>
      <c r="AH994" s="347" t="s">
        <v>57</v>
      </c>
      <c r="AI994" s="347" t="s">
        <v>4442</v>
      </c>
      <c r="AJ994" s="347" t="s">
        <v>4443</v>
      </c>
      <c r="AK994" s="347" t="s">
        <v>4437</v>
      </c>
      <c r="AL994" s="387">
        <v>45574</v>
      </c>
    </row>
    <row r="995" spans="2:38" ht="15.75" outlineLevel="1">
      <c r="B995" s="345">
        <v>2111</v>
      </c>
      <c r="C995" s="346">
        <v>173234</v>
      </c>
      <c r="D995" s="345" t="s">
        <v>944</v>
      </c>
      <c r="E995" s="347" t="s">
        <v>4240</v>
      </c>
      <c r="F995" s="343" t="s">
        <v>2431</v>
      </c>
      <c r="I995" s="345">
        <v>182</v>
      </c>
      <c r="J995" s="347">
        <v>0</v>
      </c>
      <c r="K995" s="345">
        <v>0</v>
      </c>
      <c r="L995" s="347" t="s">
        <v>2342</v>
      </c>
      <c r="M995" s="347"/>
      <c r="N995" s="347" t="s">
        <v>4446</v>
      </c>
      <c r="O995" s="347" t="s">
        <v>4441</v>
      </c>
      <c r="P995" s="347"/>
      <c r="Q995" s="347"/>
      <c r="R995" s="347"/>
      <c r="S995" s="348">
        <v>38917</v>
      </c>
      <c r="T995" s="348">
        <v>38917</v>
      </c>
      <c r="U995" s="347" t="s">
        <v>2429</v>
      </c>
      <c r="V995" s="345">
        <v>700</v>
      </c>
      <c r="W995" s="345">
        <v>14050</v>
      </c>
      <c r="X995" s="349">
        <v>10909.38</v>
      </c>
      <c r="Y995" s="345">
        <v>14056</v>
      </c>
      <c r="Z995" s="349">
        <v>10909.38</v>
      </c>
      <c r="AA995" s="349">
        <f t="shared" si="99"/>
        <v>0</v>
      </c>
      <c r="AB995" s="349">
        <v>0</v>
      </c>
      <c r="AC995" s="345">
        <v>54260</v>
      </c>
      <c r="AD995" s="349">
        <v>0</v>
      </c>
      <c r="AE995" s="345" t="s">
        <v>944</v>
      </c>
      <c r="AF995" s="347"/>
      <c r="AG995" s="347"/>
      <c r="AH995" s="347" t="s">
        <v>57</v>
      </c>
      <c r="AI995" s="347" t="s">
        <v>4442</v>
      </c>
      <c r="AJ995" s="347" t="s">
        <v>4443</v>
      </c>
      <c r="AK995" s="347" t="s">
        <v>4437</v>
      </c>
      <c r="AL995" s="387">
        <v>45574</v>
      </c>
    </row>
    <row r="996" spans="2:38" ht="15.75" outlineLevel="1">
      <c r="B996" s="345">
        <v>2111</v>
      </c>
      <c r="C996" s="346">
        <v>173233</v>
      </c>
      <c r="D996" s="345" t="s">
        <v>944</v>
      </c>
      <c r="E996" s="347" t="s">
        <v>4240</v>
      </c>
      <c r="F996" s="343" t="s">
        <v>2432</v>
      </c>
      <c r="I996" s="345">
        <v>239</v>
      </c>
      <c r="J996" s="347">
        <v>0</v>
      </c>
      <c r="K996" s="345">
        <v>0</v>
      </c>
      <c r="L996" s="347" t="s">
        <v>2342</v>
      </c>
      <c r="M996" s="347"/>
      <c r="N996" s="347" t="s">
        <v>4446</v>
      </c>
      <c r="O996" s="347" t="s">
        <v>4441</v>
      </c>
      <c r="P996" s="347"/>
      <c r="Q996" s="347"/>
      <c r="R996" s="347"/>
      <c r="S996" s="348">
        <v>38917</v>
      </c>
      <c r="T996" s="348">
        <v>38917</v>
      </c>
      <c r="U996" s="347" t="s">
        <v>2429</v>
      </c>
      <c r="V996" s="345">
        <v>700</v>
      </c>
      <c r="W996" s="345">
        <v>14050</v>
      </c>
      <c r="X996" s="349">
        <v>12795.72</v>
      </c>
      <c r="Y996" s="345">
        <v>14056</v>
      </c>
      <c r="Z996" s="349">
        <v>12795.72</v>
      </c>
      <c r="AA996" s="349">
        <f t="shared" si="99"/>
        <v>0</v>
      </c>
      <c r="AB996" s="349">
        <v>0</v>
      </c>
      <c r="AC996" s="345">
        <v>54260</v>
      </c>
      <c r="AD996" s="349">
        <v>0</v>
      </c>
      <c r="AE996" s="345" t="s">
        <v>944</v>
      </c>
      <c r="AF996" s="347"/>
      <c r="AG996" s="347"/>
      <c r="AH996" s="347" t="s">
        <v>57</v>
      </c>
      <c r="AI996" s="347" t="s">
        <v>4442</v>
      </c>
      <c r="AJ996" s="347" t="s">
        <v>4443</v>
      </c>
      <c r="AK996" s="347" t="s">
        <v>4437</v>
      </c>
      <c r="AL996" s="387">
        <v>45574</v>
      </c>
    </row>
    <row r="997" spans="2:38" ht="15.75" outlineLevel="1">
      <c r="B997" s="345">
        <v>2111</v>
      </c>
      <c r="C997" s="346">
        <v>173232</v>
      </c>
      <c r="D997" s="345" t="s">
        <v>944</v>
      </c>
      <c r="E997" s="347" t="s">
        <v>4240</v>
      </c>
      <c r="F997" s="343" t="s">
        <v>2431</v>
      </c>
      <c r="I997" s="345">
        <v>588</v>
      </c>
      <c r="J997" s="347">
        <v>0</v>
      </c>
      <c r="K997" s="345">
        <v>0</v>
      </c>
      <c r="L997" s="347" t="s">
        <v>2342</v>
      </c>
      <c r="M997" s="347"/>
      <c r="N997" s="347" t="s">
        <v>4446</v>
      </c>
      <c r="O997" s="347" t="s">
        <v>4441</v>
      </c>
      <c r="P997" s="347"/>
      <c r="Q997" s="347"/>
      <c r="R997" s="347"/>
      <c r="S997" s="348">
        <v>38910</v>
      </c>
      <c r="T997" s="348">
        <v>38910</v>
      </c>
      <c r="U997" s="347" t="s">
        <v>2429</v>
      </c>
      <c r="V997" s="345">
        <v>700</v>
      </c>
      <c r="W997" s="345">
        <v>14050</v>
      </c>
      <c r="X997" s="349">
        <v>35558.019999999997</v>
      </c>
      <c r="Y997" s="345">
        <v>14056</v>
      </c>
      <c r="Z997" s="349">
        <v>35558.019999999997</v>
      </c>
      <c r="AA997" s="349">
        <f t="shared" ref="AA997:AA1060" si="100">+X997-Z997</f>
        <v>0</v>
      </c>
      <c r="AB997" s="349">
        <v>0</v>
      </c>
      <c r="AC997" s="345">
        <v>54260</v>
      </c>
      <c r="AD997" s="349">
        <v>0</v>
      </c>
      <c r="AE997" s="345" t="s">
        <v>944</v>
      </c>
      <c r="AF997" s="347"/>
      <c r="AG997" s="347"/>
      <c r="AH997" s="347" t="s">
        <v>57</v>
      </c>
      <c r="AI997" s="347" t="s">
        <v>4442</v>
      </c>
      <c r="AJ997" s="347" t="s">
        <v>4443</v>
      </c>
      <c r="AK997" s="347" t="s">
        <v>4437</v>
      </c>
      <c r="AL997" s="387">
        <v>45574</v>
      </c>
    </row>
    <row r="998" spans="2:38" ht="15.75" outlineLevel="1">
      <c r="B998" s="345">
        <v>2111</v>
      </c>
      <c r="C998" s="346">
        <v>173231</v>
      </c>
      <c r="D998" s="345" t="s">
        <v>944</v>
      </c>
      <c r="E998" s="347" t="s">
        <v>4240</v>
      </c>
      <c r="F998" s="343" t="s">
        <v>2434</v>
      </c>
      <c r="I998" s="345">
        <v>1</v>
      </c>
      <c r="J998" s="347" t="s">
        <v>2425</v>
      </c>
      <c r="K998" s="345">
        <v>2006</v>
      </c>
      <c r="L998" s="347" t="s">
        <v>2435</v>
      </c>
      <c r="M998" s="347" t="s">
        <v>1522</v>
      </c>
      <c r="N998" s="347" t="s">
        <v>4445</v>
      </c>
      <c r="O998" s="347" t="s">
        <v>4441</v>
      </c>
      <c r="P998" s="347" t="s">
        <v>4463</v>
      </c>
      <c r="Q998" s="347"/>
      <c r="R998" s="347"/>
      <c r="S998" s="348">
        <v>38854</v>
      </c>
      <c r="T998" s="348">
        <v>38854</v>
      </c>
      <c r="U998" s="347" t="s">
        <v>2426</v>
      </c>
      <c r="V998" s="345">
        <v>1000</v>
      </c>
      <c r="W998" s="345">
        <v>14040</v>
      </c>
      <c r="X998" s="349">
        <v>120222.34</v>
      </c>
      <c r="Y998" s="345">
        <v>14046</v>
      </c>
      <c r="Z998" s="349">
        <v>120222.34</v>
      </c>
      <c r="AA998" s="349">
        <f t="shared" si="100"/>
        <v>0</v>
      </c>
      <c r="AB998" s="349">
        <v>0</v>
      </c>
      <c r="AC998" s="345">
        <v>51260</v>
      </c>
      <c r="AD998" s="349">
        <v>0</v>
      </c>
      <c r="AE998" s="345" t="s">
        <v>944</v>
      </c>
      <c r="AF998" s="347"/>
      <c r="AG998" s="347">
        <v>612</v>
      </c>
      <c r="AH998" s="347" t="s">
        <v>57</v>
      </c>
      <c r="AI998" s="347" t="s">
        <v>4442</v>
      </c>
      <c r="AJ998" s="347" t="s">
        <v>4443</v>
      </c>
      <c r="AK998" s="347" t="s">
        <v>4437</v>
      </c>
      <c r="AL998" s="387">
        <v>45574</v>
      </c>
    </row>
    <row r="999" spans="2:38" ht="15.75" outlineLevel="1">
      <c r="B999" s="345">
        <v>2111</v>
      </c>
      <c r="C999" s="346">
        <v>173230</v>
      </c>
      <c r="D999" s="345" t="s">
        <v>944</v>
      </c>
      <c r="E999" s="347" t="s">
        <v>4240</v>
      </c>
      <c r="F999" s="343" t="s">
        <v>2436</v>
      </c>
      <c r="I999" s="345">
        <v>432</v>
      </c>
      <c r="J999" s="347">
        <v>0</v>
      </c>
      <c r="K999" s="345">
        <v>0</v>
      </c>
      <c r="L999" s="347" t="s">
        <v>2245</v>
      </c>
      <c r="M999" s="347"/>
      <c r="N999" s="347" t="s">
        <v>4446</v>
      </c>
      <c r="O999" s="347" t="s">
        <v>4441</v>
      </c>
      <c r="P999" s="347"/>
      <c r="Q999" s="347"/>
      <c r="R999" s="347"/>
      <c r="S999" s="348">
        <v>38842</v>
      </c>
      <c r="T999" s="348">
        <v>38842</v>
      </c>
      <c r="U999" s="347" t="s">
        <v>2437</v>
      </c>
      <c r="V999" s="345">
        <v>700</v>
      </c>
      <c r="W999" s="345">
        <v>14050</v>
      </c>
      <c r="X999" s="349">
        <v>23284.6</v>
      </c>
      <c r="Y999" s="345">
        <v>14056</v>
      </c>
      <c r="Z999" s="349">
        <v>23284.6</v>
      </c>
      <c r="AA999" s="349">
        <f t="shared" si="100"/>
        <v>0</v>
      </c>
      <c r="AB999" s="349">
        <v>0</v>
      </c>
      <c r="AC999" s="345">
        <v>54260</v>
      </c>
      <c r="AD999" s="349">
        <v>0</v>
      </c>
      <c r="AE999" s="345" t="s">
        <v>944</v>
      </c>
      <c r="AF999" s="347"/>
      <c r="AG999" s="347"/>
      <c r="AH999" s="347" t="s">
        <v>57</v>
      </c>
      <c r="AI999" s="347" t="s">
        <v>4442</v>
      </c>
      <c r="AJ999" s="347" t="s">
        <v>4443</v>
      </c>
      <c r="AK999" s="347" t="s">
        <v>4437</v>
      </c>
      <c r="AL999" s="387">
        <v>45574</v>
      </c>
    </row>
    <row r="1000" spans="2:38" ht="15.75" outlineLevel="1">
      <c r="B1000" s="345">
        <v>2111</v>
      </c>
      <c r="C1000" s="346">
        <v>173229</v>
      </c>
      <c r="D1000" s="345" t="s">
        <v>944</v>
      </c>
      <c r="E1000" s="347" t="s">
        <v>4240</v>
      </c>
      <c r="F1000" s="343" t="s">
        <v>2439</v>
      </c>
      <c r="I1000" s="345">
        <v>432</v>
      </c>
      <c r="J1000" s="347">
        <v>0</v>
      </c>
      <c r="K1000" s="345">
        <v>0</v>
      </c>
      <c r="L1000" s="347" t="s">
        <v>2245</v>
      </c>
      <c r="M1000" s="347"/>
      <c r="N1000" s="347" t="s">
        <v>4446</v>
      </c>
      <c r="O1000" s="347" t="s">
        <v>4441</v>
      </c>
      <c r="P1000" s="347"/>
      <c r="Q1000" s="347"/>
      <c r="R1000" s="347"/>
      <c r="S1000" s="348">
        <v>38839</v>
      </c>
      <c r="T1000" s="348">
        <v>38839</v>
      </c>
      <c r="U1000" s="347" t="s">
        <v>2437</v>
      </c>
      <c r="V1000" s="345">
        <v>700</v>
      </c>
      <c r="W1000" s="345">
        <v>14050</v>
      </c>
      <c r="X1000" s="349">
        <v>23461.41</v>
      </c>
      <c r="Y1000" s="345">
        <v>14056</v>
      </c>
      <c r="Z1000" s="349">
        <v>23461.41</v>
      </c>
      <c r="AA1000" s="349">
        <f t="shared" si="100"/>
        <v>0</v>
      </c>
      <c r="AB1000" s="349">
        <v>0</v>
      </c>
      <c r="AC1000" s="345">
        <v>54260</v>
      </c>
      <c r="AD1000" s="349">
        <v>0</v>
      </c>
      <c r="AE1000" s="345" t="s">
        <v>944</v>
      </c>
      <c r="AF1000" s="347"/>
      <c r="AG1000" s="347"/>
      <c r="AH1000" s="347" t="s">
        <v>57</v>
      </c>
      <c r="AI1000" s="347" t="s">
        <v>4442</v>
      </c>
      <c r="AJ1000" s="347" t="s">
        <v>4443</v>
      </c>
      <c r="AK1000" s="347" t="s">
        <v>4437</v>
      </c>
      <c r="AL1000" s="387">
        <v>45574</v>
      </c>
    </row>
    <row r="1001" spans="2:38" ht="15.75" outlineLevel="1">
      <c r="B1001" s="345">
        <v>2111</v>
      </c>
      <c r="C1001" s="346">
        <v>173228</v>
      </c>
      <c r="D1001" s="345" t="s">
        <v>944</v>
      </c>
      <c r="E1001" s="347" t="s">
        <v>4240</v>
      </c>
      <c r="F1001" s="343" t="s">
        <v>2441</v>
      </c>
      <c r="I1001" s="345">
        <v>10</v>
      </c>
      <c r="J1001" s="347">
        <v>0</v>
      </c>
      <c r="K1001" s="345">
        <v>0</v>
      </c>
      <c r="L1001" s="347" t="s">
        <v>2403</v>
      </c>
      <c r="M1001" s="347"/>
      <c r="N1001" s="347" t="s">
        <v>4446</v>
      </c>
      <c r="O1001" s="347" t="s">
        <v>4441</v>
      </c>
      <c r="P1001" s="347"/>
      <c r="Q1001" s="347" t="s">
        <v>4479</v>
      </c>
      <c r="R1001" s="347" t="s">
        <v>4450</v>
      </c>
      <c r="S1001" s="348">
        <v>38783</v>
      </c>
      <c r="T1001" s="348">
        <v>38783</v>
      </c>
      <c r="U1001" s="347" t="s">
        <v>2442</v>
      </c>
      <c r="V1001" s="345">
        <v>1200</v>
      </c>
      <c r="W1001" s="345">
        <v>14050</v>
      </c>
      <c r="X1001" s="349">
        <v>8040.32</v>
      </c>
      <c r="Y1001" s="345">
        <v>14056</v>
      </c>
      <c r="Z1001" s="349">
        <v>8040.32</v>
      </c>
      <c r="AA1001" s="349">
        <f t="shared" si="100"/>
        <v>0</v>
      </c>
      <c r="AB1001" s="349">
        <v>0</v>
      </c>
      <c r="AC1001" s="345">
        <v>54260</v>
      </c>
      <c r="AD1001" s="349">
        <v>0</v>
      </c>
      <c r="AE1001" s="345" t="s">
        <v>944</v>
      </c>
      <c r="AF1001" s="347">
        <v>0</v>
      </c>
      <c r="AG1001" s="347"/>
      <c r="AH1001" s="347" t="s">
        <v>57</v>
      </c>
      <c r="AI1001" s="347" t="s">
        <v>4442</v>
      </c>
      <c r="AJ1001" s="347" t="s">
        <v>4443</v>
      </c>
      <c r="AK1001" s="347" t="s">
        <v>4437</v>
      </c>
      <c r="AL1001" s="387">
        <v>45574</v>
      </c>
    </row>
    <row r="1002" spans="2:38" ht="15.75" outlineLevel="1">
      <c r="B1002" s="345">
        <v>2111</v>
      </c>
      <c r="C1002" s="346">
        <v>173226</v>
      </c>
      <c r="D1002" s="345" t="s">
        <v>944</v>
      </c>
      <c r="E1002" s="347" t="s">
        <v>4240</v>
      </c>
      <c r="F1002" s="343" t="s">
        <v>2443</v>
      </c>
      <c r="I1002" s="345">
        <v>5</v>
      </c>
      <c r="J1002" s="347">
        <v>0</v>
      </c>
      <c r="K1002" s="345">
        <v>0</v>
      </c>
      <c r="L1002" s="347" t="s">
        <v>2403</v>
      </c>
      <c r="M1002" s="347"/>
      <c r="N1002" s="347" t="s">
        <v>4446</v>
      </c>
      <c r="O1002" s="347" t="s">
        <v>4441</v>
      </c>
      <c r="P1002" s="347"/>
      <c r="Q1002" s="347" t="s">
        <v>4464</v>
      </c>
      <c r="R1002" s="347" t="s">
        <v>4450</v>
      </c>
      <c r="S1002" s="348">
        <v>38783</v>
      </c>
      <c r="T1002" s="348">
        <v>38783</v>
      </c>
      <c r="U1002" s="347" t="s">
        <v>2444</v>
      </c>
      <c r="V1002" s="345">
        <v>1200</v>
      </c>
      <c r="W1002" s="345">
        <v>14050</v>
      </c>
      <c r="X1002" s="349">
        <v>2970.24</v>
      </c>
      <c r="Y1002" s="345">
        <v>14056</v>
      </c>
      <c r="Z1002" s="349">
        <v>2970.24</v>
      </c>
      <c r="AA1002" s="349">
        <f t="shared" si="100"/>
        <v>0</v>
      </c>
      <c r="AB1002" s="349">
        <v>0</v>
      </c>
      <c r="AC1002" s="345">
        <v>54260</v>
      </c>
      <c r="AD1002" s="349">
        <v>0</v>
      </c>
      <c r="AE1002" s="345" t="s">
        <v>944</v>
      </c>
      <c r="AF1002" s="347">
        <v>0</v>
      </c>
      <c r="AG1002" s="347"/>
      <c r="AH1002" s="347" t="s">
        <v>57</v>
      </c>
      <c r="AI1002" s="347" t="s">
        <v>4442</v>
      </c>
      <c r="AJ1002" s="347" t="s">
        <v>4443</v>
      </c>
      <c r="AK1002" s="347" t="s">
        <v>4437</v>
      </c>
      <c r="AL1002" s="387">
        <v>45574</v>
      </c>
    </row>
    <row r="1003" spans="2:38" ht="15.75" outlineLevel="1">
      <c r="B1003" s="345">
        <v>2111</v>
      </c>
      <c r="C1003" s="346">
        <v>173225</v>
      </c>
      <c r="D1003" s="345" t="s">
        <v>944</v>
      </c>
      <c r="E1003" s="347" t="s">
        <v>4240</v>
      </c>
      <c r="F1003" s="343" t="s">
        <v>2445</v>
      </c>
      <c r="I1003" s="345">
        <v>1</v>
      </c>
      <c r="J1003" s="347" t="s">
        <v>2446</v>
      </c>
      <c r="K1003" s="345">
        <v>2005</v>
      </c>
      <c r="L1003" s="347"/>
      <c r="M1003" s="347"/>
      <c r="N1003" s="347" t="s">
        <v>4445</v>
      </c>
      <c r="O1003" s="347" t="s">
        <v>4441</v>
      </c>
      <c r="P1003" s="347" t="s">
        <v>1467</v>
      </c>
      <c r="Q1003" s="347"/>
      <c r="R1003" s="347"/>
      <c r="S1003" s="348">
        <v>38204</v>
      </c>
      <c r="T1003" s="348">
        <v>38204</v>
      </c>
      <c r="U1003" s="347"/>
      <c r="V1003" s="345">
        <v>1000</v>
      </c>
      <c r="W1003" s="345">
        <v>14040</v>
      </c>
      <c r="X1003" s="349">
        <v>8227.1299999999992</v>
      </c>
      <c r="Y1003" s="345">
        <v>14046</v>
      </c>
      <c r="Z1003" s="349">
        <v>8227.1299999999992</v>
      </c>
      <c r="AA1003" s="349">
        <f t="shared" si="100"/>
        <v>0</v>
      </c>
      <c r="AB1003" s="349">
        <v>0</v>
      </c>
      <c r="AC1003" s="345">
        <v>51260</v>
      </c>
      <c r="AD1003" s="349">
        <v>0</v>
      </c>
      <c r="AE1003" s="345" t="s">
        <v>944</v>
      </c>
      <c r="AF1003" s="347">
        <v>0</v>
      </c>
      <c r="AG1003" s="347">
        <v>800</v>
      </c>
      <c r="AH1003" s="347" t="s">
        <v>57</v>
      </c>
      <c r="AI1003" s="347" t="s">
        <v>4442</v>
      </c>
      <c r="AJ1003" s="347" t="s">
        <v>4443</v>
      </c>
      <c r="AK1003" s="347" t="s">
        <v>4437</v>
      </c>
      <c r="AL1003" s="387">
        <v>45574</v>
      </c>
    </row>
    <row r="1004" spans="2:38" ht="15.75" outlineLevel="1">
      <c r="B1004" s="345">
        <v>2111</v>
      </c>
      <c r="C1004" s="346">
        <v>173224</v>
      </c>
      <c r="D1004" s="345" t="s">
        <v>944</v>
      </c>
      <c r="E1004" s="347" t="s">
        <v>4240</v>
      </c>
      <c r="F1004" s="343" t="s">
        <v>2448</v>
      </c>
      <c r="I1004" s="345">
        <v>1</v>
      </c>
      <c r="J1004" s="347" t="s">
        <v>2449</v>
      </c>
      <c r="K1004" s="345">
        <v>2005</v>
      </c>
      <c r="L1004" s="347"/>
      <c r="M1004" s="347"/>
      <c r="N1004" s="347" t="s">
        <v>4445</v>
      </c>
      <c r="O1004" s="347" t="s">
        <v>4441</v>
      </c>
      <c r="P1004" s="347" t="s">
        <v>1467</v>
      </c>
      <c r="Q1004" s="347"/>
      <c r="R1004" s="347"/>
      <c r="S1004" s="348">
        <v>38155</v>
      </c>
      <c r="T1004" s="348">
        <v>38155</v>
      </c>
      <c r="U1004" s="347"/>
      <c r="V1004" s="345">
        <v>1000</v>
      </c>
      <c r="W1004" s="345">
        <v>14040</v>
      </c>
      <c r="X1004" s="349">
        <v>77974.23</v>
      </c>
      <c r="Y1004" s="345">
        <v>14046</v>
      </c>
      <c r="Z1004" s="349">
        <v>77974.23</v>
      </c>
      <c r="AA1004" s="349">
        <f t="shared" si="100"/>
        <v>0</v>
      </c>
      <c r="AB1004" s="349">
        <v>0</v>
      </c>
      <c r="AC1004" s="345">
        <v>51260</v>
      </c>
      <c r="AD1004" s="349">
        <v>0</v>
      </c>
      <c r="AE1004" s="345" t="s">
        <v>944</v>
      </c>
      <c r="AF1004" s="347">
        <v>0</v>
      </c>
      <c r="AG1004" s="347"/>
      <c r="AH1004" s="347" t="s">
        <v>57</v>
      </c>
      <c r="AI1004" s="347" t="s">
        <v>4442</v>
      </c>
      <c r="AJ1004" s="347" t="s">
        <v>4443</v>
      </c>
      <c r="AK1004" s="347" t="s">
        <v>4437</v>
      </c>
      <c r="AL1004" s="387">
        <v>45574</v>
      </c>
    </row>
    <row r="1005" spans="2:38" ht="15.75" outlineLevel="1">
      <c r="B1005" s="345">
        <v>2111</v>
      </c>
      <c r="C1005" s="346">
        <v>173223</v>
      </c>
      <c r="D1005" s="345" t="s">
        <v>944</v>
      </c>
      <c r="E1005" s="347" t="s">
        <v>4240</v>
      </c>
      <c r="F1005" s="343" t="s">
        <v>4502</v>
      </c>
      <c r="I1005" s="345">
        <v>1</v>
      </c>
      <c r="J1005" s="347" t="s">
        <v>2446</v>
      </c>
      <c r="K1005" s="345">
        <v>2005</v>
      </c>
      <c r="L1005" s="347"/>
      <c r="M1005" s="347"/>
      <c r="N1005" s="347" t="s">
        <v>4445</v>
      </c>
      <c r="O1005" s="347" t="s">
        <v>4441</v>
      </c>
      <c r="P1005" s="347" t="s">
        <v>4482</v>
      </c>
      <c r="Q1005" s="347"/>
      <c r="R1005" s="347"/>
      <c r="S1005" s="348">
        <v>38120</v>
      </c>
      <c r="T1005" s="348">
        <v>38120</v>
      </c>
      <c r="U1005" s="347"/>
      <c r="V1005" s="345">
        <v>1000</v>
      </c>
      <c r="W1005" s="345">
        <v>14040</v>
      </c>
      <c r="X1005" s="349">
        <v>230.76</v>
      </c>
      <c r="Y1005" s="345">
        <v>14046</v>
      </c>
      <c r="Z1005" s="349">
        <v>230.76</v>
      </c>
      <c r="AA1005" s="349">
        <f t="shared" si="100"/>
        <v>0</v>
      </c>
      <c r="AB1005" s="349">
        <v>0</v>
      </c>
      <c r="AC1005" s="345">
        <v>51260</v>
      </c>
      <c r="AD1005" s="349">
        <v>0</v>
      </c>
      <c r="AE1005" s="345" t="s">
        <v>944</v>
      </c>
      <c r="AF1005" s="347">
        <v>0</v>
      </c>
      <c r="AG1005" s="347"/>
      <c r="AH1005" s="347" t="s">
        <v>57</v>
      </c>
      <c r="AI1005" s="347" t="s">
        <v>4442</v>
      </c>
      <c r="AJ1005" s="347" t="s">
        <v>4443</v>
      </c>
      <c r="AK1005" s="347" t="s">
        <v>4437</v>
      </c>
      <c r="AL1005" s="387">
        <v>45574</v>
      </c>
    </row>
    <row r="1006" spans="2:38" ht="15.75" outlineLevel="1">
      <c r="B1006" s="345">
        <v>2111</v>
      </c>
      <c r="C1006" s="346">
        <v>173222</v>
      </c>
      <c r="D1006" s="345" t="s">
        <v>944</v>
      </c>
      <c r="E1006" s="347" t="s">
        <v>4240</v>
      </c>
      <c r="F1006" s="343" t="s">
        <v>2451</v>
      </c>
      <c r="I1006" s="345">
        <v>1</v>
      </c>
      <c r="J1006" s="347" t="s">
        <v>2446</v>
      </c>
      <c r="K1006" s="345">
        <v>2005</v>
      </c>
      <c r="L1006" s="347"/>
      <c r="M1006" s="347"/>
      <c r="N1006" s="347" t="s">
        <v>4445</v>
      </c>
      <c r="O1006" s="347" t="s">
        <v>4441</v>
      </c>
      <c r="P1006" s="347" t="s">
        <v>1467</v>
      </c>
      <c r="Q1006" s="347"/>
      <c r="R1006" s="347"/>
      <c r="S1006" s="348">
        <v>38114</v>
      </c>
      <c r="T1006" s="348">
        <v>38114</v>
      </c>
      <c r="U1006" s="347"/>
      <c r="V1006" s="345">
        <v>1000</v>
      </c>
      <c r="W1006" s="345">
        <v>14040</v>
      </c>
      <c r="X1006" s="349">
        <v>612.41999999999996</v>
      </c>
      <c r="Y1006" s="345">
        <v>14046</v>
      </c>
      <c r="Z1006" s="349">
        <v>612.41999999999996</v>
      </c>
      <c r="AA1006" s="349">
        <f t="shared" si="100"/>
        <v>0</v>
      </c>
      <c r="AB1006" s="349">
        <v>0</v>
      </c>
      <c r="AC1006" s="345">
        <v>51260</v>
      </c>
      <c r="AD1006" s="349">
        <v>0</v>
      </c>
      <c r="AE1006" s="345" t="s">
        <v>944</v>
      </c>
      <c r="AF1006" s="347">
        <v>0</v>
      </c>
      <c r="AG1006" s="347"/>
      <c r="AH1006" s="347" t="s">
        <v>57</v>
      </c>
      <c r="AI1006" s="347" t="s">
        <v>4442</v>
      </c>
      <c r="AJ1006" s="347" t="s">
        <v>4443</v>
      </c>
      <c r="AK1006" s="347" t="s">
        <v>4437</v>
      </c>
      <c r="AL1006" s="387">
        <v>45574</v>
      </c>
    </row>
    <row r="1007" spans="2:38" ht="15.75" outlineLevel="1">
      <c r="B1007" s="345">
        <v>2111</v>
      </c>
      <c r="C1007" s="346">
        <v>173219</v>
      </c>
      <c r="D1007" s="345" t="s">
        <v>944</v>
      </c>
      <c r="E1007" s="347" t="s">
        <v>4240</v>
      </c>
      <c r="F1007" s="343" t="s">
        <v>2453</v>
      </c>
      <c r="I1007" s="345">
        <v>2440</v>
      </c>
      <c r="J1007" s="347"/>
      <c r="K1007" s="345">
        <v>0</v>
      </c>
      <c r="L1007" s="347" t="s">
        <v>2454</v>
      </c>
      <c r="M1007" s="347"/>
      <c r="N1007" s="347" t="s">
        <v>4446</v>
      </c>
      <c r="O1007" s="347" t="s">
        <v>4441</v>
      </c>
      <c r="P1007" s="347"/>
      <c r="Q1007" s="347"/>
      <c r="R1007" s="347"/>
      <c r="S1007" s="348">
        <v>38448</v>
      </c>
      <c r="T1007" s="348">
        <v>38448</v>
      </c>
      <c r="U1007" s="347">
        <v>52131002</v>
      </c>
      <c r="V1007" s="345">
        <v>700</v>
      </c>
      <c r="W1007" s="345">
        <v>14050</v>
      </c>
      <c r="X1007" s="349">
        <v>4628.68</v>
      </c>
      <c r="Y1007" s="345">
        <v>14056</v>
      </c>
      <c r="Z1007" s="349">
        <v>4628.68</v>
      </c>
      <c r="AA1007" s="349">
        <f t="shared" si="100"/>
        <v>0</v>
      </c>
      <c r="AB1007" s="349">
        <v>0</v>
      </c>
      <c r="AC1007" s="345">
        <v>54260</v>
      </c>
      <c r="AD1007" s="349">
        <v>0</v>
      </c>
      <c r="AE1007" s="345" t="s">
        <v>944</v>
      </c>
      <c r="AF1007" s="347">
        <v>0</v>
      </c>
      <c r="AG1007" s="347"/>
      <c r="AH1007" s="347" t="s">
        <v>57</v>
      </c>
      <c r="AI1007" s="347" t="s">
        <v>4442</v>
      </c>
      <c r="AJ1007" s="347" t="s">
        <v>4443</v>
      </c>
      <c r="AK1007" s="347" t="s">
        <v>4437</v>
      </c>
      <c r="AL1007" s="387">
        <v>45574</v>
      </c>
    </row>
    <row r="1008" spans="2:38" ht="15.75" outlineLevel="1">
      <c r="B1008" s="345">
        <v>2111</v>
      </c>
      <c r="C1008" s="346">
        <v>173218</v>
      </c>
      <c r="D1008" s="345" t="s">
        <v>944</v>
      </c>
      <c r="E1008" s="347" t="s">
        <v>4240</v>
      </c>
      <c r="F1008" s="343" t="s">
        <v>2453</v>
      </c>
      <c r="I1008" s="345">
        <v>3488</v>
      </c>
      <c r="J1008" s="347"/>
      <c r="K1008" s="345">
        <v>0</v>
      </c>
      <c r="L1008" s="347" t="s">
        <v>2454</v>
      </c>
      <c r="M1008" s="347"/>
      <c r="N1008" s="347" t="s">
        <v>4446</v>
      </c>
      <c r="O1008" s="347" t="s">
        <v>4441</v>
      </c>
      <c r="P1008" s="347"/>
      <c r="Q1008" s="347"/>
      <c r="R1008" s="347"/>
      <c r="S1008" s="348">
        <v>38441</v>
      </c>
      <c r="T1008" s="348">
        <v>38441</v>
      </c>
      <c r="U1008" s="347">
        <v>52131002</v>
      </c>
      <c r="V1008" s="345">
        <v>700</v>
      </c>
      <c r="W1008" s="345">
        <v>14050</v>
      </c>
      <c r="X1008" s="349">
        <v>6616.74</v>
      </c>
      <c r="Y1008" s="345">
        <v>14056</v>
      </c>
      <c r="Z1008" s="349">
        <v>6616.74</v>
      </c>
      <c r="AA1008" s="349">
        <f t="shared" si="100"/>
        <v>0</v>
      </c>
      <c r="AB1008" s="349">
        <v>0</v>
      </c>
      <c r="AC1008" s="345">
        <v>54260</v>
      </c>
      <c r="AD1008" s="349">
        <v>0</v>
      </c>
      <c r="AE1008" s="345" t="s">
        <v>944</v>
      </c>
      <c r="AF1008" s="347">
        <v>0</v>
      </c>
      <c r="AG1008" s="347"/>
      <c r="AH1008" s="347" t="s">
        <v>57</v>
      </c>
      <c r="AI1008" s="347" t="s">
        <v>4442</v>
      </c>
      <c r="AJ1008" s="347" t="s">
        <v>4443</v>
      </c>
      <c r="AK1008" s="347" t="s">
        <v>4437</v>
      </c>
      <c r="AL1008" s="387">
        <v>45574</v>
      </c>
    </row>
    <row r="1009" spans="2:38" ht="15.75" outlineLevel="1">
      <c r="B1009" s="345">
        <v>2111</v>
      </c>
      <c r="C1009" s="346">
        <v>173217</v>
      </c>
      <c r="D1009" s="345" t="s">
        <v>944</v>
      </c>
      <c r="E1009" s="347" t="s">
        <v>4240</v>
      </c>
      <c r="F1009" s="343" t="s">
        <v>2453</v>
      </c>
      <c r="I1009" s="345">
        <v>1584</v>
      </c>
      <c r="J1009" s="347"/>
      <c r="K1009" s="345">
        <v>0</v>
      </c>
      <c r="L1009" s="347" t="s">
        <v>2454</v>
      </c>
      <c r="M1009" s="347"/>
      <c r="N1009" s="347" t="s">
        <v>4446</v>
      </c>
      <c r="O1009" s="347" t="s">
        <v>4441</v>
      </c>
      <c r="P1009" s="347"/>
      <c r="Q1009" s="347"/>
      <c r="R1009" s="347"/>
      <c r="S1009" s="348">
        <v>38467</v>
      </c>
      <c r="T1009" s="348">
        <v>38467</v>
      </c>
      <c r="U1009" s="347">
        <v>52131002</v>
      </c>
      <c r="V1009" s="345">
        <v>700</v>
      </c>
      <c r="W1009" s="345">
        <v>14050</v>
      </c>
      <c r="X1009" s="349">
        <v>3004.85</v>
      </c>
      <c r="Y1009" s="345">
        <v>14056</v>
      </c>
      <c r="Z1009" s="349">
        <v>3004.85</v>
      </c>
      <c r="AA1009" s="349">
        <f t="shared" si="100"/>
        <v>0</v>
      </c>
      <c r="AB1009" s="349">
        <v>0</v>
      </c>
      <c r="AC1009" s="345">
        <v>54260</v>
      </c>
      <c r="AD1009" s="349">
        <v>0</v>
      </c>
      <c r="AE1009" s="345" t="s">
        <v>944</v>
      </c>
      <c r="AF1009" s="347">
        <v>0</v>
      </c>
      <c r="AG1009" s="347"/>
      <c r="AH1009" s="347" t="s">
        <v>57</v>
      </c>
      <c r="AI1009" s="347" t="s">
        <v>4442</v>
      </c>
      <c r="AJ1009" s="347" t="s">
        <v>4443</v>
      </c>
      <c r="AK1009" s="347" t="s">
        <v>4437</v>
      </c>
      <c r="AL1009" s="387">
        <v>45574</v>
      </c>
    </row>
    <row r="1010" spans="2:38" ht="15.75" outlineLevel="1">
      <c r="B1010" s="345">
        <v>2111</v>
      </c>
      <c r="C1010" s="346">
        <v>173216</v>
      </c>
      <c r="D1010" s="345" t="s">
        <v>944</v>
      </c>
      <c r="E1010" s="347" t="s">
        <v>4240</v>
      </c>
      <c r="F1010" s="343" t="s">
        <v>2453</v>
      </c>
      <c r="I1010" s="345">
        <v>2884</v>
      </c>
      <c r="J1010" s="347"/>
      <c r="K1010" s="345">
        <v>0</v>
      </c>
      <c r="L1010" s="347" t="s">
        <v>2454</v>
      </c>
      <c r="M1010" s="347"/>
      <c r="N1010" s="347" t="s">
        <v>4446</v>
      </c>
      <c r="O1010" s="347" t="s">
        <v>4441</v>
      </c>
      <c r="P1010" s="347"/>
      <c r="Q1010" s="347"/>
      <c r="R1010" s="347"/>
      <c r="S1010" s="348">
        <v>38435</v>
      </c>
      <c r="T1010" s="348">
        <v>38435</v>
      </c>
      <c r="U1010" s="347">
        <v>52131002</v>
      </c>
      <c r="V1010" s="345">
        <v>700</v>
      </c>
      <c r="W1010" s="345">
        <v>14050</v>
      </c>
      <c r="X1010" s="349">
        <v>5470.95</v>
      </c>
      <c r="Y1010" s="345">
        <v>14056</v>
      </c>
      <c r="Z1010" s="349">
        <v>5470.95</v>
      </c>
      <c r="AA1010" s="349">
        <f t="shared" si="100"/>
        <v>0</v>
      </c>
      <c r="AB1010" s="349">
        <v>0</v>
      </c>
      <c r="AC1010" s="345">
        <v>54260</v>
      </c>
      <c r="AD1010" s="349">
        <v>0</v>
      </c>
      <c r="AE1010" s="345" t="s">
        <v>944</v>
      </c>
      <c r="AF1010" s="347">
        <v>0</v>
      </c>
      <c r="AG1010" s="347"/>
      <c r="AH1010" s="347" t="s">
        <v>57</v>
      </c>
      <c r="AI1010" s="347" t="s">
        <v>4442</v>
      </c>
      <c r="AJ1010" s="347" t="s">
        <v>4443</v>
      </c>
      <c r="AK1010" s="347" t="s">
        <v>4437</v>
      </c>
      <c r="AL1010" s="387">
        <v>45574</v>
      </c>
    </row>
    <row r="1011" spans="2:38" ht="15.75" outlineLevel="1">
      <c r="B1011" s="345">
        <v>2111</v>
      </c>
      <c r="C1011" s="346">
        <v>173215</v>
      </c>
      <c r="D1011" s="345" t="s">
        <v>944</v>
      </c>
      <c r="E1011" s="347" t="s">
        <v>4240</v>
      </c>
      <c r="F1011" s="343" t="s">
        <v>2453</v>
      </c>
      <c r="I1011" s="345">
        <v>2604</v>
      </c>
      <c r="J1011" s="347"/>
      <c r="K1011" s="345">
        <v>0</v>
      </c>
      <c r="L1011" s="347" t="s">
        <v>2454</v>
      </c>
      <c r="M1011" s="347"/>
      <c r="N1011" s="347" t="s">
        <v>4446</v>
      </c>
      <c r="O1011" s="347" t="s">
        <v>4441</v>
      </c>
      <c r="P1011" s="347"/>
      <c r="Q1011" s="347"/>
      <c r="R1011" s="347"/>
      <c r="S1011" s="348">
        <v>38467</v>
      </c>
      <c r="T1011" s="348">
        <v>38467</v>
      </c>
      <c r="U1011" s="347">
        <v>52131002</v>
      </c>
      <c r="V1011" s="345">
        <v>700</v>
      </c>
      <c r="W1011" s="345">
        <v>14050</v>
      </c>
      <c r="X1011" s="349">
        <v>4939.79</v>
      </c>
      <c r="Y1011" s="345">
        <v>14056</v>
      </c>
      <c r="Z1011" s="349">
        <v>4939.79</v>
      </c>
      <c r="AA1011" s="349">
        <f t="shared" si="100"/>
        <v>0</v>
      </c>
      <c r="AB1011" s="349">
        <v>0</v>
      </c>
      <c r="AC1011" s="345">
        <v>54260</v>
      </c>
      <c r="AD1011" s="349">
        <v>0</v>
      </c>
      <c r="AE1011" s="345" t="s">
        <v>944</v>
      </c>
      <c r="AF1011" s="347">
        <v>0</v>
      </c>
      <c r="AG1011" s="347"/>
      <c r="AH1011" s="347" t="s">
        <v>57</v>
      </c>
      <c r="AI1011" s="347" t="s">
        <v>4442</v>
      </c>
      <c r="AJ1011" s="347" t="s">
        <v>4443</v>
      </c>
      <c r="AK1011" s="347" t="s">
        <v>4437</v>
      </c>
      <c r="AL1011" s="387">
        <v>45574</v>
      </c>
    </row>
    <row r="1012" spans="2:38" ht="15.75" outlineLevel="1">
      <c r="B1012" s="345">
        <v>2111</v>
      </c>
      <c r="C1012" s="346">
        <v>173214</v>
      </c>
      <c r="D1012" s="345" t="s">
        <v>944</v>
      </c>
      <c r="E1012" s="347" t="s">
        <v>4240</v>
      </c>
      <c r="F1012" s="343" t="s">
        <v>2453</v>
      </c>
      <c r="I1012" s="345">
        <v>894</v>
      </c>
      <c r="J1012" s="347"/>
      <c r="K1012" s="345">
        <v>0</v>
      </c>
      <c r="L1012" s="347" t="s">
        <v>2454</v>
      </c>
      <c r="M1012" s="347"/>
      <c r="N1012" s="347" t="s">
        <v>4446</v>
      </c>
      <c r="O1012" s="347" t="s">
        <v>4441</v>
      </c>
      <c r="P1012" s="347"/>
      <c r="Q1012" s="347"/>
      <c r="R1012" s="347"/>
      <c r="S1012" s="348">
        <v>38481</v>
      </c>
      <c r="T1012" s="348">
        <v>38481</v>
      </c>
      <c r="U1012" s="347">
        <v>52131002</v>
      </c>
      <c r="V1012" s="345">
        <v>700</v>
      </c>
      <c r="W1012" s="345">
        <v>14050</v>
      </c>
      <c r="X1012" s="349">
        <v>1702.18</v>
      </c>
      <c r="Y1012" s="345">
        <v>14056</v>
      </c>
      <c r="Z1012" s="349">
        <v>1702.18</v>
      </c>
      <c r="AA1012" s="349">
        <f t="shared" si="100"/>
        <v>0</v>
      </c>
      <c r="AB1012" s="349">
        <v>0</v>
      </c>
      <c r="AC1012" s="345">
        <v>54260</v>
      </c>
      <c r="AD1012" s="349">
        <v>0</v>
      </c>
      <c r="AE1012" s="345" t="s">
        <v>944</v>
      </c>
      <c r="AF1012" s="347">
        <v>0</v>
      </c>
      <c r="AG1012" s="347"/>
      <c r="AH1012" s="347" t="s">
        <v>57</v>
      </c>
      <c r="AI1012" s="347" t="s">
        <v>4442</v>
      </c>
      <c r="AJ1012" s="347" t="s">
        <v>4443</v>
      </c>
      <c r="AK1012" s="347" t="s">
        <v>4437</v>
      </c>
      <c r="AL1012" s="387">
        <v>45574</v>
      </c>
    </row>
    <row r="1013" spans="2:38" ht="15.75" outlineLevel="1">
      <c r="B1013" s="345">
        <v>2111</v>
      </c>
      <c r="C1013" s="346">
        <v>173213</v>
      </c>
      <c r="D1013" s="345" t="s">
        <v>944</v>
      </c>
      <c r="E1013" s="347" t="s">
        <v>4240</v>
      </c>
      <c r="F1013" s="343" t="s">
        <v>2453</v>
      </c>
      <c r="I1013" s="345">
        <v>606</v>
      </c>
      <c r="J1013" s="347"/>
      <c r="K1013" s="345">
        <v>0</v>
      </c>
      <c r="L1013" s="347" t="s">
        <v>2454</v>
      </c>
      <c r="M1013" s="347"/>
      <c r="N1013" s="347" t="s">
        <v>4446</v>
      </c>
      <c r="O1013" s="347" t="s">
        <v>4441</v>
      </c>
      <c r="P1013" s="347"/>
      <c r="Q1013" s="347"/>
      <c r="R1013" s="347"/>
      <c r="S1013" s="348">
        <v>38481</v>
      </c>
      <c r="T1013" s="348">
        <v>38481</v>
      </c>
      <c r="U1013" s="347">
        <v>52131002</v>
      </c>
      <c r="V1013" s="345">
        <v>700</v>
      </c>
      <c r="W1013" s="345">
        <v>14050</v>
      </c>
      <c r="X1013" s="349">
        <v>1153.82</v>
      </c>
      <c r="Y1013" s="345">
        <v>14056</v>
      </c>
      <c r="Z1013" s="349">
        <v>1153.82</v>
      </c>
      <c r="AA1013" s="349">
        <f t="shared" si="100"/>
        <v>0</v>
      </c>
      <c r="AB1013" s="349">
        <v>0</v>
      </c>
      <c r="AC1013" s="345">
        <v>54260</v>
      </c>
      <c r="AD1013" s="349">
        <v>0</v>
      </c>
      <c r="AE1013" s="345" t="s">
        <v>944</v>
      </c>
      <c r="AF1013" s="347">
        <v>0</v>
      </c>
      <c r="AG1013" s="347"/>
      <c r="AH1013" s="347" t="s">
        <v>57</v>
      </c>
      <c r="AI1013" s="347" t="s">
        <v>4442</v>
      </c>
      <c r="AJ1013" s="347" t="s">
        <v>4443</v>
      </c>
      <c r="AK1013" s="347" t="s">
        <v>4437</v>
      </c>
      <c r="AL1013" s="387">
        <v>45574</v>
      </c>
    </row>
    <row r="1014" spans="2:38" ht="15.75" outlineLevel="1">
      <c r="B1014" s="345">
        <v>2111</v>
      </c>
      <c r="C1014" s="346">
        <v>173212</v>
      </c>
      <c r="D1014" s="345" t="s">
        <v>944</v>
      </c>
      <c r="E1014" s="347" t="s">
        <v>4240</v>
      </c>
      <c r="F1014" s="343" t="s">
        <v>678</v>
      </c>
      <c r="I1014" s="345">
        <v>5</v>
      </c>
      <c r="J1014" s="347"/>
      <c r="K1014" s="345">
        <v>0</v>
      </c>
      <c r="L1014" s="347" t="s">
        <v>2462</v>
      </c>
      <c r="M1014" s="347"/>
      <c r="N1014" s="347" t="s">
        <v>4446</v>
      </c>
      <c r="O1014" s="347" t="s">
        <v>4441</v>
      </c>
      <c r="P1014" s="347"/>
      <c r="Q1014" s="347" t="s">
        <v>4464</v>
      </c>
      <c r="R1014" s="347" t="s">
        <v>4450</v>
      </c>
      <c r="S1014" s="348">
        <v>38625</v>
      </c>
      <c r="T1014" s="348">
        <v>38625</v>
      </c>
      <c r="U1014" s="347">
        <v>52131011</v>
      </c>
      <c r="V1014" s="345">
        <v>1200</v>
      </c>
      <c r="W1014" s="345">
        <v>14050</v>
      </c>
      <c r="X1014" s="349">
        <v>2904.96</v>
      </c>
      <c r="Y1014" s="345">
        <v>14056</v>
      </c>
      <c r="Z1014" s="349">
        <v>2904.96</v>
      </c>
      <c r="AA1014" s="349">
        <f t="shared" si="100"/>
        <v>0</v>
      </c>
      <c r="AB1014" s="349">
        <v>0</v>
      </c>
      <c r="AC1014" s="345">
        <v>54260</v>
      </c>
      <c r="AD1014" s="349">
        <v>0</v>
      </c>
      <c r="AE1014" s="345" t="s">
        <v>944</v>
      </c>
      <c r="AF1014" s="347">
        <v>0</v>
      </c>
      <c r="AG1014" s="347"/>
      <c r="AH1014" s="347" t="s">
        <v>57</v>
      </c>
      <c r="AI1014" s="347" t="s">
        <v>4442</v>
      </c>
      <c r="AJ1014" s="347" t="s">
        <v>4443</v>
      </c>
      <c r="AK1014" s="347" t="s">
        <v>4437</v>
      </c>
      <c r="AL1014" s="387">
        <v>45574</v>
      </c>
    </row>
    <row r="1015" spans="2:38" ht="15.75" outlineLevel="1">
      <c r="B1015" s="345">
        <v>2111</v>
      </c>
      <c r="C1015" s="346">
        <v>173211</v>
      </c>
      <c r="D1015" s="345" t="s">
        <v>944</v>
      </c>
      <c r="E1015" s="347" t="s">
        <v>4240</v>
      </c>
      <c r="F1015" s="343" t="s">
        <v>2463</v>
      </c>
      <c r="I1015" s="345">
        <v>10</v>
      </c>
      <c r="J1015" s="347"/>
      <c r="K1015" s="345">
        <v>0</v>
      </c>
      <c r="L1015" s="347" t="s">
        <v>2462</v>
      </c>
      <c r="M1015" s="347"/>
      <c r="N1015" s="347" t="s">
        <v>4446</v>
      </c>
      <c r="O1015" s="347" t="s">
        <v>4441</v>
      </c>
      <c r="P1015" s="347"/>
      <c r="Q1015" s="347" t="s">
        <v>4459</v>
      </c>
      <c r="R1015" s="347" t="s">
        <v>4450</v>
      </c>
      <c r="S1015" s="348">
        <v>38650</v>
      </c>
      <c r="T1015" s="348">
        <v>38650</v>
      </c>
      <c r="U1015" s="347">
        <v>52131010</v>
      </c>
      <c r="V1015" s="345">
        <v>1200</v>
      </c>
      <c r="W1015" s="345">
        <v>14050</v>
      </c>
      <c r="X1015" s="349">
        <v>5222.3999999999996</v>
      </c>
      <c r="Y1015" s="345">
        <v>14056</v>
      </c>
      <c r="Z1015" s="349">
        <v>5222.3999999999996</v>
      </c>
      <c r="AA1015" s="349">
        <f t="shared" si="100"/>
        <v>0</v>
      </c>
      <c r="AB1015" s="349">
        <v>0</v>
      </c>
      <c r="AC1015" s="345">
        <v>54260</v>
      </c>
      <c r="AD1015" s="349">
        <v>0</v>
      </c>
      <c r="AE1015" s="345" t="s">
        <v>944</v>
      </c>
      <c r="AF1015" s="347">
        <v>0</v>
      </c>
      <c r="AG1015" s="347"/>
      <c r="AH1015" s="347" t="s">
        <v>57</v>
      </c>
      <c r="AI1015" s="347" t="s">
        <v>4442</v>
      </c>
      <c r="AJ1015" s="347" t="s">
        <v>4443</v>
      </c>
      <c r="AK1015" s="347" t="s">
        <v>4437</v>
      </c>
      <c r="AL1015" s="387">
        <v>45574</v>
      </c>
    </row>
    <row r="1016" spans="2:38" ht="15.75" outlineLevel="1">
      <c r="B1016" s="345">
        <v>2111</v>
      </c>
      <c r="C1016" s="346">
        <v>173210</v>
      </c>
      <c r="D1016" s="345">
        <v>12580</v>
      </c>
      <c r="E1016" s="347" t="s">
        <v>4240</v>
      </c>
      <c r="F1016" s="343" t="s">
        <v>2464</v>
      </c>
      <c r="I1016" s="345">
        <v>1</v>
      </c>
      <c r="J1016" s="347"/>
      <c r="K1016" s="345">
        <v>0</v>
      </c>
      <c r="L1016" s="347" t="s">
        <v>2465</v>
      </c>
      <c r="M1016" s="347"/>
      <c r="N1016" s="347" t="s">
        <v>4440</v>
      </c>
      <c r="O1016" s="347" t="s">
        <v>4441</v>
      </c>
      <c r="P1016" s="347"/>
      <c r="Q1016" s="347"/>
      <c r="R1016" s="347"/>
      <c r="S1016" s="348">
        <v>38518</v>
      </c>
      <c r="T1016" s="348">
        <v>38518</v>
      </c>
      <c r="U1016" s="347"/>
      <c r="V1016" s="345">
        <v>300</v>
      </c>
      <c r="W1016" s="345">
        <v>14110</v>
      </c>
      <c r="X1016" s="349">
        <v>104.13</v>
      </c>
      <c r="Y1016" s="345">
        <v>14116</v>
      </c>
      <c r="Z1016" s="349">
        <v>104.13</v>
      </c>
      <c r="AA1016" s="349">
        <f t="shared" si="100"/>
        <v>0</v>
      </c>
      <c r="AB1016" s="349">
        <v>0</v>
      </c>
      <c r="AC1016" s="345">
        <v>70260</v>
      </c>
      <c r="AD1016" s="349">
        <v>0</v>
      </c>
      <c r="AE1016" s="345" t="s">
        <v>944</v>
      </c>
      <c r="AF1016" s="347">
        <v>0</v>
      </c>
      <c r="AG1016" s="347"/>
      <c r="AH1016" s="347" t="s">
        <v>57</v>
      </c>
      <c r="AI1016" s="347" t="s">
        <v>4442</v>
      </c>
      <c r="AJ1016" s="347" t="s">
        <v>4443</v>
      </c>
      <c r="AK1016" s="347" t="s">
        <v>4437</v>
      </c>
      <c r="AL1016" s="387">
        <v>45574</v>
      </c>
    </row>
    <row r="1017" spans="2:38" ht="15.75" outlineLevel="1">
      <c r="B1017" s="345">
        <v>2111</v>
      </c>
      <c r="C1017" s="346">
        <v>173209</v>
      </c>
      <c r="D1017" s="345">
        <v>173153</v>
      </c>
      <c r="E1017" s="347" t="s">
        <v>4240</v>
      </c>
      <c r="F1017" s="343" t="s">
        <v>2468</v>
      </c>
      <c r="I1017" s="345">
        <v>7</v>
      </c>
      <c r="J1017" s="347"/>
      <c r="K1017" s="345">
        <v>0</v>
      </c>
      <c r="L1017" s="347" t="s">
        <v>2465</v>
      </c>
      <c r="M1017" s="347"/>
      <c r="N1017" s="347" t="s">
        <v>4446</v>
      </c>
      <c r="O1017" s="347" t="s">
        <v>4441</v>
      </c>
      <c r="P1017" s="347"/>
      <c r="Q1017" s="347"/>
      <c r="R1017" s="347"/>
      <c r="S1017" s="348">
        <v>38518</v>
      </c>
      <c r="T1017" s="348">
        <v>38518</v>
      </c>
      <c r="U1017" s="347"/>
      <c r="V1017" s="345">
        <v>300</v>
      </c>
      <c r="W1017" s="345">
        <v>14050</v>
      </c>
      <c r="X1017" s="349">
        <v>206.55</v>
      </c>
      <c r="Y1017" s="345">
        <v>14056</v>
      </c>
      <c r="Z1017" s="349">
        <v>206.55</v>
      </c>
      <c r="AA1017" s="349">
        <f t="shared" si="100"/>
        <v>0</v>
      </c>
      <c r="AB1017" s="349">
        <v>0</v>
      </c>
      <c r="AC1017" s="345">
        <v>54260</v>
      </c>
      <c r="AD1017" s="349">
        <v>0</v>
      </c>
      <c r="AE1017" s="345" t="s">
        <v>944</v>
      </c>
      <c r="AF1017" s="347">
        <v>0</v>
      </c>
      <c r="AG1017" s="347"/>
      <c r="AH1017" s="347" t="s">
        <v>57</v>
      </c>
      <c r="AI1017" s="347" t="s">
        <v>4442</v>
      </c>
      <c r="AJ1017" s="347" t="s">
        <v>4443</v>
      </c>
      <c r="AK1017" s="347" t="s">
        <v>4437</v>
      </c>
      <c r="AL1017" s="387">
        <v>45574</v>
      </c>
    </row>
    <row r="1018" spans="2:38" ht="15.75" outlineLevel="1">
      <c r="B1018" s="345">
        <v>2111</v>
      </c>
      <c r="C1018" s="346">
        <v>173208</v>
      </c>
      <c r="D1018" s="345">
        <v>173152</v>
      </c>
      <c r="E1018" s="347" t="s">
        <v>4240</v>
      </c>
      <c r="F1018" s="343" t="s">
        <v>2469</v>
      </c>
      <c r="I1018" s="345">
        <v>7</v>
      </c>
      <c r="J1018" s="347"/>
      <c r="K1018" s="345">
        <v>0</v>
      </c>
      <c r="L1018" s="347" t="s">
        <v>2465</v>
      </c>
      <c r="M1018" s="347"/>
      <c r="N1018" s="347" t="s">
        <v>4446</v>
      </c>
      <c r="O1018" s="347" t="s">
        <v>4441</v>
      </c>
      <c r="P1018" s="347"/>
      <c r="Q1018" s="347"/>
      <c r="R1018" s="347"/>
      <c r="S1018" s="348">
        <v>38518</v>
      </c>
      <c r="T1018" s="348">
        <v>38518</v>
      </c>
      <c r="U1018" s="347"/>
      <c r="V1018" s="345">
        <v>300</v>
      </c>
      <c r="W1018" s="345">
        <v>14050</v>
      </c>
      <c r="X1018" s="349">
        <v>191.07</v>
      </c>
      <c r="Y1018" s="345">
        <v>14056</v>
      </c>
      <c r="Z1018" s="349">
        <v>191.07</v>
      </c>
      <c r="AA1018" s="349">
        <f t="shared" si="100"/>
        <v>0</v>
      </c>
      <c r="AB1018" s="349">
        <v>0</v>
      </c>
      <c r="AC1018" s="345">
        <v>54260</v>
      </c>
      <c r="AD1018" s="349">
        <v>0</v>
      </c>
      <c r="AE1018" s="345" t="s">
        <v>944</v>
      </c>
      <c r="AF1018" s="347">
        <v>0</v>
      </c>
      <c r="AG1018" s="347"/>
      <c r="AH1018" s="347" t="s">
        <v>57</v>
      </c>
      <c r="AI1018" s="347" t="s">
        <v>4442</v>
      </c>
      <c r="AJ1018" s="347" t="s">
        <v>4443</v>
      </c>
      <c r="AK1018" s="347" t="s">
        <v>4437</v>
      </c>
      <c r="AL1018" s="387">
        <v>45574</v>
      </c>
    </row>
    <row r="1019" spans="2:38" ht="15.75" outlineLevel="1">
      <c r="B1019" s="345">
        <v>2111</v>
      </c>
      <c r="C1019" s="346">
        <v>173207</v>
      </c>
      <c r="D1019" s="345" t="s">
        <v>944</v>
      </c>
      <c r="E1019" s="347" t="s">
        <v>4240</v>
      </c>
      <c r="F1019" s="343" t="s">
        <v>2470</v>
      </c>
      <c r="I1019" s="345">
        <v>1</v>
      </c>
      <c r="J1019" s="347"/>
      <c r="K1019" s="345">
        <v>0</v>
      </c>
      <c r="L1019" s="347" t="s">
        <v>2471</v>
      </c>
      <c r="M1019" s="347"/>
      <c r="N1019" s="347" t="s">
        <v>4451</v>
      </c>
      <c r="O1019" s="347" t="s">
        <v>4441</v>
      </c>
      <c r="P1019" s="347"/>
      <c r="Q1019" s="347"/>
      <c r="R1019" s="347"/>
      <c r="S1019" s="348">
        <v>38531</v>
      </c>
      <c r="T1019" s="348">
        <v>38531</v>
      </c>
      <c r="U1019" s="347">
        <v>52131003</v>
      </c>
      <c r="V1019" s="345">
        <v>1000</v>
      </c>
      <c r="W1019" s="345">
        <v>14070</v>
      </c>
      <c r="X1019" s="349">
        <v>9411.5499999999993</v>
      </c>
      <c r="Y1019" s="345">
        <v>14076</v>
      </c>
      <c r="Z1019" s="349">
        <v>9411.5499999999993</v>
      </c>
      <c r="AA1019" s="349">
        <f t="shared" si="100"/>
        <v>0</v>
      </c>
      <c r="AB1019" s="349">
        <v>0</v>
      </c>
      <c r="AC1019" s="345">
        <v>51260</v>
      </c>
      <c r="AD1019" s="349">
        <v>0</v>
      </c>
      <c r="AE1019" s="345" t="s">
        <v>944</v>
      </c>
      <c r="AF1019" s="347">
        <v>0</v>
      </c>
      <c r="AG1019" s="347"/>
      <c r="AH1019" s="347" t="s">
        <v>57</v>
      </c>
      <c r="AI1019" s="347" t="s">
        <v>4442</v>
      </c>
      <c r="AJ1019" s="347" t="s">
        <v>4443</v>
      </c>
      <c r="AK1019" s="347" t="s">
        <v>4437</v>
      </c>
      <c r="AL1019" s="387">
        <v>45574</v>
      </c>
    </row>
    <row r="1020" spans="2:38" ht="15.75" outlineLevel="1">
      <c r="B1020" s="345">
        <v>2111</v>
      </c>
      <c r="C1020" s="346">
        <v>173206</v>
      </c>
      <c r="D1020" s="345" t="s">
        <v>944</v>
      </c>
      <c r="E1020" s="347" t="s">
        <v>4240</v>
      </c>
      <c r="F1020" s="343" t="s">
        <v>2472</v>
      </c>
      <c r="I1020" s="345">
        <v>20</v>
      </c>
      <c r="J1020" s="347"/>
      <c r="K1020" s="345">
        <v>0</v>
      </c>
      <c r="L1020" s="347" t="s">
        <v>2462</v>
      </c>
      <c r="M1020" s="347"/>
      <c r="N1020" s="347" t="s">
        <v>4446</v>
      </c>
      <c r="O1020" s="347" t="s">
        <v>4441</v>
      </c>
      <c r="P1020" s="347"/>
      <c r="Q1020" s="347" t="s">
        <v>4449</v>
      </c>
      <c r="R1020" s="347" t="s">
        <v>4450</v>
      </c>
      <c r="S1020" s="348">
        <v>38526</v>
      </c>
      <c r="T1020" s="348">
        <v>38526</v>
      </c>
      <c r="U1020" s="347">
        <v>52131005</v>
      </c>
      <c r="V1020" s="345">
        <v>1200</v>
      </c>
      <c r="W1020" s="345">
        <v>14050</v>
      </c>
      <c r="X1020" s="349">
        <v>8268.7999999999993</v>
      </c>
      <c r="Y1020" s="345">
        <v>14056</v>
      </c>
      <c r="Z1020" s="349">
        <v>8268.7999999999993</v>
      </c>
      <c r="AA1020" s="349">
        <f t="shared" si="100"/>
        <v>0</v>
      </c>
      <c r="AB1020" s="349">
        <v>0</v>
      </c>
      <c r="AC1020" s="345">
        <v>54260</v>
      </c>
      <c r="AD1020" s="349">
        <v>0</v>
      </c>
      <c r="AE1020" s="345" t="s">
        <v>944</v>
      </c>
      <c r="AF1020" s="347">
        <v>0</v>
      </c>
      <c r="AG1020" s="347"/>
      <c r="AH1020" s="347" t="s">
        <v>57</v>
      </c>
      <c r="AI1020" s="347" t="s">
        <v>4442</v>
      </c>
      <c r="AJ1020" s="347" t="s">
        <v>4443</v>
      </c>
      <c r="AK1020" s="347" t="s">
        <v>4437</v>
      </c>
      <c r="AL1020" s="387">
        <v>45574</v>
      </c>
    </row>
    <row r="1021" spans="2:38" ht="15.75" outlineLevel="1">
      <c r="B1021" s="345">
        <v>2111</v>
      </c>
      <c r="C1021" s="346">
        <v>173205</v>
      </c>
      <c r="D1021" s="345" t="s">
        <v>944</v>
      </c>
      <c r="E1021" s="347" t="s">
        <v>4240</v>
      </c>
      <c r="F1021" s="343" t="s">
        <v>2473</v>
      </c>
      <c r="I1021" s="345">
        <v>5</v>
      </c>
      <c r="J1021" s="347"/>
      <c r="K1021" s="345">
        <v>0</v>
      </c>
      <c r="L1021" s="347" t="s">
        <v>2474</v>
      </c>
      <c r="M1021" s="347"/>
      <c r="N1021" s="347" t="s">
        <v>4446</v>
      </c>
      <c r="O1021" s="347" t="s">
        <v>4441</v>
      </c>
      <c r="P1021" s="347"/>
      <c r="Q1021" s="347"/>
      <c r="R1021" s="347"/>
      <c r="S1021" s="348">
        <v>38525</v>
      </c>
      <c r="T1021" s="348">
        <v>38525</v>
      </c>
      <c r="U1021" s="347">
        <v>52131006</v>
      </c>
      <c r="V1021" s="345">
        <v>1200</v>
      </c>
      <c r="W1021" s="345">
        <v>14050</v>
      </c>
      <c r="X1021" s="349">
        <v>26933.439999999999</v>
      </c>
      <c r="Y1021" s="345">
        <v>14056</v>
      </c>
      <c r="Z1021" s="349">
        <v>26933.439999999999</v>
      </c>
      <c r="AA1021" s="349">
        <f t="shared" si="100"/>
        <v>0</v>
      </c>
      <c r="AB1021" s="349">
        <v>0</v>
      </c>
      <c r="AC1021" s="345">
        <v>54260</v>
      </c>
      <c r="AD1021" s="349">
        <v>0</v>
      </c>
      <c r="AE1021" s="345" t="s">
        <v>944</v>
      </c>
      <c r="AF1021" s="347">
        <v>0</v>
      </c>
      <c r="AG1021" s="347"/>
      <c r="AH1021" s="347" t="s">
        <v>57</v>
      </c>
      <c r="AI1021" s="347" t="s">
        <v>4442</v>
      </c>
      <c r="AJ1021" s="347" t="s">
        <v>4443</v>
      </c>
      <c r="AK1021" s="347" t="s">
        <v>4437</v>
      </c>
      <c r="AL1021" s="387">
        <v>45574</v>
      </c>
    </row>
    <row r="1022" spans="2:38" ht="15.75" outlineLevel="1">
      <c r="B1022" s="345">
        <v>2111</v>
      </c>
      <c r="C1022" s="346">
        <v>173204</v>
      </c>
      <c r="D1022" s="345" t="s">
        <v>944</v>
      </c>
      <c r="E1022" s="347" t="s">
        <v>4240</v>
      </c>
      <c r="F1022" s="343" t="s">
        <v>2475</v>
      </c>
      <c r="I1022" s="345">
        <v>1</v>
      </c>
      <c r="J1022" s="347" t="s">
        <v>2476</v>
      </c>
      <c r="K1022" s="345">
        <v>2005</v>
      </c>
      <c r="L1022" s="347"/>
      <c r="M1022" s="347"/>
      <c r="N1022" s="347" t="s">
        <v>4445</v>
      </c>
      <c r="O1022" s="347" t="s">
        <v>4441</v>
      </c>
      <c r="P1022" s="347" t="s">
        <v>1467</v>
      </c>
      <c r="Q1022" s="347"/>
      <c r="R1022" s="347"/>
      <c r="S1022" s="348">
        <v>38483</v>
      </c>
      <c r="T1022" s="348">
        <v>38483</v>
      </c>
      <c r="U1022" s="347">
        <v>52131001</v>
      </c>
      <c r="V1022" s="345">
        <v>1000</v>
      </c>
      <c r="W1022" s="345">
        <v>14040</v>
      </c>
      <c r="X1022" s="349">
        <v>65.11</v>
      </c>
      <c r="Y1022" s="345">
        <v>14046</v>
      </c>
      <c r="Z1022" s="349">
        <v>65.11</v>
      </c>
      <c r="AA1022" s="349">
        <f t="shared" si="100"/>
        <v>0</v>
      </c>
      <c r="AB1022" s="349">
        <v>0</v>
      </c>
      <c r="AC1022" s="345">
        <v>51260</v>
      </c>
      <c r="AD1022" s="349">
        <v>0</v>
      </c>
      <c r="AE1022" s="345" t="s">
        <v>944</v>
      </c>
      <c r="AF1022" s="347">
        <v>0</v>
      </c>
      <c r="AG1022" s="347"/>
      <c r="AH1022" s="347" t="s">
        <v>57</v>
      </c>
      <c r="AI1022" s="347" t="s">
        <v>4442</v>
      </c>
      <c r="AJ1022" s="347" t="s">
        <v>4443</v>
      </c>
      <c r="AK1022" s="347" t="s">
        <v>4437</v>
      </c>
      <c r="AL1022" s="387">
        <v>45574</v>
      </c>
    </row>
    <row r="1023" spans="2:38" ht="15.75" outlineLevel="1">
      <c r="B1023" s="345">
        <v>2111</v>
      </c>
      <c r="C1023" s="346">
        <v>173203</v>
      </c>
      <c r="D1023" s="345" t="s">
        <v>944</v>
      </c>
      <c r="E1023" s="347" t="s">
        <v>4240</v>
      </c>
      <c r="F1023" s="343" t="s">
        <v>2478</v>
      </c>
      <c r="I1023" s="345">
        <v>1</v>
      </c>
      <c r="J1023" s="347" t="s">
        <v>2479</v>
      </c>
      <c r="K1023" s="345">
        <v>2005</v>
      </c>
      <c r="L1023" s="347"/>
      <c r="M1023" s="347"/>
      <c r="N1023" s="347" t="s">
        <v>4445</v>
      </c>
      <c r="O1023" s="347" t="s">
        <v>4441</v>
      </c>
      <c r="P1023" s="347" t="s">
        <v>1467</v>
      </c>
      <c r="Q1023" s="347"/>
      <c r="R1023" s="347"/>
      <c r="S1023" s="348">
        <v>38483</v>
      </c>
      <c r="T1023" s="348">
        <v>38483</v>
      </c>
      <c r="U1023" s="347">
        <v>52131001</v>
      </c>
      <c r="V1023" s="345">
        <v>1000</v>
      </c>
      <c r="W1023" s="345">
        <v>14040</v>
      </c>
      <c r="X1023" s="349">
        <v>3602.39</v>
      </c>
      <c r="Y1023" s="345">
        <v>14046</v>
      </c>
      <c r="Z1023" s="349">
        <v>3602.39</v>
      </c>
      <c r="AA1023" s="349">
        <f t="shared" si="100"/>
        <v>0</v>
      </c>
      <c r="AB1023" s="349">
        <v>0</v>
      </c>
      <c r="AC1023" s="345">
        <v>51260</v>
      </c>
      <c r="AD1023" s="349">
        <v>0</v>
      </c>
      <c r="AE1023" s="345" t="s">
        <v>944</v>
      </c>
      <c r="AF1023" s="347">
        <v>0</v>
      </c>
      <c r="AG1023" s="347"/>
      <c r="AH1023" s="347" t="s">
        <v>57</v>
      </c>
      <c r="AI1023" s="347" t="s">
        <v>4442</v>
      </c>
      <c r="AJ1023" s="347" t="s">
        <v>4443</v>
      </c>
      <c r="AK1023" s="347" t="s">
        <v>4437</v>
      </c>
      <c r="AL1023" s="387">
        <v>45574</v>
      </c>
    </row>
    <row r="1024" spans="2:38" ht="15.75" outlineLevel="1">
      <c r="B1024" s="345">
        <v>2111</v>
      </c>
      <c r="C1024" s="346">
        <v>173202</v>
      </c>
      <c r="D1024" s="345" t="s">
        <v>944</v>
      </c>
      <c r="E1024" s="347" t="s">
        <v>4240</v>
      </c>
      <c r="F1024" s="343" t="s">
        <v>2481</v>
      </c>
      <c r="I1024" s="345">
        <v>1</v>
      </c>
      <c r="J1024" s="347" t="s">
        <v>2476</v>
      </c>
      <c r="K1024" s="345">
        <v>2005</v>
      </c>
      <c r="L1024" s="347"/>
      <c r="M1024" s="347"/>
      <c r="N1024" s="347" t="s">
        <v>4445</v>
      </c>
      <c r="O1024" s="347" t="s">
        <v>4441</v>
      </c>
      <c r="P1024" s="347" t="s">
        <v>1467</v>
      </c>
      <c r="Q1024" s="347"/>
      <c r="R1024" s="347"/>
      <c r="S1024" s="348">
        <v>38470</v>
      </c>
      <c r="T1024" s="348">
        <v>38470</v>
      </c>
      <c r="U1024" s="347">
        <v>52131001</v>
      </c>
      <c r="V1024" s="345">
        <v>1000</v>
      </c>
      <c r="W1024" s="345">
        <v>14040</v>
      </c>
      <c r="X1024" s="349">
        <v>3537.29</v>
      </c>
      <c r="Y1024" s="345">
        <v>14046</v>
      </c>
      <c r="Z1024" s="349">
        <v>3537.29</v>
      </c>
      <c r="AA1024" s="349">
        <f t="shared" si="100"/>
        <v>0</v>
      </c>
      <c r="AB1024" s="349">
        <v>0</v>
      </c>
      <c r="AC1024" s="345">
        <v>51260</v>
      </c>
      <c r="AD1024" s="349">
        <v>0</v>
      </c>
      <c r="AE1024" s="345" t="s">
        <v>944</v>
      </c>
      <c r="AF1024" s="347">
        <v>0</v>
      </c>
      <c r="AG1024" s="347"/>
      <c r="AH1024" s="347" t="s">
        <v>57</v>
      </c>
      <c r="AI1024" s="347" t="s">
        <v>4442</v>
      </c>
      <c r="AJ1024" s="347" t="s">
        <v>4443</v>
      </c>
      <c r="AK1024" s="347" t="s">
        <v>4437</v>
      </c>
      <c r="AL1024" s="387">
        <v>45574</v>
      </c>
    </row>
    <row r="1025" spans="2:38" ht="15.75" outlineLevel="1">
      <c r="B1025" s="345">
        <v>2111</v>
      </c>
      <c r="C1025" s="346">
        <v>173200</v>
      </c>
      <c r="D1025" s="345" t="s">
        <v>944</v>
      </c>
      <c r="E1025" s="347" t="s">
        <v>4240</v>
      </c>
      <c r="F1025" s="343" t="s">
        <v>2483</v>
      </c>
      <c r="I1025" s="345">
        <v>1</v>
      </c>
      <c r="J1025" s="347"/>
      <c r="K1025" s="345">
        <v>0</v>
      </c>
      <c r="L1025" s="347" t="s">
        <v>2462</v>
      </c>
      <c r="M1025" s="347"/>
      <c r="N1025" s="347" t="s">
        <v>4446</v>
      </c>
      <c r="O1025" s="347" t="s">
        <v>4441</v>
      </c>
      <c r="P1025" s="347"/>
      <c r="Q1025" s="347" t="s">
        <v>4449</v>
      </c>
      <c r="R1025" s="347" t="s">
        <v>4450</v>
      </c>
      <c r="S1025" s="348">
        <v>38519</v>
      </c>
      <c r="T1025" s="348">
        <v>38519</v>
      </c>
      <c r="U1025" s="347">
        <v>52131007</v>
      </c>
      <c r="V1025" s="345">
        <v>1200</v>
      </c>
      <c r="W1025" s="345">
        <v>14050</v>
      </c>
      <c r="X1025" s="349">
        <v>429.76</v>
      </c>
      <c r="Y1025" s="345">
        <v>14056</v>
      </c>
      <c r="Z1025" s="349">
        <v>429.76</v>
      </c>
      <c r="AA1025" s="349">
        <f t="shared" si="100"/>
        <v>0</v>
      </c>
      <c r="AB1025" s="349">
        <v>0</v>
      </c>
      <c r="AC1025" s="345">
        <v>54260</v>
      </c>
      <c r="AD1025" s="349">
        <v>0</v>
      </c>
      <c r="AE1025" s="345" t="s">
        <v>944</v>
      </c>
      <c r="AF1025" s="347">
        <v>0</v>
      </c>
      <c r="AG1025" s="347"/>
      <c r="AH1025" s="347" t="s">
        <v>57</v>
      </c>
      <c r="AI1025" s="347" t="s">
        <v>4442</v>
      </c>
      <c r="AJ1025" s="347" t="s">
        <v>4443</v>
      </c>
      <c r="AK1025" s="347" t="s">
        <v>4437</v>
      </c>
      <c r="AL1025" s="387">
        <v>45574</v>
      </c>
    </row>
    <row r="1026" spans="2:38" ht="15.75" outlineLevel="1">
      <c r="B1026" s="345">
        <v>2111</v>
      </c>
      <c r="C1026" s="346">
        <v>173199</v>
      </c>
      <c r="D1026" s="345" t="s">
        <v>944</v>
      </c>
      <c r="E1026" s="347" t="s">
        <v>4240</v>
      </c>
      <c r="F1026" s="343" t="s">
        <v>2484</v>
      </c>
      <c r="I1026" s="345">
        <v>720</v>
      </c>
      <c r="J1026" s="347" t="s">
        <v>2485</v>
      </c>
      <c r="K1026" s="345">
        <v>0</v>
      </c>
      <c r="L1026" s="347" t="s">
        <v>2454</v>
      </c>
      <c r="M1026" s="347"/>
      <c r="N1026" s="347" t="s">
        <v>4446</v>
      </c>
      <c r="O1026" s="347" t="s">
        <v>4441</v>
      </c>
      <c r="P1026" s="347"/>
      <c r="Q1026" s="347"/>
      <c r="R1026" s="347"/>
      <c r="S1026" s="348">
        <v>38413</v>
      </c>
      <c r="T1026" s="348">
        <v>38413</v>
      </c>
      <c r="U1026" s="347">
        <v>52131002</v>
      </c>
      <c r="V1026" s="345">
        <v>700</v>
      </c>
      <c r="W1026" s="345">
        <v>14050</v>
      </c>
      <c r="X1026" s="349">
        <v>28487.52</v>
      </c>
      <c r="Y1026" s="345">
        <v>14056</v>
      </c>
      <c r="Z1026" s="349">
        <v>28487.52</v>
      </c>
      <c r="AA1026" s="349">
        <f t="shared" si="100"/>
        <v>0</v>
      </c>
      <c r="AB1026" s="349">
        <v>0</v>
      </c>
      <c r="AC1026" s="345">
        <v>54260</v>
      </c>
      <c r="AD1026" s="349">
        <v>0</v>
      </c>
      <c r="AE1026" s="345" t="s">
        <v>944</v>
      </c>
      <c r="AF1026" s="347">
        <v>0</v>
      </c>
      <c r="AG1026" s="347"/>
      <c r="AH1026" s="347" t="s">
        <v>57</v>
      </c>
      <c r="AI1026" s="347" t="s">
        <v>4442</v>
      </c>
      <c r="AJ1026" s="347" t="s">
        <v>4443</v>
      </c>
      <c r="AK1026" s="347" t="s">
        <v>4437</v>
      </c>
      <c r="AL1026" s="387">
        <v>45574</v>
      </c>
    </row>
    <row r="1027" spans="2:38" ht="15.75" outlineLevel="1">
      <c r="B1027" s="345">
        <v>2111</v>
      </c>
      <c r="C1027" s="346">
        <v>173198</v>
      </c>
      <c r="D1027" s="345" t="s">
        <v>944</v>
      </c>
      <c r="E1027" s="347" t="s">
        <v>4240</v>
      </c>
      <c r="F1027" s="343" t="s">
        <v>2484</v>
      </c>
      <c r="I1027" s="345">
        <v>720</v>
      </c>
      <c r="J1027" s="347" t="s">
        <v>2487</v>
      </c>
      <c r="K1027" s="345">
        <v>0</v>
      </c>
      <c r="L1027" s="347" t="s">
        <v>2454</v>
      </c>
      <c r="M1027" s="347"/>
      <c r="N1027" s="347" t="s">
        <v>4446</v>
      </c>
      <c r="O1027" s="347" t="s">
        <v>4441</v>
      </c>
      <c r="P1027" s="347"/>
      <c r="Q1027" s="347"/>
      <c r="R1027" s="347"/>
      <c r="S1027" s="348">
        <v>38418</v>
      </c>
      <c r="T1027" s="348">
        <v>38418</v>
      </c>
      <c r="U1027" s="347">
        <v>52131002</v>
      </c>
      <c r="V1027" s="345">
        <v>700</v>
      </c>
      <c r="W1027" s="345">
        <v>14050</v>
      </c>
      <c r="X1027" s="349">
        <v>28487.52</v>
      </c>
      <c r="Y1027" s="345">
        <v>14056</v>
      </c>
      <c r="Z1027" s="349">
        <v>28487.52</v>
      </c>
      <c r="AA1027" s="349">
        <f t="shared" si="100"/>
        <v>0</v>
      </c>
      <c r="AB1027" s="349">
        <v>0</v>
      </c>
      <c r="AC1027" s="345">
        <v>54260</v>
      </c>
      <c r="AD1027" s="349">
        <v>0</v>
      </c>
      <c r="AE1027" s="345" t="s">
        <v>944</v>
      </c>
      <c r="AF1027" s="347">
        <v>0</v>
      </c>
      <c r="AG1027" s="347"/>
      <c r="AH1027" s="347" t="s">
        <v>57</v>
      </c>
      <c r="AI1027" s="347" t="s">
        <v>4442</v>
      </c>
      <c r="AJ1027" s="347" t="s">
        <v>4443</v>
      </c>
      <c r="AK1027" s="347" t="s">
        <v>4437</v>
      </c>
      <c r="AL1027" s="387">
        <v>45574</v>
      </c>
    </row>
    <row r="1028" spans="2:38" ht="15.75" outlineLevel="1">
      <c r="B1028" s="345">
        <v>2111</v>
      </c>
      <c r="C1028" s="346">
        <v>173197</v>
      </c>
      <c r="D1028" s="345" t="s">
        <v>944</v>
      </c>
      <c r="E1028" s="347" t="s">
        <v>4240</v>
      </c>
      <c r="F1028" s="343" t="s">
        <v>2484</v>
      </c>
      <c r="I1028" s="345">
        <v>720</v>
      </c>
      <c r="J1028" s="347" t="s">
        <v>2489</v>
      </c>
      <c r="K1028" s="345">
        <v>0</v>
      </c>
      <c r="L1028" s="347" t="s">
        <v>2454</v>
      </c>
      <c r="M1028" s="347"/>
      <c r="N1028" s="347" t="s">
        <v>4446</v>
      </c>
      <c r="O1028" s="347" t="s">
        <v>4441</v>
      </c>
      <c r="P1028" s="347"/>
      <c r="Q1028" s="347"/>
      <c r="R1028" s="347"/>
      <c r="S1028" s="348">
        <v>38418</v>
      </c>
      <c r="T1028" s="348">
        <v>38418</v>
      </c>
      <c r="U1028" s="347">
        <v>52131002</v>
      </c>
      <c r="V1028" s="345">
        <v>700</v>
      </c>
      <c r="W1028" s="345">
        <v>14050</v>
      </c>
      <c r="X1028" s="349">
        <v>28487.52</v>
      </c>
      <c r="Y1028" s="345">
        <v>14056</v>
      </c>
      <c r="Z1028" s="349">
        <v>28487.52</v>
      </c>
      <c r="AA1028" s="349">
        <f t="shared" si="100"/>
        <v>0</v>
      </c>
      <c r="AB1028" s="349">
        <v>0</v>
      </c>
      <c r="AC1028" s="345">
        <v>54260</v>
      </c>
      <c r="AD1028" s="349">
        <v>0</v>
      </c>
      <c r="AE1028" s="345" t="s">
        <v>944</v>
      </c>
      <c r="AF1028" s="347">
        <v>0</v>
      </c>
      <c r="AG1028" s="347"/>
      <c r="AH1028" s="347" t="s">
        <v>57</v>
      </c>
      <c r="AI1028" s="347" t="s">
        <v>4442</v>
      </c>
      <c r="AJ1028" s="347" t="s">
        <v>4443</v>
      </c>
      <c r="AK1028" s="347" t="s">
        <v>4437</v>
      </c>
      <c r="AL1028" s="387">
        <v>45574</v>
      </c>
    </row>
    <row r="1029" spans="2:38" ht="15.75" outlineLevel="1">
      <c r="B1029" s="345">
        <v>2111</v>
      </c>
      <c r="C1029" s="346">
        <v>173196</v>
      </c>
      <c r="D1029" s="345" t="s">
        <v>944</v>
      </c>
      <c r="E1029" s="347" t="s">
        <v>4240</v>
      </c>
      <c r="F1029" s="343" t="s">
        <v>2484</v>
      </c>
      <c r="I1029" s="345">
        <v>720</v>
      </c>
      <c r="J1029" s="347" t="s">
        <v>2491</v>
      </c>
      <c r="K1029" s="345">
        <v>0</v>
      </c>
      <c r="L1029" s="347" t="s">
        <v>2454</v>
      </c>
      <c r="M1029" s="347"/>
      <c r="N1029" s="347" t="s">
        <v>4446</v>
      </c>
      <c r="O1029" s="347" t="s">
        <v>4441</v>
      </c>
      <c r="P1029" s="347"/>
      <c r="Q1029" s="347"/>
      <c r="R1029" s="347"/>
      <c r="S1029" s="348">
        <v>38422</v>
      </c>
      <c r="T1029" s="348">
        <v>38422</v>
      </c>
      <c r="U1029" s="347">
        <v>52131002</v>
      </c>
      <c r="V1029" s="345">
        <v>700</v>
      </c>
      <c r="W1029" s="345">
        <v>14050</v>
      </c>
      <c r="X1029" s="349">
        <v>28487.52</v>
      </c>
      <c r="Y1029" s="345">
        <v>14056</v>
      </c>
      <c r="Z1029" s="349">
        <v>28487.52</v>
      </c>
      <c r="AA1029" s="349">
        <f t="shared" si="100"/>
        <v>0</v>
      </c>
      <c r="AB1029" s="349">
        <v>0</v>
      </c>
      <c r="AC1029" s="345">
        <v>54260</v>
      </c>
      <c r="AD1029" s="349">
        <v>0</v>
      </c>
      <c r="AE1029" s="345" t="s">
        <v>944</v>
      </c>
      <c r="AF1029" s="347">
        <v>0</v>
      </c>
      <c r="AG1029" s="347"/>
      <c r="AH1029" s="347" t="s">
        <v>57</v>
      </c>
      <c r="AI1029" s="347" t="s">
        <v>4442</v>
      </c>
      <c r="AJ1029" s="347" t="s">
        <v>4443</v>
      </c>
      <c r="AK1029" s="347" t="s">
        <v>4437</v>
      </c>
      <c r="AL1029" s="387">
        <v>45574</v>
      </c>
    </row>
    <row r="1030" spans="2:38" ht="15.75" outlineLevel="1">
      <c r="B1030" s="345">
        <v>2111</v>
      </c>
      <c r="C1030" s="346">
        <v>173195</v>
      </c>
      <c r="D1030" s="345" t="s">
        <v>944</v>
      </c>
      <c r="E1030" s="347" t="s">
        <v>4240</v>
      </c>
      <c r="F1030" s="343" t="s">
        <v>2484</v>
      </c>
      <c r="I1030" s="345">
        <v>60</v>
      </c>
      <c r="J1030" s="347" t="s">
        <v>2493</v>
      </c>
      <c r="K1030" s="345">
        <v>0</v>
      </c>
      <c r="L1030" s="347" t="s">
        <v>2454</v>
      </c>
      <c r="M1030" s="347"/>
      <c r="N1030" s="347" t="s">
        <v>4446</v>
      </c>
      <c r="O1030" s="347" t="s">
        <v>4441</v>
      </c>
      <c r="P1030" s="347"/>
      <c r="Q1030" s="347"/>
      <c r="R1030" s="347"/>
      <c r="S1030" s="348">
        <v>38476</v>
      </c>
      <c r="T1030" s="348">
        <v>38476</v>
      </c>
      <c r="U1030" s="347">
        <v>52131002</v>
      </c>
      <c r="V1030" s="345">
        <v>700</v>
      </c>
      <c r="W1030" s="345">
        <v>14050</v>
      </c>
      <c r="X1030" s="349">
        <v>2382.7199999999998</v>
      </c>
      <c r="Y1030" s="345">
        <v>14056</v>
      </c>
      <c r="Z1030" s="349">
        <v>2382.7199999999998</v>
      </c>
      <c r="AA1030" s="349">
        <f t="shared" si="100"/>
        <v>0</v>
      </c>
      <c r="AB1030" s="349">
        <v>0</v>
      </c>
      <c r="AC1030" s="345">
        <v>54260</v>
      </c>
      <c r="AD1030" s="349">
        <v>0</v>
      </c>
      <c r="AE1030" s="345" t="s">
        <v>944</v>
      </c>
      <c r="AF1030" s="347">
        <v>0</v>
      </c>
      <c r="AG1030" s="347"/>
      <c r="AH1030" s="347" t="s">
        <v>57</v>
      </c>
      <c r="AI1030" s="347" t="s">
        <v>4442</v>
      </c>
      <c r="AJ1030" s="347" t="s">
        <v>4443</v>
      </c>
      <c r="AK1030" s="347" t="s">
        <v>4437</v>
      </c>
      <c r="AL1030" s="387">
        <v>45574</v>
      </c>
    </row>
    <row r="1031" spans="2:38" ht="15.75" outlineLevel="1">
      <c r="B1031" s="345">
        <v>2111</v>
      </c>
      <c r="C1031" s="346">
        <v>173194</v>
      </c>
      <c r="D1031" s="345" t="s">
        <v>944</v>
      </c>
      <c r="E1031" s="347" t="s">
        <v>4240</v>
      </c>
      <c r="F1031" s="343" t="s">
        <v>2484</v>
      </c>
      <c r="I1031" s="345">
        <v>720</v>
      </c>
      <c r="J1031" s="347" t="s">
        <v>2495</v>
      </c>
      <c r="K1031" s="345">
        <v>0</v>
      </c>
      <c r="L1031" s="347" t="s">
        <v>2454</v>
      </c>
      <c r="M1031" s="347"/>
      <c r="N1031" s="347" t="s">
        <v>4446</v>
      </c>
      <c r="O1031" s="347" t="s">
        <v>4441</v>
      </c>
      <c r="P1031" s="347"/>
      <c r="Q1031" s="347"/>
      <c r="R1031" s="347"/>
      <c r="S1031" s="348">
        <v>38470</v>
      </c>
      <c r="T1031" s="348">
        <v>38470</v>
      </c>
      <c r="U1031" s="347">
        <v>52131002</v>
      </c>
      <c r="V1031" s="345">
        <v>700</v>
      </c>
      <c r="W1031" s="345">
        <v>14050</v>
      </c>
      <c r="X1031" s="349">
        <v>28592.639999999999</v>
      </c>
      <c r="Y1031" s="345">
        <v>14056</v>
      </c>
      <c r="Z1031" s="349">
        <v>28592.639999999999</v>
      </c>
      <c r="AA1031" s="349">
        <f t="shared" si="100"/>
        <v>0</v>
      </c>
      <c r="AB1031" s="349">
        <v>0</v>
      </c>
      <c r="AC1031" s="345">
        <v>54260</v>
      </c>
      <c r="AD1031" s="349">
        <v>0</v>
      </c>
      <c r="AE1031" s="345" t="s">
        <v>944</v>
      </c>
      <c r="AF1031" s="347">
        <v>0</v>
      </c>
      <c r="AG1031" s="347"/>
      <c r="AH1031" s="347" t="s">
        <v>57</v>
      </c>
      <c r="AI1031" s="347" t="s">
        <v>4442</v>
      </c>
      <c r="AJ1031" s="347" t="s">
        <v>4443</v>
      </c>
      <c r="AK1031" s="347" t="s">
        <v>4437</v>
      </c>
      <c r="AL1031" s="387">
        <v>45574</v>
      </c>
    </row>
    <row r="1032" spans="2:38" ht="15.75" outlineLevel="1">
      <c r="B1032" s="345">
        <v>2111</v>
      </c>
      <c r="C1032" s="346">
        <v>173193</v>
      </c>
      <c r="D1032" s="345" t="s">
        <v>944</v>
      </c>
      <c r="E1032" s="347" t="s">
        <v>4240</v>
      </c>
      <c r="F1032" s="343" t="s">
        <v>2484</v>
      </c>
      <c r="I1032" s="345">
        <v>720</v>
      </c>
      <c r="J1032" s="347" t="s">
        <v>2497</v>
      </c>
      <c r="K1032" s="345">
        <v>0</v>
      </c>
      <c r="L1032" s="347" t="s">
        <v>2454</v>
      </c>
      <c r="M1032" s="347"/>
      <c r="N1032" s="347" t="s">
        <v>4446</v>
      </c>
      <c r="O1032" s="347" t="s">
        <v>4441</v>
      </c>
      <c r="P1032" s="347"/>
      <c r="Q1032" s="347"/>
      <c r="R1032" s="347"/>
      <c r="S1032" s="348">
        <v>38470</v>
      </c>
      <c r="T1032" s="348">
        <v>38470</v>
      </c>
      <c r="U1032" s="347">
        <v>52131002</v>
      </c>
      <c r="V1032" s="345">
        <v>700</v>
      </c>
      <c r="W1032" s="345">
        <v>14050</v>
      </c>
      <c r="X1032" s="349">
        <v>28592.639999999999</v>
      </c>
      <c r="Y1032" s="345">
        <v>14056</v>
      </c>
      <c r="Z1032" s="349">
        <v>28592.639999999999</v>
      </c>
      <c r="AA1032" s="349">
        <f t="shared" si="100"/>
        <v>0</v>
      </c>
      <c r="AB1032" s="349">
        <v>0</v>
      </c>
      <c r="AC1032" s="345">
        <v>54260</v>
      </c>
      <c r="AD1032" s="349">
        <v>0</v>
      </c>
      <c r="AE1032" s="345" t="s">
        <v>944</v>
      </c>
      <c r="AF1032" s="347">
        <v>0</v>
      </c>
      <c r="AG1032" s="347"/>
      <c r="AH1032" s="347" t="s">
        <v>57</v>
      </c>
      <c r="AI1032" s="347" t="s">
        <v>4442</v>
      </c>
      <c r="AJ1032" s="347" t="s">
        <v>4443</v>
      </c>
      <c r="AK1032" s="347" t="s">
        <v>4437</v>
      </c>
      <c r="AL1032" s="387">
        <v>45574</v>
      </c>
    </row>
    <row r="1033" spans="2:38" ht="15.75" outlineLevel="1">
      <c r="B1033" s="345">
        <v>2111</v>
      </c>
      <c r="C1033" s="346">
        <v>173192</v>
      </c>
      <c r="D1033" s="345" t="s">
        <v>944</v>
      </c>
      <c r="E1033" s="347" t="s">
        <v>4240</v>
      </c>
      <c r="F1033" s="343" t="s">
        <v>2484</v>
      </c>
      <c r="I1033" s="345">
        <v>40</v>
      </c>
      <c r="J1033" s="347" t="s">
        <v>2499</v>
      </c>
      <c r="K1033" s="345">
        <v>0</v>
      </c>
      <c r="L1033" s="347" t="s">
        <v>2454</v>
      </c>
      <c r="M1033" s="347"/>
      <c r="N1033" s="347" t="s">
        <v>4446</v>
      </c>
      <c r="O1033" s="347" t="s">
        <v>4441</v>
      </c>
      <c r="P1033" s="347"/>
      <c r="Q1033" s="347"/>
      <c r="R1033" s="347"/>
      <c r="S1033" s="348">
        <v>38443</v>
      </c>
      <c r="T1033" s="348">
        <v>38443</v>
      </c>
      <c r="U1033" s="347">
        <v>52131002</v>
      </c>
      <c r="V1033" s="345">
        <v>700</v>
      </c>
      <c r="W1033" s="345">
        <v>14050</v>
      </c>
      <c r="X1033" s="349">
        <v>1582.64</v>
      </c>
      <c r="Y1033" s="345">
        <v>14056</v>
      </c>
      <c r="Z1033" s="349">
        <v>1582.64</v>
      </c>
      <c r="AA1033" s="349">
        <f t="shared" si="100"/>
        <v>0</v>
      </c>
      <c r="AB1033" s="349">
        <v>0</v>
      </c>
      <c r="AC1033" s="345">
        <v>54260</v>
      </c>
      <c r="AD1033" s="349">
        <v>0</v>
      </c>
      <c r="AE1033" s="345" t="s">
        <v>944</v>
      </c>
      <c r="AF1033" s="347">
        <v>0</v>
      </c>
      <c r="AG1033" s="347"/>
      <c r="AH1033" s="347" t="s">
        <v>57</v>
      </c>
      <c r="AI1033" s="347" t="s">
        <v>4442</v>
      </c>
      <c r="AJ1033" s="347" t="s">
        <v>4443</v>
      </c>
      <c r="AK1033" s="347" t="s">
        <v>4437</v>
      </c>
      <c r="AL1033" s="387">
        <v>45574</v>
      </c>
    </row>
    <row r="1034" spans="2:38" ht="15.75" outlineLevel="1">
      <c r="B1034" s="345">
        <v>2111</v>
      </c>
      <c r="C1034" s="346">
        <v>173191</v>
      </c>
      <c r="D1034" s="345" t="s">
        <v>944</v>
      </c>
      <c r="E1034" s="347" t="s">
        <v>4240</v>
      </c>
      <c r="F1034" s="343" t="s">
        <v>2484</v>
      </c>
      <c r="I1034" s="345">
        <v>720</v>
      </c>
      <c r="J1034" s="347" t="s">
        <v>2501</v>
      </c>
      <c r="K1034" s="345">
        <v>0</v>
      </c>
      <c r="L1034" s="347" t="s">
        <v>2454</v>
      </c>
      <c r="M1034" s="347"/>
      <c r="N1034" s="347" t="s">
        <v>4446</v>
      </c>
      <c r="O1034" s="347" t="s">
        <v>4441</v>
      </c>
      <c r="P1034" s="347"/>
      <c r="Q1034" s="347"/>
      <c r="R1034" s="347"/>
      <c r="S1034" s="348">
        <v>38420</v>
      </c>
      <c r="T1034" s="348">
        <v>38420</v>
      </c>
      <c r="U1034" s="347">
        <v>52131002</v>
      </c>
      <c r="V1034" s="345">
        <v>700</v>
      </c>
      <c r="W1034" s="345">
        <v>14050</v>
      </c>
      <c r="X1034" s="349">
        <v>28487.52</v>
      </c>
      <c r="Y1034" s="345">
        <v>14056</v>
      </c>
      <c r="Z1034" s="349">
        <v>28487.52</v>
      </c>
      <c r="AA1034" s="349">
        <f t="shared" si="100"/>
        <v>0</v>
      </c>
      <c r="AB1034" s="349">
        <v>0</v>
      </c>
      <c r="AC1034" s="345">
        <v>54260</v>
      </c>
      <c r="AD1034" s="349">
        <v>0</v>
      </c>
      <c r="AE1034" s="345" t="s">
        <v>944</v>
      </c>
      <c r="AF1034" s="347">
        <v>0</v>
      </c>
      <c r="AG1034" s="347"/>
      <c r="AH1034" s="347" t="s">
        <v>57</v>
      </c>
      <c r="AI1034" s="347" t="s">
        <v>4442</v>
      </c>
      <c r="AJ1034" s="347" t="s">
        <v>4443</v>
      </c>
      <c r="AK1034" s="347" t="s">
        <v>4437</v>
      </c>
      <c r="AL1034" s="387">
        <v>45574</v>
      </c>
    </row>
    <row r="1035" spans="2:38" ht="15.75" outlineLevel="1">
      <c r="B1035" s="345">
        <v>2111</v>
      </c>
      <c r="C1035" s="346">
        <v>173190</v>
      </c>
      <c r="D1035" s="345" t="s">
        <v>944</v>
      </c>
      <c r="E1035" s="347" t="s">
        <v>4240</v>
      </c>
      <c r="F1035" s="343" t="s">
        <v>2484</v>
      </c>
      <c r="I1035" s="345">
        <v>720</v>
      </c>
      <c r="J1035" s="347" t="s">
        <v>2503</v>
      </c>
      <c r="K1035" s="345">
        <v>0</v>
      </c>
      <c r="L1035" s="347" t="s">
        <v>2454</v>
      </c>
      <c r="M1035" s="347"/>
      <c r="N1035" s="347" t="s">
        <v>4446</v>
      </c>
      <c r="O1035" s="347" t="s">
        <v>4441</v>
      </c>
      <c r="P1035" s="347"/>
      <c r="Q1035" s="347"/>
      <c r="R1035" s="347"/>
      <c r="S1035" s="348">
        <v>38421</v>
      </c>
      <c r="T1035" s="348">
        <v>38421</v>
      </c>
      <c r="U1035" s="347">
        <v>52131002</v>
      </c>
      <c r="V1035" s="345">
        <v>700</v>
      </c>
      <c r="W1035" s="345">
        <v>14050</v>
      </c>
      <c r="X1035" s="349">
        <v>28487.52</v>
      </c>
      <c r="Y1035" s="345">
        <v>14056</v>
      </c>
      <c r="Z1035" s="349">
        <v>28487.52</v>
      </c>
      <c r="AA1035" s="349">
        <f t="shared" si="100"/>
        <v>0</v>
      </c>
      <c r="AB1035" s="349">
        <v>0</v>
      </c>
      <c r="AC1035" s="345">
        <v>54260</v>
      </c>
      <c r="AD1035" s="349">
        <v>0</v>
      </c>
      <c r="AE1035" s="345" t="s">
        <v>944</v>
      </c>
      <c r="AF1035" s="347">
        <v>0</v>
      </c>
      <c r="AG1035" s="347"/>
      <c r="AH1035" s="347" t="s">
        <v>57</v>
      </c>
      <c r="AI1035" s="347" t="s">
        <v>4442</v>
      </c>
      <c r="AJ1035" s="347" t="s">
        <v>4443</v>
      </c>
      <c r="AK1035" s="347" t="s">
        <v>4437</v>
      </c>
      <c r="AL1035" s="387">
        <v>45574</v>
      </c>
    </row>
    <row r="1036" spans="2:38" ht="15.75" outlineLevel="1">
      <c r="B1036" s="345">
        <v>2111</v>
      </c>
      <c r="C1036" s="346">
        <v>173189</v>
      </c>
      <c r="D1036" s="345" t="s">
        <v>944</v>
      </c>
      <c r="E1036" s="347" t="s">
        <v>4240</v>
      </c>
      <c r="F1036" s="343" t="s">
        <v>2484</v>
      </c>
      <c r="I1036" s="345">
        <v>720</v>
      </c>
      <c r="J1036" s="347" t="s">
        <v>2505</v>
      </c>
      <c r="K1036" s="345">
        <v>0</v>
      </c>
      <c r="L1036" s="347" t="s">
        <v>2454</v>
      </c>
      <c r="M1036" s="347"/>
      <c r="N1036" s="347" t="s">
        <v>4446</v>
      </c>
      <c r="O1036" s="347" t="s">
        <v>4441</v>
      </c>
      <c r="P1036" s="347"/>
      <c r="Q1036" s="347"/>
      <c r="R1036" s="347"/>
      <c r="S1036" s="348">
        <v>38407</v>
      </c>
      <c r="T1036" s="348">
        <v>38407</v>
      </c>
      <c r="U1036" s="347">
        <v>52131002</v>
      </c>
      <c r="V1036" s="345">
        <v>700</v>
      </c>
      <c r="W1036" s="345">
        <v>14050</v>
      </c>
      <c r="X1036" s="349">
        <v>28592.639999999999</v>
      </c>
      <c r="Y1036" s="345">
        <v>14056</v>
      </c>
      <c r="Z1036" s="349">
        <v>28592.639999999999</v>
      </c>
      <c r="AA1036" s="349">
        <f t="shared" si="100"/>
        <v>0</v>
      </c>
      <c r="AB1036" s="349">
        <v>0</v>
      </c>
      <c r="AC1036" s="345">
        <v>54260</v>
      </c>
      <c r="AD1036" s="349">
        <v>0</v>
      </c>
      <c r="AE1036" s="345" t="s">
        <v>944</v>
      </c>
      <c r="AF1036" s="347">
        <v>0</v>
      </c>
      <c r="AG1036" s="347"/>
      <c r="AH1036" s="347" t="s">
        <v>57</v>
      </c>
      <c r="AI1036" s="347" t="s">
        <v>4442</v>
      </c>
      <c r="AJ1036" s="347" t="s">
        <v>4443</v>
      </c>
      <c r="AK1036" s="347" t="s">
        <v>4437</v>
      </c>
      <c r="AL1036" s="387">
        <v>45574</v>
      </c>
    </row>
    <row r="1037" spans="2:38" ht="15.75" outlineLevel="1">
      <c r="B1037" s="345">
        <v>2111</v>
      </c>
      <c r="C1037" s="346">
        <v>173188</v>
      </c>
      <c r="D1037" s="345" t="s">
        <v>944</v>
      </c>
      <c r="E1037" s="347" t="s">
        <v>4240</v>
      </c>
      <c r="F1037" s="343" t="s">
        <v>2484</v>
      </c>
      <c r="I1037" s="345">
        <v>720</v>
      </c>
      <c r="J1037" s="347" t="s">
        <v>2507</v>
      </c>
      <c r="K1037" s="345">
        <v>0</v>
      </c>
      <c r="L1037" s="347" t="s">
        <v>2454</v>
      </c>
      <c r="M1037" s="347"/>
      <c r="N1037" s="347" t="s">
        <v>4446</v>
      </c>
      <c r="O1037" s="347" t="s">
        <v>4441</v>
      </c>
      <c r="P1037" s="347"/>
      <c r="Q1037" s="347"/>
      <c r="R1037" s="347"/>
      <c r="S1037" s="348">
        <v>38407</v>
      </c>
      <c r="T1037" s="348">
        <v>38407</v>
      </c>
      <c r="U1037" s="347">
        <v>52131002</v>
      </c>
      <c r="V1037" s="345">
        <v>700</v>
      </c>
      <c r="W1037" s="345">
        <v>14050</v>
      </c>
      <c r="X1037" s="349">
        <v>28592.639999999999</v>
      </c>
      <c r="Y1037" s="345">
        <v>14056</v>
      </c>
      <c r="Z1037" s="349">
        <v>28592.639999999999</v>
      </c>
      <c r="AA1037" s="349">
        <f t="shared" si="100"/>
        <v>0</v>
      </c>
      <c r="AB1037" s="349">
        <v>0</v>
      </c>
      <c r="AC1037" s="345">
        <v>54260</v>
      </c>
      <c r="AD1037" s="349">
        <v>0</v>
      </c>
      <c r="AE1037" s="345" t="s">
        <v>944</v>
      </c>
      <c r="AF1037" s="347">
        <v>0</v>
      </c>
      <c r="AG1037" s="347"/>
      <c r="AH1037" s="347" t="s">
        <v>57</v>
      </c>
      <c r="AI1037" s="347" t="s">
        <v>4442</v>
      </c>
      <c r="AJ1037" s="347" t="s">
        <v>4443</v>
      </c>
      <c r="AK1037" s="347" t="s">
        <v>4437</v>
      </c>
      <c r="AL1037" s="387">
        <v>45574</v>
      </c>
    </row>
    <row r="1038" spans="2:38" ht="15.75" outlineLevel="1">
      <c r="B1038" s="345">
        <v>2111</v>
      </c>
      <c r="C1038" s="346">
        <v>173187</v>
      </c>
      <c r="D1038" s="345" t="s">
        <v>944</v>
      </c>
      <c r="E1038" s="347" t="s">
        <v>4240</v>
      </c>
      <c r="F1038" s="343" t="s">
        <v>2484</v>
      </c>
      <c r="I1038" s="345">
        <v>720</v>
      </c>
      <c r="J1038" s="347" t="s">
        <v>2509</v>
      </c>
      <c r="K1038" s="345">
        <v>0</v>
      </c>
      <c r="L1038" s="347" t="s">
        <v>2454</v>
      </c>
      <c r="M1038" s="347"/>
      <c r="N1038" s="347" t="s">
        <v>4446</v>
      </c>
      <c r="O1038" s="347" t="s">
        <v>4441</v>
      </c>
      <c r="P1038" s="347"/>
      <c r="Q1038" s="347"/>
      <c r="R1038" s="347"/>
      <c r="S1038" s="348">
        <v>38408</v>
      </c>
      <c r="T1038" s="348">
        <v>38408</v>
      </c>
      <c r="U1038" s="347">
        <v>52131002</v>
      </c>
      <c r="V1038" s="345">
        <v>700</v>
      </c>
      <c r="W1038" s="345">
        <v>14050</v>
      </c>
      <c r="X1038" s="349">
        <v>28592.639999999999</v>
      </c>
      <c r="Y1038" s="345">
        <v>14056</v>
      </c>
      <c r="Z1038" s="349">
        <v>28592.639999999999</v>
      </c>
      <c r="AA1038" s="349">
        <f t="shared" si="100"/>
        <v>0</v>
      </c>
      <c r="AB1038" s="349">
        <v>0</v>
      </c>
      <c r="AC1038" s="345">
        <v>54260</v>
      </c>
      <c r="AD1038" s="349">
        <v>0</v>
      </c>
      <c r="AE1038" s="345" t="s">
        <v>944</v>
      </c>
      <c r="AF1038" s="347">
        <v>0</v>
      </c>
      <c r="AG1038" s="347"/>
      <c r="AH1038" s="347" t="s">
        <v>57</v>
      </c>
      <c r="AI1038" s="347" t="s">
        <v>4442</v>
      </c>
      <c r="AJ1038" s="347" t="s">
        <v>4443</v>
      </c>
      <c r="AK1038" s="347" t="s">
        <v>4437</v>
      </c>
      <c r="AL1038" s="387">
        <v>45574</v>
      </c>
    </row>
    <row r="1039" spans="2:38" ht="15.75" outlineLevel="1">
      <c r="B1039" s="345">
        <v>2111</v>
      </c>
      <c r="C1039" s="346">
        <v>173186</v>
      </c>
      <c r="D1039" s="345" t="s">
        <v>944</v>
      </c>
      <c r="E1039" s="347" t="s">
        <v>4240</v>
      </c>
      <c r="F1039" s="343" t="s">
        <v>2484</v>
      </c>
      <c r="I1039" s="345">
        <v>720</v>
      </c>
      <c r="J1039" s="347" t="s">
        <v>2511</v>
      </c>
      <c r="K1039" s="345">
        <v>0</v>
      </c>
      <c r="L1039" s="347" t="s">
        <v>2454</v>
      </c>
      <c r="M1039" s="347"/>
      <c r="N1039" s="347" t="s">
        <v>4446</v>
      </c>
      <c r="O1039" s="347" t="s">
        <v>4441</v>
      </c>
      <c r="P1039" s="347"/>
      <c r="Q1039" s="347"/>
      <c r="R1039" s="347"/>
      <c r="S1039" s="348">
        <v>38406</v>
      </c>
      <c r="T1039" s="348">
        <v>38406</v>
      </c>
      <c r="U1039" s="347">
        <v>52131002</v>
      </c>
      <c r="V1039" s="345">
        <v>700</v>
      </c>
      <c r="W1039" s="345">
        <v>14050</v>
      </c>
      <c r="X1039" s="349">
        <v>28592.639999999999</v>
      </c>
      <c r="Y1039" s="345">
        <v>14056</v>
      </c>
      <c r="Z1039" s="349">
        <v>28592.639999999999</v>
      </c>
      <c r="AA1039" s="349">
        <f t="shared" si="100"/>
        <v>0</v>
      </c>
      <c r="AB1039" s="349">
        <v>0</v>
      </c>
      <c r="AC1039" s="345">
        <v>54260</v>
      </c>
      <c r="AD1039" s="349">
        <v>0</v>
      </c>
      <c r="AE1039" s="345" t="s">
        <v>944</v>
      </c>
      <c r="AF1039" s="347">
        <v>0</v>
      </c>
      <c r="AG1039" s="347"/>
      <c r="AH1039" s="347" t="s">
        <v>57</v>
      </c>
      <c r="AI1039" s="347" t="s">
        <v>4442</v>
      </c>
      <c r="AJ1039" s="347" t="s">
        <v>4443</v>
      </c>
      <c r="AK1039" s="347" t="s">
        <v>4437</v>
      </c>
      <c r="AL1039" s="387">
        <v>45574</v>
      </c>
    </row>
    <row r="1040" spans="2:38" ht="15.75" outlineLevel="1">
      <c r="B1040" s="345">
        <v>2111</v>
      </c>
      <c r="C1040" s="346">
        <v>173185</v>
      </c>
      <c r="D1040" s="345" t="s">
        <v>944</v>
      </c>
      <c r="E1040" s="347" t="s">
        <v>4240</v>
      </c>
      <c r="F1040" s="343" t="s">
        <v>2484</v>
      </c>
      <c r="I1040" s="345">
        <v>720</v>
      </c>
      <c r="J1040" s="347" t="s">
        <v>2513</v>
      </c>
      <c r="K1040" s="345">
        <v>0</v>
      </c>
      <c r="L1040" s="347" t="s">
        <v>2454</v>
      </c>
      <c r="M1040" s="347"/>
      <c r="N1040" s="347" t="s">
        <v>4446</v>
      </c>
      <c r="O1040" s="347" t="s">
        <v>4441</v>
      </c>
      <c r="P1040" s="347"/>
      <c r="Q1040" s="347"/>
      <c r="R1040" s="347"/>
      <c r="S1040" s="348">
        <v>38414</v>
      </c>
      <c r="T1040" s="348">
        <v>38414</v>
      </c>
      <c r="U1040" s="347">
        <v>52131002</v>
      </c>
      <c r="V1040" s="345">
        <v>700</v>
      </c>
      <c r="W1040" s="345">
        <v>14050</v>
      </c>
      <c r="X1040" s="349">
        <v>28592.639999999999</v>
      </c>
      <c r="Y1040" s="345">
        <v>14056</v>
      </c>
      <c r="Z1040" s="349">
        <v>28592.639999999999</v>
      </c>
      <c r="AA1040" s="349">
        <f t="shared" si="100"/>
        <v>0</v>
      </c>
      <c r="AB1040" s="349">
        <v>0</v>
      </c>
      <c r="AC1040" s="345">
        <v>54260</v>
      </c>
      <c r="AD1040" s="349">
        <v>0</v>
      </c>
      <c r="AE1040" s="345" t="s">
        <v>944</v>
      </c>
      <c r="AF1040" s="347">
        <v>0</v>
      </c>
      <c r="AG1040" s="347"/>
      <c r="AH1040" s="347" t="s">
        <v>57</v>
      </c>
      <c r="AI1040" s="347" t="s">
        <v>4442</v>
      </c>
      <c r="AJ1040" s="347" t="s">
        <v>4443</v>
      </c>
      <c r="AK1040" s="347" t="s">
        <v>4437</v>
      </c>
      <c r="AL1040" s="387">
        <v>45574</v>
      </c>
    </row>
    <row r="1041" spans="2:38" ht="15.75" outlineLevel="1">
      <c r="B1041" s="345">
        <v>2111</v>
      </c>
      <c r="C1041" s="346">
        <v>173184</v>
      </c>
      <c r="D1041" s="345" t="s">
        <v>944</v>
      </c>
      <c r="E1041" s="347" t="s">
        <v>4240</v>
      </c>
      <c r="F1041" s="343" t="s">
        <v>2484</v>
      </c>
      <c r="I1041" s="345">
        <v>720</v>
      </c>
      <c r="J1041" s="347" t="s">
        <v>2515</v>
      </c>
      <c r="K1041" s="345">
        <v>0</v>
      </c>
      <c r="L1041" s="347" t="s">
        <v>2454</v>
      </c>
      <c r="M1041" s="347"/>
      <c r="N1041" s="347" t="s">
        <v>4446</v>
      </c>
      <c r="O1041" s="347" t="s">
        <v>4441</v>
      </c>
      <c r="P1041" s="347"/>
      <c r="Q1041" s="347"/>
      <c r="R1041" s="347"/>
      <c r="S1041" s="348">
        <v>38414</v>
      </c>
      <c r="T1041" s="348">
        <v>38414</v>
      </c>
      <c r="U1041" s="347">
        <v>52131002</v>
      </c>
      <c r="V1041" s="345">
        <v>700</v>
      </c>
      <c r="W1041" s="345">
        <v>14050</v>
      </c>
      <c r="X1041" s="349">
        <v>28592.639999999999</v>
      </c>
      <c r="Y1041" s="345">
        <v>14056</v>
      </c>
      <c r="Z1041" s="349">
        <v>28592.639999999999</v>
      </c>
      <c r="AA1041" s="349">
        <f t="shared" si="100"/>
        <v>0</v>
      </c>
      <c r="AB1041" s="349">
        <v>0</v>
      </c>
      <c r="AC1041" s="345">
        <v>54260</v>
      </c>
      <c r="AD1041" s="349">
        <v>0</v>
      </c>
      <c r="AE1041" s="345" t="s">
        <v>944</v>
      </c>
      <c r="AF1041" s="347">
        <v>0</v>
      </c>
      <c r="AG1041" s="347"/>
      <c r="AH1041" s="347" t="s">
        <v>57</v>
      </c>
      <c r="AI1041" s="347" t="s">
        <v>4442</v>
      </c>
      <c r="AJ1041" s="347" t="s">
        <v>4443</v>
      </c>
      <c r="AK1041" s="347" t="s">
        <v>4437</v>
      </c>
      <c r="AL1041" s="387">
        <v>45574</v>
      </c>
    </row>
    <row r="1042" spans="2:38" ht="15.75" outlineLevel="1">
      <c r="B1042" s="345">
        <v>2111</v>
      </c>
      <c r="C1042" s="346">
        <v>173183</v>
      </c>
      <c r="D1042" s="345" t="s">
        <v>944</v>
      </c>
      <c r="E1042" s="347" t="s">
        <v>4240</v>
      </c>
      <c r="F1042" s="343" t="s">
        <v>2484</v>
      </c>
      <c r="I1042" s="345">
        <v>720</v>
      </c>
      <c r="J1042" s="347" t="s">
        <v>2517</v>
      </c>
      <c r="K1042" s="345">
        <v>0</v>
      </c>
      <c r="L1042" s="347" t="s">
        <v>2454</v>
      </c>
      <c r="M1042" s="347"/>
      <c r="N1042" s="347" t="s">
        <v>4446</v>
      </c>
      <c r="O1042" s="347" t="s">
        <v>4441</v>
      </c>
      <c r="P1042" s="347"/>
      <c r="Q1042" s="347"/>
      <c r="R1042" s="347"/>
      <c r="S1042" s="348">
        <v>38413</v>
      </c>
      <c r="T1042" s="348">
        <v>38413</v>
      </c>
      <c r="U1042" s="347">
        <v>52131002</v>
      </c>
      <c r="V1042" s="345">
        <v>700</v>
      </c>
      <c r="W1042" s="345">
        <v>14050</v>
      </c>
      <c r="X1042" s="349">
        <v>28592.639999999999</v>
      </c>
      <c r="Y1042" s="345">
        <v>14056</v>
      </c>
      <c r="Z1042" s="349">
        <v>28592.639999999999</v>
      </c>
      <c r="AA1042" s="349">
        <f t="shared" si="100"/>
        <v>0</v>
      </c>
      <c r="AB1042" s="349">
        <v>0</v>
      </c>
      <c r="AC1042" s="345">
        <v>54260</v>
      </c>
      <c r="AD1042" s="349">
        <v>0</v>
      </c>
      <c r="AE1042" s="345" t="s">
        <v>944</v>
      </c>
      <c r="AF1042" s="347">
        <v>0</v>
      </c>
      <c r="AG1042" s="347"/>
      <c r="AH1042" s="347" t="s">
        <v>57</v>
      </c>
      <c r="AI1042" s="347" t="s">
        <v>4442</v>
      </c>
      <c r="AJ1042" s="347" t="s">
        <v>4443</v>
      </c>
      <c r="AK1042" s="347" t="s">
        <v>4437</v>
      </c>
      <c r="AL1042" s="387">
        <v>45574</v>
      </c>
    </row>
    <row r="1043" spans="2:38" ht="15.75" outlineLevel="1">
      <c r="B1043" s="345">
        <v>2111</v>
      </c>
      <c r="C1043" s="346">
        <v>173182</v>
      </c>
      <c r="D1043" s="345" t="s">
        <v>944</v>
      </c>
      <c r="E1043" s="347" t="s">
        <v>4240</v>
      </c>
      <c r="F1043" s="343" t="s">
        <v>2484</v>
      </c>
      <c r="I1043" s="345">
        <v>720</v>
      </c>
      <c r="J1043" s="347" t="s">
        <v>2519</v>
      </c>
      <c r="K1043" s="345">
        <v>0</v>
      </c>
      <c r="L1043" s="347" t="s">
        <v>2454</v>
      </c>
      <c r="M1043" s="347"/>
      <c r="N1043" s="347" t="s">
        <v>4446</v>
      </c>
      <c r="O1043" s="347" t="s">
        <v>4441</v>
      </c>
      <c r="P1043" s="347"/>
      <c r="Q1043" s="347"/>
      <c r="R1043" s="347"/>
      <c r="S1043" s="348">
        <v>38419</v>
      </c>
      <c r="T1043" s="348">
        <v>38419</v>
      </c>
      <c r="U1043" s="347">
        <v>52131002</v>
      </c>
      <c r="V1043" s="345">
        <v>700</v>
      </c>
      <c r="W1043" s="345">
        <v>14050</v>
      </c>
      <c r="X1043" s="349">
        <v>28592.639999999999</v>
      </c>
      <c r="Y1043" s="345">
        <v>14056</v>
      </c>
      <c r="Z1043" s="349">
        <v>28592.639999999999</v>
      </c>
      <c r="AA1043" s="349">
        <f t="shared" si="100"/>
        <v>0</v>
      </c>
      <c r="AB1043" s="349">
        <v>0</v>
      </c>
      <c r="AC1043" s="345">
        <v>54260</v>
      </c>
      <c r="AD1043" s="349">
        <v>0</v>
      </c>
      <c r="AE1043" s="345" t="s">
        <v>944</v>
      </c>
      <c r="AF1043" s="347">
        <v>0</v>
      </c>
      <c r="AG1043" s="347"/>
      <c r="AH1043" s="347" t="s">
        <v>57</v>
      </c>
      <c r="AI1043" s="347" t="s">
        <v>4442</v>
      </c>
      <c r="AJ1043" s="347" t="s">
        <v>4443</v>
      </c>
      <c r="AK1043" s="347" t="s">
        <v>4437</v>
      </c>
      <c r="AL1043" s="387">
        <v>45574</v>
      </c>
    </row>
    <row r="1044" spans="2:38" ht="15.75" outlineLevel="1">
      <c r="B1044" s="345">
        <v>2111</v>
      </c>
      <c r="C1044" s="346">
        <v>173181</v>
      </c>
      <c r="D1044" s="345" t="s">
        <v>944</v>
      </c>
      <c r="E1044" s="347" t="s">
        <v>4240</v>
      </c>
      <c r="F1044" s="343" t="s">
        <v>2484</v>
      </c>
      <c r="I1044" s="345">
        <v>720</v>
      </c>
      <c r="J1044" s="347" t="s">
        <v>2521</v>
      </c>
      <c r="K1044" s="345">
        <v>0</v>
      </c>
      <c r="L1044" s="347" t="s">
        <v>2454</v>
      </c>
      <c r="M1044" s="347"/>
      <c r="N1044" s="347" t="s">
        <v>4446</v>
      </c>
      <c r="O1044" s="347" t="s">
        <v>4441</v>
      </c>
      <c r="P1044" s="347"/>
      <c r="Q1044" s="347"/>
      <c r="R1044" s="347"/>
      <c r="S1044" s="348">
        <v>38419</v>
      </c>
      <c r="T1044" s="348">
        <v>38419</v>
      </c>
      <c r="U1044" s="347">
        <v>52131002</v>
      </c>
      <c r="V1044" s="345">
        <v>700</v>
      </c>
      <c r="W1044" s="345">
        <v>14050</v>
      </c>
      <c r="X1044" s="349">
        <v>28592.639999999999</v>
      </c>
      <c r="Y1044" s="345">
        <v>14056</v>
      </c>
      <c r="Z1044" s="349">
        <v>28592.639999999999</v>
      </c>
      <c r="AA1044" s="349">
        <f t="shared" si="100"/>
        <v>0</v>
      </c>
      <c r="AB1044" s="349">
        <v>0</v>
      </c>
      <c r="AC1044" s="345">
        <v>54260</v>
      </c>
      <c r="AD1044" s="349">
        <v>0</v>
      </c>
      <c r="AE1044" s="345" t="s">
        <v>944</v>
      </c>
      <c r="AF1044" s="347">
        <v>0</v>
      </c>
      <c r="AG1044" s="347"/>
      <c r="AH1044" s="347" t="s">
        <v>57</v>
      </c>
      <c r="AI1044" s="347" t="s">
        <v>4442</v>
      </c>
      <c r="AJ1044" s="347" t="s">
        <v>4443</v>
      </c>
      <c r="AK1044" s="347" t="s">
        <v>4437</v>
      </c>
      <c r="AL1044" s="387">
        <v>45574</v>
      </c>
    </row>
    <row r="1045" spans="2:38" ht="15.75" outlineLevel="1">
      <c r="B1045" s="345">
        <v>2111</v>
      </c>
      <c r="C1045" s="346">
        <v>173180</v>
      </c>
      <c r="D1045" s="345" t="s">
        <v>944</v>
      </c>
      <c r="E1045" s="347" t="s">
        <v>4240</v>
      </c>
      <c r="F1045" s="343" t="s">
        <v>2484</v>
      </c>
      <c r="I1045" s="345">
        <v>720</v>
      </c>
      <c r="J1045" s="347" t="s">
        <v>2523</v>
      </c>
      <c r="K1045" s="345">
        <v>0</v>
      </c>
      <c r="L1045" s="347" t="s">
        <v>2454</v>
      </c>
      <c r="M1045" s="347"/>
      <c r="N1045" s="347" t="s">
        <v>4446</v>
      </c>
      <c r="O1045" s="347" t="s">
        <v>4441</v>
      </c>
      <c r="P1045" s="347"/>
      <c r="Q1045" s="347"/>
      <c r="R1045" s="347"/>
      <c r="S1045" s="348">
        <v>38421</v>
      </c>
      <c r="T1045" s="348">
        <v>38421</v>
      </c>
      <c r="U1045" s="347">
        <v>52131002</v>
      </c>
      <c r="V1045" s="345">
        <v>700</v>
      </c>
      <c r="W1045" s="345">
        <v>14050</v>
      </c>
      <c r="X1045" s="349">
        <v>28592.639999999999</v>
      </c>
      <c r="Y1045" s="345">
        <v>14056</v>
      </c>
      <c r="Z1045" s="349">
        <v>28592.639999999999</v>
      </c>
      <c r="AA1045" s="349">
        <f t="shared" si="100"/>
        <v>0</v>
      </c>
      <c r="AB1045" s="349">
        <v>0</v>
      </c>
      <c r="AC1045" s="345">
        <v>54260</v>
      </c>
      <c r="AD1045" s="349">
        <v>0</v>
      </c>
      <c r="AE1045" s="345" t="s">
        <v>944</v>
      </c>
      <c r="AF1045" s="347">
        <v>0</v>
      </c>
      <c r="AG1045" s="347"/>
      <c r="AH1045" s="347" t="s">
        <v>57</v>
      </c>
      <c r="AI1045" s="347" t="s">
        <v>4442</v>
      </c>
      <c r="AJ1045" s="347" t="s">
        <v>4443</v>
      </c>
      <c r="AK1045" s="347" t="s">
        <v>4437</v>
      </c>
      <c r="AL1045" s="387">
        <v>45574</v>
      </c>
    </row>
    <row r="1046" spans="2:38" ht="15.75" outlineLevel="1">
      <c r="B1046" s="345">
        <v>2111</v>
      </c>
      <c r="C1046" s="346">
        <v>173179</v>
      </c>
      <c r="D1046" s="345" t="s">
        <v>944</v>
      </c>
      <c r="E1046" s="347" t="s">
        <v>4240</v>
      </c>
      <c r="F1046" s="343" t="s">
        <v>2484</v>
      </c>
      <c r="I1046" s="345">
        <v>720</v>
      </c>
      <c r="J1046" s="347" t="s">
        <v>2525</v>
      </c>
      <c r="K1046" s="345">
        <v>0</v>
      </c>
      <c r="L1046" s="347" t="s">
        <v>2454</v>
      </c>
      <c r="M1046" s="347"/>
      <c r="N1046" s="347" t="s">
        <v>4446</v>
      </c>
      <c r="O1046" s="347" t="s">
        <v>4441</v>
      </c>
      <c r="P1046" s="347"/>
      <c r="Q1046" s="347"/>
      <c r="R1046" s="347"/>
      <c r="S1046" s="348">
        <v>38415</v>
      </c>
      <c r="T1046" s="348">
        <v>38415</v>
      </c>
      <c r="U1046" s="347">
        <v>52131002</v>
      </c>
      <c r="V1046" s="345">
        <v>700</v>
      </c>
      <c r="W1046" s="345">
        <v>14050</v>
      </c>
      <c r="X1046" s="349">
        <v>28592.639999999999</v>
      </c>
      <c r="Y1046" s="345">
        <v>14056</v>
      </c>
      <c r="Z1046" s="349">
        <v>28592.639999999999</v>
      </c>
      <c r="AA1046" s="349">
        <f t="shared" si="100"/>
        <v>0</v>
      </c>
      <c r="AB1046" s="349">
        <v>0</v>
      </c>
      <c r="AC1046" s="345">
        <v>54260</v>
      </c>
      <c r="AD1046" s="349">
        <v>0</v>
      </c>
      <c r="AE1046" s="345" t="s">
        <v>944</v>
      </c>
      <c r="AF1046" s="347">
        <v>0</v>
      </c>
      <c r="AG1046" s="347"/>
      <c r="AH1046" s="347" t="s">
        <v>57</v>
      </c>
      <c r="AI1046" s="347" t="s">
        <v>4442</v>
      </c>
      <c r="AJ1046" s="347" t="s">
        <v>4443</v>
      </c>
      <c r="AK1046" s="347" t="s">
        <v>4437</v>
      </c>
      <c r="AL1046" s="387">
        <v>45574</v>
      </c>
    </row>
    <row r="1047" spans="2:38" ht="15.75" outlineLevel="1">
      <c r="B1047" s="345">
        <v>2111</v>
      </c>
      <c r="C1047" s="346">
        <v>173178</v>
      </c>
      <c r="D1047" s="345" t="s">
        <v>944</v>
      </c>
      <c r="E1047" s="347" t="s">
        <v>4240</v>
      </c>
      <c r="F1047" s="343" t="s">
        <v>2484</v>
      </c>
      <c r="I1047" s="345">
        <v>720</v>
      </c>
      <c r="J1047" s="347" t="s">
        <v>2527</v>
      </c>
      <c r="K1047" s="345">
        <v>0</v>
      </c>
      <c r="L1047" s="347" t="s">
        <v>2454</v>
      </c>
      <c r="M1047" s="347"/>
      <c r="N1047" s="347" t="s">
        <v>4446</v>
      </c>
      <c r="O1047" s="347" t="s">
        <v>4441</v>
      </c>
      <c r="P1047" s="347"/>
      <c r="Q1047" s="347"/>
      <c r="R1047" s="347"/>
      <c r="S1047" s="348">
        <v>38420</v>
      </c>
      <c r="T1047" s="348">
        <v>38420</v>
      </c>
      <c r="U1047" s="347">
        <v>52131002</v>
      </c>
      <c r="V1047" s="345">
        <v>700</v>
      </c>
      <c r="W1047" s="345">
        <v>14050</v>
      </c>
      <c r="X1047" s="349">
        <v>28592.639999999999</v>
      </c>
      <c r="Y1047" s="345">
        <v>14056</v>
      </c>
      <c r="Z1047" s="349">
        <v>28592.639999999999</v>
      </c>
      <c r="AA1047" s="349">
        <f t="shared" si="100"/>
        <v>0</v>
      </c>
      <c r="AB1047" s="349">
        <v>0</v>
      </c>
      <c r="AC1047" s="345">
        <v>54260</v>
      </c>
      <c r="AD1047" s="349">
        <v>0</v>
      </c>
      <c r="AE1047" s="345" t="s">
        <v>944</v>
      </c>
      <c r="AF1047" s="347">
        <v>0</v>
      </c>
      <c r="AG1047" s="347"/>
      <c r="AH1047" s="347" t="s">
        <v>57</v>
      </c>
      <c r="AI1047" s="347" t="s">
        <v>4442</v>
      </c>
      <c r="AJ1047" s="347" t="s">
        <v>4443</v>
      </c>
      <c r="AK1047" s="347" t="s">
        <v>4437</v>
      </c>
      <c r="AL1047" s="387">
        <v>45574</v>
      </c>
    </row>
    <row r="1048" spans="2:38" ht="15.75" outlineLevel="1">
      <c r="B1048" s="345">
        <v>2111</v>
      </c>
      <c r="C1048" s="346">
        <v>173177</v>
      </c>
      <c r="D1048" s="345" t="s">
        <v>944</v>
      </c>
      <c r="E1048" s="347" t="s">
        <v>4240</v>
      </c>
      <c r="F1048" s="343" t="s">
        <v>2529</v>
      </c>
      <c r="I1048" s="345">
        <v>432</v>
      </c>
      <c r="J1048" s="347" t="s">
        <v>2530</v>
      </c>
      <c r="K1048" s="345">
        <v>0</v>
      </c>
      <c r="L1048" s="347" t="s">
        <v>2222</v>
      </c>
      <c r="M1048" s="347"/>
      <c r="N1048" s="347" t="s">
        <v>4446</v>
      </c>
      <c r="O1048" s="347" t="s">
        <v>4441</v>
      </c>
      <c r="P1048" s="347"/>
      <c r="Q1048" s="347"/>
      <c r="R1048" s="347"/>
      <c r="S1048" s="348">
        <v>38442</v>
      </c>
      <c r="T1048" s="348">
        <v>38442</v>
      </c>
      <c r="U1048" s="347">
        <v>52131004</v>
      </c>
      <c r="V1048" s="345">
        <v>700</v>
      </c>
      <c r="W1048" s="345">
        <v>14050</v>
      </c>
      <c r="X1048" s="349">
        <v>19270.66</v>
      </c>
      <c r="Y1048" s="345">
        <v>14056</v>
      </c>
      <c r="Z1048" s="349">
        <v>19270.66</v>
      </c>
      <c r="AA1048" s="349">
        <f t="shared" si="100"/>
        <v>0</v>
      </c>
      <c r="AB1048" s="349">
        <v>0</v>
      </c>
      <c r="AC1048" s="345">
        <v>54260</v>
      </c>
      <c r="AD1048" s="349">
        <v>0</v>
      </c>
      <c r="AE1048" s="345" t="s">
        <v>944</v>
      </c>
      <c r="AF1048" s="347">
        <v>0</v>
      </c>
      <c r="AG1048" s="347"/>
      <c r="AH1048" s="347" t="s">
        <v>57</v>
      </c>
      <c r="AI1048" s="347" t="s">
        <v>4442</v>
      </c>
      <c r="AJ1048" s="347" t="s">
        <v>4443</v>
      </c>
      <c r="AK1048" s="347" t="s">
        <v>4437</v>
      </c>
      <c r="AL1048" s="387">
        <v>45574</v>
      </c>
    </row>
    <row r="1049" spans="2:38" ht="15.75" outlineLevel="1">
      <c r="B1049" s="345">
        <v>2111</v>
      </c>
      <c r="C1049" s="346">
        <v>173176</v>
      </c>
      <c r="D1049" s="345" t="s">
        <v>944</v>
      </c>
      <c r="E1049" s="347" t="s">
        <v>4240</v>
      </c>
      <c r="F1049" s="343" t="s">
        <v>2529</v>
      </c>
      <c r="I1049" s="345">
        <v>432</v>
      </c>
      <c r="J1049" s="347" t="s">
        <v>2532</v>
      </c>
      <c r="K1049" s="345">
        <v>0</v>
      </c>
      <c r="L1049" s="347" t="s">
        <v>2222</v>
      </c>
      <c r="M1049" s="347"/>
      <c r="N1049" s="347" t="s">
        <v>4446</v>
      </c>
      <c r="O1049" s="347" t="s">
        <v>4441</v>
      </c>
      <c r="P1049" s="347"/>
      <c r="Q1049" s="347"/>
      <c r="R1049" s="347"/>
      <c r="S1049" s="348">
        <v>38441</v>
      </c>
      <c r="T1049" s="348">
        <v>38441</v>
      </c>
      <c r="U1049" s="347">
        <v>52131004</v>
      </c>
      <c r="V1049" s="345">
        <v>700</v>
      </c>
      <c r="W1049" s="345">
        <v>14050</v>
      </c>
      <c r="X1049" s="349">
        <v>19270.66</v>
      </c>
      <c r="Y1049" s="345">
        <v>14056</v>
      </c>
      <c r="Z1049" s="349">
        <v>19270.66</v>
      </c>
      <c r="AA1049" s="349">
        <f t="shared" si="100"/>
        <v>0</v>
      </c>
      <c r="AB1049" s="349">
        <v>0</v>
      </c>
      <c r="AC1049" s="345">
        <v>54260</v>
      </c>
      <c r="AD1049" s="349">
        <v>0</v>
      </c>
      <c r="AE1049" s="345" t="s">
        <v>944</v>
      </c>
      <c r="AF1049" s="347">
        <v>0</v>
      </c>
      <c r="AG1049" s="347"/>
      <c r="AH1049" s="347" t="s">
        <v>57</v>
      </c>
      <c r="AI1049" s="347" t="s">
        <v>4442</v>
      </c>
      <c r="AJ1049" s="347" t="s">
        <v>4443</v>
      </c>
      <c r="AK1049" s="347" t="s">
        <v>4437</v>
      </c>
      <c r="AL1049" s="387">
        <v>45574</v>
      </c>
    </row>
    <row r="1050" spans="2:38" ht="15.75" outlineLevel="1">
      <c r="B1050" s="345">
        <v>2111</v>
      </c>
      <c r="C1050" s="346">
        <v>173175</v>
      </c>
      <c r="D1050" s="345" t="s">
        <v>944</v>
      </c>
      <c r="E1050" s="347" t="s">
        <v>4240</v>
      </c>
      <c r="F1050" s="343" t="s">
        <v>2534</v>
      </c>
      <c r="I1050" s="345">
        <v>1</v>
      </c>
      <c r="J1050" s="347" t="s">
        <v>2479</v>
      </c>
      <c r="K1050" s="345">
        <v>2005</v>
      </c>
      <c r="L1050" s="347"/>
      <c r="M1050" s="347"/>
      <c r="N1050" s="347" t="s">
        <v>4445</v>
      </c>
      <c r="O1050" s="347" t="s">
        <v>4441</v>
      </c>
      <c r="P1050" s="347" t="s">
        <v>1467</v>
      </c>
      <c r="Q1050" s="347"/>
      <c r="R1050" s="347"/>
      <c r="S1050" s="348">
        <v>38385</v>
      </c>
      <c r="T1050" s="348">
        <v>38385</v>
      </c>
      <c r="U1050" s="347">
        <v>52131001</v>
      </c>
      <c r="V1050" s="345">
        <v>1000</v>
      </c>
      <c r="W1050" s="345">
        <v>14040</v>
      </c>
      <c r="X1050" s="349">
        <v>97960.58</v>
      </c>
      <c r="Y1050" s="345">
        <v>14046</v>
      </c>
      <c r="Z1050" s="349">
        <v>97960.58</v>
      </c>
      <c r="AA1050" s="349">
        <f t="shared" si="100"/>
        <v>0</v>
      </c>
      <c r="AB1050" s="349">
        <v>0</v>
      </c>
      <c r="AC1050" s="345">
        <v>51260</v>
      </c>
      <c r="AD1050" s="349">
        <v>0</v>
      </c>
      <c r="AE1050" s="345" t="s">
        <v>944</v>
      </c>
      <c r="AF1050" s="347">
        <v>0</v>
      </c>
      <c r="AG1050" s="347">
        <v>801</v>
      </c>
      <c r="AH1050" s="347" t="s">
        <v>57</v>
      </c>
      <c r="AI1050" s="347" t="s">
        <v>4442</v>
      </c>
      <c r="AJ1050" s="347" t="s">
        <v>4443</v>
      </c>
      <c r="AK1050" s="347" t="s">
        <v>4437</v>
      </c>
      <c r="AL1050" s="387">
        <v>45574</v>
      </c>
    </row>
    <row r="1051" spans="2:38" ht="15.75" outlineLevel="1">
      <c r="B1051" s="345">
        <v>2111</v>
      </c>
      <c r="C1051" s="346">
        <v>173174</v>
      </c>
      <c r="D1051" s="345" t="s">
        <v>944</v>
      </c>
      <c r="E1051" s="347" t="s">
        <v>4240</v>
      </c>
      <c r="F1051" s="343" t="s">
        <v>2534</v>
      </c>
      <c r="I1051" s="345">
        <v>1</v>
      </c>
      <c r="J1051" s="347" t="s">
        <v>2476</v>
      </c>
      <c r="K1051" s="345">
        <v>2005</v>
      </c>
      <c r="L1051" s="347"/>
      <c r="M1051" s="347"/>
      <c r="N1051" s="347" t="s">
        <v>4445</v>
      </c>
      <c r="O1051" s="347" t="s">
        <v>4441</v>
      </c>
      <c r="P1051" s="347" t="s">
        <v>1467</v>
      </c>
      <c r="Q1051" s="347"/>
      <c r="R1051" s="347"/>
      <c r="S1051" s="348">
        <v>38385</v>
      </c>
      <c r="T1051" s="348">
        <v>38385</v>
      </c>
      <c r="U1051" s="347">
        <v>52131001</v>
      </c>
      <c r="V1051" s="345">
        <v>1000</v>
      </c>
      <c r="W1051" s="345">
        <v>14040</v>
      </c>
      <c r="X1051" s="349">
        <v>97960.57</v>
      </c>
      <c r="Y1051" s="345">
        <v>14046</v>
      </c>
      <c r="Z1051" s="349">
        <v>97960.57</v>
      </c>
      <c r="AA1051" s="349">
        <f t="shared" si="100"/>
        <v>0</v>
      </c>
      <c r="AB1051" s="349">
        <v>0</v>
      </c>
      <c r="AC1051" s="345">
        <v>51260</v>
      </c>
      <c r="AD1051" s="349">
        <v>0</v>
      </c>
      <c r="AE1051" s="345" t="s">
        <v>944</v>
      </c>
      <c r="AF1051" s="347">
        <v>0</v>
      </c>
      <c r="AG1051" s="347"/>
      <c r="AH1051" s="347" t="s">
        <v>57</v>
      </c>
      <c r="AI1051" s="347" t="s">
        <v>4442</v>
      </c>
      <c r="AJ1051" s="347" t="s">
        <v>4443</v>
      </c>
      <c r="AK1051" s="347" t="s">
        <v>4437</v>
      </c>
      <c r="AL1051" s="387">
        <v>45574</v>
      </c>
    </row>
    <row r="1052" spans="2:38" ht="15.75" outlineLevel="1">
      <c r="B1052" s="345">
        <v>2111</v>
      </c>
      <c r="C1052" s="346">
        <v>173171</v>
      </c>
      <c r="D1052" s="345" t="s">
        <v>944</v>
      </c>
      <c r="E1052" s="347" t="s">
        <v>4240</v>
      </c>
      <c r="F1052" s="343" t="s">
        <v>2535</v>
      </c>
      <c r="I1052" s="345">
        <v>1164</v>
      </c>
      <c r="J1052" s="347" t="s">
        <v>2536</v>
      </c>
      <c r="K1052" s="345">
        <v>2004</v>
      </c>
      <c r="L1052" s="347" t="s">
        <v>2537</v>
      </c>
      <c r="M1052" s="347" t="s">
        <v>2214</v>
      </c>
      <c r="N1052" s="347" t="s">
        <v>4446</v>
      </c>
      <c r="O1052" s="347" t="s">
        <v>4441</v>
      </c>
      <c r="P1052" s="347"/>
      <c r="Q1052" s="347"/>
      <c r="R1052" s="347"/>
      <c r="S1052" s="348">
        <v>38047</v>
      </c>
      <c r="T1052" s="348">
        <v>38047</v>
      </c>
      <c r="U1052" s="347">
        <v>42131002</v>
      </c>
      <c r="V1052" s="345">
        <v>700</v>
      </c>
      <c r="W1052" s="345">
        <v>14050</v>
      </c>
      <c r="X1052" s="349">
        <v>50024.06</v>
      </c>
      <c r="Y1052" s="345">
        <v>14056</v>
      </c>
      <c r="Z1052" s="349">
        <v>50024.06</v>
      </c>
      <c r="AA1052" s="349">
        <f t="shared" si="100"/>
        <v>0</v>
      </c>
      <c r="AB1052" s="349">
        <v>0</v>
      </c>
      <c r="AC1052" s="345">
        <v>54260</v>
      </c>
      <c r="AD1052" s="349">
        <v>0</v>
      </c>
      <c r="AE1052" s="345" t="s">
        <v>410</v>
      </c>
      <c r="AF1052" s="347">
        <v>0</v>
      </c>
      <c r="AG1052" s="347" t="s">
        <v>2206</v>
      </c>
      <c r="AH1052" s="347" t="s">
        <v>57</v>
      </c>
      <c r="AI1052" s="347" t="s">
        <v>4442</v>
      </c>
      <c r="AJ1052" s="347" t="s">
        <v>4443</v>
      </c>
      <c r="AK1052" s="347" t="s">
        <v>4437</v>
      </c>
      <c r="AL1052" s="387">
        <v>45574</v>
      </c>
    </row>
    <row r="1053" spans="2:38" ht="15.75" outlineLevel="1">
      <c r="B1053" s="345">
        <v>2111</v>
      </c>
      <c r="C1053" s="346">
        <v>173170</v>
      </c>
      <c r="D1053" s="345" t="s">
        <v>944</v>
      </c>
      <c r="E1053" s="347" t="s">
        <v>4240</v>
      </c>
      <c r="F1053" s="343" t="s">
        <v>708</v>
      </c>
      <c r="I1053" s="345">
        <v>6</v>
      </c>
      <c r="J1053" s="347"/>
      <c r="K1053" s="345">
        <v>0</v>
      </c>
      <c r="L1053" s="347" t="s">
        <v>2539</v>
      </c>
      <c r="M1053" s="347"/>
      <c r="N1053" s="347" t="s">
        <v>4446</v>
      </c>
      <c r="O1053" s="347" t="s">
        <v>4441</v>
      </c>
      <c r="P1053" s="347"/>
      <c r="Q1053" s="347" t="s">
        <v>4449</v>
      </c>
      <c r="R1053" s="347" t="s">
        <v>4450</v>
      </c>
      <c r="S1053" s="348">
        <v>37986</v>
      </c>
      <c r="T1053" s="348">
        <v>37986</v>
      </c>
      <c r="U1053" s="347" t="s">
        <v>2540</v>
      </c>
      <c r="V1053" s="345">
        <v>1200</v>
      </c>
      <c r="W1053" s="345">
        <v>14050</v>
      </c>
      <c r="X1053" s="349">
        <v>1955.14</v>
      </c>
      <c r="Y1053" s="345">
        <v>14056</v>
      </c>
      <c r="Z1053" s="349">
        <v>1955.14</v>
      </c>
      <c r="AA1053" s="349">
        <f t="shared" si="100"/>
        <v>0</v>
      </c>
      <c r="AB1053" s="349">
        <v>0</v>
      </c>
      <c r="AC1053" s="345">
        <v>54260</v>
      </c>
      <c r="AD1053" s="349">
        <v>0</v>
      </c>
      <c r="AE1053" s="345" t="s">
        <v>944</v>
      </c>
      <c r="AF1053" s="347"/>
      <c r="AG1053" s="347"/>
      <c r="AH1053" s="347" t="s">
        <v>57</v>
      </c>
      <c r="AI1053" s="347" t="s">
        <v>4442</v>
      </c>
      <c r="AJ1053" s="347" t="s">
        <v>4443</v>
      </c>
      <c r="AK1053" s="347" t="s">
        <v>4437</v>
      </c>
      <c r="AL1053" s="387">
        <v>45574</v>
      </c>
    </row>
    <row r="1054" spans="2:38" ht="15.75" outlineLevel="1">
      <c r="B1054" s="345">
        <v>2111</v>
      </c>
      <c r="C1054" s="346">
        <v>173167</v>
      </c>
      <c r="D1054" s="345" t="s">
        <v>944</v>
      </c>
      <c r="E1054" s="347" t="s">
        <v>4240</v>
      </c>
      <c r="F1054" s="343" t="s">
        <v>676</v>
      </c>
      <c r="I1054" s="345">
        <v>5</v>
      </c>
      <c r="J1054" s="347"/>
      <c r="K1054" s="345">
        <v>0</v>
      </c>
      <c r="L1054" s="347" t="s">
        <v>2539</v>
      </c>
      <c r="M1054" s="347"/>
      <c r="N1054" s="347" t="s">
        <v>4446</v>
      </c>
      <c r="O1054" s="347" t="s">
        <v>4441</v>
      </c>
      <c r="P1054" s="347"/>
      <c r="Q1054" s="347" t="s">
        <v>4464</v>
      </c>
      <c r="R1054" s="347" t="s">
        <v>4450</v>
      </c>
      <c r="S1054" s="348">
        <v>37833</v>
      </c>
      <c r="T1054" s="348">
        <v>37833</v>
      </c>
      <c r="U1054" s="347" t="s">
        <v>2541</v>
      </c>
      <c r="V1054" s="345">
        <v>1200</v>
      </c>
      <c r="W1054" s="345">
        <v>14050</v>
      </c>
      <c r="X1054" s="349">
        <v>2357.6</v>
      </c>
      <c r="Y1054" s="345">
        <v>14056</v>
      </c>
      <c r="Z1054" s="349">
        <v>2357.6</v>
      </c>
      <c r="AA1054" s="349">
        <f t="shared" si="100"/>
        <v>0</v>
      </c>
      <c r="AB1054" s="349">
        <v>0</v>
      </c>
      <c r="AC1054" s="345">
        <v>54260</v>
      </c>
      <c r="AD1054" s="349">
        <v>0</v>
      </c>
      <c r="AE1054" s="345" t="s">
        <v>944</v>
      </c>
      <c r="AF1054" s="347"/>
      <c r="AG1054" s="347"/>
      <c r="AH1054" s="347" t="s">
        <v>57</v>
      </c>
      <c r="AI1054" s="347" t="s">
        <v>4442</v>
      </c>
      <c r="AJ1054" s="347" t="s">
        <v>4443</v>
      </c>
      <c r="AK1054" s="347" t="s">
        <v>4437</v>
      </c>
      <c r="AL1054" s="387">
        <v>45574</v>
      </c>
    </row>
    <row r="1055" spans="2:38" ht="15.75" outlineLevel="1">
      <c r="B1055" s="345">
        <v>2111</v>
      </c>
      <c r="C1055" s="346">
        <v>173166</v>
      </c>
      <c r="D1055" s="345" t="s">
        <v>944</v>
      </c>
      <c r="E1055" s="347" t="s">
        <v>4240</v>
      </c>
      <c r="F1055" s="343" t="s">
        <v>1277</v>
      </c>
      <c r="I1055" s="345">
        <v>1</v>
      </c>
      <c r="J1055" s="347" t="s">
        <v>2543</v>
      </c>
      <c r="K1055" s="345">
        <v>2003</v>
      </c>
      <c r="L1055" s="347" t="s">
        <v>2378</v>
      </c>
      <c r="M1055" s="347" t="s">
        <v>1522</v>
      </c>
      <c r="N1055" s="347" t="s">
        <v>4445</v>
      </c>
      <c r="O1055" s="347" t="s">
        <v>4441</v>
      </c>
      <c r="P1055" s="347" t="s">
        <v>4463</v>
      </c>
      <c r="Q1055" s="347"/>
      <c r="R1055" s="347"/>
      <c r="S1055" s="348">
        <v>37712</v>
      </c>
      <c r="T1055" s="348">
        <v>37652</v>
      </c>
      <c r="U1055" s="347" t="s">
        <v>2544</v>
      </c>
      <c r="V1055" s="345">
        <v>1000</v>
      </c>
      <c r="W1055" s="345">
        <v>14040</v>
      </c>
      <c r="X1055" s="349">
        <v>123452.02</v>
      </c>
      <c r="Y1055" s="345">
        <v>14046</v>
      </c>
      <c r="Z1055" s="349">
        <v>123452.02</v>
      </c>
      <c r="AA1055" s="349">
        <f t="shared" si="100"/>
        <v>0</v>
      </c>
      <c r="AB1055" s="349">
        <v>0</v>
      </c>
      <c r="AC1055" s="345">
        <v>51260</v>
      </c>
      <c r="AD1055" s="349">
        <v>0</v>
      </c>
      <c r="AE1055" s="345" t="s">
        <v>944</v>
      </c>
      <c r="AF1055" s="347"/>
      <c r="AG1055" s="347">
        <v>609</v>
      </c>
      <c r="AH1055" s="347" t="s">
        <v>57</v>
      </c>
      <c r="AI1055" s="347" t="s">
        <v>4442</v>
      </c>
      <c r="AJ1055" s="347" t="s">
        <v>4443</v>
      </c>
      <c r="AK1055" s="347" t="s">
        <v>4437</v>
      </c>
      <c r="AL1055" s="387">
        <v>45574</v>
      </c>
    </row>
    <row r="1056" spans="2:38" ht="15.75" outlineLevel="1">
      <c r="B1056" s="345">
        <v>2111</v>
      </c>
      <c r="C1056" s="346">
        <v>173165</v>
      </c>
      <c r="D1056" s="345" t="s">
        <v>944</v>
      </c>
      <c r="E1056" s="347" t="s">
        <v>4240</v>
      </c>
      <c r="F1056" s="343" t="s">
        <v>2535</v>
      </c>
      <c r="I1056" s="345">
        <v>384</v>
      </c>
      <c r="J1056" s="347" t="s">
        <v>2545</v>
      </c>
      <c r="K1056" s="345">
        <v>0</v>
      </c>
      <c r="L1056" s="347" t="s">
        <v>2546</v>
      </c>
      <c r="M1056" s="347"/>
      <c r="N1056" s="347" t="s">
        <v>4446</v>
      </c>
      <c r="O1056" s="347" t="s">
        <v>4441</v>
      </c>
      <c r="P1056" s="347"/>
      <c r="Q1056" s="347"/>
      <c r="R1056" s="347"/>
      <c r="S1056" s="348">
        <v>37711</v>
      </c>
      <c r="T1056" s="348">
        <v>37711</v>
      </c>
      <c r="U1056" s="347" t="s">
        <v>2547</v>
      </c>
      <c r="V1056" s="345">
        <v>700</v>
      </c>
      <c r="W1056" s="345">
        <v>14050</v>
      </c>
      <c r="X1056" s="349">
        <v>16711.68</v>
      </c>
      <c r="Y1056" s="345">
        <v>14056</v>
      </c>
      <c r="Z1056" s="349">
        <v>16711.68</v>
      </c>
      <c r="AA1056" s="349">
        <f t="shared" si="100"/>
        <v>0</v>
      </c>
      <c r="AB1056" s="349">
        <v>0</v>
      </c>
      <c r="AC1056" s="345">
        <v>54260</v>
      </c>
      <c r="AD1056" s="349">
        <v>0</v>
      </c>
      <c r="AE1056" s="345" t="s">
        <v>944</v>
      </c>
      <c r="AF1056" s="347"/>
      <c r="AG1056" s="347"/>
      <c r="AH1056" s="347" t="s">
        <v>57</v>
      </c>
      <c r="AI1056" s="347" t="s">
        <v>4442</v>
      </c>
      <c r="AJ1056" s="347" t="s">
        <v>4443</v>
      </c>
      <c r="AK1056" s="347" t="s">
        <v>4437</v>
      </c>
      <c r="AL1056" s="387">
        <v>45574</v>
      </c>
    </row>
    <row r="1057" spans="2:38" ht="15.75" outlineLevel="1">
      <c r="B1057" s="345">
        <v>2111</v>
      </c>
      <c r="C1057" s="346">
        <v>173164</v>
      </c>
      <c r="D1057" s="345" t="s">
        <v>944</v>
      </c>
      <c r="E1057" s="347" t="s">
        <v>4240</v>
      </c>
      <c r="F1057" s="343" t="s">
        <v>2549</v>
      </c>
      <c r="I1057" s="345">
        <v>1</v>
      </c>
      <c r="J1057" s="347"/>
      <c r="K1057" s="345">
        <v>0</v>
      </c>
      <c r="L1057" s="347" t="s">
        <v>2550</v>
      </c>
      <c r="M1057" s="347"/>
      <c r="N1057" s="347" t="s">
        <v>4440</v>
      </c>
      <c r="O1057" s="347" t="s">
        <v>4441</v>
      </c>
      <c r="P1057" s="347"/>
      <c r="Q1057" s="347"/>
      <c r="R1057" s="347"/>
      <c r="S1057" s="348">
        <v>37453</v>
      </c>
      <c r="T1057" s="348">
        <v>37453</v>
      </c>
      <c r="U1057" s="347"/>
      <c r="V1057" s="345">
        <v>300</v>
      </c>
      <c r="W1057" s="345">
        <v>14110</v>
      </c>
      <c r="X1057" s="349">
        <v>505.73</v>
      </c>
      <c r="Y1057" s="345">
        <v>14116</v>
      </c>
      <c r="Z1057" s="349">
        <v>505.73</v>
      </c>
      <c r="AA1057" s="349">
        <f t="shared" si="100"/>
        <v>0</v>
      </c>
      <c r="AB1057" s="349">
        <v>0</v>
      </c>
      <c r="AC1057" s="345">
        <v>70260</v>
      </c>
      <c r="AD1057" s="349">
        <v>0</v>
      </c>
      <c r="AE1057" s="345" t="s">
        <v>944</v>
      </c>
      <c r="AF1057" s="347"/>
      <c r="AG1057" s="347"/>
      <c r="AH1057" s="347" t="s">
        <v>57</v>
      </c>
      <c r="AI1057" s="347" t="s">
        <v>4442</v>
      </c>
      <c r="AJ1057" s="347" t="s">
        <v>4443</v>
      </c>
      <c r="AK1057" s="347" t="s">
        <v>4437</v>
      </c>
      <c r="AL1057" s="387">
        <v>45574</v>
      </c>
    </row>
    <row r="1058" spans="2:38" ht="15.75" outlineLevel="1">
      <c r="B1058" s="345">
        <v>2111</v>
      </c>
      <c r="C1058" s="346">
        <v>173162</v>
      </c>
      <c r="D1058" s="345" t="s">
        <v>944</v>
      </c>
      <c r="E1058" s="347" t="s">
        <v>4240</v>
      </c>
      <c r="F1058" s="343" t="s">
        <v>2552</v>
      </c>
      <c r="I1058" s="345">
        <v>1</v>
      </c>
      <c r="J1058" s="347" t="s">
        <v>2553</v>
      </c>
      <c r="K1058" s="345">
        <v>0</v>
      </c>
      <c r="L1058" s="347" t="s">
        <v>2550</v>
      </c>
      <c r="M1058" s="347"/>
      <c r="N1058" s="347" t="s">
        <v>4440</v>
      </c>
      <c r="O1058" s="347" t="s">
        <v>4441</v>
      </c>
      <c r="P1058" s="347"/>
      <c r="Q1058" s="347"/>
      <c r="R1058" s="347"/>
      <c r="S1058" s="348">
        <v>37487</v>
      </c>
      <c r="T1058" s="348">
        <v>37487</v>
      </c>
      <c r="U1058" s="347" t="s">
        <v>2554</v>
      </c>
      <c r="V1058" s="345">
        <v>300</v>
      </c>
      <c r="W1058" s="345">
        <v>14110</v>
      </c>
      <c r="X1058" s="349">
        <v>471.14</v>
      </c>
      <c r="Y1058" s="345">
        <v>14116</v>
      </c>
      <c r="Z1058" s="349">
        <v>471.14</v>
      </c>
      <c r="AA1058" s="349">
        <f t="shared" si="100"/>
        <v>0</v>
      </c>
      <c r="AB1058" s="349">
        <v>0</v>
      </c>
      <c r="AC1058" s="345">
        <v>70260</v>
      </c>
      <c r="AD1058" s="349">
        <v>0</v>
      </c>
      <c r="AE1058" s="345" t="s">
        <v>944</v>
      </c>
      <c r="AF1058" s="347"/>
      <c r="AG1058" s="347"/>
      <c r="AH1058" s="347" t="s">
        <v>57</v>
      </c>
      <c r="AI1058" s="347" t="s">
        <v>4442</v>
      </c>
      <c r="AJ1058" s="347" t="s">
        <v>4443</v>
      </c>
      <c r="AK1058" s="347" t="s">
        <v>4437</v>
      </c>
      <c r="AL1058" s="387">
        <v>45574</v>
      </c>
    </row>
    <row r="1059" spans="2:38" ht="15.75" outlineLevel="1">
      <c r="B1059" s="345">
        <v>2111</v>
      </c>
      <c r="C1059" s="346">
        <v>173161</v>
      </c>
      <c r="D1059" s="345" t="s">
        <v>944</v>
      </c>
      <c r="E1059" s="347" t="s">
        <v>4240</v>
      </c>
      <c r="F1059" s="343" t="s">
        <v>2555</v>
      </c>
      <c r="I1059" s="345">
        <v>5</v>
      </c>
      <c r="J1059" s="347"/>
      <c r="K1059" s="345">
        <v>0</v>
      </c>
      <c r="L1059" s="347" t="s">
        <v>2125</v>
      </c>
      <c r="M1059" s="347"/>
      <c r="N1059" s="347" t="s">
        <v>4446</v>
      </c>
      <c r="O1059" s="347" t="s">
        <v>4441</v>
      </c>
      <c r="P1059" s="347"/>
      <c r="Q1059" s="347" t="s">
        <v>4459</v>
      </c>
      <c r="R1059" s="347" t="s">
        <v>4450</v>
      </c>
      <c r="S1059" s="348">
        <v>37434</v>
      </c>
      <c r="T1059" s="348">
        <v>37434</v>
      </c>
      <c r="U1059" s="347" t="s">
        <v>2556</v>
      </c>
      <c r="V1059" s="345">
        <v>1200</v>
      </c>
      <c r="W1059" s="345">
        <v>14050</v>
      </c>
      <c r="X1059" s="349">
        <v>1808.8</v>
      </c>
      <c r="Y1059" s="345">
        <v>14056</v>
      </c>
      <c r="Z1059" s="349">
        <v>1808.8</v>
      </c>
      <c r="AA1059" s="349">
        <f t="shared" si="100"/>
        <v>0</v>
      </c>
      <c r="AB1059" s="349">
        <v>0</v>
      </c>
      <c r="AC1059" s="345">
        <v>54260</v>
      </c>
      <c r="AD1059" s="349">
        <v>0</v>
      </c>
      <c r="AE1059" s="345" t="s">
        <v>944</v>
      </c>
      <c r="AF1059" s="347"/>
      <c r="AG1059" s="347"/>
      <c r="AH1059" s="347" t="s">
        <v>57</v>
      </c>
      <c r="AI1059" s="347" t="s">
        <v>4442</v>
      </c>
      <c r="AJ1059" s="347" t="s">
        <v>4443</v>
      </c>
      <c r="AK1059" s="347" t="s">
        <v>4437</v>
      </c>
      <c r="AL1059" s="387">
        <v>45574</v>
      </c>
    </row>
    <row r="1060" spans="2:38" ht="15.75" outlineLevel="1">
      <c r="B1060" s="345">
        <v>2111</v>
      </c>
      <c r="C1060" s="346">
        <v>173160</v>
      </c>
      <c r="D1060" s="345" t="s">
        <v>944</v>
      </c>
      <c r="E1060" s="347" t="s">
        <v>4240</v>
      </c>
      <c r="F1060" s="343" t="s">
        <v>2557</v>
      </c>
      <c r="I1060" s="345">
        <v>4</v>
      </c>
      <c r="J1060" s="347"/>
      <c r="K1060" s="345">
        <v>0</v>
      </c>
      <c r="L1060" s="347" t="s">
        <v>2125</v>
      </c>
      <c r="M1060" s="347"/>
      <c r="N1060" s="347" t="s">
        <v>4446</v>
      </c>
      <c r="O1060" s="347" t="s">
        <v>4441</v>
      </c>
      <c r="P1060" s="347"/>
      <c r="Q1060" s="347" t="s">
        <v>4449</v>
      </c>
      <c r="R1060" s="347" t="s">
        <v>4450</v>
      </c>
      <c r="S1060" s="348">
        <v>37434</v>
      </c>
      <c r="T1060" s="348">
        <v>37434</v>
      </c>
      <c r="U1060" s="347" t="s">
        <v>2558</v>
      </c>
      <c r="V1060" s="345">
        <v>1200</v>
      </c>
      <c r="W1060" s="345">
        <v>14050</v>
      </c>
      <c r="X1060" s="349">
        <v>1229.44</v>
      </c>
      <c r="Y1060" s="345">
        <v>14056</v>
      </c>
      <c r="Z1060" s="349">
        <v>1229.44</v>
      </c>
      <c r="AA1060" s="349">
        <f t="shared" si="100"/>
        <v>0</v>
      </c>
      <c r="AB1060" s="349">
        <v>0</v>
      </c>
      <c r="AC1060" s="345">
        <v>54260</v>
      </c>
      <c r="AD1060" s="349">
        <v>0</v>
      </c>
      <c r="AE1060" s="345" t="s">
        <v>944</v>
      </c>
      <c r="AF1060" s="347"/>
      <c r="AG1060" s="347"/>
      <c r="AH1060" s="347" t="s">
        <v>57</v>
      </c>
      <c r="AI1060" s="347" t="s">
        <v>4442</v>
      </c>
      <c r="AJ1060" s="347" t="s">
        <v>4443</v>
      </c>
      <c r="AK1060" s="347" t="s">
        <v>4437</v>
      </c>
      <c r="AL1060" s="387">
        <v>45574</v>
      </c>
    </row>
    <row r="1061" spans="2:38" ht="15.75" outlineLevel="1">
      <c r="B1061" s="345">
        <v>2111</v>
      </c>
      <c r="C1061" s="346">
        <v>173159</v>
      </c>
      <c r="D1061" s="345" t="s">
        <v>944</v>
      </c>
      <c r="E1061" s="347" t="s">
        <v>4240</v>
      </c>
      <c r="F1061" s="343" t="s">
        <v>2557</v>
      </c>
      <c r="I1061" s="345">
        <v>6</v>
      </c>
      <c r="J1061" s="347"/>
      <c r="K1061" s="345">
        <v>0</v>
      </c>
      <c r="L1061" s="347" t="s">
        <v>2125</v>
      </c>
      <c r="M1061" s="347"/>
      <c r="N1061" s="347" t="s">
        <v>4446</v>
      </c>
      <c r="O1061" s="347" t="s">
        <v>4441</v>
      </c>
      <c r="P1061" s="347"/>
      <c r="Q1061" s="347" t="s">
        <v>4449</v>
      </c>
      <c r="R1061" s="347" t="s">
        <v>4450</v>
      </c>
      <c r="S1061" s="348">
        <v>37436</v>
      </c>
      <c r="T1061" s="348">
        <v>37436</v>
      </c>
      <c r="U1061" s="347" t="s">
        <v>2556</v>
      </c>
      <c r="V1061" s="345">
        <v>1200</v>
      </c>
      <c r="W1061" s="345">
        <v>14050</v>
      </c>
      <c r="X1061" s="349">
        <v>1844.16</v>
      </c>
      <c r="Y1061" s="345">
        <v>14056</v>
      </c>
      <c r="Z1061" s="349">
        <v>1844.16</v>
      </c>
      <c r="AA1061" s="349">
        <f t="shared" ref="AA1061:AA1124" si="101">+X1061-Z1061</f>
        <v>0</v>
      </c>
      <c r="AB1061" s="349">
        <v>0</v>
      </c>
      <c r="AC1061" s="345">
        <v>54260</v>
      </c>
      <c r="AD1061" s="349">
        <v>0</v>
      </c>
      <c r="AE1061" s="345" t="s">
        <v>944</v>
      </c>
      <c r="AF1061" s="347"/>
      <c r="AG1061" s="347"/>
      <c r="AH1061" s="347" t="s">
        <v>57</v>
      </c>
      <c r="AI1061" s="347" t="s">
        <v>4442</v>
      </c>
      <c r="AJ1061" s="347" t="s">
        <v>4443</v>
      </c>
      <c r="AK1061" s="347" t="s">
        <v>4437</v>
      </c>
      <c r="AL1061" s="387">
        <v>45574</v>
      </c>
    </row>
    <row r="1062" spans="2:38" ht="15.75" outlineLevel="1">
      <c r="B1062" s="345">
        <v>2111</v>
      </c>
      <c r="C1062" s="346">
        <v>173158</v>
      </c>
      <c r="D1062" s="345" t="s">
        <v>944</v>
      </c>
      <c r="E1062" s="347" t="s">
        <v>4240</v>
      </c>
      <c r="F1062" s="343" t="s">
        <v>854</v>
      </c>
      <c r="I1062" s="345">
        <v>432</v>
      </c>
      <c r="J1062" s="347" t="s">
        <v>2559</v>
      </c>
      <c r="K1062" s="345">
        <v>0</v>
      </c>
      <c r="L1062" s="347" t="s">
        <v>2560</v>
      </c>
      <c r="M1062" s="347"/>
      <c r="N1062" s="347" t="s">
        <v>4446</v>
      </c>
      <c r="O1062" s="347" t="s">
        <v>4441</v>
      </c>
      <c r="P1062" s="347"/>
      <c r="Q1062" s="347"/>
      <c r="R1062" s="347"/>
      <c r="S1062" s="348">
        <v>37435</v>
      </c>
      <c r="T1062" s="348">
        <v>37435</v>
      </c>
      <c r="U1062" s="347" t="s">
        <v>2561</v>
      </c>
      <c r="V1062" s="345">
        <v>700</v>
      </c>
      <c r="W1062" s="345">
        <v>14050</v>
      </c>
      <c r="X1062" s="349">
        <v>20263.46</v>
      </c>
      <c r="Y1062" s="345">
        <v>14056</v>
      </c>
      <c r="Z1062" s="349">
        <v>20263.46</v>
      </c>
      <c r="AA1062" s="349">
        <f t="shared" si="101"/>
        <v>0</v>
      </c>
      <c r="AB1062" s="349">
        <v>0</v>
      </c>
      <c r="AC1062" s="345">
        <v>54260</v>
      </c>
      <c r="AD1062" s="349">
        <v>0</v>
      </c>
      <c r="AE1062" s="345" t="s">
        <v>944</v>
      </c>
      <c r="AF1062" s="347"/>
      <c r="AG1062" s="347"/>
      <c r="AH1062" s="347" t="s">
        <v>57</v>
      </c>
      <c r="AI1062" s="347" t="s">
        <v>4442</v>
      </c>
      <c r="AJ1062" s="347" t="s">
        <v>4443</v>
      </c>
      <c r="AK1062" s="347" t="s">
        <v>4437</v>
      </c>
      <c r="AL1062" s="387">
        <v>45574</v>
      </c>
    </row>
    <row r="1063" spans="2:38" ht="15.75" outlineLevel="1">
      <c r="B1063" s="345">
        <v>2111</v>
      </c>
      <c r="C1063" s="346">
        <v>173157</v>
      </c>
      <c r="D1063" s="345" t="s">
        <v>944</v>
      </c>
      <c r="E1063" s="347" t="s">
        <v>4240</v>
      </c>
      <c r="F1063" s="343" t="s">
        <v>2563</v>
      </c>
      <c r="I1063" s="345">
        <v>2</v>
      </c>
      <c r="J1063" s="347"/>
      <c r="K1063" s="345">
        <v>0</v>
      </c>
      <c r="L1063" s="347" t="s">
        <v>2125</v>
      </c>
      <c r="M1063" s="347"/>
      <c r="N1063" s="347" t="s">
        <v>4446</v>
      </c>
      <c r="O1063" s="347" t="s">
        <v>4441</v>
      </c>
      <c r="P1063" s="347"/>
      <c r="Q1063" s="347" t="s">
        <v>4447</v>
      </c>
      <c r="R1063" s="347" t="s">
        <v>4448</v>
      </c>
      <c r="S1063" s="348">
        <v>37434</v>
      </c>
      <c r="T1063" s="348">
        <v>37434</v>
      </c>
      <c r="U1063" s="347" t="s">
        <v>2556</v>
      </c>
      <c r="V1063" s="345">
        <v>1200</v>
      </c>
      <c r="W1063" s="345">
        <v>14050</v>
      </c>
      <c r="X1063" s="349">
        <v>6745.6</v>
      </c>
      <c r="Y1063" s="345">
        <v>14056</v>
      </c>
      <c r="Z1063" s="349">
        <v>6745.6</v>
      </c>
      <c r="AA1063" s="349">
        <f t="shared" si="101"/>
        <v>0</v>
      </c>
      <c r="AB1063" s="349">
        <v>0</v>
      </c>
      <c r="AC1063" s="345">
        <v>54260</v>
      </c>
      <c r="AD1063" s="349">
        <v>0</v>
      </c>
      <c r="AE1063" s="345" t="s">
        <v>944</v>
      </c>
      <c r="AF1063" s="347"/>
      <c r="AG1063" s="347"/>
      <c r="AH1063" s="347" t="s">
        <v>57</v>
      </c>
      <c r="AI1063" s="347" t="s">
        <v>4442</v>
      </c>
      <c r="AJ1063" s="347" t="s">
        <v>4443</v>
      </c>
      <c r="AK1063" s="347" t="s">
        <v>4437</v>
      </c>
      <c r="AL1063" s="387">
        <v>45574</v>
      </c>
    </row>
    <row r="1064" spans="2:38" ht="15.75" outlineLevel="1">
      <c r="B1064" s="345">
        <v>2111</v>
      </c>
      <c r="C1064" s="346">
        <v>173156</v>
      </c>
      <c r="D1064" s="345" t="s">
        <v>944</v>
      </c>
      <c r="E1064" s="347" t="s">
        <v>4240</v>
      </c>
      <c r="F1064" s="343" t="s">
        <v>2564</v>
      </c>
      <c r="I1064" s="345">
        <v>1</v>
      </c>
      <c r="J1064" s="347" t="s">
        <v>2565</v>
      </c>
      <c r="K1064" s="345">
        <v>0</v>
      </c>
      <c r="L1064" s="347" t="s">
        <v>2550</v>
      </c>
      <c r="M1064" s="347"/>
      <c r="N1064" s="347" t="s">
        <v>4440</v>
      </c>
      <c r="O1064" s="347" t="s">
        <v>4441</v>
      </c>
      <c r="P1064" s="347"/>
      <c r="Q1064" s="347"/>
      <c r="R1064" s="347"/>
      <c r="S1064" s="348">
        <v>37449</v>
      </c>
      <c r="T1064" s="348">
        <v>37449</v>
      </c>
      <c r="U1064" s="347"/>
      <c r="V1064" s="345">
        <v>300</v>
      </c>
      <c r="W1064" s="345">
        <v>14110</v>
      </c>
      <c r="X1064" s="349">
        <v>852.78</v>
      </c>
      <c r="Y1064" s="345">
        <v>14116</v>
      </c>
      <c r="Z1064" s="349">
        <v>852.78</v>
      </c>
      <c r="AA1064" s="349">
        <f t="shared" si="101"/>
        <v>0</v>
      </c>
      <c r="AB1064" s="349">
        <v>0</v>
      </c>
      <c r="AC1064" s="345">
        <v>70260</v>
      </c>
      <c r="AD1064" s="349">
        <v>0</v>
      </c>
      <c r="AE1064" s="345" t="s">
        <v>944</v>
      </c>
      <c r="AF1064" s="347"/>
      <c r="AG1064" s="347"/>
      <c r="AH1064" s="347" t="s">
        <v>57</v>
      </c>
      <c r="AI1064" s="347" t="s">
        <v>4442</v>
      </c>
      <c r="AJ1064" s="347" t="s">
        <v>4443</v>
      </c>
      <c r="AK1064" s="347" t="s">
        <v>4437</v>
      </c>
      <c r="AL1064" s="387">
        <v>45574</v>
      </c>
    </row>
    <row r="1065" spans="2:38" ht="15.75" outlineLevel="1">
      <c r="B1065" s="345">
        <v>2111</v>
      </c>
      <c r="C1065" s="346">
        <v>173155</v>
      </c>
      <c r="D1065" s="345" t="s">
        <v>944</v>
      </c>
      <c r="E1065" s="347" t="s">
        <v>4240</v>
      </c>
      <c r="F1065" s="343" t="s">
        <v>2566</v>
      </c>
      <c r="I1065" s="345">
        <v>1</v>
      </c>
      <c r="J1065" s="347" t="s">
        <v>2567</v>
      </c>
      <c r="K1065" s="345">
        <v>2001</v>
      </c>
      <c r="L1065" s="347" t="s">
        <v>2568</v>
      </c>
      <c r="M1065" s="347" t="s">
        <v>2214</v>
      </c>
      <c r="N1065" s="347" t="s">
        <v>4445</v>
      </c>
      <c r="O1065" s="347" t="s">
        <v>4441</v>
      </c>
      <c r="P1065" s="347" t="s">
        <v>1467</v>
      </c>
      <c r="Q1065" s="347"/>
      <c r="R1065" s="347"/>
      <c r="S1065" s="348">
        <v>37226</v>
      </c>
      <c r="T1065" s="348">
        <v>37226</v>
      </c>
      <c r="U1065" s="347"/>
      <c r="V1065" s="345">
        <v>300</v>
      </c>
      <c r="W1065" s="345">
        <v>14040</v>
      </c>
      <c r="X1065" s="349">
        <v>18734.91</v>
      </c>
      <c r="Y1065" s="345">
        <v>14046</v>
      </c>
      <c r="Z1065" s="349">
        <v>18734.91</v>
      </c>
      <c r="AA1065" s="349">
        <f t="shared" si="101"/>
        <v>0</v>
      </c>
      <c r="AB1065" s="349">
        <v>0</v>
      </c>
      <c r="AC1065" s="345">
        <v>51260</v>
      </c>
      <c r="AD1065" s="349">
        <v>0</v>
      </c>
      <c r="AE1065" s="345" t="s">
        <v>944</v>
      </c>
      <c r="AF1065" s="347"/>
      <c r="AG1065" s="347"/>
      <c r="AH1065" s="347" t="s">
        <v>57</v>
      </c>
      <c r="AI1065" s="347" t="s">
        <v>4442</v>
      </c>
      <c r="AJ1065" s="347" t="s">
        <v>4443</v>
      </c>
      <c r="AK1065" s="347" t="s">
        <v>4437</v>
      </c>
      <c r="AL1065" s="387">
        <v>45574</v>
      </c>
    </row>
    <row r="1066" spans="2:38" ht="15.75" outlineLevel="1">
      <c r="B1066" s="345">
        <v>2111</v>
      </c>
      <c r="C1066" s="346">
        <v>173154</v>
      </c>
      <c r="D1066" s="345" t="s">
        <v>944</v>
      </c>
      <c r="E1066" s="347" t="s">
        <v>4240</v>
      </c>
      <c r="F1066" s="343" t="s">
        <v>2570</v>
      </c>
      <c r="I1066" s="345">
        <v>4</v>
      </c>
      <c r="J1066" s="347"/>
      <c r="K1066" s="345">
        <v>0</v>
      </c>
      <c r="L1066" s="347" t="s">
        <v>2125</v>
      </c>
      <c r="M1066" s="347"/>
      <c r="N1066" s="347" t="s">
        <v>4446</v>
      </c>
      <c r="O1066" s="347" t="s">
        <v>4441</v>
      </c>
      <c r="P1066" s="347"/>
      <c r="Q1066" s="347" t="s">
        <v>4464</v>
      </c>
      <c r="R1066" s="347" t="s">
        <v>4450</v>
      </c>
      <c r="S1066" s="348">
        <v>37133</v>
      </c>
      <c r="T1066" s="348">
        <v>37133</v>
      </c>
      <c r="U1066" s="347" t="s">
        <v>2571</v>
      </c>
      <c r="V1066" s="345">
        <v>1200</v>
      </c>
      <c r="W1066" s="345">
        <v>14050</v>
      </c>
      <c r="X1066" s="349">
        <v>1996.4</v>
      </c>
      <c r="Y1066" s="345">
        <v>14056</v>
      </c>
      <c r="Z1066" s="349">
        <v>1996.4</v>
      </c>
      <c r="AA1066" s="349">
        <f t="shared" si="101"/>
        <v>0</v>
      </c>
      <c r="AB1066" s="349">
        <v>0</v>
      </c>
      <c r="AC1066" s="345">
        <v>54260</v>
      </c>
      <c r="AD1066" s="349">
        <v>0</v>
      </c>
      <c r="AE1066" s="345" t="s">
        <v>944</v>
      </c>
      <c r="AF1066" s="347"/>
      <c r="AG1066" s="347"/>
      <c r="AH1066" s="347" t="s">
        <v>57</v>
      </c>
      <c r="AI1066" s="347" t="s">
        <v>4442</v>
      </c>
      <c r="AJ1066" s="347" t="s">
        <v>4443</v>
      </c>
      <c r="AK1066" s="347" t="s">
        <v>4437</v>
      </c>
      <c r="AL1066" s="387">
        <v>45574</v>
      </c>
    </row>
    <row r="1067" spans="2:38" ht="15.75" outlineLevel="1">
      <c r="B1067" s="345">
        <v>2111</v>
      </c>
      <c r="C1067" s="346">
        <v>173153</v>
      </c>
      <c r="D1067" s="345" t="s">
        <v>944</v>
      </c>
      <c r="E1067" s="347" t="s">
        <v>4240</v>
      </c>
      <c r="F1067" s="343" t="s">
        <v>2572</v>
      </c>
      <c r="I1067" s="345">
        <v>7</v>
      </c>
      <c r="J1067" s="347"/>
      <c r="K1067" s="345">
        <v>0</v>
      </c>
      <c r="L1067" s="347" t="s">
        <v>2125</v>
      </c>
      <c r="M1067" s="347"/>
      <c r="N1067" s="347" t="s">
        <v>4446</v>
      </c>
      <c r="O1067" s="347" t="s">
        <v>4441</v>
      </c>
      <c r="P1067" s="347"/>
      <c r="Q1067" s="347" t="s">
        <v>4461</v>
      </c>
      <c r="R1067" s="347" t="s">
        <v>4450</v>
      </c>
      <c r="S1067" s="348">
        <v>37155</v>
      </c>
      <c r="T1067" s="348">
        <v>37155</v>
      </c>
      <c r="U1067" s="347" t="s">
        <v>2573</v>
      </c>
      <c r="V1067" s="345">
        <v>1200</v>
      </c>
      <c r="W1067" s="345">
        <v>14050</v>
      </c>
      <c r="X1067" s="349">
        <v>2430.4</v>
      </c>
      <c r="Y1067" s="345">
        <v>14056</v>
      </c>
      <c r="Z1067" s="349">
        <v>2430.4</v>
      </c>
      <c r="AA1067" s="349">
        <f t="shared" si="101"/>
        <v>0</v>
      </c>
      <c r="AB1067" s="349">
        <v>0</v>
      </c>
      <c r="AC1067" s="345">
        <v>54260</v>
      </c>
      <c r="AD1067" s="349">
        <v>0</v>
      </c>
      <c r="AE1067" s="345" t="s">
        <v>944</v>
      </c>
      <c r="AF1067" s="347"/>
      <c r="AG1067" s="347"/>
      <c r="AH1067" s="347" t="s">
        <v>57</v>
      </c>
      <c r="AI1067" s="347" t="s">
        <v>4442</v>
      </c>
      <c r="AJ1067" s="347" t="s">
        <v>4443</v>
      </c>
      <c r="AK1067" s="347" t="s">
        <v>4437</v>
      </c>
      <c r="AL1067" s="387">
        <v>45574</v>
      </c>
    </row>
    <row r="1068" spans="2:38" ht="15.75" outlineLevel="1">
      <c r="B1068" s="345">
        <v>2111</v>
      </c>
      <c r="C1068" s="346">
        <v>173152</v>
      </c>
      <c r="D1068" s="345" t="s">
        <v>944</v>
      </c>
      <c r="E1068" s="347" t="s">
        <v>4240</v>
      </c>
      <c r="F1068" s="343" t="s">
        <v>2574</v>
      </c>
      <c r="I1068" s="345">
        <v>7</v>
      </c>
      <c r="J1068" s="347"/>
      <c r="K1068" s="345">
        <v>0</v>
      </c>
      <c r="L1068" s="347" t="s">
        <v>2125</v>
      </c>
      <c r="M1068" s="347"/>
      <c r="N1068" s="347" t="s">
        <v>4446</v>
      </c>
      <c r="O1068" s="347" t="s">
        <v>4441</v>
      </c>
      <c r="P1068" s="347"/>
      <c r="Q1068" s="347" t="s">
        <v>4449</v>
      </c>
      <c r="R1068" s="347" t="s">
        <v>4450</v>
      </c>
      <c r="S1068" s="348">
        <v>37133</v>
      </c>
      <c r="T1068" s="348">
        <v>37133</v>
      </c>
      <c r="U1068" s="347" t="s">
        <v>2575</v>
      </c>
      <c r="V1068" s="345">
        <v>1200</v>
      </c>
      <c r="W1068" s="345">
        <v>14050</v>
      </c>
      <c r="X1068" s="349">
        <v>2248.12</v>
      </c>
      <c r="Y1068" s="345">
        <v>14056</v>
      </c>
      <c r="Z1068" s="349">
        <v>2248.12</v>
      </c>
      <c r="AA1068" s="349">
        <f t="shared" si="101"/>
        <v>0</v>
      </c>
      <c r="AB1068" s="349">
        <v>0</v>
      </c>
      <c r="AC1068" s="345">
        <v>54260</v>
      </c>
      <c r="AD1068" s="349">
        <v>0</v>
      </c>
      <c r="AE1068" s="345" t="s">
        <v>944</v>
      </c>
      <c r="AF1068" s="347"/>
      <c r="AG1068" s="347"/>
      <c r="AH1068" s="347" t="s">
        <v>57</v>
      </c>
      <c r="AI1068" s="347" t="s">
        <v>4442</v>
      </c>
      <c r="AJ1068" s="347" t="s">
        <v>4443</v>
      </c>
      <c r="AK1068" s="347" t="s">
        <v>4437</v>
      </c>
      <c r="AL1068" s="387">
        <v>45574</v>
      </c>
    </row>
    <row r="1069" spans="2:38" ht="15.75" outlineLevel="1">
      <c r="B1069" s="345">
        <v>2111</v>
      </c>
      <c r="C1069" s="346">
        <v>173151</v>
      </c>
      <c r="D1069" s="345" t="s">
        <v>944</v>
      </c>
      <c r="E1069" s="347" t="s">
        <v>4240</v>
      </c>
      <c r="F1069" s="343" t="s">
        <v>2576</v>
      </c>
      <c r="I1069" s="345">
        <v>1</v>
      </c>
      <c r="J1069" s="347" t="s">
        <v>2577</v>
      </c>
      <c r="K1069" s="345">
        <v>2001</v>
      </c>
      <c r="L1069" s="347" t="s">
        <v>2578</v>
      </c>
      <c r="M1069" s="347" t="s">
        <v>2214</v>
      </c>
      <c r="N1069" s="347" t="s">
        <v>4445</v>
      </c>
      <c r="O1069" s="347" t="s">
        <v>4441</v>
      </c>
      <c r="P1069" s="347" t="s">
        <v>1467</v>
      </c>
      <c r="Q1069" s="347"/>
      <c r="R1069" s="347"/>
      <c r="S1069" s="348">
        <v>37072</v>
      </c>
      <c r="T1069" s="348">
        <v>37072</v>
      </c>
      <c r="U1069" s="347"/>
      <c r="V1069" s="345">
        <v>300</v>
      </c>
      <c r="W1069" s="345">
        <v>14040</v>
      </c>
      <c r="X1069" s="349">
        <v>12090</v>
      </c>
      <c r="Y1069" s="345">
        <v>14046</v>
      </c>
      <c r="Z1069" s="349">
        <v>12090</v>
      </c>
      <c r="AA1069" s="349">
        <f t="shared" si="101"/>
        <v>0</v>
      </c>
      <c r="AB1069" s="349">
        <v>0</v>
      </c>
      <c r="AC1069" s="345">
        <v>51260</v>
      </c>
      <c r="AD1069" s="349">
        <v>0</v>
      </c>
      <c r="AE1069" s="345" t="s">
        <v>944</v>
      </c>
      <c r="AF1069" s="347"/>
      <c r="AG1069" s="347"/>
      <c r="AH1069" s="347" t="s">
        <v>57</v>
      </c>
      <c r="AI1069" s="347" t="s">
        <v>4442</v>
      </c>
      <c r="AJ1069" s="347" t="s">
        <v>4443</v>
      </c>
      <c r="AK1069" s="347" t="s">
        <v>4437</v>
      </c>
      <c r="AL1069" s="387">
        <v>45574</v>
      </c>
    </row>
    <row r="1070" spans="2:38" ht="15.75" outlineLevel="1">
      <c r="B1070" s="345">
        <v>2111</v>
      </c>
      <c r="C1070" s="346">
        <v>173150</v>
      </c>
      <c r="D1070" s="345" t="s">
        <v>944</v>
      </c>
      <c r="E1070" s="347" t="s">
        <v>4240</v>
      </c>
      <c r="F1070" s="343" t="s">
        <v>2580</v>
      </c>
      <c r="I1070" s="345">
        <v>432</v>
      </c>
      <c r="J1070" s="347" t="s">
        <v>2581</v>
      </c>
      <c r="K1070" s="345">
        <v>0</v>
      </c>
      <c r="L1070" s="347" t="s">
        <v>2582</v>
      </c>
      <c r="M1070" s="347"/>
      <c r="N1070" s="347" t="s">
        <v>4446</v>
      </c>
      <c r="O1070" s="347" t="s">
        <v>4441</v>
      </c>
      <c r="P1070" s="347"/>
      <c r="Q1070" s="347"/>
      <c r="R1070" s="347"/>
      <c r="S1070" s="348">
        <v>37007</v>
      </c>
      <c r="T1070" s="348">
        <v>37007</v>
      </c>
      <c r="U1070" s="347" t="s">
        <v>2583</v>
      </c>
      <c r="V1070" s="345">
        <v>700</v>
      </c>
      <c r="W1070" s="345">
        <v>14050</v>
      </c>
      <c r="X1070" s="349">
        <v>18514.439999999999</v>
      </c>
      <c r="Y1070" s="345">
        <v>14056</v>
      </c>
      <c r="Z1070" s="349">
        <v>18514.439999999999</v>
      </c>
      <c r="AA1070" s="349">
        <f t="shared" si="101"/>
        <v>0</v>
      </c>
      <c r="AB1070" s="349">
        <v>0</v>
      </c>
      <c r="AC1070" s="345">
        <v>54260</v>
      </c>
      <c r="AD1070" s="349">
        <v>0</v>
      </c>
      <c r="AE1070" s="345" t="s">
        <v>944</v>
      </c>
      <c r="AF1070" s="347"/>
      <c r="AG1070" s="347"/>
      <c r="AH1070" s="347" t="s">
        <v>57</v>
      </c>
      <c r="AI1070" s="347" t="s">
        <v>4442</v>
      </c>
      <c r="AJ1070" s="347" t="s">
        <v>4443</v>
      </c>
      <c r="AK1070" s="347" t="s">
        <v>4437</v>
      </c>
      <c r="AL1070" s="387">
        <v>45574</v>
      </c>
    </row>
    <row r="1071" spans="2:38" ht="15.75" outlineLevel="1">
      <c r="B1071" s="345">
        <v>2111</v>
      </c>
      <c r="C1071" s="346">
        <v>173149</v>
      </c>
      <c r="D1071" s="345" t="s">
        <v>944</v>
      </c>
      <c r="E1071" s="347" t="s">
        <v>4240</v>
      </c>
      <c r="F1071" s="343" t="s">
        <v>2585</v>
      </c>
      <c r="I1071" s="345">
        <v>5</v>
      </c>
      <c r="J1071" s="347"/>
      <c r="K1071" s="345">
        <v>0</v>
      </c>
      <c r="L1071" s="347" t="s">
        <v>2586</v>
      </c>
      <c r="M1071" s="347"/>
      <c r="N1071" s="347" t="s">
        <v>4446</v>
      </c>
      <c r="O1071" s="347" t="s">
        <v>4441</v>
      </c>
      <c r="P1071" s="347"/>
      <c r="Q1071" s="347" t="s">
        <v>4447</v>
      </c>
      <c r="R1071" s="347" t="s">
        <v>4448</v>
      </c>
      <c r="S1071" s="348">
        <v>36986</v>
      </c>
      <c r="T1071" s="348">
        <v>36986</v>
      </c>
      <c r="U1071" s="347" t="s">
        <v>2587</v>
      </c>
      <c r="V1071" s="345">
        <v>1200</v>
      </c>
      <c r="W1071" s="345">
        <v>14050</v>
      </c>
      <c r="X1071" s="349">
        <v>19367.25</v>
      </c>
      <c r="Y1071" s="345">
        <v>14056</v>
      </c>
      <c r="Z1071" s="349">
        <v>19367.25</v>
      </c>
      <c r="AA1071" s="349">
        <f t="shared" si="101"/>
        <v>0</v>
      </c>
      <c r="AB1071" s="349">
        <v>0</v>
      </c>
      <c r="AC1071" s="345">
        <v>54260</v>
      </c>
      <c r="AD1071" s="349">
        <v>0</v>
      </c>
      <c r="AE1071" s="345" t="s">
        <v>944</v>
      </c>
      <c r="AF1071" s="347"/>
      <c r="AG1071" s="347"/>
      <c r="AH1071" s="347" t="s">
        <v>57</v>
      </c>
      <c r="AI1071" s="347" t="s">
        <v>4442</v>
      </c>
      <c r="AJ1071" s="347" t="s">
        <v>4443</v>
      </c>
      <c r="AK1071" s="347" t="s">
        <v>4437</v>
      </c>
      <c r="AL1071" s="387">
        <v>45574</v>
      </c>
    </row>
    <row r="1072" spans="2:38" ht="15.75" outlineLevel="1">
      <c r="B1072" s="345">
        <v>2111</v>
      </c>
      <c r="C1072" s="346">
        <v>173148</v>
      </c>
      <c r="D1072" s="345" t="s">
        <v>944</v>
      </c>
      <c r="E1072" s="347" t="s">
        <v>4240</v>
      </c>
      <c r="F1072" s="343" t="s">
        <v>2580</v>
      </c>
      <c r="I1072" s="345">
        <v>384</v>
      </c>
      <c r="J1072" s="347" t="s">
        <v>2588</v>
      </c>
      <c r="K1072" s="345">
        <v>0</v>
      </c>
      <c r="L1072" s="347" t="s">
        <v>2589</v>
      </c>
      <c r="M1072" s="347"/>
      <c r="N1072" s="347" t="s">
        <v>4446</v>
      </c>
      <c r="O1072" s="347" t="s">
        <v>4441</v>
      </c>
      <c r="P1072" s="347"/>
      <c r="Q1072" s="347"/>
      <c r="R1072" s="347"/>
      <c r="S1072" s="348">
        <v>36962</v>
      </c>
      <c r="T1072" s="348">
        <v>36962</v>
      </c>
      <c r="U1072" s="347" t="s">
        <v>2590</v>
      </c>
      <c r="V1072" s="345">
        <v>700</v>
      </c>
      <c r="W1072" s="345">
        <v>14050</v>
      </c>
      <c r="X1072" s="349">
        <v>16248.96</v>
      </c>
      <c r="Y1072" s="345">
        <v>14056</v>
      </c>
      <c r="Z1072" s="349">
        <v>16248.96</v>
      </c>
      <c r="AA1072" s="349">
        <f t="shared" si="101"/>
        <v>0</v>
      </c>
      <c r="AB1072" s="349">
        <v>0</v>
      </c>
      <c r="AC1072" s="345">
        <v>54260</v>
      </c>
      <c r="AD1072" s="349">
        <v>0</v>
      </c>
      <c r="AE1072" s="345" t="s">
        <v>944</v>
      </c>
      <c r="AF1072" s="347"/>
      <c r="AG1072" s="347"/>
      <c r="AH1072" s="347" t="s">
        <v>57</v>
      </c>
      <c r="AI1072" s="347" t="s">
        <v>4442</v>
      </c>
      <c r="AJ1072" s="347" t="s">
        <v>4443</v>
      </c>
      <c r="AK1072" s="347" t="s">
        <v>4437</v>
      </c>
      <c r="AL1072" s="387">
        <v>45574</v>
      </c>
    </row>
    <row r="1073" spans="2:38" ht="15.75" outlineLevel="1">
      <c r="B1073" s="345">
        <v>2111</v>
      </c>
      <c r="C1073" s="346">
        <v>173147</v>
      </c>
      <c r="D1073" s="345" t="s">
        <v>944</v>
      </c>
      <c r="E1073" s="347" t="s">
        <v>4240</v>
      </c>
      <c r="F1073" s="343" t="s">
        <v>693</v>
      </c>
      <c r="I1073" s="345">
        <v>15</v>
      </c>
      <c r="J1073" s="347" t="s">
        <v>2591</v>
      </c>
      <c r="K1073" s="345">
        <v>0</v>
      </c>
      <c r="L1073" s="347" t="s">
        <v>2592</v>
      </c>
      <c r="M1073" s="347"/>
      <c r="N1073" s="347" t="s">
        <v>4446</v>
      </c>
      <c r="O1073" s="347" t="s">
        <v>4441</v>
      </c>
      <c r="P1073" s="347"/>
      <c r="Q1073" s="347" t="s">
        <v>4449</v>
      </c>
      <c r="R1073" s="347" t="s">
        <v>4450</v>
      </c>
      <c r="S1073" s="348">
        <v>36784</v>
      </c>
      <c r="T1073" s="348">
        <v>36784</v>
      </c>
      <c r="U1073" s="347" t="s">
        <v>2593</v>
      </c>
      <c r="V1073" s="345">
        <v>1200</v>
      </c>
      <c r="W1073" s="345">
        <v>14050</v>
      </c>
      <c r="X1073" s="349">
        <v>4391.8</v>
      </c>
      <c r="Y1073" s="345">
        <v>14056</v>
      </c>
      <c r="Z1073" s="349">
        <v>4391.8</v>
      </c>
      <c r="AA1073" s="349">
        <f t="shared" si="101"/>
        <v>0</v>
      </c>
      <c r="AB1073" s="349">
        <v>0</v>
      </c>
      <c r="AC1073" s="345">
        <v>54260</v>
      </c>
      <c r="AD1073" s="349">
        <v>0</v>
      </c>
      <c r="AE1073" s="345" t="s">
        <v>944</v>
      </c>
      <c r="AF1073" s="347"/>
      <c r="AG1073" s="347"/>
      <c r="AH1073" s="347" t="s">
        <v>57</v>
      </c>
      <c r="AI1073" s="347" t="s">
        <v>4442</v>
      </c>
      <c r="AJ1073" s="347" t="s">
        <v>4443</v>
      </c>
      <c r="AK1073" s="347" t="s">
        <v>4437</v>
      </c>
      <c r="AL1073" s="387">
        <v>45574</v>
      </c>
    </row>
    <row r="1074" spans="2:38" ht="15.75" outlineLevel="1">
      <c r="B1074" s="345">
        <v>2111</v>
      </c>
      <c r="C1074" s="346">
        <v>173145</v>
      </c>
      <c r="D1074" s="345" t="s">
        <v>944</v>
      </c>
      <c r="E1074" s="347" t="s">
        <v>4240</v>
      </c>
      <c r="F1074" s="343" t="s">
        <v>2594</v>
      </c>
      <c r="I1074" s="345">
        <v>1</v>
      </c>
      <c r="J1074" s="347"/>
      <c r="K1074" s="345">
        <v>0</v>
      </c>
      <c r="L1074" s="347"/>
      <c r="M1074" s="347"/>
      <c r="N1074" s="347" t="s">
        <v>4453</v>
      </c>
      <c r="O1074" s="347" t="s">
        <v>4441</v>
      </c>
      <c r="P1074" s="347"/>
      <c r="Q1074" s="347"/>
      <c r="R1074" s="347"/>
      <c r="S1074" s="348">
        <v>33765</v>
      </c>
      <c r="T1074" s="348">
        <v>33765</v>
      </c>
      <c r="U1074" s="347"/>
      <c r="V1074" s="345">
        <v>500</v>
      </c>
      <c r="W1074" s="345">
        <v>14100</v>
      </c>
      <c r="X1074" s="349">
        <v>2285.36</v>
      </c>
      <c r="Y1074" s="345">
        <v>14106</v>
      </c>
      <c r="Z1074" s="349">
        <v>2285.36</v>
      </c>
      <c r="AA1074" s="349">
        <f t="shared" si="101"/>
        <v>0</v>
      </c>
      <c r="AB1074" s="349">
        <v>0</v>
      </c>
      <c r="AC1074" s="345">
        <v>70260</v>
      </c>
      <c r="AD1074" s="349">
        <v>0</v>
      </c>
      <c r="AE1074" s="345" t="s">
        <v>410</v>
      </c>
      <c r="AF1074" s="347" t="s">
        <v>2218</v>
      </c>
      <c r="AG1074" s="347" t="s">
        <v>2206</v>
      </c>
      <c r="AH1074" s="347" t="s">
        <v>57</v>
      </c>
      <c r="AI1074" s="347" t="s">
        <v>4442</v>
      </c>
      <c r="AJ1074" s="347" t="s">
        <v>4443</v>
      </c>
      <c r="AK1074" s="347" t="s">
        <v>4437</v>
      </c>
      <c r="AL1074" s="387">
        <v>45574</v>
      </c>
    </row>
    <row r="1075" spans="2:38" ht="15.75" outlineLevel="1">
      <c r="B1075" s="345">
        <v>2111</v>
      </c>
      <c r="C1075" s="346">
        <v>173144</v>
      </c>
      <c r="D1075" s="345" t="s">
        <v>944</v>
      </c>
      <c r="E1075" s="347" t="s">
        <v>4240</v>
      </c>
      <c r="F1075" s="343" t="s">
        <v>2595</v>
      </c>
      <c r="I1075" s="345">
        <v>1</v>
      </c>
      <c r="J1075" s="347"/>
      <c r="K1075" s="345">
        <v>0</v>
      </c>
      <c r="L1075" s="347"/>
      <c r="M1075" s="347"/>
      <c r="N1075" s="347" t="s">
        <v>4453</v>
      </c>
      <c r="O1075" s="347" t="s">
        <v>4441</v>
      </c>
      <c r="P1075" s="347"/>
      <c r="Q1075" s="347"/>
      <c r="R1075" s="347"/>
      <c r="S1075" s="348">
        <v>33219</v>
      </c>
      <c r="T1075" s="348">
        <v>33219</v>
      </c>
      <c r="U1075" s="347"/>
      <c r="V1075" s="345">
        <v>300</v>
      </c>
      <c r="W1075" s="345">
        <v>14100</v>
      </c>
      <c r="X1075" s="349">
        <v>539</v>
      </c>
      <c r="Y1075" s="345">
        <v>14106</v>
      </c>
      <c r="Z1075" s="349">
        <v>539</v>
      </c>
      <c r="AA1075" s="349">
        <f t="shared" si="101"/>
        <v>0</v>
      </c>
      <c r="AB1075" s="349">
        <v>0</v>
      </c>
      <c r="AC1075" s="345">
        <v>70260</v>
      </c>
      <c r="AD1075" s="349">
        <v>0</v>
      </c>
      <c r="AE1075" s="345" t="s">
        <v>410</v>
      </c>
      <c r="AF1075" s="347" t="s">
        <v>2218</v>
      </c>
      <c r="AG1075" s="347" t="s">
        <v>2206</v>
      </c>
      <c r="AH1075" s="347" t="s">
        <v>57</v>
      </c>
      <c r="AI1075" s="347" t="s">
        <v>4442</v>
      </c>
      <c r="AJ1075" s="347" t="s">
        <v>4443</v>
      </c>
      <c r="AK1075" s="347" t="s">
        <v>4437</v>
      </c>
      <c r="AL1075" s="387">
        <v>45574</v>
      </c>
    </row>
    <row r="1076" spans="2:38" ht="15.75" outlineLevel="1">
      <c r="B1076" s="345">
        <v>2111</v>
      </c>
      <c r="C1076" s="346">
        <v>173143</v>
      </c>
      <c r="D1076" s="345" t="s">
        <v>944</v>
      </c>
      <c r="E1076" s="347" t="s">
        <v>4240</v>
      </c>
      <c r="F1076" s="343" t="s">
        <v>2596</v>
      </c>
      <c r="I1076" s="345">
        <v>1</v>
      </c>
      <c r="J1076" s="347"/>
      <c r="K1076" s="345">
        <v>0</v>
      </c>
      <c r="L1076" s="347"/>
      <c r="M1076" s="347"/>
      <c r="N1076" s="347" t="s">
        <v>4453</v>
      </c>
      <c r="O1076" s="347" t="s">
        <v>4441</v>
      </c>
      <c r="P1076" s="347"/>
      <c r="Q1076" s="347"/>
      <c r="R1076" s="347"/>
      <c r="S1076" s="348">
        <v>32132</v>
      </c>
      <c r="T1076" s="348">
        <v>32132</v>
      </c>
      <c r="U1076" s="347"/>
      <c r="V1076" s="345">
        <v>500</v>
      </c>
      <c r="W1076" s="345">
        <v>14100</v>
      </c>
      <c r="X1076" s="349">
        <v>1940.4</v>
      </c>
      <c r="Y1076" s="345">
        <v>14106</v>
      </c>
      <c r="Z1076" s="349">
        <v>1940.4</v>
      </c>
      <c r="AA1076" s="349">
        <f t="shared" si="101"/>
        <v>0</v>
      </c>
      <c r="AB1076" s="349">
        <v>0</v>
      </c>
      <c r="AC1076" s="345">
        <v>70260</v>
      </c>
      <c r="AD1076" s="349">
        <v>0</v>
      </c>
      <c r="AE1076" s="345" t="s">
        <v>410</v>
      </c>
      <c r="AF1076" s="347" t="s">
        <v>2218</v>
      </c>
      <c r="AG1076" s="347" t="s">
        <v>2206</v>
      </c>
      <c r="AH1076" s="347" t="s">
        <v>57</v>
      </c>
      <c r="AI1076" s="347" t="s">
        <v>4442</v>
      </c>
      <c r="AJ1076" s="347" t="s">
        <v>4443</v>
      </c>
      <c r="AK1076" s="347" t="s">
        <v>4437</v>
      </c>
      <c r="AL1076" s="387">
        <v>45574</v>
      </c>
    </row>
    <row r="1077" spans="2:38" ht="15.75" outlineLevel="1">
      <c r="B1077" s="345">
        <v>2111</v>
      </c>
      <c r="C1077" s="346">
        <v>173142</v>
      </c>
      <c r="D1077" s="345" t="s">
        <v>944</v>
      </c>
      <c r="E1077" s="347" t="s">
        <v>4240</v>
      </c>
      <c r="F1077" s="343" t="s">
        <v>2597</v>
      </c>
      <c r="I1077" s="345">
        <v>1</v>
      </c>
      <c r="J1077" s="347"/>
      <c r="K1077" s="345">
        <v>0</v>
      </c>
      <c r="L1077" s="347"/>
      <c r="M1077" s="347"/>
      <c r="N1077" s="347" t="s">
        <v>4453</v>
      </c>
      <c r="O1077" s="347" t="s">
        <v>4441</v>
      </c>
      <c r="P1077" s="347"/>
      <c r="Q1077" s="347"/>
      <c r="R1077" s="347"/>
      <c r="S1077" s="348">
        <v>31813</v>
      </c>
      <c r="T1077" s="348">
        <v>31813</v>
      </c>
      <c r="U1077" s="347"/>
      <c r="V1077" s="345">
        <v>500</v>
      </c>
      <c r="W1077" s="345">
        <v>14100</v>
      </c>
      <c r="X1077" s="349">
        <v>214.79</v>
      </c>
      <c r="Y1077" s="345">
        <v>14106</v>
      </c>
      <c r="Z1077" s="349">
        <v>214.79</v>
      </c>
      <c r="AA1077" s="349">
        <f t="shared" si="101"/>
        <v>0</v>
      </c>
      <c r="AB1077" s="349">
        <v>0</v>
      </c>
      <c r="AC1077" s="345">
        <v>70260</v>
      </c>
      <c r="AD1077" s="349">
        <v>0</v>
      </c>
      <c r="AE1077" s="345" t="s">
        <v>410</v>
      </c>
      <c r="AF1077" s="347" t="s">
        <v>2218</v>
      </c>
      <c r="AG1077" s="347" t="s">
        <v>2206</v>
      </c>
      <c r="AH1077" s="347" t="s">
        <v>57</v>
      </c>
      <c r="AI1077" s="347" t="s">
        <v>4442</v>
      </c>
      <c r="AJ1077" s="347" t="s">
        <v>4443</v>
      </c>
      <c r="AK1077" s="347" t="s">
        <v>4437</v>
      </c>
      <c r="AL1077" s="387">
        <v>45574</v>
      </c>
    </row>
    <row r="1078" spans="2:38" ht="15.75" outlineLevel="1">
      <c r="B1078" s="345">
        <v>2111</v>
      </c>
      <c r="C1078" s="346">
        <v>173141</v>
      </c>
      <c r="D1078" s="345" t="s">
        <v>944</v>
      </c>
      <c r="E1078" s="347" t="s">
        <v>4240</v>
      </c>
      <c r="F1078" s="343" t="s">
        <v>2598</v>
      </c>
      <c r="I1078" s="345">
        <v>1</v>
      </c>
      <c r="J1078" s="347"/>
      <c r="K1078" s="345">
        <v>0</v>
      </c>
      <c r="L1078" s="347"/>
      <c r="M1078" s="347"/>
      <c r="N1078" s="347" t="s">
        <v>4453</v>
      </c>
      <c r="O1078" s="347" t="s">
        <v>4441</v>
      </c>
      <c r="P1078" s="347"/>
      <c r="Q1078" s="347"/>
      <c r="R1078" s="347"/>
      <c r="S1078" s="348">
        <v>31820</v>
      </c>
      <c r="T1078" s="348">
        <v>31820</v>
      </c>
      <c r="U1078" s="347"/>
      <c r="V1078" s="345">
        <v>500</v>
      </c>
      <c r="W1078" s="345">
        <v>14100</v>
      </c>
      <c r="X1078" s="349">
        <v>333.92</v>
      </c>
      <c r="Y1078" s="345">
        <v>14106</v>
      </c>
      <c r="Z1078" s="349">
        <v>333.92</v>
      </c>
      <c r="AA1078" s="349">
        <f t="shared" si="101"/>
        <v>0</v>
      </c>
      <c r="AB1078" s="349">
        <v>0</v>
      </c>
      <c r="AC1078" s="345">
        <v>70260</v>
      </c>
      <c r="AD1078" s="349">
        <v>0</v>
      </c>
      <c r="AE1078" s="345" t="s">
        <v>410</v>
      </c>
      <c r="AF1078" s="347" t="s">
        <v>2218</v>
      </c>
      <c r="AG1078" s="347" t="s">
        <v>2206</v>
      </c>
      <c r="AH1078" s="347" t="s">
        <v>57</v>
      </c>
      <c r="AI1078" s="347" t="s">
        <v>4442</v>
      </c>
      <c r="AJ1078" s="347" t="s">
        <v>4443</v>
      </c>
      <c r="AK1078" s="347" t="s">
        <v>4437</v>
      </c>
      <c r="AL1078" s="387">
        <v>45574</v>
      </c>
    </row>
    <row r="1079" spans="2:38" ht="15.75" outlineLevel="1">
      <c r="B1079" s="345">
        <v>2111</v>
      </c>
      <c r="C1079" s="346">
        <v>173140</v>
      </c>
      <c r="D1079" s="345" t="s">
        <v>944</v>
      </c>
      <c r="E1079" s="347" t="s">
        <v>4240</v>
      </c>
      <c r="F1079" s="343" t="s">
        <v>2599</v>
      </c>
      <c r="I1079" s="345">
        <v>1</v>
      </c>
      <c r="J1079" s="347"/>
      <c r="K1079" s="345">
        <v>0</v>
      </c>
      <c r="L1079" s="347"/>
      <c r="M1079" s="347"/>
      <c r="N1079" s="347" t="s">
        <v>4453</v>
      </c>
      <c r="O1079" s="347" t="s">
        <v>4441</v>
      </c>
      <c r="P1079" s="347"/>
      <c r="Q1079" s="347"/>
      <c r="R1079" s="347"/>
      <c r="S1079" s="348">
        <v>31085</v>
      </c>
      <c r="T1079" s="348">
        <v>31085</v>
      </c>
      <c r="U1079" s="347"/>
      <c r="V1079" s="345">
        <v>500</v>
      </c>
      <c r="W1079" s="345">
        <v>14100</v>
      </c>
      <c r="X1079" s="349">
        <v>4014</v>
      </c>
      <c r="Y1079" s="345">
        <v>14106</v>
      </c>
      <c r="Z1079" s="349">
        <v>4014</v>
      </c>
      <c r="AA1079" s="349">
        <f t="shared" si="101"/>
        <v>0</v>
      </c>
      <c r="AB1079" s="349">
        <v>0</v>
      </c>
      <c r="AC1079" s="345">
        <v>70260</v>
      </c>
      <c r="AD1079" s="349">
        <v>0</v>
      </c>
      <c r="AE1079" s="345" t="s">
        <v>410</v>
      </c>
      <c r="AF1079" s="347" t="s">
        <v>2218</v>
      </c>
      <c r="AG1079" s="347" t="s">
        <v>2206</v>
      </c>
      <c r="AH1079" s="347" t="s">
        <v>57</v>
      </c>
      <c r="AI1079" s="347" t="s">
        <v>4442</v>
      </c>
      <c r="AJ1079" s="347" t="s">
        <v>4443</v>
      </c>
      <c r="AK1079" s="347" t="s">
        <v>4437</v>
      </c>
      <c r="AL1079" s="387">
        <v>45574</v>
      </c>
    </row>
    <row r="1080" spans="2:38" ht="15.75" outlineLevel="1">
      <c r="B1080" s="345">
        <v>2111</v>
      </c>
      <c r="C1080" s="346">
        <v>173139</v>
      </c>
      <c r="D1080" s="345" t="s">
        <v>944</v>
      </c>
      <c r="E1080" s="347" t="s">
        <v>4240</v>
      </c>
      <c r="F1080" s="343" t="s">
        <v>2600</v>
      </c>
      <c r="I1080" s="345">
        <v>1</v>
      </c>
      <c r="J1080" s="347"/>
      <c r="K1080" s="345">
        <v>0</v>
      </c>
      <c r="L1080" s="347"/>
      <c r="M1080" s="347"/>
      <c r="N1080" s="347" t="s">
        <v>4453</v>
      </c>
      <c r="O1080" s="347" t="s">
        <v>4441</v>
      </c>
      <c r="P1080" s="347"/>
      <c r="Q1080" s="347"/>
      <c r="R1080" s="347"/>
      <c r="S1080" s="348">
        <v>31061</v>
      </c>
      <c r="T1080" s="348">
        <v>31061</v>
      </c>
      <c r="U1080" s="347"/>
      <c r="V1080" s="345">
        <v>500</v>
      </c>
      <c r="W1080" s="345">
        <v>14100</v>
      </c>
      <c r="X1080" s="349">
        <v>2975</v>
      </c>
      <c r="Y1080" s="345">
        <v>14106</v>
      </c>
      <c r="Z1080" s="349">
        <v>2975</v>
      </c>
      <c r="AA1080" s="349">
        <f t="shared" si="101"/>
        <v>0</v>
      </c>
      <c r="AB1080" s="349">
        <v>0</v>
      </c>
      <c r="AC1080" s="345">
        <v>70260</v>
      </c>
      <c r="AD1080" s="349">
        <v>0</v>
      </c>
      <c r="AE1080" s="345" t="s">
        <v>410</v>
      </c>
      <c r="AF1080" s="347" t="s">
        <v>2218</v>
      </c>
      <c r="AG1080" s="347" t="s">
        <v>2206</v>
      </c>
      <c r="AH1080" s="347" t="s">
        <v>57</v>
      </c>
      <c r="AI1080" s="347" t="s">
        <v>4442</v>
      </c>
      <c r="AJ1080" s="347" t="s">
        <v>4443</v>
      </c>
      <c r="AK1080" s="347" t="s">
        <v>4437</v>
      </c>
      <c r="AL1080" s="387">
        <v>45574</v>
      </c>
    </row>
    <row r="1081" spans="2:38" ht="15.75" outlineLevel="1">
      <c r="B1081" s="345">
        <v>2111</v>
      </c>
      <c r="C1081" s="346">
        <v>173138</v>
      </c>
      <c r="D1081" s="345" t="s">
        <v>944</v>
      </c>
      <c r="E1081" s="347" t="s">
        <v>4240</v>
      </c>
      <c r="F1081" s="343" t="s">
        <v>2601</v>
      </c>
      <c r="I1081" s="345">
        <v>1</v>
      </c>
      <c r="J1081" s="347"/>
      <c r="K1081" s="345">
        <v>0</v>
      </c>
      <c r="L1081" s="347"/>
      <c r="M1081" s="347"/>
      <c r="N1081" s="347" t="s">
        <v>4453</v>
      </c>
      <c r="O1081" s="347" t="s">
        <v>4441</v>
      </c>
      <c r="P1081" s="347"/>
      <c r="Q1081" s="347"/>
      <c r="R1081" s="347"/>
      <c r="S1081" s="348">
        <v>29587</v>
      </c>
      <c r="T1081" s="348">
        <v>29587</v>
      </c>
      <c r="U1081" s="347"/>
      <c r="V1081" s="345">
        <v>700</v>
      </c>
      <c r="W1081" s="345">
        <v>14100</v>
      </c>
      <c r="X1081" s="349">
        <v>1841.65</v>
      </c>
      <c r="Y1081" s="345">
        <v>14106</v>
      </c>
      <c r="Z1081" s="349">
        <v>1841.65</v>
      </c>
      <c r="AA1081" s="349">
        <f t="shared" si="101"/>
        <v>0</v>
      </c>
      <c r="AB1081" s="349">
        <v>0</v>
      </c>
      <c r="AC1081" s="345">
        <v>70260</v>
      </c>
      <c r="AD1081" s="349">
        <v>0</v>
      </c>
      <c r="AE1081" s="345" t="s">
        <v>410</v>
      </c>
      <c r="AF1081" s="347" t="s">
        <v>2218</v>
      </c>
      <c r="AG1081" s="347" t="s">
        <v>2206</v>
      </c>
      <c r="AH1081" s="347" t="s">
        <v>57</v>
      </c>
      <c r="AI1081" s="347" t="s">
        <v>4442</v>
      </c>
      <c r="AJ1081" s="347" t="s">
        <v>4443</v>
      </c>
      <c r="AK1081" s="347" t="s">
        <v>4437</v>
      </c>
      <c r="AL1081" s="387">
        <v>45574</v>
      </c>
    </row>
    <row r="1082" spans="2:38" ht="15.75" outlineLevel="1">
      <c r="B1082" s="345">
        <v>2111</v>
      </c>
      <c r="C1082" s="346">
        <v>173137</v>
      </c>
      <c r="D1082" s="345" t="s">
        <v>944</v>
      </c>
      <c r="E1082" s="347" t="s">
        <v>4240</v>
      </c>
      <c r="F1082" s="343" t="s">
        <v>2602</v>
      </c>
      <c r="I1082" s="345">
        <v>1</v>
      </c>
      <c r="J1082" s="347"/>
      <c r="K1082" s="345">
        <v>0</v>
      </c>
      <c r="L1082" s="347"/>
      <c r="M1082" s="347"/>
      <c r="N1082" s="347" t="s">
        <v>4452</v>
      </c>
      <c r="O1082" s="347" t="s">
        <v>4441</v>
      </c>
      <c r="P1082" s="347"/>
      <c r="Q1082" s="347"/>
      <c r="R1082" s="347"/>
      <c r="S1082" s="348">
        <v>29312</v>
      </c>
      <c r="T1082" s="348">
        <v>29312</v>
      </c>
      <c r="U1082" s="347"/>
      <c r="V1082" s="345">
        <v>2000</v>
      </c>
      <c r="W1082" s="345">
        <v>14080</v>
      </c>
      <c r="X1082" s="349">
        <v>4440</v>
      </c>
      <c r="Y1082" s="345">
        <v>14086</v>
      </c>
      <c r="Z1082" s="349">
        <v>4440</v>
      </c>
      <c r="AA1082" s="349">
        <f t="shared" si="101"/>
        <v>0</v>
      </c>
      <c r="AB1082" s="349">
        <v>0</v>
      </c>
      <c r="AC1082" s="345">
        <v>57260</v>
      </c>
      <c r="AD1082" s="349">
        <v>0</v>
      </c>
      <c r="AE1082" s="345" t="s">
        <v>410</v>
      </c>
      <c r="AF1082" s="347" t="s">
        <v>2218</v>
      </c>
      <c r="AG1082" s="347" t="s">
        <v>2206</v>
      </c>
      <c r="AH1082" s="347" t="s">
        <v>57</v>
      </c>
      <c r="AI1082" s="347" t="s">
        <v>4442</v>
      </c>
      <c r="AJ1082" s="347" t="s">
        <v>4443</v>
      </c>
      <c r="AK1082" s="347" t="s">
        <v>4437</v>
      </c>
      <c r="AL1082" s="387">
        <v>45574</v>
      </c>
    </row>
    <row r="1083" spans="2:38" ht="15.75" outlineLevel="1">
      <c r="B1083" s="345">
        <v>2111</v>
      </c>
      <c r="C1083" s="346">
        <v>173136</v>
      </c>
      <c r="D1083" s="345" t="s">
        <v>944</v>
      </c>
      <c r="E1083" s="347" t="s">
        <v>4240</v>
      </c>
      <c r="F1083" s="343" t="s">
        <v>2603</v>
      </c>
      <c r="I1083" s="345">
        <v>1</v>
      </c>
      <c r="J1083" s="347"/>
      <c r="K1083" s="345">
        <v>0</v>
      </c>
      <c r="L1083" s="347"/>
      <c r="M1083" s="347"/>
      <c r="N1083" s="347" t="s">
        <v>4452</v>
      </c>
      <c r="O1083" s="347" t="s">
        <v>4441</v>
      </c>
      <c r="P1083" s="347"/>
      <c r="Q1083" s="347"/>
      <c r="R1083" s="347"/>
      <c r="S1083" s="348">
        <v>29281</v>
      </c>
      <c r="T1083" s="348">
        <v>29281</v>
      </c>
      <c r="U1083" s="347"/>
      <c r="V1083" s="345">
        <v>2000</v>
      </c>
      <c r="W1083" s="345">
        <v>14080</v>
      </c>
      <c r="X1083" s="349">
        <v>5124.8</v>
      </c>
      <c r="Y1083" s="345">
        <v>14086</v>
      </c>
      <c r="Z1083" s="349">
        <v>5124.8</v>
      </c>
      <c r="AA1083" s="349">
        <f t="shared" si="101"/>
        <v>0</v>
      </c>
      <c r="AB1083" s="349">
        <v>0</v>
      </c>
      <c r="AC1083" s="345">
        <v>57260</v>
      </c>
      <c r="AD1083" s="349">
        <v>0</v>
      </c>
      <c r="AE1083" s="345" t="s">
        <v>410</v>
      </c>
      <c r="AF1083" s="347" t="s">
        <v>2218</v>
      </c>
      <c r="AG1083" s="347" t="s">
        <v>2206</v>
      </c>
      <c r="AH1083" s="347" t="s">
        <v>57</v>
      </c>
      <c r="AI1083" s="347" t="s">
        <v>4442</v>
      </c>
      <c r="AJ1083" s="347" t="s">
        <v>4443</v>
      </c>
      <c r="AK1083" s="347" t="s">
        <v>4437</v>
      </c>
      <c r="AL1083" s="387">
        <v>45574</v>
      </c>
    </row>
    <row r="1084" spans="2:38" ht="15.75" outlineLevel="1">
      <c r="B1084" s="345">
        <v>2111</v>
      </c>
      <c r="C1084" s="346">
        <v>173135</v>
      </c>
      <c r="D1084" s="345" t="s">
        <v>944</v>
      </c>
      <c r="E1084" s="347" t="s">
        <v>4240</v>
      </c>
      <c r="F1084" s="343" t="s">
        <v>2603</v>
      </c>
      <c r="I1084" s="345">
        <v>1</v>
      </c>
      <c r="J1084" s="347"/>
      <c r="K1084" s="345">
        <v>0</v>
      </c>
      <c r="L1084" s="347"/>
      <c r="M1084" s="347"/>
      <c r="N1084" s="347" t="s">
        <v>4452</v>
      </c>
      <c r="O1084" s="347" t="s">
        <v>4441</v>
      </c>
      <c r="P1084" s="347"/>
      <c r="Q1084" s="347"/>
      <c r="R1084" s="347"/>
      <c r="S1084" s="348">
        <v>29007</v>
      </c>
      <c r="T1084" s="348">
        <v>29007</v>
      </c>
      <c r="U1084" s="347"/>
      <c r="V1084" s="345">
        <v>2000</v>
      </c>
      <c r="W1084" s="345">
        <v>14080</v>
      </c>
      <c r="X1084" s="349">
        <v>2510.37</v>
      </c>
      <c r="Y1084" s="345">
        <v>14086</v>
      </c>
      <c r="Z1084" s="349">
        <v>2510.37</v>
      </c>
      <c r="AA1084" s="349">
        <f t="shared" si="101"/>
        <v>0</v>
      </c>
      <c r="AB1084" s="349">
        <v>0</v>
      </c>
      <c r="AC1084" s="345">
        <v>57260</v>
      </c>
      <c r="AD1084" s="349">
        <v>0</v>
      </c>
      <c r="AE1084" s="345" t="s">
        <v>410</v>
      </c>
      <c r="AF1084" s="347" t="s">
        <v>2218</v>
      </c>
      <c r="AG1084" s="347" t="s">
        <v>2206</v>
      </c>
      <c r="AH1084" s="347" t="s">
        <v>57</v>
      </c>
      <c r="AI1084" s="347" t="s">
        <v>4442</v>
      </c>
      <c r="AJ1084" s="347" t="s">
        <v>4443</v>
      </c>
      <c r="AK1084" s="347" t="s">
        <v>4437</v>
      </c>
      <c r="AL1084" s="387">
        <v>45574</v>
      </c>
    </row>
    <row r="1085" spans="2:38" ht="15.75" outlineLevel="1">
      <c r="B1085" s="345">
        <v>2111</v>
      </c>
      <c r="C1085" s="346">
        <v>173134</v>
      </c>
      <c r="D1085" s="345" t="s">
        <v>944</v>
      </c>
      <c r="E1085" s="347" t="s">
        <v>4240</v>
      </c>
      <c r="F1085" s="343" t="s">
        <v>260</v>
      </c>
      <c r="I1085" s="345">
        <v>1</v>
      </c>
      <c r="J1085" s="347"/>
      <c r="K1085" s="345">
        <v>0</v>
      </c>
      <c r="L1085" s="347"/>
      <c r="M1085" s="347"/>
      <c r="N1085" s="347" t="s">
        <v>4452</v>
      </c>
      <c r="O1085" s="347" t="s">
        <v>4441</v>
      </c>
      <c r="P1085" s="347"/>
      <c r="Q1085" s="347"/>
      <c r="R1085" s="347"/>
      <c r="S1085" s="348">
        <v>28550</v>
      </c>
      <c r="T1085" s="348">
        <v>28550</v>
      </c>
      <c r="U1085" s="347"/>
      <c r="V1085" s="345">
        <v>2000</v>
      </c>
      <c r="W1085" s="345">
        <v>14080</v>
      </c>
      <c r="X1085" s="349">
        <v>820</v>
      </c>
      <c r="Y1085" s="345">
        <v>14086</v>
      </c>
      <c r="Z1085" s="349">
        <v>820</v>
      </c>
      <c r="AA1085" s="349">
        <f t="shared" si="101"/>
        <v>0</v>
      </c>
      <c r="AB1085" s="349">
        <v>0</v>
      </c>
      <c r="AC1085" s="345">
        <v>57260</v>
      </c>
      <c r="AD1085" s="349">
        <v>0</v>
      </c>
      <c r="AE1085" s="345" t="s">
        <v>410</v>
      </c>
      <c r="AF1085" s="347" t="s">
        <v>2218</v>
      </c>
      <c r="AG1085" s="347" t="s">
        <v>2206</v>
      </c>
      <c r="AH1085" s="347" t="s">
        <v>57</v>
      </c>
      <c r="AI1085" s="347" t="s">
        <v>4442</v>
      </c>
      <c r="AJ1085" s="347" t="s">
        <v>4443</v>
      </c>
      <c r="AK1085" s="347" t="s">
        <v>4437</v>
      </c>
      <c r="AL1085" s="387">
        <v>45574</v>
      </c>
    </row>
    <row r="1086" spans="2:38" ht="15.75" outlineLevel="1">
      <c r="B1086" s="345">
        <v>2111</v>
      </c>
      <c r="C1086" s="346">
        <v>173133</v>
      </c>
      <c r="D1086" s="345" t="s">
        <v>944</v>
      </c>
      <c r="E1086" s="347" t="s">
        <v>4240</v>
      </c>
      <c r="F1086" s="343" t="s">
        <v>2604</v>
      </c>
      <c r="I1086" s="345">
        <v>1</v>
      </c>
      <c r="J1086" s="347"/>
      <c r="K1086" s="345">
        <v>0</v>
      </c>
      <c r="L1086" s="347"/>
      <c r="M1086" s="347"/>
      <c r="N1086" s="347" t="s">
        <v>4452</v>
      </c>
      <c r="O1086" s="347" t="s">
        <v>4441</v>
      </c>
      <c r="P1086" s="347"/>
      <c r="Q1086" s="347"/>
      <c r="R1086" s="347"/>
      <c r="S1086" s="348">
        <v>28399</v>
      </c>
      <c r="T1086" s="348">
        <v>28399</v>
      </c>
      <c r="U1086" s="347"/>
      <c r="V1086" s="345">
        <v>2000</v>
      </c>
      <c r="W1086" s="345">
        <v>14080</v>
      </c>
      <c r="X1086" s="349">
        <v>1010.54</v>
      </c>
      <c r="Y1086" s="345">
        <v>14086</v>
      </c>
      <c r="Z1086" s="349">
        <v>1010.54</v>
      </c>
      <c r="AA1086" s="349">
        <f t="shared" si="101"/>
        <v>0</v>
      </c>
      <c r="AB1086" s="349">
        <v>0</v>
      </c>
      <c r="AC1086" s="345">
        <v>57260</v>
      </c>
      <c r="AD1086" s="349">
        <v>0</v>
      </c>
      <c r="AE1086" s="345" t="s">
        <v>410</v>
      </c>
      <c r="AF1086" s="347" t="s">
        <v>2218</v>
      </c>
      <c r="AG1086" s="347" t="s">
        <v>2206</v>
      </c>
      <c r="AH1086" s="347" t="s">
        <v>57</v>
      </c>
      <c r="AI1086" s="347" t="s">
        <v>4442</v>
      </c>
      <c r="AJ1086" s="347" t="s">
        <v>4443</v>
      </c>
      <c r="AK1086" s="347" t="s">
        <v>4437</v>
      </c>
      <c r="AL1086" s="387">
        <v>45574</v>
      </c>
    </row>
    <row r="1087" spans="2:38" ht="15.75" outlineLevel="1">
      <c r="B1087" s="345">
        <v>2111</v>
      </c>
      <c r="C1087" s="346">
        <v>173132</v>
      </c>
      <c r="D1087" s="345" t="s">
        <v>944</v>
      </c>
      <c r="E1087" s="347" t="s">
        <v>4240</v>
      </c>
      <c r="F1087" s="343" t="s">
        <v>2605</v>
      </c>
      <c r="I1087" s="345">
        <v>1</v>
      </c>
      <c r="J1087" s="347"/>
      <c r="K1087" s="345">
        <v>1980</v>
      </c>
      <c r="L1087" s="347" t="s">
        <v>2578</v>
      </c>
      <c r="M1087" s="347" t="s">
        <v>2214</v>
      </c>
      <c r="N1087" s="347" t="s">
        <v>4451</v>
      </c>
      <c r="O1087" s="347" t="s">
        <v>4441</v>
      </c>
      <c r="P1087" s="347"/>
      <c r="Q1087" s="347"/>
      <c r="R1087" s="347"/>
      <c r="S1087" s="348">
        <v>29465</v>
      </c>
      <c r="T1087" s="348">
        <v>29465</v>
      </c>
      <c r="U1087" s="347"/>
      <c r="V1087" s="345">
        <v>500</v>
      </c>
      <c r="W1087" s="345">
        <v>14070</v>
      </c>
      <c r="X1087" s="349">
        <v>5984.86</v>
      </c>
      <c r="Y1087" s="345">
        <v>14076</v>
      </c>
      <c r="Z1087" s="349">
        <v>5984.86</v>
      </c>
      <c r="AA1087" s="349">
        <f t="shared" si="101"/>
        <v>0</v>
      </c>
      <c r="AB1087" s="349">
        <v>0</v>
      </c>
      <c r="AC1087" s="345">
        <v>51260</v>
      </c>
      <c r="AD1087" s="349">
        <v>0</v>
      </c>
      <c r="AE1087" s="345" t="s">
        <v>410</v>
      </c>
      <c r="AF1087" s="347" t="s">
        <v>2218</v>
      </c>
      <c r="AG1087" s="347" t="s">
        <v>2206</v>
      </c>
      <c r="AH1087" s="347" t="s">
        <v>57</v>
      </c>
      <c r="AI1087" s="347" t="s">
        <v>4442</v>
      </c>
      <c r="AJ1087" s="347" t="s">
        <v>4443</v>
      </c>
      <c r="AK1087" s="347" t="s">
        <v>4437</v>
      </c>
      <c r="AL1087" s="387">
        <v>45574</v>
      </c>
    </row>
    <row r="1088" spans="2:38" ht="15.75" outlineLevel="1">
      <c r="B1088" s="345">
        <v>2111</v>
      </c>
      <c r="C1088" s="346">
        <v>173131</v>
      </c>
      <c r="D1088" s="345" t="s">
        <v>944</v>
      </c>
      <c r="E1088" s="347" t="s">
        <v>4240</v>
      </c>
      <c r="F1088" s="343" t="s">
        <v>2605</v>
      </c>
      <c r="I1088" s="345">
        <v>1</v>
      </c>
      <c r="J1088" s="347"/>
      <c r="K1088" s="345">
        <v>1978</v>
      </c>
      <c r="L1088" s="347" t="s">
        <v>2578</v>
      </c>
      <c r="M1088" s="347" t="s">
        <v>2214</v>
      </c>
      <c r="N1088" s="347" t="s">
        <v>4451</v>
      </c>
      <c r="O1088" s="347" t="s">
        <v>4441</v>
      </c>
      <c r="P1088" s="347"/>
      <c r="Q1088" s="347"/>
      <c r="R1088" s="347"/>
      <c r="S1088" s="348">
        <v>28611</v>
      </c>
      <c r="T1088" s="348">
        <v>28611</v>
      </c>
      <c r="U1088" s="347"/>
      <c r="V1088" s="345">
        <v>500</v>
      </c>
      <c r="W1088" s="345">
        <v>14070</v>
      </c>
      <c r="X1088" s="349">
        <v>2650.58</v>
      </c>
      <c r="Y1088" s="345">
        <v>14076</v>
      </c>
      <c r="Z1088" s="349">
        <v>2650.58</v>
      </c>
      <c r="AA1088" s="349">
        <f t="shared" si="101"/>
        <v>0</v>
      </c>
      <c r="AB1088" s="349">
        <v>0</v>
      </c>
      <c r="AC1088" s="345">
        <v>51260</v>
      </c>
      <c r="AD1088" s="349">
        <v>0</v>
      </c>
      <c r="AE1088" s="345" t="s">
        <v>410</v>
      </c>
      <c r="AF1088" s="347" t="s">
        <v>2218</v>
      </c>
      <c r="AG1088" s="347" t="s">
        <v>2206</v>
      </c>
      <c r="AH1088" s="347" t="s">
        <v>57</v>
      </c>
      <c r="AI1088" s="347" t="s">
        <v>4442</v>
      </c>
      <c r="AJ1088" s="347" t="s">
        <v>4443</v>
      </c>
      <c r="AK1088" s="347" t="s">
        <v>4437</v>
      </c>
      <c r="AL1088" s="387">
        <v>45574</v>
      </c>
    </row>
    <row r="1089" spans="2:38" ht="15.75" outlineLevel="1">
      <c r="B1089" s="345">
        <v>2111</v>
      </c>
      <c r="C1089" s="346">
        <v>173130</v>
      </c>
      <c r="D1089" s="345" t="s">
        <v>944</v>
      </c>
      <c r="E1089" s="347" t="s">
        <v>4240</v>
      </c>
      <c r="F1089" s="343" t="s">
        <v>2605</v>
      </c>
      <c r="I1089" s="345">
        <v>1</v>
      </c>
      <c r="J1089" s="347"/>
      <c r="K1089" s="345">
        <v>1977</v>
      </c>
      <c r="L1089" s="347" t="s">
        <v>2578</v>
      </c>
      <c r="M1089" s="347" t="s">
        <v>2214</v>
      </c>
      <c r="N1089" s="347" t="s">
        <v>4451</v>
      </c>
      <c r="O1089" s="347" t="s">
        <v>4441</v>
      </c>
      <c r="P1089" s="347"/>
      <c r="Q1089" s="347"/>
      <c r="R1089" s="347"/>
      <c r="S1089" s="348">
        <v>28184</v>
      </c>
      <c r="T1089" s="348">
        <v>28184</v>
      </c>
      <c r="U1089" s="347"/>
      <c r="V1089" s="345">
        <v>500</v>
      </c>
      <c r="W1089" s="345">
        <v>14070</v>
      </c>
      <c r="X1089" s="349">
        <v>6030.5</v>
      </c>
      <c r="Y1089" s="345">
        <v>14076</v>
      </c>
      <c r="Z1089" s="349">
        <v>6030.5</v>
      </c>
      <c r="AA1089" s="349">
        <f t="shared" si="101"/>
        <v>0</v>
      </c>
      <c r="AB1089" s="349">
        <v>0</v>
      </c>
      <c r="AC1089" s="345">
        <v>51260</v>
      </c>
      <c r="AD1089" s="349">
        <v>0</v>
      </c>
      <c r="AE1089" s="345" t="s">
        <v>410</v>
      </c>
      <c r="AF1089" s="347" t="s">
        <v>2218</v>
      </c>
      <c r="AG1089" s="347" t="s">
        <v>2206</v>
      </c>
      <c r="AH1089" s="347" t="s">
        <v>57</v>
      </c>
      <c r="AI1089" s="347" t="s">
        <v>4442</v>
      </c>
      <c r="AJ1089" s="347" t="s">
        <v>4443</v>
      </c>
      <c r="AK1089" s="347" t="s">
        <v>4437</v>
      </c>
      <c r="AL1089" s="387">
        <v>45574</v>
      </c>
    </row>
    <row r="1090" spans="2:38" ht="15.75" outlineLevel="1">
      <c r="B1090" s="345">
        <v>2111</v>
      </c>
      <c r="C1090" s="346">
        <v>173129</v>
      </c>
      <c r="D1090" s="345" t="s">
        <v>944</v>
      </c>
      <c r="E1090" s="347" t="s">
        <v>4240</v>
      </c>
      <c r="F1090" s="343" t="s">
        <v>2606</v>
      </c>
      <c r="I1090" s="345">
        <v>1</v>
      </c>
      <c r="J1090" s="347"/>
      <c r="K1090" s="345">
        <v>1990</v>
      </c>
      <c r="L1090" s="347" t="s">
        <v>2578</v>
      </c>
      <c r="M1090" s="347" t="s">
        <v>2214</v>
      </c>
      <c r="N1090" s="347" t="s">
        <v>4451</v>
      </c>
      <c r="O1090" s="347" t="s">
        <v>4441</v>
      </c>
      <c r="P1090" s="347"/>
      <c r="Q1090" s="347"/>
      <c r="R1090" s="347"/>
      <c r="S1090" s="348">
        <v>33013</v>
      </c>
      <c r="T1090" s="348">
        <v>33013</v>
      </c>
      <c r="U1090" s="347"/>
      <c r="V1090" s="345">
        <v>500</v>
      </c>
      <c r="W1090" s="345">
        <v>14070</v>
      </c>
      <c r="X1090" s="349">
        <v>1750</v>
      </c>
      <c r="Y1090" s="345">
        <v>14076</v>
      </c>
      <c r="Z1090" s="349">
        <v>1750</v>
      </c>
      <c r="AA1090" s="349">
        <f t="shared" si="101"/>
        <v>0</v>
      </c>
      <c r="AB1090" s="349">
        <v>0</v>
      </c>
      <c r="AC1090" s="345">
        <v>51260</v>
      </c>
      <c r="AD1090" s="349">
        <v>0</v>
      </c>
      <c r="AE1090" s="345" t="s">
        <v>410</v>
      </c>
      <c r="AF1090" s="347" t="s">
        <v>2218</v>
      </c>
      <c r="AG1090" s="347" t="s">
        <v>2206</v>
      </c>
      <c r="AH1090" s="347" t="s">
        <v>57</v>
      </c>
      <c r="AI1090" s="347" t="s">
        <v>4442</v>
      </c>
      <c r="AJ1090" s="347" t="s">
        <v>4443</v>
      </c>
      <c r="AK1090" s="347" t="s">
        <v>4437</v>
      </c>
      <c r="AL1090" s="387">
        <v>45574</v>
      </c>
    </row>
    <row r="1091" spans="2:38" ht="15.75" outlineLevel="1">
      <c r="B1091" s="345">
        <v>2111</v>
      </c>
      <c r="C1091" s="346">
        <v>173128</v>
      </c>
      <c r="D1091" s="345" t="s">
        <v>944</v>
      </c>
      <c r="E1091" s="347" t="s">
        <v>4240</v>
      </c>
      <c r="F1091" s="343" t="s">
        <v>2607</v>
      </c>
      <c r="I1091" s="345">
        <v>1</v>
      </c>
      <c r="J1091" s="347"/>
      <c r="K1091" s="345">
        <v>1983</v>
      </c>
      <c r="L1091" s="347" t="s">
        <v>2578</v>
      </c>
      <c r="M1091" s="347" t="s">
        <v>2214</v>
      </c>
      <c r="N1091" s="347" t="s">
        <v>4451</v>
      </c>
      <c r="O1091" s="347" t="s">
        <v>4441</v>
      </c>
      <c r="P1091" s="347"/>
      <c r="Q1091" s="347"/>
      <c r="R1091" s="347"/>
      <c r="S1091" s="348">
        <v>30414</v>
      </c>
      <c r="T1091" s="348">
        <v>34067</v>
      </c>
      <c r="U1091" s="347"/>
      <c r="V1091" s="345">
        <v>500</v>
      </c>
      <c r="W1091" s="345">
        <v>14070</v>
      </c>
      <c r="X1091" s="349">
        <v>1617</v>
      </c>
      <c r="Y1091" s="345">
        <v>14076</v>
      </c>
      <c r="Z1091" s="349">
        <v>1617</v>
      </c>
      <c r="AA1091" s="349">
        <f t="shared" si="101"/>
        <v>0</v>
      </c>
      <c r="AB1091" s="349">
        <v>0</v>
      </c>
      <c r="AC1091" s="345">
        <v>51260</v>
      </c>
      <c r="AD1091" s="349">
        <v>0</v>
      </c>
      <c r="AE1091" s="345" t="s">
        <v>410</v>
      </c>
      <c r="AF1091" s="347" t="s">
        <v>2218</v>
      </c>
      <c r="AG1091" s="347" t="s">
        <v>2206</v>
      </c>
      <c r="AH1091" s="347" t="s">
        <v>57</v>
      </c>
      <c r="AI1091" s="347" t="s">
        <v>4442</v>
      </c>
      <c r="AJ1091" s="347" t="s">
        <v>4443</v>
      </c>
      <c r="AK1091" s="347" t="s">
        <v>4437</v>
      </c>
      <c r="AL1091" s="387">
        <v>45574</v>
      </c>
    </row>
    <row r="1092" spans="2:38" ht="15.75" outlineLevel="1">
      <c r="B1092" s="345">
        <v>2111</v>
      </c>
      <c r="C1092" s="346">
        <v>173127</v>
      </c>
      <c r="D1092" s="345" t="s">
        <v>944</v>
      </c>
      <c r="E1092" s="347" t="s">
        <v>4240</v>
      </c>
      <c r="F1092" s="343" t="s">
        <v>2608</v>
      </c>
      <c r="I1092" s="345">
        <v>60</v>
      </c>
      <c r="J1092" s="347"/>
      <c r="K1092" s="345">
        <v>0</v>
      </c>
      <c r="L1092" s="347" t="s">
        <v>2609</v>
      </c>
      <c r="M1092" s="347"/>
      <c r="N1092" s="347" t="s">
        <v>4446</v>
      </c>
      <c r="O1092" s="347" t="s">
        <v>4441</v>
      </c>
      <c r="P1092" s="347"/>
      <c r="Q1092" s="347"/>
      <c r="R1092" s="347"/>
      <c r="S1092" s="348">
        <v>36371</v>
      </c>
      <c r="T1092" s="348">
        <v>36371</v>
      </c>
      <c r="U1092" s="347" t="s">
        <v>2610</v>
      </c>
      <c r="V1092" s="345">
        <v>1200</v>
      </c>
      <c r="W1092" s="345">
        <v>14050</v>
      </c>
      <c r="X1092" s="349">
        <v>2887.07</v>
      </c>
      <c r="Y1092" s="345">
        <v>14056</v>
      </c>
      <c r="Z1092" s="349">
        <v>2887.07</v>
      </c>
      <c r="AA1092" s="349">
        <f t="shared" si="101"/>
        <v>0</v>
      </c>
      <c r="AB1092" s="349">
        <v>0</v>
      </c>
      <c r="AC1092" s="345">
        <v>54260</v>
      </c>
      <c r="AD1092" s="349">
        <v>0</v>
      </c>
      <c r="AE1092" s="345" t="s">
        <v>944</v>
      </c>
      <c r="AF1092" s="347"/>
      <c r="AG1092" s="347"/>
      <c r="AH1092" s="347" t="s">
        <v>57</v>
      </c>
      <c r="AI1092" s="347" t="s">
        <v>4442</v>
      </c>
      <c r="AJ1092" s="347" t="s">
        <v>4443</v>
      </c>
      <c r="AK1092" s="347" t="s">
        <v>4437</v>
      </c>
      <c r="AL1092" s="387">
        <v>45574</v>
      </c>
    </row>
    <row r="1093" spans="2:38" ht="15.75" outlineLevel="1">
      <c r="B1093" s="345">
        <v>2111</v>
      </c>
      <c r="C1093" s="346">
        <v>173126</v>
      </c>
      <c r="D1093" s="345" t="s">
        <v>944</v>
      </c>
      <c r="E1093" s="347" t="s">
        <v>4240</v>
      </c>
      <c r="F1093" s="343" t="s">
        <v>2611</v>
      </c>
      <c r="I1093" s="345">
        <v>7</v>
      </c>
      <c r="J1093" s="347"/>
      <c r="K1093" s="345">
        <v>0</v>
      </c>
      <c r="L1093" s="347" t="s">
        <v>2609</v>
      </c>
      <c r="M1093" s="347"/>
      <c r="N1093" s="347" t="s">
        <v>4446</v>
      </c>
      <c r="O1093" s="347" t="s">
        <v>4441</v>
      </c>
      <c r="P1093" s="347"/>
      <c r="Q1093" s="347" t="s">
        <v>4459</v>
      </c>
      <c r="R1093" s="347" t="s">
        <v>4450</v>
      </c>
      <c r="S1093" s="348">
        <v>36371</v>
      </c>
      <c r="T1093" s="348">
        <v>36371</v>
      </c>
      <c r="U1093" s="347" t="s">
        <v>2610</v>
      </c>
      <c r="V1093" s="345">
        <v>1200</v>
      </c>
      <c r="W1093" s="345">
        <v>14050</v>
      </c>
      <c r="X1093" s="349">
        <v>2009.28</v>
      </c>
      <c r="Y1093" s="345">
        <v>14056</v>
      </c>
      <c r="Z1093" s="349">
        <v>2009.28</v>
      </c>
      <c r="AA1093" s="349">
        <f t="shared" si="101"/>
        <v>0</v>
      </c>
      <c r="AB1093" s="349">
        <v>0</v>
      </c>
      <c r="AC1093" s="345">
        <v>54260</v>
      </c>
      <c r="AD1093" s="349">
        <v>0</v>
      </c>
      <c r="AE1093" s="345" t="s">
        <v>944</v>
      </c>
      <c r="AF1093" s="347"/>
      <c r="AG1093" s="347"/>
      <c r="AH1093" s="347" t="s">
        <v>57</v>
      </c>
      <c r="AI1093" s="347" t="s">
        <v>4442</v>
      </c>
      <c r="AJ1093" s="347" t="s">
        <v>4443</v>
      </c>
      <c r="AK1093" s="347" t="s">
        <v>4437</v>
      </c>
      <c r="AL1093" s="387">
        <v>45574</v>
      </c>
    </row>
    <row r="1094" spans="2:38" ht="15.75" outlineLevel="1">
      <c r="B1094" s="345">
        <v>2111</v>
      </c>
      <c r="C1094" s="346">
        <v>173123</v>
      </c>
      <c r="D1094" s="345" t="s">
        <v>944</v>
      </c>
      <c r="E1094" s="347" t="s">
        <v>4240</v>
      </c>
      <c r="F1094" s="343" t="s">
        <v>2613</v>
      </c>
      <c r="I1094" s="345">
        <v>384</v>
      </c>
      <c r="J1094" s="347"/>
      <c r="K1094" s="345">
        <v>0</v>
      </c>
      <c r="L1094" s="347"/>
      <c r="M1094" s="347"/>
      <c r="N1094" s="347" t="s">
        <v>4446</v>
      </c>
      <c r="O1094" s="347" t="s">
        <v>4441</v>
      </c>
      <c r="P1094" s="347"/>
      <c r="Q1094" s="347"/>
      <c r="R1094" s="347"/>
      <c r="S1094" s="348">
        <v>35885</v>
      </c>
      <c r="T1094" s="348">
        <v>35885</v>
      </c>
      <c r="U1094" s="347"/>
      <c r="V1094" s="345">
        <v>500</v>
      </c>
      <c r="W1094" s="345">
        <v>14050</v>
      </c>
      <c r="X1094" s="349">
        <v>18627.46</v>
      </c>
      <c r="Y1094" s="345">
        <v>14056</v>
      </c>
      <c r="Z1094" s="349">
        <v>18627.46</v>
      </c>
      <c r="AA1094" s="349">
        <f t="shared" si="101"/>
        <v>0</v>
      </c>
      <c r="AB1094" s="349">
        <v>0</v>
      </c>
      <c r="AC1094" s="345">
        <v>54260</v>
      </c>
      <c r="AD1094" s="349">
        <v>0</v>
      </c>
      <c r="AE1094" s="345" t="s">
        <v>410</v>
      </c>
      <c r="AF1094" s="347" t="s">
        <v>2218</v>
      </c>
      <c r="AG1094" s="347" t="s">
        <v>2206</v>
      </c>
      <c r="AH1094" s="347" t="s">
        <v>57</v>
      </c>
      <c r="AI1094" s="347" t="s">
        <v>4442</v>
      </c>
      <c r="AJ1094" s="347" t="s">
        <v>4443</v>
      </c>
      <c r="AK1094" s="347" t="s">
        <v>4437</v>
      </c>
      <c r="AL1094" s="387">
        <v>45574</v>
      </c>
    </row>
    <row r="1095" spans="2:38" ht="15.75" outlineLevel="1">
      <c r="B1095" s="345">
        <v>2111</v>
      </c>
      <c r="C1095" s="346">
        <v>173122</v>
      </c>
      <c r="D1095" s="345" t="s">
        <v>944</v>
      </c>
      <c r="E1095" s="347" t="s">
        <v>4240</v>
      </c>
      <c r="F1095" s="343" t="s">
        <v>2614</v>
      </c>
      <c r="I1095" s="345">
        <v>25</v>
      </c>
      <c r="J1095" s="347"/>
      <c r="K1095" s="345">
        <v>0</v>
      </c>
      <c r="L1095" s="347"/>
      <c r="M1095" s="347"/>
      <c r="N1095" s="347" t="s">
        <v>4446</v>
      </c>
      <c r="O1095" s="347" t="s">
        <v>4441</v>
      </c>
      <c r="P1095" s="347"/>
      <c r="Q1095" s="347" t="s">
        <v>4449</v>
      </c>
      <c r="R1095" s="347" t="s">
        <v>4450</v>
      </c>
      <c r="S1095" s="348">
        <v>35513</v>
      </c>
      <c r="T1095" s="348">
        <v>35513</v>
      </c>
      <c r="U1095" s="347"/>
      <c r="V1095" s="345">
        <v>1200</v>
      </c>
      <c r="W1095" s="345">
        <v>14050</v>
      </c>
      <c r="X1095" s="349">
        <v>6806.16</v>
      </c>
      <c r="Y1095" s="345">
        <v>14056</v>
      </c>
      <c r="Z1095" s="349">
        <v>6806.16</v>
      </c>
      <c r="AA1095" s="349">
        <f t="shared" si="101"/>
        <v>0</v>
      </c>
      <c r="AB1095" s="349">
        <v>0</v>
      </c>
      <c r="AC1095" s="345">
        <v>54260</v>
      </c>
      <c r="AD1095" s="349">
        <v>0</v>
      </c>
      <c r="AE1095" s="345" t="s">
        <v>410</v>
      </c>
      <c r="AF1095" s="347" t="s">
        <v>2218</v>
      </c>
      <c r="AG1095" s="347" t="s">
        <v>2206</v>
      </c>
      <c r="AH1095" s="347" t="s">
        <v>57</v>
      </c>
      <c r="AI1095" s="347" t="s">
        <v>4442</v>
      </c>
      <c r="AJ1095" s="347" t="s">
        <v>4443</v>
      </c>
      <c r="AK1095" s="347" t="s">
        <v>4437</v>
      </c>
      <c r="AL1095" s="387">
        <v>45574</v>
      </c>
    </row>
    <row r="1096" spans="2:38" ht="15.75" outlineLevel="1">
      <c r="B1096" s="345">
        <v>2111</v>
      </c>
      <c r="C1096" s="346">
        <v>173121</v>
      </c>
      <c r="D1096" s="345" t="s">
        <v>944</v>
      </c>
      <c r="E1096" s="347" t="s">
        <v>4240</v>
      </c>
      <c r="F1096" s="343" t="s">
        <v>2613</v>
      </c>
      <c r="I1096" s="345">
        <v>720</v>
      </c>
      <c r="J1096" s="347"/>
      <c r="K1096" s="345">
        <v>0</v>
      </c>
      <c r="L1096" s="347"/>
      <c r="M1096" s="347"/>
      <c r="N1096" s="347" t="s">
        <v>4446</v>
      </c>
      <c r="O1096" s="347" t="s">
        <v>4441</v>
      </c>
      <c r="P1096" s="347"/>
      <c r="Q1096" s="347"/>
      <c r="R1096" s="347"/>
      <c r="S1096" s="348">
        <v>35481</v>
      </c>
      <c r="T1096" s="348">
        <v>35481</v>
      </c>
      <c r="U1096" s="347"/>
      <c r="V1096" s="345">
        <v>500</v>
      </c>
      <c r="W1096" s="345">
        <v>14050</v>
      </c>
      <c r="X1096" s="349">
        <v>36547.199999999997</v>
      </c>
      <c r="Y1096" s="345">
        <v>14056</v>
      </c>
      <c r="Z1096" s="349">
        <v>36547.199999999997</v>
      </c>
      <c r="AA1096" s="349">
        <f t="shared" si="101"/>
        <v>0</v>
      </c>
      <c r="AB1096" s="349">
        <v>0</v>
      </c>
      <c r="AC1096" s="345">
        <v>54260</v>
      </c>
      <c r="AD1096" s="349">
        <v>0</v>
      </c>
      <c r="AE1096" s="345" t="s">
        <v>410</v>
      </c>
      <c r="AF1096" s="347" t="s">
        <v>2218</v>
      </c>
      <c r="AG1096" s="347" t="s">
        <v>2206</v>
      </c>
      <c r="AH1096" s="347" t="s">
        <v>57</v>
      </c>
      <c r="AI1096" s="347" t="s">
        <v>4442</v>
      </c>
      <c r="AJ1096" s="347" t="s">
        <v>4443</v>
      </c>
      <c r="AK1096" s="347" t="s">
        <v>4437</v>
      </c>
      <c r="AL1096" s="387">
        <v>45574</v>
      </c>
    </row>
    <row r="1097" spans="2:38" ht="15.75" outlineLevel="1">
      <c r="B1097" s="345">
        <v>2111</v>
      </c>
      <c r="C1097" s="346">
        <v>173120</v>
      </c>
      <c r="D1097" s="345" t="s">
        <v>944</v>
      </c>
      <c r="E1097" s="347" t="s">
        <v>4240</v>
      </c>
      <c r="F1097" s="343" t="s">
        <v>2613</v>
      </c>
      <c r="I1097" s="345">
        <v>360</v>
      </c>
      <c r="J1097" s="347"/>
      <c r="K1097" s="345">
        <v>0</v>
      </c>
      <c r="L1097" s="347"/>
      <c r="M1097" s="347"/>
      <c r="N1097" s="347" t="s">
        <v>4446</v>
      </c>
      <c r="O1097" s="347" t="s">
        <v>4441</v>
      </c>
      <c r="P1097" s="347"/>
      <c r="Q1097" s="347"/>
      <c r="R1097" s="347"/>
      <c r="S1097" s="348">
        <v>35454</v>
      </c>
      <c r="T1097" s="348">
        <v>35454</v>
      </c>
      <c r="U1097" s="347"/>
      <c r="V1097" s="345">
        <v>500</v>
      </c>
      <c r="W1097" s="345">
        <v>14050</v>
      </c>
      <c r="X1097" s="349">
        <v>20165.04</v>
      </c>
      <c r="Y1097" s="345">
        <v>14056</v>
      </c>
      <c r="Z1097" s="349">
        <v>20165.04</v>
      </c>
      <c r="AA1097" s="349">
        <f t="shared" si="101"/>
        <v>0</v>
      </c>
      <c r="AB1097" s="349">
        <v>0</v>
      </c>
      <c r="AC1097" s="345">
        <v>54260</v>
      </c>
      <c r="AD1097" s="349">
        <v>0</v>
      </c>
      <c r="AE1097" s="345" t="s">
        <v>410</v>
      </c>
      <c r="AF1097" s="347" t="s">
        <v>2218</v>
      </c>
      <c r="AG1097" s="347" t="s">
        <v>2206</v>
      </c>
      <c r="AH1097" s="347" t="s">
        <v>57</v>
      </c>
      <c r="AI1097" s="347" t="s">
        <v>4442</v>
      </c>
      <c r="AJ1097" s="347" t="s">
        <v>4443</v>
      </c>
      <c r="AK1097" s="347" t="s">
        <v>4437</v>
      </c>
      <c r="AL1097" s="387">
        <v>45574</v>
      </c>
    </row>
    <row r="1098" spans="2:38" ht="15.75" outlineLevel="1">
      <c r="B1098" s="345">
        <v>2111</v>
      </c>
      <c r="C1098" s="346">
        <v>173119</v>
      </c>
      <c r="D1098" s="345" t="s">
        <v>944</v>
      </c>
      <c r="E1098" s="347" t="s">
        <v>4240</v>
      </c>
      <c r="F1098" s="343" t="s">
        <v>2615</v>
      </c>
      <c r="I1098" s="345">
        <v>1</v>
      </c>
      <c r="J1098" s="347"/>
      <c r="K1098" s="345">
        <v>0</v>
      </c>
      <c r="L1098" s="347"/>
      <c r="M1098" s="347"/>
      <c r="N1098" s="347" t="s">
        <v>4446</v>
      </c>
      <c r="O1098" s="347" t="s">
        <v>4441</v>
      </c>
      <c r="P1098" s="347"/>
      <c r="Q1098" s="347" t="s">
        <v>4447</v>
      </c>
      <c r="R1098" s="347" t="s">
        <v>4448</v>
      </c>
      <c r="S1098" s="348">
        <v>35215</v>
      </c>
      <c r="T1098" s="348">
        <v>35215</v>
      </c>
      <c r="U1098" s="347"/>
      <c r="V1098" s="345">
        <v>1200</v>
      </c>
      <c r="W1098" s="345">
        <v>14050</v>
      </c>
      <c r="X1098" s="349">
        <v>3257.05</v>
      </c>
      <c r="Y1098" s="345">
        <v>14056</v>
      </c>
      <c r="Z1098" s="349">
        <v>3257.05</v>
      </c>
      <c r="AA1098" s="349">
        <f t="shared" si="101"/>
        <v>0</v>
      </c>
      <c r="AB1098" s="349">
        <v>0</v>
      </c>
      <c r="AC1098" s="345">
        <v>54260</v>
      </c>
      <c r="AD1098" s="349">
        <v>0</v>
      </c>
      <c r="AE1098" s="345" t="s">
        <v>410</v>
      </c>
      <c r="AF1098" s="347" t="s">
        <v>2218</v>
      </c>
      <c r="AG1098" s="347" t="s">
        <v>2206</v>
      </c>
      <c r="AH1098" s="347" t="s">
        <v>57</v>
      </c>
      <c r="AI1098" s="347" t="s">
        <v>4442</v>
      </c>
      <c r="AJ1098" s="347" t="s">
        <v>4443</v>
      </c>
      <c r="AK1098" s="347" t="s">
        <v>4437</v>
      </c>
      <c r="AL1098" s="387">
        <v>45574</v>
      </c>
    </row>
    <row r="1099" spans="2:38" ht="15.75" outlineLevel="1">
      <c r="B1099" s="345">
        <v>2111</v>
      </c>
      <c r="C1099" s="346">
        <v>173118</v>
      </c>
      <c r="D1099" s="345" t="s">
        <v>944</v>
      </c>
      <c r="E1099" s="347" t="s">
        <v>4240</v>
      </c>
      <c r="F1099" s="343" t="s">
        <v>2616</v>
      </c>
      <c r="I1099" s="345">
        <v>20</v>
      </c>
      <c r="J1099" s="347"/>
      <c r="K1099" s="345">
        <v>0</v>
      </c>
      <c r="L1099" s="347"/>
      <c r="M1099" s="347"/>
      <c r="N1099" s="347" t="s">
        <v>4446</v>
      </c>
      <c r="O1099" s="347" t="s">
        <v>4441</v>
      </c>
      <c r="P1099" s="347"/>
      <c r="Q1099" s="347" t="s">
        <v>4449</v>
      </c>
      <c r="R1099" s="347" t="s">
        <v>4450</v>
      </c>
      <c r="S1099" s="348">
        <v>35152</v>
      </c>
      <c r="T1099" s="348">
        <v>35152</v>
      </c>
      <c r="U1099" s="347"/>
      <c r="V1099" s="345">
        <v>1200</v>
      </c>
      <c r="W1099" s="345">
        <v>14050</v>
      </c>
      <c r="X1099" s="349">
        <v>5439.89</v>
      </c>
      <c r="Y1099" s="345">
        <v>14056</v>
      </c>
      <c r="Z1099" s="349">
        <v>5439.89</v>
      </c>
      <c r="AA1099" s="349">
        <f t="shared" si="101"/>
        <v>0</v>
      </c>
      <c r="AB1099" s="349">
        <v>0</v>
      </c>
      <c r="AC1099" s="345">
        <v>54260</v>
      </c>
      <c r="AD1099" s="349">
        <v>0</v>
      </c>
      <c r="AE1099" s="345" t="s">
        <v>410</v>
      </c>
      <c r="AF1099" s="347" t="s">
        <v>2218</v>
      </c>
      <c r="AG1099" s="347" t="s">
        <v>2206</v>
      </c>
      <c r="AH1099" s="347" t="s">
        <v>57</v>
      </c>
      <c r="AI1099" s="347" t="s">
        <v>4442</v>
      </c>
      <c r="AJ1099" s="347" t="s">
        <v>4443</v>
      </c>
      <c r="AK1099" s="347" t="s">
        <v>4437</v>
      </c>
      <c r="AL1099" s="387">
        <v>45574</v>
      </c>
    </row>
    <row r="1100" spans="2:38" ht="15.75" outlineLevel="1">
      <c r="B1100" s="345">
        <v>2111</v>
      </c>
      <c r="C1100" s="346">
        <v>173117</v>
      </c>
      <c r="D1100" s="345" t="s">
        <v>944</v>
      </c>
      <c r="E1100" s="347" t="s">
        <v>4240</v>
      </c>
      <c r="F1100" s="343" t="s">
        <v>2613</v>
      </c>
      <c r="I1100" s="345">
        <v>340</v>
      </c>
      <c r="J1100" s="347"/>
      <c r="K1100" s="345">
        <v>0</v>
      </c>
      <c r="L1100" s="347"/>
      <c r="M1100" s="347"/>
      <c r="N1100" s="347" t="s">
        <v>4446</v>
      </c>
      <c r="O1100" s="347" t="s">
        <v>4441</v>
      </c>
      <c r="P1100" s="347"/>
      <c r="Q1100" s="347"/>
      <c r="R1100" s="347"/>
      <c r="S1100" s="348">
        <v>35152</v>
      </c>
      <c r="T1100" s="348">
        <v>35152</v>
      </c>
      <c r="U1100" s="347"/>
      <c r="V1100" s="345">
        <v>500</v>
      </c>
      <c r="W1100" s="345">
        <v>14050</v>
      </c>
      <c r="X1100" s="349">
        <v>20004.66</v>
      </c>
      <c r="Y1100" s="345">
        <v>14056</v>
      </c>
      <c r="Z1100" s="349">
        <v>20004.66</v>
      </c>
      <c r="AA1100" s="349">
        <f t="shared" si="101"/>
        <v>0</v>
      </c>
      <c r="AB1100" s="349">
        <v>0</v>
      </c>
      <c r="AC1100" s="345">
        <v>54260</v>
      </c>
      <c r="AD1100" s="349">
        <v>0</v>
      </c>
      <c r="AE1100" s="345" t="s">
        <v>410</v>
      </c>
      <c r="AF1100" s="347" t="s">
        <v>2218</v>
      </c>
      <c r="AG1100" s="347" t="s">
        <v>2206</v>
      </c>
      <c r="AH1100" s="347" t="s">
        <v>57</v>
      </c>
      <c r="AI1100" s="347" t="s">
        <v>4442</v>
      </c>
      <c r="AJ1100" s="347" t="s">
        <v>4443</v>
      </c>
      <c r="AK1100" s="347" t="s">
        <v>4437</v>
      </c>
      <c r="AL1100" s="387">
        <v>45574</v>
      </c>
    </row>
    <row r="1101" spans="2:38" ht="15.75" outlineLevel="1">
      <c r="B1101" s="345">
        <v>2111</v>
      </c>
      <c r="C1101" s="346">
        <v>173116</v>
      </c>
      <c r="D1101" s="345" t="s">
        <v>944</v>
      </c>
      <c r="E1101" s="347" t="s">
        <v>4240</v>
      </c>
      <c r="F1101" s="343" t="s">
        <v>2617</v>
      </c>
      <c r="I1101" s="345">
        <v>2</v>
      </c>
      <c r="J1101" s="347"/>
      <c r="K1101" s="345">
        <v>0</v>
      </c>
      <c r="L1101" s="347"/>
      <c r="M1101" s="347"/>
      <c r="N1101" s="347" t="s">
        <v>4446</v>
      </c>
      <c r="O1101" s="347" t="s">
        <v>4441</v>
      </c>
      <c r="P1101" s="347"/>
      <c r="Q1101" s="347" t="s">
        <v>4501</v>
      </c>
      <c r="R1101" s="347" t="s">
        <v>4448</v>
      </c>
      <c r="S1101" s="348">
        <v>35109</v>
      </c>
      <c r="T1101" s="348">
        <v>35109</v>
      </c>
      <c r="U1101" s="347"/>
      <c r="V1101" s="345">
        <v>1200</v>
      </c>
      <c r="W1101" s="345">
        <v>14050</v>
      </c>
      <c r="X1101" s="349">
        <v>6957.42</v>
      </c>
      <c r="Y1101" s="345">
        <v>14056</v>
      </c>
      <c r="Z1101" s="349">
        <v>6957.42</v>
      </c>
      <c r="AA1101" s="349">
        <f t="shared" si="101"/>
        <v>0</v>
      </c>
      <c r="AB1101" s="349">
        <v>0</v>
      </c>
      <c r="AC1101" s="345">
        <v>54260</v>
      </c>
      <c r="AD1101" s="349">
        <v>0</v>
      </c>
      <c r="AE1101" s="345" t="s">
        <v>410</v>
      </c>
      <c r="AF1101" s="347" t="s">
        <v>2218</v>
      </c>
      <c r="AG1101" s="347" t="s">
        <v>2206</v>
      </c>
      <c r="AH1101" s="347" t="s">
        <v>57</v>
      </c>
      <c r="AI1101" s="347" t="s">
        <v>4442</v>
      </c>
      <c r="AJ1101" s="347" t="s">
        <v>4443</v>
      </c>
      <c r="AK1101" s="347" t="s">
        <v>4437</v>
      </c>
      <c r="AL1101" s="387">
        <v>45574</v>
      </c>
    </row>
    <row r="1102" spans="2:38" ht="15.75" outlineLevel="1">
      <c r="B1102" s="345">
        <v>2111</v>
      </c>
      <c r="C1102" s="346">
        <v>173115</v>
      </c>
      <c r="D1102" s="345" t="s">
        <v>944</v>
      </c>
      <c r="E1102" s="347" t="s">
        <v>4240</v>
      </c>
      <c r="F1102" s="343" t="s">
        <v>2618</v>
      </c>
      <c r="I1102" s="345">
        <v>2</v>
      </c>
      <c r="J1102" s="347"/>
      <c r="K1102" s="345">
        <v>0</v>
      </c>
      <c r="L1102" s="347"/>
      <c r="M1102" s="347"/>
      <c r="N1102" s="347" t="s">
        <v>4446</v>
      </c>
      <c r="O1102" s="347" t="s">
        <v>4441</v>
      </c>
      <c r="P1102" s="347"/>
      <c r="Q1102" s="347" t="s">
        <v>4447</v>
      </c>
      <c r="R1102" s="347" t="s">
        <v>4448</v>
      </c>
      <c r="S1102" s="348">
        <v>35110</v>
      </c>
      <c r="T1102" s="348">
        <v>35110</v>
      </c>
      <c r="U1102" s="347"/>
      <c r="V1102" s="345">
        <v>1200</v>
      </c>
      <c r="W1102" s="345">
        <v>14050</v>
      </c>
      <c r="X1102" s="349">
        <v>7892.61</v>
      </c>
      <c r="Y1102" s="345">
        <v>14056</v>
      </c>
      <c r="Z1102" s="349">
        <v>7892.61</v>
      </c>
      <c r="AA1102" s="349">
        <f t="shared" si="101"/>
        <v>0</v>
      </c>
      <c r="AB1102" s="349">
        <v>0</v>
      </c>
      <c r="AC1102" s="345">
        <v>54260</v>
      </c>
      <c r="AD1102" s="349">
        <v>0</v>
      </c>
      <c r="AE1102" s="345" t="s">
        <v>410</v>
      </c>
      <c r="AF1102" s="347" t="s">
        <v>2218</v>
      </c>
      <c r="AG1102" s="347" t="s">
        <v>2206</v>
      </c>
      <c r="AH1102" s="347" t="s">
        <v>57</v>
      </c>
      <c r="AI1102" s="347" t="s">
        <v>4442</v>
      </c>
      <c r="AJ1102" s="347" t="s">
        <v>4443</v>
      </c>
      <c r="AK1102" s="347" t="s">
        <v>4437</v>
      </c>
      <c r="AL1102" s="387">
        <v>45574</v>
      </c>
    </row>
    <row r="1103" spans="2:38" ht="15.75" outlineLevel="1">
      <c r="B1103" s="345">
        <v>2111</v>
      </c>
      <c r="C1103" s="346">
        <v>173114</v>
      </c>
      <c r="D1103" s="345" t="s">
        <v>944</v>
      </c>
      <c r="E1103" s="347" t="s">
        <v>4240</v>
      </c>
      <c r="F1103" s="343" t="s">
        <v>2619</v>
      </c>
      <c r="I1103" s="345">
        <v>50</v>
      </c>
      <c r="J1103" s="347"/>
      <c r="K1103" s="345">
        <v>0</v>
      </c>
      <c r="L1103" s="347"/>
      <c r="M1103" s="347"/>
      <c r="N1103" s="347" t="s">
        <v>4446</v>
      </c>
      <c r="O1103" s="347" t="s">
        <v>4441</v>
      </c>
      <c r="P1103" s="347"/>
      <c r="Q1103" s="347" t="s">
        <v>4459</v>
      </c>
      <c r="R1103" s="347" t="s">
        <v>4450</v>
      </c>
      <c r="S1103" s="348">
        <v>34912</v>
      </c>
      <c r="T1103" s="348">
        <v>34912</v>
      </c>
      <c r="U1103" s="347"/>
      <c r="V1103" s="345">
        <v>1200</v>
      </c>
      <c r="W1103" s="345">
        <v>14050</v>
      </c>
      <c r="X1103" s="349">
        <v>16670.560000000001</v>
      </c>
      <c r="Y1103" s="345">
        <v>14056</v>
      </c>
      <c r="Z1103" s="349">
        <v>16670.560000000001</v>
      </c>
      <c r="AA1103" s="349">
        <f t="shared" si="101"/>
        <v>0</v>
      </c>
      <c r="AB1103" s="349">
        <v>0</v>
      </c>
      <c r="AC1103" s="345">
        <v>54260</v>
      </c>
      <c r="AD1103" s="349">
        <v>0</v>
      </c>
      <c r="AE1103" s="345" t="s">
        <v>410</v>
      </c>
      <c r="AF1103" s="347" t="s">
        <v>2218</v>
      </c>
      <c r="AG1103" s="347" t="s">
        <v>2206</v>
      </c>
      <c r="AH1103" s="347" t="s">
        <v>57</v>
      </c>
      <c r="AI1103" s="347" t="s">
        <v>4442</v>
      </c>
      <c r="AJ1103" s="347" t="s">
        <v>4443</v>
      </c>
      <c r="AK1103" s="347" t="s">
        <v>4437</v>
      </c>
      <c r="AL1103" s="387">
        <v>45574</v>
      </c>
    </row>
    <row r="1104" spans="2:38" ht="15.75" outlineLevel="1">
      <c r="B1104" s="345">
        <v>2111</v>
      </c>
      <c r="C1104" s="346">
        <v>173113</v>
      </c>
      <c r="D1104" s="345" t="s">
        <v>944</v>
      </c>
      <c r="E1104" s="347" t="s">
        <v>4240</v>
      </c>
      <c r="F1104" s="343" t="s">
        <v>2620</v>
      </c>
      <c r="I1104" s="345">
        <v>1982</v>
      </c>
      <c r="J1104" s="347"/>
      <c r="K1104" s="345">
        <v>0</v>
      </c>
      <c r="L1104" s="347"/>
      <c r="M1104" s="347"/>
      <c r="N1104" s="347" t="s">
        <v>4446</v>
      </c>
      <c r="O1104" s="347" t="s">
        <v>4441</v>
      </c>
      <c r="P1104" s="347"/>
      <c r="Q1104" s="347"/>
      <c r="R1104" s="347"/>
      <c r="S1104" s="348">
        <v>34875</v>
      </c>
      <c r="T1104" s="348">
        <v>34875</v>
      </c>
      <c r="U1104" s="347"/>
      <c r="V1104" s="345">
        <v>500</v>
      </c>
      <c r="W1104" s="345">
        <v>14050</v>
      </c>
      <c r="X1104" s="349">
        <v>12179.42</v>
      </c>
      <c r="Y1104" s="345">
        <v>14056</v>
      </c>
      <c r="Z1104" s="349">
        <v>12179.42</v>
      </c>
      <c r="AA1104" s="349">
        <f t="shared" si="101"/>
        <v>0</v>
      </c>
      <c r="AB1104" s="349">
        <v>0</v>
      </c>
      <c r="AC1104" s="345">
        <v>54260</v>
      </c>
      <c r="AD1104" s="349">
        <v>0</v>
      </c>
      <c r="AE1104" s="345" t="s">
        <v>410</v>
      </c>
      <c r="AF1104" s="347" t="s">
        <v>2218</v>
      </c>
      <c r="AG1104" s="347" t="s">
        <v>2206</v>
      </c>
      <c r="AH1104" s="347" t="s">
        <v>57</v>
      </c>
      <c r="AI1104" s="347" t="s">
        <v>4442</v>
      </c>
      <c r="AJ1104" s="347" t="s">
        <v>4443</v>
      </c>
      <c r="AK1104" s="347" t="s">
        <v>4437</v>
      </c>
      <c r="AL1104" s="387">
        <v>45574</v>
      </c>
    </row>
    <row r="1105" spans="2:38" ht="15.75" outlineLevel="1">
      <c r="B1105" s="345">
        <v>2111</v>
      </c>
      <c r="C1105" s="346">
        <v>173112</v>
      </c>
      <c r="D1105" s="345" t="s">
        <v>944</v>
      </c>
      <c r="E1105" s="347" t="s">
        <v>4240</v>
      </c>
      <c r="F1105" s="343" t="s">
        <v>2621</v>
      </c>
      <c r="I1105" s="345">
        <v>120</v>
      </c>
      <c r="J1105" s="347"/>
      <c r="K1105" s="345">
        <v>0</v>
      </c>
      <c r="L1105" s="347"/>
      <c r="M1105" s="347"/>
      <c r="N1105" s="347" t="s">
        <v>4446</v>
      </c>
      <c r="O1105" s="347" t="s">
        <v>4441</v>
      </c>
      <c r="P1105" s="347"/>
      <c r="Q1105" s="347"/>
      <c r="R1105" s="347"/>
      <c r="S1105" s="348">
        <v>34866</v>
      </c>
      <c r="T1105" s="348">
        <v>34866</v>
      </c>
      <c r="U1105" s="347"/>
      <c r="V1105" s="345">
        <v>500</v>
      </c>
      <c r="W1105" s="345">
        <v>14050</v>
      </c>
      <c r="X1105" s="349">
        <v>6862.44</v>
      </c>
      <c r="Y1105" s="345">
        <v>14056</v>
      </c>
      <c r="Z1105" s="349">
        <v>6862.44</v>
      </c>
      <c r="AA1105" s="349">
        <f t="shared" si="101"/>
        <v>0</v>
      </c>
      <c r="AB1105" s="349">
        <v>0</v>
      </c>
      <c r="AC1105" s="345">
        <v>54260</v>
      </c>
      <c r="AD1105" s="349">
        <v>0</v>
      </c>
      <c r="AE1105" s="345" t="s">
        <v>410</v>
      </c>
      <c r="AF1105" s="347" t="s">
        <v>2218</v>
      </c>
      <c r="AG1105" s="347" t="s">
        <v>2206</v>
      </c>
      <c r="AH1105" s="347" t="s">
        <v>57</v>
      </c>
      <c r="AI1105" s="347" t="s">
        <v>4442</v>
      </c>
      <c r="AJ1105" s="347" t="s">
        <v>4443</v>
      </c>
      <c r="AK1105" s="347" t="s">
        <v>4437</v>
      </c>
      <c r="AL1105" s="387">
        <v>45574</v>
      </c>
    </row>
    <row r="1106" spans="2:38" ht="15.75" outlineLevel="1">
      <c r="B1106" s="345">
        <v>2111</v>
      </c>
      <c r="C1106" s="346">
        <v>173111</v>
      </c>
      <c r="D1106" s="345" t="s">
        <v>944</v>
      </c>
      <c r="E1106" s="347" t="s">
        <v>4240</v>
      </c>
      <c r="F1106" s="343" t="s">
        <v>2622</v>
      </c>
      <c r="I1106" s="345">
        <v>340</v>
      </c>
      <c r="J1106" s="347"/>
      <c r="K1106" s="345">
        <v>0</v>
      </c>
      <c r="L1106" s="347"/>
      <c r="M1106" s="347"/>
      <c r="N1106" s="347" t="s">
        <v>4446</v>
      </c>
      <c r="O1106" s="347" t="s">
        <v>4441</v>
      </c>
      <c r="P1106" s="347"/>
      <c r="Q1106" s="347"/>
      <c r="R1106" s="347"/>
      <c r="S1106" s="348">
        <v>34785</v>
      </c>
      <c r="T1106" s="348">
        <v>34785</v>
      </c>
      <c r="U1106" s="347"/>
      <c r="V1106" s="345">
        <v>500</v>
      </c>
      <c r="W1106" s="345">
        <v>14050</v>
      </c>
      <c r="X1106" s="349">
        <v>19443.580000000002</v>
      </c>
      <c r="Y1106" s="345">
        <v>14056</v>
      </c>
      <c r="Z1106" s="349">
        <v>19443.580000000002</v>
      </c>
      <c r="AA1106" s="349">
        <f t="shared" si="101"/>
        <v>0</v>
      </c>
      <c r="AB1106" s="349">
        <v>0</v>
      </c>
      <c r="AC1106" s="345">
        <v>54260</v>
      </c>
      <c r="AD1106" s="349">
        <v>0</v>
      </c>
      <c r="AE1106" s="345" t="s">
        <v>410</v>
      </c>
      <c r="AF1106" s="347" t="s">
        <v>2218</v>
      </c>
      <c r="AG1106" s="347" t="s">
        <v>2206</v>
      </c>
      <c r="AH1106" s="347" t="s">
        <v>57</v>
      </c>
      <c r="AI1106" s="347" t="s">
        <v>4442</v>
      </c>
      <c r="AJ1106" s="347" t="s">
        <v>4443</v>
      </c>
      <c r="AK1106" s="347" t="s">
        <v>4437</v>
      </c>
      <c r="AL1106" s="387">
        <v>45574</v>
      </c>
    </row>
    <row r="1107" spans="2:38" ht="15.75" outlineLevel="1">
      <c r="B1107" s="345">
        <v>2111</v>
      </c>
      <c r="C1107" s="346">
        <v>173110</v>
      </c>
      <c r="D1107" s="345" t="s">
        <v>944</v>
      </c>
      <c r="E1107" s="347" t="s">
        <v>4240</v>
      </c>
      <c r="F1107" s="343" t="s">
        <v>2623</v>
      </c>
      <c r="I1107" s="345">
        <v>13</v>
      </c>
      <c r="J1107" s="347"/>
      <c r="K1107" s="345">
        <v>0</v>
      </c>
      <c r="L1107" s="347"/>
      <c r="M1107" s="347"/>
      <c r="N1107" s="347" t="s">
        <v>4446</v>
      </c>
      <c r="O1107" s="347" t="s">
        <v>4441</v>
      </c>
      <c r="P1107" s="347"/>
      <c r="Q1107" s="347" t="s">
        <v>4479</v>
      </c>
      <c r="R1107" s="347" t="s">
        <v>4450</v>
      </c>
      <c r="S1107" s="348">
        <v>34560</v>
      </c>
      <c r="T1107" s="348">
        <v>34560</v>
      </c>
      <c r="U1107" s="347"/>
      <c r="V1107" s="345">
        <v>1200</v>
      </c>
      <c r="W1107" s="345">
        <v>14050</v>
      </c>
      <c r="X1107" s="349">
        <v>4208.1000000000004</v>
      </c>
      <c r="Y1107" s="345">
        <v>14056</v>
      </c>
      <c r="Z1107" s="349">
        <v>4208.1000000000004</v>
      </c>
      <c r="AA1107" s="349">
        <f t="shared" si="101"/>
        <v>0</v>
      </c>
      <c r="AB1107" s="349">
        <v>0</v>
      </c>
      <c r="AC1107" s="345">
        <v>54260</v>
      </c>
      <c r="AD1107" s="349">
        <v>0</v>
      </c>
      <c r="AE1107" s="345" t="s">
        <v>410</v>
      </c>
      <c r="AF1107" s="347" t="s">
        <v>2218</v>
      </c>
      <c r="AG1107" s="347" t="s">
        <v>2206</v>
      </c>
      <c r="AH1107" s="347" t="s">
        <v>57</v>
      </c>
      <c r="AI1107" s="347" t="s">
        <v>4442</v>
      </c>
      <c r="AJ1107" s="347" t="s">
        <v>4443</v>
      </c>
      <c r="AK1107" s="347" t="s">
        <v>4437</v>
      </c>
      <c r="AL1107" s="387">
        <v>45574</v>
      </c>
    </row>
    <row r="1108" spans="2:38" ht="15.75" outlineLevel="1">
      <c r="B1108" s="345">
        <v>2111</v>
      </c>
      <c r="C1108" s="346">
        <v>173107</v>
      </c>
      <c r="D1108" s="345" t="s">
        <v>944</v>
      </c>
      <c r="E1108" s="347" t="s">
        <v>4240</v>
      </c>
      <c r="F1108" s="343" t="s">
        <v>2624</v>
      </c>
      <c r="I1108" s="345">
        <v>2</v>
      </c>
      <c r="J1108" s="347"/>
      <c r="K1108" s="345">
        <v>0</v>
      </c>
      <c r="L1108" s="347"/>
      <c r="M1108" s="347"/>
      <c r="N1108" s="347" t="s">
        <v>4446</v>
      </c>
      <c r="O1108" s="347" t="s">
        <v>4441</v>
      </c>
      <c r="P1108" s="347"/>
      <c r="Q1108" s="347" t="s">
        <v>4501</v>
      </c>
      <c r="R1108" s="347" t="s">
        <v>4448</v>
      </c>
      <c r="S1108" s="348">
        <v>34521</v>
      </c>
      <c r="T1108" s="348">
        <v>34521</v>
      </c>
      <c r="U1108" s="347"/>
      <c r="V1108" s="345">
        <v>1200</v>
      </c>
      <c r="W1108" s="345">
        <v>14050</v>
      </c>
      <c r="X1108" s="349">
        <v>6264.67</v>
      </c>
      <c r="Y1108" s="345">
        <v>14056</v>
      </c>
      <c r="Z1108" s="349">
        <v>6264.67</v>
      </c>
      <c r="AA1108" s="349">
        <f t="shared" si="101"/>
        <v>0</v>
      </c>
      <c r="AB1108" s="349">
        <v>0</v>
      </c>
      <c r="AC1108" s="345">
        <v>54260</v>
      </c>
      <c r="AD1108" s="349">
        <v>0</v>
      </c>
      <c r="AE1108" s="345" t="s">
        <v>410</v>
      </c>
      <c r="AF1108" s="347" t="s">
        <v>2218</v>
      </c>
      <c r="AG1108" s="347" t="s">
        <v>2206</v>
      </c>
      <c r="AH1108" s="347" t="s">
        <v>57</v>
      </c>
      <c r="AI1108" s="347" t="s">
        <v>4442</v>
      </c>
      <c r="AJ1108" s="347" t="s">
        <v>4443</v>
      </c>
      <c r="AK1108" s="347" t="s">
        <v>4437</v>
      </c>
      <c r="AL1108" s="387">
        <v>45574</v>
      </c>
    </row>
    <row r="1109" spans="2:38" ht="15.75" outlineLevel="1">
      <c r="B1109" s="345">
        <v>2111</v>
      </c>
      <c r="C1109" s="346">
        <v>173105</v>
      </c>
      <c r="D1109" s="345" t="s">
        <v>944</v>
      </c>
      <c r="E1109" s="347" t="s">
        <v>4240</v>
      </c>
      <c r="F1109" s="343" t="s">
        <v>2616</v>
      </c>
      <c r="I1109" s="345">
        <v>19</v>
      </c>
      <c r="J1109" s="347"/>
      <c r="K1109" s="345">
        <v>0</v>
      </c>
      <c r="L1109" s="347"/>
      <c r="M1109" s="347"/>
      <c r="N1109" s="347" t="s">
        <v>4446</v>
      </c>
      <c r="O1109" s="347" t="s">
        <v>4441</v>
      </c>
      <c r="P1109" s="347"/>
      <c r="Q1109" s="347" t="s">
        <v>4449</v>
      </c>
      <c r="R1109" s="347" t="s">
        <v>4450</v>
      </c>
      <c r="S1109" s="348">
        <v>34480</v>
      </c>
      <c r="T1109" s="348">
        <v>34480</v>
      </c>
      <c r="U1109" s="347"/>
      <c r="V1109" s="345">
        <v>1200</v>
      </c>
      <c r="W1109" s="345">
        <v>14050</v>
      </c>
      <c r="X1109" s="349">
        <v>4734.1000000000004</v>
      </c>
      <c r="Y1109" s="345">
        <v>14056</v>
      </c>
      <c r="Z1109" s="349">
        <v>4734.1000000000004</v>
      </c>
      <c r="AA1109" s="349">
        <f t="shared" si="101"/>
        <v>0</v>
      </c>
      <c r="AB1109" s="349">
        <v>0</v>
      </c>
      <c r="AC1109" s="345">
        <v>54260</v>
      </c>
      <c r="AD1109" s="349">
        <v>0</v>
      </c>
      <c r="AE1109" s="345" t="s">
        <v>410</v>
      </c>
      <c r="AF1109" s="347" t="s">
        <v>2218</v>
      </c>
      <c r="AG1109" s="347" t="s">
        <v>2206</v>
      </c>
      <c r="AH1109" s="347" t="s">
        <v>57</v>
      </c>
      <c r="AI1109" s="347" t="s">
        <v>4442</v>
      </c>
      <c r="AJ1109" s="347" t="s">
        <v>4443</v>
      </c>
      <c r="AK1109" s="347" t="s">
        <v>4437</v>
      </c>
      <c r="AL1109" s="387">
        <v>45574</v>
      </c>
    </row>
    <row r="1110" spans="2:38" ht="15.75" outlineLevel="1">
      <c r="B1110" s="345">
        <v>2111</v>
      </c>
      <c r="C1110" s="346">
        <v>173104</v>
      </c>
      <c r="D1110" s="345" t="s">
        <v>944</v>
      </c>
      <c r="E1110" s="347" t="s">
        <v>4240</v>
      </c>
      <c r="F1110" s="343" t="s">
        <v>2625</v>
      </c>
      <c r="I1110" s="345">
        <v>11</v>
      </c>
      <c r="J1110" s="347"/>
      <c r="K1110" s="345">
        <v>0</v>
      </c>
      <c r="L1110" s="347"/>
      <c r="M1110" s="347"/>
      <c r="N1110" s="347" t="s">
        <v>4446</v>
      </c>
      <c r="O1110" s="347" t="s">
        <v>4441</v>
      </c>
      <c r="P1110" s="347"/>
      <c r="Q1110" s="347" t="s">
        <v>4449</v>
      </c>
      <c r="R1110" s="347" t="s">
        <v>4450</v>
      </c>
      <c r="S1110" s="348">
        <v>34470</v>
      </c>
      <c r="T1110" s="348">
        <v>34470</v>
      </c>
      <c r="U1110" s="347"/>
      <c r="V1110" s="345">
        <v>1200</v>
      </c>
      <c r="W1110" s="345">
        <v>14050</v>
      </c>
      <c r="X1110" s="349">
        <v>2740.79</v>
      </c>
      <c r="Y1110" s="345">
        <v>14056</v>
      </c>
      <c r="Z1110" s="349">
        <v>2740.79</v>
      </c>
      <c r="AA1110" s="349">
        <f t="shared" si="101"/>
        <v>0</v>
      </c>
      <c r="AB1110" s="349">
        <v>0</v>
      </c>
      <c r="AC1110" s="345">
        <v>54260</v>
      </c>
      <c r="AD1110" s="349">
        <v>0</v>
      </c>
      <c r="AE1110" s="345" t="s">
        <v>410</v>
      </c>
      <c r="AF1110" s="347" t="s">
        <v>2218</v>
      </c>
      <c r="AG1110" s="347" t="s">
        <v>2206</v>
      </c>
      <c r="AH1110" s="347" t="s">
        <v>57</v>
      </c>
      <c r="AI1110" s="347" t="s">
        <v>4442</v>
      </c>
      <c r="AJ1110" s="347" t="s">
        <v>4443</v>
      </c>
      <c r="AK1110" s="347" t="s">
        <v>4437</v>
      </c>
      <c r="AL1110" s="387">
        <v>45574</v>
      </c>
    </row>
    <row r="1111" spans="2:38" ht="15.75" outlineLevel="1">
      <c r="B1111" s="345">
        <v>2111</v>
      </c>
      <c r="C1111" s="346">
        <v>173103</v>
      </c>
      <c r="D1111" s="345" t="s">
        <v>944</v>
      </c>
      <c r="E1111" s="347" t="s">
        <v>4240</v>
      </c>
      <c r="F1111" s="343" t="s">
        <v>2624</v>
      </c>
      <c r="I1111" s="345">
        <v>1</v>
      </c>
      <c r="J1111" s="347"/>
      <c r="K1111" s="345">
        <v>0</v>
      </c>
      <c r="L1111" s="347"/>
      <c r="M1111" s="347"/>
      <c r="N1111" s="347" t="s">
        <v>4446</v>
      </c>
      <c r="O1111" s="347" t="s">
        <v>4441</v>
      </c>
      <c r="P1111" s="347"/>
      <c r="Q1111" s="347" t="s">
        <v>4501</v>
      </c>
      <c r="R1111" s="347" t="s">
        <v>4448</v>
      </c>
      <c r="S1111" s="348">
        <v>34445</v>
      </c>
      <c r="T1111" s="348">
        <v>34445</v>
      </c>
      <c r="U1111" s="347"/>
      <c r="V1111" s="345">
        <v>1200</v>
      </c>
      <c r="W1111" s="345">
        <v>14050</v>
      </c>
      <c r="X1111" s="349">
        <v>3251.88</v>
      </c>
      <c r="Y1111" s="345">
        <v>14056</v>
      </c>
      <c r="Z1111" s="349">
        <v>3251.88</v>
      </c>
      <c r="AA1111" s="349">
        <f t="shared" si="101"/>
        <v>0</v>
      </c>
      <c r="AB1111" s="349">
        <v>0</v>
      </c>
      <c r="AC1111" s="345">
        <v>54260</v>
      </c>
      <c r="AD1111" s="349">
        <v>0</v>
      </c>
      <c r="AE1111" s="345" t="s">
        <v>410</v>
      </c>
      <c r="AF1111" s="347" t="s">
        <v>2218</v>
      </c>
      <c r="AG1111" s="347" t="s">
        <v>2206</v>
      </c>
      <c r="AH1111" s="347" t="s">
        <v>57</v>
      </c>
      <c r="AI1111" s="347" t="s">
        <v>4442</v>
      </c>
      <c r="AJ1111" s="347" t="s">
        <v>4443</v>
      </c>
      <c r="AK1111" s="347" t="s">
        <v>4437</v>
      </c>
      <c r="AL1111" s="387">
        <v>45574</v>
      </c>
    </row>
    <row r="1112" spans="2:38" ht="15.75" outlineLevel="1">
      <c r="B1112" s="345">
        <v>2111</v>
      </c>
      <c r="C1112" s="346">
        <v>173102</v>
      </c>
      <c r="D1112" s="345" t="s">
        <v>944</v>
      </c>
      <c r="E1112" s="347" t="s">
        <v>4240</v>
      </c>
      <c r="F1112" s="343" t="s">
        <v>2619</v>
      </c>
      <c r="I1112" s="345">
        <v>25</v>
      </c>
      <c r="J1112" s="347"/>
      <c r="K1112" s="345">
        <v>0</v>
      </c>
      <c r="L1112" s="347"/>
      <c r="M1112" s="347"/>
      <c r="N1112" s="347" t="s">
        <v>4446</v>
      </c>
      <c r="O1112" s="347" t="s">
        <v>4441</v>
      </c>
      <c r="P1112" s="347"/>
      <c r="Q1112" s="347" t="s">
        <v>4459</v>
      </c>
      <c r="R1112" s="347" t="s">
        <v>4450</v>
      </c>
      <c r="S1112" s="348">
        <v>34410</v>
      </c>
      <c r="T1112" s="348">
        <v>34410</v>
      </c>
      <c r="U1112" s="347"/>
      <c r="V1112" s="345">
        <v>1200</v>
      </c>
      <c r="W1112" s="345">
        <v>14050</v>
      </c>
      <c r="X1112" s="349">
        <v>8335.2800000000007</v>
      </c>
      <c r="Y1112" s="345">
        <v>14056</v>
      </c>
      <c r="Z1112" s="349">
        <v>8335.2800000000007</v>
      </c>
      <c r="AA1112" s="349">
        <f t="shared" si="101"/>
        <v>0</v>
      </c>
      <c r="AB1112" s="349">
        <v>0</v>
      </c>
      <c r="AC1112" s="345">
        <v>54260</v>
      </c>
      <c r="AD1112" s="349">
        <v>0</v>
      </c>
      <c r="AE1112" s="345" t="s">
        <v>410</v>
      </c>
      <c r="AF1112" s="347" t="s">
        <v>2218</v>
      </c>
      <c r="AG1112" s="347" t="s">
        <v>2206</v>
      </c>
      <c r="AH1112" s="347" t="s">
        <v>57</v>
      </c>
      <c r="AI1112" s="347" t="s">
        <v>4442</v>
      </c>
      <c r="AJ1112" s="347" t="s">
        <v>4443</v>
      </c>
      <c r="AK1112" s="347" t="s">
        <v>4437</v>
      </c>
      <c r="AL1112" s="387">
        <v>45574</v>
      </c>
    </row>
    <row r="1113" spans="2:38" ht="15.75" outlineLevel="1">
      <c r="B1113" s="345">
        <v>2111</v>
      </c>
      <c r="C1113" s="346">
        <v>173098</v>
      </c>
      <c r="D1113" s="345" t="s">
        <v>944</v>
      </c>
      <c r="E1113" s="347" t="s">
        <v>4240</v>
      </c>
      <c r="F1113" s="343" t="s">
        <v>2619</v>
      </c>
      <c r="I1113" s="345">
        <v>25</v>
      </c>
      <c r="J1113" s="347"/>
      <c r="K1113" s="345">
        <v>0</v>
      </c>
      <c r="L1113" s="347"/>
      <c r="M1113" s="347"/>
      <c r="N1113" s="347" t="s">
        <v>4446</v>
      </c>
      <c r="O1113" s="347" t="s">
        <v>4441</v>
      </c>
      <c r="P1113" s="347"/>
      <c r="Q1113" s="347" t="s">
        <v>4459</v>
      </c>
      <c r="R1113" s="347" t="s">
        <v>4450</v>
      </c>
      <c r="S1113" s="348">
        <v>34156</v>
      </c>
      <c r="T1113" s="348">
        <v>34156</v>
      </c>
      <c r="U1113" s="347"/>
      <c r="V1113" s="345">
        <v>1200</v>
      </c>
      <c r="W1113" s="345">
        <v>14050</v>
      </c>
      <c r="X1113" s="349">
        <v>7680.75</v>
      </c>
      <c r="Y1113" s="345">
        <v>14056</v>
      </c>
      <c r="Z1113" s="349">
        <v>7680.75</v>
      </c>
      <c r="AA1113" s="349">
        <f t="shared" si="101"/>
        <v>0</v>
      </c>
      <c r="AB1113" s="349">
        <v>0</v>
      </c>
      <c r="AC1113" s="345">
        <v>54260</v>
      </c>
      <c r="AD1113" s="349">
        <v>0</v>
      </c>
      <c r="AE1113" s="345" t="s">
        <v>410</v>
      </c>
      <c r="AF1113" s="347" t="s">
        <v>2218</v>
      </c>
      <c r="AG1113" s="347" t="s">
        <v>2206</v>
      </c>
      <c r="AH1113" s="347" t="s">
        <v>57</v>
      </c>
      <c r="AI1113" s="347" t="s">
        <v>4442</v>
      </c>
      <c r="AJ1113" s="347" t="s">
        <v>4443</v>
      </c>
      <c r="AK1113" s="347" t="s">
        <v>4437</v>
      </c>
      <c r="AL1113" s="387">
        <v>45574</v>
      </c>
    </row>
    <row r="1114" spans="2:38" ht="15.75" outlineLevel="1">
      <c r="B1114" s="345">
        <v>2111</v>
      </c>
      <c r="C1114" s="346">
        <v>173097</v>
      </c>
      <c r="D1114" s="345" t="s">
        <v>944</v>
      </c>
      <c r="E1114" s="347" t="s">
        <v>4240</v>
      </c>
      <c r="F1114" s="343" t="s">
        <v>2626</v>
      </c>
      <c r="I1114" s="345">
        <v>100</v>
      </c>
      <c r="J1114" s="347"/>
      <c r="K1114" s="345">
        <v>0</v>
      </c>
      <c r="L1114" s="347"/>
      <c r="M1114" s="347"/>
      <c r="N1114" s="347" t="s">
        <v>4446</v>
      </c>
      <c r="O1114" s="347" t="s">
        <v>4441</v>
      </c>
      <c r="P1114" s="347"/>
      <c r="Q1114" s="347"/>
      <c r="R1114" s="347"/>
      <c r="S1114" s="348">
        <v>34148</v>
      </c>
      <c r="T1114" s="348">
        <v>34148</v>
      </c>
      <c r="U1114" s="347"/>
      <c r="V1114" s="345">
        <v>500</v>
      </c>
      <c r="W1114" s="345">
        <v>14050</v>
      </c>
      <c r="X1114" s="349">
        <v>5551.7</v>
      </c>
      <c r="Y1114" s="345">
        <v>14056</v>
      </c>
      <c r="Z1114" s="349">
        <v>5551.7</v>
      </c>
      <c r="AA1114" s="349">
        <f t="shared" si="101"/>
        <v>0</v>
      </c>
      <c r="AB1114" s="349">
        <v>0</v>
      </c>
      <c r="AC1114" s="345">
        <v>54260</v>
      </c>
      <c r="AD1114" s="349">
        <v>0</v>
      </c>
      <c r="AE1114" s="345" t="s">
        <v>410</v>
      </c>
      <c r="AF1114" s="347" t="s">
        <v>2218</v>
      </c>
      <c r="AG1114" s="347" t="s">
        <v>2206</v>
      </c>
      <c r="AH1114" s="347" t="s">
        <v>57</v>
      </c>
      <c r="AI1114" s="347" t="s">
        <v>4442</v>
      </c>
      <c r="AJ1114" s="347" t="s">
        <v>4443</v>
      </c>
      <c r="AK1114" s="347" t="s">
        <v>4437</v>
      </c>
      <c r="AL1114" s="387">
        <v>45574</v>
      </c>
    </row>
    <row r="1115" spans="2:38" ht="15.75" outlineLevel="1">
      <c r="B1115" s="345">
        <v>2111</v>
      </c>
      <c r="C1115" s="346">
        <v>173096</v>
      </c>
      <c r="D1115" s="345" t="s">
        <v>944</v>
      </c>
      <c r="E1115" s="347" t="s">
        <v>4240</v>
      </c>
      <c r="F1115" s="343" t="s">
        <v>2627</v>
      </c>
      <c r="I1115" s="345">
        <v>250</v>
      </c>
      <c r="J1115" s="347"/>
      <c r="K1115" s="345">
        <v>0</v>
      </c>
      <c r="L1115" s="347"/>
      <c r="M1115" s="347"/>
      <c r="N1115" s="347" t="s">
        <v>4446</v>
      </c>
      <c r="O1115" s="347" t="s">
        <v>4441</v>
      </c>
      <c r="P1115" s="347"/>
      <c r="Q1115" s="347"/>
      <c r="R1115" s="347"/>
      <c r="S1115" s="348">
        <v>34148</v>
      </c>
      <c r="T1115" s="348">
        <v>34148</v>
      </c>
      <c r="U1115" s="347"/>
      <c r="V1115" s="345">
        <v>500</v>
      </c>
      <c r="W1115" s="345">
        <v>14050</v>
      </c>
      <c r="X1115" s="349">
        <v>13879.25</v>
      </c>
      <c r="Y1115" s="345">
        <v>14056</v>
      </c>
      <c r="Z1115" s="349">
        <v>13879.25</v>
      </c>
      <c r="AA1115" s="349">
        <f t="shared" si="101"/>
        <v>0</v>
      </c>
      <c r="AB1115" s="349">
        <v>0</v>
      </c>
      <c r="AC1115" s="345">
        <v>54260</v>
      </c>
      <c r="AD1115" s="349">
        <v>0</v>
      </c>
      <c r="AE1115" s="345" t="s">
        <v>410</v>
      </c>
      <c r="AF1115" s="347" t="s">
        <v>2218</v>
      </c>
      <c r="AG1115" s="347" t="s">
        <v>2206</v>
      </c>
      <c r="AH1115" s="347" t="s">
        <v>57</v>
      </c>
      <c r="AI1115" s="347" t="s">
        <v>4442</v>
      </c>
      <c r="AJ1115" s="347" t="s">
        <v>4443</v>
      </c>
      <c r="AK1115" s="347" t="s">
        <v>4437</v>
      </c>
      <c r="AL1115" s="387">
        <v>45574</v>
      </c>
    </row>
    <row r="1116" spans="2:38" ht="15.75" outlineLevel="1">
      <c r="B1116" s="345">
        <v>2111</v>
      </c>
      <c r="C1116" s="346">
        <v>173095</v>
      </c>
      <c r="D1116" s="345" t="s">
        <v>944</v>
      </c>
      <c r="E1116" s="347" t="s">
        <v>4240</v>
      </c>
      <c r="F1116" s="343" t="s">
        <v>2627</v>
      </c>
      <c r="I1116" s="345">
        <v>90</v>
      </c>
      <c r="J1116" s="347"/>
      <c r="K1116" s="345">
        <v>0</v>
      </c>
      <c r="L1116" s="347"/>
      <c r="M1116" s="347"/>
      <c r="N1116" s="347" t="s">
        <v>4446</v>
      </c>
      <c r="O1116" s="347" t="s">
        <v>4441</v>
      </c>
      <c r="P1116" s="347"/>
      <c r="Q1116" s="347"/>
      <c r="R1116" s="347"/>
      <c r="S1116" s="348">
        <v>34130</v>
      </c>
      <c r="T1116" s="348">
        <v>34130</v>
      </c>
      <c r="U1116" s="347"/>
      <c r="V1116" s="345">
        <v>500</v>
      </c>
      <c r="W1116" s="345">
        <v>14050</v>
      </c>
      <c r="X1116" s="349">
        <v>4996.53</v>
      </c>
      <c r="Y1116" s="345">
        <v>14056</v>
      </c>
      <c r="Z1116" s="349">
        <v>4996.53</v>
      </c>
      <c r="AA1116" s="349">
        <f t="shared" si="101"/>
        <v>0</v>
      </c>
      <c r="AB1116" s="349">
        <v>0</v>
      </c>
      <c r="AC1116" s="345">
        <v>54260</v>
      </c>
      <c r="AD1116" s="349">
        <v>0</v>
      </c>
      <c r="AE1116" s="345" t="s">
        <v>410</v>
      </c>
      <c r="AF1116" s="347" t="s">
        <v>2218</v>
      </c>
      <c r="AG1116" s="347" t="s">
        <v>2206</v>
      </c>
      <c r="AH1116" s="347" t="s">
        <v>57</v>
      </c>
      <c r="AI1116" s="347" t="s">
        <v>4442</v>
      </c>
      <c r="AJ1116" s="347" t="s">
        <v>4443</v>
      </c>
      <c r="AK1116" s="347" t="s">
        <v>4437</v>
      </c>
      <c r="AL1116" s="387">
        <v>45574</v>
      </c>
    </row>
    <row r="1117" spans="2:38" ht="15.75" outlineLevel="1">
      <c r="B1117" s="345">
        <v>2111</v>
      </c>
      <c r="C1117" s="346">
        <v>173087</v>
      </c>
      <c r="D1117" s="345" t="s">
        <v>944</v>
      </c>
      <c r="E1117" s="347" t="s">
        <v>4240</v>
      </c>
      <c r="F1117" s="343" t="s">
        <v>2628</v>
      </c>
      <c r="I1117" s="345">
        <v>10</v>
      </c>
      <c r="J1117" s="347"/>
      <c r="K1117" s="345">
        <v>0</v>
      </c>
      <c r="L1117" s="347"/>
      <c r="M1117" s="347"/>
      <c r="N1117" s="347" t="s">
        <v>4446</v>
      </c>
      <c r="O1117" s="347" t="s">
        <v>4441</v>
      </c>
      <c r="P1117" s="347"/>
      <c r="Q1117" s="347" t="s">
        <v>4464</v>
      </c>
      <c r="R1117" s="347" t="s">
        <v>4450</v>
      </c>
      <c r="S1117" s="348">
        <v>32794</v>
      </c>
      <c r="T1117" s="348">
        <v>32794</v>
      </c>
      <c r="U1117" s="347"/>
      <c r="V1117" s="345">
        <v>1200</v>
      </c>
      <c r="W1117" s="345">
        <v>14050</v>
      </c>
      <c r="X1117" s="349">
        <v>4143.05</v>
      </c>
      <c r="Y1117" s="345">
        <v>14056</v>
      </c>
      <c r="Z1117" s="349">
        <v>4143.05</v>
      </c>
      <c r="AA1117" s="349">
        <f t="shared" si="101"/>
        <v>0</v>
      </c>
      <c r="AB1117" s="349">
        <v>0</v>
      </c>
      <c r="AC1117" s="345">
        <v>54260</v>
      </c>
      <c r="AD1117" s="349">
        <v>0</v>
      </c>
      <c r="AE1117" s="345" t="s">
        <v>410</v>
      </c>
      <c r="AF1117" s="347" t="s">
        <v>2218</v>
      </c>
      <c r="AG1117" s="347" t="s">
        <v>2206</v>
      </c>
      <c r="AH1117" s="347" t="s">
        <v>57</v>
      </c>
      <c r="AI1117" s="347" t="s">
        <v>4442</v>
      </c>
      <c r="AJ1117" s="347" t="s">
        <v>4443</v>
      </c>
      <c r="AK1117" s="347" t="s">
        <v>4437</v>
      </c>
      <c r="AL1117" s="387">
        <v>45574</v>
      </c>
    </row>
    <row r="1118" spans="2:38" ht="15.75" outlineLevel="1">
      <c r="B1118" s="345">
        <v>2111</v>
      </c>
      <c r="C1118" s="346">
        <v>173085</v>
      </c>
      <c r="D1118" s="345" t="s">
        <v>944</v>
      </c>
      <c r="E1118" s="347" t="s">
        <v>4240</v>
      </c>
      <c r="F1118" s="343" t="s">
        <v>2629</v>
      </c>
      <c r="I1118" s="345">
        <v>2</v>
      </c>
      <c r="J1118" s="347"/>
      <c r="K1118" s="345">
        <v>0</v>
      </c>
      <c r="L1118" s="347"/>
      <c r="M1118" s="347"/>
      <c r="N1118" s="347" t="s">
        <v>4446</v>
      </c>
      <c r="O1118" s="347" t="s">
        <v>4441</v>
      </c>
      <c r="P1118" s="347"/>
      <c r="Q1118" s="347" t="s">
        <v>4464</v>
      </c>
      <c r="R1118" s="347" t="s">
        <v>4450</v>
      </c>
      <c r="S1118" s="348">
        <v>32477</v>
      </c>
      <c r="T1118" s="348">
        <v>32477</v>
      </c>
      <c r="U1118" s="347"/>
      <c r="V1118" s="345">
        <v>1200</v>
      </c>
      <c r="W1118" s="345">
        <v>14050</v>
      </c>
      <c r="X1118" s="349">
        <v>808.4</v>
      </c>
      <c r="Y1118" s="345">
        <v>14056</v>
      </c>
      <c r="Z1118" s="349">
        <v>808.4</v>
      </c>
      <c r="AA1118" s="349">
        <f t="shared" si="101"/>
        <v>0</v>
      </c>
      <c r="AB1118" s="349">
        <v>0</v>
      </c>
      <c r="AC1118" s="345">
        <v>54260</v>
      </c>
      <c r="AD1118" s="349">
        <v>0</v>
      </c>
      <c r="AE1118" s="345" t="s">
        <v>410</v>
      </c>
      <c r="AF1118" s="347" t="s">
        <v>2218</v>
      </c>
      <c r="AG1118" s="347" t="s">
        <v>2206</v>
      </c>
      <c r="AH1118" s="347" t="s">
        <v>57</v>
      </c>
      <c r="AI1118" s="347" t="s">
        <v>4442</v>
      </c>
      <c r="AJ1118" s="347" t="s">
        <v>4443</v>
      </c>
      <c r="AK1118" s="347" t="s">
        <v>4437</v>
      </c>
      <c r="AL1118" s="387">
        <v>45574</v>
      </c>
    </row>
    <row r="1119" spans="2:38" ht="15.75" outlineLevel="1">
      <c r="B1119" s="345">
        <v>2111</v>
      </c>
      <c r="C1119" s="346">
        <v>173084</v>
      </c>
      <c r="D1119" s="345" t="s">
        <v>944</v>
      </c>
      <c r="E1119" s="347" t="s">
        <v>4240</v>
      </c>
      <c r="F1119" s="343" t="s">
        <v>2619</v>
      </c>
      <c r="I1119" s="345">
        <v>7</v>
      </c>
      <c r="J1119" s="347"/>
      <c r="K1119" s="345">
        <v>0</v>
      </c>
      <c r="L1119" s="347"/>
      <c r="M1119" s="347"/>
      <c r="N1119" s="347" t="s">
        <v>4446</v>
      </c>
      <c r="O1119" s="347" t="s">
        <v>4441</v>
      </c>
      <c r="P1119" s="347"/>
      <c r="Q1119" s="347" t="s">
        <v>4459</v>
      </c>
      <c r="R1119" s="347" t="s">
        <v>4450</v>
      </c>
      <c r="S1119" s="348">
        <v>32415</v>
      </c>
      <c r="T1119" s="348">
        <v>32415</v>
      </c>
      <c r="U1119" s="347"/>
      <c r="V1119" s="345">
        <v>1200</v>
      </c>
      <c r="W1119" s="345">
        <v>14050</v>
      </c>
      <c r="X1119" s="349">
        <v>563.86</v>
      </c>
      <c r="Y1119" s="345">
        <v>14056</v>
      </c>
      <c r="Z1119" s="349">
        <v>563.86</v>
      </c>
      <c r="AA1119" s="349">
        <f t="shared" si="101"/>
        <v>0</v>
      </c>
      <c r="AB1119" s="349">
        <v>0</v>
      </c>
      <c r="AC1119" s="345">
        <v>54260</v>
      </c>
      <c r="AD1119" s="349">
        <v>0</v>
      </c>
      <c r="AE1119" s="345" t="s">
        <v>410</v>
      </c>
      <c r="AF1119" s="347" t="s">
        <v>2218</v>
      </c>
      <c r="AG1119" s="347" t="s">
        <v>2206</v>
      </c>
      <c r="AH1119" s="347" t="s">
        <v>57</v>
      </c>
      <c r="AI1119" s="347" t="s">
        <v>4442</v>
      </c>
      <c r="AJ1119" s="347" t="s">
        <v>4443</v>
      </c>
      <c r="AK1119" s="347" t="s">
        <v>4437</v>
      </c>
      <c r="AL1119" s="387">
        <v>45574</v>
      </c>
    </row>
    <row r="1120" spans="2:38" ht="15.75" outlineLevel="1">
      <c r="B1120" s="345">
        <v>2111</v>
      </c>
      <c r="C1120" s="346">
        <v>173080</v>
      </c>
      <c r="D1120" s="345" t="s">
        <v>944</v>
      </c>
      <c r="E1120" s="347" t="s">
        <v>4240</v>
      </c>
      <c r="F1120" s="343" t="s">
        <v>2630</v>
      </c>
      <c r="I1120" s="345">
        <v>1</v>
      </c>
      <c r="J1120" s="347" t="s">
        <v>2631</v>
      </c>
      <c r="K1120" s="345">
        <v>1997</v>
      </c>
      <c r="L1120" s="347" t="s">
        <v>2578</v>
      </c>
      <c r="M1120" s="347" t="s">
        <v>2214</v>
      </c>
      <c r="N1120" s="347" t="s">
        <v>4445</v>
      </c>
      <c r="O1120" s="347" t="s">
        <v>4441</v>
      </c>
      <c r="P1120" s="347" t="s">
        <v>1467</v>
      </c>
      <c r="Q1120" s="347"/>
      <c r="R1120" s="347"/>
      <c r="S1120" s="348">
        <v>35688</v>
      </c>
      <c r="T1120" s="348">
        <v>35688</v>
      </c>
      <c r="U1120" s="347"/>
      <c r="V1120" s="345">
        <v>1000</v>
      </c>
      <c r="W1120" s="345">
        <v>14040</v>
      </c>
      <c r="X1120" s="349">
        <v>8095.22</v>
      </c>
      <c r="Y1120" s="345">
        <v>14046</v>
      </c>
      <c r="Z1120" s="349">
        <v>8095.22</v>
      </c>
      <c r="AA1120" s="349">
        <f t="shared" si="101"/>
        <v>0</v>
      </c>
      <c r="AB1120" s="349">
        <v>0</v>
      </c>
      <c r="AC1120" s="345">
        <v>51260</v>
      </c>
      <c r="AD1120" s="349">
        <v>0</v>
      </c>
      <c r="AE1120" s="345" t="s">
        <v>410</v>
      </c>
      <c r="AF1120" s="347" t="s">
        <v>2218</v>
      </c>
      <c r="AG1120" s="347" t="s">
        <v>2206</v>
      </c>
      <c r="AH1120" s="347" t="s">
        <v>57</v>
      </c>
      <c r="AI1120" s="347" t="s">
        <v>4442</v>
      </c>
      <c r="AJ1120" s="347" t="s">
        <v>4443</v>
      </c>
      <c r="AK1120" s="347" t="s">
        <v>4437</v>
      </c>
      <c r="AL1120" s="387">
        <v>45574</v>
      </c>
    </row>
    <row r="1121" spans="2:38" ht="15.75" outlineLevel="1">
      <c r="B1121" s="345">
        <v>2111</v>
      </c>
      <c r="C1121" s="346">
        <v>173079</v>
      </c>
      <c r="D1121" s="345" t="s">
        <v>944</v>
      </c>
      <c r="E1121" s="347" t="s">
        <v>4240</v>
      </c>
      <c r="F1121" s="343" t="s">
        <v>2632</v>
      </c>
      <c r="I1121" s="345">
        <v>1</v>
      </c>
      <c r="J1121" s="347" t="s">
        <v>2633</v>
      </c>
      <c r="K1121" s="345">
        <v>1998</v>
      </c>
      <c r="L1121" s="347" t="s">
        <v>1483</v>
      </c>
      <c r="M1121" s="347" t="s">
        <v>2634</v>
      </c>
      <c r="N1121" s="347" t="s">
        <v>4445</v>
      </c>
      <c r="O1121" s="347" t="s">
        <v>4441</v>
      </c>
      <c r="P1121" s="347" t="s">
        <v>4463</v>
      </c>
      <c r="Q1121" s="347"/>
      <c r="R1121" s="347"/>
      <c r="S1121" s="348">
        <v>35655</v>
      </c>
      <c r="T1121" s="348">
        <v>35655</v>
      </c>
      <c r="U1121" s="347"/>
      <c r="V1121" s="345">
        <v>1000</v>
      </c>
      <c r="W1121" s="345">
        <v>14040</v>
      </c>
      <c r="X1121" s="349">
        <v>119807.54</v>
      </c>
      <c r="Y1121" s="345">
        <v>14046</v>
      </c>
      <c r="Z1121" s="349">
        <v>119807.54</v>
      </c>
      <c r="AA1121" s="349">
        <f t="shared" si="101"/>
        <v>0</v>
      </c>
      <c r="AB1121" s="349">
        <v>0</v>
      </c>
      <c r="AC1121" s="345">
        <v>51260</v>
      </c>
      <c r="AD1121" s="349">
        <v>0</v>
      </c>
      <c r="AE1121" s="345" t="s">
        <v>410</v>
      </c>
      <c r="AF1121" s="347" t="s">
        <v>2218</v>
      </c>
      <c r="AG1121" s="347">
        <v>153</v>
      </c>
      <c r="AH1121" s="347" t="s">
        <v>57</v>
      </c>
      <c r="AI1121" s="347" t="s">
        <v>4442</v>
      </c>
      <c r="AJ1121" s="347" t="s">
        <v>4443</v>
      </c>
      <c r="AK1121" s="347" t="s">
        <v>4437</v>
      </c>
      <c r="AL1121" s="387">
        <v>45574</v>
      </c>
    </row>
    <row r="1122" spans="2:38" ht="15.75" outlineLevel="1">
      <c r="B1122" s="345">
        <v>2111</v>
      </c>
      <c r="C1122" s="346">
        <v>173078</v>
      </c>
      <c r="D1122" s="345" t="s">
        <v>944</v>
      </c>
      <c r="E1122" s="347" t="s">
        <v>4240</v>
      </c>
      <c r="F1122" s="343" t="s">
        <v>2635</v>
      </c>
      <c r="I1122" s="345">
        <v>1</v>
      </c>
      <c r="J1122" s="347" t="s">
        <v>2636</v>
      </c>
      <c r="K1122" s="345">
        <v>1998</v>
      </c>
      <c r="L1122" s="347" t="s">
        <v>1483</v>
      </c>
      <c r="M1122" s="347" t="s">
        <v>2634</v>
      </c>
      <c r="N1122" s="347" t="s">
        <v>4445</v>
      </c>
      <c r="O1122" s="347" t="s">
        <v>4441</v>
      </c>
      <c r="P1122" s="347" t="s">
        <v>4463</v>
      </c>
      <c r="Q1122" s="347"/>
      <c r="R1122" s="347"/>
      <c r="S1122" s="348">
        <v>35655</v>
      </c>
      <c r="T1122" s="348">
        <v>35655</v>
      </c>
      <c r="U1122" s="347"/>
      <c r="V1122" s="345">
        <v>1000</v>
      </c>
      <c r="W1122" s="345">
        <v>14040</v>
      </c>
      <c r="X1122" s="349">
        <v>119807.54</v>
      </c>
      <c r="Y1122" s="345">
        <v>14046</v>
      </c>
      <c r="Z1122" s="349">
        <v>119807.54</v>
      </c>
      <c r="AA1122" s="349">
        <f t="shared" si="101"/>
        <v>0</v>
      </c>
      <c r="AB1122" s="349">
        <v>0</v>
      </c>
      <c r="AC1122" s="345">
        <v>51260</v>
      </c>
      <c r="AD1122" s="349">
        <v>0</v>
      </c>
      <c r="AE1122" s="345" t="s">
        <v>410</v>
      </c>
      <c r="AF1122" s="347" t="s">
        <v>2218</v>
      </c>
      <c r="AG1122" s="347">
        <v>152</v>
      </c>
      <c r="AH1122" s="347" t="s">
        <v>57</v>
      </c>
      <c r="AI1122" s="347" t="s">
        <v>4442</v>
      </c>
      <c r="AJ1122" s="347" t="s">
        <v>4443</v>
      </c>
      <c r="AK1122" s="347" t="s">
        <v>4437</v>
      </c>
      <c r="AL1122" s="387">
        <v>45574</v>
      </c>
    </row>
    <row r="1123" spans="2:38" ht="15.75" outlineLevel="1">
      <c r="B1123" s="345">
        <v>2111</v>
      </c>
      <c r="C1123" s="346">
        <v>173077</v>
      </c>
      <c r="D1123" s="345" t="s">
        <v>944</v>
      </c>
      <c r="E1123" s="347" t="s">
        <v>4240</v>
      </c>
      <c r="F1123" s="343" t="s">
        <v>2637</v>
      </c>
      <c r="I1123" s="345">
        <v>6</v>
      </c>
      <c r="J1123" s="347"/>
      <c r="K1123" s="345">
        <v>1997</v>
      </c>
      <c r="L1123" s="347" t="s">
        <v>2578</v>
      </c>
      <c r="M1123" s="347" t="s">
        <v>2638</v>
      </c>
      <c r="N1123" s="347" t="s">
        <v>4446</v>
      </c>
      <c r="O1123" s="347" t="s">
        <v>4441</v>
      </c>
      <c r="P1123" s="347"/>
      <c r="Q1123" s="347" t="s">
        <v>4447</v>
      </c>
      <c r="R1123" s="347" t="s">
        <v>4448</v>
      </c>
      <c r="S1123" s="348">
        <v>35657</v>
      </c>
      <c r="T1123" s="348">
        <v>35657</v>
      </c>
      <c r="U1123" s="347"/>
      <c r="V1123" s="345">
        <v>1200</v>
      </c>
      <c r="W1123" s="345">
        <v>14050</v>
      </c>
      <c r="X1123" s="349">
        <v>24565.62</v>
      </c>
      <c r="Y1123" s="345">
        <v>14056</v>
      </c>
      <c r="Z1123" s="349">
        <v>24565.62</v>
      </c>
      <c r="AA1123" s="349">
        <f t="shared" si="101"/>
        <v>0</v>
      </c>
      <c r="AB1123" s="349">
        <v>0</v>
      </c>
      <c r="AC1123" s="345">
        <v>54260</v>
      </c>
      <c r="AD1123" s="349">
        <v>0</v>
      </c>
      <c r="AE1123" s="345" t="s">
        <v>410</v>
      </c>
      <c r="AF1123" s="347" t="s">
        <v>2218</v>
      </c>
      <c r="AG1123" s="347" t="s">
        <v>2206</v>
      </c>
      <c r="AH1123" s="347" t="s">
        <v>57</v>
      </c>
      <c r="AI1123" s="347" t="s">
        <v>4442</v>
      </c>
      <c r="AJ1123" s="347" t="s">
        <v>4443</v>
      </c>
      <c r="AK1123" s="347" t="s">
        <v>4437</v>
      </c>
      <c r="AL1123" s="387">
        <v>45574</v>
      </c>
    </row>
    <row r="1124" spans="2:38" ht="15.75" outlineLevel="1">
      <c r="B1124" s="345">
        <v>2111</v>
      </c>
      <c r="C1124" s="346">
        <v>173076</v>
      </c>
      <c r="D1124" s="345" t="s">
        <v>944</v>
      </c>
      <c r="E1124" s="347" t="s">
        <v>4240</v>
      </c>
      <c r="F1124" s="343" t="s">
        <v>2622</v>
      </c>
      <c r="I1124" s="345">
        <v>340</v>
      </c>
      <c r="J1124" s="347"/>
      <c r="K1124" s="345">
        <v>1996</v>
      </c>
      <c r="L1124" s="347" t="s">
        <v>2578</v>
      </c>
      <c r="M1124" s="347"/>
      <c r="N1124" s="347" t="s">
        <v>4446</v>
      </c>
      <c r="O1124" s="347" t="s">
        <v>4441</v>
      </c>
      <c r="P1124" s="347"/>
      <c r="Q1124" s="347"/>
      <c r="R1124" s="347"/>
      <c r="S1124" s="348">
        <v>35254</v>
      </c>
      <c r="T1124" s="348">
        <v>35254</v>
      </c>
      <c r="U1124" s="347"/>
      <c r="V1124" s="345">
        <v>500</v>
      </c>
      <c r="W1124" s="345">
        <v>14050</v>
      </c>
      <c r="X1124" s="349">
        <v>20023.2</v>
      </c>
      <c r="Y1124" s="345">
        <v>14056</v>
      </c>
      <c r="Z1124" s="349">
        <v>20023.2</v>
      </c>
      <c r="AA1124" s="349">
        <f t="shared" si="101"/>
        <v>0</v>
      </c>
      <c r="AB1124" s="349">
        <v>0</v>
      </c>
      <c r="AC1124" s="345">
        <v>54260</v>
      </c>
      <c r="AD1124" s="349">
        <v>0</v>
      </c>
      <c r="AE1124" s="345" t="s">
        <v>410</v>
      </c>
      <c r="AF1124" s="347" t="s">
        <v>2218</v>
      </c>
      <c r="AG1124" s="347" t="s">
        <v>2206</v>
      </c>
      <c r="AH1124" s="347" t="s">
        <v>57</v>
      </c>
      <c r="AI1124" s="347" t="s">
        <v>4442</v>
      </c>
      <c r="AJ1124" s="347" t="s">
        <v>4443</v>
      </c>
      <c r="AK1124" s="347" t="s">
        <v>4437</v>
      </c>
      <c r="AL1124" s="387">
        <v>45574</v>
      </c>
    </row>
    <row r="1125" spans="2:38" ht="15.75" outlineLevel="1">
      <c r="B1125" s="345">
        <v>2111</v>
      </c>
      <c r="C1125" s="346">
        <v>173075</v>
      </c>
      <c r="D1125" s="345" t="s">
        <v>944</v>
      </c>
      <c r="E1125" s="347" t="s">
        <v>4240</v>
      </c>
      <c r="F1125" s="343" t="s">
        <v>587</v>
      </c>
      <c r="I1125" s="345">
        <v>1</v>
      </c>
      <c r="J1125" s="347"/>
      <c r="K1125" s="345">
        <v>0</v>
      </c>
      <c r="L1125" s="347"/>
      <c r="M1125" s="347"/>
      <c r="N1125" s="347" t="s">
        <v>4444</v>
      </c>
      <c r="O1125" s="347" t="s">
        <v>4444</v>
      </c>
      <c r="P1125" s="347"/>
      <c r="Q1125" s="347"/>
      <c r="R1125" s="347"/>
      <c r="S1125" s="348">
        <v>36160</v>
      </c>
      <c r="T1125" s="348">
        <v>36160</v>
      </c>
      <c r="U1125" s="347"/>
      <c r="V1125" s="345">
        <v>0</v>
      </c>
      <c r="W1125" s="345">
        <v>14000</v>
      </c>
      <c r="X1125" s="349">
        <v>12084.87</v>
      </c>
      <c r="Y1125" s="345">
        <v>14016</v>
      </c>
      <c r="Z1125" s="349">
        <v>0</v>
      </c>
      <c r="AA1125" s="349">
        <f t="shared" ref="AA1125:AA1188" si="102">+X1125-Z1125</f>
        <v>12084.87</v>
      </c>
      <c r="AB1125" s="349">
        <v>0</v>
      </c>
      <c r="AC1125" s="345">
        <v>57260</v>
      </c>
      <c r="AD1125" s="349">
        <v>0</v>
      </c>
      <c r="AE1125" s="345" t="s">
        <v>410</v>
      </c>
      <c r="AF1125" s="347" t="s">
        <v>2218</v>
      </c>
      <c r="AG1125" s="347" t="s">
        <v>2206</v>
      </c>
      <c r="AH1125" s="347" t="s">
        <v>57</v>
      </c>
      <c r="AI1125" s="347" t="s">
        <v>4442</v>
      </c>
      <c r="AJ1125" s="347" t="s">
        <v>1660</v>
      </c>
      <c r="AK1125" s="347" t="s">
        <v>4437</v>
      </c>
      <c r="AL1125" s="387">
        <v>45574</v>
      </c>
    </row>
    <row r="1126" spans="2:38" ht="15.75" outlineLevel="1">
      <c r="B1126" s="345">
        <v>2111</v>
      </c>
      <c r="C1126" s="346">
        <v>172841</v>
      </c>
      <c r="D1126" s="345">
        <v>102158</v>
      </c>
      <c r="E1126" s="347" t="s">
        <v>4240</v>
      </c>
      <c r="F1126" s="343" t="s">
        <v>567</v>
      </c>
      <c r="I1126" s="345">
        <v>1</v>
      </c>
      <c r="J1126" s="347"/>
      <c r="K1126" s="345">
        <v>0</v>
      </c>
      <c r="L1126" s="347" t="s">
        <v>2205</v>
      </c>
      <c r="M1126" s="347"/>
      <c r="N1126" s="347" t="s">
        <v>4445</v>
      </c>
      <c r="O1126" s="347" t="s">
        <v>4441</v>
      </c>
      <c r="P1126" s="347" t="s">
        <v>1467</v>
      </c>
      <c r="Q1126" s="347"/>
      <c r="R1126" s="347"/>
      <c r="S1126" s="348">
        <v>42736</v>
      </c>
      <c r="T1126" s="348">
        <v>42736</v>
      </c>
      <c r="U1126" s="347" t="s">
        <v>2639</v>
      </c>
      <c r="V1126" s="345">
        <v>500</v>
      </c>
      <c r="W1126" s="345">
        <v>14040</v>
      </c>
      <c r="X1126" s="349">
        <v>67968.03</v>
      </c>
      <c r="Y1126" s="345">
        <v>14046</v>
      </c>
      <c r="Z1126" s="349">
        <v>67968.03</v>
      </c>
      <c r="AA1126" s="349">
        <f t="shared" si="102"/>
        <v>0</v>
      </c>
      <c r="AB1126" s="349">
        <v>0</v>
      </c>
      <c r="AC1126" s="345">
        <v>51260</v>
      </c>
      <c r="AD1126" s="349">
        <v>0</v>
      </c>
      <c r="AE1126" s="345" t="s">
        <v>944</v>
      </c>
      <c r="AF1126" s="347"/>
      <c r="AG1126" s="347"/>
      <c r="AH1126" s="347" t="s">
        <v>57</v>
      </c>
      <c r="AI1126" s="347" t="s">
        <v>4442</v>
      </c>
      <c r="AJ1126" s="347" t="s">
        <v>4443</v>
      </c>
      <c r="AK1126" s="347" t="s">
        <v>4437</v>
      </c>
      <c r="AL1126" s="387">
        <v>45574</v>
      </c>
    </row>
    <row r="1127" spans="2:38" ht="15.75" outlineLevel="1">
      <c r="B1127" s="345">
        <v>2111</v>
      </c>
      <c r="C1127" s="346">
        <v>171824</v>
      </c>
      <c r="D1127" s="345" t="s">
        <v>944</v>
      </c>
      <c r="E1127" s="347" t="s">
        <v>4240</v>
      </c>
      <c r="F1127" s="343" t="s">
        <v>4500</v>
      </c>
      <c r="I1127" s="345">
        <v>1</v>
      </c>
      <c r="J1127" s="347"/>
      <c r="K1127" s="345">
        <v>0</v>
      </c>
      <c r="L1127" s="347" t="s">
        <v>1657</v>
      </c>
      <c r="M1127" s="347"/>
      <c r="N1127" s="347" t="s">
        <v>4440</v>
      </c>
      <c r="O1127" s="347" t="s">
        <v>4441</v>
      </c>
      <c r="P1127" s="347"/>
      <c r="Q1127" s="347"/>
      <c r="R1127" s="347"/>
      <c r="S1127" s="348">
        <v>42724</v>
      </c>
      <c r="T1127" s="348">
        <v>42724</v>
      </c>
      <c r="U1127" s="347" t="s">
        <v>2164</v>
      </c>
      <c r="V1127" s="345">
        <v>200</v>
      </c>
      <c r="W1127" s="345">
        <v>14110</v>
      </c>
      <c r="X1127" s="349">
        <v>1311.89</v>
      </c>
      <c r="Y1127" s="345">
        <v>14116</v>
      </c>
      <c r="Z1127" s="349">
        <v>1311.89</v>
      </c>
      <c r="AA1127" s="349">
        <f t="shared" si="102"/>
        <v>0</v>
      </c>
      <c r="AB1127" s="349">
        <v>0</v>
      </c>
      <c r="AC1127" s="345">
        <v>70260</v>
      </c>
      <c r="AD1127" s="349">
        <v>0</v>
      </c>
      <c r="AE1127" s="345" t="s">
        <v>944</v>
      </c>
      <c r="AF1127" s="347"/>
      <c r="AG1127" s="347"/>
      <c r="AH1127" s="347" t="s">
        <v>57</v>
      </c>
      <c r="AI1127" s="347" t="s">
        <v>4442</v>
      </c>
      <c r="AJ1127" s="347" t="s">
        <v>4443</v>
      </c>
      <c r="AK1127" s="347" t="s">
        <v>4437</v>
      </c>
      <c r="AL1127" s="387">
        <v>45574</v>
      </c>
    </row>
    <row r="1128" spans="2:38" ht="15.75" outlineLevel="1">
      <c r="B1128" s="345">
        <v>2111</v>
      </c>
      <c r="C1128" s="346">
        <v>171235</v>
      </c>
      <c r="D1128" s="345" t="s">
        <v>944</v>
      </c>
      <c r="E1128" s="347" t="s">
        <v>4240</v>
      </c>
      <c r="F1128" s="343" t="s">
        <v>1257</v>
      </c>
      <c r="I1128" s="345">
        <v>1</v>
      </c>
      <c r="J1128" s="347" t="s">
        <v>2643</v>
      </c>
      <c r="K1128" s="345">
        <v>2014</v>
      </c>
      <c r="L1128" s="347" t="s">
        <v>1483</v>
      </c>
      <c r="M1128" s="347" t="s">
        <v>2206</v>
      </c>
      <c r="N1128" s="347" t="s">
        <v>4445</v>
      </c>
      <c r="O1128" s="347" t="s">
        <v>4441</v>
      </c>
      <c r="P1128" s="347" t="s">
        <v>1577</v>
      </c>
      <c r="Q1128" s="347"/>
      <c r="R1128" s="347"/>
      <c r="S1128" s="348">
        <v>42730</v>
      </c>
      <c r="T1128" s="348">
        <v>42730</v>
      </c>
      <c r="U1128" s="347" t="s">
        <v>2207</v>
      </c>
      <c r="V1128" s="345">
        <v>400</v>
      </c>
      <c r="W1128" s="345">
        <v>14040</v>
      </c>
      <c r="X1128" s="349">
        <v>104215</v>
      </c>
      <c r="Y1128" s="345">
        <v>14046</v>
      </c>
      <c r="Z1128" s="349">
        <v>104215</v>
      </c>
      <c r="AA1128" s="349">
        <f t="shared" si="102"/>
        <v>0</v>
      </c>
      <c r="AB1128" s="349">
        <v>0</v>
      </c>
      <c r="AC1128" s="345">
        <v>51260</v>
      </c>
      <c r="AD1128" s="349">
        <v>0</v>
      </c>
      <c r="AE1128" s="345" t="s">
        <v>944</v>
      </c>
      <c r="AF1128" s="347"/>
      <c r="AG1128" s="347">
        <v>188</v>
      </c>
      <c r="AH1128" s="347" t="s">
        <v>57</v>
      </c>
      <c r="AI1128" s="347" t="s">
        <v>4442</v>
      </c>
      <c r="AJ1128" s="347" t="s">
        <v>4443</v>
      </c>
      <c r="AK1128" s="347" t="s">
        <v>4437</v>
      </c>
      <c r="AL1128" s="387">
        <v>45574</v>
      </c>
    </row>
    <row r="1129" spans="2:38" ht="15.75" outlineLevel="1">
      <c r="B1129" s="345">
        <v>2111</v>
      </c>
      <c r="C1129" s="346">
        <v>170509</v>
      </c>
      <c r="D1129" s="345" t="s">
        <v>944</v>
      </c>
      <c r="E1129" s="347" t="s">
        <v>4240</v>
      </c>
      <c r="F1129" s="343" t="s">
        <v>158</v>
      </c>
      <c r="I1129" s="345">
        <v>1</v>
      </c>
      <c r="J1129" s="347"/>
      <c r="K1129" s="345">
        <v>0</v>
      </c>
      <c r="L1129" s="347" t="s">
        <v>2645</v>
      </c>
      <c r="M1129" s="347"/>
      <c r="N1129" s="347" t="s">
        <v>4445</v>
      </c>
      <c r="O1129" s="347" t="s">
        <v>4441</v>
      </c>
      <c r="P1129" s="347" t="s">
        <v>1467</v>
      </c>
      <c r="Q1129" s="347"/>
      <c r="R1129" s="347"/>
      <c r="S1129" s="348">
        <v>42675</v>
      </c>
      <c r="T1129" s="348">
        <v>42675</v>
      </c>
      <c r="U1129" s="347" t="s">
        <v>2646</v>
      </c>
      <c r="V1129" s="345">
        <v>300</v>
      </c>
      <c r="W1129" s="345">
        <v>14040</v>
      </c>
      <c r="X1129" s="349">
        <v>14023.35</v>
      </c>
      <c r="Y1129" s="345">
        <v>14046</v>
      </c>
      <c r="Z1129" s="349">
        <v>14023.35</v>
      </c>
      <c r="AA1129" s="349">
        <f t="shared" si="102"/>
        <v>0</v>
      </c>
      <c r="AB1129" s="349">
        <v>0</v>
      </c>
      <c r="AC1129" s="345">
        <v>51260</v>
      </c>
      <c r="AD1129" s="349">
        <v>0</v>
      </c>
      <c r="AE1129" s="345" t="s">
        <v>944</v>
      </c>
      <c r="AF1129" s="347"/>
      <c r="AG1129" s="347"/>
      <c r="AH1129" s="347" t="s">
        <v>57</v>
      </c>
      <c r="AI1129" s="347" t="s">
        <v>4442</v>
      </c>
      <c r="AJ1129" s="347" t="s">
        <v>4443</v>
      </c>
      <c r="AK1129" s="347" t="s">
        <v>4437</v>
      </c>
      <c r="AL1129" s="387">
        <v>45574</v>
      </c>
    </row>
    <row r="1130" spans="2:38" ht="15.75" outlineLevel="1">
      <c r="B1130" s="345">
        <v>2111</v>
      </c>
      <c r="C1130" s="346">
        <v>170480</v>
      </c>
      <c r="D1130" s="345" t="s">
        <v>944</v>
      </c>
      <c r="E1130" s="347" t="s">
        <v>4240</v>
      </c>
      <c r="F1130" s="343" t="s">
        <v>2648</v>
      </c>
      <c r="I1130" s="345">
        <v>1</v>
      </c>
      <c r="J1130" s="347"/>
      <c r="K1130" s="345">
        <v>0</v>
      </c>
      <c r="L1130" s="347" t="s">
        <v>2649</v>
      </c>
      <c r="M1130" s="347"/>
      <c r="N1130" s="347" t="s">
        <v>4445</v>
      </c>
      <c r="O1130" s="347" t="s">
        <v>4441</v>
      </c>
      <c r="P1130" s="347" t="s">
        <v>1467</v>
      </c>
      <c r="Q1130" s="347"/>
      <c r="R1130" s="347"/>
      <c r="S1130" s="348">
        <v>42675</v>
      </c>
      <c r="T1130" s="348">
        <v>42675</v>
      </c>
      <c r="U1130" s="347" t="s">
        <v>2646</v>
      </c>
      <c r="V1130" s="345">
        <v>300</v>
      </c>
      <c r="W1130" s="345">
        <v>14040</v>
      </c>
      <c r="X1130" s="349">
        <v>1575</v>
      </c>
      <c r="Y1130" s="345">
        <v>14046</v>
      </c>
      <c r="Z1130" s="349">
        <v>1575</v>
      </c>
      <c r="AA1130" s="349">
        <f t="shared" si="102"/>
        <v>0</v>
      </c>
      <c r="AB1130" s="349">
        <v>0</v>
      </c>
      <c r="AC1130" s="345">
        <v>51260</v>
      </c>
      <c r="AD1130" s="349">
        <v>0</v>
      </c>
      <c r="AE1130" s="345" t="s">
        <v>944</v>
      </c>
      <c r="AF1130" s="347"/>
      <c r="AG1130" s="347"/>
      <c r="AH1130" s="347" t="s">
        <v>57</v>
      </c>
      <c r="AI1130" s="347" t="s">
        <v>4442</v>
      </c>
      <c r="AJ1130" s="347" t="s">
        <v>4443</v>
      </c>
      <c r="AK1130" s="347" t="s">
        <v>4437</v>
      </c>
      <c r="AL1130" s="387">
        <v>45574</v>
      </c>
    </row>
    <row r="1131" spans="2:38" ht="15.75" outlineLevel="1">
      <c r="B1131" s="345">
        <v>2111</v>
      </c>
      <c r="C1131" s="346">
        <v>170429</v>
      </c>
      <c r="D1131" s="345" t="s">
        <v>944</v>
      </c>
      <c r="E1131" s="347" t="s">
        <v>4240</v>
      </c>
      <c r="F1131" s="343" t="s">
        <v>2650</v>
      </c>
      <c r="I1131" s="345">
        <v>1</v>
      </c>
      <c r="J1131" s="347"/>
      <c r="K1131" s="345">
        <v>0</v>
      </c>
      <c r="L1131" s="347" t="s">
        <v>2651</v>
      </c>
      <c r="M1131" s="347"/>
      <c r="N1131" s="347" t="s">
        <v>4452</v>
      </c>
      <c r="O1131" s="347" t="s">
        <v>4441</v>
      </c>
      <c r="P1131" s="347"/>
      <c r="Q1131" s="347"/>
      <c r="R1131" s="347"/>
      <c r="S1131" s="348">
        <v>42675</v>
      </c>
      <c r="T1131" s="348">
        <v>42675</v>
      </c>
      <c r="U1131" s="347" t="s">
        <v>2652</v>
      </c>
      <c r="V1131" s="345">
        <v>1000</v>
      </c>
      <c r="W1131" s="345">
        <v>14080</v>
      </c>
      <c r="X1131" s="349">
        <v>17748.240000000002</v>
      </c>
      <c r="Y1131" s="345">
        <v>14086</v>
      </c>
      <c r="Z1131" s="349">
        <v>14050.64</v>
      </c>
      <c r="AA1131" s="349">
        <f t="shared" si="102"/>
        <v>3697.6000000000022</v>
      </c>
      <c r="AB1131" s="349">
        <v>1331.1</v>
      </c>
      <c r="AC1131" s="345">
        <v>57260</v>
      </c>
      <c r="AD1131" s="349">
        <v>147.9</v>
      </c>
      <c r="AE1131" s="345" t="s">
        <v>944</v>
      </c>
      <c r="AF1131" s="347"/>
      <c r="AG1131" s="347"/>
      <c r="AH1131" s="347" t="s">
        <v>57</v>
      </c>
      <c r="AI1131" s="347" t="s">
        <v>4442</v>
      </c>
      <c r="AJ1131" s="347" t="s">
        <v>4443</v>
      </c>
      <c r="AK1131" s="347" t="s">
        <v>4437</v>
      </c>
      <c r="AL1131" s="387">
        <v>45574</v>
      </c>
    </row>
    <row r="1132" spans="2:38" ht="15.75" outlineLevel="1">
      <c r="B1132" s="345">
        <v>2111</v>
      </c>
      <c r="C1132" s="346">
        <v>170261</v>
      </c>
      <c r="D1132" s="345">
        <v>169996</v>
      </c>
      <c r="E1132" s="347" t="s">
        <v>4240</v>
      </c>
      <c r="F1132" s="343" t="s">
        <v>1120</v>
      </c>
      <c r="I1132" s="345">
        <v>1</v>
      </c>
      <c r="J1132" s="347"/>
      <c r="K1132" s="345">
        <v>0</v>
      </c>
      <c r="L1132" s="347" t="s">
        <v>2001</v>
      </c>
      <c r="M1132" s="347" t="s">
        <v>2206</v>
      </c>
      <c r="N1132" s="347" t="s">
        <v>4445</v>
      </c>
      <c r="O1132" s="347" t="s">
        <v>4441</v>
      </c>
      <c r="P1132" s="347" t="s">
        <v>1467</v>
      </c>
      <c r="Q1132" s="347"/>
      <c r="R1132" s="347"/>
      <c r="S1132" s="348">
        <v>42699</v>
      </c>
      <c r="T1132" s="348">
        <v>42699</v>
      </c>
      <c r="U1132" s="347" t="s">
        <v>2653</v>
      </c>
      <c r="V1132" s="345">
        <v>500</v>
      </c>
      <c r="W1132" s="345">
        <v>14040</v>
      </c>
      <c r="X1132" s="349">
        <v>632.72</v>
      </c>
      <c r="Y1132" s="345">
        <v>14046</v>
      </c>
      <c r="Z1132" s="349">
        <v>632.72</v>
      </c>
      <c r="AA1132" s="349">
        <f t="shared" si="102"/>
        <v>0</v>
      </c>
      <c r="AB1132" s="349">
        <v>0</v>
      </c>
      <c r="AC1132" s="345">
        <v>51260</v>
      </c>
      <c r="AD1132" s="349">
        <v>0</v>
      </c>
      <c r="AE1132" s="345" t="s">
        <v>944</v>
      </c>
      <c r="AF1132" s="347"/>
      <c r="AG1132" s="347"/>
      <c r="AH1132" s="347" t="s">
        <v>57</v>
      </c>
      <c r="AI1132" s="347" t="s">
        <v>4442</v>
      </c>
      <c r="AJ1132" s="347" t="s">
        <v>4443</v>
      </c>
      <c r="AK1132" s="347" t="s">
        <v>4437</v>
      </c>
      <c r="AL1132" s="387">
        <v>45574</v>
      </c>
    </row>
    <row r="1133" spans="2:38" ht="15.75" outlineLevel="1">
      <c r="B1133" s="345">
        <v>2111</v>
      </c>
      <c r="C1133" s="346">
        <v>169996</v>
      </c>
      <c r="D1133" s="345" t="s">
        <v>944</v>
      </c>
      <c r="E1133" s="347" t="s">
        <v>4240</v>
      </c>
      <c r="F1133" s="343" t="s">
        <v>584</v>
      </c>
      <c r="I1133" s="345">
        <v>1</v>
      </c>
      <c r="J1133" s="347" t="s">
        <v>2654</v>
      </c>
      <c r="K1133" s="345">
        <v>2012</v>
      </c>
      <c r="L1133" s="347" t="s">
        <v>2166</v>
      </c>
      <c r="M1133" s="347" t="s">
        <v>2206</v>
      </c>
      <c r="N1133" s="347" t="s">
        <v>4445</v>
      </c>
      <c r="O1133" s="347" t="s">
        <v>4441</v>
      </c>
      <c r="P1133" s="347" t="s">
        <v>2039</v>
      </c>
      <c r="Q1133" s="347"/>
      <c r="R1133" s="347"/>
      <c r="S1133" s="348">
        <v>42699</v>
      </c>
      <c r="T1133" s="348">
        <v>42699</v>
      </c>
      <c r="U1133" s="347" t="s">
        <v>2653</v>
      </c>
      <c r="V1133" s="345">
        <v>500</v>
      </c>
      <c r="W1133" s="345">
        <v>14040</v>
      </c>
      <c r="X1133" s="349">
        <v>34500</v>
      </c>
      <c r="Y1133" s="345">
        <v>14046</v>
      </c>
      <c r="Z1133" s="349">
        <v>34500</v>
      </c>
      <c r="AA1133" s="349">
        <f t="shared" si="102"/>
        <v>0</v>
      </c>
      <c r="AB1133" s="349">
        <v>0</v>
      </c>
      <c r="AC1133" s="345">
        <v>51260</v>
      </c>
      <c r="AD1133" s="349">
        <v>0</v>
      </c>
      <c r="AE1133" s="345" t="s">
        <v>944</v>
      </c>
      <c r="AF1133" s="347">
        <v>0</v>
      </c>
      <c r="AG1133" s="347" t="s">
        <v>412</v>
      </c>
      <c r="AH1133" s="347" t="s">
        <v>57</v>
      </c>
      <c r="AI1133" s="347" t="s">
        <v>4442</v>
      </c>
      <c r="AJ1133" s="347" t="s">
        <v>4443</v>
      </c>
      <c r="AK1133" s="347" t="s">
        <v>4437</v>
      </c>
      <c r="AL1133" s="387">
        <v>45574</v>
      </c>
    </row>
    <row r="1134" spans="2:38" ht="15.75" outlineLevel="1">
      <c r="B1134" s="345">
        <v>2111</v>
      </c>
      <c r="C1134" s="346">
        <v>168978</v>
      </c>
      <c r="D1134" s="345" t="s">
        <v>944</v>
      </c>
      <c r="E1134" s="347" t="s">
        <v>4240</v>
      </c>
      <c r="F1134" s="343" t="s">
        <v>406</v>
      </c>
      <c r="I1134" s="345">
        <v>1</v>
      </c>
      <c r="J1134" s="347"/>
      <c r="K1134" s="345">
        <v>0</v>
      </c>
      <c r="L1134" s="347" t="s">
        <v>2262</v>
      </c>
      <c r="M1134" s="347"/>
      <c r="N1134" s="347" t="s">
        <v>4445</v>
      </c>
      <c r="O1134" s="347" t="s">
        <v>4441</v>
      </c>
      <c r="P1134" s="347" t="s">
        <v>1467</v>
      </c>
      <c r="Q1134" s="347"/>
      <c r="R1134" s="347"/>
      <c r="S1134" s="348">
        <v>42536</v>
      </c>
      <c r="T1134" s="348">
        <v>42536</v>
      </c>
      <c r="U1134" s="347" t="s">
        <v>2655</v>
      </c>
      <c r="V1134" s="345">
        <v>300</v>
      </c>
      <c r="W1134" s="345">
        <v>14040</v>
      </c>
      <c r="X1134" s="349">
        <v>8833.89</v>
      </c>
      <c r="Y1134" s="345">
        <v>14046</v>
      </c>
      <c r="Z1134" s="349">
        <v>8833.89</v>
      </c>
      <c r="AA1134" s="349">
        <f t="shared" si="102"/>
        <v>0</v>
      </c>
      <c r="AB1134" s="349">
        <v>0</v>
      </c>
      <c r="AC1134" s="345">
        <v>51260</v>
      </c>
      <c r="AD1134" s="349">
        <v>0</v>
      </c>
      <c r="AE1134" s="345" t="s">
        <v>944</v>
      </c>
      <c r="AF1134" s="347"/>
      <c r="AG1134" s="347"/>
      <c r="AH1134" s="347" t="s">
        <v>57</v>
      </c>
      <c r="AI1134" s="347" t="s">
        <v>4442</v>
      </c>
      <c r="AJ1134" s="347" t="s">
        <v>4443</v>
      </c>
      <c r="AK1134" s="347" t="s">
        <v>4437</v>
      </c>
      <c r="AL1134" s="387">
        <v>45574</v>
      </c>
    </row>
    <row r="1135" spans="2:38" ht="15.75" outlineLevel="1">
      <c r="B1135" s="345">
        <v>2111</v>
      </c>
      <c r="C1135" s="346">
        <v>168021</v>
      </c>
      <c r="D1135" s="345" t="s">
        <v>944</v>
      </c>
      <c r="E1135" s="347" t="s">
        <v>4240</v>
      </c>
      <c r="F1135" s="343" t="s">
        <v>4499</v>
      </c>
      <c r="I1135" s="345">
        <v>1</v>
      </c>
      <c r="J1135" s="347"/>
      <c r="K1135" s="345">
        <v>0</v>
      </c>
      <c r="L1135" s="347" t="s">
        <v>1657</v>
      </c>
      <c r="M1135" s="347"/>
      <c r="N1135" s="347" t="s">
        <v>4440</v>
      </c>
      <c r="O1135" s="347" t="s">
        <v>4441</v>
      </c>
      <c r="P1135" s="347"/>
      <c r="Q1135" s="347"/>
      <c r="R1135" s="347"/>
      <c r="S1135" s="348">
        <v>42635</v>
      </c>
      <c r="T1135" s="348">
        <v>42635</v>
      </c>
      <c r="U1135" s="347" t="s">
        <v>2658</v>
      </c>
      <c r="V1135" s="345">
        <v>300</v>
      </c>
      <c r="W1135" s="345">
        <v>14110</v>
      </c>
      <c r="X1135" s="349">
        <v>993.08</v>
      </c>
      <c r="Y1135" s="345">
        <v>14116</v>
      </c>
      <c r="Z1135" s="349">
        <v>993.08</v>
      </c>
      <c r="AA1135" s="349">
        <f t="shared" si="102"/>
        <v>0</v>
      </c>
      <c r="AB1135" s="349">
        <v>0</v>
      </c>
      <c r="AC1135" s="345">
        <v>70260</v>
      </c>
      <c r="AD1135" s="349">
        <v>0</v>
      </c>
      <c r="AE1135" s="345" t="s">
        <v>944</v>
      </c>
      <c r="AF1135" s="347"/>
      <c r="AG1135" s="347"/>
      <c r="AH1135" s="347" t="s">
        <v>57</v>
      </c>
      <c r="AI1135" s="347" t="s">
        <v>4442</v>
      </c>
      <c r="AJ1135" s="347" t="s">
        <v>4443</v>
      </c>
      <c r="AK1135" s="347" t="s">
        <v>4437</v>
      </c>
      <c r="AL1135" s="387">
        <v>45574</v>
      </c>
    </row>
    <row r="1136" spans="2:38" ht="15.75" outlineLevel="1">
      <c r="B1136" s="345">
        <v>2111</v>
      </c>
      <c r="C1136" s="346">
        <v>166868</v>
      </c>
      <c r="D1136" s="345" t="s">
        <v>944</v>
      </c>
      <c r="E1136" s="347" t="s">
        <v>4240</v>
      </c>
      <c r="F1136" s="343" t="s">
        <v>512</v>
      </c>
      <c r="I1136" s="345">
        <v>624</v>
      </c>
      <c r="J1136" s="347"/>
      <c r="K1136" s="345">
        <v>0</v>
      </c>
      <c r="L1136" s="347" t="s">
        <v>2093</v>
      </c>
      <c r="M1136" s="347"/>
      <c r="N1136" s="347" t="s">
        <v>4446</v>
      </c>
      <c r="O1136" s="347" t="s">
        <v>4441</v>
      </c>
      <c r="P1136" s="347"/>
      <c r="Q1136" s="347"/>
      <c r="R1136" s="347"/>
      <c r="S1136" s="348">
        <v>42548</v>
      </c>
      <c r="T1136" s="348">
        <v>42548</v>
      </c>
      <c r="U1136" s="347" t="s">
        <v>2660</v>
      </c>
      <c r="V1136" s="345">
        <v>700</v>
      </c>
      <c r="W1136" s="345">
        <v>14050</v>
      </c>
      <c r="X1136" s="349">
        <v>31693.8</v>
      </c>
      <c r="Y1136" s="345">
        <v>14056</v>
      </c>
      <c r="Z1136" s="349">
        <v>31693.8</v>
      </c>
      <c r="AA1136" s="349">
        <f t="shared" si="102"/>
        <v>0</v>
      </c>
      <c r="AB1136" s="349">
        <v>0</v>
      </c>
      <c r="AC1136" s="345">
        <v>54260</v>
      </c>
      <c r="AD1136" s="349">
        <v>0</v>
      </c>
      <c r="AE1136" s="345" t="s">
        <v>944</v>
      </c>
      <c r="AF1136" s="347"/>
      <c r="AG1136" s="347"/>
      <c r="AH1136" s="347" t="s">
        <v>57</v>
      </c>
      <c r="AI1136" s="347" t="s">
        <v>4442</v>
      </c>
      <c r="AJ1136" s="347" t="s">
        <v>4443</v>
      </c>
      <c r="AK1136" s="347" t="s">
        <v>4437</v>
      </c>
      <c r="AL1136" s="387">
        <v>45574</v>
      </c>
    </row>
    <row r="1137" spans="2:38" ht="15.75" outlineLevel="1">
      <c r="B1137" s="345">
        <v>2111</v>
      </c>
      <c r="C1137" s="346">
        <v>166867</v>
      </c>
      <c r="D1137" s="345" t="s">
        <v>944</v>
      </c>
      <c r="E1137" s="347" t="s">
        <v>4240</v>
      </c>
      <c r="F1137" s="343" t="s">
        <v>512</v>
      </c>
      <c r="I1137" s="345">
        <v>624</v>
      </c>
      <c r="J1137" s="347"/>
      <c r="K1137" s="345">
        <v>0</v>
      </c>
      <c r="L1137" s="347" t="s">
        <v>2093</v>
      </c>
      <c r="M1137" s="347"/>
      <c r="N1137" s="347" t="s">
        <v>4446</v>
      </c>
      <c r="O1137" s="347" t="s">
        <v>4441</v>
      </c>
      <c r="P1137" s="347"/>
      <c r="Q1137" s="347"/>
      <c r="R1137" s="347"/>
      <c r="S1137" s="348">
        <v>42541</v>
      </c>
      <c r="T1137" s="348">
        <v>42541</v>
      </c>
      <c r="U1137" s="347" t="s">
        <v>2660</v>
      </c>
      <c r="V1137" s="345">
        <v>700</v>
      </c>
      <c r="W1137" s="345">
        <v>14050</v>
      </c>
      <c r="X1137" s="349">
        <v>31693.79</v>
      </c>
      <c r="Y1137" s="345">
        <v>14056</v>
      </c>
      <c r="Z1137" s="349">
        <v>31693.79</v>
      </c>
      <c r="AA1137" s="349">
        <f t="shared" si="102"/>
        <v>0</v>
      </c>
      <c r="AB1137" s="349">
        <v>0</v>
      </c>
      <c r="AC1137" s="345">
        <v>54260</v>
      </c>
      <c r="AD1137" s="349">
        <v>0</v>
      </c>
      <c r="AE1137" s="345" t="s">
        <v>944</v>
      </c>
      <c r="AF1137" s="347"/>
      <c r="AG1137" s="347"/>
      <c r="AH1137" s="347" t="s">
        <v>57</v>
      </c>
      <c r="AI1137" s="347" t="s">
        <v>4442</v>
      </c>
      <c r="AJ1137" s="347" t="s">
        <v>4443</v>
      </c>
      <c r="AK1137" s="347" t="s">
        <v>4437</v>
      </c>
      <c r="AL1137" s="387">
        <v>45574</v>
      </c>
    </row>
    <row r="1138" spans="2:38" ht="15.75" outlineLevel="1">
      <c r="B1138" s="345">
        <v>2111</v>
      </c>
      <c r="C1138" s="346">
        <v>166835</v>
      </c>
      <c r="D1138" s="345" t="s">
        <v>944</v>
      </c>
      <c r="E1138" s="347" t="s">
        <v>4240</v>
      </c>
      <c r="F1138" s="343" t="s">
        <v>404</v>
      </c>
      <c r="I1138" s="345">
        <v>1</v>
      </c>
      <c r="J1138" s="347">
        <v>61174</v>
      </c>
      <c r="K1138" s="345">
        <v>1986</v>
      </c>
      <c r="L1138" s="347" t="s">
        <v>2661</v>
      </c>
      <c r="M1138" s="347"/>
      <c r="N1138" s="347" t="s">
        <v>4445</v>
      </c>
      <c r="O1138" s="347" t="s">
        <v>4441</v>
      </c>
      <c r="P1138" s="347" t="s">
        <v>2662</v>
      </c>
      <c r="Q1138" s="347"/>
      <c r="R1138" s="347"/>
      <c r="S1138" s="348">
        <v>42522</v>
      </c>
      <c r="T1138" s="348">
        <v>42522</v>
      </c>
      <c r="U1138" s="347" t="s">
        <v>2663</v>
      </c>
      <c r="V1138" s="345">
        <v>300</v>
      </c>
      <c r="W1138" s="345">
        <v>14040</v>
      </c>
      <c r="X1138" s="349">
        <v>5475</v>
      </c>
      <c r="Y1138" s="345">
        <v>14046</v>
      </c>
      <c r="Z1138" s="349">
        <v>5475</v>
      </c>
      <c r="AA1138" s="349">
        <f t="shared" si="102"/>
        <v>0</v>
      </c>
      <c r="AB1138" s="349">
        <v>0</v>
      </c>
      <c r="AC1138" s="345">
        <v>51260</v>
      </c>
      <c r="AD1138" s="349">
        <v>0</v>
      </c>
      <c r="AE1138" s="345" t="s">
        <v>944</v>
      </c>
      <c r="AF1138" s="347">
        <v>0</v>
      </c>
      <c r="AG1138" s="347" t="s">
        <v>413</v>
      </c>
      <c r="AH1138" s="347" t="s">
        <v>57</v>
      </c>
      <c r="AI1138" s="347" t="s">
        <v>4442</v>
      </c>
      <c r="AJ1138" s="347" t="s">
        <v>4443</v>
      </c>
      <c r="AK1138" s="347" t="s">
        <v>4437</v>
      </c>
      <c r="AL1138" s="387">
        <v>45574</v>
      </c>
    </row>
    <row r="1139" spans="2:38" ht="15.75" outlineLevel="1">
      <c r="B1139" s="345">
        <v>2111</v>
      </c>
      <c r="C1139" s="346">
        <v>166458</v>
      </c>
      <c r="D1139" s="345" t="s">
        <v>944</v>
      </c>
      <c r="E1139" s="347" t="s">
        <v>4240</v>
      </c>
      <c r="F1139" s="343" t="s">
        <v>402</v>
      </c>
      <c r="I1139" s="345">
        <v>1</v>
      </c>
      <c r="J1139" s="347">
        <v>303563</v>
      </c>
      <c r="K1139" s="345">
        <v>2002</v>
      </c>
      <c r="L1139" s="347" t="s">
        <v>2154</v>
      </c>
      <c r="M1139" s="347" t="s">
        <v>2665</v>
      </c>
      <c r="N1139" s="347" t="s">
        <v>4445</v>
      </c>
      <c r="O1139" s="347" t="s">
        <v>4441</v>
      </c>
      <c r="P1139" s="347" t="s">
        <v>2662</v>
      </c>
      <c r="Q1139" s="347"/>
      <c r="R1139" s="347"/>
      <c r="S1139" s="348">
        <v>42597</v>
      </c>
      <c r="T1139" s="348">
        <v>42597</v>
      </c>
      <c r="U1139" s="347" t="s">
        <v>2666</v>
      </c>
      <c r="V1139" s="345">
        <v>300</v>
      </c>
      <c r="W1139" s="345">
        <v>14040</v>
      </c>
      <c r="X1139" s="349">
        <v>26927</v>
      </c>
      <c r="Y1139" s="345">
        <v>14046</v>
      </c>
      <c r="Z1139" s="349">
        <v>26927</v>
      </c>
      <c r="AA1139" s="349">
        <f t="shared" si="102"/>
        <v>0</v>
      </c>
      <c r="AB1139" s="349">
        <v>0</v>
      </c>
      <c r="AC1139" s="345">
        <v>51260</v>
      </c>
      <c r="AD1139" s="349">
        <v>0</v>
      </c>
      <c r="AE1139" s="345" t="s">
        <v>944</v>
      </c>
      <c r="AF1139" s="347">
        <v>0</v>
      </c>
      <c r="AG1139" s="347" t="s">
        <v>415</v>
      </c>
      <c r="AH1139" s="347" t="s">
        <v>57</v>
      </c>
      <c r="AI1139" s="347" t="s">
        <v>4442</v>
      </c>
      <c r="AJ1139" s="347" t="s">
        <v>4443</v>
      </c>
      <c r="AK1139" s="347" t="s">
        <v>4437</v>
      </c>
      <c r="AL1139" s="387">
        <v>45574</v>
      </c>
    </row>
    <row r="1140" spans="2:38" ht="15.75" outlineLevel="1">
      <c r="B1140" s="345">
        <v>2111</v>
      </c>
      <c r="C1140" s="346">
        <v>165855</v>
      </c>
      <c r="D1140" s="345" t="s">
        <v>944</v>
      </c>
      <c r="E1140" s="347" t="s">
        <v>4240</v>
      </c>
      <c r="F1140" s="343" t="s">
        <v>4498</v>
      </c>
      <c r="I1140" s="345">
        <v>1</v>
      </c>
      <c r="J1140" s="347"/>
      <c r="K1140" s="345">
        <v>0</v>
      </c>
      <c r="L1140" s="347" t="s">
        <v>1657</v>
      </c>
      <c r="M1140" s="347"/>
      <c r="N1140" s="347" t="s">
        <v>4440</v>
      </c>
      <c r="O1140" s="347" t="s">
        <v>4441</v>
      </c>
      <c r="P1140" s="347"/>
      <c r="Q1140" s="347"/>
      <c r="R1140" s="347"/>
      <c r="S1140" s="348">
        <v>42559</v>
      </c>
      <c r="T1140" s="348">
        <v>42559</v>
      </c>
      <c r="U1140" s="347" t="s">
        <v>2668</v>
      </c>
      <c r="V1140" s="345">
        <v>300</v>
      </c>
      <c r="W1140" s="345">
        <v>14110</v>
      </c>
      <c r="X1140" s="349">
        <v>1237.49</v>
      </c>
      <c r="Y1140" s="345">
        <v>14116</v>
      </c>
      <c r="Z1140" s="349">
        <v>1237.49</v>
      </c>
      <c r="AA1140" s="349">
        <f t="shared" si="102"/>
        <v>0</v>
      </c>
      <c r="AB1140" s="349">
        <v>0</v>
      </c>
      <c r="AC1140" s="345">
        <v>70260</v>
      </c>
      <c r="AD1140" s="349">
        <v>0</v>
      </c>
      <c r="AE1140" s="345" t="s">
        <v>944</v>
      </c>
      <c r="AF1140" s="347"/>
      <c r="AG1140" s="347"/>
      <c r="AH1140" s="347" t="s">
        <v>57</v>
      </c>
      <c r="AI1140" s="347" t="s">
        <v>4442</v>
      </c>
      <c r="AJ1140" s="347" t="s">
        <v>4443</v>
      </c>
      <c r="AK1140" s="347" t="s">
        <v>4437</v>
      </c>
      <c r="AL1140" s="387">
        <v>45574</v>
      </c>
    </row>
    <row r="1141" spans="2:38" ht="15.75" outlineLevel="1">
      <c r="B1141" s="345">
        <v>2111</v>
      </c>
      <c r="C1141" s="346">
        <v>165849</v>
      </c>
      <c r="D1141" s="345" t="s">
        <v>944</v>
      </c>
      <c r="E1141" s="347" t="s">
        <v>4240</v>
      </c>
      <c r="F1141" s="343" t="s">
        <v>399</v>
      </c>
      <c r="I1141" s="345">
        <v>1</v>
      </c>
      <c r="J1141" s="347"/>
      <c r="K1141" s="345">
        <v>0</v>
      </c>
      <c r="L1141" s="347" t="s">
        <v>2670</v>
      </c>
      <c r="M1141" s="347"/>
      <c r="N1141" s="347" t="s">
        <v>4451</v>
      </c>
      <c r="O1141" s="347" t="s">
        <v>4441</v>
      </c>
      <c r="P1141" s="347"/>
      <c r="Q1141" s="347"/>
      <c r="R1141" s="347"/>
      <c r="S1141" s="348">
        <v>42543</v>
      </c>
      <c r="T1141" s="348">
        <v>42543</v>
      </c>
      <c r="U1141" s="347" t="s">
        <v>2671</v>
      </c>
      <c r="V1141" s="345">
        <v>500</v>
      </c>
      <c r="W1141" s="345">
        <v>14070</v>
      </c>
      <c r="X1141" s="349">
        <v>7659.9</v>
      </c>
      <c r="Y1141" s="345">
        <v>14076</v>
      </c>
      <c r="Z1141" s="349">
        <v>7659.9</v>
      </c>
      <c r="AA1141" s="349">
        <f t="shared" si="102"/>
        <v>0</v>
      </c>
      <c r="AB1141" s="349">
        <v>0</v>
      </c>
      <c r="AC1141" s="345">
        <v>51260</v>
      </c>
      <c r="AD1141" s="349">
        <v>0</v>
      </c>
      <c r="AE1141" s="345" t="s">
        <v>944</v>
      </c>
      <c r="AF1141" s="347"/>
      <c r="AG1141" s="347"/>
      <c r="AH1141" s="347" t="s">
        <v>57</v>
      </c>
      <c r="AI1141" s="347" t="s">
        <v>4442</v>
      </c>
      <c r="AJ1141" s="347" t="s">
        <v>4443</v>
      </c>
      <c r="AK1141" s="347" t="s">
        <v>4437</v>
      </c>
      <c r="AL1141" s="387">
        <v>45574</v>
      </c>
    </row>
    <row r="1142" spans="2:38" ht="15.75" outlineLevel="1">
      <c r="B1142" s="345">
        <v>2111</v>
      </c>
      <c r="C1142" s="346">
        <v>165758</v>
      </c>
      <c r="D1142" s="345">
        <v>25020</v>
      </c>
      <c r="E1142" s="347" t="s">
        <v>4240</v>
      </c>
      <c r="F1142" s="343" t="s">
        <v>398</v>
      </c>
      <c r="I1142" s="345">
        <v>1</v>
      </c>
      <c r="J1142" s="347"/>
      <c r="K1142" s="345">
        <v>0</v>
      </c>
      <c r="L1142" s="347" t="s">
        <v>2170</v>
      </c>
      <c r="M1142" s="347"/>
      <c r="N1142" s="347" t="s">
        <v>4445</v>
      </c>
      <c r="O1142" s="347" t="s">
        <v>4441</v>
      </c>
      <c r="P1142" s="347" t="s">
        <v>1467</v>
      </c>
      <c r="Q1142" s="347"/>
      <c r="R1142" s="347"/>
      <c r="S1142" s="348">
        <v>42544</v>
      </c>
      <c r="T1142" s="348">
        <v>42544</v>
      </c>
      <c r="U1142" s="347" t="s">
        <v>2672</v>
      </c>
      <c r="V1142" s="345">
        <v>300</v>
      </c>
      <c r="W1142" s="345">
        <v>14040</v>
      </c>
      <c r="X1142" s="349">
        <v>19969.009999999998</v>
      </c>
      <c r="Y1142" s="345">
        <v>14046</v>
      </c>
      <c r="Z1142" s="349">
        <v>19969.009999999998</v>
      </c>
      <c r="AA1142" s="349">
        <f t="shared" si="102"/>
        <v>0</v>
      </c>
      <c r="AB1142" s="349">
        <v>0</v>
      </c>
      <c r="AC1142" s="345">
        <v>51260</v>
      </c>
      <c r="AD1142" s="349">
        <v>0</v>
      </c>
      <c r="AE1142" s="345" t="s">
        <v>944</v>
      </c>
      <c r="AF1142" s="347"/>
      <c r="AG1142" s="347"/>
      <c r="AH1142" s="347" t="s">
        <v>57</v>
      </c>
      <c r="AI1142" s="347" t="s">
        <v>4442</v>
      </c>
      <c r="AJ1142" s="347" t="s">
        <v>4443</v>
      </c>
      <c r="AK1142" s="347" t="s">
        <v>4437</v>
      </c>
      <c r="AL1142" s="387">
        <v>45574</v>
      </c>
    </row>
    <row r="1143" spans="2:38" ht="15.75" outlineLevel="1">
      <c r="B1143" s="345">
        <v>2111</v>
      </c>
      <c r="C1143" s="346">
        <v>165562</v>
      </c>
      <c r="D1143" s="345" t="s">
        <v>944</v>
      </c>
      <c r="E1143" s="347" t="s">
        <v>4240</v>
      </c>
      <c r="F1143" s="343" t="s">
        <v>332</v>
      </c>
      <c r="I1143" s="345">
        <v>1</v>
      </c>
      <c r="J1143" s="347"/>
      <c r="K1143" s="345">
        <v>0</v>
      </c>
      <c r="L1143" s="347" t="s">
        <v>1657</v>
      </c>
      <c r="M1143" s="347"/>
      <c r="N1143" s="347" t="s">
        <v>4440</v>
      </c>
      <c r="O1143" s="347" t="s">
        <v>4441</v>
      </c>
      <c r="P1143" s="347"/>
      <c r="Q1143" s="347"/>
      <c r="R1143" s="347"/>
      <c r="S1143" s="348">
        <v>41757</v>
      </c>
      <c r="T1143" s="348">
        <v>41757</v>
      </c>
      <c r="U1143" s="347" t="s">
        <v>2674</v>
      </c>
      <c r="V1143" s="345">
        <v>300</v>
      </c>
      <c r="W1143" s="345">
        <v>14110</v>
      </c>
      <c r="X1143" s="349">
        <v>1019.16</v>
      </c>
      <c r="Y1143" s="345">
        <v>14116</v>
      </c>
      <c r="Z1143" s="349">
        <v>1019.16</v>
      </c>
      <c r="AA1143" s="349">
        <f t="shared" si="102"/>
        <v>0</v>
      </c>
      <c r="AB1143" s="349">
        <v>0</v>
      </c>
      <c r="AC1143" s="345">
        <v>70260</v>
      </c>
      <c r="AD1143" s="349">
        <v>0</v>
      </c>
      <c r="AE1143" s="345" t="s">
        <v>944</v>
      </c>
      <c r="AF1143" s="347"/>
      <c r="AG1143" s="347"/>
      <c r="AH1143" s="347" t="s">
        <v>57</v>
      </c>
      <c r="AI1143" s="347" t="s">
        <v>4442</v>
      </c>
      <c r="AJ1143" s="347" t="s">
        <v>4443</v>
      </c>
      <c r="AK1143" s="347" t="s">
        <v>4437</v>
      </c>
      <c r="AL1143" s="387">
        <v>45574</v>
      </c>
    </row>
    <row r="1144" spans="2:38" ht="15.75" outlineLevel="1">
      <c r="B1144" s="345">
        <v>2111</v>
      </c>
      <c r="C1144" s="346">
        <v>133017</v>
      </c>
      <c r="D1144" s="345" t="s">
        <v>944</v>
      </c>
      <c r="E1144" s="347" t="s">
        <v>4240</v>
      </c>
      <c r="F1144" s="343" t="s">
        <v>397</v>
      </c>
      <c r="I1144" s="345">
        <v>1</v>
      </c>
      <c r="J1144" s="347"/>
      <c r="K1144" s="345">
        <v>0</v>
      </c>
      <c r="L1144" s="347" t="s">
        <v>1657</v>
      </c>
      <c r="M1144" s="347"/>
      <c r="N1144" s="347" t="s">
        <v>4440</v>
      </c>
      <c r="O1144" s="347" t="s">
        <v>4441</v>
      </c>
      <c r="P1144" s="347"/>
      <c r="Q1144" s="347"/>
      <c r="R1144" s="347"/>
      <c r="S1144" s="348">
        <v>42513</v>
      </c>
      <c r="T1144" s="348">
        <v>42513</v>
      </c>
      <c r="U1144" s="347" t="s">
        <v>2676</v>
      </c>
      <c r="V1144" s="345">
        <v>300</v>
      </c>
      <c r="W1144" s="345">
        <v>14110</v>
      </c>
      <c r="X1144" s="349">
        <v>1121.76</v>
      </c>
      <c r="Y1144" s="345">
        <v>14116</v>
      </c>
      <c r="Z1144" s="349">
        <v>1121.76</v>
      </c>
      <c r="AA1144" s="349">
        <f t="shared" si="102"/>
        <v>0</v>
      </c>
      <c r="AB1144" s="349">
        <v>0</v>
      </c>
      <c r="AC1144" s="345">
        <v>70260</v>
      </c>
      <c r="AD1144" s="349">
        <v>0</v>
      </c>
      <c r="AE1144" s="345" t="s">
        <v>944</v>
      </c>
      <c r="AF1144" s="347"/>
      <c r="AG1144" s="347"/>
      <c r="AH1144" s="347" t="s">
        <v>57</v>
      </c>
      <c r="AI1144" s="347" t="s">
        <v>4442</v>
      </c>
      <c r="AJ1144" s="347" t="s">
        <v>4443</v>
      </c>
      <c r="AK1144" s="347" t="s">
        <v>4437</v>
      </c>
      <c r="AL1144" s="387">
        <v>45574</v>
      </c>
    </row>
    <row r="1145" spans="2:38" ht="15.75" outlineLevel="1">
      <c r="B1145" s="345">
        <v>2111</v>
      </c>
      <c r="C1145" s="346">
        <v>133016</v>
      </c>
      <c r="D1145" s="345" t="s">
        <v>944</v>
      </c>
      <c r="E1145" s="347" t="s">
        <v>4240</v>
      </c>
      <c r="F1145" s="343" t="s">
        <v>2678</v>
      </c>
      <c r="I1145" s="345">
        <v>1</v>
      </c>
      <c r="J1145" s="347"/>
      <c r="K1145" s="345">
        <v>0</v>
      </c>
      <c r="L1145" s="347" t="s">
        <v>1657</v>
      </c>
      <c r="M1145" s="347"/>
      <c r="N1145" s="347" t="s">
        <v>4440</v>
      </c>
      <c r="O1145" s="347" t="s">
        <v>4441</v>
      </c>
      <c r="P1145" s="347"/>
      <c r="Q1145" s="347"/>
      <c r="R1145" s="347"/>
      <c r="S1145" s="348">
        <v>42495</v>
      </c>
      <c r="T1145" s="348">
        <v>42495</v>
      </c>
      <c r="U1145" s="347" t="s">
        <v>2658</v>
      </c>
      <c r="V1145" s="345">
        <v>300</v>
      </c>
      <c r="W1145" s="345">
        <v>14110</v>
      </c>
      <c r="X1145" s="349">
        <v>2417.6999999999998</v>
      </c>
      <c r="Y1145" s="345">
        <v>14116</v>
      </c>
      <c r="Z1145" s="349">
        <v>2417.6999999999998</v>
      </c>
      <c r="AA1145" s="349">
        <f t="shared" si="102"/>
        <v>0</v>
      </c>
      <c r="AB1145" s="349">
        <v>0</v>
      </c>
      <c r="AC1145" s="345">
        <v>70260</v>
      </c>
      <c r="AD1145" s="349">
        <v>0</v>
      </c>
      <c r="AE1145" s="345" t="s">
        <v>944</v>
      </c>
      <c r="AF1145" s="347"/>
      <c r="AG1145" s="347"/>
      <c r="AH1145" s="347" t="s">
        <v>57</v>
      </c>
      <c r="AI1145" s="347" t="s">
        <v>4442</v>
      </c>
      <c r="AJ1145" s="347" t="s">
        <v>4443</v>
      </c>
      <c r="AK1145" s="347" t="s">
        <v>4437</v>
      </c>
      <c r="AL1145" s="387">
        <v>45574</v>
      </c>
    </row>
    <row r="1146" spans="2:38" ht="15.75" outlineLevel="1">
      <c r="B1146" s="345">
        <v>2111</v>
      </c>
      <c r="C1146" s="346">
        <v>132977</v>
      </c>
      <c r="D1146" s="345">
        <v>102169</v>
      </c>
      <c r="E1146" s="347" t="s">
        <v>4240</v>
      </c>
      <c r="F1146" s="343" t="s">
        <v>394</v>
      </c>
      <c r="I1146" s="345">
        <v>1</v>
      </c>
      <c r="J1146" s="347"/>
      <c r="K1146" s="345">
        <v>0</v>
      </c>
      <c r="L1146" s="347" t="s">
        <v>2680</v>
      </c>
      <c r="M1146" s="347"/>
      <c r="N1146" s="347" t="s">
        <v>4445</v>
      </c>
      <c r="O1146" s="347" t="s">
        <v>4441</v>
      </c>
      <c r="P1146" s="347" t="s">
        <v>1467</v>
      </c>
      <c r="Q1146" s="347"/>
      <c r="R1146" s="347"/>
      <c r="S1146" s="348">
        <v>42490</v>
      </c>
      <c r="T1146" s="348">
        <v>42490</v>
      </c>
      <c r="U1146" s="347" t="s">
        <v>2681</v>
      </c>
      <c r="V1146" s="345">
        <v>300</v>
      </c>
      <c r="W1146" s="345">
        <v>14040</v>
      </c>
      <c r="X1146" s="349">
        <v>34606.75</v>
      </c>
      <c r="Y1146" s="345">
        <v>14046</v>
      </c>
      <c r="Z1146" s="349">
        <v>34606.75</v>
      </c>
      <c r="AA1146" s="349">
        <f t="shared" si="102"/>
        <v>0</v>
      </c>
      <c r="AB1146" s="349">
        <v>0</v>
      </c>
      <c r="AC1146" s="345">
        <v>51260</v>
      </c>
      <c r="AD1146" s="349">
        <v>0</v>
      </c>
      <c r="AE1146" s="345" t="s">
        <v>944</v>
      </c>
      <c r="AF1146" s="347"/>
      <c r="AG1146" s="347"/>
      <c r="AH1146" s="347" t="s">
        <v>57</v>
      </c>
      <c r="AI1146" s="347" t="s">
        <v>4442</v>
      </c>
      <c r="AJ1146" s="347" t="s">
        <v>4443</v>
      </c>
      <c r="AK1146" s="347" t="s">
        <v>4437</v>
      </c>
      <c r="AL1146" s="387">
        <v>45574</v>
      </c>
    </row>
    <row r="1147" spans="2:38" ht="15.75" outlineLevel="1">
      <c r="B1147" s="345">
        <v>2111</v>
      </c>
      <c r="C1147" s="346">
        <v>132354</v>
      </c>
      <c r="D1147" s="345">
        <v>131295</v>
      </c>
      <c r="E1147" s="347" t="s">
        <v>4240</v>
      </c>
      <c r="F1147" s="343" t="s">
        <v>2683</v>
      </c>
      <c r="I1147" s="345">
        <v>1</v>
      </c>
      <c r="J1147" s="347"/>
      <c r="K1147" s="345">
        <v>0</v>
      </c>
      <c r="L1147" s="347" t="s">
        <v>2684</v>
      </c>
      <c r="M1147" s="347"/>
      <c r="N1147" s="347" t="s">
        <v>4440</v>
      </c>
      <c r="O1147" s="347" t="s">
        <v>4441</v>
      </c>
      <c r="P1147" s="347"/>
      <c r="Q1147" s="347"/>
      <c r="R1147" s="347"/>
      <c r="S1147" s="348">
        <v>42460</v>
      </c>
      <c r="T1147" s="348">
        <v>42460</v>
      </c>
      <c r="U1147" s="347" t="s">
        <v>2685</v>
      </c>
      <c r="V1147" s="345">
        <v>100</v>
      </c>
      <c r="W1147" s="345">
        <v>14110</v>
      </c>
      <c r="X1147" s="349">
        <v>23056.62</v>
      </c>
      <c r="Y1147" s="345">
        <v>14116</v>
      </c>
      <c r="Z1147" s="349">
        <v>23056.62</v>
      </c>
      <c r="AA1147" s="349">
        <f t="shared" si="102"/>
        <v>0</v>
      </c>
      <c r="AB1147" s="349">
        <v>0</v>
      </c>
      <c r="AC1147" s="345">
        <v>70260</v>
      </c>
      <c r="AD1147" s="349">
        <v>0</v>
      </c>
      <c r="AE1147" s="345" t="s">
        <v>944</v>
      </c>
      <c r="AF1147" s="347"/>
      <c r="AG1147" s="347"/>
      <c r="AH1147" s="347" t="s">
        <v>57</v>
      </c>
      <c r="AI1147" s="347" t="s">
        <v>4442</v>
      </c>
      <c r="AJ1147" s="347" t="s">
        <v>4443</v>
      </c>
      <c r="AK1147" s="347" t="s">
        <v>4437</v>
      </c>
      <c r="AL1147" s="387">
        <v>45574</v>
      </c>
    </row>
    <row r="1148" spans="2:38" ht="15.75" outlineLevel="1">
      <c r="B1148" s="345">
        <v>2111</v>
      </c>
      <c r="C1148" s="346">
        <v>132249</v>
      </c>
      <c r="D1148" s="345" t="s">
        <v>944</v>
      </c>
      <c r="E1148" s="347" t="s">
        <v>4240</v>
      </c>
      <c r="F1148" s="343" t="s">
        <v>2687</v>
      </c>
      <c r="I1148" s="345">
        <v>48</v>
      </c>
      <c r="J1148" s="347"/>
      <c r="K1148" s="345">
        <v>0</v>
      </c>
      <c r="L1148" s="347" t="s">
        <v>2688</v>
      </c>
      <c r="M1148" s="347"/>
      <c r="N1148" s="347" t="s">
        <v>4446</v>
      </c>
      <c r="O1148" s="347" t="s">
        <v>4441</v>
      </c>
      <c r="P1148" s="347"/>
      <c r="Q1148" s="347"/>
      <c r="R1148" s="347"/>
      <c r="S1148" s="348">
        <v>42490</v>
      </c>
      <c r="T1148" s="348">
        <v>42490</v>
      </c>
      <c r="U1148" s="347" t="s">
        <v>2689</v>
      </c>
      <c r="V1148" s="345">
        <v>500</v>
      </c>
      <c r="W1148" s="345">
        <v>14050</v>
      </c>
      <c r="X1148" s="349">
        <v>7289.19</v>
      </c>
      <c r="Y1148" s="345">
        <v>14056</v>
      </c>
      <c r="Z1148" s="349">
        <v>7289.19</v>
      </c>
      <c r="AA1148" s="349">
        <f t="shared" si="102"/>
        <v>0</v>
      </c>
      <c r="AB1148" s="349">
        <v>0</v>
      </c>
      <c r="AC1148" s="345">
        <v>54260</v>
      </c>
      <c r="AD1148" s="349">
        <v>0</v>
      </c>
      <c r="AE1148" s="345" t="s">
        <v>944</v>
      </c>
      <c r="AF1148" s="347"/>
      <c r="AG1148" s="347"/>
      <c r="AH1148" s="347" t="s">
        <v>57</v>
      </c>
      <c r="AI1148" s="347" t="s">
        <v>4442</v>
      </c>
      <c r="AJ1148" s="347" t="s">
        <v>4443</v>
      </c>
      <c r="AK1148" s="347" t="s">
        <v>4437</v>
      </c>
      <c r="AL1148" s="387">
        <v>45574</v>
      </c>
    </row>
    <row r="1149" spans="2:38" ht="15.75" outlineLevel="1">
      <c r="B1149" s="345">
        <v>2111</v>
      </c>
      <c r="C1149" s="346">
        <v>132248</v>
      </c>
      <c r="D1149" s="345" t="s">
        <v>944</v>
      </c>
      <c r="E1149" s="347" t="s">
        <v>4240</v>
      </c>
      <c r="F1149" s="343" t="s">
        <v>2690</v>
      </c>
      <c r="I1149" s="345">
        <v>400</v>
      </c>
      <c r="J1149" s="347"/>
      <c r="K1149" s="345">
        <v>0</v>
      </c>
      <c r="L1149" s="347" t="s">
        <v>2688</v>
      </c>
      <c r="M1149" s="347"/>
      <c r="N1149" s="347" t="s">
        <v>4446</v>
      </c>
      <c r="O1149" s="347" t="s">
        <v>4441</v>
      </c>
      <c r="P1149" s="347"/>
      <c r="Q1149" s="347"/>
      <c r="R1149" s="347"/>
      <c r="S1149" s="348">
        <v>42490</v>
      </c>
      <c r="T1149" s="348">
        <v>42490</v>
      </c>
      <c r="U1149" s="347" t="s">
        <v>2689</v>
      </c>
      <c r="V1149" s="345">
        <v>500</v>
      </c>
      <c r="W1149" s="345">
        <v>14050</v>
      </c>
      <c r="X1149" s="349">
        <v>37677.360000000001</v>
      </c>
      <c r="Y1149" s="345">
        <v>14056</v>
      </c>
      <c r="Z1149" s="349">
        <v>37677.360000000001</v>
      </c>
      <c r="AA1149" s="349">
        <f t="shared" si="102"/>
        <v>0</v>
      </c>
      <c r="AB1149" s="349">
        <v>0</v>
      </c>
      <c r="AC1149" s="345">
        <v>54260</v>
      </c>
      <c r="AD1149" s="349">
        <v>0</v>
      </c>
      <c r="AE1149" s="345" t="s">
        <v>944</v>
      </c>
      <c r="AF1149" s="347"/>
      <c r="AG1149" s="347"/>
      <c r="AH1149" s="347" t="s">
        <v>57</v>
      </c>
      <c r="AI1149" s="347" t="s">
        <v>4442</v>
      </c>
      <c r="AJ1149" s="347" t="s">
        <v>4443</v>
      </c>
      <c r="AK1149" s="347" t="s">
        <v>4437</v>
      </c>
      <c r="AL1149" s="387">
        <v>45574</v>
      </c>
    </row>
    <row r="1150" spans="2:38" ht="15.75" outlineLevel="1">
      <c r="B1150" s="345">
        <v>2111</v>
      </c>
      <c r="C1150" s="346">
        <v>132075</v>
      </c>
      <c r="D1150" s="345" t="s">
        <v>944</v>
      </c>
      <c r="E1150" s="347" t="s">
        <v>4240</v>
      </c>
      <c r="F1150" s="343" t="s">
        <v>2691</v>
      </c>
      <c r="I1150" s="345">
        <v>1</v>
      </c>
      <c r="J1150" s="347" t="s">
        <v>2692</v>
      </c>
      <c r="K1150" s="345">
        <v>2016</v>
      </c>
      <c r="L1150" s="347" t="s">
        <v>1483</v>
      </c>
      <c r="M1150" s="347" t="s">
        <v>1522</v>
      </c>
      <c r="N1150" s="347" t="s">
        <v>4445</v>
      </c>
      <c r="O1150" s="347" t="s">
        <v>4441</v>
      </c>
      <c r="P1150" s="347" t="s">
        <v>4463</v>
      </c>
      <c r="Q1150" s="347"/>
      <c r="R1150" s="347"/>
      <c r="S1150" s="348">
        <v>42460</v>
      </c>
      <c r="T1150" s="348">
        <v>42460</v>
      </c>
      <c r="U1150" s="347" t="s">
        <v>2693</v>
      </c>
      <c r="V1150" s="345">
        <v>1000</v>
      </c>
      <c r="W1150" s="345">
        <v>14040</v>
      </c>
      <c r="X1150" s="349">
        <v>287706.76</v>
      </c>
      <c r="Y1150" s="345">
        <v>14046</v>
      </c>
      <c r="Z1150" s="349">
        <v>244550.81</v>
      </c>
      <c r="AA1150" s="349">
        <f t="shared" si="102"/>
        <v>43155.950000000012</v>
      </c>
      <c r="AB1150" s="349">
        <v>21578.04</v>
      </c>
      <c r="AC1150" s="345">
        <v>51260</v>
      </c>
      <c r="AD1150" s="349">
        <v>2397.56</v>
      </c>
      <c r="AE1150" s="345" t="s">
        <v>944</v>
      </c>
      <c r="AF1150" s="347"/>
      <c r="AG1150" s="347">
        <v>630</v>
      </c>
      <c r="AH1150" s="347" t="s">
        <v>57</v>
      </c>
      <c r="AI1150" s="347" t="s">
        <v>4442</v>
      </c>
      <c r="AJ1150" s="347" t="s">
        <v>4443</v>
      </c>
      <c r="AK1150" s="347" t="s">
        <v>4437</v>
      </c>
      <c r="AL1150" s="387">
        <v>45574</v>
      </c>
    </row>
    <row r="1151" spans="2:38" ht="15.75" outlineLevel="1">
      <c r="B1151" s="345">
        <v>2111</v>
      </c>
      <c r="C1151" s="346">
        <v>132074</v>
      </c>
      <c r="D1151" s="345" t="s">
        <v>944</v>
      </c>
      <c r="E1151" s="347" t="s">
        <v>4240</v>
      </c>
      <c r="F1151" s="343" t="s">
        <v>1243</v>
      </c>
      <c r="I1151" s="345">
        <v>1</v>
      </c>
      <c r="J1151" s="347" t="s">
        <v>2695</v>
      </c>
      <c r="K1151" s="345">
        <v>2016</v>
      </c>
      <c r="L1151" s="347" t="s">
        <v>1483</v>
      </c>
      <c r="M1151" s="347" t="s">
        <v>2190</v>
      </c>
      <c r="N1151" s="347" t="s">
        <v>4445</v>
      </c>
      <c r="O1151" s="347" t="s">
        <v>4441</v>
      </c>
      <c r="P1151" s="347" t="s">
        <v>4482</v>
      </c>
      <c r="Q1151" s="347"/>
      <c r="R1151" s="347"/>
      <c r="S1151" s="348">
        <v>42490</v>
      </c>
      <c r="T1151" s="348">
        <v>42490</v>
      </c>
      <c r="U1151" s="347" t="s">
        <v>2696</v>
      </c>
      <c r="V1151" s="345">
        <v>1000</v>
      </c>
      <c r="W1151" s="345">
        <v>14040</v>
      </c>
      <c r="X1151" s="349">
        <v>327729.76</v>
      </c>
      <c r="Y1151" s="345">
        <v>14046</v>
      </c>
      <c r="Z1151" s="349">
        <v>275839.23</v>
      </c>
      <c r="AA1151" s="349">
        <f t="shared" si="102"/>
        <v>51890.530000000028</v>
      </c>
      <c r="AB1151" s="349">
        <v>24579.72</v>
      </c>
      <c r="AC1151" s="345">
        <v>51260</v>
      </c>
      <c r="AD1151" s="349">
        <v>2731.08</v>
      </c>
      <c r="AE1151" s="345" t="s">
        <v>944</v>
      </c>
      <c r="AF1151" s="347"/>
      <c r="AG1151" s="347">
        <v>837</v>
      </c>
      <c r="AH1151" s="347" t="s">
        <v>57</v>
      </c>
      <c r="AI1151" s="347" t="s">
        <v>4442</v>
      </c>
      <c r="AJ1151" s="347" t="s">
        <v>4443</v>
      </c>
      <c r="AK1151" s="347" t="s">
        <v>4437</v>
      </c>
      <c r="AL1151" s="387">
        <v>45574</v>
      </c>
    </row>
    <row r="1152" spans="2:38" ht="15.75" outlineLevel="1">
      <c r="B1152" s="345">
        <v>2111</v>
      </c>
      <c r="C1152" s="346">
        <v>131500</v>
      </c>
      <c r="D1152" s="345">
        <v>19647</v>
      </c>
      <c r="E1152" s="347" t="s">
        <v>4240</v>
      </c>
      <c r="F1152" s="343" t="s">
        <v>389</v>
      </c>
      <c r="I1152" s="345">
        <v>1</v>
      </c>
      <c r="J1152" s="347"/>
      <c r="K1152" s="345">
        <v>0</v>
      </c>
      <c r="L1152" s="347" t="s">
        <v>2698</v>
      </c>
      <c r="M1152" s="347"/>
      <c r="N1152" s="347" t="s">
        <v>4445</v>
      </c>
      <c r="O1152" s="347" t="s">
        <v>4441</v>
      </c>
      <c r="P1152" s="347" t="s">
        <v>1467</v>
      </c>
      <c r="Q1152" s="347"/>
      <c r="R1152" s="347"/>
      <c r="S1152" s="348">
        <v>42460</v>
      </c>
      <c r="T1152" s="348">
        <v>42460</v>
      </c>
      <c r="U1152" s="347" t="s">
        <v>2699</v>
      </c>
      <c r="V1152" s="345">
        <v>300</v>
      </c>
      <c r="W1152" s="345">
        <v>14040</v>
      </c>
      <c r="X1152" s="349">
        <v>20361.07</v>
      </c>
      <c r="Y1152" s="345">
        <v>14046</v>
      </c>
      <c r="Z1152" s="349">
        <v>20361.07</v>
      </c>
      <c r="AA1152" s="349">
        <f t="shared" si="102"/>
        <v>0</v>
      </c>
      <c r="AB1152" s="349">
        <v>0</v>
      </c>
      <c r="AC1152" s="345">
        <v>51260</v>
      </c>
      <c r="AD1152" s="349">
        <v>0</v>
      </c>
      <c r="AE1152" s="345" t="s">
        <v>944</v>
      </c>
      <c r="AF1152" s="347"/>
      <c r="AG1152" s="347"/>
      <c r="AH1152" s="347" t="s">
        <v>57</v>
      </c>
      <c r="AI1152" s="347" t="s">
        <v>4442</v>
      </c>
      <c r="AJ1152" s="347" t="s">
        <v>4443</v>
      </c>
      <c r="AK1152" s="347" t="s">
        <v>4437</v>
      </c>
      <c r="AL1152" s="387">
        <v>45574</v>
      </c>
    </row>
    <row r="1153" spans="2:38" ht="15.75" outlineLevel="1">
      <c r="B1153" s="345">
        <v>2111</v>
      </c>
      <c r="C1153" s="346">
        <v>131295</v>
      </c>
      <c r="D1153" s="345" t="s">
        <v>944</v>
      </c>
      <c r="E1153" s="347" t="s">
        <v>4240</v>
      </c>
      <c r="F1153" s="343" t="s">
        <v>2700</v>
      </c>
      <c r="I1153" s="345">
        <v>1</v>
      </c>
      <c r="J1153" s="347"/>
      <c r="K1153" s="345">
        <v>0</v>
      </c>
      <c r="L1153" s="347" t="s">
        <v>2701</v>
      </c>
      <c r="M1153" s="347"/>
      <c r="N1153" s="347" t="s">
        <v>4440</v>
      </c>
      <c r="O1153" s="347" t="s">
        <v>4441</v>
      </c>
      <c r="P1153" s="347"/>
      <c r="Q1153" s="347"/>
      <c r="R1153" s="347"/>
      <c r="S1153" s="348">
        <v>42460</v>
      </c>
      <c r="T1153" s="348">
        <v>42460</v>
      </c>
      <c r="U1153" s="347" t="s">
        <v>2685</v>
      </c>
      <c r="V1153" s="345">
        <v>100</v>
      </c>
      <c r="W1153" s="345">
        <v>14110</v>
      </c>
      <c r="X1153" s="349">
        <v>25892.28</v>
      </c>
      <c r="Y1153" s="345">
        <v>14116</v>
      </c>
      <c r="Z1153" s="349">
        <v>25892.28</v>
      </c>
      <c r="AA1153" s="349">
        <f t="shared" si="102"/>
        <v>0</v>
      </c>
      <c r="AB1153" s="349">
        <v>0</v>
      </c>
      <c r="AC1153" s="345">
        <v>70260</v>
      </c>
      <c r="AD1153" s="349">
        <v>0</v>
      </c>
      <c r="AE1153" s="345" t="s">
        <v>944</v>
      </c>
      <c r="AF1153" s="347"/>
      <c r="AG1153" s="347"/>
      <c r="AH1153" s="347" t="s">
        <v>57</v>
      </c>
      <c r="AI1153" s="347" t="s">
        <v>4442</v>
      </c>
      <c r="AJ1153" s="347" t="s">
        <v>4443</v>
      </c>
      <c r="AK1153" s="347" t="s">
        <v>4437</v>
      </c>
      <c r="AL1153" s="387">
        <v>45574</v>
      </c>
    </row>
    <row r="1154" spans="2:38" ht="15.75" outlineLevel="1">
      <c r="B1154" s="345">
        <v>2111</v>
      </c>
      <c r="C1154" s="346">
        <v>131256</v>
      </c>
      <c r="D1154" s="345" t="s">
        <v>944</v>
      </c>
      <c r="E1154" s="347" t="s">
        <v>4240</v>
      </c>
      <c r="F1154" s="343" t="s">
        <v>2703</v>
      </c>
      <c r="I1154" s="345">
        <v>624</v>
      </c>
      <c r="J1154" s="347"/>
      <c r="K1154" s="345">
        <v>0</v>
      </c>
      <c r="L1154" s="347" t="s">
        <v>2111</v>
      </c>
      <c r="M1154" s="347"/>
      <c r="N1154" s="347" t="s">
        <v>4446</v>
      </c>
      <c r="O1154" s="347" t="s">
        <v>4441</v>
      </c>
      <c r="P1154" s="347"/>
      <c r="Q1154" s="347"/>
      <c r="R1154" s="347"/>
      <c r="S1154" s="348">
        <v>42416</v>
      </c>
      <c r="T1154" s="348">
        <v>42416</v>
      </c>
      <c r="U1154" s="347" t="s">
        <v>2704</v>
      </c>
      <c r="V1154" s="345">
        <v>700</v>
      </c>
      <c r="W1154" s="345">
        <v>14050</v>
      </c>
      <c r="X1154" s="349">
        <v>32025.85</v>
      </c>
      <c r="Y1154" s="345">
        <v>14056</v>
      </c>
      <c r="Z1154" s="349">
        <v>32025.85</v>
      </c>
      <c r="AA1154" s="349">
        <f t="shared" si="102"/>
        <v>0</v>
      </c>
      <c r="AB1154" s="349">
        <v>0</v>
      </c>
      <c r="AC1154" s="345">
        <v>54260</v>
      </c>
      <c r="AD1154" s="349">
        <v>0</v>
      </c>
      <c r="AE1154" s="345" t="s">
        <v>944</v>
      </c>
      <c r="AF1154" s="347"/>
      <c r="AG1154" s="347"/>
      <c r="AH1154" s="347" t="s">
        <v>57</v>
      </c>
      <c r="AI1154" s="347" t="s">
        <v>4442</v>
      </c>
      <c r="AJ1154" s="347" t="s">
        <v>4443</v>
      </c>
      <c r="AK1154" s="347" t="s">
        <v>4437</v>
      </c>
      <c r="AL1154" s="387">
        <v>45574</v>
      </c>
    </row>
    <row r="1155" spans="2:38" ht="15.75" outlineLevel="1">
      <c r="B1155" s="345">
        <v>2111</v>
      </c>
      <c r="C1155" s="346">
        <v>130302</v>
      </c>
      <c r="D1155" s="345" t="s">
        <v>944</v>
      </c>
      <c r="E1155" s="347" t="s">
        <v>4240</v>
      </c>
      <c r="F1155" s="343" t="s">
        <v>2255</v>
      </c>
      <c r="I1155" s="345">
        <v>624</v>
      </c>
      <c r="J1155" s="347"/>
      <c r="K1155" s="345">
        <v>0</v>
      </c>
      <c r="L1155" s="347" t="s">
        <v>2093</v>
      </c>
      <c r="M1155" s="347"/>
      <c r="N1155" s="347" t="s">
        <v>4446</v>
      </c>
      <c r="O1155" s="347" t="s">
        <v>4441</v>
      </c>
      <c r="P1155" s="347"/>
      <c r="Q1155" s="347"/>
      <c r="R1155" s="347"/>
      <c r="S1155" s="348">
        <v>42416</v>
      </c>
      <c r="T1155" s="348">
        <v>42416</v>
      </c>
      <c r="U1155" s="347" t="s">
        <v>2704</v>
      </c>
      <c r="V1155" s="345">
        <v>700</v>
      </c>
      <c r="W1155" s="345">
        <v>14050</v>
      </c>
      <c r="X1155" s="349">
        <v>32708.5</v>
      </c>
      <c r="Y1155" s="345">
        <v>14056</v>
      </c>
      <c r="Z1155" s="349">
        <v>32708.5</v>
      </c>
      <c r="AA1155" s="349">
        <f t="shared" si="102"/>
        <v>0</v>
      </c>
      <c r="AB1155" s="349">
        <v>0</v>
      </c>
      <c r="AC1155" s="345">
        <v>54260</v>
      </c>
      <c r="AD1155" s="349">
        <v>0</v>
      </c>
      <c r="AE1155" s="345" t="s">
        <v>944</v>
      </c>
      <c r="AF1155" s="347"/>
      <c r="AG1155" s="347"/>
      <c r="AH1155" s="347" t="s">
        <v>57</v>
      </c>
      <c r="AI1155" s="347" t="s">
        <v>4442</v>
      </c>
      <c r="AJ1155" s="347" t="s">
        <v>4443</v>
      </c>
      <c r="AK1155" s="347" t="s">
        <v>4437</v>
      </c>
      <c r="AL1155" s="387">
        <v>45574</v>
      </c>
    </row>
    <row r="1156" spans="2:38" ht="15.75" outlineLevel="1">
      <c r="B1156" s="345">
        <v>2111</v>
      </c>
      <c r="C1156" s="346">
        <v>129801</v>
      </c>
      <c r="D1156" s="345" t="s">
        <v>944</v>
      </c>
      <c r="E1156" s="347" t="s">
        <v>4240</v>
      </c>
      <c r="F1156" s="343" t="s">
        <v>2705</v>
      </c>
      <c r="I1156" s="345">
        <v>1</v>
      </c>
      <c r="J1156" s="347"/>
      <c r="K1156" s="345">
        <v>0</v>
      </c>
      <c r="L1156" s="347" t="s">
        <v>2706</v>
      </c>
      <c r="M1156" s="347"/>
      <c r="N1156" s="347" t="s">
        <v>4440</v>
      </c>
      <c r="O1156" s="347" t="s">
        <v>4441</v>
      </c>
      <c r="P1156" s="347"/>
      <c r="Q1156" s="347"/>
      <c r="R1156" s="347"/>
      <c r="S1156" s="348">
        <v>42370</v>
      </c>
      <c r="T1156" s="348">
        <v>42370</v>
      </c>
      <c r="U1156" s="347" t="s">
        <v>2707</v>
      </c>
      <c r="V1156" s="345">
        <v>300</v>
      </c>
      <c r="W1156" s="345">
        <v>14110</v>
      </c>
      <c r="X1156" s="349">
        <v>780.68</v>
      </c>
      <c r="Y1156" s="345">
        <v>14116</v>
      </c>
      <c r="Z1156" s="349">
        <v>780.68</v>
      </c>
      <c r="AA1156" s="349">
        <f t="shared" si="102"/>
        <v>0</v>
      </c>
      <c r="AB1156" s="349">
        <v>0</v>
      </c>
      <c r="AC1156" s="345">
        <v>70260</v>
      </c>
      <c r="AD1156" s="349">
        <v>0</v>
      </c>
      <c r="AE1156" s="345" t="s">
        <v>944</v>
      </c>
      <c r="AF1156" s="347"/>
      <c r="AG1156" s="347"/>
      <c r="AH1156" s="347" t="s">
        <v>57</v>
      </c>
      <c r="AI1156" s="347" t="s">
        <v>4442</v>
      </c>
      <c r="AJ1156" s="347" t="s">
        <v>4443</v>
      </c>
      <c r="AK1156" s="347" t="s">
        <v>4437</v>
      </c>
      <c r="AL1156" s="387">
        <v>45574</v>
      </c>
    </row>
    <row r="1157" spans="2:38" ht="15.75" outlineLevel="1">
      <c r="B1157" s="345">
        <v>2111</v>
      </c>
      <c r="C1157" s="346">
        <v>129739</v>
      </c>
      <c r="D1157" s="345" t="s">
        <v>944</v>
      </c>
      <c r="E1157" s="347" t="s">
        <v>4240</v>
      </c>
      <c r="F1157" s="343" t="s">
        <v>388</v>
      </c>
      <c r="I1157" s="345">
        <v>1</v>
      </c>
      <c r="J1157" s="347"/>
      <c r="K1157" s="345">
        <v>0</v>
      </c>
      <c r="L1157" s="347" t="s">
        <v>2709</v>
      </c>
      <c r="M1157" s="347"/>
      <c r="N1157" s="347" t="s">
        <v>4451</v>
      </c>
      <c r="O1157" s="347" t="s">
        <v>4441</v>
      </c>
      <c r="P1157" s="347"/>
      <c r="Q1157" s="347"/>
      <c r="R1157" s="347"/>
      <c r="S1157" s="348">
        <v>42400</v>
      </c>
      <c r="T1157" s="348">
        <v>42400</v>
      </c>
      <c r="U1157" s="347" t="s">
        <v>2710</v>
      </c>
      <c r="V1157" s="345">
        <v>500</v>
      </c>
      <c r="W1157" s="345">
        <v>14070</v>
      </c>
      <c r="X1157" s="349">
        <v>51034.44</v>
      </c>
      <c r="Y1157" s="345">
        <v>14076</v>
      </c>
      <c r="Z1157" s="349">
        <v>51034.44</v>
      </c>
      <c r="AA1157" s="349">
        <f t="shared" si="102"/>
        <v>0</v>
      </c>
      <c r="AB1157" s="349">
        <v>0</v>
      </c>
      <c r="AC1157" s="345">
        <v>51260</v>
      </c>
      <c r="AD1157" s="349">
        <v>0</v>
      </c>
      <c r="AE1157" s="345" t="s">
        <v>944</v>
      </c>
      <c r="AF1157" s="347"/>
      <c r="AG1157" s="347"/>
      <c r="AH1157" s="347" t="s">
        <v>57</v>
      </c>
      <c r="AI1157" s="347" t="s">
        <v>4442</v>
      </c>
      <c r="AJ1157" s="347" t="s">
        <v>4443</v>
      </c>
      <c r="AK1157" s="347" t="s">
        <v>4437</v>
      </c>
      <c r="AL1157" s="387">
        <v>45574</v>
      </c>
    </row>
    <row r="1158" spans="2:38" ht="15.75" outlineLevel="1">
      <c r="B1158" s="345">
        <v>2111</v>
      </c>
      <c r="C1158" s="346">
        <v>129340</v>
      </c>
      <c r="D1158" s="345" t="s">
        <v>944</v>
      </c>
      <c r="E1158" s="347" t="s">
        <v>4240</v>
      </c>
      <c r="F1158" s="343" t="s">
        <v>2711</v>
      </c>
      <c r="I1158" s="345">
        <v>1</v>
      </c>
      <c r="J1158" s="347" t="s">
        <v>2712</v>
      </c>
      <c r="K1158" s="345">
        <v>1998</v>
      </c>
      <c r="L1158" s="347"/>
      <c r="M1158" s="347"/>
      <c r="N1158" s="347" t="s">
        <v>4445</v>
      </c>
      <c r="O1158" s="347" t="s">
        <v>4441</v>
      </c>
      <c r="P1158" s="347" t="s">
        <v>1575</v>
      </c>
      <c r="Q1158" s="347"/>
      <c r="R1158" s="347"/>
      <c r="S1158" s="348">
        <v>42395</v>
      </c>
      <c r="T1158" s="348">
        <v>42395</v>
      </c>
      <c r="U1158" s="347"/>
      <c r="V1158" s="345">
        <v>0</v>
      </c>
      <c r="W1158" s="345">
        <v>14040</v>
      </c>
      <c r="X1158" s="349">
        <v>0</v>
      </c>
      <c r="Y1158" s="345">
        <v>14046</v>
      </c>
      <c r="Z1158" s="349">
        <v>0</v>
      </c>
      <c r="AA1158" s="349">
        <f t="shared" si="102"/>
        <v>0</v>
      </c>
      <c r="AB1158" s="349">
        <v>0</v>
      </c>
      <c r="AC1158" s="345">
        <v>51260</v>
      </c>
      <c r="AD1158" s="349">
        <v>0</v>
      </c>
      <c r="AE1158" s="345" t="s">
        <v>410</v>
      </c>
      <c r="AF1158" s="347"/>
      <c r="AG1158" s="347" t="s">
        <v>2714</v>
      </c>
      <c r="AH1158" s="347" t="s">
        <v>57</v>
      </c>
      <c r="AI1158" s="347" t="s">
        <v>4442</v>
      </c>
      <c r="AJ1158" s="347" t="s">
        <v>1660</v>
      </c>
      <c r="AK1158" s="347" t="s">
        <v>4437</v>
      </c>
      <c r="AL1158" s="387">
        <v>45574</v>
      </c>
    </row>
    <row r="1159" spans="2:38" ht="15.75" outlineLevel="1">
      <c r="B1159" s="345">
        <v>2111</v>
      </c>
      <c r="C1159" s="346">
        <v>129339</v>
      </c>
      <c r="D1159" s="345" t="s">
        <v>944</v>
      </c>
      <c r="E1159" s="347" t="s">
        <v>4240</v>
      </c>
      <c r="F1159" s="343" t="s">
        <v>2711</v>
      </c>
      <c r="I1159" s="345">
        <v>1</v>
      </c>
      <c r="J1159" s="347" t="s">
        <v>2715</v>
      </c>
      <c r="K1159" s="345">
        <v>1998</v>
      </c>
      <c r="L1159" s="347"/>
      <c r="M1159" s="347"/>
      <c r="N1159" s="347" t="s">
        <v>4445</v>
      </c>
      <c r="O1159" s="347" t="s">
        <v>4441</v>
      </c>
      <c r="P1159" s="347" t="s">
        <v>1575</v>
      </c>
      <c r="Q1159" s="347"/>
      <c r="R1159" s="347"/>
      <c r="S1159" s="348">
        <v>42395</v>
      </c>
      <c r="T1159" s="348">
        <v>42395</v>
      </c>
      <c r="U1159" s="347"/>
      <c r="V1159" s="345">
        <v>0</v>
      </c>
      <c r="W1159" s="345">
        <v>14040</v>
      </c>
      <c r="X1159" s="349">
        <v>0</v>
      </c>
      <c r="Y1159" s="345">
        <v>14046</v>
      </c>
      <c r="Z1159" s="349">
        <v>0</v>
      </c>
      <c r="AA1159" s="349">
        <f t="shared" si="102"/>
        <v>0</v>
      </c>
      <c r="AB1159" s="349">
        <v>0</v>
      </c>
      <c r="AC1159" s="345">
        <v>51260</v>
      </c>
      <c r="AD1159" s="349">
        <v>0</v>
      </c>
      <c r="AE1159" s="345" t="s">
        <v>410</v>
      </c>
      <c r="AF1159" s="347"/>
      <c r="AG1159" s="347" t="s">
        <v>2716</v>
      </c>
      <c r="AH1159" s="347" t="s">
        <v>57</v>
      </c>
      <c r="AI1159" s="347" t="s">
        <v>4442</v>
      </c>
      <c r="AJ1159" s="347" t="s">
        <v>1660</v>
      </c>
      <c r="AK1159" s="347" t="s">
        <v>4437</v>
      </c>
      <c r="AL1159" s="387">
        <v>45574</v>
      </c>
    </row>
    <row r="1160" spans="2:38" ht="15.75" outlineLevel="1">
      <c r="B1160" s="345">
        <v>2111</v>
      </c>
      <c r="C1160" s="346">
        <v>129338</v>
      </c>
      <c r="D1160" s="345" t="s">
        <v>944</v>
      </c>
      <c r="E1160" s="347" t="s">
        <v>4240</v>
      </c>
      <c r="F1160" s="343" t="s">
        <v>2711</v>
      </c>
      <c r="I1160" s="345">
        <v>1</v>
      </c>
      <c r="J1160" s="347" t="s">
        <v>2717</v>
      </c>
      <c r="K1160" s="345">
        <v>1998</v>
      </c>
      <c r="L1160" s="347"/>
      <c r="M1160" s="347"/>
      <c r="N1160" s="347" t="s">
        <v>4445</v>
      </c>
      <c r="O1160" s="347" t="s">
        <v>4441</v>
      </c>
      <c r="P1160" s="347" t="s">
        <v>1575</v>
      </c>
      <c r="Q1160" s="347"/>
      <c r="R1160" s="347"/>
      <c r="S1160" s="348">
        <v>42395</v>
      </c>
      <c r="T1160" s="348">
        <v>42395</v>
      </c>
      <c r="U1160" s="347"/>
      <c r="V1160" s="345">
        <v>0</v>
      </c>
      <c r="W1160" s="345">
        <v>14040</v>
      </c>
      <c r="X1160" s="349">
        <v>0</v>
      </c>
      <c r="Y1160" s="345">
        <v>14046</v>
      </c>
      <c r="Z1160" s="349">
        <v>0</v>
      </c>
      <c r="AA1160" s="349">
        <f t="shared" si="102"/>
        <v>0</v>
      </c>
      <c r="AB1160" s="349">
        <v>0</v>
      </c>
      <c r="AC1160" s="345">
        <v>51260</v>
      </c>
      <c r="AD1160" s="349">
        <v>0</v>
      </c>
      <c r="AE1160" s="345" t="s">
        <v>410</v>
      </c>
      <c r="AF1160" s="347"/>
      <c r="AG1160" s="347" t="s">
        <v>2718</v>
      </c>
      <c r="AH1160" s="347" t="s">
        <v>57</v>
      </c>
      <c r="AI1160" s="347" t="s">
        <v>4442</v>
      </c>
      <c r="AJ1160" s="347" t="s">
        <v>1660</v>
      </c>
      <c r="AK1160" s="347" t="s">
        <v>4437</v>
      </c>
      <c r="AL1160" s="387">
        <v>45574</v>
      </c>
    </row>
    <row r="1161" spans="2:38" ht="15.75" outlineLevel="1">
      <c r="B1161" s="345">
        <v>2111</v>
      </c>
      <c r="C1161" s="346">
        <v>129337</v>
      </c>
      <c r="D1161" s="345" t="s">
        <v>944</v>
      </c>
      <c r="E1161" s="347" t="s">
        <v>4240</v>
      </c>
      <c r="F1161" s="343" t="s">
        <v>2711</v>
      </c>
      <c r="I1161" s="345">
        <v>1</v>
      </c>
      <c r="J1161" s="347" t="s">
        <v>2719</v>
      </c>
      <c r="K1161" s="345">
        <v>1998</v>
      </c>
      <c r="L1161" s="347"/>
      <c r="M1161" s="347"/>
      <c r="N1161" s="347" t="s">
        <v>4445</v>
      </c>
      <c r="O1161" s="347" t="s">
        <v>4441</v>
      </c>
      <c r="P1161" s="347" t="s">
        <v>1575</v>
      </c>
      <c r="Q1161" s="347"/>
      <c r="R1161" s="347"/>
      <c r="S1161" s="348">
        <v>42395</v>
      </c>
      <c r="T1161" s="348">
        <v>42395</v>
      </c>
      <c r="U1161" s="347"/>
      <c r="V1161" s="345">
        <v>0</v>
      </c>
      <c r="W1161" s="345">
        <v>14040</v>
      </c>
      <c r="X1161" s="349">
        <v>0</v>
      </c>
      <c r="Y1161" s="345">
        <v>14046</v>
      </c>
      <c r="Z1161" s="349">
        <v>0</v>
      </c>
      <c r="AA1161" s="349">
        <f t="shared" si="102"/>
        <v>0</v>
      </c>
      <c r="AB1161" s="349">
        <v>0</v>
      </c>
      <c r="AC1161" s="345">
        <v>51260</v>
      </c>
      <c r="AD1161" s="349">
        <v>0</v>
      </c>
      <c r="AE1161" s="345" t="s">
        <v>410</v>
      </c>
      <c r="AF1161" s="347"/>
      <c r="AG1161" s="347" t="s">
        <v>2720</v>
      </c>
      <c r="AH1161" s="347" t="s">
        <v>57</v>
      </c>
      <c r="AI1161" s="347" t="s">
        <v>4442</v>
      </c>
      <c r="AJ1161" s="347" t="s">
        <v>1660</v>
      </c>
      <c r="AK1161" s="347" t="s">
        <v>4437</v>
      </c>
      <c r="AL1161" s="387">
        <v>45574</v>
      </c>
    </row>
    <row r="1162" spans="2:38" ht="15.75" outlineLevel="1">
      <c r="B1162" s="345">
        <v>2111</v>
      </c>
      <c r="C1162" s="346">
        <v>129336</v>
      </c>
      <c r="D1162" s="345" t="s">
        <v>944</v>
      </c>
      <c r="E1162" s="347" t="s">
        <v>4240</v>
      </c>
      <c r="F1162" s="343" t="s">
        <v>2711</v>
      </c>
      <c r="I1162" s="345">
        <v>1</v>
      </c>
      <c r="J1162" s="347" t="s">
        <v>2721</v>
      </c>
      <c r="K1162" s="345">
        <v>1998</v>
      </c>
      <c r="L1162" s="347"/>
      <c r="M1162" s="347"/>
      <c r="N1162" s="347" t="s">
        <v>4445</v>
      </c>
      <c r="O1162" s="347" t="s">
        <v>4441</v>
      </c>
      <c r="P1162" s="347" t="s">
        <v>1575</v>
      </c>
      <c r="Q1162" s="347"/>
      <c r="R1162" s="347"/>
      <c r="S1162" s="348">
        <v>42395</v>
      </c>
      <c r="T1162" s="348">
        <v>42395</v>
      </c>
      <c r="U1162" s="347"/>
      <c r="V1162" s="345">
        <v>0</v>
      </c>
      <c r="W1162" s="345">
        <v>14040</v>
      </c>
      <c r="X1162" s="349">
        <v>0</v>
      </c>
      <c r="Y1162" s="345">
        <v>14046</v>
      </c>
      <c r="Z1162" s="349">
        <v>0</v>
      </c>
      <c r="AA1162" s="349">
        <f t="shared" si="102"/>
        <v>0</v>
      </c>
      <c r="AB1162" s="349">
        <v>0</v>
      </c>
      <c r="AC1162" s="345">
        <v>51260</v>
      </c>
      <c r="AD1162" s="349">
        <v>0</v>
      </c>
      <c r="AE1162" s="345" t="s">
        <v>410</v>
      </c>
      <c r="AF1162" s="347"/>
      <c r="AG1162" s="347" t="s">
        <v>2722</v>
      </c>
      <c r="AH1162" s="347" t="s">
        <v>57</v>
      </c>
      <c r="AI1162" s="347" t="s">
        <v>4442</v>
      </c>
      <c r="AJ1162" s="347" t="s">
        <v>1660</v>
      </c>
      <c r="AK1162" s="347" t="s">
        <v>4437</v>
      </c>
      <c r="AL1162" s="387">
        <v>45574</v>
      </c>
    </row>
    <row r="1163" spans="2:38" ht="15.75" outlineLevel="1">
      <c r="B1163" s="345">
        <v>2111</v>
      </c>
      <c r="C1163" s="346">
        <v>129335</v>
      </c>
      <c r="D1163" s="345" t="s">
        <v>944</v>
      </c>
      <c r="E1163" s="347" t="s">
        <v>4240</v>
      </c>
      <c r="F1163" s="343" t="s">
        <v>2711</v>
      </c>
      <c r="I1163" s="345">
        <v>1</v>
      </c>
      <c r="J1163" s="347" t="s">
        <v>2723</v>
      </c>
      <c r="K1163" s="345">
        <v>1998</v>
      </c>
      <c r="L1163" s="347"/>
      <c r="M1163" s="347"/>
      <c r="N1163" s="347" t="s">
        <v>4445</v>
      </c>
      <c r="O1163" s="347" t="s">
        <v>4441</v>
      </c>
      <c r="P1163" s="347" t="s">
        <v>1575</v>
      </c>
      <c r="Q1163" s="347"/>
      <c r="R1163" s="347"/>
      <c r="S1163" s="348">
        <v>42395</v>
      </c>
      <c r="T1163" s="348">
        <v>42395</v>
      </c>
      <c r="U1163" s="347"/>
      <c r="V1163" s="345">
        <v>0</v>
      </c>
      <c r="W1163" s="345">
        <v>14040</v>
      </c>
      <c r="X1163" s="349">
        <v>0</v>
      </c>
      <c r="Y1163" s="345">
        <v>14046</v>
      </c>
      <c r="Z1163" s="349">
        <v>0</v>
      </c>
      <c r="AA1163" s="349">
        <f t="shared" si="102"/>
        <v>0</v>
      </c>
      <c r="AB1163" s="349">
        <v>0</v>
      </c>
      <c r="AC1163" s="345">
        <v>51260</v>
      </c>
      <c r="AD1163" s="349">
        <v>0</v>
      </c>
      <c r="AE1163" s="345" t="s">
        <v>410</v>
      </c>
      <c r="AF1163" s="347"/>
      <c r="AG1163" s="347" t="s">
        <v>2724</v>
      </c>
      <c r="AH1163" s="347" t="s">
        <v>57</v>
      </c>
      <c r="AI1163" s="347" t="s">
        <v>4442</v>
      </c>
      <c r="AJ1163" s="347" t="s">
        <v>1660</v>
      </c>
      <c r="AK1163" s="347" t="s">
        <v>4437</v>
      </c>
      <c r="AL1163" s="387">
        <v>45574</v>
      </c>
    </row>
    <row r="1164" spans="2:38" ht="15.75" outlineLevel="1">
      <c r="B1164" s="345">
        <v>2111</v>
      </c>
      <c r="C1164" s="346">
        <v>128907</v>
      </c>
      <c r="D1164" s="345" t="s">
        <v>944</v>
      </c>
      <c r="E1164" s="347" t="s">
        <v>4240</v>
      </c>
      <c r="F1164" s="343" t="s">
        <v>332</v>
      </c>
      <c r="I1164" s="345">
        <v>1</v>
      </c>
      <c r="J1164" s="347"/>
      <c r="K1164" s="345">
        <v>0</v>
      </c>
      <c r="L1164" s="347" t="s">
        <v>1657</v>
      </c>
      <c r="M1164" s="347"/>
      <c r="N1164" s="347" t="s">
        <v>4440</v>
      </c>
      <c r="O1164" s="347" t="s">
        <v>4441</v>
      </c>
      <c r="P1164" s="347"/>
      <c r="Q1164" s="347"/>
      <c r="R1164" s="347"/>
      <c r="S1164" s="348">
        <v>42352</v>
      </c>
      <c r="T1164" s="348">
        <v>42352</v>
      </c>
      <c r="U1164" s="347" t="s">
        <v>2725</v>
      </c>
      <c r="V1164" s="345">
        <v>300</v>
      </c>
      <c r="W1164" s="345">
        <v>14110</v>
      </c>
      <c r="X1164" s="349">
        <v>1141.1300000000001</v>
      </c>
      <c r="Y1164" s="345">
        <v>14116</v>
      </c>
      <c r="Z1164" s="349">
        <v>1141.1300000000001</v>
      </c>
      <c r="AA1164" s="349">
        <f t="shared" si="102"/>
        <v>0</v>
      </c>
      <c r="AB1164" s="349">
        <v>0</v>
      </c>
      <c r="AC1164" s="345">
        <v>70260</v>
      </c>
      <c r="AD1164" s="349">
        <v>0</v>
      </c>
      <c r="AE1164" s="345" t="s">
        <v>944</v>
      </c>
      <c r="AF1164" s="347"/>
      <c r="AG1164" s="347"/>
      <c r="AH1164" s="347" t="s">
        <v>57</v>
      </c>
      <c r="AI1164" s="347" t="s">
        <v>4442</v>
      </c>
      <c r="AJ1164" s="347" t="s">
        <v>4443</v>
      </c>
      <c r="AK1164" s="347" t="s">
        <v>4437</v>
      </c>
      <c r="AL1164" s="387">
        <v>45574</v>
      </c>
    </row>
    <row r="1165" spans="2:38" ht="15.75" outlineLevel="1">
      <c r="B1165" s="345">
        <v>2111</v>
      </c>
      <c r="C1165" s="346">
        <v>128810</v>
      </c>
      <c r="D1165" s="345" t="s">
        <v>944</v>
      </c>
      <c r="E1165" s="347" t="s">
        <v>4240</v>
      </c>
      <c r="F1165" s="343" t="s">
        <v>2727</v>
      </c>
      <c r="I1165" s="345">
        <v>10</v>
      </c>
      <c r="J1165" s="347"/>
      <c r="K1165" s="345">
        <v>0</v>
      </c>
      <c r="L1165" s="347" t="s">
        <v>2257</v>
      </c>
      <c r="M1165" s="347"/>
      <c r="N1165" s="347" t="s">
        <v>4446</v>
      </c>
      <c r="O1165" s="347" t="s">
        <v>4441</v>
      </c>
      <c r="P1165" s="347"/>
      <c r="Q1165" s="347" t="s">
        <v>4464</v>
      </c>
      <c r="R1165" s="347" t="s">
        <v>4450</v>
      </c>
      <c r="S1165" s="348">
        <v>41781</v>
      </c>
      <c r="T1165" s="348">
        <v>41781</v>
      </c>
      <c r="U1165" s="347" t="s">
        <v>2728</v>
      </c>
      <c r="V1165" s="345">
        <v>1200</v>
      </c>
      <c r="W1165" s="345">
        <v>14050</v>
      </c>
      <c r="X1165" s="349">
        <v>7548.6</v>
      </c>
      <c r="Y1165" s="345">
        <v>14056</v>
      </c>
      <c r="Z1165" s="349">
        <v>6500.01</v>
      </c>
      <c r="AA1165" s="349">
        <f t="shared" si="102"/>
        <v>1048.5900000000001</v>
      </c>
      <c r="AB1165" s="349">
        <v>471.78</v>
      </c>
      <c r="AC1165" s="345">
        <v>54260</v>
      </c>
      <c r="AD1165" s="349">
        <v>52.42</v>
      </c>
      <c r="AE1165" s="345" t="s">
        <v>944</v>
      </c>
      <c r="AF1165" s="347"/>
      <c r="AG1165" s="347"/>
      <c r="AH1165" s="347" t="s">
        <v>57</v>
      </c>
      <c r="AI1165" s="347" t="s">
        <v>4442</v>
      </c>
      <c r="AJ1165" s="347" t="s">
        <v>4443</v>
      </c>
      <c r="AK1165" s="347" t="s">
        <v>4437</v>
      </c>
      <c r="AL1165" s="387">
        <v>45574</v>
      </c>
    </row>
    <row r="1166" spans="2:38" ht="15.75" outlineLevel="1">
      <c r="B1166" s="345">
        <v>2111</v>
      </c>
      <c r="C1166" s="346">
        <v>128632</v>
      </c>
      <c r="D1166" s="345" t="s">
        <v>944</v>
      </c>
      <c r="E1166" s="347" t="s">
        <v>4240</v>
      </c>
      <c r="F1166" s="343" t="s">
        <v>333</v>
      </c>
      <c r="I1166" s="345">
        <v>1</v>
      </c>
      <c r="J1166" s="347"/>
      <c r="K1166" s="345">
        <v>0</v>
      </c>
      <c r="L1166" s="347" t="s">
        <v>2729</v>
      </c>
      <c r="M1166" s="347"/>
      <c r="N1166" s="347" t="s">
        <v>4451</v>
      </c>
      <c r="O1166" s="347" t="s">
        <v>4441</v>
      </c>
      <c r="P1166" s="347"/>
      <c r="Q1166" s="347"/>
      <c r="R1166" s="347"/>
      <c r="S1166" s="348">
        <v>42352</v>
      </c>
      <c r="T1166" s="348">
        <v>42352</v>
      </c>
      <c r="U1166" s="347" t="s">
        <v>2730</v>
      </c>
      <c r="V1166" s="345">
        <v>500</v>
      </c>
      <c r="W1166" s="345">
        <v>14070</v>
      </c>
      <c r="X1166" s="349">
        <v>9807.82</v>
      </c>
      <c r="Y1166" s="345">
        <v>14076</v>
      </c>
      <c r="Z1166" s="349">
        <v>9807.82</v>
      </c>
      <c r="AA1166" s="349">
        <f t="shared" si="102"/>
        <v>0</v>
      </c>
      <c r="AB1166" s="349">
        <v>0</v>
      </c>
      <c r="AC1166" s="345">
        <v>51260</v>
      </c>
      <c r="AD1166" s="349">
        <v>0</v>
      </c>
      <c r="AE1166" s="345" t="s">
        <v>944</v>
      </c>
      <c r="AF1166" s="347"/>
      <c r="AG1166" s="347"/>
      <c r="AH1166" s="347" t="s">
        <v>57</v>
      </c>
      <c r="AI1166" s="347" t="s">
        <v>4442</v>
      </c>
      <c r="AJ1166" s="347" t="s">
        <v>4443</v>
      </c>
      <c r="AK1166" s="347" t="s">
        <v>4437</v>
      </c>
      <c r="AL1166" s="387">
        <v>45574</v>
      </c>
    </row>
    <row r="1167" spans="2:38" ht="15.75" outlineLevel="1">
      <c r="B1167" s="345">
        <v>2111</v>
      </c>
      <c r="C1167" s="346">
        <v>127696</v>
      </c>
      <c r="D1167" s="345" t="s">
        <v>944</v>
      </c>
      <c r="E1167" s="347" t="s">
        <v>4240</v>
      </c>
      <c r="F1167" s="343" t="s">
        <v>2731</v>
      </c>
      <c r="I1167" s="345">
        <v>1</v>
      </c>
      <c r="J1167" s="347"/>
      <c r="K1167" s="345">
        <v>0</v>
      </c>
      <c r="L1167" s="347" t="s">
        <v>1657</v>
      </c>
      <c r="M1167" s="347"/>
      <c r="N1167" s="347" t="s">
        <v>4440</v>
      </c>
      <c r="O1167" s="347" t="s">
        <v>4441</v>
      </c>
      <c r="P1167" s="347"/>
      <c r="Q1167" s="347"/>
      <c r="R1167" s="347"/>
      <c r="S1167" s="348">
        <v>42324</v>
      </c>
      <c r="T1167" s="348">
        <v>42324</v>
      </c>
      <c r="U1167" s="347" t="s">
        <v>2732</v>
      </c>
      <c r="V1167" s="345">
        <v>300</v>
      </c>
      <c r="W1167" s="345">
        <v>14110</v>
      </c>
      <c r="X1167" s="349">
        <v>864.3</v>
      </c>
      <c r="Y1167" s="345">
        <v>14116</v>
      </c>
      <c r="Z1167" s="349">
        <v>864.3</v>
      </c>
      <c r="AA1167" s="349">
        <f t="shared" si="102"/>
        <v>0</v>
      </c>
      <c r="AB1167" s="349">
        <v>0</v>
      </c>
      <c r="AC1167" s="345">
        <v>70260</v>
      </c>
      <c r="AD1167" s="349">
        <v>0</v>
      </c>
      <c r="AE1167" s="345" t="s">
        <v>944</v>
      </c>
      <c r="AF1167" s="347"/>
      <c r="AG1167" s="347"/>
      <c r="AH1167" s="347" t="s">
        <v>57</v>
      </c>
      <c r="AI1167" s="347" t="s">
        <v>4442</v>
      </c>
      <c r="AJ1167" s="347" t="s">
        <v>4443</v>
      </c>
      <c r="AK1167" s="347" t="s">
        <v>4437</v>
      </c>
      <c r="AL1167" s="387">
        <v>45574</v>
      </c>
    </row>
    <row r="1168" spans="2:38" ht="15.75" outlineLevel="1">
      <c r="B1168" s="345">
        <v>2111</v>
      </c>
      <c r="C1168" s="346">
        <v>126247</v>
      </c>
      <c r="D1168" s="345" t="s">
        <v>944</v>
      </c>
      <c r="E1168" s="347" t="s">
        <v>4240</v>
      </c>
      <c r="F1168" s="343" t="s">
        <v>2734</v>
      </c>
      <c r="I1168" s="345">
        <v>528</v>
      </c>
      <c r="J1168" s="347"/>
      <c r="K1168" s="345">
        <v>0</v>
      </c>
      <c r="L1168" s="347" t="s">
        <v>2735</v>
      </c>
      <c r="M1168" s="347"/>
      <c r="N1168" s="347" t="s">
        <v>4446</v>
      </c>
      <c r="O1168" s="347" t="s">
        <v>4441</v>
      </c>
      <c r="P1168" s="347"/>
      <c r="Q1168" s="347"/>
      <c r="R1168" s="347"/>
      <c r="S1168" s="348">
        <v>42154</v>
      </c>
      <c r="T1168" s="348">
        <v>42154</v>
      </c>
      <c r="U1168" s="347" t="s">
        <v>2736</v>
      </c>
      <c r="V1168" s="345">
        <v>700</v>
      </c>
      <c r="W1168" s="345">
        <v>14050</v>
      </c>
      <c r="X1168" s="349">
        <v>27937.89</v>
      </c>
      <c r="Y1168" s="345">
        <v>14056</v>
      </c>
      <c r="Z1168" s="349">
        <v>27937.89</v>
      </c>
      <c r="AA1168" s="349">
        <f t="shared" si="102"/>
        <v>0</v>
      </c>
      <c r="AB1168" s="349">
        <v>0</v>
      </c>
      <c r="AC1168" s="345">
        <v>54260</v>
      </c>
      <c r="AD1168" s="349">
        <v>0</v>
      </c>
      <c r="AE1168" s="345" t="s">
        <v>944</v>
      </c>
      <c r="AF1168" s="347"/>
      <c r="AG1168" s="347"/>
      <c r="AH1168" s="347" t="s">
        <v>57</v>
      </c>
      <c r="AI1168" s="347" t="s">
        <v>4442</v>
      </c>
      <c r="AJ1168" s="347" t="s">
        <v>4443</v>
      </c>
      <c r="AK1168" s="347" t="s">
        <v>4437</v>
      </c>
      <c r="AL1168" s="387">
        <v>45574</v>
      </c>
    </row>
    <row r="1169" spans="2:38" ht="15.75" outlineLevel="1">
      <c r="B1169" s="345">
        <v>2111</v>
      </c>
      <c r="C1169" s="346">
        <v>125315</v>
      </c>
      <c r="D1169" s="345" t="s">
        <v>944</v>
      </c>
      <c r="E1169" s="347" t="s">
        <v>4240</v>
      </c>
      <c r="F1169" s="343" t="s">
        <v>2737</v>
      </c>
      <c r="I1169" s="345">
        <v>10</v>
      </c>
      <c r="J1169" s="347"/>
      <c r="K1169" s="345">
        <v>0</v>
      </c>
      <c r="L1169" s="347" t="s">
        <v>2738</v>
      </c>
      <c r="M1169" s="347"/>
      <c r="N1169" s="347" t="s">
        <v>4446</v>
      </c>
      <c r="O1169" s="347" t="s">
        <v>4441</v>
      </c>
      <c r="P1169" s="347"/>
      <c r="Q1169" s="347" t="s">
        <v>4464</v>
      </c>
      <c r="R1169" s="347" t="s">
        <v>4450</v>
      </c>
      <c r="S1169" s="348">
        <v>42214</v>
      </c>
      <c r="T1169" s="348">
        <v>42214</v>
      </c>
      <c r="U1169" s="347" t="s">
        <v>2739</v>
      </c>
      <c r="V1169" s="345">
        <v>1200</v>
      </c>
      <c r="W1169" s="345">
        <v>14050</v>
      </c>
      <c r="X1169" s="349">
        <v>5837.1</v>
      </c>
      <c r="Y1169" s="345">
        <v>14056</v>
      </c>
      <c r="Z1169" s="349">
        <v>4458.9799999999996</v>
      </c>
      <c r="AA1169" s="349">
        <f t="shared" si="102"/>
        <v>1378.1200000000008</v>
      </c>
      <c r="AB1169" s="349">
        <v>364.86</v>
      </c>
      <c r="AC1169" s="345">
        <v>54260</v>
      </c>
      <c r="AD1169" s="349">
        <v>40.54</v>
      </c>
      <c r="AE1169" s="345" t="s">
        <v>944</v>
      </c>
      <c r="AF1169" s="347"/>
      <c r="AG1169" s="347"/>
      <c r="AH1169" s="347" t="s">
        <v>57</v>
      </c>
      <c r="AI1169" s="347" t="s">
        <v>4442</v>
      </c>
      <c r="AJ1169" s="347" t="s">
        <v>4443</v>
      </c>
      <c r="AK1169" s="347" t="s">
        <v>4437</v>
      </c>
      <c r="AL1169" s="387">
        <v>45574</v>
      </c>
    </row>
    <row r="1170" spans="2:38" ht="15.75" outlineLevel="1">
      <c r="B1170" s="345">
        <v>2111</v>
      </c>
      <c r="C1170" s="346">
        <v>125313</v>
      </c>
      <c r="D1170" s="345" t="s">
        <v>944</v>
      </c>
      <c r="E1170" s="347" t="s">
        <v>4240</v>
      </c>
      <c r="F1170" s="343" t="s">
        <v>1530</v>
      </c>
      <c r="I1170" s="345">
        <v>10</v>
      </c>
      <c r="J1170" s="347"/>
      <c r="K1170" s="345">
        <v>0</v>
      </c>
      <c r="L1170" s="347" t="s">
        <v>2738</v>
      </c>
      <c r="M1170" s="347"/>
      <c r="N1170" s="347" t="s">
        <v>4446</v>
      </c>
      <c r="O1170" s="347" t="s">
        <v>4441</v>
      </c>
      <c r="P1170" s="347"/>
      <c r="Q1170" s="347" t="s">
        <v>4459</v>
      </c>
      <c r="R1170" s="347" t="s">
        <v>4450</v>
      </c>
      <c r="S1170" s="348">
        <v>42214</v>
      </c>
      <c r="T1170" s="348">
        <v>42214</v>
      </c>
      <c r="U1170" s="347" t="s">
        <v>2739</v>
      </c>
      <c r="V1170" s="345">
        <v>1200</v>
      </c>
      <c r="W1170" s="345">
        <v>14050</v>
      </c>
      <c r="X1170" s="349">
        <v>6677.17</v>
      </c>
      <c r="Y1170" s="345">
        <v>14056</v>
      </c>
      <c r="Z1170" s="349">
        <v>5100.62</v>
      </c>
      <c r="AA1170" s="349">
        <f t="shared" si="102"/>
        <v>1576.5500000000002</v>
      </c>
      <c r="AB1170" s="349">
        <v>417.33</v>
      </c>
      <c r="AC1170" s="345">
        <v>54260</v>
      </c>
      <c r="AD1170" s="349">
        <v>46.37</v>
      </c>
      <c r="AE1170" s="345" t="s">
        <v>944</v>
      </c>
      <c r="AF1170" s="347"/>
      <c r="AG1170" s="347"/>
      <c r="AH1170" s="347" t="s">
        <v>57</v>
      </c>
      <c r="AI1170" s="347" t="s">
        <v>4442</v>
      </c>
      <c r="AJ1170" s="347" t="s">
        <v>4443</v>
      </c>
      <c r="AK1170" s="347" t="s">
        <v>4437</v>
      </c>
      <c r="AL1170" s="387">
        <v>45574</v>
      </c>
    </row>
    <row r="1171" spans="2:38" ht="15.75" outlineLevel="1">
      <c r="B1171" s="345">
        <v>2111</v>
      </c>
      <c r="C1171" s="346">
        <v>125264</v>
      </c>
      <c r="D1171" s="345" t="s">
        <v>944</v>
      </c>
      <c r="E1171" s="347" t="s">
        <v>4240</v>
      </c>
      <c r="F1171" s="343" t="s">
        <v>708</v>
      </c>
      <c r="I1171" s="345">
        <v>15</v>
      </c>
      <c r="J1171" s="347"/>
      <c r="K1171" s="345">
        <v>0</v>
      </c>
      <c r="L1171" s="347" t="s">
        <v>2738</v>
      </c>
      <c r="M1171" s="347"/>
      <c r="N1171" s="347" t="s">
        <v>4446</v>
      </c>
      <c r="O1171" s="347" t="s">
        <v>4441</v>
      </c>
      <c r="P1171" s="347"/>
      <c r="Q1171" s="347" t="s">
        <v>4449</v>
      </c>
      <c r="R1171" s="347" t="s">
        <v>4450</v>
      </c>
      <c r="S1171" s="348">
        <v>42214</v>
      </c>
      <c r="T1171" s="348">
        <v>42214</v>
      </c>
      <c r="U1171" s="347" t="s">
        <v>2739</v>
      </c>
      <c r="V1171" s="345">
        <v>1200</v>
      </c>
      <c r="W1171" s="345">
        <v>14050</v>
      </c>
      <c r="X1171" s="349">
        <v>8766.75</v>
      </c>
      <c r="Y1171" s="345">
        <v>14056</v>
      </c>
      <c r="Z1171" s="349">
        <v>6696.8</v>
      </c>
      <c r="AA1171" s="349">
        <f t="shared" si="102"/>
        <v>2069.9499999999998</v>
      </c>
      <c r="AB1171" s="349">
        <v>547.91999999999996</v>
      </c>
      <c r="AC1171" s="345">
        <v>54260</v>
      </c>
      <c r="AD1171" s="349">
        <v>60.88</v>
      </c>
      <c r="AE1171" s="345" t="s">
        <v>944</v>
      </c>
      <c r="AF1171" s="347"/>
      <c r="AG1171" s="347"/>
      <c r="AH1171" s="347" t="s">
        <v>57</v>
      </c>
      <c r="AI1171" s="347" t="s">
        <v>4442</v>
      </c>
      <c r="AJ1171" s="347" t="s">
        <v>4443</v>
      </c>
      <c r="AK1171" s="347" t="s">
        <v>4437</v>
      </c>
      <c r="AL1171" s="387">
        <v>45574</v>
      </c>
    </row>
    <row r="1172" spans="2:38" ht="15.75" outlineLevel="1">
      <c r="B1172" s="345">
        <v>2111</v>
      </c>
      <c r="C1172" s="346">
        <v>124685</v>
      </c>
      <c r="D1172" s="345" t="s">
        <v>944</v>
      </c>
      <c r="E1172" s="347" t="s">
        <v>4240</v>
      </c>
      <c r="F1172" s="343" t="s">
        <v>2740</v>
      </c>
      <c r="I1172" s="345">
        <v>14</v>
      </c>
      <c r="J1172" s="347"/>
      <c r="K1172" s="345">
        <v>0</v>
      </c>
      <c r="L1172" s="347" t="s">
        <v>2738</v>
      </c>
      <c r="M1172" s="347"/>
      <c r="N1172" s="347" t="s">
        <v>4446</v>
      </c>
      <c r="O1172" s="347" t="s">
        <v>4441</v>
      </c>
      <c r="P1172" s="347"/>
      <c r="Q1172" s="347" t="s">
        <v>4479</v>
      </c>
      <c r="R1172" s="347" t="s">
        <v>4450</v>
      </c>
      <c r="S1172" s="348">
        <v>42201</v>
      </c>
      <c r="T1172" s="348">
        <v>42201</v>
      </c>
      <c r="U1172" s="347" t="s">
        <v>2739</v>
      </c>
      <c r="V1172" s="345">
        <v>1200</v>
      </c>
      <c r="W1172" s="345">
        <v>14050</v>
      </c>
      <c r="X1172" s="349">
        <v>10678.75</v>
      </c>
      <c r="Y1172" s="345">
        <v>14056</v>
      </c>
      <c r="Z1172" s="349">
        <v>8157.43</v>
      </c>
      <c r="AA1172" s="349">
        <f t="shared" si="102"/>
        <v>2521.3199999999997</v>
      </c>
      <c r="AB1172" s="349">
        <v>667.44</v>
      </c>
      <c r="AC1172" s="345">
        <v>54260</v>
      </c>
      <c r="AD1172" s="349">
        <v>74.16</v>
      </c>
      <c r="AE1172" s="345" t="s">
        <v>944</v>
      </c>
      <c r="AF1172" s="347"/>
      <c r="AG1172" s="347"/>
      <c r="AH1172" s="347" t="s">
        <v>57</v>
      </c>
      <c r="AI1172" s="347" t="s">
        <v>4442</v>
      </c>
      <c r="AJ1172" s="347" t="s">
        <v>4443</v>
      </c>
      <c r="AK1172" s="347" t="s">
        <v>4437</v>
      </c>
      <c r="AL1172" s="387">
        <v>45574</v>
      </c>
    </row>
    <row r="1173" spans="2:38" ht="15.75" outlineLevel="1">
      <c r="B1173" s="345">
        <v>2111</v>
      </c>
      <c r="C1173" s="346">
        <v>124133</v>
      </c>
      <c r="D1173" s="345" t="s">
        <v>944</v>
      </c>
      <c r="E1173" s="347" t="s">
        <v>4240</v>
      </c>
      <c r="F1173" s="343" t="s">
        <v>265</v>
      </c>
      <c r="I1173" s="345">
        <v>213</v>
      </c>
      <c r="J1173" s="347"/>
      <c r="K1173" s="345">
        <v>0</v>
      </c>
      <c r="L1173" s="347"/>
      <c r="M1173" s="347"/>
      <c r="N1173" s="347" t="s">
        <v>4446</v>
      </c>
      <c r="O1173" s="347" t="s">
        <v>4441</v>
      </c>
      <c r="P1173" s="347"/>
      <c r="Q1173" s="347" t="s">
        <v>4449</v>
      </c>
      <c r="R1173" s="347" t="s">
        <v>4450</v>
      </c>
      <c r="S1173" s="348">
        <v>42216</v>
      </c>
      <c r="T1173" s="348">
        <v>42216</v>
      </c>
      <c r="U1173" s="347"/>
      <c r="V1173" s="345">
        <v>0</v>
      </c>
      <c r="W1173" s="345">
        <v>14050</v>
      </c>
      <c r="X1173" s="349">
        <v>0</v>
      </c>
      <c r="Y1173" s="345">
        <v>14056</v>
      </c>
      <c r="Z1173" s="349">
        <v>0</v>
      </c>
      <c r="AA1173" s="349">
        <f t="shared" si="102"/>
        <v>0</v>
      </c>
      <c r="AB1173" s="349">
        <v>0</v>
      </c>
      <c r="AC1173" s="345">
        <v>54260</v>
      </c>
      <c r="AD1173" s="349">
        <v>0</v>
      </c>
      <c r="AE1173" s="345" t="s">
        <v>410</v>
      </c>
      <c r="AF1173" s="347"/>
      <c r="AG1173" s="347" t="s">
        <v>2206</v>
      </c>
      <c r="AH1173" s="347" t="s">
        <v>57</v>
      </c>
      <c r="AI1173" s="347" t="s">
        <v>4442</v>
      </c>
      <c r="AJ1173" s="347" t="s">
        <v>1660</v>
      </c>
      <c r="AK1173" s="347" t="s">
        <v>4437</v>
      </c>
      <c r="AL1173" s="387">
        <v>45574</v>
      </c>
    </row>
    <row r="1174" spans="2:38" ht="15.75" outlineLevel="1">
      <c r="B1174" s="345">
        <v>2111</v>
      </c>
      <c r="C1174" s="346">
        <v>124132</v>
      </c>
      <c r="D1174" s="345" t="s">
        <v>944</v>
      </c>
      <c r="E1174" s="347" t="s">
        <v>4240</v>
      </c>
      <c r="F1174" s="343" t="s">
        <v>264</v>
      </c>
      <c r="I1174" s="345">
        <v>26</v>
      </c>
      <c r="J1174" s="347"/>
      <c r="K1174" s="345">
        <v>0</v>
      </c>
      <c r="L1174" s="347"/>
      <c r="M1174" s="347"/>
      <c r="N1174" s="347" t="s">
        <v>4446</v>
      </c>
      <c r="O1174" s="347" t="s">
        <v>4441</v>
      </c>
      <c r="P1174" s="347"/>
      <c r="Q1174" s="347" t="s">
        <v>4459</v>
      </c>
      <c r="R1174" s="347" t="s">
        <v>4450</v>
      </c>
      <c r="S1174" s="348">
        <v>42216</v>
      </c>
      <c r="T1174" s="348">
        <v>42216</v>
      </c>
      <c r="U1174" s="347"/>
      <c r="V1174" s="345">
        <v>0</v>
      </c>
      <c r="W1174" s="345">
        <v>14050</v>
      </c>
      <c r="X1174" s="349">
        <v>0</v>
      </c>
      <c r="Y1174" s="345">
        <v>14056</v>
      </c>
      <c r="Z1174" s="349">
        <v>0</v>
      </c>
      <c r="AA1174" s="349">
        <f t="shared" si="102"/>
        <v>0</v>
      </c>
      <c r="AB1174" s="349">
        <v>0</v>
      </c>
      <c r="AC1174" s="345">
        <v>54260</v>
      </c>
      <c r="AD1174" s="349">
        <v>0</v>
      </c>
      <c r="AE1174" s="345" t="s">
        <v>410</v>
      </c>
      <c r="AF1174" s="347"/>
      <c r="AG1174" s="347" t="s">
        <v>2206</v>
      </c>
      <c r="AH1174" s="347" t="s">
        <v>57</v>
      </c>
      <c r="AI1174" s="347" t="s">
        <v>4442</v>
      </c>
      <c r="AJ1174" s="347" t="s">
        <v>1660</v>
      </c>
      <c r="AK1174" s="347" t="s">
        <v>4437</v>
      </c>
      <c r="AL1174" s="387">
        <v>45574</v>
      </c>
    </row>
    <row r="1175" spans="2:38" ht="15.75" outlineLevel="1">
      <c r="B1175" s="345">
        <v>2111</v>
      </c>
      <c r="C1175" s="346">
        <v>124066</v>
      </c>
      <c r="D1175" s="345" t="s">
        <v>944</v>
      </c>
      <c r="E1175" s="347" t="s">
        <v>4240</v>
      </c>
      <c r="F1175" s="343" t="s">
        <v>2742</v>
      </c>
      <c r="I1175" s="345">
        <v>624</v>
      </c>
      <c r="J1175" s="347"/>
      <c r="K1175" s="345">
        <v>0</v>
      </c>
      <c r="L1175" s="347" t="s">
        <v>2735</v>
      </c>
      <c r="M1175" s="347"/>
      <c r="N1175" s="347" t="s">
        <v>4446</v>
      </c>
      <c r="O1175" s="347" t="s">
        <v>4441</v>
      </c>
      <c r="P1175" s="347"/>
      <c r="Q1175" s="347"/>
      <c r="R1175" s="347"/>
      <c r="S1175" s="348">
        <v>42181</v>
      </c>
      <c r="T1175" s="348">
        <v>42181</v>
      </c>
      <c r="U1175" s="347" t="s">
        <v>2743</v>
      </c>
      <c r="V1175" s="345">
        <v>700</v>
      </c>
      <c r="W1175" s="345">
        <v>14050</v>
      </c>
      <c r="X1175" s="349">
        <v>33030.050000000003</v>
      </c>
      <c r="Y1175" s="345">
        <v>14056</v>
      </c>
      <c r="Z1175" s="349">
        <v>33030.050000000003</v>
      </c>
      <c r="AA1175" s="349">
        <f t="shared" si="102"/>
        <v>0</v>
      </c>
      <c r="AB1175" s="349">
        <v>0</v>
      </c>
      <c r="AC1175" s="345">
        <v>54260</v>
      </c>
      <c r="AD1175" s="349">
        <v>0</v>
      </c>
      <c r="AE1175" s="345" t="s">
        <v>944</v>
      </c>
      <c r="AF1175" s="347"/>
      <c r="AG1175" s="347"/>
      <c r="AH1175" s="347" t="s">
        <v>57</v>
      </c>
      <c r="AI1175" s="347" t="s">
        <v>4442</v>
      </c>
      <c r="AJ1175" s="347" t="s">
        <v>4443</v>
      </c>
      <c r="AK1175" s="347" t="s">
        <v>4437</v>
      </c>
      <c r="AL1175" s="387">
        <v>45574</v>
      </c>
    </row>
    <row r="1176" spans="2:38" ht="15.75" outlineLevel="1">
      <c r="B1176" s="345">
        <v>2111</v>
      </c>
      <c r="C1176" s="346">
        <v>122888</v>
      </c>
      <c r="D1176" s="345" t="s">
        <v>944</v>
      </c>
      <c r="E1176" s="347" t="s">
        <v>4240</v>
      </c>
      <c r="F1176" s="343" t="s">
        <v>777</v>
      </c>
      <c r="I1176" s="345">
        <v>5</v>
      </c>
      <c r="J1176" s="347"/>
      <c r="K1176" s="345">
        <v>0</v>
      </c>
      <c r="L1176" s="347" t="s">
        <v>2744</v>
      </c>
      <c r="M1176" s="347"/>
      <c r="N1176" s="347" t="s">
        <v>4446</v>
      </c>
      <c r="O1176" s="347" t="s">
        <v>4441</v>
      </c>
      <c r="P1176" s="347"/>
      <c r="Q1176" s="347" t="s">
        <v>4447</v>
      </c>
      <c r="R1176" s="347" t="s">
        <v>4448</v>
      </c>
      <c r="S1176" s="348">
        <v>42095</v>
      </c>
      <c r="T1176" s="348">
        <v>42095</v>
      </c>
      <c r="U1176" s="347" t="s">
        <v>2745</v>
      </c>
      <c r="V1176" s="345">
        <v>1200</v>
      </c>
      <c r="W1176" s="345">
        <v>14050</v>
      </c>
      <c r="X1176" s="349">
        <v>30270</v>
      </c>
      <c r="Y1176" s="345">
        <v>14056</v>
      </c>
      <c r="Z1176" s="349">
        <v>23963.77</v>
      </c>
      <c r="AA1176" s="349">
        <f t="shared" si="102"/>
        <v>6306.23</v>
      </c>
      <c r="AB1176" s="349">
        <v>1891.89</v>
      </c>
      <c r="AC1176" s="345">
        <v>54260</v>
      </c>
      <c r="AD1176" s="349">
        <v>210.21</v>
      </c>
      <c r="AE1176" s="345" t="s">
        <v>944</v>
      </c>
      <c r="AF1176" s="347"/>
      <c r="AG1176" s="347"/>
      <c r="AH1176" s="347" t="s">
        <v>57</v>
      </c>
      <c r="AI1176" s="347" t="s">
        <v>4442</v>
      </c>
      <c r="AJ1176" s="347" t="s">
        <v>4443</v>
      </c>
      <c r="AK1176" s="347" t="s">
        <v>4437</v>
      </c>
      <c r="AL1176" s="387">
        <v>45574</v>
      </c>
    </row>
    <row r="1177" spans="2:38" ht="15.75" outlineLevel="1">
      <c r="B1177" s="345">
        <v>2111</v>
      </c>
      <c r="C1177" s="346">
        <v>122827</v>
      </c>
      <c r="D1177" s="345" t="s">
        <v>944</v>
      </c>
      <c r="E1177" s="347" t="s">
        <v>4240</v>
      </c>
      <c r="F1177" s="343" t="s">
        <v>2746</v>
      </c>
      <c r="I1177" s="345">
        <v>1</v>
      </c>
      <c r="J1177" s="347"/>
      <c r="K1177" s="345">
        <v>0</v>
      </c>
      <c r="L1177" s="347"/>
      <c r="M1177" s="347"/>
      <c r="N1177" s="347" t="s">
        <v>4440</v>
      </c>
      <c r="O1177" s="347" t="s">
        <v>4441</v>
      </c>
      <c r="P1177" s="347"/>
      <c r="Q1177" s="347"/>
      <c r="R1177" s="347"/>
      <c r="S1177" s="348">
        <v>42139</v>
      </c>
      <c r="T1177" s="348">
        <v>42139</v>
      </c>
      <c r="U1177" s="347" t="s">
        <v>2747</v>
      </c>
      <c r="V1177" s="345">
        <v>300</v>
      </c>
      <c r="W1177" s="345">
        <v>14110</v>
      </c>
      <c r="X1177" s="349">
        <v>3126.31</v>
      </c>
      <c r="Y1177" s="345">
        <v>14116</v>
      </c>
      <c r="Z1177" s="349">
        <v>3126.31</v>
      </c>
      <c r="AA1177" s="349">
        <f t="shared" si="102"/>
        <v>0</v>
      </c>
      <c r="AB1177" s="349">
        <v>0</v>
      </c>
      <c r="AC1177" s="345">
        <v>70260</v>
      </c>
      <c r="AD1177" s="349">
        <v>0</v>
      </c>
      <c r="AE1177" s="345" t="s">
        <v>944</v>
      </c>
      <c r="AF1177" s="347"/>
      <c r="AG1177" s="347"/>
      <c r="AH1177" s="347" t="s">
        <v>57</v>
      </c>
      <c r="AI1177" s="347" t="s">
        <v>4442</v>
      </c>
      <c r="AJ1177" s="347" t="s">
        <v>4443</v>
      </c>
      <c r="AK1177" s="347" t="s">
        <v>4437</v>
      </c>
      <c r="AL1177" s="387">
        <v>45574</v>
      </c>
    </row>
    <row r="1178" spans="2:38" ht="15.75" outlineLevel="1">
      <c r="B1178" s="345">
        <v>2111</v>
      </c>
      <c r="C1178" s="346">
        <v>122580</v>
      </c>
      <c r="D1178" s="345" t="s">
        <v>944</v>
      </c>
      <c r="E1178" s="347" t="s">
        <v>4240</v>
      </c>
      <c r="F1178" s="343" t="s">
        <v>1243</v>
      </c>
      <c r="I1178" s="345">
        <v>1</v>
      </c>
      <c r="J1178" s="347" t="s">
        <v>2749</v>
      </c>
      <c r="K1178" s="345">
        <v>2016</v>
      </c>
      <c r="L1178" s="347" t="s">
        <v>1483</v>
      </c>
      <c r="M1178" s="347" t="s">
        <v>2190</v>
      </c>
      <c r="N1178" s="347" t="s">
        <v>4445</v>
      </c>
      <c r="O1178" s="347" t="s">
        <v>4441</v>
      </c>
      <c r="P1178" s="347" t="s">
        <v>4482</v>
      </c>
      <c r="Q1178" s="347"/>
      <c r="R1178" s="347"/>
      <c r="S1178" s="348">
        <v>42155</v>
      </c>
      <c r="T1178" s="348">
        <v>42155</v>
      </c>
      <c r="U1178" s="347" t="s">
        <v>2750</v>
      </c>
      <c r="V1178" s="345">
        <v>1000</v>
      </c>
      <c r="W1178" s="345">
        <v>14040</v>
      </c>
      <c r="X1178" s="349">
        <v>326336.78000000003</v>
      </c>
      <c r="Y1178" s="345">
        <v>14046</v>
      </c>
      <c r="Z1178" s="349">
        <v>304580.98</v>
      </c>
      <c r="AA1178" s="349">
        <f t="shared" si="102"/>
        <v>21755.800000000047</v>
      </c>
      <c r="AB1178" s="349">
        <v>24475.23</v>
      </c>
      <c r="AC1178" s="345">
        <v>51260</v>
      </c>
      <c r="AD1178" s="349">
        <v>2719.47</v>
      </c>
      <c r="AE1178" s="345" t="s">
        <v>944</v>
      </c>
      <c r="AF1178" s="347"/>
      <c r="AG1178" s="347">
        <v>831</v>
      </c>
      <c r="AH1178" s="347" t="s">
        <v>57</v>
      </c>
      <c r="AI1178" s="347" t="s">
        <v>4442</v>
      </c>
      <c r="AJ1178" s="347" t="s">
        <v>4443</v>
      </c>
      <c r="AK1178" s="347" t="s">
        <v>4437</v>
      </c>
      <c r="AL1178" s="387">
        <v>45574</v>
      </c>
    </row>
    <row r="1179" spans="2:38" ht="15.75" outlineLevel="1">
      <c r="B1179" s="345">
        <v>2111</v>
      </c>
      <c r="C1179" s="346">
        <v>122194</v>
      </c>
      <c r="D1179" s="345" t="s">
        <v>944</v>
      </c>
      <c r="E1179" s="347" t="s">
        <v>4240</v>
      </c>
      <c r="F1179" s="343" t="s">
        <v>2752</v>
      </c>
      <c r="I1179" s="345">
        <v>624</v>
      </c>
      <c r="J1179" s="347"/>
      <c r="K1179" s="345">
        <v>0</v>
      </c>
      <c r="L1179" s="347" t="s">
        <v>2738</v>
      </c>
      <c r="M1179" s="347"/>
      <c r="N1179" s="347" t="s">
        <v>4446</v>
      </c>
      <c r="O1179" s="347" t="s">
        <v>4441</v>
      </c>
      <c r="P1179" s="347"/>
      <c r="Q1179" s="347"/>
      <c r="R1179" s="347"/>
      <c r="S1179" s="348">
        <v>42063</v>
      </c>
      <c r="T1179" s="348">
        <v>42063</v>
      </c>
      <c r="U1179" s="347" t="s">
        <v>2753</v>
      </c>
      <c r="V1179" s="345">
        <v>700</v>
      </c>
      <c r="W1179" s="345">
        <v>14050</v>
      </c>
      <c r="X1179" s="349">
        <v>36128.58</v>
      </c>
      <c r="Y1179" s="345">
        <v>14056</v>
      </c>
      <c r="Z1179" s="349">
        <v>36128.58</v>
      </c>
      <c r="AA1179" s="349">
        <f t="shared" si="102"/>
        <v>0</v>
      </c>
      <c r="AB1179" s="349">
        <v>0</v>
      </c>
      <c r="AC1179" s="345">
        <v>54260</v>
      </c>
      <c r="AD1179" s="349">
        <v>0</v>
      </c>
      <c r="AE1179" s="345" t="s">
        <v>944</v>
      </c>
      <c r="AF1179" s="347"/>
      <c r="AG1179" s="347"/>
      <c r="AH1179" s="347" t="s">
        <v>57</v>
      </c>
      <c r="AI1179" s="347" t="s">
        <v>4442</v>
      </c>
      <c r="AJ1179" s="347" t="s">
        <v>4443</v>
      </c>
      <c r="AK1179" s="347" t="s">
        <v>4437</v>
      </c>
      <c r="AL1179" s="387">
        <v>45574</v>
      </c>
    </row>
    <row r="1180" spans="2:38" ht="15.75" outlineLevel="1">
      <c r="B1180" s="345">
        <v>2111</v>
      </c>
      <c r="C1180" s="346">
        <v>121001</v>
      </c>
      <c r="D1180" s="345" t="s">
        <v>944</v>
      </c>
      <c r="E1180" s="347" t="s">
        <v>4240</v>
      </c>
      <c r="F1180" s="343" t="s">
        <v>2754</v>
      </c>
      <c r="I1180" s="345">
        <v>624</v>
      </c>
      <c r="J1180" s="347"/>
      <c r="K1180" s="345">
        <v>0</v>
      </c>
      <c r="L1180" s="347" t="s">
        <v>2342</v>
      </c>
      <c r="M1180" s="347"/>
      <c r="N1180" s="347" t="s">
        <v>4446</v>
      </c>
      <c r="O1180" s="347" t="s">
        <v>4441</v>
      </c>
      <c r="P1180" s="347"/>
      <c r="Q1180" s="347"/>
      <c r="R1180" s="347"/>
      <c r="S1180" s="348">
        <v>42063</v>
      </c>
      <c r="T1180" s="348">
        <v>42063</v>
      </c>
      <c r="U1180" s="347" t="s">
        <v>2743</v>
      </c>
      <c r="V1180" s="345">
        <v>700</v>
      </c>
      <c r="W1180" s="345">
        <v>14050</v>
      </c>
      <c r="X1180" s="349">
        <v>34343.910000000003</v>
      </c>
      <c r="Y1180" s="345">
        <v>14056</v>
      </c>
      <c r="Z1180" s="349">
        <v>34343.910000000003</v>
      </c>
      <c r="AA1180" s="349">
        <f t="shared" si="102"/>
        <v>0</v>
      </c>
      <c r="AB1180" s="349">
        <v>0</v>
      </c>
      <c r="AC1180" s="345">
        <v>54260</v>
      </c>
      <c r="AD1180" s="349">
        <v>0</v>
      </c>
      <c r="AE1180" s="345" t="s">
        <v>944</v>
      </c>
      <c r="AF1180" s="347"/>
      <c r="AG1180" s="347"/>
      <c r="AH1180" s="347" t="s">
        <v>57</v>
      </c>
      <c r="AI1180" s="347" t="s">
        <v>4442</v>
      </c>
      <c r="AJ1180" s="347" t="s">
        <v>4443</v>
      </c>
      <c r="AK1180" s="347" t="s">
        <v>4437</v>
      </c>
      <c r="AL1180" s="387">
        <v>45574</v>
      </c>
    </row>
    <row r="1181" spans="2:38" ht="15.75" outlineLevel="1">
      <c r="B1181" s="345">
        <v>2111</v>
      </c>
      <c r="C1181" s="346">
        <v>120339</v>
      </c>
      <c r="D1181" s="345" t="s">
        <v>944</v>
      </c>
      <c r="E1181" s="347" t="s">
        <v>4240</v>
      </c>
      <c r="F1181" s="343" t="s">
        <v>323</v>
      </c>
      <c r="I1181" s="345">
        <v>1</v>
      </c>
      <c r="J1181" s="347"/>
      <c r="K1181" s="345">
        <v>0</v>
      </c>
      <c r="L1181" s="347" t="s">
        <v>1657</v>
      </c>
      <c r="M1181" s="347"/>
      <c r="N1181" s="347" t="s">
        <v>4440</v>
      </c>
      <c r="O1181" s="347" t="s">
        <v>4441</v>
      </c>
      <c r="P1181" s="347"/>
      <c r="Q1181" s="347"/>
      <c r="R1181" s="347"/>
      <c r="S1181" s="348">
        <v>42036</v>
      </c>
      <c r="T1181" s="348">
        <v>42036</v>
      </c>
      <c r="U1181" s="347" t="s">
        <v>2755</v>
      </c>
      <c r="V1181" s="345">
        <v>300</v>
      </c>
      <c r="W1181" s="345">
        <v>14110</v>
      </c>
      <c r="X1181" s="349">
        <v>747.14</v>
      </c>
      <c r="Y1181" s="345">
        <v>14116</v>
      </c>
      <c r="Z1181" s="349">
        <v>747.14</v>
      </c>
      <c r="AA1181" s="349">
        <f t="shared" si="102"/>
        <v>0</v>
      </c>
      <c r="AB1181" s="349">
        <v>0</v>
      </c>
      <c r="AC1181" s="345">
        <v>70260</v>
      </c>
      <c r="AD1181" s="349">
        <v>0</v>
      </c>
      <c r="AE1181" s="345" t="s">
        <v>944</v>
      </c>
      <c r="AF1181" s="347"/>
      <c r="AG1181" s="347"/>
      <c r="AH1181" s="347" t="s">
        <v>57</v>
      </c>
      <c r="AI1181" s="347" t="s">
        <v>4442</v>
      </c>
      <c r="AJ1181" s="347" t="s">
        <v>4443</v>
      </c>
      <c r="AK1181" s="347" t="s">
        <v>4437</v>
      </c>
      <c r="AL1181" s="387">
        <v>45574</v>
      </c>
    </row>
    <row r="1182" spans="2:38" ht="15.75" outlineLevel="1">
      <c r="B1182" s="345">
        <v>2111</v>
      </c>
      <c r="C1182" s="346">
        <v>120338</v>
      </c>
      <c r="D1182" s="345" t="s">
        <v>944</v>
      </c>
      <c r="E1182" s="347" t="s">
        <v>4240</v>
      </c>
      <c r="F1182" s="343" t="s">
        <v>2757</v>
      </c>
      <c r="I1182" s="345">
        <v>1</v>
      </c>
      <c r="J1182" s="347"/>
      <c r="K1182" s="345">
        <v>0</v>
      </c>
      <c r="L1182" s="347" t="s">
        <v>1657</v>
      </c>
      <c r="M1182" s="347"/>
      <c r="N1182" s="347" t="s">
        <v>4440</v>
      </c>
      <c r="O1182" s="347" t="s">
        <v>4441</v>
      </c>
      <c r="P1182" s="347"/>
      <c r="Q1182" s="347"/>
      <c r="R1182" s="347"/>
      <c r="S1182" s="348">
        <v>42063</v>
      </c>
      <c r="T1182" s="348">
        <v>42063</v>
      </c>
      <c r="U1182" s="347" t="s">
        <v>2758</v>
      </c>
      <c r="V1182" s="345">
        <v>300</v>
      </c>
      <c r="W1182" s="345">
        <v>14110</v>
      </c>
      <c r="X1182" s="349">
        <v>8597.08</v>
      </c>
      <c r="Y1182" s="345">
        <v>14116</v>
      </c>
      <c r="Z1182" s="349">
        <v>8597.08</v>
      </c>
      <c r="AA1182" s="349">
        <f t="shared" si="102"/>
        <v>0</v>
      </c>
      <c r="AB1182" s="349">
        <v>0</v>
      </c>
      <c r="AC1182" s="345">
        <v>70260</v>
      </c>
      <c r="AD1182" s="349">
        <v>0</v>
      </c>
      <c r="AE1182" s="345" t="s">
        <v>944</v>
      </c>
      <c r="AF1182" s="347"/>
      <c r="AG1182" s="347"/>
      <c r="AH1182" s="347" t="s">
        <v>57</v>
      </c>
      <c r="AI1182" s="347" t="s">
        <v>4442</v>
      </c>
      <c r="AJ1182" s="347" t="s">
        <v>4443</v>
      </c>
      <c r="AK1182" s="347" t="s">
        <v>4437</v>
      </c>
      <c r="AL1182" s="387">
        <v>45574</v>
      </c>
    </row>
    <row r="1183" spans="2:38" ht="15.75" outlineLevel="1">
      <c r="B1183" s="345">
        <v>2111</v>
      </c>
      <c r="C1183" s="346">
        <v>120295</v>
      </c>
      <c r="D1183" s="345" t="s">
        <v>944</v>
      </c>
      <c r="E1183" s="347" t="s">
        <v>4240</v>
      </c>
      <c r="F1183" s="343" t="s">
        <v>2760</v>
      </c>
      <c r="I1183" s="345">
        <v>1</v>
      </c>
      <c r="J1183" s="347"/>
      <c r="K1183" s="345">
        <v>0</v>
      </c>
      <c r="L1183" s="347" t="s">
        <v>1657</v>
      </c>
      <c r="M1183" s="347"/>
      <c r="N1183" s="347" t="s">
        <v>4440</v>
      </c>
      <c r="O1183" s="347" t="s">
        <v>4441</v>
      </c>
      <c r="P1183" s="347"/>
      <c r="Q1183" s="347"/>
      <c r="R1183" s="347"/>
      <c r="S1183" s="348">
        <v>42037</v>
      </c>
      <c r="T1183" s="348">
        <v>42037</v>
      </c>
      <c r="U1183" s="347" t="s">
        <v>2761</v>
      </c>
      <c r="V1183" s="345">
        <v>300</v>
      </c>
      <c r="W1183" s="345">
        <v>14110</v>
      </c>
      <c r="X1183" s="349">
        <v>2768.16</v>
      </c>
      <c r="Y1183" s="345">
        <v>14116</v>
      </c>
      <c r="Z1183" s="349">
        <v>2768.16</v>
      </c>
      <c r="AA1183" s="349">
        <f t="shared" si="102"/>
        <v>0</v>
      </c>
      <c r="AB1183" s="349">
        <v>0</v>
      </c>
      <c r="AC1183" s="345">
        <v>70260</v>
      </c>
      <c r="AD1183" s="349">
        <v>0</v>
      </c>
      <c r="AE1183" s="345" t="s">
        <v>944</v>
      </c>
      <c r="AF1183" s="347"/>
      <c r="AG1183" s="347"/>
      <c r="AH1183" s="347" t="s">
        <v>57</v>
      </c>
      <c r="AI1183" s="347" t="s">
        <v>4442</v>
      </c>
      <c r="AJ1183" s="347" t="s">
        <v>4443</v>
      </c>
      <c r="AK1183" s="347" t="s">
        <v>4437</v>
      </c>
      <c r="AL1183" s="387">
        <v>45574</v>
      </c>
    </row>
    <row r="1184" spans="2:38" ht="15.75" outlineLevel="1">
      <c r="B1184" s="345">
        <v>2111</v>
      </c>
      <c r="C1184" s="346">
        <v>120153</v>
      </c>
      <c r="D1184" s="345">
        <v>120152</v>
      </c>
      <c r="E1184" s="347" t="s">
        <v>4240</v>
      </c>
      <c r="F1184" s="343" t="s">
        <v>2763</v>
      </c>
      <c r="I1184" s="345">
        <v>1</v>
      </c>
      <c r="J1184" s="347" t="s">
        <v>2764</v>
      </c>
      <c r="K1184" s="345">
        <v>2013</v>
      </c>
      <c r="L1184" s="347" t="s">
        <v>2300</v>
      </c>
      <c r="M1184" s="347" t="s">
        <v>751</v>
      </c>
      <c r="N1184" s="347" t="s">
        <v>4445</v>
      </c>
      <c r="O1184" s="347" t="s">
        <v>4441</v>
      </c>
      <c r="P1184" s="347" t="s">
        <v>4487</v>
      </c>
      <c r="Q1184" s="347"/>
      <c r="R1184" s="347"/>
      <c r="S1184" s="348">
        <v>41260</v>
      </c>
      <c r="T1184" s="348">
        <v>41260</v>
      </c>
      <c r="U1184" s="347" t="s">
        <v>2765</v>
      </c>
      <c r="V1184" s="345">
        <v>1000</v>
      </c>
      <c r="W1184" s="345">
        <v>14040</v>
      </c>
      <c r="X1184" s="349">
        <v>847.67</v>
      </c>
      <c r="Y1184" s="345">
        <v>14046</v>
      </c>
      <c r="Z1184" s="349">
        <v>847.67</v>
      </c>
      <c r="AA1184" s="349">
        <f t="shared" si="102"/>
        <v>0</v>
      </c>
      <c r="AB1184" s="349">
        <v>0</v>
      </c>
      <c r="AC1184" s="345">
        <v>51260</v>
      </c>
      <c r="AD1184" s="349">
        <v>0</v>
      </c>
      <c r="AE1184" s="345" t="s">
        <v>944</v>
      </c>
      <c r="AF1184" s="347"/>
      <c r="AG1184" s="347"/>
      <c r="AH1184" s="347" t="s">
        <v>57</v>
      </c>
      <c r="AI1184" s="347" t="s">
        <v>4442</v>
      </c>
      <c r="AJ1184" s="347" t="s">
        <v>4443</v>
      </c>
      <c r="AK1184" s="347" t="s">
        <v>4437</v>
      </c>
      <c r="AL1184" s="387">
        <v>45574</v>
      </c>
    </row>
    <row r="1185" spans="2:38" ht="15.75" outlineLevel="1">
      <c r="B1185" s="345">
        <v>2111</v>
      </c>
      <c r="C1185" s="346">
        <v>120152</v>
      </c>
      <c r="D1185" s="345" t="s">
        <v>944</v>
      </c>
      <c r="E1185" s="347" t="s">
        <v>4240</v>
      </c>
      <c r="F1185" s="343" t="s">
        <v>2766</v>
      </c>
      <c r="I1185" s="345">
        <v>1</v>
      </c>
      <c r="J1185" s="347" t="s">
        <v>2764</v>
      </c>
      <c r="K1185" s="345">
        <v>2013</v>
      </c>
      <c r="L1185" s="347" t="s">
        <v>2300</v>
      </c>
      <c r="M1185" s="347" t="s">
        <v>2767</v>
      </c>
      <c r="N1185" s="347" t="s">
        <v>4445</v>
      </c>
      <c r="O1185" s="347" t="s">
        <v>4441</v>
      </c>
      <c r="P1185" s="347" t="s">
        <v>4487</v>
      </c>
      <c r="Q1185" s="347"/>
      <c r="R1185" s="347"/>
      <c r="S1185" s="348">
        <v>41260</v>
      </c>
      <c r="T1185" s="348">
        <v>41260</v>
      </c>
      <c r="U1185" s="347" t="s">
        <v>2765</v>
      </c>
      <c r="V1185" s="345">
        <v>1000</v>
      </c>
      <c r="W1185" s="345">
        <v>14040</v>
      </c>
      <c r="X1185" s="349">
        <v>304502.05</v>
      </c>
      <c r="Y1185" s="345">
        <v>14046</v>
      </c>
      <c r="Z1185" s="349">
        <v>304502.05</v>
      </c>
      <c r="AA1185" s="349">
        <f t="shared" si="102"/>
        <v>0</v>
      </c>
      <c r="AB1185" s="349">
        <v>0</v>
      </c>
      <c r="AC1185" s="345">
        <v>51260</v>
      </c>
      <c r="AD1185" s="349">
        <v>0</v>
      </c>
      <c r="AE1185" s="345" t="s">
        <v>944</v>
      </c>
      <c r="AF1185" s="347"/>
      <c r="AG1185" s="347">
        <v>910</v>
      </c>
      <c r="AH1185" s="347" t="s">
        <v>57</v>
      </c>
      <c r="AI1185" s="347" t="s">
        <v>4442</v>
      </c>
      <c r="AJ1185" s="347" t="s">
        <v>4443</v>
      </c>
      <c r="AK1185" s="347" t="s">
        <v>4437</v>
      </c>
      <c r="AL1185" s="387">
        <v>45574</v>
      </c>
    </row>
    <row r="1186" spans="2:38" ht="15.75" outlineLevel="1">
      <c r="B1186" s="345">
        <v>2111</v>
      </c>
      <c r="C1186" s="346">
        <v>118482</v>
      </c>
      <c r="D1186" s="345" t="s">
        <v>944</v>
      </c>
      <c r="E1186" s="347" t="s">
        <v>4240</v>
      </c>
      <c r="F1186" s="343" t="s">
        <v>2769</v>
      </c>
      <c r="I1186" s="345">
        <v>1</v>
      </c>
      <c r="J1186" s="347" t="s">
        <v>2770</v>
      </c>
      <c r="K1186" s="345">
        <v>2014</v>
      </c>
      <c r="L1186" s="347" t="s">
        <v>2771</v>
      </c>
      <c r="M1186" s="347" t="s">
        <v>2772</v>
      </c>
      <c r="N1186" s="347" t="s">
        <v>4458</v>
      </c>
      <c r="O1186" s="347" t="s">
        <v>4441</v>
      </c>
      <c r="P1186" s="347" t="s">
        <v>1546</v>
      </c>
      <c r="Q1186" s="347"/>
      <c r="R1186" s="347"/>
      <c r="S1186" s="348">
        <v>41978</v>
      </c>
      <c r="T1186" s="348">
        <v>41978</v>
      </c>
      <c r="U1186" s="347" t="s">
        <v>2773</v>
      </c>
      <c r="V1186" s="345">
        <v>900</v>
      </c>
      <c r="W1186" s="345">
        <v>14030</v>
      </c>
      <c r="X1186" s="349">
        <v>14933.1</v>
      </c>
      <c r="Y1186" s="345">
        <v>14036</v>
      </c>
      <c r="Z1186" s="349">
        <v>14933.1</v>
      </c>
      <c r="AA1186" s="349">
        <f t="shared" si="102"/>
        <v>0</v>
      </c>
      <c r="AB1186" s="349">
        <v>0</v>
      </c>
      <c r="AC1186" s="345">
        <v>51260</v>
      </c>
      <c r="AD1186" s="349">
        <v>0</v>
      </c>
      <c r="AE1186" s="345" t="s">
        <v>944</v>
      </c>
      <c r="AF1186" s="347">
        <v>0</v>
      </c>
      <c r="AG1186" s="347" t="s">
        <v>2774</v>
      </c>
      <c r="AH1186" s="347" t="s">
        <v>57</v>
      </c>
      <c r="AI1186" s="347" t="s">
        <v>4442</v>
      </c>
      <c r="AJ1186" s="347" t="s">
        <v>4443</v>
      </c>
      <c r="AK1186" s="347" t="s">
        <v>4437</v>
      </c>
      <c r="AL1186" s="387">
        <v>45574</v>
      </c>
    </row>
    <row r="1187" spans="2:38" ht="15.75" outlineLevel="1">
      <c r="B1187" s="345">
        <v>2111</v>
      </c>
      <c r="C1187" s="346">
        <v>118361</v>
      </c>
      <c r="D1187" s="345" t="s">
        <v>944</v>
      </c>
      <c r="E1187" s="347" t="s">
        <v>4240</v>
      </c>
      <c r="F1187" s="343" t="s">
        <v>2775</v>
      </c>
      <c r="I1187" s="345">
        <v>48</v>
      </c>
      <c r="J1187" s="347"/>
      <c r="K1187" s="345">
        <v>0</v>
      </c>
      <c r="L1187" s="347" t="s">
        <v>2257</v>
      </c>
      <c r="M1187" s="347"/>
      <c r="N1187" s="347" t="s">
        <v>4446</v>
      </c>
      <c r="O1187" s="347" t="s">
        <v>4441</v>
      </c>
      <c r="P1187" s="347"/>
      <c r="Q1187" s="347"/>
      <c r="R1187" s="347"/>
      <c r="S1187" s="348">
        <v>41984</v>
      </c>
      <c r="T1187" s="348">
        <v>41984</v>
      </c>
      <c r="U1187" s="347" t="s">
        <v>2776</v>
      </c>
      <c r="V1187" s="345">
        <v>500</v>
      </c>
      <c r="W1187" s="345">
        <v>14050</v>
      </c>
      <c r="X1187" s="349">
        <v>59251.040000000001</v>
      </c>
      <c r="Y1187" s="345">
        <v>14056</v>
      </c>
      <c r="Z1187" s="349">
        <v>59251.040000000001</v>
      </c>
      <c r="AA1187" s="349">
        <f t="shared" si="102"/>
        <v>0</v>
      </c>
      <c r="AB1187" s="349">
        <v>0</v>
      </c>
      <c r="AC1187" s="345">
        <v>54260</v>
      </c>
      <c r="AD1187" s="349">
        <v>0</v>
      </c>
      <c r="AE1187" s="345" t="s">
        <v>944</v>
      </c>
      <c r="AF1187" s="347"/>
      <c r="AG1187" s="347"/>
      <c r="AH1187" s="347" t="s">
        <v>57</v>
      </c>
      <c r="AI1187" s="347" t="s">
        <v>4442</v>
      </c>
      <c r="AJ1187" s="347" t="s">
        <v>4443</v>
      </c>
      <c r="AK1187" s="347" t="s">
        <v>4437</v>
      </c>
      <c r="AL1187" s="387">
        <v>45574</v>
      </c>
    </row>
    <row r="1188" spans="2:38" ht="15.75" outlineLevel="1">
      <c r="B1188" s="345">
        <v>2111</v>
      </c>
      <c r="C1188" s="346">
        <v>118290</v>
      </c>
      <c r="D1188" s="345" t="s">
        <v>944</v>
      </c>
      <c r="E1188" s="347" t="s">
        <v>4240</v>
      </c>
      <c r="F1188" s="343" t="s">
        <v>2777</v>
      </c>
      <c r="I1188" s="345">
        <v>1</v>
      </c>
      <c r="J1188" s="347"/>
      <c r="K1188" s="345">
        <v>0</v>
      </c>
      <c r="L1188" s="347" t="s">
        <v>2778</v>
      </c>
      <c r="M1188" s="347"/>
      <c r="N1188" s="347" t="s">
        <v>4451</v>
      </c>
      <c r="O1188" s="347" t="s">
        <v>4441</v>
      </c>
      <c r="P1188" s="347"/>
      <c r="Q1188" s="347"/>
      <c r="R1188" s="347"/>
      <c r="S1188" s="348">
        <v>41960</v>
      </c>
      <c r="T1188" s="348">
        <v>41960</v>
      </c>
      <c r="U1188" s="347" t="s">
        <v>2779</v>
      </c>
      <c r="V1188" s="345">
        <v>500</v>
      </c>
      <c r="W1188" s="345">
        <v>14070</v>
      </c>
      <c r="X1188" s="349">
        <v>46736.34</v>
      </c>
      <c r="Y1188" s="345">
        <v>14076</v>
      </c>
      <c r="Z1188" s="349">
        <v>46736.34</v>
      </c>
      <c r="AA1188" s="349">
        <f t="shared" si="102"/>
        <v>0</v>
      </c>
      <c r="AB1188" s="349">
        <v>0</v>
      </c>
      <c r="AC1188" s="345">
        <v>51260</v>
      </c>
      <c r="AD1188" s="349">
        <v>0</v>
      </c>
      <c r="AE1188" s="345" t="s">
        <v>944</v>
      </c>
      <c r="AF1188" s="347"/>
      <c r="AG1188" s="347"/>
      <c r="AH1188" s="347" t="s">
        <v>57</v>
      </c>
      <c r="AI1188" s="347" t="s">
        <v>4442</v>
      </c>
      <c r="AJ1188" s="347" t="s">
        <v>4443</v>
      </c>
      <c r="AK1188" s="347" t="s">
        <v>4437</v>
      </c>
      <c r="AL1188" s="387">
        <v>45574</v>
      </c>
    </row>
    <row r="1189" spans="2:38" ht="15.75" outlineLevel="1">
      <c r="B1189" s="345">
        <v>2111</v>
      </c>
      <c r="C1189" s="346">
        <v>118206</v>
      </c>
      <c r="D1189" s="345" t="s">
        <v>944</v>
      </c>
      <c r="E1189" s="347" t="s">
        <v>4240</v>
      </c>
      <c r="F1189" s="343" t="s">
        <v>2781</v>
      </c>
      <c r="I1189" s="345">
        <v>1</v>
      </c>
      <c r="J1189" s="347" t="s">
        <v>2782</v>
      </c>
      <c r="K1189" s="345">
        <v>2012</v>
      </c>
      <c r="L1189" s="347" t="s">
        <v>1483</v>
      </c>
      <c r="M1189" s="347" t="s">
        <v>2783</v>
      </c>
      <c r="N1189" s="347" t="s">
        <v>4445</v>
      </c>
      <c r="O1189" s="347" t="s">
        <v>4441</v>
      </c>
      <c r="P1189" s="347" t="s">
        <v>1004</v>
      </c>
      <c r="Q1189" s="347"/>
      <c r="R1189" s="347"/>
      <c r="S1189" s="348">
        <v>41548</v>
      </c>
      <c r="T1189" s="348">
        <v>41548</v>
      </c>
      <c r="U1189" s="347" t="s">
        <v>2784</v>
      </c>
      <c r="V1189" s="345">
        <v>800</v>
      </c>
      <c r="W1189" s="345">
        <v>14040</v>
      </c>
      <c r="X1189" s="349">
        <v>181166.14</v>
      </c>
      <c r="Y1189" s="345">
        <v>14046</v>
      </c>
      <c r="Z1189" s="349">
        <v>181166.14</v>
      </c>
      <c r="AA1189" s="349">
        <f t="shared" ref="AA1189:AA1252" si="103">+X1189-Z1189</f>
        <v>0</v>
      </c>
      <c r="AB1189" s="349">
        <v>0</v>
      </c>
      <c r="AC1189" s="345">
        <v>51260</v>
      </c>
      <c r="AD1189" s="349">
        <v>0</v>
      </c>
      <c r="AE1189" s="345" t="s">
        <v>944</v>
      </c>
      <c r="AF1189" s="347"/>
      <c r="AG1189" s="347">
        <v>422</v>
      </c>
      <c r="AH1189" s="347" t="s">
        <v>57</v>
      </c>
      <c r="AI1189" s="347" t="s">
        <v>4442</v>
      </c>
      <c r="AJ1189" s="347" t="s">
        <v>4443</v>
      </c>
      <c r="AK1189" s="347" t="s">
        <v>4437</v>
      </c>
      <c r="AL1189" s="387">
        <v>45574</v>
      </c>
    </row>
    <row r="1190" spans="2:38" ht="15.75" outlineLevel="1">
      <c r="B1190" s="345">
        <v>2111</v>
      </c>
      <c r="C1190" s="346">
        <v>117607</v>
      </c>
      <c r="D1190" s="345" t="s">
        <v>944</v>
      </c>
      <c r="E1190" s="347" t="s">
        <v>4240</v>
      </c>
      <c r="F1190" s="343" t="s">
        <v>2785</v>
      </c>
      <c r="I1190" s="345">
        <v>1</v>
      </c>
      <c r="J1190" s="347" t="s">
        <v>2786</v>
      </c>
      <c r="K1190" s="345">
        <v>2014</v>
      </c>
      <c r="L1190" s="347" t="s">
        <v>2787</v>
      </c>
      <c r="M1190" s="347" t="s">
        <v>2788</v>
      </c>
      <c r="N1190" s="347" t="s">
        <v>4445</v>
      </c>
      <c r="O1190" s="347" t="s">
        <v>4441</v>
      </c>
      <c r="P1190" s="347" t="s">
        <v>4497</v>
      </c>
      <c r="Q1190" s="347"/>
      <c r="R1190" s="347"/>
      <c r="S1190" s="348">
        <v>41961</v>
      </c>
      <c r="T1190" s="348">
        <v>41961</v>
      </c>
      <c r="U1190" s="347" t="s">
        <v>2789</v>
      </c>
      <c r="V1190" s="345">
        <v>600</v>
      </c>
      <c r="W1190" s="345">
        <v>14040</v>
      </c>
      <c r="X1190" s="349">
        <v>6499.27</v>
      </c>
      <c r="Y1190" s="345">
        <v>14046</v>
      </c>
      <c r="Z1190" s="349">
        <v>6499.27</v>
      </c>
      <c r="AA1190" s="349">
        <f t="shared" si="103"/>
        <v>0</v>
      </c>
      <c r="AB1190" s="349">
        <v>0</v>
      </c>
      <c r="AC1190" s="345">
        <v>51260</v>
      </c>
      <c r="AD1190" s="349">
        <v>0</v>
      </c>
      <c r="AE1190" s="345" t="s">
        <v>944</v>
      </c>
      <c r="AF1190" s="347">
        <v>0</v>
      </c>
      <c r="AG1190" s="347" t="s">
        <v>2790</v>
      </c>
      <c r="AH1190" s="347" t="s">
        <v>57</v>
      </c>
      <c r="AI1190" s="347" t="s">
        <v>4442</v>
      </c>
      <c r="AJ1190" s="347" t="s">
        <v>4443</v>
      </c>
      <c r="AK1190" s="347" t="s">
        <v>4437</v>
      </c>
      <c r="AL1190" s="387">
        <v>45574</v>
      </c>
    </row>
    <row r="1191" spans="2:38" ht="15.75" outlineLevel="1">
      <c r="B1191" s="345">
        <v>2111</v>
      </c>
      <c r="C1191" s="346">
        <v>117196</v>
      </c>
      <c r="D1191" s="345">
        <v>109566</v>
      </c>
      <c r="E1191" s="347" t="s">
        <v>4240</v>
      </c>
      <c r="F1191" s="343" t="s">
        <v>2791</v>
      </c>
      <c r="I1191" s="345">
        <v>1</v>
      </c>
      <c r="J1191" s="347"/>
      <c r="K1191" s="345">
        <v>0</v>
      </c>
      <c r="L1191" s="347"/>
      <c r="M1191" s="347"/>
      <c r="N1191" s="347" t="s">
        <v>4452</v>
      </c>
      <c r="O1191" s="347" t="s">
        <v>4441</v>
      </c>
      <c r="P1191" s="347"/>
      <c r="Q1191" s="347"/>
      <c r="R1191" s="347"/>
      <c r="S1191" s="348">
        <v>41609</v>
      </c>
      <c r="T1191" s="348">
        <v>41609</v>
      </c>
      <c r="U1191" s="347" t="s">
        <v>2792</v>
      </c>
      <c r="V1191" s="345">
        <v>0</v>
      </c>
      <c r="W1191" s="345">
        <v>14080</v>
      </c>
      <c r="X1191" s="349">
        <v>0</v>
      </c>
      <c r="Y1191" s="345">
        <v>14086</v>
      </c>
      <c r="Z1191" s="349">
        <v>0</v>
      </c>
      <c r="AA1191" s="349">
        <f t="shared" si="103"/>
        <v>0</v>
      </c>
      <c r="AB1191" s="349">
        <v>0</v>
      </c>
      <c r="AC1191" s="345">
        <v>57260</v>
      </c>
      <c r="AD1191" s="349">
        <v>0</v>
      </c>
      <c r="AE1191" s="345" t="s">
        <v>944</v>
      </c>
      <c r="AF1191" s="347"/>
      <c r="AG1191" s="347"/>
      <c r="AH1191" s="347" t="s">
        <v>57</v>
      </c>
      <c r="AI1191" s="347" t="s">
        <v>4442</v>
      </c>
      <c r="AJ1191" s="347" t="s">
        <v>1660</v>
      </c>
      <c r="AK1191" s="347" t="s">
        <v>4437</v>
      </c>
      <c r="AL1191" s="387">
        <v>45574</v>
      </c>
    </row>
    <row r="1192" spans="2:38" ht="15.75" outlineLevel="1">
      <c r="B1192" s="345">
        <v>2111</v>
      </c>
      <c r="C1192" s="346">
        <v>117195</v>
      </c>
      <c r="D1192" s="345">
        <v>109566</v>
      </c>
      <c r="E1192" s="347" t="s">
        <v>4240</v>
      </c>
      <c r="F1192" s="343" t="s">
        <v>2793</v>
      </c>
      <c r="I1192" s="345">
        <v>1</v>
      </c>
      <c r="J1192" s="347"/>
      <c r="K1192" s="345">
        <v>0</v>
      </c>
      <c r="L1192" s="347"/>
      <c r="M1192" s="347"/>
      <c r="N1192" s="347" t="s">
        <v>4452</v>
      </c>
      <c r="O1192" s="347" t="s">
        <v>4441</v>
      </c>
      <c r="P1192" s="347"/>
      <c r="Q1192" s="347"/>
      <c r="R1192" s="347"/>
      <c r="S1192" s="348">
        <v>41609</v>
      </c>
      <c r="T1192" s="348">
        <v>41609</v>
      </c>
      <c r="U1192" s="347" t="s">
        <v>2792</v>
      </c>
      <c r="V1192" s="345">
        <v>0</v>
      </c>
      <c r="W1192" s="345">
        <v>14080</v>
      </c>
      <c r="X1192" s="349">
        <v>0</v>
      </c>
      <c r="Y1192" s="345">
        <v>14086</v>
      </c>
      <c r="Z1192" s="349">
        <v>0</v>
      </c>
      <c r="AA1192" s="349">
        <f t="shared" si="103"/>
        <v>0</v>
      </c>
      <c r="AB1192" s="349">
        <v>0</v>
      </c>
      <c r="AC1192" s="345">
        <v>57260</v>
      </c>
      <c r="AD1192" s="349">
        <v>0</v>
      </c>
      <c r="AE1192" s="345" t="s">
        <v>944</v>
      </c>
      <c r="AF1192" s="347"/>
      <c r="AG1192" s="347"/>
      <c r="AH1192" s="347" t="s">
        <v>57</v>
      </c>
      <c r="AI1192" s="347" t="s">
        <v>4442</v>
      </c>
      <c r="AJ1192" s="347" t="s">
        <v>1660</v>
      </c>
      <c r="AK1192" s="347" t="s">
        <v>4437</v>
      </c>
      <c r="AL1192" s="387">
        <v>45574</v>
      </c>
    </row>
    <row r="1193" spans="2:38" ht="15.75" outlineLevel="1">
      <c r="B1193" s="345">
        <v>2111</v>
      </c>
      <c r="C1193" s="346">
        <v>117194</v>
      </c>
      <c r="D1193" s="345">
        <v>109566</v>
      </c>
      <c r="E1193" s="347" t="s">
        <v>4240</v>
      </c>
      <c r="F1193" s="343" t="s">
        <v>2794</v>
      </c>
      <c r="I1193" s="345">
        <v>1</v>
      </c>
      <c r="J1193" s="347"/>
      <c r="K1193" s="345">
        <v>0</v>
      </c>
      <c r="L1193" s="347"/>
      <c r="M1193" s="347"/>
      <c r="N1193" s="347" t="s">
        <v>4452</v>
      </c>
      <c r="O1193" s="347" t="s">
        <v>4441</v>
      </c>
      <c r="P1193" s="347"/>
      <c r="Q1193" s="347"/>
      <c r="R1193" s="347"/>
      <c r="S1193" s="348">
        <v>41609</v>
      </c>
      <c r="T1193" s="348">
        <v>41609</v>
      </c>
      <c r="U1193" s="347" t="s">
        <v>2792</v>
      </c>
      <c r="V1193" s="345">
        <v>0</v>
      </c>
      <c r="W1193" s="345">
        <v>14080</v>
      </c>
      <c r="X1193" s="349">
        <v>0</v>
      </c>
      <c r="Y1193" s="345">
        <v>14086</v>
      </c>
      <c r="Z1193" s="349">
        <v>0</v>
      </c>
      <c r="AA1193" s="349">
        <f t="shared" si="103"/>
        <v>0</v>
      </c>
      <c r="AB1193" s="349">
        <v>0</v>
      </c>
      <c r="AC1193" s="345">
        <v>57260</v>
      </c>
      <c r="AD1193" s="349">
        <v>0</v>
      </c>
      <c r="AE1193" s="345" t="s">
        <v>944</v>
      </c>
      <c r="AF1193" s="347"/>
      <c r="AG1193" s="347"/>
      <c r="AH1193" s="347" t="s">
        <v>57</v>
      </c>
      <c r="AI1193" s="347" t="s">
        <v>4442</v>
      </c>
      <c r="AJ1193" s="347" t="s">
        <v>1660</v>
      </c>
      <c r="AK1193" s="347" t="s">
        <v>4437</v>
      </c>
      <c r="AL1193" s="387">
        <v>45574</v>
      </c>
    </row>
    <row r="1194" spans="2:38" ht="15.75" outlineLevel="1">
      <c r="B1194" s="345">
        <v>2111</v>
      </c>
      <c r="C1194" s="346">
        <v>117193</v>
      </c>
      <c r="D1194" s="345">
        <v>109566</v>
      </c>
      <c r="E1194" s="347" t="s">
        <v>4240</v>
      </c>
      <c r="F1194" s="343" t="s">
        <v>2795</v>
      </c>
      <c r="I1194" s="345">
        <v>1</v>
      </c>
      <c r="J1194" s="347"/>
      <c r="K1194" s="345">
        <v>0</v>
      </c>
      <c r="L1194" s="347"/>
      <c r="M1194" s="347"/>
      <c r="N1194" s="347" t="s">
        <v>4452</v>
      </c>
      <c r="O1194" s="347" t="s">
        <v>4441</v>
      </c>
      <c r="P1194" s="347"/>
      <c r="Q1194" s="347"/>
      <c r="R1194" s="347"/>
      <c r="S1194" s="348">
        <v>41609</v>
      </c>
      <c r="T1194" s="348">
        <v>41609</v>
      </c>
      <c r="U1194" s="347" t="s">
        <v>2792</v>
      </c>
      <c r="V1194" s="345">
        <v>0</v>
      </c>
      <c r="W1194" s="345">
        <v>14080</v>
      </c>
      <c r="X1194" s="349">
        <v>0</v>
      </c>
      <c r="Y1194" s="345">
        <v>14086</v>
      </c>
      <c r="Z1194" s="349">
        <v>0</v>
      </c>
      <c r="AA1194" s="349">
        <f t="shared" si="103"/>
        <v>0</v>
      </c>
      <c r="AB1194" s="349">
        <v>0</v>
      </c>
      <c r="AC1194" s="345">
        <v>57260</v>
      </c>
      <c r="AD1194" s="349">
        <v>0</v>
      </c>
      <c r="AE1194" s="345" t="s">
        <v>944</v>
      </c>
      <c r="AF1194" s="347"/>
      <c r="AG1194" s="347"/>
      <c r="AH1194" s="347" t="s">
        <v>57</v>
      </c>
      <c r="AI1194" s="347" t="s">
        <v>4442</v>
      </c>
      <c r="AJ1194" s="347" t="s">
        <v>1660</v>
      </c>
      <c r="AK1194" s="347" t="s">
        <v>4437</v>
      </c>
      <c r="AL1194" s="387">
        <v>45574</v>
      </c>
    </row>
    <row r="1195" spans="2:38" ht="15.75" outlineLevel="1">
      <c r="B1195" s="345">
        <v>2111</v>
      </c>
      <c r="C1195" s="346">
        <v>117192</v>
      </c>
      <c r="D1195" s="345">
        <v>109566</v>
      </c>
      <c r="E1195" s="347" t="s">
        <v>4240</v>
      </c>
      <c r="F1195" s="343" t="s">
        <v>2796</v>
      </c>
      <c r="I1195" s="345">
        <v>1</v>
      </c>
      <c r="J1195" s="347"/>
      <c r="K1195" s="345">
        <v>0</v>
      </c>
      <c r="L1195" s="347"/>
      <c r="M1195" s="347"/>
      <c r="N1195" s="347" t="s">
        <v>4452</v>
      </c>
      <c r="O1195" s="347" t="s">
        <v>4441</v>
      </c>
      <c r="P1195" s="347"/>
      <c r="Q1195" s="347"/>
      <c r="R1195" s="347"/>
      <c r="S1195" s="348">
        <v>41609</v>
      </c>
      <c r="T1195" s="348">
        <v>41609</v>
      </c>
      <c r="U1195" s="347" t="s">
        <v>2792</v>
      </c>
      <c r="V1195" s="345">
        <v>0</v>
      </c>
      <c r="W1195" s="345">
        <v>14080</v>
      </c>
      <c r="X1195" s="349">
        <v>0</v>
      </c>
      <c r="Y1195" s="345">
        <v>14086</v>
      </c>
      <c r="Z1195" s="349">
        <v>0</v>
      </c>
      <c r="AA1195" s="349">
        <f t="shared" si="103"/>
        <v>0</v>
      </c>
      <c r="AB1195" s="349">
        <v>0</v>
      </c>
      <c r="AC1195" s="345">
        <v>57260</v>
      </c>
      <c r="AD1195" s="349">
        <v>0</v>
      </c>
      <c r="AE1195" s="345" t="s">
        <v>944</v>
      </c>
      <c r="AF1195" s="347"/>
      <c r="AG1195" s="347"/>
      <c r="AH1195" s="347" t="s">
        <v>57</v>
      </c>
      <c r="AI1195" s="347" t="s">
        <v>4442</v>
      </c>
      <c r="AJ1195" s="347" t="s">
        <v>1660</v>
      </c>
      <c r="AK1195" s="347" t="s">
        <v>4437</v>
      </c>
      <c r="AL1195" s="387">
        <v>45574</v>
      </c>
    </row>
    <row r="1196" spans="2:38" ht="15.75" outlineLevel="1">
      <c r="B1196" s="345">
        <v>2111</v>
      </c>
      <c r="C1196" s="346">
        <v>116566</v>
      </c>
      <c r="D1196" s="345" t="s">
        <v>944</v>
      </c>
      <c r="E1196" s="347" t="s">
        <v>4240</v>
      </c>
      <c r="F1196" s="343" t="s">
        <v>1243</v>
      </c>
      <c r="I1196" s="345">
        <v>1</v>
      </c>
      <c r="J1196" s="347" t="s">
        <v>2797</v>
      </c>
      <c r="K1196" s="345">
        <v>2015</v>
      </c>
      <c r="L1196" s="347" t="s">
        <v>1483</v>
      </c>
      <c r="M1196" s="347" t="s">
        <v>2798</v>
      </c>
      <c r="N1196" s="347" t="s">
        <v>4445</v>
      </c>
      <c r="O1196" s="347" t="s">
        <v>4441</v>
      </c>
      <c r="P1196" s="347" t="s">
        <v>4482</v>
      </c>
      <c r="Q1196" s="347"/>
      <c r="R1196" s="347"/>
      <c r="S1196" s="348">
        <v>41942</v>
      </c>
      <c r="T1196" s="348">
        <v>41942</v>
      </c>
      <c r="U1196" s="347" t="s">
        <v>2799</v>
      </c>
      <c r="V1196" s="345">
        <v>1000</v>
      </c>
      <c r="W1196" s="345">
        <v>14040</v>
      </c>
      <c r="X1196" s="349">
        <v>325033.65999999997</v>
      </c>
      <c r="Y1196" s="345">
        <v>14046</v>
      </c>
      <c r="Z1196" s="349">
        <v>322324.96000000002</v>
      </c>
      <c r="AA1196" s="349">
        <f t="shared" si="103"/>
        <v>2708.6999999999534</v>
      </c>
      <c r="AB1196" s="349">
        <v>24377.49</v>
      </c>
      <c r="AC1196" s="345">
        <v>51260</v>
      </c>
      <c r="AD1196" s="349">
        <v>2708.61</v>
      </c>
      <c r="AE1196" s="345" t="s">
        <v>944</v>
      </c>
      <c r="AF1196" s="347"/>
      <c r="AG1196" s="347">
        <v>826</v>
      </c>
      <c r="AH1196" s="347" t="s">
        <v>57</v>
      </c>
      <c r="AI1196" s="347" t="s">
        <v>4442</v>
      </c>
      <c r="AJ1196" s="347" t="s">
        <v>4443</v>
      </c>
      <c r="AK1196" s="347" t="s">
        <v>4437</v>
      </c>
      <c r="AL1196" s="387">
        <v>45574</v>
      </c>
    </row>
    <row r="1197" spans="2:38" ht="15.75" outlineLevel="1">
      <c r="B1197" s="345">
        <v>2111</v>
      </c>
      <c r="C1197" s="346">
        <v>116095</v>
      </c>
      <c r="D1197" s="345" t="s">
        <v>944</v>
      </c>
      <c r="E1197" s="347" t="s">
        <v>4240</v>
      </c>
      <c r="F1197" s="343" t="s">
        <v>2800</v>
      </c>
      <c r="I1197" s="345">
        <v>624</v>
      </c>
      <c r="J1197" s="347"/>
      <c r="K1197" s="345">
        <v>0</v>
      </c>
      <c r="L1197" s="347" t="s">
        <v>2342</v>
      </c>
      <c r="M1197" s="347"/>
      <c r="N1197" s="347" t="s">
        <v>4446</v>
      </c>
      <c r="O1197" s="347" t="s">
        <v>4441</v>
      </c>
      <c r="P1197" s="347"/>
      <c r="Q1197" s="347"/>
      <c r="R1197" s="347"/>
      <c r="S1197" s="348">
        <v>41906</v>
      </c>
      <c r="T1197" s="348">
        <v>41906</v>
      </c>
      <c r="U1197" s="347" t="s">
        <v>2801</v>
      </c>
      <c r="V1197" s="345">
        <v>700</v>
      </c>
      <c r="W1197" s="345">
        <v>14050</v>
      </c>
      <c r="X1197" s="349">
        <v>37546.959999999999</v>
      </c>
      <c r="Y1197" s="345">
        <v>14056</v>
      </c>
      <c r="Z1197" s="349">
        <v>37546.959999999999</v>
      </c>
      <c r="AA1197" s="349">
        <f t="shared" si="103"/>
        <v>0</v>
      </c>
      <c r="AB1197" s="349">
        <v>0</v>
      </c>
      <c r="AC1197" s="345">
        <v>54260</v>
      </c>
      <c r="AD1197" s="349">
        <v>0</v>
      </c>
      <c r="AE1197" s="345" t="s">
        <v>944</v>
      </c>
      <c r="AF1197" s="347"/>
      <c r="AG1197" s="347"/>
      <c r="AH1197" s="347" t="s">
        <v>57</v>
      </c>
      <c r="AI1197" s="347" t="s">
        <v>4442</v>
      </c>
      <c r="AJ1197" s="347" t="s">
        <v>4443</v>
      </c>
      <c r="AK1197" s="347" t="s">
        <v>4437</v>
      </c>
      <c r="AL1197" s="387">
        <v>45574</v>
      </c>
    </row>
    <row r="1198" spans="2:38" ht="15.75" outlineLevel="1">
      <c r="B1198" s="345">
        <v>2111</v>
      </c>
      <c r="C1198" s="346">
        <v>115434</v>
      </c>
      <c r="D1198" s="345" t="s">
        <v>944</v>
      </c>
      <c r="E1198" s="347" t="s">
        <v>4240</v>
      </c>
      <c r="F1198" s="343" t="s">
        <v>2803</v>
      </c>
      <c r="I1198" s="345">
        <v>1</v>
      </c>
      <c r="J1198" s="347" t="s">
        <v>2804</v>
      </c>
      <c r="K1198" s="345">
        <v>1994</v>
      </c>
      <c r="L1198" s="347" t="s">
        <v>2214</v>
      </c>
      <c r="M1198" s="347" t="s">
        <v>2805</v>
      </c>
      <c r="N1198" s="347" t="s">
        <v>4445</v>
      </c>
      <c r="O1198" s="347" t="s">
        <v>4441</v>
      </c>
      <c r="P1198" s="347" t="s">
        <v>1575</v>
      </c>
      <c r="Q1198" s="347"/>
      <c r="R1198" s="347"/>
      <c r="S1198" s="348">
        <v>39755</v>
      </c>
      <c r="T1198" s="348">
        <v>39755</v>
      </c>
      <c r="U1198" s="347"/>
      <c r="V1198" s="345">
        <v>300</v>
      </c>
      <c r="W1198" s="345">
        <v>14040</v>
      </c>
      <c r="X1198" s="349">
        <v>2500</v>
      </c>
      <c r="Y1198" s="345">
        <v>14046</v>
      </c>
      <c r="Z1198" s="349">
        <v>2500</v>
      </c>
      <c r="AA1198" s="349">
        <f t="shared" si="103"/>
        <v>0</v>
      </c>
      <c r="AB1198" s="349">
        <v>0</v>
      </c>
      <c r="AC1198" s="345">
        <v>51260</v>
      </c>
      <c r="AD1198" s="349">
        <v>0</v>
      </c>
      <c r="AE1198" s="345" t="s">
        <v>410</v>
      </c>
      <c r="AF1198" s="347" t="s">
        <v>1828</v>
      </c>
      <c r="AG1198" s="347" t="s">
        <v>350</v>
      </c>
      <c r="AH1198" s="347" t="s">
        <v>57</v>
      </c>
      <c r="AI1198" s="347" t="s">
        <v>4442</v>
      </c>
      <c r="AJ1198" s="347" t="s">
        <v>4443</v>
      </c>
      <c r="AK1198" s="347" t="s">
        <v>4437</v>
      </c>
      <c r="AL1198" s="387">
        <v>45574</v>
      </c>
    </row>
    <row r="1199" spans="2:38" ht="15.75" outlineLevel="1">
      <c r="B1199" s="345">
        <v>2111</v>
      </c>
      <c r="C1199" s="346">
        <v>115362</v>
      </c>
      <c r="D1199" s="345" t="s">
        <v>944</v>
      </c>
      <c r="E1199" s="347" t="s">
        <v>4240</v>
      </c>
      <c r="F1199" s="343" t="s">
        <v>2806</v>
      </c>
      <c r="I1199" s="345">
        <v>1</v>
      </c>
      <c r="J1199" s="347"/>
      <c r="K1199" s="345">
        <v>0</v>
      </c>
      <c r="L1199" s="347" t="s">
        <v>2257</v>
      </c>
      <c r="M1199" s="347"/>
      <c r="N1199" s="347" t="s">
        <v>4446</v>
      </c>
      <c r="O1199" s="347" t="s">
        <v>4441</v>
      </c>
      <c r="P1199" s="347"/>
      <c r="Q1199" s="347" t="s">
        <v>4447</v>
      </c>
      <c r="R1199" s="347" t="s">
        <v>4448</v>
      </c>
      <c r="S1199" s="348">
        <v>41864</v>
      </c>
      <c r="T1199" s="348">
        <v>41864</v>
      </c>
      <c r="U1199" s="347" t="s">
        <v>2807</v>
      </c>
      <c r="V1199" s="345">
        <v>1200</v>
      </c>
      <c r="W1199" s="345">
        <v>14050</v>
      </c>
      <c r="X1199" s="349">
        <v>6969.68</v>
      </c>
      <c r="Y1199" s="345">
        <v>14056</v>
      </c>
      <c r="Z1199" s="349">
        <v>5904.89</v>
      </c>
      <c r="AA1199" s="349">
        <f t="shared" si="103"/>
        <v>1064.79</v>
      </c>
      <c r="AB1199" s="349">
        <v>435.6</v>
      </c>
      <c r="AC1199" s="345">
        <v>54260</v>
      </c>
      <c r="AD1199" s="349">
        <v>48.4</v>
      </c>
      <c r="AE1199" s="345" t="s">
        <v>944</v>
      </c>
      <c r="AF1199" s="347"/>
      <c r="AG1199" s="347"/>
      <c r="AH1199" s="347" t="s">
        <v>57</v>
      </c>
      <c r="AI1199" s="347" t="s">
        <v>4442</v>
      </c>
      <c r="AJ1199" s="347" t="s">
        <v>4443</v>
      </c>
      <c r="AK1199" s="347" t="s">
        <v>4437</v>
      </c>
      <c r="AL1199" s="387">
        <v>45574</v>
      </c>
    </row>
    <row r="1200" spans="2:38" ht="15.75" outlineLevel="1">
      <c r="B1200" s="345">
        <v>2111</v>
      </c>
      <c r="C1200" s="346">
        <v>115361</v>
      </c>
      <c r="D1200" s="345" t="s">
        <v>944</v>
      </c>
      <c r="E1200" s="347" t="s">
        <v>4240</v>
      </c>
      <c r="F1200" s="343" t="s">
        <v>2806</v>
      </c>
      <c r="I1200" s="345">
        <v>1</v>
      </c>
      <c r="J1200" s="347"/>
      <c r="K1200" s="345">
        <v>0</v>
      </c>
      <c r="L1200" s="347" t="s">
        <v>2257</v>
      </c>
      <c r="M1200" s="347"/>
      <c r="N1200" s="347" t="s">
        <v>4446</v>
      </c>
      <c r="O1200" s="347" t="s">
        <v>4441</v>
      </c>
      <c r="P1200" s="347"/>
      <c r="Q1200" s="347" t="s">
        <v>4447</v>
      </c>
      <c r="R1200" s="347" t="s">
        <v>4448</v>
      </c>
      <c r="S1200" s="348">
        <v>41876</v>
      </c>
      <c r="T1200" s="348">
        <v>41876</v>
      </c>
      <c r="U1200" s="347" t="s">
        <v>2807</v>
      </c>
      <c r="V1200" s="345">
        <v>1200</v>
      </c>
      <c r="W1200" s="345">
        <v>14050</v>
      </c>
      <c r="X1200" s="349">
        <v>6969.68</v>
      </c>
      <c r="Y1200" s="345">
        <v>14056</v>
      </c>
      <c r="Z1200" s="349">
        <v>5856.49</v>
      </c>
      <c r="AA1200" s="349">
        <f t="shared" si="103"/>
        <v>1113.1900000000005</v>
      </c>
      <c r="AB1200" s="349">
        <v>435.6</v>
      </c>
      <c r="AC1200" s="345">
        <v>54260</v>
      </c>
      <c r="AD1200" s="349">
        <v>48.4</v>
      </c>
      <c r="AE1200" s="345" t="s">
        <v>944</v>
      </c>
      <c r="AF1200" s="347"/>
      <c r="AG1200" s="347"/>
      <c r="AH1200" s="347" t="s">
        <v>57</v>
      </c>
      <c r="AI1200" s="347" t="s">
        <v>4442</v>
      </c>
      <c r="AJ1200" s="347" t="s">
        <v>4443</v>
      </c>
      <c r="AK1200" s="347" t="s">
        <v>4437</v>
      </c>
      <c r="AL1200" s="387">
        <v>45574</v>
      </c>
    </row>
    <row r="1201" spans="2:38" ht="15.75" outlineLevel="1">
      <c r="B1201" s="345">
        <v>2111</v>
      </c>
      <c r="C1201" s="346">
        <v>115352</v>
      </c>
      <c r="D1201" s="345">
        <v>19647</v>
      </c>
      <c r="E1201" s="347" t="s">
        <v>4240</v>
      </c>
      <c r="F1201" s="343" t="s">
        <v>2808</v>
      </c>
      <c r="I1201" s="345">
        <v>1</v>
      </c>
      <c r="J1201" s="347"/>
      <c r="K1201" s="345">
        <v>0</v>
      </c>
      <c r="L1201" s="347" t="s">
        <v>2809</v>
      </c>
      <c r="M1201" s="347"/>
      <c r="N1201" s="347" t="s">
        <v>4445</v>
      </c>
      <c r="O1201" s="347" t="s">
        <v>4441</v>
      </c>
      <c r="P1201" s="347" t="s">
        <v>1467</v>
      </c>
      <c r="Q1201" s="347"/>
      <c r="R1201" s="347"/>
      <c r="S1201" s="348">
        <v>41843</v>
      </c>
      <c r="T1201" s="348">
        <v>41843</v>
      </c>
      <c r="U1201" s="347" t="s">
        <v>2810</v>
      </c>
      <c r="V1201" s="345">
        <v>300</v>
      </c>
      <c r="W1201" s="345">
        <v>14040</v>
      </c>
      <c r="X1201" s="349">
        <v>8754.92</v>
      </c>
      <c r="Y1201" s="345">
        <v>14046</v>
      </c>
      <c r="Z1201" s="349">
        <v>8754.92</v>
      </c>
      <c r="AA1201" s="349">
        <f t="shared" si="103"/>
        <v>0</v>
      </c>
      <c r="AB1201" s="349">
        <v>0</v>
      </c>
      <c r="AC1201" s="345">
        <v>51260</v>
      </c>
      <c r="AD1201" s="349">
        <v>0</v>
      </c>
      <c r="AE1201" s="345" t="s">
        <v>944</v>
      </c>
      <c r="AF1201" s="347"/>
      <c r="AG1201" s="347"/>
      <c r="AH1201" s="347" t="s">
        <v>57</v>
      </c>
      <c r="AI1201" s="347" t="s">
        <v>4442</v>
      </c>
      <c r="AJ1201" s="347" t="s">
        <v>4443</v>
      </c>
      <c r="AK1201" s="347" t="s">
        <v>4437</v>
      </c>
      <c r="AL1201" s="387">
        <v>45574</v>
      </c>
    </row>
    <row r="1202" spans="2:38" ht="15.75" outlineLevel="1">
      <c r="B1202" s="345">
        <v>2111</v>
      </c>
      <c r="C1202" s="346">
        <v>115031</v>
      </c>
      <c r="D1202" s="345" t="s">
        <v>944</v>
      </c>
      <c r="E1202" s="347" t="s">
        <v>4240</v>
      </c>
      <c r="F1202" s="343" t="s">
        <v>852</v>
      </c>
      <c r="I1202" s="345">
        <v>486</v>
      </c>
      <c r="J1202" s="347"/>
      <c r="K1202" s="345">
        <v>0</v>
      </c>
      <c r="L1202" s="347" t="s">
        <v>2245</v>
      </c>
      <c r="M1202" s="347"/>
      <c r="N1202" s="347" t="s">
        <v>4446</v>
      </c>
      <c r="O1202" s="347" t="s">
        <v>4441</v>
      </c>
      <c r="P1202" s="347"/>
      <c r="Q1202" s="347"/>
      <c r="R1202" s="347"/>
      <c r="S1202" s="348">
        <v>41835</v>
      </c>
      <c r="T1202" s="348">
        <v>41835</v>
      </c>
      <c r="U1202" s="347" t="s">
        <v>2812</v>
      </c>
      <c r="V1202" s="345">
        <v>700</v>
      </c>
      <c r="W1202" s="345">
        <v>14050</v>
      </c>
      <c r="X1202" s="349">
        <v>28330.85</v>
      </c>
      <c r="Y1202" s="345">
        <v>14056</v>
      </c>
      <c r="Z1202" s="349">
        <v>28330.85</v>
      </c>
      <c r="AA1202" s="349">
        <f t="shared" si="103"/>
        <v>0</v>
      </c>
      <c r="AB1202" s="349">
        <v>0</v>
      </c>
      <c r="AC1202" s="345">
        <v>54260</v>
      </c>
      <c r="AD1202" s="349">
        <v>0</v>
      </c>
      <c r="AE1202" s="345" t="s">
        <v>944</v>
      </c>
      <c r="AF1202" s="347"/>
      <c r="AG1202" s="347"/>
      <c r="AH1202" s="347" t="s">
        <v>57</v>
      </c>
      <c r="AI1202" s="347" t="s">
        <v>4442</v>
      </c>
      <c r="AJ1202" s="347" t="s">
        <v>4443</v>
      </c>
      <c r="AK1202" s="347" t="s">
        <v>4437</v>
      </c>
      <c r="AL1202" s="387">
        <v>45574</v>
      </c>
    </row>
    <row r="1203" spans="2:38" ht="15.75" outlineLevel="1">
      <c r="B1203" s="345">
        <v>2111</v>
      </c>
      <c r="C1203" s="346">
        <v>114877</v>
      </c>
      <c r="D1203" s="345" t="s">
        <v>944</v>
      </c>
      <c r="E1203" s="347" t="s">
        <v>4240</v>
      </c>
      <c r="F1203" s="343" t="s">
        <v>4495</v>
      </c>
      <c r="I1203" s="345">
        <v>1</v>
      </c>
      <c r="J1203" s="347" t="s">
        <v>4496</v>
      </c>
      <c r="K1203" s="345">
        <v>2002</v>
      </c>
      <c r="L1203" s="347" t="s">
        <v>2325</v>
      </c>
      <c r="M1203" s="347" t="s">
        <v>2326</v>
      </c>
      <c r="N1203" s="347" t="s">
        <v>4445</v>
      </c>
      <c r="O1203" s="347" t="s">
        <v>4441</v>
      </c>
      <c r="P1203" s="347" t="s">
        <v>4478</v>
      </c>
      <c r="Q1203" s="347"/>
      <c r="R1203" s="347"/>
      <c r="S1203" s="348">
        <v>38243</v>
      </c>
      <c r="T1203" s="348">
        <v>38243</v>
      </c>
      <c r="U1203" s="347">
        <v>42160003</v>
      </c>
      <c r="V1203" s="345">
        <v>300</v>
      </c>
      <c r="W1203" s="345">
        <v>14040</v>
      </c>
      <c r="X1203" s="349">
        <v>19000</v>
      </c>
      <c r="Y1203" s="345">
        <v>14046</v>
      </c>
      <c r="Z1203" s="349">
        <v>19000</v>
      </c>
      <c r="AA1203" s="349">
        <f t="shared" si="103"/>
        <v>0</v>
      </c>
      <c r="AB1203" s="349">
        <v>0</v>
      </c>
      <c r="AC1203" s="345">
        <v>51260</v>
      </c>
      <c r="AD1203" s="349">
        <v>0</v>
      </c>
      <c r="AE1203" s="345" t="s">
        <v>944</v>
      </c>
      <c r="AF1203" s="347">
        <v>0</v>
      </c>
      <c r="AG1203" s="347">
        <v>8</v>
      </c>
      <c r="AH1203" s="347" t="s">
        <v>57</v>
      </c>
      <c r="AI1203" s="347" t="s">
        <v>4442</v>
      </c>
      <c r="AJ1203" s="347" t="s">
        <v>4443</v>
      </c>
      <c r="AK1203" s="347" t="s">
        <v>4437</v>
      </c>
      <c r="AL1203" s="387">
        <v>45574</v>
      </c>
    </row>
    <row r="1204" spans="2:38" ht="15.75" outlineLevel="1">
      <c r="B1204" s="345">
        <v>2111</v>
      </c>
      <c r="C1204" s="346">
        <v>113987</v>
      </c>
      <c r="D1204" s="345" t="s">
        <v>944</v>
      </c>
      <c r="E1204" s="347" t="s">
        <v>4240</v>
      </c>
      <c r="F1204" s="343" t="s">
        <v>2814</v>
      </c>
      <c r="I1204" s="345">
        <v>1</v>
      </c>
      <c r="J1204" s="347"/>
      <c r="K1204" s="345">
        <v>0</v>
      </c>
      <c r="L1204" s="347" t="s">
        <v>2815</v>
      </c>
      <c r="M1204" s="347"/>
      <c r="N1204" s="347" t="s">
        <v>4451</v>
      </c>
      <c r="O1204" s="347" t="s">
        <v>4441</v>
      </c>
      <c r="P1204" s="347"/>
      <c r="Q1204" s="347"/>
      <c r="R1204" s="347"/>
      <c r="S1204" s="348">
        <v>41816</v>
      </c>
      <c r="T1204" s="348">
        <v>41816</v>
      </c>
      <c r="U1204" s="347" t="s">
        <v>2816</v>
      </c>
      <c r="V1204" s="345">
        <v>500</v>
      </c>
      <c r="W1204" s="345">
        <v>14070</v>
      </c>
      <c r="X1204" s="349">
        <v>10194.98</v>
      </c>
      <c r="Y1204" s="345">
        <v>14076</v>
      </c>
      <c r="Z1204" s="349">
        <v>10194.98</v>
      </c>
      <c r="AA1204" s="349">
        <f t="shared" si="103"/>
        <v>0</v>
      </c>
      <c r="AB1204" s="349">
        <v>0</v>
      </c>
      <c r="AC1204" s="345">
        <v>51260</v>
      </c>
      <c r="AD1204" s="349">
        <v>0</v>
      </c>
      <c r="AE1204" s="345" t="s">
        <v>944</v>
      </c>
      <c r="AF1204" s="347"/>
      <c r="AG1204" s="347"/>
      <c r="AH1204" s="347" t="s">
        <v>57</v>
      </c>
      <c r="AI1204" s="347" t="s">
        <v>4442</v>
      </c>
      <c r="AJ1204" s="347" t="s">
        <v>4443</v>
      </c>
      <c r="AK1204" s="347" t="s">
        <v>4437</v>
      </c>
      <c r="AL1204" s="387">
        <v>45574</v>
      </c>
    </row>
    <row r="1205" spans="2:38" ht="15.75" outlineLevel="1">
      <c r="B1205" s="345">
        <v>2111</v>
      </c>
      <c r="C1205" s="346">
        <v>113921</v>
      </c>
      <c r="D1205" s="345" t="s">
        <v>944</v>
      </c>
      <c r="E1205" s="347" t="s">
        <v>4240</v>
      </c>
      <c r="F1205" s="343" t="s">
        <v>2817</v>
      </c>
      <c r="I1205" s="345">
        <v>486</v>
      </c>
      <c r="J1205" s="347"/>
      <c r="K1205" s="345">
        <v>0</v>
      </c>
      <c r="L1205" s="347" t="s">
        <v>2245</v>
      </c>
      <c r="M1205" s="347"/>
      <c r="N1205" s="347" t="s">
        <v>4446</v>
      </c>
      <c r="O1205" s="347" t="s">
        <v>4441</v>
      </c>
      <c r="P1205" s="347"/>
      <c r="Q1205" s="347"/>
      <c r="R1205" s="347"/>
      <c r="S1205" s="348">
        <v>41813</v>
      </c>
      <c r="T1205" s="348">
        <v>41813</v>
      </c>
      <c r="U1205" s="347" t="s">
        <v>2818</v>
      </c>
      <c r="V1205" s="345">
        <v>700</v>
      </c>
      <c r="W1205" s="345">
        <v>14050</v>
      </c>
      <c r="X1205" s="349">
        <v>28330.85</v>
      </c>
      <c r="Y1205" s="345">
        <v>14056</v>
      </c>
      <c r="Z1205" s="349">
        <v>28330.85</v>
      </c>
      <c r="AA1205" s="349">
        <f t="shared" si="103"/>
        <v>0</v>
      </c>
      <c r="AB1205" s="349">
        <v>0</v>
      </c>
      <c r="AC1205" s="345">
        <v>54260</v>
      </c>
      <c r="AD1205" s="349">
        <v>0</v>
      </c>
      <c r="AE1205" s="345" t="s">
        <v>944</v>
      </c>
      <c r="AF1205" s="347"/>
      <c r="AG1205" s="347"/>
      <c r="AH1205" s="347" t="s">
        <v>57</v>
      </c>
      <c r="AI1205" s="347" t="s">
        <v>4442</v>
      </c>
      <c r="AJ1205" s="347" t="s">
        <v>4443</v>
      </c>
      <c r="AK1205" s="347" t="s">
        <v>4437</v>
      </c>
      <c r="AL1205" s="387">
        <v>45574</v>
      </c>
    </row>
    <row r="1206" spans="2:38" ht="15.75" outlineLevel="1">
      <c r="B1206" s="345">
        <v>2111</v>
      </c>
      <c r="C1206" s="346">
        <v>113725</v>
      </c>
      <c r="D1206" s="345" t="s">
        <v>944</v>
      </c>
      <c r="E1206" s="347" t="s">
        <v>4240</v>
      </c>
      <c r="F1206" s="343" t="s">
        <v>2820</v>
      </c>
      <c r="I1206" s="345">
        <v>1</v>
      </c>
      <c r="J1206" s="347"/>
      <c r="K1206" s="345">
        <v>0</v>
      </c>
      <c r="L1206" s="347" t="s">
        <v>2821</v>
      </c>
      <c r="M1206" s="347"/>
      <c r="N1206" s="347" t="s">
        <v>4440</v>
      </c>
      <c r="O1206" s="347" t="s">
        <v>4441</v>
      </c>
      <c r="P1206" s="347"/>
      <c r="Q1206" s="347"/>
      <c r="R1206" s="347"/>
      <c r="S1206" s="348">
        <v>40735</v>
      </c>
      <c r="T1206" s="348">
        <v>40735</v>
      </c>
      <c r="U1206" s="347" t="s">
        <v>2822</v>
      </c>
      <c r="V1206" s="345">
        <v>500</v>
      </c>
      <c r="W1206" s="345">
        <v>14110</v>
      </c>
      <c r="X1206" s="349">
        <v>2292.02</v>
      </c>
      <c r="Y1206" s="345">
        <v>14116</v>
      </c>
      <c r="Z1206" s="349">
        <v>2292.02</v>
      </c>
      <c r="AA1206" s="349">
        <f t="shared" si="103"/>
        <v>0</v>
      </c>
      <c r="AB1206" s="349">
        <v>0</v>
      </c>
      <c r="AC1206" s="345">
        <v>70260</v>
      </c>
      <c r="AD1206" s="349">
        <v>0</v>
      </c>
      <c r="AE1206" s="345" t="s">
        <v>944</v>
      </c>
      <c r="AF1206" s="347"/>
      <c r="AG1206" s="347"/>
      <c r="AH1206" s="347" t="s">
        <v>57</v>
      </c>
      <c r="AI1206" s="347" t="s">
        <v>4442</v>
      </c>
      <c r="AJ1206" s="347" t="s">
        <v>4443</v>
      </c>
      <c r="AK1206" s="347" t="s">
        <v>4437</v>
      </c>
      <c r="AL1206" s="387">
        <v>45574</v>
      </c>
    </row>
    <row r="1207" spans="2:38" ht="15.75" outlineLevel="1">
      <c r="B1207" s="345">
        <v>2111</v>
      </c>
      <c r="C1207" s="346">
        <v>113724</v>
      </c>
      <c r="D1207" s="345" t="s">
        <v>944</v>
      </c>
      <c r="E1207" s="347" t="s">
        <v>4240</v>
      </c>
      <c r="F1207" s="343" t="s">
        <v>2823</v>
      </c>
      <c r="I1207" s="345">
        <v>1</v>
      </c>
      <c r="J1207" s="347"/>
      <c r="K1207" s="345">
        <v>0</v>
      </c>
      <c r="L1207" s="347" t="s">
        <v>2821</v>
      </c>
      <c r="M1207" s="347"/>
      <c r="N1207" s="347" t="s">
        <v>4440</v>
      </c>
      <c r="O1207" s="347" t="s">
        <v>4441</v>
      </c>
      <c r="P1207" s="347"/>
      <c r="Q1207" s="347"/>
      <c r="R1207" s="347"/>
      <c r="S1207" s="348">
        <v>40735</v>
      </c>
      <c r="T1207" s="348">
        <v>40735</v>
      </c>
      <c r="U1207" s="347" t="s">
        <v>2822</v>
      </c>
      <c r="V1207" s="345">
        <v>300</v>
      </c>
      <c r="W1207" s="345">
        <v>14110</v>
      </c>
      <c r="X1207" s="349">
        <v>16910.03</v>
      </c>
      <c r="Y1207" s="345">
        <v>14116</v>
      </c>
      <c r="Z1207" s="349">
        <v>16910.03</v>
      </c>
      <c r="AA1207" s="349">
        <f t="shared" si="103"/>
        <v>0</v>
      </c>
      <c r="AB1207" s="349">
        <v>0</v>
      </c>
      <c r="AC1207" s="345">
        <v>70260</v>
      </c>
      <c r="AD1207" s="349">
        <v>0</v>
      </c>
      <c r="AE1207" s="345" t="s">
        <v>944</v>
      </c>
      <c r="AF1207" s="347"/>
      <c r="AG1207" s="347"/>
      <c r="AH1207" s="347" t="s">
        <v>57</v>
      </c>
      <c r="AI1207" s="347" t="s">
        <v>4442</v>
      </c>
      <c r="AJ1207" s="347" t="s">
        <v>4443</v>
      </c>
      <c r="AK1207" s="347" t="s">
        <v>4437</v>
      </c>
      <c r="AL1207" s="387">
        <v>45574</v>
      </c>
    </row>
    <row r="1208" spans="2:38" ht="15.75" outlineLevel="1">
      <c r="B1208" s="345">
        <v>2111</v>
      </c>
      <c r="C1208" s="346">
        <v>113265</v>
      </c>
      <c r="D1208" s="345" t="s">
        <v>944</v>
      </c>
      <c r="E1208" s="347" t="s">
        <v>4240</v>
      </c>
      <c r="F1208" s="343" t="s">
        <v>2824</v>
      </c>
      <c r="I1208" s="345">
        <v>8</v>
      </c>
      <c r="J1208" s="347"/>
      <c r="K1208" s="345">
        <v>0</v>
      </c>
      <c r="L1208" s="347" t="s">
        <v>1657</v>
      </c>
      <c r="M1208" s="347"/>
      <c r="N1208" s="347" t="s">
        <v>4440</v>
      </c>
      <c r="O1208" s="347" t="s">
        <v>4441</v>
      </c>
      <c r="P1208" s="347"/>
      <c r="Q1208" s="347"/>
      <c r="R1208" s="347"/>
      <c r="S1208" s="348">
        <v>41749</v>
      </c>
      <c r="T1208" s="348">
        <v>41749</v>
      </c>
      <c r="U1208" s="347" t="s">
        <v>2825</v>
      </c>
      <c r="V1208" s="345">
        <v>300</v>
      </c>
      <c r="W1208" s="345">
        <v>14110</v>
      </c>
      <c r="X1208" s="349">
        <v>2780.14</v>
      </c>
      <c r="Y1208" s="345">
        <v>14116</v>
      </c>
      <c r="Z1208" s="349">
        <v>2780.14</v>
      </c>
      <c r="AA1208" s="349">
        <f t="shared" si="103"/>
        <v>0</v>
      </c>
      <c r="AB1208" s="349">
        <v>0</v>
      </c>
      <c r="AC1208" s="345">
        <v>70260</v>
      </c>
      <c r="AD1208" s="349">
        <v>0</v>
      </c>
      <c r="AE1208" s="345" t="s">
        <v>944</v>
      </c>
      <c r="AF1208" s="347"/>
      <c r="AG1208" s="347"/>
      <c r="AH1208" s="347" t="s">
        <v>57</v>
      </c>
      <c r="AI1208" s="347" t="s">
        <v>4442</v>
      </c>
      <c r="AJ1208" s="347" t="s">
        <v>4443</v>
      </c>
      <c r="AK1208" s="347" t="s">
        <v>4437</v>
      </c>
      <c r="AL1208" s="387">
        <v>45574</v>
      </c>
    </row>
    <row r="1209" spans="2:38" ht="15.75" outlineLevel="1">
      <c r="B1209" s="345">
        <v>2111</v>
      </c>
      <c r="C1209" s="346">
        <v>113249</v>
      </c>
      <c r="D1209" s="345">
        <v>109566</v>
      </c>
      <c r="E1209" s="347" t="s">
        <v>4240</v>
      </c>
      <c r="F1209" s="343" t="s">
        <v>2827</v>
      </c>
      <c r="I1209" s="345">
        <v>1</v>
      </c>
      <c r="J1209" s="347"/>
      <c r="K1209" s="345">
        <v>0</v>
      </c>
      <c r="L1209" s="347" t="s">
        <v>2828</v>
      </c>
      <c r="M1209" s="347"/>
      <c r="N1209" s="347" t="s">
        <v>4452</v>
      </c>
      <c r="O1209" s="347" t="s">
        <v>4441</v>
      </c>
      <c r="P1209" s="347"/>
      <c r="Q1209" s="347"/>
      <c r="R1209" s="347"/>
      <c r="S1209" s="348">
        <v>41640</v>
      </c>
      <c r="T1209" s="348">
        <v>41640</v>
      </c>
      <c r="U1209" s="347" t="s">
        <v>2792</v>
      </c>
      <c r="V1209" s="345">
        <v>1911</v>
      </c>
      <c r="W1209" s="345">
        <v>14080</v>
      </c>
      <c r="X1209" s="349">
        <v>631.14</v>
      </c>
      <c r="Y1209" s="345">
        <v>14086</v>
      </c>
      <c r="Z1209" s="349">
        <v>340.46</v>
      </c>
      <c r="AA1209" s="349">
        <f t="shared" si="103"/>
        <v>290.68</v>
      </c>
      <c r="AB1209" s="349">
        <v>23.76</v>
      </c>
      <c r="AC1209" s="345">
        <v>57260</v>
      </c>
      <c r="AD1209" s="349">
        <v>2.64</v>
      </c>
      <c r="AE1209" s="345" t="s">
        <v>944</v>
      </c>
      <c r="AF1209" s="347"/>
      <c r="AG1209" s="347"/>
      <c r="AH1209" s="347" t="s">
        <v>57</v>
      </c>
      <c r="AI1209" s="347" t="s">
        <v>4442</v>
      </c>
      <c r="AJ1209" s="347" t="s">
        <v>4443</v>
      </c>
      <c r="AK1209" s="347" t="s">
        <v>4437</v>
      </c>
      <c r="AL1209" s="387">
        <v>45574</v>
      </c>
    </row>
    <row r="1210" spans="2:38" ht="15.75" outlineLevel="1">
      <c r="B1210" s="345">
        <v>2111</v>
      </c>
      <c r="C1210" s="346">
        <v>113143</v>
      </c>
      <c r="D1210" s="345">
        <v>109566</v>
      </c>
      <c r="E1210" s="347" t="s">
        <v>4240</v>
      </c>
      <c r="F1210" s="343" t="s">
        <v>2829</v>
      </c>
      <c r="I1210" s="345">
        <v>1</v>
      </c>
      <c r="J1210" s="347"/>
      <c r="K1210" s="345">
        <v>0</v>
      </c>
      <c r="L1210" s="347" t="s">
        <v>2830</v>
      </c>
      <c r="M1210" s="347"/>
      <c r="N1210" s="347" t="s">
        <v>4452</v>
      </c>
      <c r="O1210" s="347" t="s">
        <v>4441</v>
      </c>
      <c r="P1210" s="347"/>
      <c r="Q1210" s="347"/>
      <c r="R1210" s="347"/>
      <c r="S1210" s="348">
        <v>41640</v>
      </c>
      <c r="T1210" s="348">
        <v>41640</v>
      </c>
      <c r="U1210" s="347" t="s">
        <v>2792</v>
      </c>
      <c r="V1210" s="345">
        <v>1911</v>
      </c>
      <c r="W1210" s="345">
        <v>14080</v>
      </c>
      <c r="X1210" s="349">
        <v>-1288.93</v>
      </c>
      <c r="Y1210" s="345">
        <v>14086</v>
      </c>
      <c r="Z1210" s="349">
        <v>-695.71</v>
      </c>
      <c r="AA1210" s="349">
        <f t="shared" si="103"/>
        <v>-593.22</v>
      </c>
      <c r="AB1210" s="349">
        <v>-48.51</v>
      </c>
      <c r="AC1210" s="345">
        <v>57260</v>
      </c>
      <c r="AD1210" s="349">
        <v>-5.39</v>
      </c>
      <c r="AE1210" s="345" t="s">
        <v>944</v>
      </c>
      <c r="AF1210" s="347"/>
      <c r="AG1210" s="347"/>
      <c r="AH1210" s="347" t="s">
        <v>57</v>
      </c>
      <c r="AI1210" s="347" t="s">
        <v>4442</v>
      </c>
      <c r="AJ1210" s="347" t="s">
        <v>4443</v>
      </c>
      <c r="AK1210" s="347" t="s">
        <v>4437</v>
      </c>
      <c r="AL1210" s="387">
        <v>45574</v>
      </c>
    </row>
    <row r="1211" spans="2:38" ht="15.75" outlineLevel="1">
      <c r="B1211" s="345">
        <v>2111</v>
      </c>
      <c r="C1211" s="346">
        <v>112769</v>
      </c>
      <c r="D1211" s="345" t="s">
        <v>944</v>
      </c>
      <c r="E1211" s="347" t="s">
        <v>4240</v>
      </c>
      <c r="F1211" s="343" t="s">
        <v>2831</v>
      </c>
      <c r="I1211" s="345">
        <v>1</v>
      </c>
      <c r="J1211" s="347"/>
      <c r="K1211" s="345">
        <v>0</v>
      </c>
      <c r="L1211" s="347" t="s">
        <v>1657</v>
      </c>
      <c r="M1211" s="347"/>
      <c r="N1211" s="347" t="s">
        <v>4440</v>
      </c>
      <c r="O1211" s="347" t="s">
        <v>4441</v>
      </c>
      <c r="P1211" s="347"/>
      <c r="Q1211" s="347"/>
      <c r="R1211" s="347"/>
      <c r="S1211" s="348">
        <v>41320</v>
      </c>
      <c r="T1211" s="348">
        <v>41320</v>
      </c>
      <c r="U1211" s="347" t="s">
        <v>2832</v>
      </c>
      <c r="V1211" s="345">
        <v>300</v>
      </c>
      <c r="W1211" s="345">
        <v>14110</v>
      </c>
      <c r="X1211" s="349">
        <v>976.33</v>
      </c>
      <c r="Y1211" s="345">
        <v>14116</v>
      </c>
      <c r="Z1211" s="349">
        <v>976.33</v>
      </c>
      <c r="AA1211" s="349">
        <f t="shared" si="103"/>
        <v>0</v>
      </c>
      <c r="AB1211" s="349">
        <v>0</v>
      </c>
      <c r="AC1211" s="345">
        <v>70260</v>
      </c>
      <c r="AD1211" s="349">
        <v>0</v>
      </c>
      <c r="AE1211" s="345" t="s">
        <v>944</v>
      </c>
      <c r="AF1211" s="347"/>
      <c r="AG1211" s="347"/>
      <c r="AH1211" s="347" t="s">
        <v>57</v>
      </c>
      <c r="AI1211" s="347" t="s">
        <v>4442</v>
      </c>
      <c r="AJ1211" s="347" t="s">
        <v>4443</v>
      </c>
      <c r="AK1211" s="347" t="s">
        <v>4437</v>
      </c>
      <c r="AL1211" s="387">
        <v>45574</v>
      </c>
    </row>
    <row r="1212" spans="2:38" ht="15.75" outlineLevel="1">
      <c r="B1212" s="345">
        <v>2111</v>
      </c>
      <c r="C1212" s="346">
        <v>112527</v>
      </c>
      <c r="D1212" s="345">
        <v>109566</v>
      </c>
      <c r="E1212" s="347" t="s">
        <v>4240</v>
      </c>
      <c r="F1212" s="343" t="s">
        <v>2834</v>
      </c>
      <c r="I1212" s="345">
        <v>1</v>
      </c>
      <c r="J1212" s="347"/>
      <c r="K1212" s="345">
        <v>0</v>
      </c>
      <c r="L1212" s="347" t="s">
        <v>2835</v>
      </c>
      <c r="M1212" s="347"/>
      <c r="N1212" s="347" t="s">
        <v>4452</v>
      </c>
      <c r="O1212" s="347" t="s">
        <v>4441</v>
      </c>
      <c r="P1212" s="347"/>
      <c r="Q1212" s="347"/>
      <c r="R1212" s="347"/>
      <c r="S1212" s="348">
        <v>41640</v>
      </c>
      <c r="T1212" s="348">
        <v>41640</v>
      </c>
      <c r="U1212" s="347" t="s">
        <v>2792</v>
      </c>
      <c r="V1212" s="345">
        <v>2000</v>
      </c>
      <c r="W1212" s="345">
        <v>14080</v>
      </c>
      <c r="X1212" s="349">
        <v>742.58</v>
      </c>
      <c r="Y1212" s="345">
        <v>14086</v>
      </c>
      <c r="Z1212" s="349">
        <v>399.11</v>
      </c>
      <c r="AA1212" s="349">
        <f t="shared" si="103"/>
        <v>343.47</v>
      </c>
      <c r="AB1212" s="349">
        <v>27.81</v>
      </c>
      <c r="AC1212" s="345">
        <v>57260</v>
      </c>
      <c r="AD1212" s="349">
        <v>3.09</v>
      </c>
      <c r="AE1212" s="345" t="s">
        <v>944</v>
      </c>
      <c r="AF1212" s="347"/>
      <c r="AG1212" s="347"/>
      <c r="AH1212" s="347" t="s">
        <v>57</v>
      </c>
      <c r="AI1212" s="347" t="s">
        <v>4442</v>
      </c>
      <c r="AJ1212" s="347" t="s">
        <v>4443</v>
      </c>
      <c r="AK1212" s="347" t="s">
        <v>4437</v>
      </c>
      <c r="AL1212" s="387">
        <v>45574</v>
      </c>
    </row>
    <row r="1213" spans="2:38" ht="15.75" outlineLevel="1">
      <c r="B1213" s="345">
        <v>2111</v>
      </c>
      <c r="C1213" s="346">
        <v>111626</v>
      </c>
      <c r="D1213" s="345" t="s">
        <v>944</v>
      </c>
      <c r="E1213" s="347" t="s">
        <v>4240</v>
      </c>
      <c r="F1213" s="343" t="s">
        <v>2800</v>
      </c>
      <c r="I1213" s="345">
        <v>486</v>
      </c>
      <c r="J1213" s="347"/>
      <c r="K1213" s="345">
        <v>0</v>
      </c>
      <c r="L1213" s="347" t="s">
        <v>2245</v>
      </c>
      <c r="M1213" s="347"/>
      <c r="N1213" s="347" t="s">
        <v>4446</v>
      </c>
      <c r="O1213" s="347" t="s">
        <v>4441</v>
      </c>
      <c r="P1213" s="347"/>
      <c r="Q1213" s="347"/>
      <c r="R1213" s="347"/>
      <c r="S1213" s="348">
        <v>41666</v>
      </c>
      <c r="T1213" s="348">
        <v>41666</v>
      </c>
      <c r="U1213" s="347" t="s">
        <v>2837</v>
      </c>
      <c r="V1213" s="345">
        <v>700</v>
      </c>
      <c r="W1213" s="345">
        <v>14050</v>
      </c>
      <c r="X1213" s="349">
        <v>27313.39</v>
      </c>
      <c r="Y1213" s="345">
        <v>14056</v>
      </c>
      <c r="Z1213" s="349">
        <v>27313.39</v>
      </c>
      <c r="AA1213" s="349">
        <f t="shared" si="103"/>
        <v>0</v>
      </c>
      <c r="AB1213" s="349">
        <v>0</v>
      </c>
      <c r="AC1213" s="345">
        <v>54260</v>
      </c>
      <c r="AD1213" s="349">
        <v>0</v>
      </c>
      <c r="AE1213" s="345" t="s">
        <v>944</v>
      </c>
      <c r="AF1213" s="347"/>
      <c r="AG1213" s="347"/>
      <c r="AH1213" s="347" t="s">
        <v>57</v>
      </c>
      <c r="AI1213" s="347" t="s">
        <v>4442</v>
      </c>
      <c r="AJ1213" s="347" t="s">
        <v>4443</v>
      </c>
      <c r="AK1213" s="347" t="s">
        <v>4437</v>
      </c>
      <c r="AL1213" s="387">
        <v>45574</v>
      </c>
    </row>
    <row r="1214" spans="2:38" ht="15.75" outlineLevel="1">
      <c r="B1214" s="345">
        <v>2111</v>
      </c>
      <c r="C1214" s="346">
        <v>111444</v>
      </c>
      <c r="D1214" s="345" t="s">
        <v>944</v>
      </c>
      <c r="E1214" s="347" t="s">
        <v>4240</v>
      </c>
      <c r="F1214" s="343" t="s">
        <v>851</v>
      </c>
      <c r="I1214" s="345">
        <v>624</v>
      </c>
      <c r="J1214" s="347"/>
      <c r="K1214" s="345">
        <v>0</v>
      </c>
      <c r="L1214" s="347" t="s">
        <v>2342</v>
      </c>
      <c r="M1214" s="347"/>
      <c r="N1214" s="347" t="s">
        <v>4446</v>
      </c>
      <c r="O1214" s="347" t="s">
        <v>4441</v>
      </c>
      <c r="P1214" s="347"/>
      <c r="Q1214" s="347"/>
      <c r="R1214" s="347"/>
      <c r="S1214" s="348">
        <v>41699</v>
      </c>
      <c r="T1214" s="348">
        <v>41699</v>
      </c>
      <c r="U1214" s="347" t="s">
        <v>2839</v>
      </c>
      <c r="V1214" s="345">
        <v>700</v>
      </c>
      <c r="W1214" s="345">
        <v>14050</v>
      </c>
      <c r="X1214" s="349">
        <v>35948.660000000003</v>
      </c>
      <c r="Y1214" s="345">
        <v>14056</v>
      </c>
      <c r="Z1214" s="349">
        <v>35948.660000000003</v>
      </c>
      <c r="AA1214" s="349">
        <f t="shared" si="103"/>
        <v>0</v>
      </c>
      <c r="AB1214" s="349">
        <v>0</v>
      </c>
      <c r="AC1214" s="345">
        <v>54260</v>
      </c>
      <c r="AD1214" s="349">
        <v>0</v>
      </c>
      <c r="AE1214" s="345" t="s">
        <v>944</v>
      </c>
      <c r="AF1214" s="347"/>
      <c r="AG1214" s="347"/>
      <c r="AH1214" s="347" t="s">
        <v>57</v>
      </c>
      <c r="AI1214" s="347" t="s">
        <v>4442</v>
      </c>
      <c r="AJ1214" s="347" t="s">
        <v>4443</v>
      </c>
      <c r="AK1214" s="347" t="s">
        <v>4437</v>
      </c>
      <c r="AL1214" s="387">
        <v>45574</v>
      </c>
    </row>
    <row r="1215" spans="2:38" ht="15.75" outlineLevel="1">
      <c r="B1215" s="345">
        <v>2111</v>
      </c>
      <c r="C1215" s="346">
        <v>111133</v>
      </c>
      <c r="D1215" s="345">
        <v>109566</v>
      </c>
      <c r="E1215" s="347" t="s">
        <v>4240</v>
      </c>
      <c r="F1215" s="343" t="s">
        <v>2841</v>
      </c>
      <c r="I1215" s="345">
        <v>1</v>
      </c>
      <c r="J1215" s="347"/>
      <c r="K1215" s="345">
        <v>0</v>
      </c>
      <c r="L1215" s="347" t="s">
        <v>2842</v>
      </c>
      <c r="M1215" s="347"/>
      <c r="N1215" s="347" t="s">
        <v>4452</v>
      </c>
      <c r="O1215" s="347" t="s">
        <v>4441</v>
      </c>
      <c r="P1215" s="347"/>
      <c r="Q1215" s="347"/>
      <c r="R1215" s="347"/>
      <c r="S1215" s="348">
        <v>41640</v>
      </c>
      <c r="T1215" s="348">
        <v>41640</v>
      </c>
      <c r="U1215" s="347" t="s">
        <v>2792</v>
      </c>
      <c r="V1215" s="345">
        <v>1911</v>
      </c>
      <c r="W1215" s="345">
        <v>14080</v>
      </c>
      <c r="X1215" s="349">
        <v>2520</v>
      </c>
      <c r="Y1215" s="345">
        <v>14086</v>
      </c>
      <c r="Z1215" s="349">
        <v>1360.16</v>
      </c>
      <c r="AA1215" s="349">
        <f t="shared" si="103"/>
        <v>1159.8399999999999</v>
      </c>
      <c r="AB1215" s="349">
        <v>94.86</v>
      </c>
      <c r="AC1215" s="345">
        <v>57260</v>
      </c>
      <c r="AD1215" s="349">
        <v>10.54</v>
      </c>
      <c r="AE1215" s="345" t="s">
        <v>944</v>
      </c>
      <c r="AF1215" s="347"/>
      <c r="AG1215" s="347"/>
      <c r="AH1215" s="347" t="s">
        <v>57</v>
      </c>
      <c r="AI1215" s="347" t="s">
        <v>4442</v>
      </c>
      <c r="AJ1215" s="347" t="s">
        <v>4443</v>
      </c>
      <c r="AK1215" s="347" t="s">
        <v>4437</v>
      </c>
      <c r="AL1215" s="387">
        <v>45574</v>
      </c>
    </row>
    <row r="1216" spans="2:38" ht="15.75" outlineLevel="1">
      <c r="B1216" s="345">
        <v>2111</v>
      </c>
      <c r="C1216" s="346">
        <v>110969</v>
      </c>
      <c r="D1216" s="345" t="s">
        <v>944</v>
      </c>
      <c r="E1216" s="347" t="s">
        <v>4240</v>
      </c>
      <c r="F1216" s="343" t="s">
        <v>2844</v>
      </c>
      <c r="I1216" s="345">
        <v>1</v>
      </c>
      <c r="J1216" s="347" t="s">
        <v>2845</v>
      </c>
      <c r="K1216" s="345">
        <v>2014</v>
      </c>
      <c r="L1216" s="347" t="s">
        <v>2294</v>
      </c>
      <c r="M1216" s="347" t="s">
        <v>2846</v>
      </c>
      <c r="N1216" s="347" t="s">
        <v>4445</v>
      </c>
      <c r="O1216" s="347" t="s">
        <v>4441</v>
      </c>
      <c r="P1216" s="347" t="s">
        <v>2306</v>
      </c>
      <c r="Q1216" s="347"/>
      <c r="R1216" s="347"/>
      <c r="S1216" s="348">
        <v>41673</v>
      </c>
      <c r="T1216" s="348">
        <v>41673</v>
      </c>
      <c r="U1216" s="347" t="s">
        <v>2847</v>
      </c>
      <c r="V1216" s="345">
        <v>1000</v>
      </c>
      <c r="W1216" s="345">
        <v>14040</v>
      </c>
      <c r="X1216" s="349">
        <v>74932.75</v>
      </c>
      <c r="Y1216" s="345">
        <v>14046</v>
      </c>
      <c r="Z1216" s="349">
        <v>74932.75</v>
      </c>
      <c r="AA1216" s="349">
        <f t="shared" si="103"/>
        <v>0</v>
      </c>
      <c r="AB1216" s="349">
        <v>624.39</v>
      </c>
      <c r="AC1216" s="345">
        <v>51260</v>
      </c>
      <c r="AD1216" s="349">
        <v>624.39</v>
      </c>
      <c r="AE1216" s="345" t="s">
        <v>944</v>
      </c>
      <c r="AF1216" s="347"/>
      <c r="AG1216" s="347">
        <v>127</v>
      </c>
      <c r="AH1216" s="347" t="s">
        <v>57</v>
      </c>
      <c r="AI1216" s="347" t="s">
        <v>4442</v>
      </c>
      <c r="AJ1216" s="347" t="s">
        <v>4443</v>
      </c>
      <c r="AK1216" s="347" t="s">
        <v>4437</v>
      </c>
      <c r="AL1216" s="387">
        <v>45574</v>
      </c>
    </row>
    <row r="1217" spans="2:38" ht="15.75" outlineLevel="1">
      <c r="B1217" s="345">
        <v>2111</v>
      </c>
      <c r="C1217" s="346">
        <v>110968</v>
      </c>
      <c r="D1217" s="345" t="s">
        <v>944</v>
      </c>
      <c r="E1217" s="347" t="s">
        <v>4240</v>
      </c>
      <c r="F1217" s="343" t="s">
        <v>1243</v>
      </c>
      <c r="I1217" s="345">
        <v>1</v>
      </c>
      <c r="J1217" s="347" t="s">
        <v>2848</v>
      </c>
      <c r="K1217" s="345">
        <v>2014</v>
      </c>
      <c r="L1217" s="347" t="s">
        <v>2170</v>
      </c>
      <c r="M1217" s="347" t="s">
        <v>2190</v>
      </c>
      <c r="N1217" s="347" t="s">
        <v>4445</v>
      </c>
      <c r="O1217" s="347" t="s">
        <v>4441</v>
      </c>
      <c r="P1217" s="347" t="s">
        <v>4482</v>
      </c>
      <c r="Q1217" s="347"/>
      <c r="R1217" s="347"/>
      <c r="S1217" s="348">
        <v>41673</v>
      </c>
      <c r="T1217" s="348">
        <v>41673</v>
      </c>
      <c r="U1217" s="347" t="s">
        <v>2849</v>
      </c>
      <c r="V1217" s="345">
        <v>1000</v>
      </c>
      <c r="W1217" s="345">
        <v>14040</v>
      </c>
      <c r="X1217" s="349">
        <v>318992.86</v>
      </c>
      <c r="Y1217" s="345">
        <v>14046</v>
      </c>
      <c r="Z1217" s="349">
        <v>318992.86</v>
      </c>
      <c r="AA1217" s="349">
        <f t="shared" si="103"/>
        <v>0</v>
      </c>
      <c r="AB1217" s="349">
        <v>2658.24</v>
      </c>
      <c r="AC1217" s="345">
        <v>51260</v>
      </c>
      <c r="AD1217" s="349">
        <v>2658.24</v>
      </c>
      <c r="AE1217" s="345" t="s">
        <v>944</v>
      </c>
      <c r="AF1217" s="347"/>
      <c r="AG1217" s="347">
        <v>825</v>
      </c>
      <c r="AH1217" s="347" t="s">
        <v>57</v>
      </c>
      <c r="AI1217" s="347" t="s">
        <v>4442</v>
      </c>
      <c r="AJ1217" s="347" t="s">
        <v>4443</v>
      </c>
      <c r="AK1217" s="347" t="s">
        <v>4437</v>
      </c>
      <c r="AL1217" s="387">
        <v>45574</v>
      </c>
    </row>
    <row r="1218" spans="2:38" ht="15.75" outlineLevel="1">
      <c r="B1218" s="345">
        <v>2111</v>
      </c>
      <c r="C1218" s="346">
        <v>110907</v>
      </c>
      <c r="D1218" s="345">
        <v>109566</v>
      </c>
      <c r="E1218" s="347" t="s">
        <v>4240</v>
      </c>
      <c r="F1218" s="343" t="s">
        <v>2850</v>
      </c>
      <c r="I1218" s="345">
        <v>1</v>
      </c>
      <c r="J1218" s="347"/>
      <c r="K1218" s="345">
        <v>0</v>
      </c>
      <c r="L1218" s="347" t="s">
        <v>2851</v>
      </c>
      <c r="M1218" s="347"/>
      <c r="N1218" s="347" t="s">
        <v>4452</v>
      </c>
      <c r="O1218" s="347" t="s">
        <v>4441</v>
      </c>
      <c r="P1218" s="347"/>
      <c r="Q1218" s="347"/>
      <c r="R1218" s="347"/>
      <c r="S1218" s="348">
        <v>41640</v>
      </c>
      <c r="T1218" s="348">
        <v>41640</v>
      </c>
      <c r="U1218" s="347" t="s">
        <v>2792</v>
      </c>
      <c r="V1218" s="345">
        <v>1911</v>
      </c>
      <c r="W1218" s="345">
        <v>14080</v>
      </c>
      <c r="X1218" s="349">
        <v>29651.93</v>
      </c>
      <c r="Y1218" s="345">
        <v>14086</v>
      </c>
      <c r="Z1218" s="349">
        <v>16004.63</v>
      </c>
      <c r="AA1218" s="349">
        <f t="shared" si="103"/>
        <v>13647.300000000001</v>
      </c>
      <c r="AB1218" s="349">
        <v>1116.6300000000001</v>
      </c>
      <c r="AC1218" s="345">
        <v>57260</v>
      </c>
      <c r="AD1218" s="349">
        <v>124.07</v>
      </c>
      <c r="AE1218" s="345" t="s">
        <v>944</v>
      </c>
      <c r="AF1218" s="347"/>
      <c r="AG1218" s="347"/>
      <c r="AH1218" s="347" t="s">
        <v>57</v>
      </c>
      <c r="AI1218" s="347" t="s">
        <v>4442</v>
      </c>
      <c r="AJ1218" s="347" t="s">
        <v>4443</v>
      </c>
      <c r="AK1218" s="347" t="s">
        <v>4437</v>
      </c>
      <c r="AL1218" s="387">
        <v>45574</v>
      </c>
    </row>
    <row r="1219" spans="2:38" ht="15.75" outlineLevel="1">
      <c r="B1219" s="345">
        <v>2111</v>
      </c>
      <c r="C1219" s="346">
        <v>110706</v>
      </c>
      <c r="D1219" s="345">
        <v>109566</v>
      </c>
      <c r="E1219" s="347" t="s">
        <v>4240</v>
      </c>
      <c r="F1219" s="343" t="s">
        <v>2852</v>
      </c>
      <c r="I1219" s="345">
        <v>1</v>
      </c>
      <c r="J1219" s="347"/>
      <c r="K1219" s="345">
        <v>0</v>
      </c>
      <c r="L1219" s="347" t="s">
        <v>2853</v>
      </c>
      <c r="M1219" s="347"/>
      <c r="N1219" s="347" t="s">
        <v>4452</v>
      </c>
      <c r="O1219" s="347" t="s">
        <v>4441</v>
      </c>
      <c r="P1219" s="347"/>
      <c r="Q1219" s="347"/>
      <c r="R1219" s="347"/>
      <c r="S1219" s="348">
        <v>41640</v>
      </c>
      <c r="T1219" s="348">
        <v>41640</v>
      </c>
      <c r="U1219" s="347" t="s">
        <v>2792</v>
      </c>
      <c r="V1219" s="345">
        <v>1911</v>
      </c>
      <c r="W1219" s="345">
        <v>14080</v>
      </c>
      <c r="X1219" s="349">
        <v>11814.1</v>
      </c>
      <c r="Y1219" s="345">
        <v>14086</v>
      </c>
      <c r="Z1219" s="349">
        <v>6376.67</v>
      </c>
      <c r="AA1219" s="349">
        <f t="shared" si="103"/>
        <v>5437.43</v>
      </c>
      <c r="AB1219" s="349">
        <v>444.87</v>
      </c>
      <c r="AC1219" s="345">
        <v>57260</v>
      </c>
      <c r="AD1219" s="349">
        <v>49.43</v>
      </c>
      <c r="AE1219" s="345" t="s">
        <v>944</v>
      </c>
      <c r="AF1219" s="347"/>
      <c r="AG1219" s="347"/>
      <c r="AH1219" s="347" t="s">
        <v>57</v>
      </c>
      <c r="AI1219" s="347" t="s">
        <v>4442</v>
      </c>
      <c r="AJ1219" s="347" t="s">
        <v>4443</v>
      </c>
      <c r="AK1219" s="347" t="s">
        <v>4437</v>
      </c>
      <c r="AL1219" s="387">
        <v>45574</v>
      </c>
    </row>
    <row r="1220" spans="2:38" ht="15.75" outlineLevel="1">
      <c r="B1220" s="345">
        <v>2111</v>
      </c>
      <c r="C1220" s="346">
        <v>110645</v>
      </c>
      <c r="D1220" s="345">
        <v>109566</v>
      </c>
      <c r="E1220" s="347" t="s">
        <v>4240</v>
      </c>
      <c r="F1220" s="343" t="s">
        <v>2852</v>
      </c>
      <c r="I1220" s="345">
        <v>1</v>
      </c>
      <c r="J1220" s="347"/>
      <c r="K1220" s="345">
        <v>0</v>
      </c>
      <c r="L1220" s="347" t="s">
        <v>2851</v>
      </c>
      <c r="M1220" s="347"/>
      <c r="N1220" s="347" t="s">
        <v>4452</v>
      </c>
      <c r="O1220" s="347" t="s">
        <v>4441</v>
      </c>
      <c r="P1220" s="347"/>
      <c r="Q1220" s="347"/>
      <c r="R1220" s="347"/>
      <c r="S1220" s="348">
        <v>41640</v>
      </c>
      <c r="T1220" s="348">
        <v>41640</v>
      </c>
      <c r="U1220" s="347" t="s">
        <v>2792</v>
      </c>
      <c r="V1220" s="345">
        <v>1911</v>
      </c>
      <c r="W1220" s="345">
        <v>14080</v>
      </c>
      <c r="X1220" s="349">
        <v>1301.6300000000001</v>
      </c>
      <c r="Y1220" s="345">
        <v>14086</v>
      </c>
      <c r="Z1220" s="349">
        <v>702.55</v>
      </c>
      <c r="AA1220" s="349">
        <f t="shared" si="103"/>
        <v>599.08000000000015</v>
      </c>
      <c r="AB1220" s="349">
        <v>49.05</v>
      </c>
      <c r="AC1220" s="345">
        <v>57260</v>
      </c>
      <c r="AD1220" s="349">
        <v>5.45</v>
      </c>
      <c r="AE1220" s="345" t="s">
        <v>944</v>
      </c>
      <c r="AF1220" s="347"/>
      <c r="AG1220" s="347"/>
      <c r="AH1220" s="347" t="s">
        <v>57</v>
      </c>
      <c r="AI1220" s="347" t="s">
        <v>4442</v>
      </c>
      <c r="AJ1220" s="347" t="s">
        <v>4443</v>
      </c>
      <c r="AK1220" s="347" t="s">
        <v>4437</v>
      </c>
      <c r="AL1220" s="387">
        <v>45574</v>
      </c>
    </row>
    <row r="1221" spans="2:38" ht="15.75" outlineLevel="1">
      <c r="B1221" s="345">
        <v>2111</v>
      </c>
      <c r="C1221" s="346">
        <v>110509</v>
      </c>
      <c r="D1221" s="345">
        <v>109566</v>
      </c>
      <c r="E1221" s="347" t="s">
        <v>4240</v>
      </c>
      <c r="F1221" s="343" t="s">
        <v>2852</v>
      </c>
      <c r="I1221" s="345">
        <v>1</v>
      </c>
      <c r="J1221" s="347"/>
      <c r="K1221" s="345">
        <v>0</v>
      </c>
      <c r="L1221" s="347" t="s">
        <v>2854</v>
      </c>
      <c r="M1221" s="347"/>
      <c r="N1221" s="347" t="s">
        <v>4452</v>
      </c>
      <c r="O1221" s="347" t="s">
        <v>4441</v>
      </c>
      <c r="P1221" s="347"/>
      <c r="Q1221" s="347"/>
      <c r="R1221" s="347"/>
      <c r="S1221" s="348">
        <v>41640</v>
      </c>
      <c r="T1221" s="348">
        <v>41640</v>
      </c>
      <c r="U1221" s="347" t="s">
        <v>2792</v>
      </c>
      <c r="V1221" s="345">
        <v>1911</v>
      </c>
      <c r="W1221" s="345">
        <v>14080</v>
      </c>
      <c r="X1221" s="349">
        <v>306599.73</v>
      </c>
      <c r="Y1221" s="345">
        <v>14086</v>
      </c>
      <c r="Z1221" s="349">
        <v>165486.76</v>
      </c>
      <c r="AA1221" s="349">
        <f t="shared" si="103"/>
        <v>141112.96999999997</v>
      </c>
      <c r="AB1221" s="349">
        <v>11545.56</v>
      </c>
      <c r="AC1221" s="345">
        <v>57260</v>
      </c>
      <c r="AD1221" s="349">
        <v>1282.8399999999999</v>
      </c>
      <c r="AE1221" s="345" t="s">
        <v>944</v>
      </c>
      <c r="AF1221" s="347"/>
      <c r="AG1221" s="347"/>
      <c r="AH1221" s="347" t="s">
        <v>57</v>
      </c>
      <c r="AI1221" s="347" t="s">
        <v>4442</v>
      </c>
      <c r="AJ1221" s="347" t="s">
        <v>4443</v>
      </c>
      <c r="AK1221" s="347" t="s">
        <v>4437</v>
      </c>
      <c r="AL1221" s="387">
        <v>45574</v>
      </c>
    </row>
    <row r="1222" spans="2:38" ht="15.75" outlineLevel="1">
      <c r="B1222" s="345">
        <v>2111</v>
      </c>
      <c r="C1222" s="346">
        <v>110503</v>
      </c>
      <c r="D1222" s="345" t="s">
        <v>944</v>
      </c>
      <c r="E1222" s="347" t="s">
        <v>4240</v>
      </c>
      <c r="F1222" s="343" t="s">
        <v>2855</v>
      </c>
      <c r="I1222" s="345">
        <v>10</v>
      </c>
      <c r="J1222" s="347"/>
      <c r="K1222" s="345">
        <v>0</v>
      </c>
      <c r="L1222" s="347" t="s">
        <v>2257</v>
      </c>
      <c r="M1222" s="347"/>
      <c r="N1222" s="347" t="s">
        <v>4446</v>
      </c>
      <c r="O1222" s="347" t="s">
        <v>4441</v>
      </c>
      <c r="P1222" s="347"/>
      <c r="Q1222" s="347" t="s">
        <v>4461</v>
      </c>
      <c r="R1222" s="347" t="s">
        <v>4450</v>
      </c>
      <c r="S1222" s="348">
        <v>41640</v>
      </c>
      <c r="T1222" s="348">
        <v>41640</v>
      </c>
      <c r="U1222" s="347" t="s">
        <v>2856</v>
      </c>
      <c r="V1222" s="345">
        <v>1200</v>
      </c>
      <c r="W1222" s="345">
        <v>14050</v>
      </c>
      <c r="X1222" s="349">
        <v>4649.5</v>
      </c>
      <c r="Y1222" s="345">
        <v>14056</v>
      </c>
      <c r="Z1222" s="349">
        <v>4165.21</v>
      </c>
      <c r="AA1222" s="349">
        <f t="shared" si="103"/>
        <v>484.28999999999996</v>
      </c>
      <c r="AB1222" s="349">
        <v>290.61</v>
      </c>
      <c r="AC1222" s="345">
        <v>54260</v>
      </c>
      <c r="AD1222" s="349">
        <v>32.29</v>
      </c>
      <c r="AE1222" s="345" t="s">
        <v>944</v>
      </c>
      <c r="AF1222" s="347"/>
      <c r="AG1222" s="347"/>
      <c r="AH1222" s="347" t="s">
        <v>57</v>
      </c>
      <c r="AI1222" s="347" t="s">
        <v>4442</v>
      </c>
      <c r="AJ1222" s="347" t="s">
        <v>4443</v>
      </c>
      <c r="AK1222" s="347" t="s">
        <v>4437</v>
      </c>
      <c r="AL1222" s="387">
        <v>45574</v>
      </c>
    </row>
    <row r="1223" spans="2:38" ht="15.75" outlineLevel="1">
      <c r="B1223" s="345">
        <v>2111</v>
      </c>
      <c r="C1223" s="346">
        <v>110099</v>
      </c>
      <c r="D1223" s="345">
        <v>109566</v>
      </c>
      <c r="E1223" s="347" t="s">
        <v>4240</v>
      </c>
      <c r="F1223" s="343" t="s">
        <v>2852</v>
      </c>
      <c r="I1223" s="345">
        <v>1</v>
      </c>
      <c r="J1223" s="347"/>
      <c r="K1223" s="345">
        <v>0</v>
      </c>
      <c r="L1223" s="347" t="s">
        <v>2857</v>
      </c>
      <c r="M1223" s="347"/>
      <c r="N1223" s="347" t="s">
        <v>4452</v>
      </c>
      <c r="O1223" s="347" t="s">
        <v>4441</v>
      </c>
      <c r="P1223" s="347"/>
      <c r="Q1223" s="347"/>
      <c r="R1223" s="347"/>
      <c r="S1223" s="348">
        <v>41609</v>
      </c>
      <c r="T1223" s="348">
        <v>41609</v>
      </c>
      <c r="U1223" s="347" t="s">
        <v>2792</v>
      </c>
      <c r="V1223" s="345">
        <v>2000</v>
      </c>
      <c r="W1223" s="345">
        <v>14080</v>
      </c>
      <c r="X1223" s="349">
        <v>42201.919999999998</v>
      </c>
      <c r="Y1223" s="345">
        <v>14086</v>
      </c>
      <c r="Z1223" s="349">
        <v>22859.4</v>
      </c>
      <c r="AA1223" s="349">
        <f t="shared" si="103"/>
        <v>19342.519999999997</v>
      </c>
      <c r="AB1223" s="349">
        <v>1582.56</v>
      </c>
      <c r="AC1223" s="345">
        <v>57260</v>
      </c>
      <c r="AD1223" s="349">
        <v>175.84</v>
      </c>
      <c r="AE1223" s="345" t="s">
        <v>944</v>
      </c>
      <c r="AF1223" s="347"/>
      <c r="AG1223" s="347"/>
      <c r="AH1223" s="347" t="s">
        <v>57</v>
      </c>
      <c r="AI1223" s="347" t="s">
        <v>4442</v>
      </c>
      <c r="AJ1223" s="347" t="s">
        <v>4443</v>
      </c>
      <c r="AK1223" s="347" t="s">
        <v>4437</v>
      </c>
      <c r="AL1223" s="387">
        <v>45574</v>
      </c>
    </row>
    <row r="1224" spans="2:38" ht="15.75" outlineLevel="1">
      <c r="B1224" s="345">
        <v>2111</v>
      </c>
      <c r="C1224" s="346">
        <v>110094</v>
      </c>
      <c r="D1224" s="345" t="s">
        <v>944</v>
      </c>
      <c r="E1224" s="347" t="s">
        <v>4240</v>
      </c>
      <c r="F1224" s="343" t="s">
        <v>2859</v>
      </c>
      <c r="I1224" s="345">
        <v>1</v>
      </c>
      <c r="J1224" s="347"/>
      <c r="K1224" s="345">
        <v>0</v>
      </c>
      <c r="L1224" s="347" t="s">
        <v>2709</v>
      </c>
      <c r="M1224" s="347"/>
      <c r="N1224" s="347" t="s">
        <v>4451</v>
      </c>
      <c r="O1224" s="347" t="s">
        <v>4441</v>
      </c>
      <c r="P1224" s="347"/>
      <c r="Q1224" s="347"/>
      <c r="R1224" s="347"/>
      <c r="S1224" s="348">
        <v>41639</v>
      </c>
      <c r="T1224" s="348">
        <v>41639</v>
      </c>
      <c r="U1224" s="347" t="s">
        <v>2860</v>
      </c>
      <c r="V1224" s="345">
        <v>500</v>
      </c>
      <c r="W1224" s="345">
        <v>14070</v>
      </c>
      <c r="X1224" s="349">
        <v>14544.51</v>
      </c>
      <c r="Y1224" s="345">
        <v>14076</v>
      </c>
      <c r="Z1224" s="349">
        <v>14544.51</v>
      </c>
      <c r="AA1224" s="349">
        <f t="shared" si="103"/>
        <v>0</v>
      </c>
      <c r="AB1224" s="349">
        <v>0</v>
      </c>
      <c r="AC1224" s="345">
        <v>51260</v>
      </c>
      <c r="AD1224" s="349">
        <v>0</v>
      </c>
      <c r="AE1224" s="345" t="s">
        <v>944</v>
      </c>
      <c r="AF1224" s="347"/>
      <c r="AG1224" s="347"/>
      <c r="AH1224" s="347" t="s">
        <v>57</v>
      </c>
      <c r="AI1224" s="347" t="s">
        <v>4442</v>
      </c>
      <c r="AJ1224" s="347" t="s">
        <v>4443</v>
      </c>
      <c r="AK1224" s="347" t="s">
        <v>4437</v>
      </c>
      <c r="AL1224" s="387">
        <v>45574</v>
      </c>
    </row>
    <row r="1225" spans="2:38" ht="15.75" outlineLevel="1">
      <c r="B1225" s="345">
        <v>2111</v>
      </c>
      <c r="C1225" s="346">
        <v>110093</v>
      </c>
      <c r="D1225" s="345" t="s">
        <v>944</v>
      </c>
      <c r="E1225" s="347" t="s">
        <v>4240</v>
      </c>
      <c r="F1225" s="343" t="s">
        <v>285</v>
      </c>
      <c r="I1225" s="345">
        <v>1</v>
      </c>
      <c r="J1225" s="347"/>
      <c r="K1225" s="345">
        <v>0</v>
      </c>
      <c r="L1225" s="347" t="s">
        <v>2861</v>
      </c>
      <c r="M1225" s="347"/>
      <c r="N1225" s="347" t="s">
        <v>4451</v>
      </c>
      <c r="O1225" s="347" t="s">
        <v>4441</v>
      </c>
      <c r="P1225" s="347"/>
      <c r="Q1225" s="347"/>
      <c r="R1225" s="347"/>
      <c r="S1225" s="348">
        <v>41639</v>
      </c>
      <c r="T1225" s="348">
        <v>41639</v>
      </c>
      <c r="U1225" s="347" t="s">
        <v>2860</v>
      </c>
      <c r="V1225" s="345">
        <v>500</v>
      </c>
      <c r="W1225" s="345">
        <v>14070</v>
      </c>
      <c r="X1225" s="349">
        <v>5343.25</v>
      </c>
      <c r="Y1225" s="345">
        <v>14076</v>
      </c>
      <c r="Z1225" s="349">
        <v>5343.25</v>
      </c>
      <c r="AA1225" s="349">
        <f t="shared" si="103"/>
        <v>0</v>
      </c>
      <c r="AB1225" s="349">
        <v>0</v>
      </c>
      <c r="AC1225" s="345">
        <v>51260</v>
      </c>
      <c r="AD1225" s="349">
        <v>0</v>
      </c>
      <c r="AE1225" s="345" t="s">
        <v>944</v>
      </c>
      <c r="AF1225" s="347"/>
      <c r="AG1225" s="347"/>
      <c r="AH1225" s="347" t="s">
        <v>57</v>
      </c>
      <c r="AI1225" s="347" t="s">
        <v>4442</v>
      </c>
      <c r="AJ1225" s="347" t="s">
        <v>4443</v>
      </c>
      <c r="AK1225" s="347" t="s">
        <v>4437</v>
      </c>
      <c r="AL1225" s="387">
        <v>45574</v>
      </c>
    </row>
    <row r="1226" spans="2:38" ht="15.75" outlineLevel="1">
      <c r="B1226" s="345">
        <v>2111</v>
      </c>
      <c r="C1226" s="346">
        <v>110092</v>
      </c>
      <c r="D1226" s="345" t="s">
        <v>944</v>
      </c>
      <c r="E1226" s="347" t="s">
        <v>4240</v>
      </c>
      <c r="F1226" s="343" t="s">
        <v>284</v>
      </c>
      <c r="I1226" s="345">
        <v>1</v>
      </c>
      <c r="J1226" s="347"/>
      <c r="K1226" s="345">
        <v>0</v>
      </c>
      <c r="L1226" s="347" t="s">
        <v>2862</v>
      </c>
      <c r="M1226" s="347"/>
      <c r="N1226" s="347" t="s">
        <v>4451</v>
      </c>
      <c r="O1226" s="347" t="s">
        <v>4441</v>
      </c>
      <c r="P1226" s="347"/>
      <c r="Q1226" s="347"/>
      <c r="R1226" s="347"/>
      <c r="S1226" s="348">
        <v>41639</v>
      </c>
      <c r="T1226" s="348">
        <v>41639</v>
      </c>
      <c r="U1226" s="347" t="s">
        <v>2860</v>
      </c>
      <c r="V1226" s="345">
        <v>500</v>
      </c>
      <c r="W1226" s="345">
        <v>14070</v>
      </c>
      <c r="X1226" s="349">
        <v>2337.39</v>
      </c>
      <c r="Y1226" s="345">
        <v>14076</v>
      </c>
      <c r="Z1226" s="349">
        <v>2337.39</v>
      </c>
      <c r="AA1226" s="349">
        <f t="shared" si="103"/>
        <v>0</v>
      </c>
      <c r="AB1226" s="349">
        <v>0</v>
      </c>
      <c r="AC1226" s="345">
        <v>51260</v>
      </c>
      <c r="AD1226" s="349">
        <v>0</v>
      </c>
      <c r="AE1226" s="345" t="s">
        <v>944</v>
      </c>
      <c r="AF1226" s="347"/>
      <c r="AG1226" s="347"/>
      <c r="AH1226" s="347" t="s">
        <v>57</v>
      </c>
      <c r="AI1226" s="347" t="s">
        <v>4442</v>
      </c>
      <c r="AJ1226" s="347" t="s">
        <v>4443</v>
      </c>
      <c r="AK1226" s="347" t="s">
        <v>4437</v>
      </c>
      <c r="AL1226" s="387">
        <v>45574</v>
      </c>
    </row>
    <row r="1227" spans="2:38" ht="15.75" outlineLevel="1">
      <c r="B1227" s="345">
        <v>2111</v>
      </c>
      <c r="C1227" s="346">
        <v>109960</v>
      </c>
      <c r="D1227" s="345">
        <v>109566</v>
      </c>
      <c r="E1227" s="347" t="s">
        <v>4240</v>
      </c>
      <c r="F1227" s="343" t="s">
        <v>2852</v>
      </c>
      <c r="I1227" s="345">
        <v>1</v>
      </c>
      <c r="J1227" s="347"/>
      <c r="K1227" s="345">
        <v>0</v>
      </c>
      <c r="L1227" s="347" t="s">
        <v>2830</v>
      </c>
      <c r="M1227" s="347"/>
      <c r="N1227" s="347" t="s">
        <v>4452</v>
      </c>
      <c r="O1227" s="347" t="s">
        <v>4441</v>
      </c>
      <c r="P1227" s="347"/>
      <c r="Q1227" s="347"/>
      <c r="R1227" s="347"/>
      <c r="S1227" s="348">
        <v>41609</v>
      </c>
      <c r="T1227" s="348">
        <v>41609</v>
      </c>
      <c r="U1227" s="347" t="s">
        <v>2792</v>
      </c>
      <c r="V1227" s="345">
        <v>2000</v>
      </c>
      <c r="W1227" s="345">
        <v>14080</v>
      </c>
      <c r="X1227" s="349">
        <v>3969.58</v>
      </c>
      <c r="Y1227" s="345">
        <v>14086</v>
      </c>
      <c r="Z1227" s="349">
        <v>2150.1999999999998</v>
      </c>
      <c r="AA1227" s="349">
        <f t="shared" si="103"/>
        <v>1819.38</v>
      </c>
      <c r="AB1227" s="349">
        <v>148.86000000000001</v>
      </c>
      <c r="AC1227" s="345">
        <v>57260</v>
      </c>
      <c r="AD1227" s="349">
        <v>16.54</v>
      </c>
      <c r="AE1227" s="345" t="s">
        <v>944</v>
      </c>
      <c r="AF1227" s="347"/>
      <c r="AG1227" s="347"/>
      <c r="AH1227" s="347" t="s">
        <v>57</v>
      </c>
      <c r="AI1227" s="347" t="s">
        <v>4442</v>
      </c>
      <c r="AJ1227" s="347" t="s">
        <v>4443</v>
      </c>
      <c r="AK1227" s="347" t="s">
        <v>4437</v>
      </c>
      <c r="AL1227" s="387">
        <v>45574</v>
      </c>
    </row>
    <row r="1228" spans="2:38" ht="15.75" outlineLevel="1">
      <c r="B1228" s="345">
        <v>2111</v>
      </c>
      <c r="C1228" s="346">
        <v>109827</v>
      </c>
      <c r="D1228" s="345">
        <v>109566</v>
      </c>
      <c r="E1228" s="347" t="s">
        <v>4240</v>
      </c>
      <c r="F1228" s="343" t="s">
        <v>2852</v>
      </c>
      <c r="I1228" s="345">
        <v>1</v>
      </c>
      <c r="J1228" s="347"/>
      <c r="K1228" s="345">
        <v>0</v>
      </c>
      <c r="L1228" s="347" t="s">
        <v>2863</v>
      </c>
      <c r="M1228" s="347"/>
      <c r="N1228" s="347" t="s">
        <v>4452</v>
      </c>
      <c r="O1228" s="347" t="s">
        <v>4441</v>
      </c>
      <c r="P1228" s="347"/>
      <c r="Q1228" s="347"/>
      <c r="R1228" s="347"/>
      <c r="S1228" s="348">
        <v>41609</v>
      </c>
      <c r="T1228" s="348">
        <v>41609</v>
      </c>
      <c r="U1228" s="347" t="s">
        <v>2792</v>
      </c>
      <c r="V1228" s="345">
        <v>2000</v>
      </c>
      <c r="W1228" s="345">
        <v>14080</v>
      </c>
      <c r="X1228" s="349">
        <v>1650.8</v>
      </c>
      <c r="Y1228" s="345">
        <v>14086</v>
      </c>
      <c r="Z1228" s="349">
        <v>894.2</v>
      </c>
      <c r="AA1228" s="349">
        <f t="shared" si="103"/>
        <v>756.59999999999991</v>
      </c>
      <c r="AB1228" s="349">
        <v>61.92</v>
      </c>
      <c r="AC1228" s="345">
        <v>57260</v>
      </c>
      <c r="AD1228" s="349">
        <v>6.88</v>
      </c>
      <c r="AE1228" s="345" t="s">
        <v>944</v>
      </c>
      <c r="AF1228" s="347"/>
      <c r="AG1228" s="347"/>
      <c r="AH1228" s="347" t="s">
        <v>57</v>
      </c>
      <c r="AI1228" s="347" t="s">
        <v>4442</v>
      </c>
      <c r="AJ1228" s="347" t="s">
        <v>4443</v>
      </c>
      <c r="AK1228" s="347" t="s">
        <v>4437</v>
      </c>
      <c r="AL1228" s="387">
        <v>45574</v>
      </c>
    </row>
    <row r="1229" spans="2:38" ht="15.75" outlineLevel="1">
      <c r="B1229" s="345">
        <v>2111</v>
      </c>
      <c r="C1229" s="346">
        <v>109566</v>
      </c>
      <c r="D1229" s="345" t="s">
        <v>944</v>
      </c>
      <c r="E1229" s="347" t="s">
        <v>4240</v>
      </c>
      <c r="F1229" s="343" t="s">
        <v>2864</v>
      </c>
      <c r="I1229" s="345">
        <v>1</v>
      </c>
      <c r="J1229" s="347"/>
      <c r="K1229" s="345">
        <v>0</v>
      </c>
      <c r="L1229" s="347"/>
      <c r="M1229" s="347"/>
      <c r="N1229" s="347" t="s">
        <v>4452</v>
      </c>
      <c r="O1229" s="347" t="s">
        <v>4441</v>
      </c>
      <c r="P1229" s="347"/>
      <c r="Q1229" s="347"/>
      <c r="R1229" s="347"/>
      <c r="S1229" s="348">
        <v>41609</v>
      </c>
      <c r="T1229" s="348">
        <v>41609</v>
      </c>
      <c r="U1229" s="347" t="s">
        <v>2792</v>
      </c>
      <c r="V1229" s="345">
        <v>2000</v>
      </c>
      <c r="W1229" s="345">
        <v>14080</v>
      </c>
      <c r="X1229" s="349">
        <v>5573344.7300000004</v>
      </c>
      <c r="Y1229" s="345">
        <v>14086</v>
      </c>
      <c r="Z1229" s="349">
        <v>3018895.1</v>
      </c>
      <c r="AA1229" s="349">
        <f t="shared" si="103"/>
        <v>2554449.6300000004</v>
      </c>
      <c r="AB1229" s="349">
        <v>209000.43</v>
      </c>
      <c r="AC1229" s="345">
        <v>57260</v>
      </c>
      <c r="AD1229" s="349">
        <v>23222.27</v>
      </c>
      <c r="AE1229" s="345" t="s">
        <v>944</v>
      </c>
      <c r="AF1229" s="347"/>
      <c r="AG1229" s="347"/>
      <c r="AH1229" s="347" t="s">
        <v>57</v>
      </c>
      <c r="AI1229" s="347" t="s">
        <v>4442</v>
      </c>
      <c r="AJ1229" s="347" t="s">
        <v>4443</v>
      </c>
      <c r="AK1229" s="347" t="s">
        <v>4437</v>
      </c>
      <c r="AL1229" s="387">
        <v>45574</v>
      </c>
    </row>
    <row r="1230" spans="2:38" ht="15.75" outlineLevel="1">
      <c r="B1230" s="345">
        <v>2111</v>
      </c>
      <c r="C1230" s="346">
        <v>108441</v>
      </c>
      <c r="D1230" s="345" t="s">
        <v>944</v>
      </c>
      <c r="E1230" s="347" t="s">
        <v>4240</v>
      </c>
      <c r="F1230" s="343" t="s">
        <v>2871</v>
      </c>
      <c r="I1230" s="345">
        <v>1</v>
      </c>
      <c r="J1230" s="347"/>
      <c r="K1230" s="345">
        <v>0</v>
      </c>
      <c r="L1230" s="347" t="s">
        <v>2872</v>
      </c>
      <c r="M1230" s="347"/>
      <c r="N1230" s="347" t="s">
        <v>4440</v>
      </c>
      <c r="O1230" s="347" t="s">
        <v>4441</v>
      </c>
      <c r="P1230" s="347"/>
      <c r="Q1230" s="347"/>
      <c r="R1230" s="347"/>
      <c r="S1230" s="348">
        <v>40756</v>
      </c>
      <c r="T1230" s="348">
        <v>40756</v>
      </c>
      <c r="U1230" s="347" t="s">
        <v>2873</v>
      </c>
      <c r="V1230" s="345">
        <v>300</v>
      </c>
      <c r="W1230" s="345">
        <v>14110</v>
      </c>
      <c r="X1230" s="349">
        <v>5025</v>
      </c>
      <c r="Y1230" s="345">
        <v>14116</v>
      </c>
      <c r="Z1230" s="349">
        <v>5025</v>
      </c>
      <c r="AA1230" s="349">
        <f t="shared" si="103"/>
        <v>0</v>
      </c>
      <c r="AB1230" s="349">
        <v>0</v>
      </c>
      <c r="AC1230" s="345">
        <v>70260</v>
      </c>
      <c r="AD1230" s="349">
        <v>0</v>
      </c>
      <c r="AE1230" s="345" t="s">
        <v>944</v>
      </c>
      <c r="AF1230" s="347"/>
      <c r="AG1230" s="347"/>
      <c r="AH1230" s="347" t="s">
        <v>57</v>
      </c>
      <c r="AI1230" s="347" t="s">
        <v>4442</v>
      </c>
      <c r="AJ1230" s="347" t="s">
        <v>4443</v>
      </c>
      <c r="AK1230" s="347" t="s">
        <v>4437</v>
      </c>
      <c r="AL1230" s="387">
        <v>45574</v>
      </c>
    </row>
    <row r="1231" spans="2:38" ht="15.75" outlineLevel="1">
      <c r="B1231" s="345">
        <v>2111</v>
      </c>
      <c r="C1231" s="346">
        <v>108440</v>
      </c>
      <c r="D1231" s="345">
        <v>108441</v>
      </c>
      <c r="E1231" s="347" t="s">
        <v>4240</v>
      </c>
      <c r="F1231" s="343" t="s">
        <v>2874</v>
      </c>
      <c r="I1231" s="345">
        <v>1</v>
      </c>
      <c r="J1231" s="347"/>
      <c r="K1231" s="345">
        <v>0</v>
      </c>
      <c r="L1231" s="347" t="s">
        <v>2875</v>
      </c>
      <c r="M1231" s="347"/>
      <c r="N1231" s="347" t="s">
        <v>4440</v>
      </c>
      <c r="O1231" s="347" t="s">
        <v>4441</v>
      </c>
      <c r="P1231" s="347"/>
      <c r="Q1231" s="347"/>
      <c r="R1231" s="347"/>
      <c r="S1231" s="348">
        <v>40756</v>
      </c>
      <c r="T1231" s="348">
        <v>40756</v>
      </c>
      <c r="U1231" s="347" t="s">
        <v>2873</v>
      </c>
      <c r="V1231" s="345">
        <v>300</v>
      </c>
      <c r="W1231" s="345">
        <v>14110</v>
      </c>
      <c r="X1231" s="349">
        <v>467.32</v>
      </c>
      <c r="Y1231" s="345">
        <v>14116</v>
      </c>
      <c r="Z1231" s="349">
        <v>467.32</v>
      </c>
      <c r="AA1231" s="349">
        <f t="shared" si="103"/>
        <v>0</v>
      </c>
      <c r="AB1231" s="349">
        <v>0</v>
      </c>
      <c r="AC1231" s="345">
        <v>70260</v>
      </c>
      <c r="AD1231" s="349">
        <v>0</v>
      </c>
      <c r="AE1231" s="345" t="s">
        <v>944</v>
      </c>
      <c r="AF1231" s="347"/>
      <c r="AG1231" s="347"/>
      <c r="AH1231" s="347" t="s">
        <v>57</v>
      </c>
      <c r="AI1231" s="347" t="s">
        <v>4442</v>
      </c>
      <c r="AJ1231" s="347" t="s">
        <v>4443</v>
      </c>
      <c r="AK1231" s="347" t="s">
        <v>4437</v>
      </c>
      <c r="AL1231" s="387">
        <v>45574</v>
      </c>
    </row>
    <row r="1232" spans="2:38" ht="15.75" outlineLevel="1">
      <c r="B1232" s="345">
        <v>2111</v>
      </c>
      <c r="C1232" s="346">
        <v>107976</v>
      </c>
      <c r="D1232" s="345" t="s">
        <v>944</v>
      </c>
      <c r="E1232" s="347" t="s">
        <v>4240</v>
      </c>
      <c r="F1232" s="343" t="s">
        <v>512</v>
      </c>
      <c r="I1232" s="345">
        <v>312</v>
      </c>
      <c r="J1232" s="347"/>
      <c r="K1232" s="345">
        <v>0</v>
      </c>
      <c r="L1232" s="347" t="s">
        <v>2342</v>
      </c>
      <c r="M1232" s="347"/>
      <c r="N1232" s="347" t="s">
        <v>4446</v>
      </c>
      <c r="O1232" s="347" t="s">
        <v>4441</v>
      </c>
      <c r="P1232" s="347"/>
      <c r="Q1232" s="347"/>
      <c r="R1232" s="347"/>
      <c r="S1232" s="348">
        <v>41577</v>
      </c>
      <c r="T1232" s="348">
        <v>41577</v>
      </c>
      <c r="U1232" s="347" t="s">
        <v>2876</v>
      </c>
      <c r="V1232" s="345">
        <v>700</v>
      </c>
      <c r="W1232" s="345">
        <v>14050</v>
      </c>
      <c r="X1232" s="349">
        <v>17116.18</v>
      </c>
      <c r="Y1232" s="345">
        <v>14056</v>
      </c>
      <c r="Z1232" s="349">
        <v>17116.18</v>
      </c>
      <c r="AA1232" s="349">
        <f t="shared" si="103"/>
        <v>0</v>
      </c>
      <c r="AB1232" s="349">
        <v>0</v>
      </c>
      <c r="AC1232" s="345">
        <v>54260</v>
      </c>
      <c r="AD1232" s="349">
        <v>0</v>
      </c>
      <c r="AE1232" s="345" t="s">
        <v>944</v>
      </c>
      <c r="AF1232" s="347"/>
      <c r="AG1232" s="347"/>
      <c r="AH1232" s="347" t="s">
        <v>57</v>
      </c>
      <c r="AI1232" s="347" t="s">
        <v>4442</v>
      </c>
      <c r="AJ1232" s="347" t="s">
        <v>4443</v>
      </c>
      <c r="AK1232" s="347" t="s">
        <v>4437</v>
      </c>
      <c r="AL1232" s="387">
        <v>45574</v>
      </c>
    </row>
    <row r="1233" spans="2:38" ht="15.75" outlineLevel="1">
      <c r="B1233" s="345">
        <v>2111</v>
      </c>
      <c r="C1233" s="346">
        <v>107975</v>
      </c>
      <c r="D1233" s="345" t="s">
        <v>944</v>
      </c>
      <c r="E1233" s="347" t="s">
        <v>4240</v>
      </c>
      <c r="F1233" s="343" t="s">
        <v>853</v>
      </c>
      <c r="I1233" s="345">
        <v>312</v>
      </c>
      <c r="J1233" s="347"/>
      <c r="K1233" s="345">
        <v>0</v>
      </c>
      <c r="L1233" s="347" t="s">
        <v>2342</v>
      </c>
      <c r="M1233" s="347"/>
      <c r="N1233" s="347" t="s">
        <v>4446</v>
      </c>
      <c r="O1233" s="347" t="s">
        <v>4441</v>
      </c>
      <c r="P1233" s="347"/>
      <c r="Q1233" s="347"/>
      <c r="R1233" s="347"/>
      <c r="S1233" s="348">
        <v>41577</v>
      </c>
      <c r="T1233" s="348">
        <v>41577</v>
      </c>
      <c r="U1233" s="347" t="s">
        <v>2876</v>
      </c>
      <c r="V1233" s="345">
        <v>700</v>
      </c>
      <c r="W1233" s="345">
        <v>14050</v>
      </c>
      <c r="X1233" s="349">
        <v>17201.509999999998</v>
      </c>
      <c r="Y1233" s="345">
        <v>14056</v>
      </c>
      <c r="Z1233" s="349">
        <v>17201.509999999998</v>
      </c>
      <c r="AA1233" s="349">
        <f t="shared" si="103"/>
        <v>0</v>
      </c>
      <c r="AB1233" s="349">
        <v>0</v>
      </c>
      <c r="AC1233" s="345">
        <v>54260</v>
      </c>
      <c r="AD1233" s="349">
        <v>0</v>
      </c>
      <c r="AE1233" s="345" t="s">
        <v>944</v>
      </c>
      <c r="AF1233" s="347"/>
      <c r="AG1233" s="347"/>
      <c r="AH1233" s="347" t="s">
        <v>57</v>
      </c>
      <c r="AI1233" s="347" t="s">
        <v>4442</v>
      </c>
      <c r="AJ1233" s="347" t="s">
        <v>4443</v>
      </c>
      <c r="AK1233" s="347" t="s">
        <v>4437</v>
      </c>
      <c r="AL1233" s="387">
        <v>45574</v>
      </c>
    </row>
    <row r="1234" spans="2:38" ht="15.75" outlineLevel="1">
      <c r="B1234" s="345">
        <v>2111</v>
      </c>
      <c r="C1234" s="346">
        <v>107198</v>
      </c>
      <c r="D1234" s="345" t="s">
        <v>944</v>
      </c>
      <c r="E1234" s="347" t="s">
        <v>4240</v>
      </c>
      <c r="F1234" s="343" t="s">
        <v>2878</v>
      </c>
      <c r="I1234" s="345">
        <v>1</v>
      </c>
      <c r="J1234" s="347"/>
      <c r="K1234" s="345">
        <v>2006</v>
      </c>
      <c r="L1234" s="347" t="s">
        <v>2879</v>
      </c>
      <c r="M1234" s="347" t="s">
        <v>2879</v>
      </c>
      <c r="N1234" s="347" t="s">
        <v>4458</v>
      </c>
      <c r="O1234" s="347" t="s">
        <v>4441</v>
      </c>
      <c r="P1234" s="347" t="s">
        <v>1467</v>
      </c>
      <c r="Q1234" s="347"/>
      <c r="R1234" s="347"/>
      <c r="S1234" s="348">
        <v>41183</v>
      </c>
      <c r="T1234" s="348">
        <v>41183</v>
      </c>
      <c r="U1234" s="347" t="s">
        <v>2880</v>
      </c>
      <c r="V1234" s="345">
        <v>300</v>
      </c>
      <c r="W1234" s="345">
        <v>14030</v>
      </c>
      <c r="X1234" s="349">
        <v>1938.15</v>
      </c>
      <c r="Y1234" s="345">
        <v>14036</v>
      </c>
      <c r="Z1234" s="349">
        <v>1938.15</v>
      </c>
      <c r="AA1234" s="349">
        <f t="shared" si="103"/>
        <v>0</v>
      </c>
      <c r="AB1234" s="349">
        <v>0</v>
      </c>
      <c r="AC1234" s="345">
        <v>51260</v>
      </c>
      <c r="AD1234" s="349">
        <v>0</v>
      </c>
      <c r="AE1234" s="345" t="s">
        <v>944</v>
      </c>
      <c r="AF1234" s="347"/>
      <c r="AG1234" s="347"/>
      <c r="AH1234" s="347" t="s">
        <v>57</v>
      </c>
      <c r="AI1234" s="347" t="s">
        <v>4442</v>
      </c>
      <c r="AJ1234" s="347" t="s">
        <v>4443</v>
      </c>
      <c r="AK1234" s="347" t="s">
        <v>4437</v>
      </c>
      <c r="AL1234" s="387">
        <v>45574</v>
      </c>
    </row>
    <row r="1235" spans="2:38" ht="15.75" outlineLevel="1">
      <c r="B1235" s="345">
        <v>2111</v>
      </c>
      <c r="C1235" s="346">
        <v>107197</v>
      </c>
      <c r="D1235" s="345" t="s">
        <v>944</v>
      </c>
      <c r="E1235" s="347" t="s">
        <v>4240</v>
      </c>
      <c r="F1235" s="343" t="s">
        <v>2882</v>
      </c>
      <c r="I1235" s="345">
        <v>1</v>
      </c>
      <c r="J1235" s="347"/>
      <c r="K1235" s="345">
        <v>2006</v>
      </c>
      <c r="L1235" s="347" t="s">
        <v>2879</v>
      </c>
      <c r="M1235" s="347" t="s">
        <v>2879</v>
      </c>
      <c r="N1235" s="347" t="s">
        <v>4458</v>
      </c>
      <c r="O1235" s="347" t="s">
        <v>4441</v>
      </c>
      <c r="P1235" s="347" t="s">
        <v>1467</v>
      </c>
      <c r="Q1235" s="347"/>
      <c r="R1235" s="347"/>
      <c r="S1235" s="348">
        <v>41183</v>
      </c>
      <c r="T1235" s="348">
        <v>41183</v>
      </c>
      <c r="U1235" s="347" t="s">
        <v>2880</v>
      </c>
      <c r="V1235" s="345">
        <v>300</v>
      </c>
      <c r="W1235" s="345">
        <v>14030</v>
      </c>
      <c r="X1235" s="349">
        <v>1938.15</v>
      </c>
      <c r="Y1235" s="345">
        <v>14036</v>
      </c>
      <c r="Z1235" s="349">
        <v>1938.15</v>
      </c>
      <c r="AA1235" s="349">
        <f t="shared" si="103"/>
        <v>0</v>
      </c>
      <c r="AB1235" s="349">
        <v>0</v>
      </c>
      <c r="AC1235" s="345">
        <v>51260</v>
      </c>
      <c r="AD1235" s="349">
        <v>0</v>
      </c>
      <c r="AE1235" s="345" t="s">
        <v>944</v>
      </c>
      <c r="AF1235" s="347"/>
      <c r="AG1235" s="347"/>
      <c r="AH1235" s="347" t="s">
        <v>57</v>
      </c>
      <c r="AI1235" s="347" t="s">
        <v>4442</v>
      </c>
      <c r="AJ1235" s="347" t="s">
        <v>4443</v>
      </c>
      <c r="AK1235" s="347" t="s">
        <v>4437</v>
      </c>
      <c r="AL1235" s="387">
        <v>45574</v>
      </c>
    </row>
    <row r="1236" spans="2:38" ht="15.75" outlineLevel="1">
      <c r="B1236" s="345">
        <v>2111</v>
      </c>
      <c r="C1236" s="346">
        <v>107196</v>
      </c>
      <c r="D1236" s="345" t="s">
        <v>944</v>
      </c>
      <c r="E1236" s="347" t="s">
        <v>4240</v>
      </c>
      <c r="F1236" s="343" t="s">
        <v>2883</v>
      </c>
      <c r="I1236" s="345">
        <v>1</v>
      </c>
      <c r="J1236" s="347"/>
      <c r="K1236" s="345">
        <v>2006</v>
      </c>
      <c r="L1236" s="347" t="s">
        <v>2884</v>
      </c>
      <c r="M1236" s="347"/>
      <c r="N1236" s="347" t="s">
        <v>4458</v>
      </c>
      <c r="O1236" s="347" t="s">
        <v>4441</v>
      </c>
      <c r="P1236" s="347" t="s">
        <v>1467</v>
      </c>
      <c r="Q1236" s="347"/>
      <c r="R1236" s="347"/>
      <c r="S1236" s="348">
        <v>41183</v>
      </c>
      <c r="T1236" s="348">
        <v>41183</v>
      </c>
      <c r="U1236" s="347" t="s">
        <v>2880</v>
      </c>
      <c r="V1236" s="345">
        <v>300</v>
      </c>
      <c r="W1236" s="345">
        <v>14030</v>
      </c>
      <c r="X1236" s="349">
        <v>1938.15</v>
      </c>
      <c r="Y1236" s="345">
        <v>14036</v>
      </c>
      <c r="Z1236" s="349">
        <v>1938.15</v>
      </c>
      <c r="AA1236" s="349">
        <f t="shared" si="103"/>
        <v>0</v>
      </c>
      <c r="AB1236" s="349">
        <v>0</v>
      </c>
      <c r="AC1236" s="345">
        <v>51260</v>
      </c>
      <c r="AD1236" s="349">
        <v>0</v>
      </c>
      <c r="AE1236" s="345" t="s">
        <v>944</v>
      </c>
      <c r="AF1236" s="347"/>
      <c r="AG1236" s="347"/>
      <c r="AH1236" s="347" t="s">
        <v>57</v>
      </c>
      <c r="AI1236" s="347" t="s">
        <v>4442</v>
      </c>
      <c r="AJ1236" s="347" t="s">
        <v>4443</v>
      </c>
      <c r="AK1236" s="347" t="s">
        <v>4437</v>
      </c>
      <c r="AL1236" s="387">
        <v>45574</v>
      </c>
    </row>
    <row r="1237" spans="2:38" ht="15.75" outlineLevel="1">
      <c r="B1237" s="345">
        <v>2111</v>
      </c>
      <c r="C1237" s="346">
        <v>107195</v>
      </c>
      <c r="D1237" s="345" t="s">
        <v>944</v>
      </c>
      <c r="E1237" s="347" t="s">
        <v>4240</v>
      </c>
      <c r="F1237" s="343" t="s">
        <v>2885</v>
      </c>
      <c r="I1237" s="345">
        <v>1</v>
      </c>
      <c r="J1237" s="347"/>
      <c r="K1237" s="345">
        <v>2006</v>
      </c>
      <c r="L1237" s="347" t="s">
        <v>2879</v>
      </c>
      <c r="M1237" s="347" t="s">
        <v>2879</v>
      </c>
      <c r="N1237" s="347" t="s">
        <v>4458</v>
      </c>
      <c r="O1237" s="347" t="s">
        <v>4441</v>
      </c>
      <c r="P1237" s="347" t="s">
        <v>1467</v>
      </c>
      <c r="Q1237" s="347"/>
      <c r="R1237" s="347"/>
      <c r="S1237" s="348">
        <v>41183</v>
      </c>
      <c r="T1237" s="348">
        <v>41183</v>
      </c>
      <c r="U1237" s="347" t="s">
        <v>2880</v>
      </c>
      <c r="V1237" s="345">
        <v>300</v>
      </c>
      <c r="W1237" s="345">
        <v>14030</v>
      </c>
      <c r="X1237" s="349">
        <v>1938.15</v>
      </c>
      <c r="Y1237" s="345">
        <v>14036</v>
      </c>
      <c r="Z1237" s="349">
        <v>1938.15</v>
      </c>
      <c r="AA1237" s="349">
        <f t="shared" si="103"/>
        <v>0</v>
      </c>
      <c r="AB1237" s="349">
        <v>0</v>
      </c>
      <c r="AC1237" s="345">
        <v>51260</v>
      </c>
      <c r="AD1237" s="349">
        <v>0</v>
      </c>
      <c r="AE1237" s="345" t="s">
        <v>944</v>
      </c>
      <c r="AF1237" s="347"/>
      <c r="AG1237" s="347"/>
      <c r="AH1237" s="347" t="s">
        <v>57</v>
      </c>
      <c r="AI1237" s="347" t="s">
        <v>4442</v>
      </c>
      <c r="AJ1237" s="347" t="s">
        <v>4443</v>
      </c>
      <c r="AK1237" s="347" t="s">
        <v>4437</v>
      </c>
      <c r="AL1237" s="387">
        <v>45574</v>
      </c>
    </row>
    <row r="1238" spans="2:38" ht="15.75" outlineLevel="1">
      <c r="B1238" s="345">
        <v>2111</v>
      </c>
      <c r="C1238" s="346">
        <v>107194</v>
      </c>
      <c r="D1238" s="345" t="s">
        <v>944</v>
      </c>
      <c r="E1238" s="347" t="s">
        <v>4240</v>
      </c>
      <c r="F1238" s="343" t="s">
        <v>4494</v>
      </c>
      <c r="I1238" s="345">
        <v>1</v>
      </c>
      <c r="J1238" s="347"/>
      <c r="K1238" s="345">
        <v>2006</v>
      </c>
      <c r="L1238" s="347" t="s">
        <v>2879</v>
      </c>
      <c r="M1238" s="347" t="s">
        <v>2879</v>
      </c>
      <c r="N1238" s="347" t="s">
        <v>4458</v>
      </c>
      <c r="O1238" s="347" t="s">
        <v>4441</v>
      </c>
      <c r="P1238" s="347" t="s">
        <v>1467</v>
      </c>
      <c r="Q1238" s="347"/>
      <c r="R1238" s="347"/>
      <c r="S1238" s="348">
        <v>41183</v>
      </c>
      <c r="T1238" s="348">
        <v>41183</v>
      </c>
      <c r="U1238" s="347" t="s">
        <v>2880</v>
      </c>
      <c r="V1238" s="345">
        <v>300</v>
      </c>
      <c r="W1238" s="345">
        <v>14030</v>
      </c>
      <c r="X1238" s="349">
        <v>3230.25</v>
      </c>
      <c r="Y1238" s="345">
        <v>14036</v>
      </c>
      <c r="Z1238" s="349">
        <v>3230.25</v>
      </c>
      <c r="AA1238" s="349">
        <f t="shared" si="103"/>
        <v>0</v>
      </c>
      <c r="AB1238" s="349">
        <v>0</v>
      </c>
      <c r="AC1238" s="345">
        <v>51260</v>
      </c>
      <c r="AD1238" s="349">
        <v>0</v>
      </c>
      <c r="AE1238" s="345" t="s">
        <v>944</v>
      </c>
      <c r="AF1238" s="347"/>
      <c r="AG1238" s="347"/>
      <c r="AH1238" s="347" t="s">
        <v>57</v>
      </c>
      <c r="AI1238" s="347" t="s">
        <v>4442</v>
      </c>
      <c r="AJ1238" s="347" t="s">
        <v>4443</v>
      </c>
      <c r="AK1238" s="347" t="s">
        <v>4437</v>
      </c>
      <c r="AL1238" s="387">
        <v>45574</v>
      </c>
    </row>
    <row r="1239" spans="2:38" ht="15.75" outlineLevel="1">
      <c r="B1239" s="345">
        <v>2111</v>
      </c>
      <c r="C1239" s="346">
        <v>107193</v>
      </c>
      <c r="D1239" s="345" t="s">
        <v>944</v>
      </c>
      <c r="E1239" s="347" t="s">
        <v>4240</v>
      </c>
      <c r="F1239" s="343" t="s">
        <v>4493</v>
      </c>
      <c r="I1239" s="345">
        <v>1</v>
      </c>
      <c r="J1239" s="347"/>
      <c r="K1239" s="345">
        <v>2006</v>
      </c>
      <c r="L1239" s="347" t="s">
        <v>2879</v>
      </c>
      <c r="M1239" s="347" t="s">
        <v>2879</v>
      </c>
      <c r="N1239" s="347" t="s">
        <v>4458</v>
      </c>
      <c r="O1239" s="347" t="s">
        <v>4441</v>
      </c>
      <c r="P1239" s="347" t="s">
        <v>1467</v>
      </c>
      <c r="Q1239" s="347"/>
      <c r="R1239" s="347"/>
      <c r="S1239" s="348">
        <v>41183</v>
      </c>
      <c r="T1239" s="348">
        <v>41183</v>
      </c>
      <c r="U1239" s="347" t="s">
        <v>2880</v>
      </c>
      <c r="V1239" s="345">
        <v>300</v>
      </c>
      <c r="W1239" s="345">
        <v>14030</v>
      </c>
      <c r="X1239" s="349">
        <v>3230.25</v>
      </c>
      <c r="Y1239" s="345">
        <v>14036</v>
      </c>
      <c r="Z1239" s="349">
        <v>3230.25</v>
      </c>
      <c r="AA1239" s="349">
        <f t="shared" si="103"/>
        <v>0</v>
      </c>
      <c r="AB1239" s="349">
        <v>0</v>
      </c>
      <c r="AC1239" s="345">
        <v>51260</v>
      </c>
      <c r="AD1239" s="349">
        <v>0</v>
      </c>
      <c r="AE1239" s="345" t="s">
        <v>944</v>
      </c>
      <c r="AF1239" s="347"/>
      <c r="AG1239" s="347"/>
      <c r="AH1239" s="347" t="s">
        <v>57</v>
      </c>
      <c r="AI1239" s="347" t="s">
        <v>4442</v>
      </c>
      <c r="AJ1239" s="347" t="s">
        <v>4443</v>
      </c>
      <c r="AK1239" s="347" t="s">
        <v>4437</v>
      </c>
      <c r="AL1239" s="387">
        <v>45574</v>
      </c>
    </row>
    <row r="1240" spans="2:38" ht="15.75" outlineLevel="1">
      <c r="B1240" s="345">
        <v>2111</v>
      </c>
      <c r="C1240" s="346">
        <v>107192</v>
      </c>
      <c r="D1240" s="345" t="s">
        <v>944</v>
      </c>
      <c r="E1240" s="347" t="s">
        <v>4240</v>
      </c>
      <c r="F1240" s="343" t="s">
        <v>2888</v>
      </c>
      <c r="I1240" s="345">
        <v>1</v>
      </c>
      <c r="J1240" s="347"/>
      <c r="K1240" s="345">
        <v>2006</v>
      </c>
      <c r="L1240" s="347" t="s">
        <v>2879</v>
      </c>
      <c r="M1240" s="347" t="s">
        <v>2879</v>
      </c>
      <c r="N1240" s="347" t="s">
        <v>4458</v>
      </c>
      <c r="O1240" s="347" t="s">
        <v>4441</v>
      </c>
      <c r="P1240" s="347" t="s">
        <v>1467</v>
      </c>
      <c r="Q1240" s="347"/>
      <c r="R1240" s="347"/>
      <c r="S1240" s="348">
        <v>41183</v>
      </c>
      <c r="T1240" s="348">
        <v>41183</v>
      </c>
      <c r="U1240" s="347" t="s">
        <v>2880</v>
      </c>
      <c r="V1240" s="345">
        <v>300</v>
      </c>
      <c r="W1240" s="345">
        <v>14030</v>
      </c>
      <c r="X1240" s="349">
        <v>2584.1999999999998</v>
      </c>
      <c r="Y1240" s="345">
        <v>14036</v>
      </c>
      <c r="Z1240" s="349">
        <v>2584.1999999999998</v>
      </c>
      <c r="AA1240" s="349">
        <f t="shared" si="103"/>
        <v>0</v>
      </c>
      <c r="AB1240" s="349">
        <v>0</v>
      </c>
      <c r="AC1240" s="345">
        <v>51260</v>
      </c>
      <c r="AD1240" s="349">
        <v>0</v>
      </c>
      <c r="AE1240" s="345" t="s">
        <v>944</v>
      </c>
      <c r="AF1240" s="347"/>
      <c r="AG1240" s="347"/>
      <c r="AH1240" s="347" t="s">
        <v>57</v>
      </c>
      <c r="AI1240" s="347" t="s">
        <v>4442</v>
      </c>
      <c r="AJ1240" s="347" t="s">
        <v>4443</v>
      </c>
      <c r="AK1240" s="347" t="s">
        <v>4437</v>
      </c>
      <c r="AL1240" s="387">
        <v>45574</v>
      </c>
    </row>
    <row r="1241" spans="2:38" ht="15.75" outlineLevel="1">
      <c r="B1241" s="345">
        <v>2111</v>
      </c>
      <c r="C1241" s="346">
        <v>107191</v>
      </c>
      <c r="D1241" s="345" t="s">
        <v>944</v>
      </c>
      <c r="E1241" s="347" t="s">
        <v>4240</v>
      </c>
      <c r="F1241" s="343" t="s">
        <v>2889</v>
      </c>
      <c r="I1241" s="345">
        <v>1</v>
      </c>
      <c r="J1241" s="347"/>
      <c r="K1241" s="345">
        <v>2006</v>
      </c>
      <c r="L1241" s="347" t="s">
        <v>2879</v>
      </c>
      <c r="M1241" s="347" t="s">
        <v>2879</v>
      </c>
      <c r="N1241" s="347" t="s">
        <v>4458</v>
      </c>
      <c r="O1241" s="347" t="s">
        <v>4441</v>
      </c>
      <c r="P1241" s="347" t="s">
        <v>1467</v>
      </c>
      <c r="Q1241" s="347"/>
      <c r="R1241" s="347"/>
      <c r="S1241" s="348">
        <v>41183</v>
      </c>
      <c r="T1241" s="348">
        <v>41183</v>
      </c>
      <c r="U1241" s="347" t="s">
        <v>2880</v>
      </c>
      <c r="V1241" s="345">
        <v>300</v>
      </c>
      <c r="W1241" s="345">
        <v>14030</v>
      </c>
      <c r="X1241" s="349">
        <v>5168.3999999999996</v>
      </c>
      <c r="Y1241" s="345">
        <v>14036</v>
      </c>
      <c r="Z1241" s="349">
        <v>5168.3999999999996</v>
      </c>
      <c r="AA1241" s="349">
        <f t="shared" si="103"/>
        <v>0</v>
      </c>
      <c r="AB1241" s="349">
        <v>0</v>
      </c>
      <c r="AC1241" s="345">
        <v>51260</v>
      </c>
      <c r="AD1241" s="349">
        <v>0</v>
      </c>
      <c r="AE1241" s="345" t="s">
        <v>944</v>
      </c>
      <c r="AF1241" s="347"/>
      <c r="AG1241" s="347"/>
      <c r="AH1241" s="347" t="s">
        <v>57</v>
      </c>
      <c r="AI1241" s="347" t="s">
        <v>4442</v>
      </c>
      <c r="AJ1241" s="347" t="s">
        <v>4443</v>
      </c>
      <c r="AK1241" s="347" t="s">
        <v>4437</v>
      </c>
      <c r="AL1241" s="387">
        <v>45574</v>
      </c>
    </row>
    <row r="1242" spans="2:38" ht="15.75" outlineLevel="1">
      <c r="B1242" s="345">
        <v>2111</v>
      </c>
      <c r="C1242" s="346">
        <v>107190</v>
      </c>
      <c r="D1242" s="345" t="s">
        <v>944</v>
      </c>
      <c r="E1242" s="347" t="s">
        <v>4240</v>
      </c>
      <c r="F1242" s="343" t="s">
        <v>2890</v>
      </c>
      <c r="I1242" s="345">
        <v>1</v>
      </c>
      <c r="J1242" s="347"/>
      <c r="K1242" s="345">
        <v>2006</v>
      </c>
      <c r="L1242" s="347" t="s">
        <v>2879</v>
      </c>
      <c r="M1242" s="347" t="s">
        <v>2879</v>
      </c>
      <c r="N1242" s="347" t="s">
        <v>4458</v>
      </c>
      <c r="O1242" s="347" t="s">
        <v>4441</v>
      </c>
      <c r="P1242" s="347" t="s">
        <v>1467</v>
      </c>
      <c r="Q1242" s="347"/>
      <c r="R1242" s="347"/>
      <c r="S1242" s="348">
        <v>41183</v>
      </c>
      <c r="T1242" s="348">
        <v>41183</v>
      </c>
      <c r="U1242" s="347" t="s">
        <v>2880</v>
      </c>
      <c r="V1242" s="345">
        <v>300</v>
      </c>
      <c r="W1242" s="345">
        <v>14030</v>
      </c>
      <c r="X1242" s="349">
        <v>7752.6</v>
      </c>
      <c r="Y1242" s="345">
        <v>14036</v>
      </c>
      <c r="Z1242" s="349">
        <v>7752.6</v>
      </c>
      <c r="AA1242" s="349">
        <f t="shared" si="103"/>
        <v>0</v>
      </c>
      <c r="AB1242" s="349">
        <v>0</v>
      </c>
      <c r="AC1242" s="345">
        <v>51260</v>
      </c>
      <c r="AD1242" s="349">
        <v>0</v>
      </c>
      <c r="AE1242" s="345" t="s">
        <v>944</v>
      </c>
      <c r="AF1242" s="347"/>
      <c r="AG1242" s="347"/>
      <c r="AH1242" s="347" t="s">
        <v>57</v>
      </c>
      <c r="AI1242" s="347" t="s">
        <v>4442</v>
      </c>
      <c r="AJ1242" s="347" t="s">
        <v>4443</v>
      </c>
      <c r="AK1242" s="347" t="s">
        <v>4437</v>
      </c>
      <c r="AL1242" s="387">
        <v>45574</v>
      </c>
    </row>
    <row r="1243" spans="2:38" ht="15.75" outlineLevel="1">
      <c r="B1243" s="345">
        <v>2111</v>
      </c>
      <c r="C1243" s="346">
        <v>107188</v>
      </c>
      <c r="D1243" s="345" t="s">
        <v>944</v>
      </c>
      <c r="E1243" s="347" t="s">
        <v>4240</v>
      </c>
      <c r="F1243" s="343" t="s">
        <v>283</v>
      </c>
      <c r="I1243" s="345">
        <v>1</v>
      </c>
      <c r="J1243" s="347"/>
      <c r="K1243" s="345">
        <v>0</v>
      </c>
      <c r="L1243" s="347" t="s">
        <v>1657</v>
      </c>
      <c r="M1243" s="347"/>
      <c r="N1243" s="347" t="s">
        <v>4440</v>
      </c>
      <c r="O1243" s="347" t="s">
        <v>4441</v>
      </c>
      <c r="P1243" s="347"/>
      <c r="Q1243" s="347"/>
      <c r="R1243" s="347"/>
      <c r="S1243" s="348">
        <v>41105</v>
      </c>
      <c r="T1243" s="348">
        <v>41105</v>
      </c>
      <c r="U1243" s="347" t="s">
        <v>2891</v>
      </c>
      <c r="V1243" s="345">
        <v>300</v>
      </c>
      <c r="W1243" s="345">
        <v>14110</v>
      </c>
      <c r="X1243" s="349">
        <v>649.16999999999996</v>
      </c>
      <c r="Y1243" s="345">
        <v>14116</v>
      </c>
      <c r="Z1243" s="349">
        <v>649.16999999999996</v>
      </c>
      <c r="AA1243" s="349">
        <f t="shared" si="103"/>
        <v>0</v>
      </c>
      <c r="AB1243" s="349">
        <v>0</v>
      </c>
      <c r="AC1243" s="345">
        <v>70260</v>
      </c>
      <c r="AD1243" s="349">
        <v>0</v>
      </c>
      <c r="AE1243" s="345" t="s">
        <v>944</v>
      </c>
      <c r="AF1243" s="347"/>
      <c r="AG1243" s="347"/>
      <c r="AH1243" s="347" t="s">
        <v>57</v>
      </c>
      <c r="AI1243" s="347" t="s">
        <v>4442</v>
      </c>
      <c r="AJ1243" s="347" t="s">
        <v>4443</v>
      </c>
      <c r="AK1243" s="347" t="s">
        <v>4437</v>
      </c>
      <c r="AL1243" s="387">
        <v>45574</v>
      </c>
    </row>
    <row r="1244" spans="2:38" ht="15.75" outlineLevel="1">
      <c r="B1244" s="345">
        <v>2111</v>
      </c>
      <c r="C1244" s="346">
        <v>107187</v>
      </c>
      <c r="D1244" s="345" t="s">
        <v>944</v>
      </c>
      <c r="E1244" s="347" t="s">
        <v>4240</v>
      </c>
      <c r="F1244" s="343" t="s">
        <v>282</v>
      </c>
      <c r="I1244" s="345">
        <v>1</v>
      </c>
      <c r="J1244" s="347"/>
      <c r="K1244" s="345">
        <v>0</v>
      </c>
      <c r="L1244" s="347" t="s">
        <v>2893</v>
      </c>
      <c r="M1244" s="347"/>
      <c r="N1244" s="347" t="s">
        <v>4440</v>
      </c>
      <c r="O1244" s="347" t="s">
        <v>4441</v>
      </c>
      <c r="P1244" s="347"/>
      <c r="Q1244" s="347"/>
      <c r="R1244" s="347"/>
      <c r="S1244" s="348">
        <v>40933</v>
      </c>
      <c r="T1244" s="348">
        <v>40933</v>
      </c>
      <c r="U1244" s="347" t="s">
        <v>2894</v>
      </c>
      <c r="V1244" s="345">
        <v>500</v>
      </c>
      <c r="W1244" s="345">
        <v>14110</v>
      </c>
      <c r="X1244" s="349">
        <v>564.44000000000005</v>
      </c>
      <c r="Y1244" s="345">
        <v>14116</v>
      </c>
      <c r="Z1244" s="349">
        <v>564.44000000000005</v>
      </c>
      <c r="AA1244" s="349">
        <f t="shared" si="103"/>
        <v>0</v>
      </c>
      <c r="AB1244" s="349">
        <v>0</v>
      </c>
      <c r="AC1244" s="345">
        <v>70260</v>
      </c>
      <c r="AD1244" s="349">
        <v>0</v>
      </c>
      <c r="AE1244" s="345" t="s">
        <v>944</v>
      </c>
      <c r="AF1244" s="347"/>
      <c r="AG1244" s="347"/>
      <c r="AH1244" s="347" t="s">
        <v>57</v>
      </c>
      <c r="AI1244" s="347" t="s">
        <v>4442</v>
      </c>
      <c r="AJ1244" s="347" t="s">
        <v>4443</v>
      </c>
      <c r="AK1244" s="347" t="s">
        <v>4437</v>
      </c>
      <c r="AL1244" s="387">
        <v>45574</v>
      </c>
    </row>
    <row r="1245" spans="2:38" ht="15.75" outlineLevel="1">
      <c r="B1245" s="345">
        <v>2111</v>
      </c>
      <c r="C1245" s="346">
        <v>107185</v>
      </c>
      <c r="D1245" s="345" t="s">
        <v>944</v>
      </c>
      <c r="E1245" s="347" t="s">
        <v>4240</v>
      </c>
      <c r="F1245" s="343" t="s">
        <v>2896</v>
      </c>
      <c r="I1245" s="345">
        <v>1</v>
      </c>
      <c r="J1245" s="347" t="s">
        <v>2897</v>
      </c>
      <c r="K1245" s="345">
        <v>2011</v>
      </c>
      <c r="L1245" s="347" t="s">
        <v>2879</v>
      </c>
      <c r="M1245" s="347" t="s">
        <v>2879</v>
      </c>
      <c r="N1245" s="347" t="s">
        <v>4458</v>
      </c>
      <c r="O1245" s="347" t="s">
        <v>4441</v>
      </c>
      <c r="P1245" s="347" t="s">
        <v>2898</v>
      </c>
      <c r="Q1245" s="347"/>
      <c r="R1245" s="347"/>
      <c r="S1245" s="348">
        <v>40798</v>
      </c>
      <c r="T1245" s="348">
        <v>40798</v>
      </c>
      <c r="U1245" s="347" t="s">
        <v>2899</v>
      </c>
      <c r="V1245" s="345">
        <v>900</v>
      </c>
      <c r="W1245" s="345">
        <v>14030</v>
      </c>
      <c r="X1245" s="349">
        <v>42435.72</v>
      </c>
      <c r="Y1245" s="345">
        <v>14036</v>
      </c>
      <c r="Z1245" s="349">
        <v>42435.72</v>
      </c>
      <c r="AA1245" s="349">
        <f t="shared" si="103"/>
        <v>0</v>
      </c>
      <c r="AB1245" s="349">
        <v>0</v>
      </c>
      <c r="AC1245" s="345">
        <v>51260</v>
      </c>
      <c r="AD1245" s="349">
        <v>0</v>
      </c>
      <c r="AE1245" s="345" t="s">
        <v>944</v>
      </c>
      <c r="AF1245" s="347"/>
      <c r="AG1245" s="347" t="s">
        <v>2901</v>
      </c>
      <c r="AH1245" s="347" t="s">
        <v>57</v>
      </c>
      <c r="AI1245" s="347" t="s">
        <v>4442</v>
      </c>
      <c r="AJ1245" s="347" t="s">
        <v>4443</v>
      </c>
      <c r="AK1245" s="347" t="s">
        <v>4437</v>
      </c>
      <c r="AL1245" s="387">
        <v>45574</v>
      </c>
    </row>
    <row r="1246" spans="2:38" ht="15.75" outlineLevel="1">
      <c r="B1246" s="345">
        <v>2111</v>
      </c>
      <c r="C1246" s="346">
        <v>107183</v>
      </c>
      <c r="D1246" s="345" t="s">
        <v>944</v>
      </c>
      <c r="E1246" s="347" t="s">
        <v>4240</v>
      </c>
      <c r="F1246" s="343" t="s">
        <v>2906</v>
      </c>
      <c r="I1246" s="345">
        <v>1</v>
      </c>
      <c r="J1246" s="347"/>
      <c r="K1246" s="345">
        <v>0</v>
      </c>
      <c r="L1246" s="347" t="s">
        <v>2907</v>
      </c>
      <c r="M1246" s="347"/>
      <c r="N1246" s="347" t="s">
        <v>4451</v>
      </c>
      <c r="O1246" s="347" t="s">
        <v>4441</v>
      </c>
      <c r="P1246" s="347"/>
      <c r="Q1246" s="347"/>
      <c r="R1246" s="347"/>
      <c r="S1246" s="348">
        <v>40610</v>
      </c>
      <c r="T1246" s="348">
        <v>40610</v>
      </c>
      <c r="U1246" s="347" t="s">
        <v>2904</v>
      </c>
      <c r="V1246" s="345">
        <v>500</v>
      </c>
      <c r="W1246" s="345">
        <v>14070</v>
      </c>
      <c r="X1246" s="349">
        <v>1505.44</v>
      </c>
      <c r="Y1246" s="345">
        <v>14076</v>
      </c>
      <c r="Z1246" s="349">
        <v>1505.44</v>
      </c>
      <c r="AA1246" s="349">
        <f t="shared" si="103"/>
        <v>0</v>
      </c>
      <c r="AB1246" s="349">
        <v>0</v>
      </c>
      <c r="AC1246" s="345">
        <v>51260</v>
      </c>
      <c r="AD1246" s="349">
        <v>0</v>
      </c>
      <c r="AE1246" s="345" t="s">
        <v>944</v>
      </c>
      <c r="AF1246" s="347"/>
      <c r="AG1246" s="347"/>
      <c r="AH1246" s="347" t="s">
        <v>57</v>
      </c>
      <c r="AI1246" s="347" t="s">
        <v>4442</v>
      </c>
      <c r="AJ1246" s="347" t="s">
        <v>4443</v>
      </c>
      <c r="AK1246" s="347" t="s">
        <v>4437</v>
      </c>
      <c r="AL1246" s="387">
        <v>45574</v>
      </c>
    </row>
    <row r="1247" spans="2:38" ht="15.75" outlineLevel="1">
      <c r="B1247" s="345">
        <v>2111</v>
      </c>
      <c r="C1247" s="346">
        <v>107182</v>
      </c>
      <c r="D1247" s="345" t="s">
        <v>944</v>
      </c>
      <c r="E1247" s="347" t="s">
        <v>4240</v>
      </c>
      <c r="F1247" s="343" t="s">
        <v>2906</v>
      </c>
      <c r="I1247" s="345">
        <v>1</v>
      </c>
      <c r="J1247" s="347"/>
      <c r="K1247" s="345">
        <v>0</v>
      </c>
      <c r="L1247" s="347" t="s">
        <v>2908</v>
      </c>
      <c r="M1247" s="347"/>
      <c r="N1247" s="347" t="s">
        <v>4451</v>
      </c>
      <c r="O1247" s="347" t="s">
        <v>4441</v>
      </c>
      <c r="P1247" s="347"/>
      <c r="Q1247" s="347"/>
      <c r="R1247" s="347"/>
      <c r="S1247" s="348">
        <v>40610</v>
      </c>
      <c r="T1247" s="348">
        <v>40610</v>
      </c>
      <c r="U1247" s="347" t="s">
        <v>2904</v>
      </c>
      <c r="V1247" s="345">
        <v>500</v>
      </c>
      <c r="W1247" s="345">
        <v>14070</v>
      </c>
      <c r="X1247" s="349">
        <v>736.79</v>
      </c>
      <c r="Y1247" s="345">
        <v>14076</v>
      </c>
      <c r="Z1247" s="349">
        <v>736.79</v>
      </c>
      <c r="AA1247" s="349">
        <f t="shared" si="103"/>
        <v>0</v>
      </c>
      <c r="AB1247" s="349">
        <v>0</v>
      </c>
      <c r="AC1247" s="345">
        <v>51260</v>
      </c>
      <c r="AD1247" s="349">
        <v>0</v>
      </c>
      <c r="AE1247" s="345" t="s">
        <v>944</v>
      </c>
      <c r="AF1247" s="347"/>
      <c r="AG1247" s="347"/>
      <c r="AH1247" s="347" t="s">
        <v>57</v>
      </c>
      <c r="AI1247" s="347" t="s">
        <v>4442</v>
      </c>
      <c r="AJ1247" s="347" t="s">
        <v>4443</v>
      </c>
      <c r="AK1247" s="347" t="s">
        <v>4437</v>
      </c>
      <c r="AL1247" s="387">
        <v>45574</v>
      </c>
    </row>
    <row r="1248" spans="2:38" ht="15.75" outlineLevel="1">
      <c r="B1248" s="345">
        <v>2111</v>
      </c>
      <c r="C1248" s="346">
        <v>107181</v>
      </c>
      <c r="D1248" s="345" t="s">
        <v>944</v>
      </c>
      <c r="E1248" s="347" t="s">
        <v>4240</v>
      </c>
      <c r="F1248" s="343" t="s">
        <v>2910</v>
      </c>
      <c r="I1248" s="345">
        <v>1</v>
      </c>
      <c r="J1248" s="347"/>
      <c r="K1248" s="345">
        <v>0</v>
      </c>
      <c r="L1248" s="347" t="s">
        <v>2911</v>
      </c>
      <c r="M1248" s="347"/>
      <c r="N1248" s="347" t="s">
        <v>4451</v>
      </c>
      <c r="O1248" s="347" t="s">
        <v>4441</v>
      </c>
      <c r="P1248" s="347"/>
      <c r="Q1248" s="347"/>
      <c r="R1248" s="347"/>
      <c r="S1248" s="348">
        <v>40543</v>
      </c>
      <c r="T1248" s="348">
        <v>40543</v>
      </c>
      <c r="U1248" s="347" t="s">
        <v>2912</v>
      </c>
      <c r="V1248" s="345">
        <v>500</v>
      </c>
      <c r="W1248" s="345">
        <v>14070</v>
      </c>
      <c r="X1248" s="349">
        <v>4645.25</v>
      </c>
      <c r="Y1248" s="345">
        <v>14076</v>
      </c>
      <c r="Z1248" s="349">
        <v>4645.25</v>
      </c>
      <c r="AA1248" s="349">
        <f t="shared" si="103"/>
        <v>0</v>
      </c>
      <c r="AB1248" s="349">
        <v>0</v>
      </c>
      <c r="AC1248" s="345">
        <v>51260</v>
      </c>
      <c r="AD1248" s="349">
        <v>0</v>
      </c>
      <c r="AE1248" s="345" t="s">
        <v>944</v>
      </c>
      <c r="AF1248" s="347"/>
      <c r="AG1248" s="347"/>
      <c r="AH1248" s="347" t="s">
        <v>57</v>
      </c>
      <c r="AI1248" s="347" t="s">
        <v>4442</v>
      </c>
      <c r="AJ1248" s="347" t="s">
        <v>4443</v>
      </c>
      <c r="AK1248" s="347" t="s">
        <v>4437</v>
      </c>
      <c r="AL1248" s="387">
        <v>45574</v>
      </c>
    </row>
    <row r="1249" spans="2:38" ht="15.75" outlineLevel="1">
      <c r="B1249" s="345">
        <v>2111</v>
      </c>
      <c r="C1249" s="346">
        <v>107171</v>
      </c>
      <c r="D1249" s="345" t="s">
        <v>944</v>
      </c>
      <c r="E1249" s="347" t="s">
        <v>4240</v>
      </c>
      <c r="F1249" s="343" t="s">
        <v>2914</v>
      </c>
      <c r="I1249" s="345">
        <v>1</v>
      </c>
      <c r="J1249" s="347"/>
      <c r="K1249" s="345">
        <v>0</v>
      </c>
      <c r="L1249" s="347"/>
      <c r="M1249" s="347"/>
      <c r="N1249" s="347" t="s">
        <v>4445</v>
      </c>
      <c r="O1249" s="347" t="s">
        <v>4441</v>
      </c>
      <c r="P1249" s="347" t="s">
        <v>1467</v>
      </c>
      <c r="Q1249" s="347"/>
      <c r="R1249" s="347"/>
      <c r="S1249" s="348">
        <v>38518</v>
      </c>
      <c r="T1249" s="348">
        <v>38518</v>
      </c>
      <c r="U1249" s="347"/>
      <c r="V1249" s="345">
        <v>300</v>
      </c>
      <c r="W1249" s="345">
        <v>14040</v>
      </c>
      <c r="X1249" s="349">
        <v>1215.48</v>
      </c>
      <c r="Y1249" s="345">
        <v>14046</v>
      </c>
      <c r="Z1249" s="349">
        <v>1215.48</v>
      </c>
      <c r="AA1249" s="349">
        <f t="shared" si="103"/>
        <v>0</v>
      </c>
      <c r="AB1249" s="349">
        <v>0</v>
      </c>
      <c r="AC1249" s="345">
        <v>51260</v>
      </c>
      <c r="AD1249" s="349">
        <v>0</v>
      </c>
      <c r="AE1249" s="345" t="s">
        <v>944</v>
      </c>
      <c r="AF1249" s="347">
        <v>0</v>
      </c>
      <c r="AG1249" s="347"/>
      <c r="AH1249" s="347" t="s">
        <v>57</v>
      </c>
      <c r="AI1249" s="347" t="s">
        <v>4442</v>
      </c>
      <c r="AJ1249" s="347" t="s">
        <v>4443</v>
      </c>
      <c r="AK1249" s="347" t="s">
        <v>4437</v>
      </c>
      <c r="AL1249" s="387">
        <v>45574</v>
      </c>
    </row>
    <row r="1250" spans="2:38" ht="15.75" outlineLevel="1">
      <c r="B1250" s="345">
        <v>2111</v>
      </c>
      <c r="C1250" s="346">
        <v>107169</v>
      </c>
      <c r="D1250" s="345" t="s">
        <v>944</v>
      </c>
      <c r="E1250" s="347" t="s">
        <v>4240</v>
      </c>
      <c r="F1250" s="343" t="s">
        <v>2920</v>
      </c>
      <c r="I1250" s="345">
        <v>1</v>
      </c>
      <c r="J1250" s="347" t="s">
        <v>2921</v>
      </c>
      <c r="K1250" s="345">
        <v>2008</v>
      </c>
      <c r="L1250" s="347" t="s">
        <v>2922</v>
      </c>
      <c r="M1250" s="347"/>
      <c r="N1250" s="347" t="s">
        <v>4458</v>
      </c>
      <c r="O1250" s="347" t="s">
        <v>4441</v>
      </c>
      <c r="P1250" s="347" t="s">
        <v>1546</v>
      </c>
      <c r="Q1250" s="347"/>
      <c r="R1250" s="347"/>
      <c r="S1250" s="348">
        <v>40190</v>
      </c>
      <c r="T1250" s="348">
        <v>40190</v>
      </c>
      <c r="U1250" s="347" t="s">
        <v>2923</v>
      </c>
      <c r="V1250" s="345">
        <v>800</v>
      </c>
      <c r="W1250" s="345">
        <v>14030</v>
      </c>
      <c r="X1250" s="349">
        <v>25084.35</v>
      </c>
      <c r="Y1250" s="345">
        <v>14036</v>
      </c>
      <c r="Z1250" s="349">
        <v>25084.35</v>
      </c>
      <c r="AA1250" s="349">
        <f t="shared" si="103"/>
        <v>0</v>
      </c>
      <c r="AB1250" s="349">
        <v>0</v>
      </c>
      <c r="AC1250" s="345">
        <v>51260</v>
      </c>
      <c r="AD1250" s="349">
        <v>0</v>
      </c>
      <c r="AE1250" s="345" t="s">
        <v>944</v>
      </c>
      <c r="AF1250" s="347"/>
      <c r="AG1250" s="347" t="s">
        <v>2925</v>
      </c>
      <c r="AH1250" s="347" t="s">
        <v>57</v>
      </c>
      <c r="AI1250" s="347" t="s">
        <v>4442</v>
      </c>
      <c r="AJ1250" s="347" t="s">
        <v>4443</v>
      </c>
      <c r="AK1250" s="347" t="s">
        <v>4437</v>
      </c>
      <c r="AL1250" s="387">
        <v>45574</v>
      </c>
    </row>
    <row r="1251" spans="2:38" ht="15.75" outlineLevel="1">
      <c r="B1251" s="345">
        <v>2111</v>
      </c>
      <c r="C1251" s="346">
        <v>107167</v>
      </c>
      <c r="D1251" s="345">
        <v>57325</v>
      </c>
      <c r="E1251" s="347" t="s">
        <v>4240</v>
      </c>
      <c r="F1251" s="343" t="s">
        <v>2932</v>
      </c>
      <c r="I1251" s="345">
        <v>1</v>
      </c>
      <c r="J1251" s="347"/>
      <c r="K1251" s="345">
        <v>0</v>
      </c>
      <c r="L1251" s="347" t="s">
        <v>2333</v>
      </c>
      <c r="M1251" s="347"/>
      <c r="N1251" s="347" t="s">
        <v>4451</v>
      </c>
      <c r="O1251" s="347" t="s">
        <v>4441</v>
      </c>
      <c r="P1251" s="347"/>
      <c r="Q1251" s="347"/>
      <c r="R1251" s="347"/>
      <c r="S1251" s="348">
        <v>39599</v>
      </c>
      <c r="T1251" s="348">
        <v>39599</v>
      </c>
      <c r="U1251" s="347" t="s">
        <v>2401</v>
      </c>
      <c r="V1251" s="345">
        <v>500</v>
      </c>
      <c r="W1251" s="345">
        <v>14070</v>
      </c>
      <c r="X1251" s="349">
        <v>545.42999999999995</v>
      </c>
      <c r="Y1251" s="345">
        <v>14076</v>
      </c>
      <c r="Z1251" s="349">
        <v>545.42999999999995</v>
      </c>
      <c r="AA1251" s="349">
        <f t="shared" si="103"/>
        <v>0</v>
      </c>
      <c r="AB1251" s="349">
        <v>0</v>
      </c>
      <c r="AC1251" s="345">
        <v>51260</v>
      </c>
      <c r="AD1251" s="349">
        <v>0</v>
      </c>
      <c r="AE1251" s="345" t="s">
        <v>944</v>
      </c>
      <c r="AF1251" s="347"/>
      <c r="AG1251" s="347"/>
      <c r="AH1251" s="347" t="s">
        <v>57</v>
      </c>
      <c r="AI1251" s="347" t="s">
        <v>4442</v>
      </c>
      <c r="AJ1251" s="347" t="s">
        <v>4443</v>
      </c>
      <c r="AK1251" s="347" t="s">
        <v>4437</v>
      </c>
      <c r="AL1251" s="387">
        <v>45574</v>
      </c>
    </row>
    <row r="1252" spans="2:38" ht="15.75" outlineLevel="1">
      <c r="B1252" s="345">
        <v>2111</v>
      </c>
      <c r="C1252" s="346">
        <v>107165</v>
      </c>
      <c r="D1252" s="345" t="s">
        <v>944</v>
      </c>
      <c r="E1252" s="347" t="s">
        <v>4240</v>
      </c>
      <c r="F1252" s="343" t="s">
        <v>2933</v>
      </c>
      <c r="I1252" s="345">
        <v>1</v>
      </c>
      <c r="J1252" s="347">
        <v>0</v>
      </c>
      <c r="K1252" s="345">
        <v>0</v>
      </c>
      <c r="L1252" s="347" t="s">
        <v>2934</v>
      </c>
      <c r="M1252" s="347"/>
      <c r="N1252" s="347" t="s">
        <v>4451</v>
      </c>
      <c r="O1252" s="347" t="s">
        <v>4441</v>
      </c>
      <c r="P1252" s="347"/>
      <c r="Q1252" s="347"/>
      <c r="R1252" s="347"/>
      <c r="S1252" s="348">
        <v>38807</v>
      </c>
      <c r="T1252" s="348">
        <v>38807</v>
      </c>
      <c r="U1252" s="347" t="s">
        <v>2935</v>
      </c>
      <c r="V1252" s="345">
        <v>500</v>
      </c>
      <c r="W1252" s="345">
        <v>14070</v>
      </c>
      <c r="X1252" s="349">
        <v>3088.83</v>
      </c>
      <c r="Y1252" s="345">
        <v>14076</v>
      </c>
      <c r="Z1252" s="349">
        <v>3088.83</v>
      </c>
      <c r="AA1252" s="349">
        <f t="shared" si="103"/>
        <v>0</v>
      </c>
      <c r="AB1252" s="349">
        <v>0</v>
      </c>
      <c r="AC1252" s="345">
        <v>51260</v>
      </c>
      <c r="AD1252" s="349">
        <v>0</v>
      </c>
      <c r="AE1252" s="345" t="s">
        <v>944</v>
      </c>
      <c r="AF1252" s="347"/>
      <c r="AG1252" s="347"/>
      <c r="AH1252" s="347" t="s">
        <v>57</v>
      </c>
      <c r="AI1252" s="347" t="s">
        <v>4442</v>
      </c>
      <c r="AJ1252" s="347" t="s">
        <v>4443</v>
      </c>
      <c r="AK1252" s="347" t="s">
        <v>4437</v>
      </c>
      <c r="AL1252" s="387">
        <v>45574</v>
      </c>
    </row>
    <row r="1253" spans="2:38" ht="15.75" outlineLevel="1">
      <c r="B1253" s="345">
        <v>2111</v>
      </c>
      <c r="C1253" s="346">
        <v>107163</v>
      </c>
      <c r="D1253" s="345" t="s">
        <v>944</v>
      </c>
      <c r="E1253" s="347" t="s">
        <v>4240</v>
      </c>
      <c r="F1253" s="343" t="s">
        <v>2936</v>
      </c>
      <c r="I1253" s="345">
        <v>1</v>
      </c>
      <c r="J1253" s="347" t="s">
        <v>2937</v>
      </c>
      <c r="K1253" s="345">
        <v>1996</v>
      </c>
      <c r="L1253" s="347" t="s">
        <v>2578</v>
      </c>
      <c r="M1253" s="347" t="s">
        <v>2214</v>
      </c>
      <c r="N1253" s="347" t="s">
        <v>4445</v>
      </c>
      <c r="O1253" s="347" t="s">
        <v>4441</v>
      </c>
      <c r="P1253" s="347" t="s">
        <v>4492</v>
      </c>
      <c r="Q1253" s="347"/>
      <c r="R1253" s="347"/>
      <c r="S1253" s="348">
        <v>35298</v>
      </c>
      <c r="T1253" s="348">
        <v>35298</v>
      </c>
      <c r="U1253" s="347"/>
      <c r="V1253" s="345">
        <v>1000</v>
      </c>
      <c r="W1253" s="345">
        <v>14040</v>
      </c>
      <c r="X1253" s="349">
        <v>29045.200000000001</v>
      </c>
      <c r="Y1253" s="345">
        <v>14046</v>
      </c>
      <c r="Z1253" s="349">
        <v>29045.200000000001</v>
      </c>
      <c r="AA1253" s="349">
        <f t="shared" ref="AA1253:AA1316" si="104">+X1253-Z1253</f>
        <v>0</v>
      </c>
      <c r="AB1253" s="349">
        <v>0</v>
      </c>
      <c r="AC1253" s="345">
        <v>51260</v>
      </c>
      <c r="AD1253" s="349">
        <v>0</v>
      </c>
      <c r="AE1253" s="345" t="s">
        <v>410</v>
      </c>
      <c r="AF1253" s="347" t="s">
        <v>2939</v>
      </c>
      <c r="AG1253" s="347" t="s">
        <v>2940</v>
      </c>
      <c r="AH1253" s="347" t="s">
        <v>57</v>
      </c>
      <c r="AI1253" s="347" t="s">
        <v>4442</v>
      </c>
      <c r="AJ1253" s="347" t="s">
        <v>4443</v>
      </c>
      <c r="AK1253" s="347" t="s">
        <v>4437</v>
      </c>
      <c r="AL1253" s="387">
        <v>45574</v>
      </c>
    </row>
    <row r="1254" spans="2:38" ht="15.75" outlineLevel="1">
      <c r="B1254" s="345">
        <v>2111</v>
      </c>
      <c r="C1254" s="346">
        <v>107162</v>
      </c>
      <c r="D1254" s="345" t="s">
        <v>944</v>
      </c>
      <c r="E1254" s="347" t="s">
        <v>4240</v>
      </c>
      <c r="F1254" s="343" t="s">
        <v>2941</v>
      </c>
      <c r="I1254" s="345">
        <v>1</v>
      </c>
      <c r="J1254" s="347" t="s">
        <v>2942</v>
      </c>
      <c r="K1254" s="345">
        <v>0</v>
      </c>
      <c r="L1254" s="347" t="s">
        <v>2550</v>
      </c>
      <c r="M1254" s="347"/>
      <c r="N1254" s="347" t="s">
        <v>4440</v>
      </c>
      <c r="O1254" s="347" t="s">
        <v>4441</v>
      </c>
      <c r="P1254" s="347"/>
      <c r="Q1254" s="347"/>
      <c r="R1254" s="347"/>
      <c r="S1254" s="348">
        <v>38076</v>
      </c>
      <c r="T1254" s="348">
        <v>38076</v>
      </c>
      <c r="U1254" s="347"/>
      <c r="V1254" s="345">
        <v>300</v>
      </c>
      <c r="W1254" s="345">
        <v>14110</v>
      </c>
      <c r="X1254" s="349">
        <v>658.47</v>
      </c>
      <c r="Y1254" s="345">
        <v>14116</v>
      </c>
      <c r="Z1254" s="349">
        <v>658.47</v>
      </c>
      <c r="AA1254" s="349">
        <f t="shared" si="104"/>
        <v>0</v>
      </c>
      <c r="AB1254" s="349">
        <v>0</v>
      </c>
      <c r="AC1254" s="345">
        <v>70260</v>
      </c>
      <c r="AD1254" s="349">
        <v>0</v>
      </c>
      <c r="AE1254" s="345" t="s">
        <v>944</v>
      </c>
      <c r="AF1254" s="347">
        <v>0</v>
      </c>
      <c r="AG1254" s="347"/>
      <c r="AH1254" s="347" t="s">
        <v>57</v>
      </c>
      <c r="AI1254" s="347" t="s">
        <v>4442</v>
      </c>
      <c r="AJ1254" s="347" t="s">
        <v>4443</v>
      </c>
      <c r="AK1254" s="347" t="s">
        <v>4437</v>
      </c>
      <c r="AL1254" s="387">
        <v>45574</v>
      </c>
    </row>
    <row r="1255" spans="2:38" ht="15.75" outlineLevel="1">
      <c r="B1255" s="345">
        <v>2111</v>
      </c>
      <c r="C1255" s="346">
        <v>107161</v>
      </c>
      <c r="D1255" s="345" t="s">
        <v>944</v>
      </c>
      <c r="E1255" s="347" t="s">
        <v>4240</v>
      </c>
      <c r="F1255" s="343" t="s">
        <v>2941</v>
      </c>
      <c r="I1255" s="345">
        <v>1</v>
      </c>
      <c r="J1255" s="347" t="s">
        <v>2942</v>
      </c>
      <c r="K1255" s="345">
        <v>0</v>
      </c>
      <c r="L1255" s="347" t="s">
        <v>2550</v>
      </c>
      <c r="M1255" s="347"/>
      <c r="N1255" s="347" t="s">
        <v>4440</v>
      </c>
      <c r="O1255" s="347" t="s">
        <v>4441</v>
      </c>
      <c r="P1255" s="347"/>
      <c r="Q1255" s="347"/>
      <c r="R1255" s="347"/>
      <c r="S1255" s="348">
        <v>38076</v>
      </c>
      <c r="T1255" s="348">
        <v>38076</v>
      </c>
      <c r="U1255" s="347"/>
      <c r="V1255" s="345">
        <v>300</v>
      </c>
      <c r="W1255" s="345">
        <v>14110</v>
      </c>
      <c r="X1255" s="349">
        <v>817</v>
      </c>
      <c r="Y1255" s="345">
        <v>14116</v>
      </c>
      <c r="Z1255" s="349">
        <v>817</v>
      </c>
      <c r="AA1255" s="349">
        <f t="shared" si="104"/>
        <v>0</v>
      </c>
      <c r="AB1255" s="349">
        <v>0</v>
      </c>
      <c r="AC1255" s="345">
        <v>70260</v>
      </c>
      <c r="AD1255" s="349">
        <v>0</v>
      </c>
      <c r="AE1255" s="345" t="s">
        <v>944</v>
      </c>
      <c r="AF1255" s="347">
        <v>0</v>
      </c>
      <c r="AG1255" s="347"/>
      <c r="AH1255" s="347" t="s">
        <v>57</v>
      </c>
      <c r="AI1255" s="347" t="s">
        <v>4442</v>
      </c>
      <c r="AJ1255" s="347" t="s">
        <v>4443</v>
      </c>
      <c r="AK1255" s="347" t="s">
        <v>4437</v>
      </c>
      <c r="AL1255" s="387">
        <v>45574</v>
      </c>
    </row>
    <row r="1256" spans="2:38" ht="15.75" outlineLevel="1">
      <c r="B1256" s="345">
        <v>2111</v>
      </c>
      <c r="C1256" s="346">
        <v>107160</v>
      </c>
      <c r="D1256" s="345" t="s">
        <v>944</v>
      </c>
      <c r="E1256" s="347" t="s">
        <v>4240</v>
      </c>
      <c r="F1256" s="343" t="s">
        <v>2944</v>
      </c>
      <c r="I1256" s="345">
        <v>1</v>
      </c>
      <c r="J1256" s="347"/>
      <c r="K1256" s="345">
        <v>0</v>
      </c>
      <c r="L1256" s="347" t="s">
        <v>2945</v>
      </c>
      <c r="M1256" s="347"/>
      <c r="N1256" s="347" t="s">
        <v>4453</v>
      </c>
      <c r="O1256" s="347" t="s">
        <v>4441</v>
      </c>
      <c r="P1256" s="347"/>
      <c r="Q1256" s="347"/>
      <c r="R1256" s="347"/>
      <c r="S1256" s="348">
        <v>37741</v>
      </c>
      <c r="T1256" s="348">
        <v>37741</v>
      </c>
      <c r="U1256" s="347"/>
      <c r="V1256" s="345">
        <v>300</v>
      </c>
      <c r="W1256" s="345">
        <v>14100</v>
      </c>
      <c r="X1256" s="349">
        <v>2165</v>
      </c>
      <c r="Y1256" s="345">
        <v>14106</v>
      </c>
      <c r="Z1256" s="349">
        <v>2165</v>
      </c>
      <c r="AA1256" s="349">
        <f t="shared" si="104"/>
        <v>0</v>
      </c>
      <c r="AB1256" s="349">
        <v>0</v>
      </c>
      <c r="AC1256" s="345">
        <v>70260</v>
      </c>
      <c r="AD1256" s="349">
        <v>0</v>
      </c>
      <c r="AE1256" s="345" t="s">
        <v>944</v>
      </c>
      <c r="AF1256" s="347"/>
      <c r="AG1256" s="347"/>
      <c r="AH1256" s="347" t="s">
        <v>57</v>
      </c>
      <c r="AI1256" s="347" t="s">
        <v>4442</v>
      </c>
      <c r="AJ1256" s="347" t="s">
        <v>4443</v>
      </c>
      <c r="AK1256" s="347" t="s">
        <v>4437</v>
      </c>
      <c r="AL1256" s="387">
        <v>45574</v>
      </c>
    </row>
    <row r="1257" spans="2:38" ht="15.75" outlineLevel="1">
      <c r="B1257" s="345">
        <v>2111</v>
      </c>
      <c r="C1257" s="346">
        <v>107159</v>
      </c>
      <c r="D1257" s="345" t="s">
        <v>944</v>
      </c>
      <c r="E1257" s="347" t="s">
        <v>4240</v>
      </c>
      <c r="F1257" s="343" t="s">
        <v>2948</v>
      </c>
      <c r="I1257" s="345">
        <v>1</v>
      </c>
      <c r="J1257" s="347" t="s">
        <v>2949</v>
      </c>
      <c r="K1257" s="345">
        <v>1995</v>
      </c>
      <c r="L1257" s="347" t="s">
        <v>2578</v>
      </c>
      <c r="M1257" s="347" t="s">
        <v>2214</v>
      </c>
      <c r="N1257" s="347" t="s">
        <v>4458</v>
      </c>
      <c r="O1257" s="347" t="s">
        <v>4441</v>
      </c>
      <c r="P1257" s="347" t="s">
        <v>2662</v>
      </c>
      <c r="Q1257" s="347"/>
      <c r="R1257" s="347"/>
      <c r="S1257" s="348">
        <v>37741</v>
      </c>
      <c r="T1257" s="348">
        <v>37741</v>
      </c>
      <c r="U1257" s="347" t="s">
        <v>2950</v>
      </c>
      <c r="V1257" s="345">
        <v>700</v>
      </c>
      <c r="W1257" s="345">
        <v>14030</v>
      </c>
      <c r="X1257" s="349">
        <v>24969.599999999999</v>
      </c>
      <c r="Y1257" s="345">
        <v>14036</v>
      </c>
      <c r="Z1257" s="349">
        <v>24969.599999999999</v>
      </c>
      <c r="AA1257" s="349">
        <f t="shared" si="104"/>
        <v>0</v>
      </c>
      <c r="AB1257" s="349">
        <v>0</v>
      </c>
      <c r="AC1257" s="345">
        <v>51260</v>
      </c>
      <c r="AD1257" s="349">
        <v>0</v>
      </c>
      <c r="AE1257" s="345" t="s">
        <v>944</v>
      </c>
      <c r="AF1257" s="347">
        <v>0</v>
      </c>
      <c r="AG1257" s="347" t="s">
        <v>2951</v>
      </c>
      <c r="AH1257" s="347" t="s">
        <v>57</v>
      </c>
      <c r="AI1257" s="347" t="s">
        <v>4442</v>
      </c>
      <c r="AJ1257" s="347" t="s">
        <v>4443</v>
      </c>
      <c r="AK1257" s="347" t="s">
        <v>4437</v>
      </c>
      <c r="AL1257" s="387">
        <v>45574</v>
      </c>
    </row>
    <row r="1258" spans="2:38" ht="15.75" outlineLevel="1">
      <c r="B1258" s="345">
        <v>2111</v>
      </c>
      <c r="C1258" s="346">
        <v>107157</v>
      </c>
      <c r="D1258" s="345" t="s">
        <v>944</v>
      </c>
      <c r="E1258" s="347" t="s">
        <v>4240</v>
      </c>
      <c r="F1258" s="343" t="s">
        <v>2952</v>
      </c>
      <c r="I1258" s="345">
        <v>1</v>
      </c>
      <c r="J1258" s="347" t="s">
        <v>2953</v>
      </c>
      <c r="K1258" s="345">
        <v>0</v>
      </c>
      <c r="L1258" s="347" t="s">
        <v>2954</v>
      </c>
      <c r="M1258" s="347"/>
      <c r="N1258" s="347" t="s">
        <v>4440</v>
      </c>
      <c r="O1258" s="347" t="s">
        <v>4441</v>
      </c>
      <c r="P1258" s="347"/>
      <c r="Q1258" s="347"/>
      <c r="R1258" s="347"/>
      <c r="S1258" s="348">
        <v>36566</v>
      </c>
      <c r="T1258" s="348">
        <v>36566</v>
      </c>
      <c r="U1258" s="347" t="s">
        <v>2955</v>
      </c>
      <c r="V1258" s="345">
        <v>500</v>
      </c>
      <c r="W1258" s="345">
        <v>14110</v>
      </c>
      <c r="X1258" s="349">
        <v>466.52</v>
      </c>
      <c r="Y1258" s="345">
        <v>14116</v>
      </c>
      <c r="Z1258" s="349">
        <v>466.52</v>
      </c>
      <c r="AA1258" s="349">
        <f t="shared" si="104"/>
        <v>0</v>
      </c>
      <c r="AB1258" s="349">
        <v>0</v>
      </c>
      <c r="AC1258" s="345">
        <v>70260</v>
      </c>
      <c r="AD1258" s="349">
        <v>0</v>
      </c>
      <c r="AE1258" s="345" t="s">
        <v>944</v>
      </c>
      <c r="AF1258" s="347"/>
      <c r="AG1258" s="347"/>
      <c r="AH1258" s="347" t="s">
        <v>57</v>
      </c>
      <c r="AI1258" s="347" t="s">
        <v>4442</v>
      </c>
      <c r="AJ1258" s="347" t="s">
        <v>4443</v>
      </c>
      <c r="AK1258" s="347" t="s">
        <v>4437</v>
      </c>
      <c r="AL1258" s="387">
        <v>45574</v>
      </c>
    </row>
    <row r="1259" spans="2:38" ht="15.75" outlineLevel="1">
      <c r="B1259" s="345">
        <v>2111</v>
      </c>
      <c r="C1259" s="346">
        <v>107018</v>
      </c>
      <c r="D1259" s="345">
        <v>107016</v>
      </c>
      <c r="E1259" s="347" t="s">
        <v>4240</v>
      </c>
      <c r="F1259" s="343" t="s">
        <v>2956</v>
      </c>
      <c r="I1259" s="345">
        <v>1</v>
      </c>
      <c r="J1259" s="347"/>
      <c r="K1259" s="345">
        <v>0</v>
      </c>
      <c r="L1259" s="347"/>
      <c r="M1259" s="347"/>
      <c r="N1259" s="347" t="s">
        <v>4445</v>
      </c>
      <c r="O1259" s="347" t="s">
        <v>4441</v>
      </c>
      <c r="P1259" s="347" t="s">
        <v>1467</v>
      </c>
      <c r="Q1259" s="347"/>
      <c r="R1259" s="347"/>
      <c r="S1259" s="348">
        <v>39882</v>
      </c>
      <c r="T1259" s="348">
        <v>39882</v>
      </c>
      <c r="U1259" s="347" t="s">
        <v>2957</v>
      </c>
      <c r="V1259" s="345">
        <v>300</v>
      </c>
      <c r="W1259" s="345">
        <v>14040</v>
      </c>
      <c r="X1259" s="349">
        <v>13401.78</v>
      </c>
      <c r="Y1259" s="345">
        <v>14046</v>
      </c>
      <c r="Z1259" s="349">
        <v>13401.78</v>
      </c>
      <c r="AA1259" s="349">
        <f t="shared" si="104"/>
        <v>0</v>
      </c>
      <c r="AB1259" s="349">
        <v>0</v>
      </c>
      <c r="AC1259" s="345">
        <v>51260</v>
      </c>
      <c r="AD1259" s="349">
        <v>0</v>
      </c>
      <c r="AE1259" s="345" t="s">
        <v>944</v>
      </c>
      <c r="AF1259" s="347"/>
      <c r="AG1259" s="347"/>
      <c r="AH1259" s="347" t="s">
        <v>57</v>
      </c>
      <c r="AI1259" s="347" t="s">
        <v>4442</v>
      </c>
      <c r="AJ1259" s="347" t="s">
        <v>4443</v>
      </c>
      <c r="AK1259" s="347" t="s">
        <v>4437</v>
      </c>
      <c r="AL1259" s="387">
        <v>45574</v>
      </c>
    </row>
    <row r="1260" spans="2:38" ht="15.75" outlineLevel="1">
      <c r="B1260" s="345">
        <v>2111</v>
      </c>
      <c r="C1260" s="346">
        <v>107017</v>
      </c>
      <c r="D1260" s="345">
        <v>107016</v>
      </c>
      <c r="E1260" s="347" t="s">
        <v>4240</v>
      </c>
      <c r="F1260" s="343" t="s">
        <v>2958</v>
      </c>
      <c r="I1260" s="345">
        <v>1</v>
      </c>
      <c r="J1260" s="347"/>
      <c r="K1260" s="345">
        <v>0</v>
      </c>
      <c r="L1260" s="347"/>
      <c r="M1260" s="347"/>
      <c r="N1260" s="347" t="s">
        <v>4445</v>
      </c>
      <c r="O1260" s="347" t="s">
        <v>4441</v>
      </c>
      <c r="P1260" s="347" t="s">
        <v>1467</v>
      </c>
      <c r="Q1260" s="347"/>
      <c r="R1260" s="347"/>
      <c r="S1260" s="348">
        <v>39882</v>
      </c>
      <c r="T1260" s="348">
        <v>39882</v>
      </c>
      <c r="U1260" s="347" t="s">
        <v>2957</v>
      </c>
      <c r="V1260" s="345">
        <v>300</v>
      </c>
      <c r="W1260" s="345">
        <v>14040</v>
      </c>
      <c r="X1260" s="349">
        <v>7500</v>
      </c>
      <c r="Y1260" s="345">
        <v>14046</v>
      </c>
      <c r="Z1260" s="349">
        <v>7500</v>
      </c>
      <c r="AA1260" s="349">
        <f t="shared" si="104"/>
        <v>0</v>
      </c>
      <c r="AB1260" s="349">
        <v>0</v>
      </c>
      <c r="AC1260" s="345">
        <v>51260</v>
      </c>
      <c r="AD1260" s="349">
        <v>0</v>
      </c>
      <c r="AE1260" s="345" t="s">
        <v>944</v>
      </c>
      <c r="AF1260" s="347"/>
      <c r="AG1260" s="347"/>
      <c r="AH1260" s="347" t="s">
        <v>57</v>
      </c>
      <c r="AI1260" s="347" t="s">
        <v>4442</v>
      </c>
      <c r="AJ1260" s="347" t="s">
        <v>4443</v>
      </c>
      <c r="AK1260" s="347" t="s">
        <v>4437</v>
      </c>
      <c r="AL1260" s="387">
        <v>45574</v>
      </c>
    </row>
    <row r="1261" spans="2:38" ht="15.75" outlineLevel="1">
      <c r="B1261" s="345">
        <v>2111</v>
      </c>
      <c r="C1261" s="346">
        <v>107016</v>
      </c>
      <c r="D1261" s="345" t="s">
        <v>944</v>
      </c>
      <c r="E1261" s="347" t="s">
        <v>4240</v>
      </c>
      <c r="F1261" s="343" t="s">
        <v>2959</v>
      </c>
      <c r="I1261" s="345">
        <v>1</v>
      </c>
      <c r="J1261" s="347" t="s">
        <v>2960</v>
      </c>
      <c r="K1261" s="345">
        <v>2003</v>
      </c>
      <c r="L1261" s="347" t="s">
        <v>2961</v>
      </c>
      <c r="M1261" s="347" t="s">
        <v>2214</v>
      </c>
      <c r="N1261" s="347" t="s">
        <v>4445</v>
      </c>
      <c r="O1261" s="347" t="s">
        <v>4441</v>
      </c>
      <c r="P1261" s="347" t="s">
        <v>1575</v>
      </c>
      <c r="Q1261" s="347"/>
      <c r="R1261" s="347"/>
      <c r="S1261" s="348">
        <v>37881</v>
      </c>
      <c r="T1261" s="348">
        <v>37881</v>
      </c>
      <c r="U1261" s="347"/>
      <c r="V1261" s="345">
        <v>700</v>
      </c>
      <c r="W1261" s="345">
        <v>14040</v>
      </c>
      <c r="X1261" s="349">
        <v>40000</v>
      </c>
      <c r="Y1261" s="345">
        <v>14046</v>
      </c>
      <c r="Z1261" s="349">
        <v>40000</v>
      </c>
      <c r="AA1261" s="349">
        <f t="shared" si="104"/>
        <v>0</v>
      </c>
      <c r="AB1261" s="349">
        <v>0</v>
      </c>
      <c r="AC1261" s="345">
        <v>51260</v>
      </c>
      <c r="AD1261" s="349">
        <v>0</v>
      </c>
      <c r="AE1261" s="345" t="s">
        <v>410</v>
      </c>
      <c r="AF1261" s="347" t="s">
        <v>2962</v>
      </c>
      <c r="AG1261" s="347" t="s">
        <v>354</v>
      </c>
      <c r="AH1261" s="347" t="s">
        <v>57</v>
      </c>
      <c r="AI1261" s="347" t="s">
        <v>4442</v>
      </c>
      <c r="AJ1261" s="347" t="s">
        <v>4443</v>
      </c>
      <c r="AK1261" s="347" t="s">
        <v>4437</v>
      </c>
      <c r="AL1261" s="387">
        <v>45574</v>
      </c>
    </row>
    <row r="1262" spans="2:38" ht="15.75" outlineLevel="1">
      <c r="B1262" s="345">
        <v>2111</v>
      </c>
      <c r="C1262" s="346">
        <v>107015</v>
      </c>
      <c r="D1262" s="345">
        <v>107013</v>
      </c>
      <c r="E1262" s="347" t="s">
        <v>4240</v>
      </c>
      <c r="F1262" s="343" t="s">
        <v>2963</v>
      </c>
      <c r="I1262" s="345">
        <v>1</v>
      </c>
      <c r="J1262" s="347"/>
      <c r="K1262" s="345">
        <v>0</v>
      </c>
      <c r="L1262" s="347"/>
      <c r="M1262" s="347"/>
      <c r="N1262" s="347" t="s">
        <v>4445</v>
      </c>
      <c r="O1262" s="347" t="s">
        <v>4441</v>
      </c>
      <c r="P1262" s="347" t="s">
        <v>1467</v>
      </c>
      <c r="Q1262" s="347"/>
      <c r="R1262" s="347"/>
      <c r="S1262" s="348">
        <v>39975</v>
      </c>
      <c r="T1262" s="348">
        <v>39975</v>
      </c>
      <c r="U1262" s="347" t="s">
        <v>2964</v>
      </c>
      <c r="V1262" s="345">
        <v>300</v>
      </c>
      <c r="W1262" s="345">
        <v>14040</v>
      </c>
      <c r="X1262" s="349">
        <v>13520.5</v>
      </c>
      <c r="Y1262" s="345">
        <v>14046</v>
      </c>
      <c r="Z1262" s="349">
        <v>13520.5</v>
      </c>
      <c r="AA1262" s="349">
        <f t="shared" si="104"/>
        <v>0</v>
      </c>
      <c r="AB1262" s="349">
        <v>0</v>
      </c>
      <c r="AC1262" s="345">
        <v>51260</v>
      </c>
      <c r="AD1262" s="349">
        <v>0</v>
      </c>
      <c r="AE1262" s="345" t="s">
        <v>944</v>
      </c>
      <c r="AF1262" s="347"/>
      <c r="AG1262" s="347"/>
      <c r="AH1262" s="347" t="s">
        <v>57</v>
      </c>
      <c r="AI1262" s="347" t="s">
        <v>4442</v>
      </c>
      <c r="AJ1262" s="347" t="s">
        <v>4443</v>
      </c>
      <c r="AK1262" s="347" t="s">
        <v>4437</v>
      </c>
      <c r="AL1262" s="387">
        <v>45574</v>
      </c>
    </row>
    <row r="1263" spans="2:38" ht="15.75" outlineLevel="1">
      <c r="B1263" s="345">
        <v>2111</v>
      </c>
      <c r="C1263" s="346">
        <v>107014</v>
      </c>
      <c r="D1263" s="345">
        <v>107013</v>
      </c>
      <c r="E1263" s="347" t="s">
        <v>4240</v>
      </c>
      <c r="F1263" s="343" t="s">
        <v>2965</v>
      </c>
      <c r="I1263" s="345">
        <v>1</v>
      </c>
      <c r="J1263" s="347"/>
      <c r="K1263" s="345">
        <v>0</v>
      </c>
      <c r="L1263" s="347"/>
      <c r="M1263" s="347"/>
      <c r="N1263" s="347" t="s">
        <v>4445</v>
      </c>
      <c r="O1263" s="347" t="s">
        <v>4441</v>
      </c>
      <c r="P1263" s="347" t="s">
        <v>1467</v>
      </c>
      <c r="Q1263" s="347"/>
      <c r="R1263" s="347"/>
      <c r="S1263" s="348">
        <v>39975</v>
      </c>
      <c r="T1263" s="348">
        <v>39975</v>
      </c>
      <c r="U1263" s="347" t="s">
        <v>2964</v>
      </c>
      <c r="V1263" s="345">
        <v>300</v>
      </c>
      <c r="W1263" s="345">
        <v>14040</v>
      </c>
      <c r="X1263" s="349">
        <v>7500</v>
      </c>
      <c r="Y1263" s="345">
        <v>14046</v>
      </c>
      <c r="Z1263" s="349">
        <v>7500</v>
      </c>
      <c r="AA1263" s="349">
        <f t="shared" si="104"/>
        <v>0</v>
      </c>
      <c r="AB1263" s="349">
        <v>0</v>
      </c>
      <c r="AC1263" s="345">
        <v>51260</v>
      </c>
      <c r="AD1263" s="349">
        <v>0</v>
      </c>
      <c r="AE1263" s="345" t="s">
        <v>944</v>
      </c>
      <c r="AF1263" s="347"/>
      <c r="AG1263" s="347"/>
      <c r="AH1263" s="347" t="s">
        <v>57</v>
      </c>
      <c r="AI1263" s="347" t="s">
        <v>4442</v>
      </c>
      <c r="AJ1263" s="347" t="s">
        <v>4443</v>
      </c>
      <c r="AK1263" s="347" t="s">
        <v>4437</v>
      </c>
      <c r="AL1263" s="387">
        <v>45574</v>
      </c>
    </row>
    <row r="1264" spans="2:38" ht="15.75" outlineLevel="1">
      <c r="B1264" s="345">
        <v>2111</v>
      </c>
      <c r="C1264" s="346">
        <v>107013</v>
      </c>
      <c r="D1264" s="345" t="s">
        <v>944</v>
      </c>
      <c r="E1264" s="347" t="s">
        <v>4240</v>
      </c>
      <c r="F1264" s="343" t="s">
        <v>2959</v>
      </c>
      <c r="I1264" s="345">
        <v>1</v>
      </c>
      <c r="J1264" s="347" t="s">
        <v>2966</v>
      </c>
      <c r="K1264" s="345">
        <v>2003</v>
      </c>
      <c r="L1264" s="347" t="s">
        <v>2961</v>
      </c>
      <c r="M1264" s="347" t="s">
        <v>2214</v>
      </c>
      <c r="N1264" s="347" t="s">
        <v>4445</v>
      </c>
      <c r="O1264" s="347" t="s">
        <v>4441</v>
      </c>
      <c r="P1264" s="347" t="s">
        <v>1575</v>
      </c>
      <c r="Q1264" s="347"/>
      <c r="R1264" s="347"/>
      <c r="S1264" s="348">
        <v>37881</v>
      </c>
      <c r="T1264" s="348">
        <v>37881</v>
      </c>
      <c r="U1264" s="347"/>
      <c r="V1264" s="345">
        <v>700</v>
      </c>
      <c r="W1264" s="345">
        <v>14040</v>
      </c>
      <c r="X1264" s="349">
        <v>40000</v>
      </c>
      <c r="Y1264" s="345">
        <v>14046</v>
      </c>
      <c r="Z1264" s="349">
        <v>40000</v>
      </c>
      <c r="AA1264" s="349">
        <f t="shared" si="104"/>
        <v>0</v>
      </c>
      <c r="AB1264" s="349">
        <v>0</v>
      </c>
      <c r="AC1264" s="345">
        <v>51260</v>
      </c>
      <c r="AD1264" s="349">
        <v>0</v>
      </c>
      <c r="AE1264" s="345" t="s">
        <v>410</v>
      </c>
      <c r="AF1264" s="347" t="s">
        <v>2962</v>
      </c>
      <c r="AG1264" s="347" t="s">
        <v>353</v>
      </c>
      <c r="AH1264" s="347" t="s">
        <v>57</v>
      </c>
      <c r="AI1264" s="347" t="s">
        <v>4442</v>
      </c>
      <c r="AJ1264" s="347" t="s">
        <v>4443</v>
      </c>
      <c r="AK1264" s="347" t="s">
        <v>4437</v>
      </c>
      <c r="AL1264" s="387">
        <v>45574</v>
      </c>
    </row>
    <row r="1265" spans="2:38" ht="15.75" outlineLevel="1">
      <c r="B1265" s="345">
        <v>2111</v>
      </c>
      <c r="C1265" s="346">
        <v>107012</v>
      </c>
      <c r="D1265" s="345">
        <v>107009</v>
      </c>
      <c r="E1265" s="347" t="s">
        <v>4240</v>
      </c>
      <c r="F1265" s="343" t="s">
        <v>2967</v>
      </c>
      <c r="I1265" s="345">
        <v>1</v>
      </c>
      <c r="J1265" s="347"/>
      <c r="K1265" s="345">
        <v>0</v>
      </c>
      <c r="L1265" s="347" t="s">
        <v>2968</v>
      </c>
      <c r="M1265" s="347"/>
      <c r="N1265" s="347" t="s">
        <v>4445</v>
      </c>
      <c r="O1265" s="347" t="s">
        <v>4441</v>
      </c>
      <c r="P1265" s="347" t="s">
        <v>1467</v>
      </c>
      <c r="Q1265" s="347"/>
      <c r="R1265" s="347"/>
      <c r="S1265" s="348">
        <v>40532</v>
      </c>
      <c r="T1265" s="348">
        <v>40532</v>
      </c>
      <c r="U1265" s="347" t="s">
        <v>2969</v>
      </c>
      <c r="V1265" s="345">
        <v>300</v>
      </c>
      <c r="W1265" s="345">
        <v>14040</v>
      </c>
      <c r="X1265" s="349">
        <v>13314.76</v>
      </c>
      <c r="Y1265" s="345">
        <v>14046</v>
      </c>
      <c r="Z1265" s="349">
        <v>13314.76</v>
      </c>
      <c r="AA1265" s="349">
        <f t="shared" si="104"/>
        <v>0</v>
      </c>
      <c r="AB1265" s="349">
        <v>0</v>
      </c>
      <c r="AC1265" s="345">
        <v>51260</v>
      </c>
      <c r="AD1265" s="349">
        <v>0</v>
      </c>
      <c r="AE1265" s="345" t="s">
        <v>944</v>
      </c>
      <c r="AF1265" s="347"/>
      <c r="AG1265" s="347"/>
      <c r="AH1265" s="347" t="s">
        <v>57</v>
      </c>
      <c r="AI1265" s="347" t="s">
        <v>4442</v>
      </c>
      <c r="AJ1265" s="347" t="s">
        <v>4443</v>
      </c>
      <c r="AK1265" s="347" t="s">
        <v>4437</v>
      </c>
      <c r="AL1265" s="387">
        <v>45574</v>
      </c>
    </row>
    <row r="1266" spans="2:38" ht="15.75" outlineLevel="1">
      <c r="B1266" s="345">
        <v>2111</v>
      </c>
      <c r="C1266" s="346">
        <v>107011</v>
      </c>
      <c r="D1266" s="345">
        <v>107009</v>
      </c>
      <c r="E1266" s="347" t="s">
        <v>4240</v>
      </c>
      <c r="F1266" s="343" t="s">
        <v>2970</v>
      </c>
      <c r="I1266" s="345">
        <v>1</v>
      </c>
      <c r="J1266" s="347"/>
      <c r="K1266" s="345">
        <v>0</v>
      </c>
      <c r="L1266" s="347" t="s">
        <v>2971</v>
      </c>
      <c r="M1266" s="347"/>
      <c r="N1266" s="347" t="s">
        <v>4445</v>
      </c>
      <c r="O1266" s="347" t="s">
        <v>4441</v>
      </c>
      <c r="P1266" s="347" t="s">
        <v>1467</v>
      </c>
      <c r="Q1266" s="347"/>
      <c r="R1266" s="347"/>
      <c r="S1266" s="348">
        <v>40532</v>
      </c>
      <c r="T1266" s="348">
        <v>40532</v>
      </c>
      <c r="U1266" s="347" t="s">
        <v>2969</v>
      </c>
      <c r="V1266" s="345">
        <v>300</v>
      </c>
      <c r="W1266" s="345">
        <v>14040</v>
      </c>
      <c r="X1266" s="349">
        <v>7500</v>
      </c>
      <c r="Y1266" s="345">
        <v>14046</v>
      </c>
      <c r="Z1266" s="349">
        <v>7500</v>
      </c>
      <c r="AA1266" s="349">
        <f t="shared" si="104"/>
        <v>0</v>
      </c>
      <c r="AB1266" s="349">
        <v>0</v>
      </c>
      <c r="AC1266" s="345">
        <v>51260</v>
      </c>
      <c r="AD1266" s="349">
        <v>0</v>
      </c>
      <c r="AE1266" s="345" t="s">
        <v>944</v>
      </c>
      <c r="AF1266" s="347"/>
      <c r="AG1266" s="347"/>
      <c r="AH1266" s="347" t="s">
        <v>57</v>
      </c>
      <c r="AI1266" s="347" t="s">
        <v>4442</v>
      </c>
      <c r="AJ1266" s="347" t="s">
        <v>4443</v>
      </c>
      <c r="AK1266" s="347" t="s">
        <v>4437</v>
      </c>
      <c r="AL1266" s="387">
        <v>45574</v>
      </c>
    </row>
    <row r="1267" spans="2:38" ht="15.75" outlineLevel="1">
      <c r="B1267" s="345">
        <v>2111</v>
      </c>
      <c r="C1267" s="346">
        <v>107010</v>
      </c>
      <c r="D1267" s="345">
        <v>107009</v>
      </c>
      <c r="E1267" s="347" t="s">
        <v>4240</v>
      </c>
      <c r="F1267" s="343" t="s">
        <v>2972</v>
      </c>
      <c r="I1267" s="345">
        <v>1</v>
      </c>
      <c r="J1267" s="347"/>
      <c r="K1267" s="345">
        <v>0</v>
      </c>
      <c r="L1267" s="347" t="s">
        <v>2971</v>
      </c>
      <c r="M1267" s="347"/>
      <c r="N1267" s="347" t="s">
        <v>4445</v>
      </c>
      <c r="O1267" s="347" t="s">
        <v>4441</v>
      </c>
      <c r="P1267" s="347" t="s">
        <v>1467</v>
      </c>
      <c r="Q1267" s="347"/>
      <c r="R1267" s="347"/>
      <c r="S1267" s="348">
        <v>40574</v>
      </c>
      <c r="T1267" s="348">
        <v>40574</v>
      </c>
      <c r="U1267" s="347" t="s">
        <v>2973</v>
      </c>
      <c r="V1267" s="345">
        <v>300</v>
      </c>
      <c r="W1267" s="345">
        <v>14040</v>
      </c>
      <c r="X1267" s="349">
        <v>13289.72</v>
      </c>
      <c r="Y1267" s="345">
        <v>14046</v>
      </c>
      <c r="Z1267" s="349">
        <v>13289.72</v>
      </c>
      <c r="AA1267" s="349">
        <f t="shared" si="104"/>
        <v>0</v>
      </c>
      <c r="AB1267" s="349">
        <v>0</v>
      </c>
      <c r="AC1267" s="345">
        <v>51260</v>
      </c>
      <c r="AD1267" s="349">
        <v>0</v>
      </c>
      <c r="AE1267" s="345" t="s">
        <v>944</v>
      </c>
      <c r="AF1267" s="347"/>
      <c r="AG1267" s="347"/>
      <c r="AH1267" s="347" t="s">
        <v>57</v>
      </c>
      <c r="AI1267" s="347" t="s">
        <v>4442</v>
      </c>
      <c r="AJ1267" s="347" t="s">
        <v>4443</v>
      </c>
      <c r="AK1267" s="347" t="s">
        <v>4437</v>
      </c>
      <c r="AL1267" s="387">
        <v>45574</v>
      </c>
    </row>
    <row r="1268" spans="2:38" ht="15.75" outlineLevel="1">
      <c r="B1268" s="345">
        <v>2111</v>
      </c>
      <c r="C1268" s="346">
        <v>107009</v>
      </c>
      <c r="D1268" s="345" t="s">
        <v>944</v>
      </c>
      <c r="E1268" s="347" t="s">
        <v>4240</v>
      </c>
      <c r="F1268" s="343" t="s">
        <v>2959</v>
      </c>
      <c r="I1268" s="345">
        <v>1</v>
      </c>
      <c r="J1268" s="347" t="s">
        <v>2974</v>
      </c>
      <c r="K1268" s="345">
        <v>2003</v>
      </c>
      <c r="L1268" s="347" t="s">
        <v>2961</v>
      </c>
      <c r="M1268" s="347" t="s">
        <v>2214</v>
      </c>
      <c r="N1268" s="347" t="s">
        <v>4445</v>
      </c>
      <c r="O1268" s="347" t="s">
        <v>4441</v>
      </c>
      <c r="P1268" s="347" t="s">
        <v>1575</v>
      </c>
      <c r="Q1268" s="347"/>
      <c r="R1268" s="347"/>
      <c r="S1268" s="348">
        <v>37881</v>
      </c>
      <c r="T1268" s="348">
        <v>37881</v>
      </c>
      <c r="U1268" s="347"/>
      <c r="V1268" s="345">
        <v>700</v>
      </c>
      <c r="W1268" s="345">
        <v>14040</v>
      </c>
      <c r="X1268" s="349">
        <v>40000</v>
      </c>
      <c r="Y1268" s="345">
        <v>14046</v>
      </c>
      <c r="Z1268" s="349">
        <v>40000</v>
      </c>
      <c r="AA1268" s="349">
        <f t="shared" si="104"/>
        <v>0</v>
      </c>
      <c r="AB1268" s="349">
        <v>0</v>
      </c>
      <c r="AC1268" s="345">
        <v>51260</v>
      </c>
      <c r="AD1268" s="349">
        <v>0</v>
      </c>
      <c r="AE1268" s="345" t="s">
        <v>410</v>
      </c>
      <c r="AF1268" s="347" t="s">
        <v>2962</v>
      </c>
      <c r="AG1268" s="347" t="s">
        <v>351</v>
      </c>
      <c r="AH1268" s="347" t="s">
        <v>57</v>
      </c>
      <c r="AI1268" s="347" t="s">
        <v>4442</v>
      </c>
      <c r="AJ1268" s="347" t="s">
        <v>4443</v>
      </c>
      <c r="AK1268" s="347" t="s">
        <v>4437</v>
      </c>
      <c r="AL1268" s="387">
        <v>45574</v>
      </c>
    </row>
    <row r="1269" spans="2:38" ht="15.75" outlineLevel="1">
      <c r="B1269" s="345">
        <v>2111</v>
      </c>
      <c r="C1269" s="346">
        <v>107008</v>
      </c>
      <c r="D1269" s="345" t="s">
        <v>944</v>
      </c>
      <c r="E1269" s="347" t="s">
        <v>4240</v>
      </c>
      <c r="F1269" s="343" t="s">
        <v>2959</v>
      </c>
      <c r="I1269" s="345">
        <v>1</v>
      </c>
      <c r="J1269" s="347" t="s">
        <v>2975</v>
      </c>
      <c r="K1269" s="345">
        <v>2003</v>
      </c>
      <c r="L1269" s="347" t="s">
        <v>2961</v>
      </c>
      <c r="M1269" s="347" t="s">
        <v>2214</v>
      </c>
      <c r="N1269" s="347" t="s">
        <v>4445</v>
      </c>
      <c r="O1269" s="347" t="s">
        <v>4441</v>
      </c>
      <c r="P1269" s="347" t="s">
        <v>1575</v>
      </c>
      <c r="Q1269" s="347"/>
      <c r="R1269" s="347"/>
      <c r="S1269" s="348">
        <v>37881</v>
      </c>
      <c r="T1269" s="348">
        <v>37881</v>
      </c>
      <c r="U1269" s="347"/>
      <c r="V1269" s="345">
        <v>700</v>
      </c>
      <c r="W1269" s="345">
        <v>14040</v>
      </c>
      <c r="X1269" s="349">
        <v>40000</v>
      </c>
      <c r="Y1269" s="345">
        <v>14046</v>
      </c>
      <c r="Z1269" s="349">
        <v>40000</v>
      </c>
      <c r="AA1269" s="349">
        <f t="shared" si="104"/>
        <v>0</v>
      </c>
      <c r="AB1269" s="349">
        <v>0</v>
      </c>
      <c r="AC1269" s="345">
        <v>51260</v>
      </c>
      <c r="AD1269" s="349">
        <v>0</v>
      </c>
      <c r="AE1269" s="345" t="s">
        <v>410</v>
      </c>
      <c r="AF1269" s="347" t="s">
        <v>2962</v>
      </c>
      <c r="AG1269" s="347" t="s">
        <v>352</v>
      </c>
      <c r="AH1269" s="347" t="s">
        <v>57</v>
      </c>
      <c r="AI1269" s="347" t="s">
        <v>4442</v>
      </c>
      <c r="AJ1269" s="347" t="s">
        <v>4443</v>
      </c>
      <c r="AK1269" s="347" t="s">
        <v>4437</v>
      </c>
      <c r="AL1269" s="387">
        <v>45574</v>
      </c>
    </row>
    <row r="1270" spans="2:38" ht="15.75" outlineLevel="1">
      <c r="B1270" s="345">
        <v>2111</v>
      </c>
      <c r="C1270" s="346">
        <v>106797</v>
      </c>
      <c r="D1270" s="345" t="s">
        <v>944</v>
      </c>
      <c r="E1270" s="347" t="s">
        <v>4240</v>
      </c>
      <c r="F1270" s="343" t="s">
        <v>2976</v>
      </c>
      <c r="I1270" s="345">
        <v>1</v>
      </c>
      <c r="J1270" s="347" t="s">
        <v>2977</v>
      </c>
      <c r="K1270" s="345">
        <v>2013</v>
      </c>
      <c r="L1270" s="347" t="s">
        <v>2978</v>
      </c>
      <c r="M1270" s="347" t="s">
        <v>2978</v>
      </c>
      <c r="N1270" s="347" t="s">
        <v>4445</v>
      </c>
      <c r="O1270" s="347" t="s">
        <v>4441</v>
      </c>
      <c r="P1270" s="347" t="s">
        <v>2077</v>
      </c>
      <c r="Q1270" s="347"/>
      <c r="R1270" s="347"/>
      <c r="S1270" s="348">
        <v>41506</v>
      </c>
      <c r="T1270" s="348">
        <v>41506</v>
      </c>
      <c r="U1270" s="347" t="s">
        <v>2979</v>
      </c>
      <c r="V1270" s="345">
        <v>600</v>
      </c>
      <c r="W1270" s="345">
        <v>14040</v>
      </c>
      <c r="X1270" s="349">
        <v>39274.82</v>
      </c>
      <c r="Y1270" s="345">
        <v>14046</v>
      </c>
      <c r="Z1270" s="349">
        <v>39274.82</v>
      </c>
      <c r="AA1270" s="349">
        <f t="shared" si="104"/>
        <v>0</v>
      </c>
      <c r="AB1270" s="349">
        <v>0</v>
      </c>
      <c r="AC1270" s="345">
        <v>51260</v>
      </c>
      <c r="AD1270" s="349">
        <v>0</v>
      </c>
      <c r="AE1270" s="345" t="s">
        <v>944</v>
      </c>
      <c r="AF1270" s="347">
        <v>0</v>
      </c>
      <c r="AG1270" s="347" t="s">
        <v>278</v>
      </c>
      <c r="AH1270" s="347" t="s">
        <v>57</v>
      </c>
      <c r="AI1270" s="347" t="s">
        <v>4442</v>
      </c>
      <c r="AJ1270" s="347" t="s">
        <v>4443</v>
      </c>
      <c r="AK1270" s="347" t="s">
        <v>4437</v>
      </c>
      <c r="AL1270" s="387">
        <v>45574</v>
      </c>
    </row>
    <row r="1271" spans="2:38" ht="15.75" outlineLevel="1">
      <c r="B1271" s="345">
        <v>2111</v>
      </c>
      <c r="C1271" s="346">
        <v>106743</v>
      </c>
      <c r="D1271" s="345" t="s">
        <v>944</v>
      </c>
      <c r="E1271" s="347" t="s">
        <v>4240</v>
      </c>
      <c r="F1271" s="343" t="s">
        <v>2982</v>
      </c>
      <c r="I1271" s="345">
        <v>1</v>
      </c>
      <c r="J1271" s="347" t="s">
        <v>2983</v>
      </c>
      <c r="K1271" s="345">
        <v>2013</v>
      </c>
      <c r="L1271" s="347" t="s">
        <v>2978</v>
      </c>
      <c r="M1271" s="347" t="s">
        <v>2978</v>
      </c>
      <c r="N1271" s="347" t="s">
        <v>4445</v>
      </c>
      <c r="O1271" s="347" t="s">
        <v>4441</v>
      </c>
      <c r="P1271" s="347" t="s">
        <v>2077</v>
      </c>
      <c r="Q1271" s="347"/>
      <c r="R1271" s="347"/>
      <c r="S1271" s="348">
        <v>41506</v>
      </c>
      <c r="T1271" s="348">
        <v>41506</v>
      </c>
      <c r="U1271" s="347" t="s">
        <v>2984</v>
      </c>
      <c r="V1271" s="345">
        <v>700</v>
      </c>
      <c r="W1271" s="345">
        <v>14040</v>
      </c>
      <c r="X1271" s="349">
        <v>39274.82</v>
      </c>
      <c r="Y1271" s="345">
        <v>14046</v>
      </c>
      <c r="Z1271" s="349">
        <v>39274.82</v>
      </c>
      <c r="AA1271" s="349">
        <f t="shared" si="104"/>
        <v>0</v>
      </c>
      <c r="AB1271" s="349">
        <v>0</v>
      </c>
      <c r="AC1271" s="345">
        <v>51260</v>
      </c>
      <c r="AD1271" s="349">
        <v>0</v>
      </c>
      <c r="AE1271" s="345" t="s">
        <v>944</v>
      </c>
      <c r="AF1271" s="347">
        <v>0</v>
      </c>
      <c r="AG1271" s="347" t="s">
        <v>276</v>
      </c>
      <c r="AH1271" s="347" t="s">
        <v>57</v>
      </c>
      <c r="AI1271" s="347" t="s">
        <v>4442</v>
      </c>
      <c r="AJ1271" s="347" t="s">
        <v>4443</v>
      </c>
      <c r="AK1271" s="347" t="s">
        <v>4437</v>
      </c>
      <c r="AL1271" s="387">
        <v>45574</v>
      </c>
    </row>
    <row r="1272" spans="2:38" ht="15.75" outlineLevel="1">
      <c r="B1272" s="345">
        <v>2111</v>
      </c>
      <c r="C1272" s="346">
        <v>105992</v>
      </c>
      <c r="D1272" s="345" t="s">
        <v>944</v>
      </c>
      <c r="E1272" s="347" t="s">
        <v>4240</v>
      </c>
      <c r="F1272" s="343" t="s">
        <v>853</v>
      </c>
      <c r="I1272" s="345">
        <v>486</v>
      </c>
      <c r="J1272" s="347"/>
      <c r="K1272" s="345">
        <v>0</v>
      </c>
      <c r="L1272" s="347" t="s">
        <v>2245</v>
      </c>
      <c r="M1272" s="347"/>
      <c r="N1272" s="347" t="s">
        <v>4446</v>
      </c>
      <c r="O1272" s="347" t="s">
        <v>4441</v>
      </c>
      <c r="P1272" s="347"/>
      <c r="Q1272" s="347"/>
      <c r="R1272" s="347"/>
      <c r="S1272" s="348">
        <v>41483</v>
      </c>
      <c r="T1272" s="348">
        <v>41483</v>
      </c>
      <c r="U1272" s="347" t="s">
        <v>2876</v>
      </c>
      <c r="V1272" s="345">
        <v>700</v>
      </c>
      <c r="W1272" s="345">
        <v>14050</v>
      </c>
      <c r="X1272" s="349">
        <v>26316.799999999999</v>
      </c>
      <c r="Y1272" s="345">
        <v>14056</v>
      </c>
      <c r="Z1272" s="349">
        <v>26316.799999999999</v>
      </c>
      <c r="AA1272" s="349">
        <f t="shared" si="104"/>
        <v>0</v>
      </c>
      <c r="AB1272" s="349">
        <v>0</v>
      </c>
      <c r="AC1272" s="345">
        <v>54260</v>
      </c>
      <c r="AD1272" s="349">
        <v>0</v>
      </c>
      <c r="AE1272" s="345" t="s">
        <v>944</v>
      </c>
      <c r="AF1272" s="347"/>
      <c r="AG1272" s="347"/>
      <c r="AH1272" s="347" t="s">
        <v>57</v>
      </c>
      <c r="AI1272" s="347" t="s">
        <v>4442</v>
      </c>
      <c r="AJ1272" s="347" t="s">
        <v>4443</v>
      </c>
      <c r="AK1272" s="347" t="s">
        <v>4437</v>
      </c>
      <c r="AL1272" s="387">
        <v>45574</v>
      </c>
    </row>
    <row r="1273" spans="2:38" ht="15.75" outlineLevel="1">
      <c r="B1273" s="345">
        <v>2111</v>
      </c>
      <c r="C1273" s="346">
        <v>105140</v>
      </c>
      <c r="D1273" s="345" t="s">
        <v>944</v>
      </c>
      <c r="E1273" s="347" t="s">
        <v>4240</v>
      </c>
      <c r="F1273" s="343" t="s">
        <v>2986</v>
      </c>
      <c r="I1273" s="345">
        <v>1</v>
      </c>
      <c r="J1273" s="347"/>
      <c r="K1273" s="345">
        <v>0</v>
      </c>
      <c r="L1273" s="347" t="s">
        <v>1657</v>
      </c>
      <c r="M1273" s="347"/>
      <c r="N1273" s="347" t="s">
        <v>4440</v>
      </c>
      <c r="O1273" s="347" t="s">
        <v>4441</v>
      </c>
      <c r="P1273" s="347"/>
      <c r="Q1273" s="347"/>
      <c r="R1273" s="347"/>
      <c r="S1273" s="348">
        <v>41430</v>
      </c>
      <c r="T1273" s="348">
        <v>41430</v>
      </c>
      <c r="U1273" s="347" t="s">
        <v>2987</v>
      </c>
      <c r="V1273" s="345">
        <v>300</v>
      </c>
      <c r="W1273" s="345">
        <v>14110</v>
      </c>
      <c r="X1273" s="349">
        <v>1020.44</v>
      </c>
      <c r="Y1273" s="345">
        <v>14116</v>
      </c>
      <c r="Z1273" s="349">
        <v>1020.44</v>
      </c>
      <c r="AA1273" s="349">
        <f t="shared" si="104"/>
        <v>0</v>
      </c>
      <c r="AB1273" s="349">
        <v>0</v>
      </c>
      <c r="AC1273" s="345">
        <v>70260</v>
      </c>
      <c r="AD1273" s="349">
        <v>0</v>
      </c>
      <c r="AE1273" s="345" t="s">
        <v>944</v>
      </c>
      <c r="AF1273" s="347"/>
      <c r="AG1273" s="347"/>
      <c r="AH1273" s="347" t="s">
        <v>57</v>
      </c>
      <c r="AI1273" s="347" t="s">
        <v>4442</v>
      </c>
      <c r="AJ1273" s="347" t="s">
        <v>4443</v>
      </c>
      <c r="AK1273" s="347" t="s">
        <v>4437</v>
      </c>
      <c r="AL1273" s="387">
        <v>45574</v>
      </c>
    </row>
    <row r="1274" spans="2:38" ht="15.75" outlineLevel="1">
      <c r="B1274" s="345">
        <v>2111</v>
      </c>
      <c r="C1274" s="346">
        <v>104634</v>
      </c>
      <c r="D1274" s="345" t="s">
        <v>944</v>
      </c>
      <c r="E1274" s="347" t="s">
        <v>4240</v>
      </c>
      <c r="F1274" s="343" t="s">
        <v>2288</v>
      </c>
      <c r="I1274" s="345">
        <v>486</v>
      </c>
      <c r="J1274" s="347"/>
      <c r="K1274" s="345">
        <v>0</v>
      </c>
      <c r="L1274" s="347" t="s">
        <v>2245</v>
      </c>
      <c r="M1274" s="347"/>
      <c r="N1274" s="347" t="s">
        <v>4446</v>
      </c>
      <c r="O1274" s="347" t="s">
        <v>4441</v>
      </c>
      <c r="P1274" s="347"/>
      <c r="Q1274" s="347"/>
      <c r="R1274" s="347"/>
      <c r="S1274" s="348">
        <v>41433</v>
      </c>
      <c r="T1274" s="348">
        <v>41433</v>
      </c>
      <c r="U1274" s="347" t="s">
        <v>2989</v>
      </c>
      <c r="V1274" s="345">
        <v>700</v>
      </c>
      <c r="W1274" s="345">
        <v>14050</v>
      </c>
      <c r="X1274" s="349">
        <v>26316.799999999999</v>
      </c>
      <c r="Y1274" s="345">
        <v>14056</v>
      </c>
      <c r="Z1274" s="349">
        <v>26316.799999999999</v>
      </c>
      <c r="AA1274" s="349">
        <f t="shared" si="104"/>
        <v>0</v>
      </c>
      <c r="AB1274" s="349">
        <v>0</v>
      </c>
      <c r="AC1274" s="345">
        <v>54260</v>
      </c>
      <c r="AD1274" s="349">
        <v>0</v>
      </c>
      <c r="AE1274" s="345" t="s">
        <v>944</v>
      </c>
      <c r="AF1274" s="347"/>
      <c r="AG1274" s="347"/>
      <c r="AH1274" s="347" t="s">
        <v>57</v>
      </c>
      <c r="AI1274" s="347" t="s">
        <v>4442</v>
      </c>
      <c r="AJ1274" s="347" t="s">
        <v>4443</v>
      </c>
      <c r="AK1274" s="347" t="s">
        <v>4437</v>
      </c>
      <c r="AL1274" s="387">
        <v>45574</v>
      </c>
    </row>
    <row r="1275" spans="2:38" ht="15.75" outlineLevel="1">
      <c r="B1275" s="345">
        <v>2111</v>
      </c>
      <c r="C1275" s="346">
        <v>104623</v>
      </c>
      <c r="D1275" s="345">
        <v>102175</v>
      </c>
      <c r="E1275" s="347" t="s">
        <v>4240</v>
      </c>
      <c r="F1275" s="343" t="s">
        <v>2991</v>
      </c>
      <c r="I1275" s="345">
        <v>1</v>
      </c>
      <c r="J1275" s="347"/>
      <c r="K1275" s="345">
        <v>0</v>
      </c>
      <c r="L1275" s="347" t="s">
        <v>1759</v>
      </c>
      <c r="M1275" s="347"/>
      <c r="N1275" s="347" t="s">
        <v>4445</v>
      </c>
      <c r="O1275" s="347" t="s">
        <v>4441</v>
      </c>
      <c r="P1275" s="347" t="s">
        <v>1467</v>
      </c>
      <c r="Q1275" s="347"/>
      <c r="R1275" s="347"/>
      <c r="S1275" s="348">
        <v>41362</v>
      </c>
      <c r="T1275" s="348">
        <v>41362</v>
      </c>
      <c r="U1275" s="347" t="s">
        <v>2992</v>
      </c>
      <c r="V1275" s="345">
        <v>300</v>
      </c>
      <c r="W1275" s="345">
        <v>14040</v>
      </c>
      <c r="X1275" s="349">
        <v>10181.32</v>
      </c>
      <c r="Y1275" s="345">
        <v>14046</v>
      </c>
      <c r="Z1275" s="349">
        <v>10181.32</v>
      </c>
      <c r="AA1275" s="349">
        <f t="shared" si="104"/>
        <v>0</v>
      </c>
      <c r="AB1275" s="349">
        <v>0</v>
      </c>
      <c r="AC1275" s="345">
        <v>51260</v>
      </c>
      <c r="AD1275" s="349">
        <v>0</v>
      </c>
      <c r="AE1275" s="345" t="s">
        <v>944</v>
      </c>
      <c r="AF1275" s="347"/>
      <c r="AG1275" s="347"/>
      <c r="AH1275" s="347" t="s">
        <v>57</v>
      </c>
      <c r="AI1275" s="347" t="s">
        <v>4442</v>
      </c>
      <c r="AJ1275" s="347" t="s">
        <v>4443</v>
      </c>
      <c r="AK1275" s="347" t="s">
        <v>4437</v>
      </c>
      <c r="AL1275" s="387">
        <v>45574</v>
      </c>
    </row>
    <row r="1276" spans="2:38" ht="15.75" outlineLevel="1">
      <c r="B1276" s="345">
        <v>2111</v>
      </c>
      <c r="C1276" s="346">
        <v>103580</v>
      </c>
      <c r="D1276" s="345" t="s">
        <v>944</v>
      </c>
      <c r="E1276" s="347" t="s">
        <v>4240</v>
      </c>
      <c r="F1276" s="343" t="s">
        <v>2994</v>
      </c>
      <c r="I1276" s="345">
        <v>10</v>
      </c>
      <c r="J1276" s="347"/>
      <c r="K1276" s="345">
        <v>0</v>
      </c>
      <c r="L1276" s="347" t="s">
        <v>2257</v>
      </c>
      <c r="M1276" s="347"/>
      <c r="N1276" s="347" t="s">
        <v>4446</v>
      </c>
      <c r="O1276" s="347" t="s">
        <v>4441</v>
      </c>
      <c r="P1276" s="347"/>
      <c r="Q1276" s="347" t="s">
        <v>4464</v>
      </c>
      <c r="R1276" s="347" t="s">
        <v>4450</v>
      </c>
      <c r="S1276" s="348">
        <v>41365</v>
      </c>
      <c r="T1276" s="348">
        <v>41365</v>
      </c>
      <c r="U1276" s="347" t="s">
        <v>2995</v>
      </c>
      <c r="V1276" s="345">
        <v>1200</v>
      </c>
      <c r="W1276" s="345">
        <v>14050</v>
      </c>
      <c r="X1276" s="349">
        <v>6782.8</v>
      </c>
      <c r="Y1276" s="345">
        <v>14056</v>
      </c>
      <c r="Z1276" s="349">
        <v>6500.13</v>
      </c>
      <c r="AA1276" s="349">
        <f t="shared" si="104"/>
        <v>282.67000000000007</v>
      </c>
      <c r="AB1276" s="349">
        <v>423.9</v>
      </c>
      <c r="AC1276" s="345">
        <v>54260</v>
      </c>
      <c r="AD1276" s="349">
        <v>47.1</v>
      </c>
      <c r="AE1276" s="345" t="s">
        <v>944</v>
      </c>
      <c r="AF1276" s="347"/>
      <c r="AG1276" s="347"/>
      <c r="AH1276" s="347" t="s">
        <v>57</v>
      </c>
      <c r="AI1276" s="347" t="s">
        <v>4442</v>
      </c>
      <c r="AJ1276" s="347" t="s">
        <v>4443</v>
      </c>
      <c r="AK1276" s="347" t="s">
        <v>4437</v>
      </c>
      <c r="AL1276" s="387">
        <v>45574</v>
      </c>
    </row>
    <row r="1277" spans="2:38" ht="15.75" outlineLevel="1">
      <c r="B1277" s="345">
        <v>2111</v>
      </c>
      <c r="C1277" s="346">
        <v>103336</v>
      </c>
      <c r="D1277" s="345" t="s">
        <v>944</v>
      </c>
      <c r="E1277" s="347" t="s">
        <v>4240</v>
      </c>
      <c r="F1277" s="343" t="s">
        <v>2996</v>
      </c>
      <c r="I1277" s="345">
        <v>6</v>
      </c>
      <c r="J1277" s="347"/>
      <c r="K1277" s="345">
        <v>0</v>
      </c>
      <c r="L1277" s="347" t="s">
        <v>2257</v>
      </c>
      <c r="M1277" s="347"/>
      <c r="N1277" s="347" t="s">
        <v>4446</v>
      </c>
      <c r="O1277" s="347" t="s">
        <v>4441</v>
      </c>
      <c r="P1277" s="347"/>
      <c r="Q1277" s="347" t="s">
        <v>4479</v>
      </c>
      <c r="R1277" s="347" t="s">
        <v>4450</v>
      </c>
      <c r="S1277" s="348">
        <v>41364</v>
      </c>
      <c r="T1277" s="348">
        <v>41364</v>
      </c>
      <c r="U1277" s="347" t="s">
        <v>2995</v>
      </c>
      <c r="V1277" s="345">
        <v>1200</v>
      </c>
      <c r="W1277" s="345">
        <v>14050</v>
      </c>
      <c r="X1277" s="349">
        <v>5218.38</v>
      </c>
      <c r="Y1277" s="345">
        <v>14056</v>
      </c>
      <c r="Z1277" s="349">
        <v>5001.01</v>
      </c>
      <c r="AA1277" s="349">
        <f t="shared" si="104"/>
        <v>217.36999999999989</v>
      </c>
      <c r="AB1277" s="349">
        <v>326.16000000000003</v>
      </c>
      <c r="AC1277" s="345">
        <v>54260</v>
      </c>
      <c r="AD1277" s="349">
        <v>36.24</v>
      </c>
      <c r="AE1277" s="345" t="s">
        <v>944</v>
      </c>
      <c r="AF1277" s="347"/>
      <c r="AG1277" s="347"/>
      <c r="AH1277" s="347" t="s">
        <v>57</v>
      </c>
      <c r="AI1277" s="347" t="s">
        <v>4442</v>
      </c>
      <c r="AJ1277" s="347" t="s">
        <v>4443</v>
      </c>
      <c r="AK1277" s="347" t="s">
        <v>4437</v>
      </c>
      <c r="AL1277" s="387">
        <v>45574</v>
      </c>
    </row>
    <row r="1278" spans="2:38" ht="15.75" outlineLevel="1">
      <c r="B1278" s="345">
        <v>2111</v>
      </c>
      <c r="C1278" s="346">
        <v>103335</v>
      </c>
      <c r="D1278" s="345" t="s">
        <v>944</v>
      </c>
      <c r="E1278" s="347" t="s">
        <v>4240</v>
      </c>
      <c r="F1278" s="343" t="s">
        <v>2997</v>
      </c>
      <c r="I1278" s="345">
        <v>11</v>
      </c>
      <c r="J1278" s="347"/>
      <c r="K1278" s="345">
        <v>0</v>
      </c>
      <c r="L1278" s="347" t="s">
        <v>2257</v>
      </c>
      <c r="M1278" s="347"/>
      <c r="N1278" s="347" t="s">
        <v>4446</v>
      </c>
      <c r="O1278" s="347" t="s">
        <v>4441</v>
      </c>
      <c r="P1278" s="347"/>
      <c r="Q1278" s="347" t="s">
        <v>4479</v>
      </c>
      <c r="R1278" s="347" t="s">
        <v>4450</v>
      </c>
      <c r="S1278" s="348">
        <v>41364</v>
      </c>
      <c r="T1278" s="348">
        <v>41364</v>
      </c>
      <c r="U1278" s="347" t="s">
        <v>2995</v>
      </c>
      <c r="V1278" s="345">
        <v>1200</v>
      </c>
      <c r="W1278" s="345">
        <v>14050</v>
      </c>
      <c r="X1278" s="349">
        <v>9567.0300000000007</v>
      </c>
      <c r="Y1278" s="345">
        <v>14056</v>
      </c>
      <c r="Z1278" s="349">
        <v>9168.4</v>
      </c>
      <c r="AA1278" s="349">
        <f t="shared" si="104"/>
        <v>398.63000000000102</v>
      </c>
      <c r="AB1278" s="349">
        <v>597.96</v>
      </c>
      <c r="AC1278" s="345">
        <v>54260</v>
      </c>
      <c r="AD1278" s="349">
        <v>66.44</v>
      </c>
      <c r="AE1278" s="345" t="s">
        <v>944</v>
      </c>
      <c r="AF1278" s="347"/>
      <c r="AG1278" s="347"/>
      <c r="AH1278" s="347" t="s">
        <v>57</v>
      </c>
      <c r="AI1278" s="347" t="s">
        <v>4442</v>
      </c>
      <c r="AJ1278" s="347" t="s">
        <v>4443</v>
      </c>
      <c r="AK1278" s="347" t="s">
        <v>4437</v>
      </c>
      <c r="AL1278" s="387">
        <v>45574</v>
      </c>
    </row>
    <row r="1279" spans="2:38" ht="15.75" outlineLevel="1">
      <c r="B1279" s="345">
        <v>2111</v>
      </c>
      <c r="C1279" s="346">
        <v>103334</v>
      </c>
      <c r="D1279" s="345" t="s">
        <v>944</v>
      </c>
      <c r="E1279" s="347" t="s">
        <v>4240</v>
      </c>
      <c r="F1279" s="343" t="s">
        <v>2998</v>
      </c>
      <c r="I1279" s="345">
        <v>8</v>
      </c>
      <c r="J1279" s="347"/>
      <c r="K1279" s="345">
        <v>0</v>
      </c>
      <c r="L1279" s="347" t="s">
        <v>2257</v>
      </c>
      <c r="M1279" s="347"/>
      <c r="N1279" s="347" t="s">
        <v>4446</v>
      </c>
      <c r="O1279" s="347" t="s">
        <v>4441</v>
      </c>
      <c r="P1279" s="347"/>
      <c r="Q1279" s="347" t="s">
        <v>4479</v>
      </c>
      <c r="R1279" s="347" t="s">
        <v>4450</v>
      </c>
      <c r="S1279" s="348">
        <v>41364</v>
      </c>
      <c r="T1279" s="348">
        <v>41364</v>
      </c>
      <c r="U1279" s="347" t="s">
        <v>2995</v>
      </c>
      <c r="V1279" s="345">
        <v>1200</v>
      </c>
      <c r="W1279" s="345">
        <v>14050</v>
      </c>
      <c r="X1279" s="349">
        <v>6957.84</v>
      </c>
      <c r="Y1279" s="345">
        <v>14056</v>
      </c>
      <c r="Z1279" s="349">
        <v>6667.95</v>
      </c>
      <c r="AA1279" s="349">
        <f t="shared" si="104"/>
        <v>289.89000000000033</v>
      </c>
      <c r="AB1279" s="349">
        <v>434.88</v>
      </c>
      <c r="AC1279" s="345">
        <v>54260</v>
      </c>
      <c r="AD1279" s="349">
        <v>48.32</v>
      </c>
      <c r="AE1279" s="345" t="s">
        <v>944</v>
      </c>
      <c r="AF1279" s="347"/>
      <c r="AG1279" s="347"/>
      <c r="AH1279" s="347" t="s">
        <v>57</v>
      </c>
      <c r="AI1279" s="347" t="s">
        <v>4442</v>
      </c>
      <c r="AJ1279" s="347" t="s">
        <v>4443</v>
      </c>
      <c r="AK1279" s="347" t="s">
        <v>4437</v>
      </c>
      <c r="AL1279" s="387">
        <v>45574</v>
      </c>
    </row>
    <row r="1280" spans="2:38" ht="15.75" outlineLevel="1">
      <c r="B1280" s="345">
        <v>2111</v>
      </c>
      <c r="C1280" s="346">
        <v>103267</v>
      </c>
      <c r="D1280" s="345" t="s">
        <v>944</v>
      </c>
      <c r="E1280" s="347" t="s">
        <v>4240</v>
      </c>
      <c r="F1280" s="343" t="s">
        <v>2999</v>
      </c>
      <c r="I1280" s="345">
        <v>10</v>
      </c>
      <c r="J1280" s="347"/>
      <c r="K1280" s="345">
        <v>0</v>
      </c>
      <c r="L1280" s="347" t="s">
        <v>2257</v>
      </c>
      <c r="M1280" s="347"/>
      <c r="N1280" s="347" t="s">
        <v>4446</v>
      </c>
      <c r="O1280" s="347" t="s">
        <v>4441</v>
      </c>
      <c r="P1280" s="347"/>
      <c r="Q1280" s="347" t="s">
        <v>4461</v>
      </c>
      <c r="R1280" s="347" t="s">
        <v>4450</v>
      </c>
      <c r="S1280" s="348">
        <v>41364</v>
      </c>
      <c r="T1280" s="348">
        <v>41364</v>
      </c>
      <c r="U1280" s="347" t="s">
        <v>2995</v>
      </c>
      <c r="V1280" s="345">
        <v>1200</v>
      </c>
      <c r="W1280" s="345">
        <v>14050</v>
      </c>
      <c r="X1280" s="349">
        <v>4649.5</v>
      </c>
      <c r="Y1280" s="345">
        <v>14056</v>
      </c>
      <c r="Z1280" s="349">
        <v>4455.8</v>
      </c>
      <c r="AA1280" s="349">
        <f t="shared" si="104"/>
        <v>193.69999999999982</v>
      </c>
      <c r="AB1280" s="349">
        <v>290.61</v>
      </c>
      <c r="AC1280" s="345">
        <v>54260</v>
      </c>
      <c r="AD1280" s="349">
        <v>32.29</v>
      </c>
      <c r="AE1280" s="345" t="s">
        <v>944</v>
      </c>
      <c r="AF1280" s="347"/>
      <c r="AG1280" s="347"/>
      <c r="AH1280" s="347" t="s">
        <v>57</v>
      </c>
      <c r="AI1280" s="347" t="s">
        <v>4442</v>
      </c>
      <c r="AJ1280" s="347" t="s">
        <v>4443</v>
      </c>
      <c r="AK1280" s="347" t="s">
        <v>4437</v>
      </c>
      <c r="AL1280" s="387">
        <v>45574</v>
      </c>
    </row>
    <row r="1281" spans="2:38" ht="15.75" outlineLevel="1">
      <c r="B1281" s="345">
        <v>2111</v>
      </c>
      <c r="C1281" s="346">
        <v>102964</v>
      </c>
      <c r="D1281" s="345" t="s">
        <v>944</v>
      </c>
      <c r="E1281" s="347" t="s">
        <v>4240</v>
      </c>
      <c r="F1281" s="343" t="s">
        <v>3000</v>
      </c>
      <c r="I1281" s="345">
        <v>20</v>
      </c>
      <c r="J1281" s="347"/>
      <c r="K1281" s="345">
        <v>0</v>
      </c>
      <c r="L1281" s="347" t="s">
        <v>2257</v>
      </c>
      <c r="M1281" s="347"/>
      <c r="N1281" s="347" t="s">
        <v>4446</v>
      </c>
      <c r="O1281" s="347" t="s">
        <v>4441</v>
      </c>
      <c r="P1281" s="347"/>
      <c r="Q1281" s="347" t="s">
        <v>4459</v>
      </c>
      <c r="R1281" s="347" t="s">
        <v>4450</v>
      </c>
      <c r="S1281" s="348">
        <v>41334</v>
      </c>
      <c r="T1281" s="348">
        <v>41334</v>
      </c>
      <c r="U1281" s="347" t="s">
        <v>2995</v>
      </c>
      <c r="V1281" s="345">
        <v>1200</v>
      </c>
      <c r="W1281" s="345">
        <v>14050</v>
      </c>
      <c r="X1281" s="349">
        <v>11815.2</v>
      </c>
      <c r="Y1281" s="345">
        <v>14056</v>
      </c>
      <c r="Z1281" s="349">
        <v>11404.95</v>
      </c>
      <c r="AA1281" s="349">
        <f t="shared" si="104"/>
        <v>410.25</v>
      </c>
      <c r="AB1281" s="349">
        <v>738.45</v>
      </c>
      <c r="AC1281" s="345">
        <v>54260</v>
      </c>
      <c r="AD1281" s="349">
        <v>82.05</v>
      </c>
      <c r="AE1281" s="345" t="s">
        <v>944</v>
      </c>
      <c r="AF1281" s="347"/>
      <c r="AG1281" s="347"/>
      <c r="AH1281" s="347" t="s">
        <v>57</v>
      </c>
      <c r="AI1281" s="347" t="s">
        <v>4442</v>
      </c>
      <c r="AJ1281" s="347" t="s">
        <v>4443</v>
      </c>
      <c r="AK1281" s="347" t="s">
        <v>4437</v>
      </c>
      <c r="AL1281" s="387">
        <v>45574</v>
      </c>
    </row>
    <row r="1282" spans="2:38" ht="15.75" outlineLevel="1">
      <c r="B1282" s="345">
        <v>2111</v>
      </c>
      <c r="C1282" s="346">
        <v>102874</v>
      </c>
      <c r="D1282" s="345" t="s">
        <v>944</v>
      </c>
      <c r="E1282" s="347" t="s">
        <v>4240</v>
      </c>
      <c r="F1282" s="343" t="s">
        <v>3001</v>
      </c>
      <c r="I1282" s="345">
        <v>1</v>
      </c>
      <c r="J1282" s="347" t="s">
        <v>3002</v>
      </c>
      <c r="K1282" s="345">
        <v>2006</v>
      </c>
      <c r="L1282" s="347"/>
      <c r="M1282" s="347" t="s">
        <v>3003</v>
      </c>
      <c r="N1282" s="347" t="s">
        <v>4458</v>
      </c>
      <c r="O1282" s="347" t="s">
        <v>4441</v>
      </c>
      <c r="P1282" s="347" t="s">
        <v>1546</v>
      </c>
      <c r="Q1282" s="347"/>
      <c r="R1282" s="347"/>
      <c r="S1282" s="348">
        <v>41362</v>
      </c>
      <c r="T1282" s="348">
        <v>41362</v>
      </c>
      <c r="U1282" s="347" t="s">
        <v>3004</v>
      </c>
      <c r="V1282" s="345">
        <v>300</v>
      </c>
      <c r="W1282" s="345">
        <v>14030</v>
      </c>
      <c r="X1282" s="349">
        <v>34953.300000000003</v>
      </c>
      <c r="Y1282" s="345">
        <v>14036</v>
      </c>
      <c r="Z1282" s="349">
        <v>34953.300000000003</v>
      </c>
      <c r="AA1282" s="349">
        <f t="shared" si="104"/>
        <v>0</v>
      </c>
      <c r="AB1282" s="349">
        <v>0</v>
      </c>
      <c r="AC1282" s="345">
        <v>51260</v>
      </c>
      <c r="AD1282" s="349">
        <v>0</v>
      </c>
      <c r="AE1282" s="345" t="s">
        <v>944</v>
      </c>
      <c r="AF1282" s="347"/>
      <c r="AG1282" s="347" t="s">
        <v>3005</v>
      </c>
      <c r="AH1282" s="347" t="s">
        <v>57</v>
      </c>
      <c r="AI1282" s="347" t="s">
        <v>4442</v>
      </c>
      <c r="AJ1282" s="347" t="s">
        <v>4443</v>
      </c>
      <c r="AK1282" s="347" t="s">
        <v>4437</v>
      </c>
      <c r="AL1282" s="387">
        <v>45574</v>
      </c>
    </row>
    <row r="1283" spans="2:38" ht="15.75" outlineLevel="1">
      <c r="B1283" s="345">
        <v>2111</v>
      </c>
      <c r="C1283" s="346">
        <v>102854</v>
      </c>
      <c r="D1283" s="345" t="s">
        <v>944</v>
      </c>
      <c r="E1283" s="347" t="s">
        <v>4240</v>
      </c>
      <c r="F1283" s="343" t="s">
        <v>3006</v>
      </c>
      <c r="I1283" s="345">
        <v>5</v>
      </c>
      <c r="J1283" s="347"/>
      <c r="K1283" s="345">
        <v>0</v>
      </c>
      <c r="L1283" s="347" t="s">
        <v>2257</v>
      </c>
      <c r="M1283" s="347"/>
      <c r="N1283" s="347" t="s">
        <v>4446</v>
      </c>
      <c r="O1283" s="347" t="s">
        <v>4441</v>
      </c>
      <c r="P1283" s="347"/>
      <c r="Q1283" s="347" t="s">
        <v>4459</v>
      </c>
      <c r="R1283" s="347" t="s">
        <v>4450</v>
      </c>
      <c r="S1283" s="348">
        <v>41341</v>
      </c>
      <c r="T1283" s="348">
        <v>41341</v>
      </c>
      <c r="U1283" s="347" t="s">
        <v>2995</v>
      </c>
      <c r="V1283" s="345">
        <v>1200</v>
      </c>
      <c r="W1283" s="345">
        <v>14050</v>
      </c>
      <c r="X1283" s="349">
        <v>2953.8</v>
      </c>
      <c r="Y1283" s="345">
        <v>14056</v>
      </c>
      <c r="Z1283" s="349">
        <v>2851.22</v>
      </c>
      <c r="AA1283" s="349">
        <f t="shared" si="104"/>
        <v>102.58000000000038</v>
      </c>
      <c r="AB1283" s="349">
        <v>184.59</v>
      </c>
      <c r="AC1283" s="345">
        <v>54260</v>
      </c>
      <c r="AD1283" s="349">
        <v>20.51</v>
      </c>
      <c r="AE1283" s="345" t="s">
        <v>944</v>
      </c>
      <c r="AF1283" s="347"/>
      <c r="AG1283" s="347"/>
      <c r="AH1283" s="347" t="s">
        <v>57</v>
      </c>
      <c r="AI1283" s="347" t="s">
        <v>4442</v>
      </c>
      <c r="AJ1283" s="347" t="s">
        <v>4443</v>
      </c>
      <c r="AK1283" s="347" t="s">
        <v>4437</v>
      </c>
      <c r="AL1283" s="387">
        <v>45574</v>
      </c>
    </row>
    <row r="1284" spans="2:38" ht="15.75" outlineLevel="1">
      <c r="B1284" s="345">
        <v>2111</v>
      </c>
      <c r="C1284" s="346">
        <v>102853</v>
      </c>
      <c r="D1284" s="345" t="s">
        <v>944</v>
      </c>
      <c r="E1284" s="347" t="s">
        <v>4240</v>
      </c>
      <c r="F1284" s="343" t="s">
        <v>3007</v>
      </c>
      <c r="I1284" s="345">
        <v>20</v>
      </c>
      <c r="J1284" s="347"/>
      <c r="K1284" s="345">
        <v>0</v>
      </c>
      <c r="L1284" s="347" t="s">
        <v>2257</v>
      </c>
      <c r="M1284" s="347"/>
      <c r="N1284" s="347" t="s">
        <v>4446</v>
      </c>
      <c r="O1284" s="347" t="s">
        <v>4441</v>
      </c>
      <c r="P1284" s="347"/>
      <c r="Q1284" s="347" t="s">
        <v>4449</v>
      </c>
      <c r="R1284" s="347" t="s">
        <v>4450</v>
      </c>
      <c r="S1284" s="348">
        <v>41341</v>
      </c>
      <c r="T1284" s="348">
        <v>41341</v>
      </c>
      <c r="U1284" s="347" t="s">
        <v>2995</v>
      </c>
      <c r="V1284" s="345">
        <v>1200</v>
      </c>
      <c r="W1284" s="345">
        <v>14050</v>
      </c>
      <c r="X1284" s="349">
        <v>9189.6</v>
      </c>
      <c r="Y1284" s="345">
        <v>14056</v>
      </c>
      <c r="Z1284" s="349">
        <v>8870.5499999999993</v>
      </c>
      <c r="AA1284" s="349">
        <f t="shared" si="104"/>
        <v>319.05000000000109</v>
      </c>
      <c r="AB1284" s="349">
        <v>574.38</v>
      </c>
      <c r="AC1284" s="345">
        <v>54260</v>
      </c>
      <c r="AD1284" s="349">
        <v>63.82</v>
      </c>
      <c r="AE1284" s="345" t="s">
        <v>944</v>
      </c>
      <c r="AF1284" s="347"/>
      <c r="AG1284" s="347"/>
      <c r="AH1284" s="347" t="s">
        <v>57</v>
      </c>
      <c r="AI1284" s="347" t="s">
        <v>4442</v>
      </c>
      <c r="AJ1284" s="347" t="s">
        <v>4443</v>
      </c>
      <c r="AK1284" s="347" t="s">
        <v>4437</v>
      </c>
      <c r="AL1284" s="387">
        <v>45574</v>
      </c>
    </row>
    <row r="1285" spans="2:38" ht="15.75" outlineLevel="1">
      <c r="B1285" s="345">
        <v>2111</v>
      </c>
      <c r="C1285" s="346">
        <v>102361</v>
      </c>
      <c r="D1285" s="345">
        <v>102350</v>
      </c>
      <c r="E1285" s="347" t="s">
        <v>4240</v>
      </c>
      <c r="F1285" s="343" t="s">
        <v>3008</v>
      </c>
      <c r="I1285" s="345">
        <v>1</v>
      </c>
      <c r="J1285" s="347" t="s">
        <v>3009</v>
      </c>
      <c r="K1285" s="345">
        <v>2000</v>
      </c>
      <c r="L1285" s="347"/>
      <c r="M1285" s="347"/>
      <c r="N1285" s="347" t="s">
        <v>4445</v>
      </c>
      <c r="O1285" s="347" t="s">
        <v>4441</v>
      </c>
      <c r="P1285" s="347" t="s">
        <v>1467</v>
      </c>
      <c r="Q1285" s="347"/>
      <c r="R1285" s="347"/>
      <c r="S1285" s="348">
        <v>38049</v>
      </c>
      <c r="T1285" s="348">
        <v>38049</v>
      </c>
      <c r="U1285" s="347">
        <v>42040018</v>
      </c>
      <c r="V1285" s="345">
        <v>500</v>
      </c>
      <c r="W1285" s="345">
        <v>14040</v>
      </c>
      <c r="X1285" s="349">
        <v>189</v>
      </c>
      <c r="Y1285" s="345">
        <v>14046</v>
      </c>
      <c r="Z1285" s="349">
        <v>189</v>
      </c>
      <c r="AA1285" s="349">
        <f t="shared" si="104"/>
        <v>0</v>
      </c>
      <c r="AB1285" s="349">
        <v>0</v>
      </c>
      <c r="AC1285" s="345">
        <v>51260</v>
      </c>
      <c r="AD1285" s="349">
        <v>0</v>
      </c>
      <c r="AE1285" s="345" t="s">
        <v>410</v>
      </c>
      <c r="AF1285" s="347">
        <v>0</v>
      </c>
      <c r="AG1285" s="347">
        <v>61</v>
      </c>
      <c r="AH1285" s="347" t="s">
        <v>57</v>
      </c>
      <c r="AI1285" s="347" t="s">
        <v>4442</v>
      </c>
      <c r="AJ1285" s="347" t="s">
        <v>4443</v>
      </c>
      <c r="AK1285" s="347" t="s">
        <v>4437</v>
      </c>
      <c r="AL1285" s="387">
        <v>45574</v>
      </c>
    </row>
    <row r="1286" spans="2:38" ht="15.75" outlineLevel="1">
      <c r="B1286" s="345">
        <v>2111</v>
      </c>
      <c r="C1286" s="346">
        <v>102360</v>
      </c>
      <c r="D1286" s="345">
        <v>102350</v>
      </c>
      <c r="E1286" s="347" t="s">
        <v>4240</v>
      </c>
      <c r="F1286" s="343" t="s">
        <v>3008</v>
      </c>
      <c r="I1286" s="345">
        <v>1</v>
      </c>
      <c r="J1286" s="347" t="s">
        <v>3009</v>
      </c>
      <c r="K1286" s="345">
        <v>2000</v>
      </c>
      <c r="L1286" s="347"/>
      <c r="M1286" s="347"/>
      <c r="N1286" s="347" t="s">
        <v>4445</v>
      </c>
      <c r="O1286" s="347" t="s">
        <v>4441</v>
      </c>
      <c r="P1286" s="347" t="s">
        <v>1467</v>
      </c>
      <c r="Q1286" s="347"/>
      <c r="R1286" s="347"/>
      <c r="S1286" s="348">
        <v>38033</v>
      </c>
      <c r="T1286" s="348">
        <v>38033</v>
      </c>
      <c r="U1286" s="347">
        <v>42040018</v>
      </c>
      <c r="V1286" s="345">
        <v>500</v>
      </c>
      <c r="W1286" s="345">
        <v>14040</v>
      </c>
      <c r="X1286" s="349">
        <v>212.48</v>
      </c>
      <c r="Y1286" s="345">
        <v>14046</v>
      </c>
      <c r="Z1286" s="349">
        <v>212.48</v>
      </c>
      <c r="AA1286" s="349">
        <f t="shared" si="104"/>
        <v>0</v>
      </c>
      <c r="AB1286" s="349">
        <v>0</v>
      </c>
      <c r="AC1286" s="345">
        <v>51260</v>
      </c>
      <c r="AD1286" s="349">
        <v>0</v>
      </c>
      <c r="AE1286" s="345" t="s">
        <v>410</v>
      </c>
      <c r="AF1286" s="347">
        <v>0</v>
      </c>
      <c r="AG1286" s="347">
        <v>61</v>
      </c>
      <c r="AH1286" s="347" t="s">
        <v>57</v>
      </c>
      <c r="AI1286" s="347" t="s">
        <v>4442</v>
      </c>
      <c r="AJ1286" s="347" t="s">
        <v>4443</v>
      </c>
      <c r="AK1286" s="347" t="s">
        <v>4437</v>
      </c>
      <c r="AL1286" s="387">
        <v>45574</v>
      </c>
    </row>
    <row r="1287" spans="2:38" ht="15.75" outlineLevel="1">
      <c r="B1287" s="345">
        <v>2111</v>
      </c>
      <c r="C1287" s="346">
        <v>102359</v>
      </c>
      <c r="D1287" s="345">
        <v>102350</v>
      </c>
      <c r="E1287" s="347" t="s">
        <v>4240</v>
      </c>
      <c r="F1287" s="343" t="s">
        <v>3008</v>
      </c>
      <c r="I1287" s="345">
        <v>1</v>
      </c>
      <c r="J1287" s="347" t="s">
        <v>3009</v>
      </c>
      <c r="K1287" s="345">
        <v>2000</v>
      </c>
      <c r="L1287" s="347"/>
      <c r="M1287" s="347"/>
      <c r="N1287" s="347" t="s">
        <v>4445</v>
      </c>
      <c r="O1287" s="347" t="s">
        <v>4441</v>
      </c>
      <c r="P1287" s="347" t="s">
        <v>1467</v>
      </c>
      <c r="Q1287" s="347"/>
      <c r="R1287" s="347"/>
      <c r="S1287" s="348">
        <v>38029</v>
      </c>
      <c r="T1287" s="348">
        <v>38029</v>
      </c>
      <c r="U1287" s="347">
        <v>42040018</v>
      </c>
      <c r="V1287" s="345">
        <v>500</v>
      </c>
      <c r="W1287" s="345">
        <v>14040</v>
      </c>
      <c r="X1287" s="349">
        <v>279.02</v>
      </c>
      <c r="Y1287" s="345">
        <v>14046</v>
      </c>
      <c r="Z1287" s="349">
        <v>279.02</v>
      </c>
      <c r="AA1287" s="349">
        <f t="shared" si="104"/>
        <v>0</v>
      </c>
      <c r="AB1287" s="349">
        <v>0</v>
      </c>
      <c r="AC1287" s="345">
        <v>51260</v>
      </c>
      <c r="AD1287" s="349">
        <v>0</v>
      </c>
      <c r="AE1287" s="345" t="s">
        <v>410</v>
      </c>
      <c r="AF1287" s="347">
        <v>0</v>
      </c>
      <c r="AG1287" s="347">
        <v>61</v>
      </c>
      <c r="AH1287" s="347" t="s">
        <v>57</v>
      </c>
      <c r="AI1287" s="347" t="s">
        <v>4442</v>
      </c>
      <c r="AJ1287" s="347" t="s">
        <v>4443</v>
      </c>
      <c r="AK1287" s="347" t="s">
        <v>4437</v>
      </c>
      <c r="AL1287" s="387">
        <v>45574</v>
      </c>
    </row>
    <row r="1288" spans="2:38" ht="15.75" outlineLevel="1">
      <c r="B1288" s="345">
        <v>2111</v>
      </c>
      <c r="C1288" s="346">
        <v>102358</v>
      </c>
      <c r="D1288" s="345">
        <v>102350</v>
      </c>
      <c r="E1288" s="347" t="s">
        <v>4240</v>
      </c>
      <c r="F1288" s="343" t="s">
        <v>3008</v>
      </c>
      <c r="I1288" s="345">
        <v>1</v>
      </c>
      <c r="J1288" s="347" t="s">
        <v>3009</v>
      </c>
      <c r="K1288" s="345">
        <v>2000</v>
      </c>
      <c r="L1288" s="347"/>
      <c r="M1288" s="347"/>
      <c r="N1288" s="347" t="s">
        <v>4445</v>
      </c>
      <c r="O1288" s="347" t="s">
        <v>4441</v>
      </c>
      <c r="P1288" s="347" t="s">
        <v>1467</v>
      </c>
      <c r="Q1288" s="347"/>
      <c r="R1288" s="347"/>
      <c r="S1288" s="348">
        <v>38051</v>
      </c>
      <c r="T1288" s="348">
        <v>38051</v>
      </c>
      <c r="U1288" s="347">
        <v>42040018</v>
      </c>
      <c r="V1288" s="345">
        <v>500</v>
      </c>
      <c r="W1288" s="345">
        <v>14040</v>
      </c>
      <c r="X1288" s="349">
        <v>2328.44</v>
      </c>
      <c r="Y1288" s="345">
        <v>14046</v>
      </c>
      <c r="Z1288" s="349">
        <v>2328.44</v>
      </c>
      <c r="AA1288" s="349">
        <f t="shared" si="104"/>
        <v>0</v>
      </c>
      <c r="AB1288" s="349">
        <v>0</v>
      </c>
      <c r="AC1288" s="345">
        <v>51260</v>
      </c>
      <c r="AD1288" s="349">
        <v>0</v>
      </c>
      <c r="AE1288" s="345" t="s">
        <v>410</v>
      </c>
      <c r="AF1288" s="347">
        <v>0</v>
      </c>
      <c r="AG1288" s="347">
        <v>61</v>
      </c>
      <c r="AH1288" s="347" t="s">
        <v>57</v>
      </c>
      <c r="AI1288" s="347" t="s">
        <v>4442</v>
      </c>
      <c r="AJ1288" s="347" t="s">
        <v>4443</v>
      </c>
      <c r="AK1288" s="347" t="s">
        <v>4437</v>
      </c>
      <c r="AL1288" s="387">
        <v>45574</v>
      </c>
    </row>
    <row r="1289" spans="2:38" ht="15.75" outlineLevel="1">
      <c r="B1289" s="345">
        <v>2111</v>
      </c>
      <c r="C1289" s="346">
        <v>102357</v>
      </c>
      <c r="D1289" s="345">
        <v>102350</v>
      </c>
      <c r="E1289" s="347" t="s">
        <v>4240</v>
      </c>
      <c r="F1289" s="343" t="s">
        <v>3008</v>
      </c>
      <c r="I1289" s="345">
        <v>1</v>
      </c>
      <c r="J1289" s="347" t="s">
        <v>3009</v>
      </c>
      <c r="K1289" s="345">
        <v>2000</v>
      </c>
      <c r="L1289" s="347"/>
      <c r="M1289" s="347"/>
      <c r="N1289" s="347" t="s">
        <v>4445</v>
      </c>
      <c r="O1289" s="347" t="s">
        <v>4441</v>
      </c>
      <c r="P1289" s="347" t="s">
        <v>1467</v>
      </c>
      <c r="Q1289" s="347"/>
      <c r="R1289" s="347"/>
      <c r="S1289" s="348">
        <v>38033</v>
      </c>
      <c r="T1289" s="348">
        <v>38033</v>
      </c>
      <c r="U1289" s="347">
        <v>42040018</v>
      </c>
      <c r="V1289" s="345">
        <v>500</v>
      </c>
      <c r="W1289" s="345">
        <v>14040</v>
      </c>
      <c r="X1289" s="349">
        <v>401.69</v>
      </c>
      <c r="Y1289" s="345">
        <v>14046</v>
      </c>
      <c r="Z1289" s="349">
        <v>401.69</v>
      </c>
      <c r="AA1289" s="349">
        <f t="shared" si="104"/>
        <v>0</v>
      </c>
      <c r="AB1289" s="349">
        <v>0</v>
      </c>
      <c r="AC1289" s="345">
        <v>51260</v>
      </c>
      <c r="AD1289" s="349">
        <v>0</v>
      </c>
      <c r="AE1289" s="345" t="s">
        <v>410</v>
      </c>
      <c r="AF1289" s="347">
        <v>0</v>
      </c>
      <c r="AG1289" s="347">
        <v>61</v>
      </c>
      <c r="AH1289" s="347" t="s">
        <v>57</v>
      </c>
      <c r="AI1289" s="347" t="s">
        <v>4442</v>
      </c>
      <c r="AJ1289" s="347" t="s">
        <v>4443</v>
      </c>
      <c r="AK1289" s="347" t="s">
        <v>4437</v>
      </c>
      <c r="AL1289" s="387">
        <v>45574</v>
      </c>
    </row>
    <row r="1290" spans="2:38" ht="15.75" outlineLevel="1">
      <c r="B1290" s="345">
        <v>2111</v>
      </c>
      <c r="C1290" s="346">
        <v>102356</v>
      </c>
      <c r="D1290" s="345">
        <v>102350</v>
      </c>
      <c r="E1290" s="347" t="s">
        <v>4240</v>
      </c>
      <c r="F1290" s="343" t="s">
        <v>3008</v>
      </c>
      <c r="I1290" s="345">
        <v>1</v>
      </c>
      <c r="J1290" s="347" t="s">
        <v>3009</v>
      </c>
      <c r="K1290" s="345">
        <v>2000</v>
      </c>
      <c r="L1290" s="347"/>
      <c r="M1290" s="347"/>
      <c r="N1290" s="347" t="s">
        <v>4445</v>
      </c>
      <c r="O1290" s="347" t="s">
        <v>4441</v>
      </c>
      <c r="P1290" s="347" t="s">
        <v>1467</v>
      </c>
      <c r="Q1290" s="347"/>
      <c r="R1290" s="347"/>
      <c r="S1290" s="348">
        <v>38049</v>
      </c>
      <c r="T1290" s="348">
        <v>38049</v>
      </c>
      <c r="U1290" s="347">
        <v>42040018</v>
      </c>
      <c r="V1290" s="345">
        <v>500</v>
      </c>
      <c r="W1290" s="345">
        <v>14040</v>
      </c>
      <c r="X1290" s="349">
        <v>190</v>
      </c>
      <c r="Y1290" s="345">
        <v>14046</v>
      </c>
      <c r="Z1290" s="349">
        <v>190</v>
      </c>
      <c r="AA1290" s="349">
        <f t="shared" si="104"/>
        <v>0</v>
      </c>
      <c r="AB1290" s="349">
        <v>0</v>
      </c>
      <c r="AC1290" s="345">
        <v>51260</v>
      </c>
      <c r="AD1290" s="349">
        <v>0</v>
      </c>
      <c r="AE1290" s="345" t="s">
        <v>410</v>
      </c>
      <c r="AF1290" s="347">
        <v>0</v>
      </c>
      <c r="AG1290" s="347">
        <v>61</v>
      </c>
      <c r="AH1290" s="347" t="s">
        <v>57</v>
      </c>
      <c r="AI1290" s="347" t="s">
        <v>4442</v>
      </c>
      <c r="AJ1290" s="347" t="s">
        <v>4443</v>
      </c>
      <c r="AK1290" s="347" t="s">
        <v>4437</v>
      </c>
      <c r="AL1290" s="387">
        <v>45574</v>
      </c>
    </row>
    <row r="1291" spans="2:38" ht="15.75" outlineLevel="1">
      <c r="B1291" s="345">
        <v>2111</v>
      </c>
      <c r="C1291" s="346">
        <v>102355</v>
      </c>
      <c r="D1291" s="345">
        <v>102350</v>
      </c>
      <c r="E1291" s="347" t="s">
        <v>4240</v>
      </c>
      <c r="F1291" s="343" t="s">
        <v>3008</v>
      </c>
      <c r="I1291" s="345">
        <v>1</v>
      </c>
      <c r="J1291" s="347" t="s">
        <v>3009</v>
      </c>
      <c r="K1291" s="345">
        <v>2000</v>
      </c>
      <c r="L1291" s="347"/>
      <c r="M1291" s="347"/>
      <c r="N1291" s="347" t="s">
        <v>4445</v>
      </c>
      <c r="O1291" s="347" t="s">
        <v>4441</v>
      </c>
      <c r="P1291" s="347" t="s">
        <v>1467</v>
      </c>
      <c r="Q1291" s="347"/>
      <c r="R1291" s="347"/>
      <c r="S1291" s="348">
        <v>38043</v>
      </c>
      <c r="T1291" s="348">
        <v>38043</v>
      </c>
      <c r="U1291" s="347">
        <v>42040018</v>
      </c>
      <c r="V1291" s="345">
        <v>500</v>
      </c>
      <c r="W1291" s="345">
        <v>14040</v>
      </c>
      <c r="X1291" s="349">
        <v>144.69999999999999</v>
      </c>
      <c r="Y1291" s="345">
        <v>14046</v>
      </c>
      <c r="Z1291" s="349">
        <v>144.69999999999999</v>
      </c>
      <c r="AA1291" s="349">
        <f t="shared" si="104"/>
        <v>0</v>
      </c>
      <c r="AB1291" s="349">
        <v>0</v>
      </c>
      <c r="AC1291" s="345">
        <v>51260</v>
      </c>
      <c r="AD1291" s="349">
        <v>0</v>
      </c>
      <c r="AE1291" s="345" t="s">
        <v>410</v>
      </c>
      <c r="AF1291" s="347">
        <v>0</v>
      </c>
      <c r="AG1291" s="347">
        <v>61</v>
      </c>
      <c r="AH1291" s="347" t="s">
        <v>57</v>
      </c>
      <c r="AI1291" s="347" t="s">
        <v>4442</v>
      </c>
      <c r="AJ1291" s="347" t="s">
        <v>4443</v>
      </c>
      <c r="AK1291" s="347" t="s">
        <v>4437</v>
      </c>
      <c r="AL1291" s="387">
        <v>45574</v>
      </c>
    </row>
    <row r="1292" spans="2:38" ht="15.75" outlineLevel="1">
      <c r="B1292" s="345">
        <v>2111</v>
      </c>
      <c r="C1292" s="346">
        <v>102354</v>
      </c>
      <c r="D1292" s="345">
        <v>102350</v>
      </c>
      <c r="E1292" s="347" t="s">
        <v>4240</v>
      </c>
      <c r="F1292" s="343" t="s">
        <v>3008</v>
      </c>
      <c r="I1292" s="345">
        <v>1</v>
      </c>
      <c r="J1292" s="347" t="s">
        <v>3009</v>
      </c>
      <c r="K1292" s="345">
        <v>2000</v>
      </c>
      <c r="L1292" s="347"/>
      <c r="M1292" s="347"/>
      <c r="N1292" s="347" t="s">
        <v>4445</v>
      </c>
      <c r="O1292" s="347" t="s">
        <v>4441</v>
      </c>
      <c r="P1292" s="347" t="s">
        <v>1467</v>
      </c>
      <c r="Q1292" s="347"/>
      <c r="R1292" s="347"/>
      <c r="S1292" s="348">
        <v>38035</v>
      </c>
      <c r="T1292" s="348">
        <v>38035</v>
      </c>
      <c r="U1292" s="347">
        <v>42040018</v>
      </c>
      <c r="V1292" s="345">
        <v>500</v>
      </c>
      <c r="W1292" s="345">
        <v>14040</v>
      </c>
      <c r="X1292" s="349">
        <v>253.67</v>
      </c>
      <c r="Y1292" s="345">
        <v>14046</v>
      </c>
      <c r="Z1292" s="349">
        <v>253.67</v>
      </c>
      <c r="AA1292" s="349">
        <f t="shared" si="104"/>
        <v>0</v>
      </c>
      <c r="AB1292" s="349">
        <v>0</v>
      </c>
      <c r="AC1292" s="345">
        <v>51260</v>
      </c>
      <c r="AD1292" s="349">
        <v>0</v>
      </c>
      <c r="AE1292" s="345" t="s">
        <v>410</v>
      </c>
      <c r="AF1292" s="347">
        <v>0</v>
      </c>
      <c r="AG1292" s="347">
        <v>61</v>
      </c>
      <c r="AH1292" s="347" t="s">
        <v>57</v>
      </c>
      <c r="AI1292" s="347" t="s">
        <v>4442</v>
      </c>
      <c r="AJ1292" s="347" t="s">
        <v>4443</v>
      </c>
      <c r="AK1292" s="347" t="s">
        <v>4437</v>
      </c>
      <c r="AL1292" s="387">
        <v>45574</v>
      </c>
    </row>
    <row r="1293" spans="2:38" ht="15.75" outlineLevel="1">
      <c r="B1293" s="345">
        <v>2111</v>
      </c>
      <c r="C1293" s="346">
        <v>102353</v>
      </c>
      <c r="D1293" s="345">
        <v>102350</v>
      </c>
      <c r="E1293" s="347" t="s">
        <v>4240</v>
      </c>
      <c r="F1293" s="343" t="s">
        <v>3008</v>
      </c>
      <c r="I1293" s="345">
        <v>1</v>
      </c>
      <c r="J1293" s="347" t="s">
        <v>3009</v>
      </c>
      <c r="K1293" s="345">
        <v>2000</v>
      </c>
      <c r="L1293" s="347"/>
      <c r="M1293" s="347"/>
      <c r="N1293" s="347" t="s">
        <v>4445</v>
      </c>
      <c r="O1293" s="347" t="s">
        <v>4441</v>
      </c>
      <c r="P1293" s="347" t="s">
        <v>1467</v>
      </c>
      <c r="Q1293" s="347"/>
      <c r="R1293" s="347"/>
      <c r="S1293" s="348">
        <v>38034</v>
      </c>
      <c r="T1293" s="348">
        <v>38034</v>
      </c>
      <c r="U1293" s="347">
        <v>42040018</v>
      </c>
      <c r="V1293" s="345">
        <v>500</v>
      </c>
      <c r="W1293" s="345">
        <v>14040</v>
      </c>
      <c r="X1293" s="349">
        <v>113.91</v>
      </c>
      <c r="Y1293" s="345">
        <v>14046</v>
      </c>
      <c r="Z1293" s="349">
        <v>113.91</v>
      </c>
      <c r="AA1293" s="349">
        <f t="shared" si="104"/>
        <v>0</v>
      </c>
      <c r="AB1293" s="349">
        <v>0</v>
      </c>
      <c r="AC1293" s="345">
        <v>51260</v>
      </c>
      <c r="AD1293" s="349">
        <v>0</v>
      </c>
      <c r="AE1293" s="345" t="s">
        <v>410</v>
      </c>
      <c r="AF1293" s="347">
        <v>0</v>
      </c>
      <c r="AG1293" s="347">
        <v>61</v>
      </c>
      <c r="AH1293" s="347" t="s">
        <v>57</v>
      </c>
      <c r="AI1293" s="347" t="s">
        <v>4442</v>
      </c>
      <c r="AJ1293" s="347" t="s">
        <v>4443</v>
      </c>
      <c r="AK1293" s="347" t="s">
        <v>4437</v>
      </c>
      <c r="AL1293" s="387">
        <v>45574</v>
      </c>
    </row>
    <row r="1294" spans="2:38" ht="15.75" outlineLevel="1">
      <c r="B1294" s="345">
        <v>2111</v>
      </c>
      <c r="C1294" s="346">
        <v>102352</v>
      </c>
      <c r="D1294" s="345">
        <v>102350</v>
      </c>
      <c r="E1294" s="347" t="s">
        <v>4240</v>
      </c>
      <c r="F1294" s="343" t="s">
        <v>3008</v>
      </c>
      <c r="I1294" s="345">
        <v>1</v>
      </c>
      <c r="J1294" s="347" t="s">
        <v>3009</v>
      </c>
      <c r="K1294" s="345">
        <v>2000</v>
      </c>
      <c r="L1294" s="347"/>
      <c r="M1294" s="347"/>
      <c r="N1294" s="347" t="s">
        <v>4445</v>
      </c>
      <c r="O1294" s="347" t="s">
        <v>4441</v>
      </c>
      <c r="P1294" s="347" t="s">
        <v>1467</v>
      </c>
      <c r="Q1294" s="347"/>
      <c r="R1294" s="347"/>
      <c r="S1294" s="348">
        <v>38035</v>
      </c>
      <c r="T1294" s="348">
        <v>38035</v>
      </c>
      <c r="U1294" s="347">
        <v>42040018</v>
      </c>
      <c r="V1294" s="345">
        <v>500</v>
      </c>
      <c r="W1294" s="345">
        <v>14040</v>
      </c>
      <c r="X1294" s="349">
        <v>1000</v>
      </c>
      <c r="Y1294" s="345">
        <v>14046</v>
      </c>
      <c r="Z1294" s="349">
        <v>1000</v>
      </c>
      <c r="AA1294" s="349">
        <f t="shared" si="104"/>
        <v>0</v>
      </c>
      <c r="AB1294" s="349">
        <v>0</v>
      </c>
      <c r="AC1294" s="345">
        <v>51260</v>
      </c>
      <c r="AD1294" s="349">
        <v>0</v>
      </c>
      <c r="AE1294" s="345" t="s">
        <v>410</v>
      </c>
      <c r="AF1294" s="347">
        <v>0</v>
      </c>
      <c r="AG1294" s="347">
        <v>61</v>
      </c>
      <c r="AH1294" s="347" t="s">
        <v>57</v>
      </c>
      <c r="AI1294" s="347" t="s">
        <v>4442</v>
      </c>
      <c r="AJ1294" s="347" t="s">
        <v>4443</v>
      </c>
      <c r="AK1294" s="347" t="s">
        <v>4437</v>
      </c>
      <c r="AL1294" s="387">
        <v>45574</v>
      </c>
    </row>
    <row r="1295" spans="2:38" ht="15.75" outlineLevel="1">
      <c r="B1295" s="345">
        <v>2111</v>
      </c>
      <c r="C1295" s="346">
        <v>102351</v>
      </c>
      <c r="D1295" s="345">
        <v>102350</v>
      </c>
      <c r="E1295" s="347" t="s">
        <v>4240</v>
      </c>
      <c r="F1295" s="343" t="s">
        <v>3013</v>
      </c>
      <c r="I1295" s="345">
        <v>1</v>
      </c>
      <c r="J1295" s="347"/>
      <c r="K1295" s="345">
        <v>0</v>
      </c>
      <c r="L1295" s="347"/>
      <c r="M1295" s="347"/>
      <c r="N1295" s="347" t="s">
        <v>4445</v>
      </c>
      <c r="O1295" s="347" t="s">
        <v>4441</v>
      </c>
      <c r="P1295" s="347" t="s">
        <v>1467</v>
      </c>
      <c r="Q1295" s="347"/>
      <c r="R1295" s="347"/>
      <c r="S1295" s="348">
        <v>37621</v>
      </c>
      <c r="T1295" s="348">
        <v>37621</v>
      </c>
      <c r="U1295" s="347" t="s">
        <v>3014</v>
      </c>
      <c r="V1295" s="345">
        <v>1000</v>
      </c>
      <c r="W1295" s="345">
        <v>14040</v>
      </c>
      <c r="X1295" s="349">
        <v>39</v>
      </c>
      <c r="Y1295" s="345">
        <v>14046</v>
      </c>
      <c r="Z1295" s="349">
        <v>39</v>
      </c>
      <c r="AA1295" s="349">
        <f t="shared" si="104"/>
        <v>0</v>
      </c>
      <c r="AB1295" s="349">
        <v>0</v>
      </c>
      <c r="AC1295" s="345">
        <v>51260</v>
      </c>
      <c r="AD1295" s="349">
        <v>0</v>
      </c>
      <c r="AE1295" s="345" t="s">
        <v>944</v>
      </c>
      <c r="AF1295" s="347"/>
      <c r="AG1295" s="347"/>
      <c r="AH1295" s="347" t="s">
        <v>57</v>
      </c>
      <c r="AI1295" s="347" t="s">
        <v>4442</v>
      </c>
      <c r="AJ1295" s="347" t="s">
        <v>4443</v>
      </c>
      <c r="AK1295" s="347" t="s">
        <v>4437</v>
      </c>
      <c r="AL1295" s="387">
        <v>45574</v>
      </c>
    </row>
    <row r="1296" spans="2:38" ht="15.75" outlineLevel="1">
      <c r="B1296" s="345">
        <v>2111</v>
      </c>
      <c r="C1296" s="346">
        <v>102350</v>
      </c>
      <c r="D1296" s="345" t="s">
        <v>944</v>
      </c>
      <c r="E1296" s="347" t="s">
        <v>4240</v>
      </c>
      <c r="F1296" s="343" t="s">
        <v>3016</v>
      </c>
      <c r="I1296" s="345">
        <v>1</v>
      </c>
      <c r="J1296" s="347" t="s">
        <v>3009</v>
      </c>
      <c r="K1296" s="345">
        <v>2000</v>
      </c>
      <c r="L1296" s="347" t="s">
        <v>3017</v>
      </c>
      <c r="M1296" s="347" t="s">
        <v>751</v>
      </c>
      <c r="N1296" s="347" t="s">
        <v>4445</v>
      </c>
      <c r="O1296" s="347" t="s">
        <v>4441</v>
      </c>
      <c r="P1296" s="347" t="s">
        <v>1591</v>
      </c>
      <c r="Q1296" s="347"/>
      <c r="R1296" s="347"/>
      <c r="S1296" s="348">
        <v>38014</v>
      </c>
      <c r="T1296" s="348">
        <v>38014</v>
      </c>
      <c r="U1296" s="347">
        <v>42040018</v>
      </c>
      <c r="V1296" s="345">
        <v>500</v>
      </c>
      <c r="W1296" s="345">
        <v>14040</v>
      </c>
      <c r="X1296" s="349">
        <v>47000</v>
      </c>
      <c r="Y1296" s="345">
        <v>14046</v>
      </c>
      <c r="Z1296" s="349">
        <v>47000</v>
      </c>
      <c r="AA1296" s="349">
        <f t="shared" si="104"/>
        <v>0</v>
      </c>
      <c r="AB1296" s="349">
        <v>0</v>
      </c>
      <c r="AC1296" s="345">
        <v>51260</v>
      </c>
      <c r="AD1296" s="349">
        <v>0</v>
      </c>
      <c r="AE1296" s="345" t="s">
        <v>410</v>
      </c>
      <c r="AF1296" s="347">
        <v>0</v>
      </c>
      <c r="AG1296" s="347">
        <v>61</v>
      </c>
      <c r="AH1296" s="347" t="s">
        <v>57</v>
      </c>
      <c r="AI1296" s="347" t="s">
        <v>4442</v>
      </c>
      <c r="AJ1296" s="347" t="s">
        <v>4443</v>
      </c>
      <c r="AK1296" s="347" t="s">
        <v>4437</v>
      </c>
      <c r="AL1296" s="387">
        <v>45574</v>
      </c>
    </row>
    <row r="1297" spans="2:38" ht="15.75" outlineLevel="1">
      <c r="B1297" s="345">
        <v>2111</v>
      </c>
      <c r="C1297" s="346">
        <v>102349</v>
      </c>
      <c r="D1297" s="345">
        <v>102347</v>
      </c>
      <c r="E1297" s="347" t="s">
        <v>4240</v>
      </c>
      <c r="F1297" s="343" t="s">
        <v>3018</v>
      </c>
      <c r="I1297" s="345">
        <v>1</v>
      </c>
      <c r="J1297" s="347" t="s">
        <v>3019</v>
      </c>
      <c r="K1297" s="345">
        <v>2002</v>
      </c>
      <c r="L1297" s="347"/>
      <c r="M1297" s="347"/>
      <c r="N1297" s="347" t="s">
        <v>4445</v>
      </c>
      <c r="O1297" s="347" t="s">
        <v>4441</v>
      </c>
      <c r="P1297" s="347" t="s">
        <v>1591</v>
      </c>
      <c r="Q1297" s="347"/>
      <c r="R1297" s="347"/>
      <c r="S1297" s="348">
        <v>37412</v>
      </c>
      <c r="T1297" s="348">
        <v>37412</v>
      </c>
      <c r="U1297" s="347" t="s">
        <v>3020</v>
      </c>
      <c r="V1297" s="345">
        <v>600</v>
      </c>
      <c r="W1297" s="345">
        <v>14040</v>
      </c>
      <c r="X1297" s="349">
        <v>17500</v>
      </c>
      <c r="Y1297" s="345">
        <v>14046</v>
      </c>
      <c r="Z1297" s="349">
        <v>17500</v>
      </c>
      <c r="AA1297" s="349">
        <f t="shared" si="104"/>
        <v>0</v>
      </c>
      <c r="AB1297" s="349">
        <v>0</v>
      </c>
      <c r="AC1297" s="345">
        <v>51260</v>
      </c>
      <c r="AD1297" s="349">
        <v>0</v>
      </c>
      <c r="AE1297" s="345" t="s">
        <v>944</v>
      </c>
      <c r="AF1297" s="347"/>
      <c r="AG1297" s="347">
        <v>60</v>
      </c>
      <c r="AH1297" s="347" t="s">
        <v>57</v>
      </c>
      <c r="AI1297" s="347" t="s">
        <v>4442</v>
      </c>
      <c r="AJ1297" s="347" t="s">
        <v>4443</v>
      </c>
      <c r="AK1297" s="347" t="s">
        <v>4437</v>
      </c>
      <c r="AL1297" s="387">
        <v>45574</v>
      </c>
    </row>
    <row r="1298" spans="2:38" ht="15.75" outlineLevel="1">
      <c r="B1298" s="345">
        <v>2111</v>
      </c>
      <c r="C1298" s="346">
        <v>102348</v>
      </c>
      <c r="D1298" s="345">
        <v>102347</v>
      </c>
      <c r="E1298" s="347" t="s">
        <v>4240</v>
      </c>
      <c r="F1298" s="343" t="s">
        <v>3021</v>
      </c>
      <c r="I1298" s="345">
        <v>1</v>
      </c>
      <c r="J1298" s="347" t="s">
        <v>3019</v>
      </c>
      <c r="K1298" s="345">
        <v>2001</v>
      </c>
      <c r="L1298" s="347"/>
      <c r="M1298" s="347"/>
      <c r="N1298" s="347" t="s">
        <v>4445</v>
      </c>
      <c r="O1298" s="347" t="s">
        <v>4441</v>
      </c>
      <c r="P1298" s="347" t="s">
        <v>4170</v>
      </c>
      <c r="Q1298" s="347"/>
      <c r="R1298" s="347"/>
      <c r="S1298" s="348">
        <v>39538</v>
      </c>
      <c r="T1298" s="348">
        <v>39538</v>
      </c>
      <c r="U1298" s="347" t="s">
        <v>3022</v>
      </c>
      <c r="V1298" s="345">
        <v>300</v>
      </c>
      <c r="W1298" s="345">
        <v>14040</v>
      </c>
      <c r="X1298" s="349">
        <v>13118.26</v>
      </c>
      <c r="Y1298" s="345">
        <v>14046</v>
      </c>
      <c r="Z1298" s="349">
        <v>13118.26</v>
      </c>
      <c r="AA1298" s="349">
        <f t="shared" si="104"/>
        <v>0</v>
      </c>
      <c r="AB1298" s="349">
        <v>0</v>
      </c>
      <c r="AC1298" s="345">
        <v>51260</v>
      </c>
      <c r="AD1298" s="349">
        <v>0</v>
      </c>
      <c r="AE1298" s="345" t="s">
        <v>944</v>
      </c>
      <c r="AF1298" s="347"/>
      <c r="AG1298" s="347" t="s">
        <v>3023</v>
      </c>
      <c r="AH1298" s="347" t="s">
        <v>57</v>
      </c>
      <c r="AI1298" s="347" t="s">
        <v>4442</v>
      </c>
      <c r="AJ1298" s="347" t="s">
        <v>4443</v>
      </c>
      <c r="AK1298" s="347" t="s">
        <v>4437</v>
      </c>
      <c r="AL1298" s="387">
        <v>45574</v>
      </c>
    </row>
    <row r="1299" spans="2:38" ht="15.75" outlineLevel="1">
      <c r="B1299" s="345">
        <v>2111</v>
      </c>
      <c r="C1299" s="346">
        <v>102347</v>
      </c>
      <c r="D1299" s="345" t="s">
        <v>944</v>
      </c>
      <c r="E1299" s="347" t="s">
        <v>4240</v>
      </c>
      <c r="F1299" s="343" t="s">
        <v>1258</v>
      </c>
      <c r="I1299" s="345">
        <v>1</v>
      </c>
      <c r="J1299" s="347" t="s">
        <v>3019</v>
      </c>
      <c r="K1299" s="345">
        <v>2001</v>
      </c>
      <c r="L1299" s="347" t="s">
        <v>3017</v>
      </c>
      <c r="M1299" s="347" t="s">
        <v>751</v>
      </c>
      <c r="N1299" s="347" t="s">
        <v>4445</v>
      </c>
      <c r="O1299" s="347" t="s">
        <v>4441</v>
      </c>
      <c r="P1299" s="347" t="s">
        <v>1591</v>
      </c>
      <c r="Q1299" s="347"/>
      <c r="R1299" s="347"/>
      <c r="S1299" s="348">
        <v>37408</v>
      </c>
      <c r="T1299" s="348">
        <v>37408</v>
      </c>
      <c r="U1299" s="347">
        <v>22040016</v>
      </c>
      <c r="V1299" s="345">
        <v>600</v>
      </c>
      <c r="W1299" s="345">
        <v>14040</v>
      </c>
      <c r="X1299" s="349">
        <v>37500</v>
      </c>
      <c r="Y1299" s="345">
        <v>14046</v>
      </c>
      <c r="Z1299" s="349">
        <v>37500</v>
      </c>
      <c r="AA1299" s="349">
        <f t="shared" si="104"/>
        <v>0</v>
      </c>
      <c r="AB1299" s="349">
        <v>0</v>
      </c>
      <c r="AC1299" s="345">
        <v>51260</v>
      </c>
      <c r="AD1299" s="349">
        <v>0</v>
      </c>
      <c r="AE1299" s="345" t="s">
        <v>944</v>
      </c>
      <c r="AF1299" s="347"/>
      <c r="AG1299" s="347">
        <v>60</v>
      </c>
      <c r="AH1299" s="347" t="s">
        <v>57</v>
      </c>
      <c r="AI1299" s="347" t="s">
        <v>4442</v>
      </c>
      <c r="AJ1299" s="347" t="s">
        <v>4443</v>
      </c>
      <c r="AK1299" s="347" t="s">
        <v>4437</v>
      </c>
      <c r="AL1299" s="387">
        <v>45574</v>
      </c>
    </row>
    <row r="1300" spans="2:38" ht="15.75" outlineLevel="1">
      <c r="B1300" s="345">
        <v>2111</v>
      </c>
      <c r="C1300" s="346">
        <v>102189</v>
      </c>
      <c r="D1300" s="345">
        <v>102188</v>
      </c>
      <c r="E1300" s="347" t="s">
        <v>4240</v>
      </c>
      <c r="F1300" s="343" t="s">
        <v>3024</v>
      </c>
      <c r="I1300" s="345">
        <v>1</v>
      </c>
      <c r="J1300" s="347" t="s">
        <v>3025</v>
      </c>
      <c r="K1300" s="345">
        <v>2010</v>
      </c>
      <c r="L1300" s="347"/>
      <c r="M1300" s="347"/>
      <c r="N1300" s="347" t="s">
        <v>4445</v>
      </c>
      <c r="O1300" s="347" t="s">
        <v>4441</v>
      </c>
      <c r="P1300" s="347" t="s">
        <v>4482</v>
      </c>
      <c r="Q1300" s="347"/>
      <c r="R1300" s="347"/>
      <c r="S1300" s="348">
        <v>40482</v>
      </c>
      <c r="T1300" s="348">
        <v>40482</v>
      </c>
      <c r="U1300" s="347" t="s">
        <v>3026</v>
      </c>
      <c r="V1300" s="345">
        <v>900</v>
      </c>
      <c r="W1300" s="345">
        <v>14040</v>
      </c>
      <c r="X1300" s="349">
        <v>129535.12</v>
      </c>
      <c r="Y1300" s="345">
        <v>14046</v>
      </c>
      <c r="Z1300" s="349">
        <v>129535.12</v>
      </c>
      <c r="AA1300" s="349">
        <f t="shared" si="104"/>
        <v>0</v>
      </c>
      <c r="AB1300" s="349">
        <v>0</v>
      </c>
      <c r="AC1300" s="345">
        <v>51260</v>
      </c>
      <c r="AD1300" s="349">
        <v>0</v>
      </c>
      <c r="AE1300" s="345" t="s">
        <v>944</v>
      </c>
      <c r="AF1300" s="347"/>
      <c r="AG1300" s="347">
        <v>624</v>
      </c>
      <c r="AH1300" s="347" t="s">
        <v>57</v>
      </c>
      <c r="AI1300" s="347" t="s">
        <v>4442</v>
      </c>
      <c r="AJ1300" s="347" t="s">
        <v>4443</v>
      </c>
      <c r="AK1300" s="347" t="s">
        <v>4437</v>
      </c>
      <c r="AL1300" s="387">
        <v>45574</v>
      </c>
    </row>
    <row r="1301" spans="2:38" ht="15.75" outlineLevel="1">
      <c r="B1301" s="345">
        <v>2111</v>
      </c>
      <c r="C1301" s="346">
        <v>102188</v>
      </c>
      <c r="D1301" s="345" t="s">
        <v>944</v>
      </c>
      <c r="E1301" s="347" t="s">
        <v>4240</v>
      </c>
      <c r="F1301" s="343" t="s">
        <v>3028</v>
      </c>
      <c r="I1301" s="345">
        <v>1</v>
      </c>
      <c r="J1301" s="347" t="s">
        <v>3025</v>
      </c>
      <c r="K1301" s="345">
        <v>2010</v>
      </c>
      <c r="L1301" s="347" t="s">
        <v>3029</v>
      </c>
      <c r="M1301" s="347" t="s">
        <v>1764</v>
      </c>
      <c r="N1301" s="347" t="s">
        <v>4445</v>
      </c>
      <c r="O1301" s="347" t="s">
        <v>4441</v>
      </c>
      <c r="P1301" s="347" t="s">
        <v>4491</v>
      </c>
      <c r="Q1301" s="347"/>
      <c r="R1301" s="347"/>
      <c r="S1301" s="348">
        <v>40482</v>
      </c>
      <c r="T1301" s="348">
        <v>40482</v>
      </c>
      <c r="U1301" s="347" t="s">
        <v>3026</v>
      </c>
      <c r="V1301" s="345">
        <v>900</v>
      </c>
      <c r="W1301" s="345">
        <v>14040</v>
      </c>
      <c r="X1301" s="349">
        <v>162266.70000000001</v>
      </c>
      <c r="Y1301" s="345">
        <v>14046</v>
      </c>
      <c r="Z1301" s="349">
        <v>162266.70000000001</v>
      </c>
      <c r="AA1301" s="349">
        <f t="shared" si="104"/>
        <v>0</v>
      </c>
      <c r="AB1301" s="349">
        <v>0</v>
      </c>
      <c r="AC1301" s="345">
        <v>51260</v>
      </c>
      <c r="AD1301" s="349">
        <v>0</v>
      </c>
      <c r="AE1301" s="345" t="s">
        <v>944</v>
      </c>
      <c r="AF1301" s="347"/>
      <c r="AG1301" s="347">
        <v>624</v>
      </c>
      <c r="AH1301" s="347" t="s">
        <v>57</v>
      </c>
      <c r="AI1301" s="347" t="s">
        <v>4442</v>
      </c>
      <c r="AJ1301" s="347" t="s">
        <v>4443</v>
      </c>
      <c r="AK1301" s="347" t="s">
        <v>4437</v>
      </c>
      <c r="AL1301" s="387">
        <v>45574</v>
      </c>
    </row>
    <row r="1302" spans="2:38" ht="15.75" outlineLevel="1">
      <c r="B1302" s="345">
        <v>2111</v>
      </c>
      <c r="C1302" s="346">
        <v>102178</v>
      </c>
      <c r="D1302" s="345">
        <v>102177</v>
      </c>
      <c r="E1302" s="347" t="s">
        <v>4240</v>
      </c>
      <c r="F1302" s="343" t="s">
        <v>3035</v>
      </c>
      <c r="I1302" s="345">
        <v>1</v>
      </c>
      <c r="J1302" s="347" t="s">
        <v>3036</v>
      </c>
      <c r="K1302" s="345">
        <v>2007</v>
      </c>
      <c r="L1302" s="347"/>
      <c r="M1302" s="347"/>
      <c r="N1302" s="347" t="s">
        <v>4445</v>
      </c>
      <c r="O1302" s="347" t="s">
        <v>4441</v>
      </c>
      <c r="P1302" s="347" t="s">
        <v>1591</v>
      </c>
      <c r="Q1302" s="347"/>
      <c r="R1302" s="347"/>
      <c r="S1302" s="348">
        <v>39814</v>
      </c>
      <c r="T1302" s="348">
        <v>39814</v>
      </c>
      <c r="U1302" s="347" t="s">
        <v>3037</v>
      </c>
      <c r="V1302" s="345">
        <v>709</v>
      </c>
      <c r="W1302" s="345">
        <v>14040</v>
      </c>
      <c r="X1302" s="349">
        <v>3236.4</v>
      </c>
      <c r="Y1302" s="345">
        <v>14046</v>
      </c>
      <c r="Z1302" s="349">
        <v>3236.4</v>
      </c>
      <c r="AA1302" s="349">
        <f t="shared" si="104"/>
        <v>0</v>
      </c>
      <c r="AB1302" s="349">
        <v>0</v>
      </c>
      <c r="AC1302" s="345">
        <v>51260</v>
      </c>
      <c r="AD1302" s="349">
        <v>0</v>
      </c>
      <c r="AE1302" s="345" t="s">
        <v>944</v>
      </c>
      <c r="AF1302" s="347"/>
      <c r="AG1302" s="347"/>
      <c r="AH1302" s="347" t="s">
        <v>57</v>
      </c>
      <c r="AI1302" s="347" t="s">
        <v>4442</v>
      </c>
      <c r="AJ1302" s="347" t="s">
        <v>4443</v>
      </c>
      <c r="AK1302" s="347" t="s">
        <v>4437</v>
      </c>
      <c r="AL1302" s="387">
        <v>45574</v>
      </c>
    </row>
    <row r="1303" spans="2:38" ht="15.75" outlineLevel="1">
      <c r="B1303" s="345">
        <v>2111</v>
      </c>
      <c r="C1303" s="346">
        <v>102177</v>
      </c>
      <c r="D1303" s="345" t="s">
        <v>944</v>
      </c>
      <c r="E1303" s="347" t="s">
        <v>4240</v>
      </c>
      <c r="F1303" s="343" t="s">
        <v>3039</v>
      </c>
      <c r="I1303" s="345">
        <v>1</v>
      </c>
      <c r="J1303" s="347" t="s">
        <v>3036</v>
      </c>
      <c r="K1303" s="345">
        <v>2007</v>
      </c>
      <c r="L1303" s="347" t="s">
        <v>3032</v>
      </c>
      <c r="M1303" s="347" t="s">
        <v>2214</v>
      </c>
      <c r="N1303" s="347" t="s">
        <v>4445</v>
      </c>
      <c r="O1303" s="347" t="s">
        <v>4441</v>
      </c>
      <c r="P1303" s="347" t="s">
        <v>1591</v>
      </c>
      <c r="Q1303" s="347"/>
      <c r="R1303" s="347"/>
      <c r="S1303" s="348">
        <v>39716</v>
      </c>
      <c r="T1303" s="348">
        <v>39716</v>
      </c>
      <c r="U1303" s="347" t="s">
        <v>3040</v>
      </c>
      <c r="V1303" s="345">
        <v>800</v>
      </c>
      <c r="W1303" s="345">
        <v>14040</v>
      </c>
      <c r="X1303" s="349">
        <v>110664</v>
      </c>
      <c r="Y1303" s="345">
        <v>14046</v>
      </c>
      <c r="Z1303" s="349">
        <v>110664</v>
      </c>
      <c r="AA1303" s="349">
        <f t="shared" si="104"/>
        <v>0</v>
      </c>
      <c r="AB1303" s="349">
        <v>0</v>
      </c>
      <c r="AC1303" s="345">
        <v>51260</v>
      </c>
      <c r="AD1303" s="349">
        <v>0</v>
      </c>
      <c r="AE1303" s="345" t="s">
        <v>944</v>
      </c>
      <c r="AF1303" s="347"/>
      <c r="AG1303" s="347">
        <v>181</v>
      </c>
      <c r="AH1303" s="347" t="s">
        <v>57</v>
      </c>
      <c r="AI1303" s="347" t="s">
        <v>4442</v>
      </c>
      <c r="AJ1303" s="347" t="s">
        <v>4443</v>
      </c>
      <c r="AK1303" s="347" t="s">
        <v>4437</v>
      </c>
      <c r="AL1303" s="387">
        <v>45574</v>
      </c>
    </row>
    <row r="1304" spans="2:38" ht="15.75" outlineLevel="1">
      <c r="B1304" s="345">
        <v>2111</v>
      </c>
      <c r="C1304" s="346">
        <v>102176</v>
      </c>
      <c r="D1304" s="345">
        <v>102175</v>
      </c>
      <c r="E1304" s="347" t="s">
        <v>4240</v>
      </c>
      <c r="F1304" s="343" t="s">
        <v>3042</v>
      </c>
      <c r="I1304" s="345">
        <v>1</v>
      </c>
      <c r="J1304" s="347"/>
      <c r="K1304" s="345">
        <v>0</v>
      </c>
      <c r="L1304" s="347"/>
      <c r="M1304" s="347"/>
      <c r="N1304" s="347" t="s">
        <v>4445</v>
      </c>
      <c r="O1304" s="347" t="s">
        <v>4441</v>
      </c>
      <c r="P1304" s="347" t="s">
        <v>4170</v>
      </c>
      <c r="Q1304" s="347"/>
      <c r="R1304" s="347"/>
      <c r="S1304" s="348">
        <v>39814</v>
      </c>
      <c r="T1304" s="348">
        <v>39814</v>
      </c>
      <c r="U1304" s="347" t="s">
        <v>2310</v>
      </c>
      <c r="V1304" s="345">
        <v>300</v>
      </c>
      <c r="W1304" s="345">
        <v>14040</v>
      </c>
      <c r="X1304" s="349">
        <v>6818.83</v>
      </c>
      <c r="Y1304" s="345">
        <v>14046</v>
      </c>
      <c r="Z1304" s="349">
        <v>6818.83</v>
      </c>
      <c r="AA1304" s="349">
        <f t="shared" si="104"/>
        <v>0</v>
      </c>
      <c r="AB1304" s="349">
        <v>0</v>
      </c>
      <c r="AC1304" s="345">
        <v>51260</v>
      </c>
      <c r="AD1304" s="349">
        <v>0</v>
      </c>
      <c r="AE1304" s="345" t="s">
        <v>944</v>
      </c>
      <c r="AF1304" s="347"/>
      <c r="AG1304" s="347">
        <v>154</v>
      </c>
      <c r="AH1304" s="347" t="s">
        <v>57</v>
      </c>
      <c r="AI1304" s="347" t="s">
        <v>4442</v>
      </c>
      <c r="AJ1304" s="347" t="s">
        <v>4443</v>
      </c>
      <c r="AK1304" s="347" t="s">
        <v>4437</v>
      </c>
      <c r="AL1304" s="387">
        <v>45574</v>
      </c>
    </row>
    <row r="1305" spans="2:38" ht="15.75" outlineLevel="1">
      <c r="B1305" s="345">
        <v>2111</v>
      </c>
      <c r="C1305" s="346">
        <v>102175</v>
      </c>
      <c r="D1305" s="345" t="s">
        <v>944</v>
      </c>
      <c r="E1305" s="347" t="s">
        <v>4240</v>
      </c>
      <c r="F1305" s="343" t="s">
        <v>1332</v>
      </c>
      <c r="I1305" s="345">
        <v>1</v>
      </c>
      <c r="J1305" s="347" t="s">
        <v>3043</v>
      </c>
      <c r="K1305" s="345">
        <v>1998</v>
      </c>
      <c r="L1305" s="347" t="s">
        <v>1483</v>
      </c>
      <c r="M1305" s="347" t="s">
        <v>2316</v>
      </c>
      <c r="N1305" s="347" t="s">
        <v>4445</v>
      </c>
      <c r="O1305" s="347" t="s">
        <v>4441</v>
      </c>
      <c r="P1305" s="347" t="s">
        <v>1004</v>
      </c>
      <c r="Q1305" s="347"/>
      <c r="R1305" s="347"/>
      <c r="S1305" s="348">
        <v>35654</v>
      </c>
      <c r="T1305" s="348">
        <v>35654</v>
      </c>
      <c r="U1305" s="347"/>
      <c r="V1305" s="345">
        <v>1000</v>
      </c>
      <c r="W1305" s="345">
        <v>14040</v>
      </c>
      <c r="X1305" s="349">
        <v>120715.78</v>
      </c>
      <c r="Y1305" s="345">
        <v>14046</v>
      </c>
      <c r="Z1305" s="349">
        <v>120715.78</v>
      </c>
      <c r="AA1305" s="349">
        <f t="shared" si="104"/>
        <v>0</v>
      </c>
      <c r="AB1305" s="349">
        <v>0</v>
      </c>
      <c r="AC1305" s="345">
        <v>51260</v>
      </c>
      <c r="AD1305" s="349">
        <v>0</v>
      </c>
      <c r="AE1305" s="345" t="s">
        <v>410</v>
      </c>
      <c r="AF1305" s="347" t="s">
        <v>3044</v>
      </c>
      <c r="AG1305" s="347">
        <v>154</v>
      </c>
      <c r="AH1305" s="347" t="s">
        <v>57</v>
      </c>
      <c r="AI1305" s="347" t="s">
        <v>4442</v>
      </c>
      <c r="AJ1305" s="347" t="s">
        <v>4443</v>
      </c>
      <c r="AK1305" s="347" t="s">
        <v>4437</v>
      </c>
      <c r="AL1305" s="387">
        <v>45574</v>
      </c>
    </row>
    <row r="1306" spans="2:38" ht="15.75" outlineLevel="1">
      <c r="B1306" s="345">
        <v>2111</v>
      </c>
      <c r="C1306" s="346">
        <v>102169</v>
      </c>
      <c r="D1306" s="345" t="s">
        <v>944</v>
      </c>
      <c r="E1306" s="347" t="s">
        <v>4240</v>
      </c>
      <c r="F1306" s="343" t="s">
        <v>3048</v>
      </c>
      <c r="I1306" s="345">
        <v>1</v>
      </c>
      <c r="J1306" s="347" t="s">
        <v>3049</v>
      </c>
      <c r="K1306" s="345">
        <v>2005</v>
      </c>
      <c r="L1306" s="347" t="s">
        <v>3032</v>
      </c>
      <c r="M1306" s="347" t="s">
        <v>751</v>
      </c>
      <c r="N1306" s="347" t="s">
        <v>4445</v>
      </c>
      <c r="O1306" s="347" t="s">
        <v>4441</v>
      </c>
      <c r="P1306" s="347" t="s">
        <v>1591</v>
      </c>
      <c r="Q1306" s="347"/>
      <c r="R1306" s="347"/>
      <c r="S1306" s="348">
        <v>40038</v>
      </c>
      <c r="T1306" s="348">
        <v>40038</v>
      </c>
      <c r="U1306" s="347" t="s">
        <v>3050</v>
      </c>
      <c r="V1306" s="345">
        <v>500</v>
      </c>
      <c r="W1306" s="345">
        <v>14040</v>
      </c>
      <c r="X1306" s="349">
        <v>63020</v>
      </c>
      <c r="Y1306" s="345">
        <v>14046</v>
      </c>
      <c r="Z1306" s="349">
        <v>63020</v>
      </c>
      <c r="AA1306" s="349">
        <f t="shared" si="104"/>
        <v>0</v>
      </c>
      <c r="AB1306" s="349">
        <v>0</v>
      </c>
      <c r="AC1306" s="345">
        <v>51260</v>
      </c>
      <c r="AD1306" s="349">
        <v>0</v>
      </c>
      <c r="AE1306" s="345" t="s">
        <v>944</v>
      </c>
      <c r="AF1306" s="347"/>
      <c r="AG1306" s="347">
        <v>182</v>
      </c>
      <c r="AH1306" s="347" t="s">
        <v>57</v>
      </c>
      <c r="AI1306" s="347" t="s">
        <v>4442</v>
      </c>
      <c r="AJ1306" s="347" t="s">
        <v>4443</v>
      </c>
      <c r="AK1306" s="347" t="s">
        <v>4437</v>
      </c>
      <c r="AL1306" s="387">
        <v>45574</v>
      </c>
    </row>
    <row r="1307" spans="2:38" ht="15.75" outlineLevel="1">
      <c r="B1307" s="345">
        <v>2111</v>
      </c>
      <c r="C1307" s="346">
        <v>102168</v>
      </c>
      <c r="D1307" s="345" t="s">
        <v>944</v>
      </c>
      <c r="E1307" s="347" t="s">
        <v>4240</v>
      </c>
      <c r="F1307" s="343" t="s">
        <v>3052</v>
      </c>
      <c r="I1307" s="345">
        <v>1</v>
      </c>
      <c r="J1307" s="347">
        <v>45983</v>
      </c>
      <c r="K1307" s="345">
        <v>2004</v>
      </c>
      <c r="L1307" s="347"/>
      <c r="M1307" s="347"/>
      <c r="N1307" s="347" t="s">
        <v>4445</v>
      </c>
      <c r="O1307" s="347" t="s">
        <v>4441</v>
      </c>
      <c r="P1307" s="347" t="s">
        <v>1467</v>
      </c>
      <c r="Q1307" s="347"/>
      <c r="R1307" s="347"/>
      <c r="S1307" s="348">
        <v>39936</v>
      </c>
      <c r="T1307" s="348">
        <v>39936</v>
      </c>
      <c r="U1307" s="347" t="s">
        <v>3053</v>
      </c>
      <c r="V1307" s="345">
        <v>300</v>
      </c>
      <c r="W1307" s="345">
        <v>14040</v>
      </c>
      <c r="X1307" s="349">
        <v>7240.26</v>
      </c>
      <c r="Y1307" s="345">
        <v>14046</v>
      </c>
      <c r="Z1307" s="349">
        <v>7240.26</v>
      </c>
      <c r="AA1307" s="349">
        <f t="shared" si="104"/>
        <v>0</v>
      </c>
      <c r="AB1307" s="349">
        <v>0</v>
      </c>
      <c r="AC1307" s="345">
        <v>51260</v>
      </c>
      <c r="AD1307" s="349">
        <v>0</v>
      </c>
      <c r="AE1307" s="345" t="s">
        <v>944</v>
      </c>
      <c r="AF1307" s="347"/>
      <c r="AG1307" s="347">
        <v>5583</v>
      </c>
      <c r="AH1307" s="347" t="s">
        <v>57</v>
      </c>
      <c r="AI1307" s="347" t="s">
        <v>4442</v>
      </c>
      <c r="AJ1307" s="347" t="s">
        <v>4443</v>
      </c>
      <c r="AK1307" s="347" t="s">
        <v>4437</v>
      </c>
      <c r="AL1307" s="387">
        <v>45574</v>
      </c>
    </row>
    <row r="1308" spans="2:38" ht="15.75" outlineLevel="1">
      <c r="B1308" s="345">
        <v>2111</v>
      </c>
      <c r="C1308" s="346">
        <v>102159</v>
      </c>
      <c r="D1308" s="345" t="s">
        <v>944</v>
      </c>
      <c r="E1308" s="347" t="s">
        <v>4240</v>
      </c>
      <c r="F1308" s="343" t="s">
        <v>3054</v>
      </c>
      <c r="I1308" s="345">
        <v>1</v>
      </c>
      <c r="J1308" s="347" t="s">
        <v>3055</v>
      </c>
      <c r="K1308" s="345">
        <v>2006</v>
      </c>
      <c r="L1308" s="347"/>
      <c r="M1308" s="347"/>
      <c r="N1308" s="347" t="s">
        <v>4445</v>
      </c>
      <c r="O1308" s="347" t="s">
        <v>4441</v>
      </c>
      <c r="P1308" s="347" t="s">
        <v>1467</v>
      </c>
      <c r="Q1308" s="347"/>
      <c r="R1308" s="347"/>
      <c r="S1308" s="348">
        <v>39006</v>
      </c>
      <c r="T1308" s="348">
        <v>39006</v>
      </c>
      <c r="U1308" s="347" t="s">
        <v>3056</v>
      </c>
      <c r="V1308" s="345">
        <v>1000</v>
      </c>
      <c r="W1308" s="345">
        <v>14040</v>
      </c>
      <c r="X1308" s="349">
        <v>57321.279999999999</v>
      </c>
      <c r="Y1308" s="345">
        <v>14046</v>
      </c>
      <c r="Z1308" s="349">
        <v>57321.279999999999</v>
      </c>
      <c r="AA1308" s="349">
        <f t="shared" si="104"/>
        <v>0</v>
      </c>
      <c r="AB1308" s="349">
        <v>0</v>
      </c>
      <c r="AC1308" s="345">
        <v>51260</v>
      </c>
      <c r="AD1308" s="349">
        <v>0</v>
      </c>
      <c r="AE1308" s="345" t="s">
        <v>944</v>
      </c>
      <c r="AF1308" s="347"/>
      <c r="AG1308" s="347"/>
      <c r="AH1308" s="347" t="s">
        <v>57</v>
      </c>
      <c r="AI1308" s="347" t="s">
        <v>4442</v>
      </c>
      <c r="AJ1308" s="347" t="s">
        <v>4443</v>
      </c>
      <c r="AK1308" s="347" t="s">
        <v>4437</v>
      </c>
      <c r="AL1308" s="387">
        <v>45574</v>
      </c>
    </row>
    <row r="1309" spans="2:38" ht="15.75" outlineLevel="1">
      <c r="B1309" s="345">
        <v>2111</v>
      </c>
      <c r="C1309" s="346">
        <v>102158</v>
      </c>
      <c r="D1309" s="345" t="s">
        <v>944</v>
      </c>
      <c r="E1309" s="347" t="s">
        <v>4240</v>
      </c>
      <c r="F1309" s="343" t="s">
        <v>3057</v>
      </c>
      <c r="I1309" s="345">
        <v>1</v>
      </c>
      <c r="J1309" s="347" t="s">
        <v>3055</v>
      </c>
      <c r="K1309" s="345">
        <v>2006</v>
      </c>
      <c r="L1309" s="347" t="s">
        <v>2435</v>
      </c>
      <c r="M1309" s="347" t="s">
        <v>1522</v>
      </c>
      <c r="N1309" s="347" t="s">
        <v>4445</v>
      </c>
      <c r="O1309" s="347" t="s">
        <v>4441</v>
      </c>
      <c r="P1309" s="347" t="s">
        <v>4463</v>
      </c>
      <c r="Q1309" s="347"/>
      <c r="R1309" s="347"/>
      <c r="S1309" s="348">
        <v>38854</v>
      </c>
      <c r="T1309" s="348">
        <v>38854</v>
      </c>
      <c r="U1309" s="347" t="s">
        <v>3056</v>
      </c>
      <c r="V1309" s="345">
        <v>1000</v>
      </c>
      <c r="W1309" s="345">
        <v>14040</v>
      </c>
      <c r="X1309" s="349">
        <v>120222.34</v>
      </c>
      <c r="Y1309" s="345">
        <v>14046</v>
      </c>
      <c r="Z1309" s="349">
        <v>120222.34</v>
      </c>
      <c r="AA1309" s="349">
        <f t="shared" si="104"/>
        <v>0</v>
      </c>
      <c r="AB1309" s="349">
        <v>0</v>
      </c>
      <c r="AC1309" s="345">
        <v>51260</v>
      </c>
      <c r="AD1309" s="349">
        <v>0</v>
      </c>
      <c r="AE1309" s="345" t="s">
        <v>944</v>
      </c>
      <c r="AF1309" s="347"/>
      <c r="AG1309" s="347">
        <v>613</v>
      </c>
      <c r="AH1309" s="347" t="s">
        <v>57</v>
      </c>
      <c r="AI1309" s="347" t="s">
        <v>4442</v>
      </c>
      <c r="AJ1309" s="347" t="s">
        <v>4443</v>
      </c>
      <c r="AK1309" s="347" t="s">
        <v>4437</v>
      </c>
      <c r="AL1309" s="387">
        <v>45574</v>
      </c>
    </row>
    <row r="1310" spans="2:38" ht="15.75" outlineLevel="1">
      <c r="B1310" s="345">
        <v>2111</v>
      </c>
      <c r="C1310" s="346">
        <v>99657</v>
      </c>
      <c r="D1310" s="345" t="s">
        <v>944</v>
      </c>
      <c r="E1310" s="347" t="s">
        <v>4240</v>
      </c>
      <c r="F1310" s="343" t="s">
        <v>3058</v>
      </c>
      <c r="I1310" s="345">
        <v>1</v>
      </c>
      <c r="J1310" s="347" t="s">
        <v>3059</v>
      </c>
      <c r="K1310" s="345">
        <v>2013</v>
      </c>
      <c r="L1310" s="347" t="s">
        <v>2300</v>
      </c>
      <c r="M1310" s="347" t="s">
        <v>2190</v>
      </c>
      <c r="N1310" s="347" t="s">
        <v>4445</v>
      </c>
      <c r="O1310" s="347" t="s">
        <v>4441</v>
      </c>
      <c r="P1310" s="347" t="s">
        <v>4482</v>
      </c>
      <c r="Q1310" s="347"/>
      <c r="R1310" s="347"/>
      <c r="S1310" s="348">
        <v>41274</v>
      </c>
      <c r="T1310" s="348">
        <v>41274</v>
      </c>
      <c r="U1310" s="347" t="s">
        <v>3060</v>
      </c>
      <c r="V1310" s="345">
        <v>1000</v>
      </c>
      <c r="W1310" s="345">
        <v>14040</v>
      </c>
      <c r="X1310" s="349">
        <v>313064.90999999997</v>
      </c>
      <c r="Y1310" s="345">
        <v>14046</v>
      </c>
      <c r="Z1310" s="349">
        <v>313064.90999999997</v>
      </c>
      <c r="AA1310" s="349">
        <f t="shared" si="104"/>
        <v>0</v>
      </c>
      <c r="AB1310" s="349">
        <v>0</v>
      </c>
      <c r="AC1310" s="345">
        <v>51260</v>
      </c>
      <c r="AD1310" s="349">
        <v>0</v>
      </c>
      <c r="AE1310" s="345" t="s">
        <v>944</v>
      </c>
      <c r="AF1310" s="347"/>
      <c r="AG1310" s="347">
        <v>822</v>
      </c>
      <c r="AH1310" s="347" t="s">
        <v>57</v>
      </c>
      <c r="AI1310" s="347" t="s">
        <v>4442</v>
      </c>
      <c r="AJ1310" s="347" t="s">
        <v>4443</v>
      </c>
      <c r="AK1310" s="347" t="s">
        <v>4437</v>
      </c>
      <c r="AL1310" s="387">
        <v>45574</v>
      </c>
    </row>
    <row r="1311" spans="2:38" ht="15.75" outlineLevel="1">
      <c r="B1311" s="345">
        <v>2111</v>
      </c>
      <c r="C1311" s="346">
        <v>98430</v>
      </c>
      <c r="D1311" s="345" t="s">
        <v>944</v>
      </c>
      <c r="E1311" s="347" t="s">
        <v>4240</v>
      </c>
      <c r="F1311" s="343" t="s">
        <v>245</v>
      </c>
      <c r="I1311" s="345">
        <v>1</v>
      </c>
      <c r="J1311" s="347"/>
      <c r="K1311" s="345">
        <v>0</v>
      </c>
      <c r="L1311" s="347" t="s">
        <v>3061</v>
      </c>
      <c r="M1311" s="347"/>
      <c r="N1311" s="347" t="s">
        <v>4462</v>
      </c>
      <c r="O1311" s="347" t="s">
        <v>4441</v>
      </c>
      <c r="P1311" s="347"/>
      <c r="Q1311" s="347"/>
      <c r="R1311" s="347"/>
      <c r="S1311" s="348">
        <v>41229</v>
      </c>
      <c r="T1311" s="348">
        <v>41229</v>
      </c>
      <c r="U1311" s="347" t="s">
        <v>3062</v>
      </c>
      <c r="V1311" s="345">
        <v>1000</v>
      </c>
      <c r="W1311" s="345">
        <v>14010</v>
      </c>
      <c r="X1311" s="349">
        <v>753818</v>
      </c>
      <c r="Y1311" s="345">
        <v>14016</v>
      </c>
      <c r="Z1311" s="349">
        <v>753818</v>
      </c>
      <c r="AA1311" s="349">
        <f t="shared" si="104"/>
        <v>0</v>
      </c>
      <c r="AB1311" s="349">
        <v>0</v>
      </c>
      <c r="AC1311" s="345">
        <v>57260</v>
      </c>
      <c r="AD1311" s="349">
        <v>0</v>
      </c>
      <c r="AE1311" s="345" t="s">
        <v>944</v>
      </c>
      <c r="AF1311" s="347"/>
      <c r="AG1311" s="347"/>
      <c r="AH1311" s="347" t="s">
        <v>57</v>
      </c>
      <c r="AI1311" s="347" t="s">
        <v>4442</v>
      </c>
      <c r="AJ1311" s="347" t="s">
        <v>4443</v>
      </c>
      <c r="AK1311" s="347" t="s">
        <v>4437</v>
      </c>
      <c r="AL1311" s="387">
        <v>45574</v>
      </c>
    </row>
    <row r="1312" spans="2:38" ht="15.75" outlineLevel="1">
      <c r="B1312" s="345">
        <v>2111</v>
      </c>
      <c r="C1312" s="346">
        <v>95850</v>
      </c>
      <c r="D1312" s="345" t="s">
        <v>944</v>
      </c>
      <c r="E1312" s="347" t="s">
        <v>4240</v>
      </c>
      <c r="F1312" s="343" t="s">
        <v>3063</v>
      </c>
      <c r="I1312" s="345">
        <v>486</v>
      </c>
      <c r="J1312" s="347" t="s">
        <v>3064</v>
      </c>
      <c r="K1312" s="345">
        <v>0</v>
      </c>
      <c r="L1312" s="347" t="s">
        <v>2245</v>
      </c>
      <c r="M1312" s="347"/>
      <c r="N1312" s="347" t="s">
        <v>4446</v>
      </c>
      <c r="O1312" s="347" t="s">
        <v>4441</v>
      </c>
      <c r="P1312" s="347"/>
      <c r="Q1312" s="347"/>
      <c r="R1312" s="347"/>
      <c r="S1312" s="348">
        <v>41107</v>
      </c>
      <c r="T1312" s="348">
        <v>41107</v>
      </c>
      <c r="U1312" s="347" t="s">
        <v>3065</v>
      </c>
      <c r="V1312" s="345">
        <v>700</v>
      </c>
      <c r="W1312" s="345">
        <v>14050</v>
      </c>
      <c r="X1312" s="349">
        <v>25365.119999999999</v>
      </c>
      <c r="Y1312" s="345">
        <v>14056</v>
      </c>
      <c r="Z1312" s="349">
        <v>25365.119999999999</v>
      </c>
      <c r="AA1312" s="349">
        <f t="shared" si="104"/>
        <v>0</v>
      </c>
      <c r="AB1312" s="349">
        <v>0</v>
      </c>
      <c r="AC1312" s="345">
        <v>54260</v>
      </c>
      <c r="AD1312" s="349">
        <v>0</v>
      </c>
      <c r="AE1312" s="345" t="s">
        <v>944</v>
      </c>
      <c r="AF1312" s="347"/>
      <c r="AG1312" s="347"/>
      <c r="AH1312" s="347" t="s">
        <v>57</v>
      </c>
      <c r="AI1312" s="347" t="s">
        <v>4442</v>
      </c>
      <c r="AJ1312" s="347" t="s">
        <v>4443</v>
      </c>
      <c r="AK1312" s="347" t="s">
        <v>4437</v>
      </c>
      <c r="AL1312" s="387">
        <v>45574</v>
      </c>
    </row>
    <row r="1313" spans="2:38" ht="15.75" outlineLevel="1">
      <c r="B1313" s="345">
        <v>2111</v>
      </c>
      <c r="C1313" s="346">
        <v>95043</v>
      </c>
      <c r="D1313" s="345" t="s">
        <v>944</v>
      </c>
      <c r="E1313" s="347" t="s">
        <v>4240</v>
      </c>
      <c r="F1313" s="343" t="s">
        <v>244</v>
      </c>
      <c r="I1313" s="345">
        <v>1</v>
      </c>
      <c r="J1313" s="347"/>
      <c r="K1313" s="345">
        <v>0</v>
      </c>
      <c r="L1313" s="347" t="s">
        <v>1657</v>
      </c>
      <c r="M1313" s="347"/>
      <c r="N1313" s="347" t="s">
        <v>4440</v>
      </c>
      <c r="O1313" s="347" t="s">
        <v>4441</v>
      </c>
      <c r="P1313" s="347"/>
      <c r="Q1313" s="347"/>
      <c r="R1313" s="347"/>
      <c r="S1313" s="348">
        <v>41029</v>
      </c>
      <c r="T1313" s="348">
        <v>41029</v>
      </c>
      <c r="U1313" s="347" t="s">
        <v>3067</v>
      </c>
      <c r="V1313" s="345">
        <v>300</v>
      </c>
      <c r="W1313" s="345">
        <v>14110</v>
      </c>
      <c r="X1313" s="349">
        <v>1398.18</v>
      </c>
      <c r="Y1313" s="345">
        <v>14116</v>
      </c>
      <c r="Z1313" s="349">
        <v>1398.18</v>
      </c>
      <c r="AA1313" s="349">
        <f t="shared" si="104"/>
        <v>0</v>
      </c>
      <c r="AB1313" s="349">
        <v>0</v>
      </c>
      <c r="AC1313" s="345">
        <v>70260</v>
      </c>
      <c r="AD1313" s="349">
        <v>0</v>
      </c>
      <c r="AE1313" s="345" t="s">
        <v>944</v>
      </c>
      <c r="AF1313" s="347"/>
      <c r="AG1313" s="347"/>
      <c r="AH1313" s="347" t="s">
        <v>57</v>
      </c>
      <c r="AI1313" s="347" t="s">
        <v>4442</v>
      </c>
      <c r="AJ1313" s="347" t="s">
        <v>4443</v>
      </c>
      <c r="AK1313" s="347" t="s">
        <v>4437</v>
      </c>
      <c r="AL1313" s="387">
        <v>45574</v>
      </c>
    </row>
    <row r="1314" spans="2:38" ht="15.75" outlineLevel="1">
      <c r="B1314" s="345">
        <v>2111</v>
      </c>
      <c r="C1314" s="346">
        <v>94658</v>
      </c>
      <c r="D1314" s="345">
        <v>91749</v>
      </c>
      <c r="E1314" s="347" t="s">
        <v>4240</v>
      </c>
      <c r="F1314" s="343" t="s">
        <v>3069</v>
      </c>
      <c r="I1314" s="345">
        <v>1</v>
      </c>
      <c r="J1314" s="347"/>
      <c r="K1314" s="345">
        <v>0</v>
      </c>
      <c r="L1314" s="347" t="s">
        <v>3070</v>
      </c>
      <c r="M1314" s="347"/>
      <c r="N1314" s="347" t="s">
        <v>4452</v>
      </c>
      <c r="O1314" s="347" t="s">
        <v>4441</v>
      </c>
      <c r="P1314" s="347"/>
      <c r="Q1314" s="347"/>
      <c r="R1314" s="347"/>
      <c r="S1314" s="348">
        <v>40969</v>
      </c>
      <c r="T1314" s="348">
        <v>40969</v>
      </c>
      <c r="U1314" s="347" t="s">
        <v>3071</v>
      </c>
      <c r="V1314" s="345">
        <v>1000</v>
      </c>
      <c r="W1314" s="345">
        <v>14080</v>
      </c>
      <c r="X1314" s="349">
        <v>-245.93</v>
      </c>
      <c r="Y1314" s="345">
        <v>14086</v>
      </c>
      <c r="Z1314" s="349">
        <v>-245.93</v>
      </c>
      <c r="AA1314" s="349">
        <f t="shared" si="104"/>
        <v>0</v>
      </c>
      <c r="AB1314" s="349">
        <v>0</v>
      </c>
      <c r="AC1314" s="345">
        <v>57260</v>
      </c>
      <c r="AD1314" s="349">
        <v>0</v>
      </c>
      <c r="AE1314" s="345" t="s">
        <v>944</v>
      </c>
      <c r="AF1314" s="347"/>
      <c r="AG1314" s="347"/>
      <c r="AH1314" s="347" t="s">
        <v>57</v>
      </c>
      <c r="AI1314" s="347" t="s">
        <v>4442</v>
      </c>
      <c r="AJ1314" s="347" t="s">
        <v>4443</v>
      </c>
      <c r="AK1314" s="347" t="s">
        <v>4437</v>
      </c>
      <c r="AL1314" s="387">
        <v>45574</v>
      </c>
    </row>
    <row r="1315" spans="2:38" ht="15.75" outlineLevel="1">
      <c r="B1315" s="345">
        <v>2111</v>
      </c>
      <c r="C1315" s="346">
        <v>92659</v>
      </c>
      <c r="D1315" s="345">
        <v>91749</v>
      </c>
      <c r="E1315" s="347" t="s">
        <v>4240</v>
      </c>
      <c r="F1315" s="343" t="s">
        <v>3073</v>
      </c>
      <c r="I1315" s="345">
        <v>1</v>
      </c>
      <c r="J1315" s="347"/>
      <c r="K1315" s="345">
        <v>0</v>
      </c>
      <c r="L1315" s="347" t="s">
        <v>3070</v>
      </c>
      <c r="M1315" s="347"/>
      <c r="N1315" s="347" t="s">
        <v>4452</v>
      </c>
      <c r="O1315" s="347" t="s">
        <v>4441</v>
      </c>
      <c r="P1315" s="347"/>
      <c r="Q1315" s="347"/>
      <c r="R1315" s="347"/>
      <c r="S1315" s="348">
        <v>40969</v>
      </c>
      <c r="T1315" s="348">
        <v>40969</v>
      </c>
      <c r="U1315" s="347" t="s">
        <v>3074</v>
      </c>
      <c r="V1315" s="345">
        <v>1000</v>
      </c>
      <c r="W1315" s="345">
        <v>14080</v>
      </c>
      <c r="X1315" s="349">
        <v>38610.230000000003</v>
      </c>
      <c r="Y1315" s="345">
        <v>14086</v>
      </c>
      <c r="Z1315" s="349">
        <v>38610.230000000003</v>
      </c>
      <c r="AA1315" s="349">
        <f t="shared" si="104"/>
        <v>0</v>
      </c>
      <c r="AB1315" s="349">
        <v>0</v>
      </c>
      <c r="AC1315" s="345">
        <v>57260</v>
      </c>
      <c r="AD1315" s="349">
        <v>0</v>
      </c>
      <c r="AE1315" s="345" t="s">
        <v>944</v>
      </c>
      <c r="AF1315" s="347"/>
      <c r="AG1315" s="347"/>
      <c r="AH1315" s="347" t="s">
        <v>57</v>
      </c>
      <c r="AI1315" s="347" t="s">
        <v>4442</v>
      </c>
      <c r="AJ1315" s="347" t="s">
        <v>4443</v>
      </c>
      <c r="AK1315" s="347" t="s">
        <v>4437</v>
      </c>
      <c r="AL1315" s="387">
        <v>45574</v>
      </c>
    </row>
    <row r="1316" spans="2:38" ht="15.75" outlineLevel="1">
      <c r="B1316" s="345">
        <v>2111</v>
      </c>
      <c r="C1316" s="346">
        <v>92557</v>
      </c>
      <c r="D1316" s="345">
        <v>91749</v>
      </c>
      <c r="E1316" s="347" t="s">
        <v>4240</v>
      </c>
      <c r="F1316" s="343" t="s">
        <v>3075</v>
      </c>
      <c r="I1316" s="345">
        <v>1</v>
      </c>
      <c r="J1316" s="347"/>
      <c r="K1316" s="345">
        <v>0</v>
      </c>
      <c r="L1316" s="347" t="s">
        <v>3076</v>
      </c>
      <c r="M1316" s="347"/>
      <c r="N1316" s="347" t="s">
        <v>4452</v>
      </c>
      <c r="O1316" s="347" t="s">
        <v>4441</v>
      </c>
      <c r="P1316" s="347"/>
      <c r="Q1316" s="347"/>
      <c r="R1316" s="347"/>
      <c r="S1316" s="348">
        <v>40969</v>
      </c>
      <c r="T1316" s="348">
        <v>40969</v>
      </c>
      <c r="U1316" s="347" t="s">
        <v>3071</v>
      </c>
      <c r="V1316" s="345">
        <v>1000</v>
      </c>
      <c r="W1316" s="345">
        <v>14080</v>
      </c>
      <c r="X1316" s="349">
        <v>1311.6</v>
      </c>
      <c r="Y1316" s="345">
        <v>14086</v>
      </c>
      <c r="Z1316" s="349">
        <v>1311.6</v>
      </c>
      <c r="AA1316" s="349">
        <f t="shared" si="104"/>
        <v>0</v>
      </c>
      <c r="AB1316" s="349">
        <v>0</v>
      </c>
      <c r="AC1316" s="345">
        <v>57260</v>
      </c>
      <c r="AD1316" s="349">
        <v>0</v>
      </c>
      <c r="AE1316" s="345" t="s">
        <v>944</v>
      </c>
      <c r="AF1316" s="347"/>
      <c r="AG1316" s="347"/>
      <c r="AH1316" s="347" t="s">
        <v>57</v>
      </c>
      <c r="AI1316" s="347" t="s">
        <v>4442</v>
      </c>
      <c r="AJ1316" s="347" t="s">
        <v>4443</v>
      </c>
      <c r="AK1316" s="347" t="s">
        <v>4437</v>
      </c>
      <c r="AL1316" s="387">
        <v>45574</v>
      </c>
    </row>
    <row r="1317" spans="2:38" ht="15.75" outlineLevel="1">
      <c r="B1317" s="345">
        <v>2111</v>
      </c>
      <c r="C1317" s="346">
        <v>92556</v>
      </c>
      <c r="D1317" s="345">
        <v>91749</v>
      </c>
      <c r="E1317" s="347" t="s">
        <v>4240</v>
      </c>
      <c r="F1317" s="343" t="s">
        <v>3078</v>
      </c>
      <c r="I1317" s="345">
        <v>1</v>
      </c>
      <c r="J1317" s="347"/>
      <c r="K1317" s="345">
        <v>0</v>
      </c>
      <c r="L1317" s="347" t="s">
        <v>3076</v>
      </c>
      <c r="M1317" s="347"/>
      <c r="N1317" s="347" t="s">
        <v>4452</v>
      </c>
      <c r="O1317" s="347" t="s">
        <v>4441</v>
      </c>
      <c r="P1317" s="347"/>
      <c r="Q1317" s="347"/>
      <c r="R1317" s="347"/>
      <c r="S1317" s="348">
        <v>40969</v>
      </c>
      <c r="T1317" s="348">
        <v>40969</v>
      </c>
      <c r="U1317" s="347" t="s">
        <v>3071</v>
      </c>
      <c r="V1317" s="345">
        <v>1000</v>
      </c>
      <c r="W1317" s="345">
        <v>14080</v>
      </c>
      <c r="X1317" s="349">
        <v>3497.6</v>
      </c>
      <c r="Y1317" s="345">
        <v>14086</v>
      </c>
      <c r="Z1317" s="349">
        <v>3497.6</v>
      </c>
      <c r="AA1317" s="349">
        <f t="shared" ref="AA1317:AA1380" si="105">+X1317-Z1317</f>
        <v>0</v>
      </c>
      <c r="AB1317" s="349">
        <v>0</v>
      </c>
      <c r="AC1317" s="345">
        <v>57260</v>
      </c>
      <c r="AD1317" s="349">
        <v>0</v>
      </c>
      <c r="AE1317" s="345" t="s">
        <v>944</v>
      </c>
      <c r="AF1317" s="347"/>
      <c r="AG1317" s="347"/>
      <c r="AH1317" s="347" t="s">
        <v>57</v>
      </c>
      <c r="AI1317" s="347" t="s">
        <v>4442</v>
      </c>
      <c r="AJ1317" s="347" t="s">
        <v>4443</v>
      </c>
      <c r="AK1317" s="347" t="s">
        <v>4437</v>
      </c>
      <c r="AL1317" s="387">
        <v>45574</v>
      </c>
    </row>
    <row r="1318" spans="2:38" ht="15.75" outlineLevel="1">
      <c r="B1318" s="345">
        <v>2111</v>
      </c>
      <c r="C1318" s="346">
        <v>92555</v>
      </c>
      <c r="D1318" s="345">
        <v>91749</v>
      </c>
      <c r="E1318" s="347" t="s">
        <v>4240</v>
      </c>
      <c r="F1318" s="343" t="s">
        <v>3080</v>
      </c>
      <c r="I1318" s="345">
        <v>1</v>
      </c>
      <c r="J1318" s="347"/>
      <c r="K1318" s="345">
        <v>0</v>
      </c>
      <c r="L1318" s="347" t="s">
        <v>3076</v>
      </c>
      <c r="M1318" s="347"/>
      <c r="N1318" s="347" t="s">
        <v>4452</v>
      </c>
      <c r="O1318" s="347" t="s">
        <v>4441</v>
      </c>
      <c r="P1318" s="347"/>
      <c r="Q1318" s="347"/>
      <c r="R1318" s="347"/>
      <c r="S1318" s="348">
        <v>40969</v>
      </c>
      <c r="T1318" s="348">
        <v>40969</v>
      </c>
      <c r="U1318" s="347" t="s">
        <v>3071</v>
      </c>
      <c r="V1318" s="345">
        <v>1000</v>
      </c>
      <c r="W1318" s="345">
        <v>14080</v>
      </c>
      <c r="X1318" s="349">
        <v>98.37</v>
      </c>
      <c r="Y1318" s="345">
        <v>14086</v>
      </c>
      <c r="Z1318" s="349">
        <v>98.37</v>
      </c>
      <c r="AA1318" s="349">
        <f t="shared" si="105"/>
        <v>0</v>
      </c>
      <c r="AB1318" s="349">
        <v>0</v>
      </c>
      <c r="AC1318" s="345">
        <v>57260</v>
      </c>
      <c r="AD1318" s="349">
        <v>0</v>
      </c>
      <c r="AE1318" s="345" t="s">
        <v>944</v>
      </c>
      <c r="AF1318" s="347"/>
      <c r="AG1318" s="347"/>
      <c r="AH1318" s="347" t="s">
        <v>57</v>
      </c>
      <c r="AI1318" s="347" t="s">
        <v>4442</v>
      </c>
      <c r="AJ1318" s="347" t="s">
        <v>4443</v>
      </c>
      <c r="AK1318" s="347" t="s">
        <v>4437</v>
      </c>
      <c r="AL1318" s="387">
        <v>45574</v>
      </c>
    </row>
    <row r="1319" spans="2:38" ht="15.75" outlineLevel="1">
      <c r="B1319" s="345">
        <v>2111</v>
      </c>
      <c r="C1319" s="346">
        <v>92554</v>
      </c>
      <c r="D1319" s="345">
        <v>91749</v>
      </c>
      <c r="E1319" s="347" t="s">
        <v>4240</v>
      </c>
      <c r="F1319" s="343" t="s">
        <v>3082</v>
      </c>
      <c r="I1319" s="345">
        <v>1</v>
      </c>
      <c r="J1319" s="347"/>
      <c r="K1319" s="345">
        <v>0</v>
      </c>
      <c r="L1319" s="347" t="s">
        <v>3083</v>
      </c>
      <c r="M1319" s="347"/>
      <c r="N1319" s="347" t="s">
        <v>4452</v>
      </c>
      <c r="O1319" s="347" t="s">
        <v>4441</v>
      </c>
      <c r="P1319" s="347"/>
      <c r="Q1319" s="347"/>
      <c r="R1319" s="347"/>
      <c r="S1319" s="348">
        <v>40969</v>
      </c>
      <c r="T1319" s="348">
        <v>40969</v>
      </c>
      <c r="U1319" s="347" t="s">
        <v>3071</v>
      </c>
      <c r="V1319" s="345">
        <v>1000</v>
      </c>
      <c r="W1319" s="345">
        <v>14080</v>
      </c>
      <c r="X1319" s="349">
        <v>142.09</v>
      </c>
      <c r="Y1319" s="345">
        <v>14086</v>
      </c>
      <c r="Z1319" s="349">
        <v>142.09</v>
      </c>
      <c r="AA1319" s="349">
        <f t="shared" si="105"/>
        <v>0</v>
      </c>
      <c r="AB1319" s="349">
        <v>0</v>
      </c>
      <c r="AC1319" s="345">
        <v>57260</v>
      </c>
      <c r="AD1319" s="349">
        <v>0</v>
      </c>
      <c r="AE1319" s="345" t="s">
        <v>944</v>
      </c>
      <c r="AF1319" s="347"/>
      <c r="AG1319" s="347"/>
      <c r="AH1319" s="347" t="s">
        <v>57</v>
      </c>
      <c r="AI1319" s="347" t="s">
        <v>4442</v>
      </c>
      <c r="AJ1319" s="347" t="s">
        <v>4443</v>
      </c>
      <c r="AK1319" s="347" t="s">
        <v>4437</v>
      </c>
      <c r="AL1319" s="387">
        <v>45574</v>
      </c>
    </row>
    <row r="1320" spans="2:38" ht="15.75" outlineLevel="1">
      <c r="B1320" s="345">
        <v>2111</v>
      </c>
      <c r="C1320" s="346">
        <v>91797</v>
      </c>
      <c r="D1320" s="345">
        <v>91749</v>
      </c>
      <c r="E1320" s="347" t="s">
        <v>4240</v>
      </c>
      <c r="F1320" s="343" t="s">
        <v>3084</v>
      </c>
      <c r="I1320" s="345">
        <v>1</v>
      </c>
      <c r="J1320" s="347"/>
      <c r="K1320" s="345">
        <v>0</v>
      </c>
      <c r="L1320" s="347" t="s">
        <v>3085</v>
      </c>
      <c r="M1320" s="347"/>
      <c r="N1320" s="347" t="s">
        <v>4452</v>
      </c>
      <c r="O1320" s="347" t="s">
        <v>4441</v>
      </c>
      <c r="P1320" s="347"/>
      <c r="Q1320" s="347"/>
      <c r="R1320" s="347"/>
      <c r="S1320" s="348">
        <v>40969</v>
      </c>
      <c r="T1320" s="348">
        <v>40969</v>
      </c>
      <c r="U1320" s="347" t="s">
        <v>3071</v>
      </c>
      <c r="V1320" s="345">
        <v>1000</v>
      </c>
      <c r="W1320" s="345">
        <v>14080</v>
      </c>
      <c r="X1320" s="349">
        <v>901.73</v>
      </c>
      <c r="Y1320" s="345">
        <v>14086</v>
      </c>
      <c r="Z1320" s="349">
        <v>901.73</v>
      </c>
      <c r="AA1320" s="349">
        <f t="shared" si="105"/>
        <v>0</v>
      </c>
      <c r="AB1320" s="349">
        <v>0</v>
      </c>
      <c r="AC1320" s="345">
        <v>57260</v>
      </c>
      <c r="AD1320" s="349">
        <v>0</v>
      </c>
      <c r="AE1320" s="345" t="s">
        <v>944</v>
      </c>
      <c r="AF1320" s="347"/>
      <c r="AG1320" s="347"/>
      <c r="AH1320" s="347" t="s">
        <v>57</v>
      </c>
      <c r="AI1320" s="347" t="s">
        <v>4442</v>
      </c>
      <c r="AJ1320" s="347" t="s">
        <v>4443</v>
      </c>
      <c r="AK1320" s="347" t="s">
        <v>4437</v>
      </c>
      <c r="AL1320" s="387">
        <v>45574</v>
      </c>
    </row>
    <row r="1321" spans="2:38" ht="15.75" outlineLevel="1">
      <c r="B1321" s="345">
        <v>2111</v>
      </c>
      <c r="C1321" s="346">
        <v>91796</v>
      </c>
      <c r="D1321" s="345">
        <v>91749</v>
      </c>
      <c r="E1321" s="347" t="s">
        <v>4240</v>
      </c>
      <c r="F1321" s="343" t="s">
        <v>3087</v>
      </c>
      <c r="I1321" s="345">
        <v>1</v>
      </c>
      <c r="J1321" s="347"/>
      <c r="K1321" s="345">
        <v>0</v>
      </c>
      <c r="L1321" s="347" t="s">
        <v>3088</v>
      </c>
      <c r="M1321" s="347"/>
      <c r="N1321" s="347" t="s">
        <v>4452</v>
      </c>
      <c r="O1321" s="347" t="s">
        <v>4441</v>
      </c>
      <c r="P1321" s="347"/>
      <c r="Q1321" s="347"/>
      <c r="R1321" s="347"/>
      <c r="S1321" s="348">
        <v>40969</v>
      </c>
      <c r="T1321" s="348">
        <v>40969</v>
      </c>
      <c r="U1321" s="347" t="s">
        <v>3071</v>
      </c>
      <c r="V1321" s="345">
        <v>1000</v>
      </c>
      <c r="W1321" s="345">
        <v>14080</v>
      </c>
      <c r="X1321" s="349">
        <v>245.93</v>
      </c>
      <c r="Y1321" s="345">
        <v>14086</v>
      </c>
      <c r="Z1321" s="349">
        <v>245.93</v>
      </c>
      <c r="AA1321" s="349">
        <f t="shared" si="105"/>
        <v>0</v>
      </c>
      <c r="AB1321" s="349">
        <v>0</v>
      </c>
      <c r="AC1321" s="345">
        <v>57260</v>
      </c>
      <c r="AD1321" s="349">
        <v>0</v>
      </c>
      <c r="AE1321" s="345" t="s">
        <v>944</v>
      </c>
      <c r="AF1321" s="347"/>
      <c r="AG1321" s="347"/>
      <c r="AH1321" s="347" t="s">
        <v>57</v>
      </c>
      <c r="AI1321" s="347" t="s">
        <v>4442</v>
      </c>
      <c r="AJ1321" s="347" t="s">
        <v>4443</v>
      </c>
      <c r="AK1321" s="347" t="s">
        <v>4437</v>
      </c>
      <c r="AL1321" s="387">
        <v>45574</v>
      </c>
    </row>
    <row r="1322" spans="2:38" ht="15.75" outlineLevel="1">
      <c r="B1322" s="345">
        <v>2111</v>
      </c>
      <c r="C1322" s="346">
        <v>91749</v>
      </c>
      <c r="D1322" s="345" t="s">
        <v>944</v>
      </c>
      <c r="E1322" s="347" t="s">
        <v>4240</v>
      </c>
      <c r="F1322" s="343" t="s">
        <v>3089</v>
      </c>
      <c r="I1322" s="345">
        <v>1</v>
      </c>
      <c r="J1322" s="347"/>
      <c r="K1322" s="345">
        <v>0</v>
      </c>
      <c r="L1322" s="347"/>
      <c r="M1322" s="347"/>
      <c r="N1322" s="347" t="s">
        <v>4452</v>
      </c>
      <c r="O1322" s="347" t="s">
        <v>4441</v>
      </c>
      <c r="P1322" s="347"/>
      <c r="Q1322" s="347"/>
      <c r="R1322" s="347"/>
      <c r="S1322" s="348">
        <v>40969</v>
      </c>
      <c r="T1322" s="348">
        <v>40969</v>
      </c>
      <c r="U1322" s="347">
        <v>2111</v>
      </c>
      <c r="V1322" s="345">
        <v>1000</v>
      </c>
      <c r="W1322" s="345">
        <v>14080</v>
      </c>
      <c r="X1322" s="349">
        <v>382909.31</v>
      </c>
      <c r="Y1322" s="345">
        <v>14086</v>
      </c>
      <c r="Z1322" s="349">
        <v>382909.31</v>
      </c>
      <c r="AA1322" s="349">
        <f t="shared" si="105"/>
        <v>0</v>
      </c>
      <c r="AB1322" s="349">
        <v>0</v>
      </c>
      <c r="AC1322" s="345">
        <v>57260</v>
      </c>
      <c r="AD1322" s="349">
        <v>0</v>
      </c>
      <c r="AE1322" s="345" t="s">
        <v>944</v>
      </c>
      <c r="AF1322" s="347"/>
      <c r="AG1322" s="347"/>
      <c r="AH1322" s="347" t="s">
        <v>57</v>
      </c>
      <c r="AI1322" s="347" t="s">
        <v>4442</v>
      </c>
      <c r="AJ1322" s="347" t="s">
        <v>4443</v>
      </c>
      <c r="AK1322" s="347" t="s">
        <v>4437</v>
      </c>
      <c r="AL1322" s="387">
        <v>45574</v>
      </c>
    </row>
    <row r="1323" spans="2:38" ht="15.75" outlineLevel="1">
      <c r="B1323" s="345">
        <v>2111</v>
      </c>
      <c r="C1323" s="346">
        <v>91734</v>
      </c>
      <c r="D1323" s="345">
        <v>91749</v>
      </c>
      <c r="E1323" s="347" t="s">
        <v>4240</v>
      </c>
      <c r="F1323" s="343" t="s">
        <v>3090</v>
      </c>
      <c r="I1323" s="345">
        <v>1</v>
      </c>
      <c r="J1323" s="347"/>
      <c r="K1323" s="345">
        <v>0</v>
      </c>
      <c r="L1323" s="347"/>
      <c r="M1323" s="347"/>
      <c r="N1323" s="347" t="s">
        <v>4452</v>
      </c>
      <c r="O1323" s="347" t="s">
        <v>4441</v>
      </c>
      <c r="P1323" s="347"/>
      <c r="Q1323" s="347"/>
      <c r="R1323" s="347"/>
      <c r="S1323" s="348">
        <v>40969</v>
      </c>
      <c r="T1323" s="348">
        <v>40969</v>
      </c>
      <c r="U1323" s="347" t="s">
        <v>3071</v>
      </c>
      <c r="V1323" s="345">
        <v>1000</v>
      </c>
      <c r="W1323" s="345">
        <v>14080</v>
      </c>
      <c r="X1323" s="349">
        <v>49925.64</v>
      </c>
      <c r="Y1323" s="345">
        <v>14086</v>
      </c>
      <c r="Z1323" s="349">
        <v>49925.64</v>
      </c>
      <c r="AA1323" s="349">
        <f t="shared" si="105"/>
        <v>0</v>
      </c>
      <c r="AB1323" s="349">
        <v>0</v>
      </c>
      <c r="AC1323" s="345">
        <v>57260</v>
      </c>
      <c r="AD1323" s="349">
        <v>0</v>
      </c>
      <c r="AE1323" s="345" t="s">
        <v>944</v>
      </c>
      <c r="AF1323" s="347"/>
      <c r="AG1323" s="347"/>
      <c r="AH1323" s="347" t="s">
        <v>57</v>
      </c>
      <c r="AI1323" s="347" t="s">
        <v>4442</v>
      </c>
      <c r="AJ1323" s="347" t="s">
        <v>4443</v>
      </c>
      <c r="AK1323" s="347" t="s">
        <v>4437</v>
      </c>
      <c r="AL1323" s="387">
        <v>45574</v>
      </c>
    </row>
    <row r="1324" spans="2:38" ht="15.75" outlineLevel="1">
      <c r="B1324" s="345">
        <v>2111</v>
      </c>
      <c r="C1324" s="346">
        <v>91733</v>
      </c>
      <c r="D1324" s="345">
        <v>91749</v>
      </c>
      <c r="E1324" s="347" t="s">
        <v>4240</v>
      </c>
      <c r="F1324" s="343" t="s">
        <v>3091</v>
      </c>
      <c r="I1324" s="345">
        <v>1</v>
      </c>
      <c r="J1324" s="347"/>
      <c r="K1324" s="345">
        <v>0</v>
      </c>
      <c r="L1324" s="347"/>
      <c r="M1324" s="347"/>
      <c r="N1324" s="347" t="s">
        <v>4452</v>
      </c>
      <c r="O1324" s="347" t="s">
        <v>4441</v>
      </c>
      <c r="P1324" s="347"/>
      <c r="Q1324" s="347"/>
      <c r="R1324" s="347"/>
      <c r="S1324" s="348">
        <v>40969</v>
      </c>
      <c r="T1324" s="348">
        <v>40969</v>
      </c>
      <c r="U1324" s="347" t="s">
        <v>3074</v>
      </c>
      <c r="V1324" s="345">
        <v>1000</v>
      </c>
      <c r="W1324" s="345">
        <v>14080</v>
      </c>
      <c r="X1324" s="349">
        <v>471968.91</v>
      </c>
      <c r="Y1324" s="345">
        <v>14086</v>
      </c>
      <c r="Z1324" s="349">
        <v>471968.91</v>
      </c>
      <c r="AA1324" s="349">
        <f t="shared" si="105"/>
        <v>0</v>
      </c>
      <c r="AB1324" s="349">
        <v>0</v>
      </c>
      <c r="AC1324" s="345">
        <v>57260</v>
      </c>
      <c r="AD1324" s="349">
        <v>0</v>
      </c>
      <c r="AE1324" s="345" t="s">
        <v>944</v>
      </c>
      <c r="AF1324" s="347"/>
      <c r="AG1324" s="347"/>
      <c r="AH1324" s="347" t="s">
        <v>57</v>
      </c>
      <c r="AI1324" s="347" t="s">
        <v>4442</v>
      </c>
      <c r="AJ1324" s="347" t="s">
        <v>4443</v>
      </c>
      <c r="AK1324" s="347" t="s">
        <v>4437</v>
      </c>
      <c r="AL1324" s="387">
        <v>45574</v>
      </c>
    </row>
    <row r="1325" spans="2:38" ht="15.75" outlineLevel="1">
      <c r="B1325" s="345">
        <v>2111</v>
      </c>
      <c r="C1325" s="346">
        <v>91732</v>
      </c>
      <c r="D1325" s="345">
        <v>91749</v>
      </c>
      <c r="E1325" s="347" t="s">
        <v>4240</v>
      </c>
      <c r="F1325" s="343" t="s">
        <v>3093</v>
      </c>
      <c r="I1325" s="345">
        <v>1</v>
      </c>
      <c r="J1325" s="347"/>
      <c r="K1325" s="345">
        <v>0</v>
      </c>
      <c r="L1325" s="347"/>
      <c r="M1325" s="347"/>
      <c r="N1325" s="347" t="s">
        <v>4452</v>
      </c>
      <c r="O1325" s="347" t="s">
        <v>4441</v>
      </c>
      <c r="P1325" s="347"/>
      <c r="Q1325" s="347"/>
      <c r="R1325" s="347"/>
      <c r="S1325" s="348">
        <v>40969</v>
      </c>
      <c r="T1325" s="348">
        <v>40969</v>
      </c>
      <c r="U1325" s="347" t="s">
        <v>3094</v>
      </c>
      <c r="V1325" s="345">
        <v>1000</v>
      </c>
      <c r="W1325" s="345">
        <v>14080</v>
      </c>
      <c r="X1325" s="349">
        <v>24281.1</v>
      </c>
      <c r="Y1325" s="345">
        <v>14086</v>
      </c>
      <c r="Z1325" s="349">
        <v>24281.1</v>
      </c>
      <c r="AA1325" s="349">
        <f t="shared" si="105"/>
        <v>0</v>
      </c>
      <c r="AB1325" s="349">
        <v>0</v>
      </c>
      <c r="AC1325" s="345">
        <v>57260</v>
      </c>
      <c r="AD1325" s="349">
        <v>0</v>
      </c>
      <c r="AE1325" s="345" t="s">
        <v>944</v>
      </c>
      <c r="AF1325" s="347"/>
      <c r="AG1325" s="347"/>
      <c r="AH1325" s="347" t="s">
        <v>57</v>
      </c>
      <c r="AI1325" s="347" t="s">
        <v>4442</v>
      </c>
      <c r="AJ1325" s="347" t="s">
        <v>4443</v>
      </c>
      <c r="AK1325" s="347" t="s">
        <v>4437</v>
      </c>
      <c r="AL1325" s="387">
        <v>45574</v>
      </c>
    </row>
    <row r="1326" spans="2:38" ht="15.75" outlineLevel="1">
      <c r="B1326" s="345">
        <v>2111</v>
      </c>
      <c r="C1326" s="346">
        <v>91713</v>
      </c>
      <c r="D1326" s="345">
        <v>91749</v>
      </c>
      <c r="E1326" s="347" t="s">
        <v>4240</v>
      </c>
      <c r="F1326" s="343" t="s">
        <v>3096</v>
      </c>
      <c r="I1326" s="345">
        <v>1</v>
      </c>
      <c r="J1326" s="347"/>
      <c r="K1326" s="345">
        <v>0</v>
      </c>
      <c r="L1326" s="347" t="s">
        <v>3088</v>
      </c>
      <c r="M1326" s="347"/>
      <c r="N1326" s="347" t="s">
        <v>4452</v>
      </c>
      <c r="O1326" s="347" t="s">
        <v>4441</v>
      </c>
      <c r="P1326" s="347"/>
      <c r="Q1326" s="347"/>
      <c r="R1326" s="347"/>
      <c r="S1326" s="348">
        <v>40969</v>
      </c>
      <c r="T1326" s="348">
        <v>40969</v>
      </c>
      <c r="U1326" s="347" t="s">
        <v>3071</v>
      </c>
      <c r="V1326" s="345">
        <v>1000</v>
      </c>
      <c r="W1326" s="345">
        <v>14080</v>
      </c>
      <c r="X1326" s="349">
        <v>2000.19</v>
      </c>
      <c r="Y1326" s="345">
        <v>14086</v>
      </c>
      <c r="Z1326" s="349">
        <v>2000.19</v>
      </c>
      <c r="AA1326" s="349">
        <f t="shared" si="105"/>
        <v>0</v>
      </c>
      <c r="AB1326" s="349">
        <v>0</v>
      </c>
      <c r="AC1326" s="345">
        <v>57260</v>
      </c>
      <c r="AD1326" s="349">
        <v>0</v>
      </c>
      <c r="AE1326" s="345" t="s">
        <v>944</v>
      </c>
      <c r="AF1326" s="347"/>
      <c r="AG1326" s="347"/>
      <c r="AH1326" s="347" t="s">
        <v>57</v>
      </c>
      <c r="AI1326" s="347" t="s">
        <v>4442</v>
      </c>
      <c r="AJ1326" s="347" t="s">
        <v>4443</v>
      </c>
      <c r="AK1326" s="347" t="s">
        <v>4437</v>
      </c>
      <c r="AL1326" s="387">
        <v>45574</v>
      </c>
    </row>
    <row r="1327" spans="2:38" ht="15.75" outlineLevel="1">
      <c r="B1327" s="345">
        <v>2111</v>
      </c>
      <c r="C1327" s="346">
        <v>91712</v>
      </c>
      <c r="D1327" s="345">
        <v>91749</v>
      </c>
      <c r="E1327" s="347" t="s">
        <v>4240</v>
      </c>
      <c r="F1327" s="343" t="s">
        <v>3097</v>
      </c>
      <c r="I1327" s="345">
        <v>1</v>
      </c>
      <c r="J1327" s="347"/>
      <c r="K1327" s="345">
        <v>0</v>
      </c>
      <c r="L1327" s="347" t="s">
        <v>3088</v>
      </c>
      <c r="M1327" s="347"/>
      <c r="N1327" s="347" t="s">
        <v>4452</v>
      </c>
      <c r="O1327" s="347" t="s">
        <v>4441</v>
      </c>
      <c r="P1327" s="347"/>
      <c r="Q1327" s="347"/>
      <c r="R1327" s="347"/>
      <c r="S1327" s="348">
        <v>40969</v>
      </c>
      <c r="T1327" s="348">
        <v>40969</v>
      </c>
      <c r="U1327" s="347" t="s">
        <v>3071</v>
      </c>
      <c r="V1327" s="345">
        <v>1000</v>
      </c>
      <c r="W1327" s="345">
        <v>14080</v>
      </c>
      <c r="X1327" s="349">
        <v>3858.29</v>
      </c>
      <c r="Y1327" s="345">
        <v>14086</v>
      </c>
      <c r="Z1327" s="349">
        <v>3858.29</v>
      </c>
      <c r="AA1327" s="349">
        <f t="shared" si="105"/>
        <v>0</v>
      </c>
      <c r="AB1327" s="349">
        <v>0</v>
      </c>
      <c r="AC1327" s="345">
        <v>57260</v>
      </c>
      <c r="AD1327" s="349">
        <v>0</v>
      </c>
      <c r="AE1327" s="345" t="s">
        <v>944</v>
      </c>
      <c r="AF1327" s="347"/>
      <c r="AG1327" s="347"/>
      <c r="AH1327" s="347" t="s">
        <v>57</v>
      </c>
      <c r="AI1327" s="347" t="s">
        <v>4442</v>
      </c>
      <c r="AJ1327" s="347" t="s">
        <v>4443</v>
      </c>
      <c r="AK1327" s="347" t="s">
        <v>4437</v>
      </c>
      <c r="AL1327" s="387">
        <v>45574</v>
      </c>
    </row>
    <row r="1328" spans="2:38" ht="15.75" outlineLevel="1">
      <c r="B1328" s="345">
        <v>2111</v>
      </c>
      <c r="C1328" s="346">
        <v>91711</v>
      </c>
      <c r="D1328" s="345">
        <v>91749</v>
      </c>
      <c r="E1328" s="347" t="s">
        <v>4240</v>
      </c>
      <c r="F1328" s="343" t="s">
        <v>3098</v>
      </c>
      <c r="I1328" s="345">
        <v>1</v>
      </c>
      <c r="J1328" s="347"/>
      <c r="K1328" s="345">
        <v>0</v>
      </c>
      <c r="L1328" s="347" t="s">
        <v>3088</v>
      </c>
      <c r="M1328" s="347"/>
      <c r="N1328" s="347" t="s">
        <v>4452</v>
      </c>
      <c r="O1328" s="347" t="s">
        <v>4441</v>
      </c>
      <c r="P1328" s="347"/>
      <c r="Q1328" s="347"/>
      <c r="R1328" s="347"/>
      <c r="S1328" s="348">
        <v>40969</v>
      </c>
      <c r="T1328" s="348">
        <v>40969</v>
      </c>
      <c r="U1328" s="347" t="s">
        <v>3071</v>
      </c>
      <c r="V1328" s="345">
        <v>1000</v>
      </c>
      <c r="W1328" s="345">
        <v>14080</v>
      </c>
      <c r="X1328" s="349">
        <v>9399.7999999999993</v>
      </c>
      <c r="Y1328" s="345">
        <v>14086</v>
      </c>
      <c r="Z1328" s="349">
        <v>9399.7999999999993</v>
      </c>
      <c r="AA1328" s="349">
        <f t="shared" si="105"/>
        <v>0</v>
      </c>
      <c r="AB1328" s="349">
        <v>0</v>
      </c>
      <c r="AC1328" s="345">
        <v>57260</v>
      </c>
      <c r="AD1328" s="349">
        <v>0</v>
      </c>
      <c r="AE1328" s="345" t="s">
        <v>944</v>
      </c>
      <c r="AF1328" s="347"/>
      <c r="AG1328" s="347"/>
      <c r="AH1328" s="347" t="s">
        <v>57</v>
      </c>
      <c r="AI1328" s="347" t="s">
        <v>4442</v>
      </c>
      <c r="AJ1328" s="347" t="s">
        <v>4443</v>
      </c>
      <c r="AK1328" s="347" t="s">
        <v>4437</v>
      </c>
      <c r="AL1328" s="387">
        <v>45574</v>
      </c>
    </row>
    <row r="1329" spans="2:38" ht="15.75" outlineLevel="1">
      <c r="B1329" s="345">
        <v>2111</v>
      </c>
      <c r="C1329" s="346">
        <v>91710</v>
      </c>
      <c r="D1329" s="345">
        <v>91749</v>
      </c>
      <c r="E1329" s="347" t="s">
        <v>4240</v>
      </c>
      <c r="F1329" s="343" t="s">
        <v>3099</v>
      </c>
      <c r="I1329" s="345">
        <v>1</v>
      </c>
      <c r="J1329" s="347"/>
      <c r="K1329" s="345">
        <v>0</v>
      </c>
      <c r="L1329" s="347" t="s">
        <v>3088</v>
      </c>
      <c r="M1329" s="347"/>
      <c r="N1329" s="347" t="s">
        <v>4452</v>
      </c>
      <c r="O1329" s="347" t="s">
        <v>4441</v>
      </c>
      <c r="P1329" s="347"/>
      <c r="Q1329" s="347"/>
      <c r="R1329" s="347"/>
      <c r="S1329" s="348">
        <v>40969</v>
      </c>
      <c r="T1329" s="348">
        <v>40969</v>
      </c>
      <c r="U1329" s="347" t="s">
        <v>3071</v>
      </c>
      <c r="V1329" s="345">
        <v>1000</v>
      </c>
      <c r="W1329" s="345">
        <v>14080</v>
      </c>
      <c r="X1329" s="349">
        <v>9755.0300000000007</v>
      </c>
      <c r="Y1329" s="345">
        <v>14086</v>
      </c>
      <c r="Z1329" s="349">
        <v>9755.0300000000007</v>
      </c>
      <c r="AA1329" s="349">
        <f t="shared" si="105"/>
        <v>0</v>
      </c>
      <c r="AB1329" s="349">
        <v>0</v>
      </c>
      <c r="AC1329" s="345">
        <v>57260</v>
      </c>
      <c r="AD1329" s="349">
        <v>0</v>
      </c>
      <c r="AE1329" s="345" t="s">
        <v>944</v>
      </c>
      <c r="AF1329" s="347"/>
      <c r="AG1329" s="347"/>
      <c r="AH1329" s="347" t="s">
        <v>57</v>
      </c>
      <c r="AI1329" s="347" t="s">
        <v>4442</v>
      </c>
      <c r="AJ1329" s="347" t="s">
        <v>4443</v>
      </c>
      <c r="AK1329" s="347" t="s">
        <v>4437</v>
      </c>
      <c r="AL1329" s="387">
        <v>45574</v>
      </c>
    </row>
    <row r="1330" spans="2:38" ht="15.75" outlineLevel="1">
      <c r="B1330" s="345">
        <v>2111</v>
      </c>
      <c r="C1330" s="346">
        <v>89625</v>
      </c>
      <c r="D1330" s="345" t="s">
        <v>944</v>
      </c>
      <c r="E1330" s="347" t="s">
        <v>4240</v>
      </c>
      <c r="F1330" s="343" t="s">
        <v>3100</v>
      </c>
      <c r="I1330" s="345">
        <v>1</v>
      </c>
      <c r="J1330" s="347" t="s">
        <v>3101</v>
      </c>
      <c r="K1330" s="345">
        <v>2012</v>
      </c>
      <c r="L1330" s="347" t="s">
        <v>2300</v>
      </c>
      <c r="M1330" s="347" t="s">
        <v>3102</v>
      </c>
      <c r="N1330" s="347" t="s">
        <v>4445</v>
      </c>
      <c r="O1330" s="347" t="s">
        <v>4441</v>
      </c>
      <c r="P1330" s="347" t="s">
        <v>4487</v>
      </c>
      <c r="Q1330" s="347"/>
      <c r="R1330" s="347"/>
      <c r="S1330" s="348">
        <v>40939</v>
      </c>
      <c r="T1330" s="348">
        <v>40939</v>
      </c>
      <c r="U1330" s="347" t="s">
        <v>3103</v>
      </c>
      <c r="V1330" s="345">
        <v>1000</v>
      </c>
      <c r="W1330" s="345">
        <v>14040</v>
      </c>
      <c r="X1330" s="349">
        <v>284650.28000000003</v>
      </c>
      <c r="Y1330" s="345">
        <v>14046</v>
      </c>
      <c r="Z1330" s="349">
        <v>284650.28000000003</v>
      </c>
      <c r="AA1330" s="349">
        <f t="shared" si="105"/>
        <v>0</v>
      </c>
      <c r="AB1330" s="349">
        <v>0</v>
      </c>
      <c r="AC1330" s="345">
        <v>51260</v>
      </c>
      <c r="AD1330" s="349">
        <v>0</v>
      </c>
      <c r="AE1330" s="345" t="s">
        <v>944</v>
      </c>
      <c r="AF1330" s="347"/>
      <c r="AG1330" s="347">
        <v>908</v>
      </c>
      <c r="AH1330" s="347" t="s">
        <v>57</v>
      </c>
      <c r="AI1330" s="347" t="s">
        <v>4442</v>
      </c>
      <c r="AJ1330" s="347" t="s">
        <v>4443</v>
      </c>
      <c r="AK1330" s="347" t="s">
        <v>4437</v>
      </c>
      <c r="AL1330" s="387">
        <v>45574</v>
      </c>
    </row>
    <row r="1331" spans="2:38" ht="15.75" outlineLevel="1">
      <c r="B1331" s="345">
        <v>2111</v>
      </c>
      <c r="C1331" s="346">
        <v>89092</v>
      </c>
      <c r="D1331" s="345" t="s">
        <v>944</v>
      </c>
      <c r="E1331" s="347" t="s">
        <v>4240</v>
      </c>
      <c r="F1331" s="343" t="s">
        <v>3104</v>
      </c>
      <c r="I1331" s="345">
        <v>1</v>
      </c>
      <c r="J1331" s="347"/>
      <c r="K1331" s="345">
        <v>0</v>
      </c>
      <c r="L1331" s="347" t="s">
        <v>1657</v>
      </c>
      <c r="M1331" s="347"/>
      <c r="N1331" s="347" t="s">
        <v>4440</v>
      </c>
      <c r="O1331" s="347" t="s">
        <v>4441</v>
      </c>
      <c r="P1331" s="347"/>
      <c r="Q1331" s="347"/>
      <c r="R1331" s="347"/>
      <c r="S1331" s="348">
        <v>40908</v>
      </c>
      <c r="T1331" s="348">
        <v>40908</v>
      </c>
      <c r="U1331" s="347" t="s">
        <v>3105</v>
      </c>
      <c r="V1331" s="345">
        <v>500</v>
      </c>
      <c r="W1331" s="345">
        <v>14110</v>
      </c>
      <c r="X1331" s="349">
        <v>858</v>
      </c>
      <c r="Y1331" s="345">
        <v>14116</v>
      </c>
      <c r="Z1331" s="349">
        <v>858</v>
      </c>
      <c r="AA1331" s="349">
        <f t="shared" si="105"/>
        <v>0</v>
      </c>
      <c r="AB1331" s="349">
        <v>0</v>
      </c>
      <c r="AC1331" s="345">
        <v>70260</v>
      </c>
      <c r="AD1331" s="349">
        <v>0</v>
      </c>
      <c r="AE1331" s="345" t="s">
        <v>944</v>
      </c>
      <c r="AF1331" s="347"/>
      <c r="AG1331" s="347"/>
      <c r="AH1331" s="347" t="s">
        <v>57</v>
      </c>
      <c r="AI1331" s="347" t="s">
        <v>4442</v>
      </c>
      <c r="AJ1331" s="347" t="s">
        <v>4443</v>
      </c>
      <c r="AK1331" s="347" t="s">
        <v>4437</v>
      </c>
      <c r="AL1331" s="387">
        <v>45574</v>
      </c>
    </row>
    <row r="1332" spans="2:38" ht="15.75" outlineLevel="1">
      <c r="B1332" s="345">
        <v>2111</v>
      </c>
      <c r="C1332" s="346">
        <v>89091</v>
      </c>
      <c r="D1332" s="345" t="s">
        <v>944</v>
      </c>
      <c r="E1332" s="347" t="s">
        <v>4240</v>
      </c>
      <c r="F1332" s="343" t="s">
        <v>3107</v>
      </c>
      <c r="I1332" s="345">
        <v>1</v>
      </c>
      <c r="J1332" s="347"/>
      <c r="K1332" s="345">
        <v>0</v>
      </c>
      <c r="L1332" s="347" t="s">
        <v>1657</v>
      </c>
      <c r="M1332" s="347"/>
      <c r="N1332" s="347" t="s">
        <v>4440</v>
      </c>
      <c r="O1332" s="347" t="s">
        <v>4441</v>
      </c>
      <c r="P1332" s="347"/>
      <c r="Q1332" s="347"/>
      <c r="R1332" s="347"/>
      <c r="S1332" s="348">
        <v>40908</v>
      </c>
      <c r="T1332" s="348">
        <v>40908</v>
      </c>
      <c r="U1332" s="347" t="s">
        <v>3105</v>
      </c>
      <c r="V1332" s="345">
        <v>500</v>
      </c>
      <c r="W1332" s="345">
        <v>14110</v>
      </c>
      <c r="X1332" s="349">
        <v>858</v>
      </c>
      <c r="Y1332" s="345">
        <v>14116</v>
      </c>
      <c r="Z1332" s="349">
        <v>858</v>
      </c>
      <c r="AA1332" s="349">
        <f t="shared" si="105"/>
        <v>0</v>
      </c>
      <c r="AB1332" s="349">
        <v>0</v>
      </c>
      <c r="AC1332" s="345">
        <v>70260</v>
      </c>
      <c r="AD1332" s="349">
        <v>0</v>
      </c>
      <c r="AE1332" s="345" t="s">
        <v>944</v>
      </c>
      <c r="AF1332" s="347"/>
      <c r="AG1332" s="347"/>
      <c r="AH1332" s="347" t="s">
        <v>57</v>
      </c>
      <c r="AI1332" s="347" t="s">
        <v>4442</v>
      </c>
      <c r="AJ1332" s="347" t="s">
        <v>4443</v>
      </c>
      <c r="AK1332" s="347" t="s">
        <v>4437</v>
      </c>
      <c r="AL1332" s="387">
        <v>45574</v>
      </c>
    </row>
    <row r="1333" spans="2:38" ht="15.75" outlineLevel="1">
      <c r="B1333" s="345">
        <v>2111</v>
      </c>
      <c r="C1333" s="346">
        <v>88795</v>
      </c>
      <c r="D1333" s="345" t="s">
        <v>944</v>
      </c>
      <c r="E1333" s="347" t="s">
        <v>4240</v>
      </c>
      <c r="F1333" s="343" t="s">
        <v>3109</v>
      </c>
      <c r="I1333" s="345">
        <v>1</v>
      </c>
      <c r="J1333" s="347"/>
      <c r="K1333" s="345">
        <v>0</v>
      </c>
      <c r="L1333" s="347" t="s">
        <v>2333</v>
      </c>
      <c r="M1333" s="347"/>
      <c r="N1333" s="347" t="s">
        <v>4451</v>
      </c>
      <c r="O1333" s="347" t="s">
        <v>4441</v>
      </c>
      <c r="P1333" s="347"/>
      <c r="Q1333" s="347"/>
      <c r="R1333" s="347"/>
      <c r="S1333" s="348">
        <v>40892</v>
      </c>
      <c r="T1333" s="348">
        <v>40892</v>
      </c>
      <c r="U1333" s="347" t="s">
        <v>3110</v>
      </c>
      <c r="V1333" s="345">
        <v>500</v>
      </c>
      <c r="W1333" s="345">
        <v>14070</v>
      </c>
      <c r="X1333" s="349">
        <v>3830.72</v>
      </c>
      <c r="Y1333" s="345">
        <v>14076</v>
      </c>
      <c r="Z1333" s="349">
        <v>3830.72</v>
      </c>
      <c r="AA1333" s="349">
        <f t="shared" si="105"/>
        <v>0</v>
      </c>
      <c r="AB1333" s="349">
        <v>0</v>
      </c>
      <c r="AC1333" s="345">
        <v>51260</v>
      </c>
      <c r="AD1333" s="349">
        <v>0</v>
      </c>
      <c r="AE1333" s="345" t="s">
        <v>944</v>
      </c>
      <c r="AF1333" s="347"/>
      <c r="AG1333" s="347"/>
      <c r="AH1333" s="347" t="s">
        <v>57</v>
      </c>
      <c r="AI1333" s="347" t="s">
        <v>4442</v>
      </c>
      <c r="AJ1333" s="347" t="s">
        <v>4443</v>
      </c>
      <c r="AK1333" s="347" t="s">
        <v>4437</v>
      </c>
      <c r="AL1333" s="387">
        <v>45574</v>
      </c>
    </row>
    <row r="1334" spans="2:38" ht="15.75" outlineLevel="1">
      <c r="B1334" s="345">
        <v>2111</v>
      </c>
      <c r="C1334" s="346">
        <v>88717</v>
      </c>
      <c r="D1334" s="345" t="s">
        <v>944</v>
      </c>
      <c r="E1334" s="347" t="s">
        <v>4240</v>
      </c>
      <c r="F1334" s="343" t="s">
        <v>2336</v>
      </c>
      <c r="I1334" s="345">
        <v>1</v>
      </c>
      <c r="J1334" s="347" t="s">
        <v>3111</v>
      </c>
      <c r="K1334" s="345">
        <v>2012</v>
      </c>
      <c r="L1334" s="347" t="s">
        <v>2338</v>
      </c>
      <c r="M1334" s="347" t="s">
        <v>3112</v>
      </c>
      <c r="N1334" s="347" t="s">
        <v>4445</v>
      </c>
      <c r="O1334" s="347" t="s">
        <v>4441</v>
      </c>
      <c r="P1334" s="347" t="s">
        <v>4490</v>
      </c>
      <c r="Q1334" s="347"/>
      <c r="R1334" s="347"/>
      <c r="S1334" s="348">
        <v>40908</v>
      </c>
      <c r="T1334" s="348">
        <v>40908</v>
      </c>
      <c r="U1334" s="347" t="s">
        <v>3113</v>
      </c>
      <c r="V1334" s="345">
        <v>700</v>
      </c>
      <c r="W1334" s="345">
        <v>14040</v>
      </c>
      <c r="X1334" s="349">
        <v>105733.19</v>
      </c>
      <c r="Y1334" s="345">
        <v>14046</v>
      </c>
      <c r="Z1334" s="349">
        <v>105733.19</v>
      </c>
      <c r="AA1334" s="349">
        <f t="shared" si="105"/>
        <v>0</v>
      </c>
      <c r="AB1334" s="349">
        <v>0</v>
      </c>
      <c r="AC1334" s="345">
        <v>51260</v>
      </c>
      <c r="AD1334" s="349">
        <v>0</v>
      </c>
      <c r="AE1334" s="345" t="s">
        <v>944</v>
      </c>
      <c r="AF1334" s="347"/>
      <c r="AG1334" s="347">
        <v>151</v>
      </c>
      <c r="AH1334" s="347" t="s">
        <v>57</v>
      </c>
      <c r="AI1334" s="347" t="s">
        <v>4442</v>
      </c>
      <c r="AJ1334" s="347" t="s">
        <v>4443</v>
      </c>
      <c r="AK1334" s="347" t="s">
        <v>4437</v>
      </c>
      <c r="AL1334" s="387">
        <v>45574</v>
      </c>
    </row>
    <row r="1335" spans="2:38" ht="15.75" outlineLevel="1">
      <c r="B1335" s="345">
        <v>2111</v>
      </c>
      <c r="C1335" s="346">
        <v>87856</v>
      </c>
      <c r="D1335" s="345" t="s">
        <v>944</v>
      </c>
      <c r="E1335" s="347" t="s">
        <v>4240</v>
      </c>
      <c r="F1335" s="343" t="s">
        <v>3114</v>
      </c>
      <c r="I1335" s="345">
        <v>7</v>
      </c>
      <c r="J1335" s="347"/>
      <c r="K1335" s="345">
        <v>0</v>
      </c>
      <c r="L1335" s="347" t="s">
        <v>2257</v>
      </c>
      <c r="M1335" s="347"/>
      <c r="N1335" s="347" t="s">
        <v>4446</v>
      </c>
      <c r="O1335" s="347" t="s">
        <v>4441</v>
      </c>
      <c r="P1335" s="347"/>
      <c r="Q1335" s="347" t="s">
        <v>4479</v>
      </c>
      <c r="R1335" s="347" t="s">
        <v>4450</v>
      </c>
      <c r="S1335" s="348">
        <v>40877</v>
      </c>
      <c r="T1335" s="348">
        <v>40877</v>
      </c>
      <c r="U1335" s="347" t="s">
        <v>3115</v>
      </c>
      <c r="V1335" s="345">
        <v>1200</v>
      </c>
      <c r="W1335" s="345">
        <v>14050</v>
      </c>
      <c r="X1335" s="349">
        <v>5891.27</v>
      </c>
      <c r="Y1335" s="345">
        <v>14056</v>
      </c>
      <c r="Z1335" s="349">
        <v>5891.27</v>
      </c>
      <c r="AA1335" s="349">
        <f t="shared" si="105"/>
        <v>0</v>
      </c>
      <c r="AB1335" s="349">
        <v>0</v>
      </c>
      <c r="AC1335" s="345">
        <v>54260</v>
      </c>
      <c r="AD1335" s="349">
        <v>0</v>
      </c>
      <c r="AE1335" s="345" t="s">
        <v>944</v>
      </c>
      <c r="AF1335" s="347"/>
      <c r="AG1335" s="347"/>
      <c r="AH1335" s="347" t="s">
        <v>57</v>
      </c>
      <c r="AI1335" s="347" t="s">
        <v>4442</v>
      </c>
      <c r="AJ1335" s="347" t="s">
        <v>4443</v>
      </c>
      <c r="AK1335" s="347" t="s">
        <v>4437</v>
      </c>
      <c r="AL1335" s="387">
        <v>45574</v>
      </c>
    </row>
    <row r="1336" spans="2:38" ht="15.75" outlineLevel="1">
      <c r="B1336" s="345">
        <v>2111</v>
      </c>
      <c r="C1336" s="346">
        <v>87855</v>
      </c>
      <c r="D1336" s="345" t="s">
        <v>944</v>
      </c>
      <c r="E1336" s="347" t="s">
        <v>4240</v>
      </c>
      <c r="F1336" s="343" t="s">
        <v>3114</v>
      </c>
      <c r="I1336" s="345">
        <v>7</v>
      </c>
      <c r="J1336" s="347"/>
      <c r="K1336" s="345">
        <v>0</v>
      </c>
      <c r="L1336" s="347" t="s">
        <v>2257</v>
      </c>
      <c r="M1336" s="347"/>
      <c r="N1336" s="347" t="s">
        <v>4446</v>
      </c>
      <c r="O1336" s="347" t="s">
        <v>4441</v>
      </c>
      <c r="P1336" s="347"/>
      <c r="Q1336" s="347" t="s">
        <v>4479</v>
      </c>
      <c r="R1336" s="347" t="s">
        <v>4450</v>
      </c>
      <c r="S1336" s="348">
        <v>40877</v>
      </c>
      <c r="T1336" s="348">
        <v>40877</v>
      </c>
      <c r="U1336" s="347" t="s">
        <v>3115</v>
      </c>
      <c r="V1336" s="345">
        <v>1200</v>
      </c>
      <c r="W1336" s="345">
        <v>14050</v>
      </c>
      <c r="X1336" s="349">
        <v>5891.27</v>
      </c>
      <c r="Y1336" s="345">
        <v>14056</v>
      </c>
      <c r="Z1336" s="349">
        <v>5891.27</v>
      </c>
      <c r="AA1336" s="349">
        <f t="shared" si="105"/>
        <v>0</v>
      </c>
      <c r="AB1336" s="349">
        <v>0</v>
      </c>
      <c r="AC1336" s="345">
        <v>54260</v>
      </c>
      <c r="AD1336" s="349">
        <v>0</v>
      </c>
      <c r="AE1336" s="345" t="s">
        <v>944</v>
      </c>
      <c r="AF1336" s="347"/>
      <c r="AG1336" s="347"/>
      <c r="AH1336" s="347" t="s">
        <v>57</v>
      </c>
      <c r="AI1336" s="347" t="s">
        <v>4442</v>
      </c>
      <c r="AJ1336" s="347" t="s">
        <v>4443</v>
      </c>
      <c r="AK1336" s="347" t="s">
        <v>4437</v>
      </c>
      <c r="AL1336" s="387">
        <v>45574</v>
      </c>
    </row>
    <row r="1337" spans="2:38" ht="15.75" outlineLevel="1">
      <c r="B1337" s="345">
        <v>2111</v>
      </c>
      <c r="C1337" s="346">
        <v>87854</v>
      </c>
      <c r="D1337" s="345" t="s">
        <v>944</v>
      </c>
      <c r="E1337" s="347" t="s">
        <v>4240</v>
      </c>
      <c r="F1337" s="343" t="s">
        <v>3116</v>
      </c>
      <c r="I1337" s="345">
        <v>13</v>
      </c>
      <c r="J1337" s="347"/>
      <c r="K1337" s="345">
        <v>0</v>
      </c>
      <c r="L1337" s="347" t="s">
        <v>2257</v>
      </c>
      <c r="M1337" s="347"/>
      <c r="N1337" s="347" t="s">
        <v>4446</v>
      </c>
      <c r="O1337" s="347" t="s">
        <v>4441</v>
      </c>
      <c r="P1337" s="347"/>
      <c r="Q1337" s="347" t="s">
        <v>4479</v>
      </c>
      <c r="R1337" s="347" t="s">
        <v>4450</v>
      </c>
      <c r="S1337" s="348">
        <v>40877</v>
      </c>
      <c r="T1337" s="348">
        <v>40877</v>
      </c>
      <c r="U1337" s="347" t="s">
        <v>3115</v>
      </c>
      <c r="V1337" s="345">
        <v>1200</v>
      </c>
      <c r="W1337" s="345">
        <v>14050</v>
      </c>
      <c r="X1337" s="349">
        <v>12077.65</v>
      </c>
      <c r="Y1337" s="345">
        <v>14056</v>
      </c>
      <c r="Z1337" s="349">
        <v>12077.65</v>
      </c>
      <c r="AA1337" s="349">
        <f t="shared" si="105"/>
        <v>0</v>
      </c>
      <c r="AB1337" s="349">
        <v>0</v>
      </c>
      <c r="AC1337" s="345">
        <v>54260</v>
      </c>
      <c r="AD1337" s="349">
        <v>0</v>
      </c>
      <c r="AE1337" s="345" t="s">
        <v>944</v>
      </c>
      <c r="AF1337" s="347"/>
      <c r="AG1337" s="347"/>
      <c r="AH1337" s="347" t="s">
        <v>57</v>
      </c>
      <c r="AI1337" s="347" t="s">
        <v>4442</v>
      </c>
      <c r="AJ1337" s="347" t="s">
        <v>4443</v>
      </c>
      <c r="AK1337" s="347" t="s">
        <v>4437</v>
      </c>
      <c r="AL1337" s="387">
        <v>45574</v>
      </c>
    </row>
    <row r="1338" spans="2:38" ht="15.75" outlineLevel="1">
      <c r="B1338" s="345">
        <v>2111</v>
      </c>
      <c r="C1338" s="346">
        <v>87853</v>
      </c>
      <c r="D1338" s="345" t="s">
        <v>944</v>
      </c>
      <c r="E1338" s="347" t="s">
        <v>4240</v>
      </c>
      <c r="F1338" s="343" t="s">
        <v>3114</v>
      </c>
      <c r="I1338" s="345">
        <v>7</v>
      </c>
      <c r="J1338" s="347"/>
      <c r="K1338" s="345">
        <v>0</v>
      </c>
      <c r="L1338" s="347" t="s">
        <v>2257</v>
      </c>
      <c r="M1338" s="347"/>
      <c r="N1338" s="347" t="s">
        <v>4446</v>
      </c>
      <c r="O1338" s="347" t="s">
        <v>4441</v>
      </c>
      <c r="P1338" s="347"/>
      <c r="Q1338" s="347" t="s">
        <v>4479</v>
      </c>
      <c r="R1338" s="347" t="s">
        <v>4450</v>
      </c>
      <c r="S1338" s="348">
        <v>40877</v>
      </c>
      <c r="T1338" s="348">
        <v>40877</v>
      </c>
      <c r="U1338" s="347" t="s">
        <v>3115</v>
      </c>
      <c r="V1338" s="345">
        <v>1200</v>
      </c>
      <c r="W1338" s="345">
        <v>14050</v>
      </c>
      <c r="X1338" s="349">
        <v>5891.27</v>
      </c>
      <c r="Y1338" s="345">
        <v>14056</v>
      </c>
      <c r="Z1338" s="349">
        <v>5891.27</v>
      </c>
      <c r="AA1338" s="349">
        <f t="shared" si="105"/>
        <v>0</v>
      </c>
      <c r="AB1338" s="349">
        <v>0</v>
      </c>
      <c r="AC1338" s="345">
        <v>54260</v>
      </c>
      <c r="AD1338" s="349">
        <v>0</v>
      </c>
      <c r="AE1338" s="345" t="s">
        <v>944</v>
      </c>
      <c r="AF1338" s="347"/>
      <c r="AG1338" s="347"/>
      <c r="AH1338" s="347" t="s">
        <v>57</v>
      </c>
      <c r="AI1338" s="347" t="s">
        <v>4442</v>
      </c>
      <c r="AJ1338" s="347" t="s">
        <v>4443</v>
      </c>
      <c r="AK1338" s="347" t="s">
        <v>4437</v>
      </c>
      <c r="AL1338" s="387">
        <v>45574</v>
      </c>
    </row>
    <row r="1339" spans="2:38" ht="15.75" outlineLevel="1">
      <c r="B1339" s="345">
        <v>2111</v>
      </c>
      <c r="C1339" s="346">
        <v>87852</v>
      </c>
      <c r="D1339" s="345" t="s">
        <v>944</v>
      </c>
      <c r="E1339" s="347" t="s">
        <v>4240</v>
      </c>
      <c r="F1339" s="343" t="s">
        <v>3116</v>
      </c>
      <c r="I1339" s="345">
        <v>6</v>
      </c>
      <c r="J1339" s="347"/>
      <c r="K1339" s="345">
        <v>0</v>
      </c>
      <c r="L1339" s="347" t="s">
        <v>2257</v>
      </c>
      <c r="M1339" s="347"/>
      <c r="N1339" s="347" t="s">
        <v>4446</v>
      </c>
      <c r="O1339" s="347" t="s">
        <v>4441</v>
      </c>
      <c r="P1339" s="347"/>
      <c r="Q1339" s="347" t="s">
        <v>4479</v>
      </c>
      <c r="R1339" s="347" t="s">
        <v>4450</v>
      </c>
      <c r="S1339" s="348">
        <v>40877</v>
      </c>
      <c r="T1339" s="348">
        <v>40877</v>
      </c>
      <c r="U1339" s="347" t="s">
        <v>3115</v>
      </c>
      <c r="V1339" s="345">
        <v>1200</v>
      </c>
      <c r="W1339" s="345">
        <v>14050</v>
      </c>
      <c r="X1339" s="349">
        <v>5574.3</v>
      </c>
      <c r="Y1339" s="345">
        <v>14056</v>
      </c>
      <c r="Z1339" s="349">
        <v>5574.3</v>
      </c>
      <c r="AA1339" s="349">
        <f t="shared" si="105"/>
        <v>0</v>
      </c>
      <c r="AB1339" s="349">
        <v>0</v>
      </c>
      <c r="AC1339" s="345">
        <v>54260</v>
      </c>
      <c r="AD1339" s="349">
        <v>0</v>
      </c>
      <c r="AE1339" s="345" t="s">
        <v>944</v>
      </c>
      <c r="AF1339" s="347"/>
      <c r="AG1339" s="347"/>
      <c r="AH1339" s="347" t="s">
        <v>57</v>
      </c>
      <c r="AI1339" s="347" t="s">
        <v>4442</v>
      </c>
      <c r="AJ1339" s="347" t="s">
        <v>4443</v>
      </c>
      <c r="AK1339" s="347" t="s">
        <v>4437</v>
      </c>
      <c r="AL1339" s="387">
        <v>45574</v>
      </c>
    </row>
    <row r="1340" spans="2:38" ht="15.75" outlineLevel="1">
      <c r="B1340" s="345">
        <v>2111</v>
      </c>
      <c r="C1340" s="346">
        <v>87851</v>
      </c>
      <c r="D1340" s="345" t="s">
        <v>944</v>
      </c>
      <c r="E1340" s="347" t="s">
        <v>4240</v>
      </c>
      <c r="F1340" s="343" t="s">
        <v>3116</v>
      </c>
      <c r="I1340" s="345">
        <v>13</v>
      </c>
      <c r="J1340" s="347"/>
      <c r="K1340" s="345">
        <v>0</v>
      </c>
      <c r="L1340" s="347" t="s">
        <v>2257</v>
      </c>
      <c r="M1340" s="347"/>
      <c r="N1340" s="347" t="s">
        <v>4446</v>
      </c>
      <c r="O1340" s="347" t="s">
        <v>4441</v>
      </c>
      <c r="P1340" s="347"/>
      <c r="Q1340" s="347" t="s">
        <v>4479</v>
      </c>
      <c r="R1340" s="347" t="s">
        <v>4450</v>
      </c>
      <c r="S1340" s="348">
        <v>40877</v>
      </c>
      <c r="T1340" s="348">
        <v>40877</v>
      </c>
      <c r="U1340" s="347" t="s">
        <v>3115</v>
      </c>
      <c r="V1340" s="345">
        <v>1200</v>
      </c>
      <c r="W1340" s="345">
        <v>14050</v>
      </c>
      <c r="X1340" s="349">
        <v>12077.65</v>
      </c>
      <c r="Y1340" s="345">
        <v>14056</v>
      </c>
      <c r="Z1340" s="349">
        <v>12077.65</v>
      </c>
      <c r="AA1340" s="349">
        <f t="shared" si="105"/>
        <v>0</v>
      </c>
      <c r="AB1340" s="349">
        <v>0</v>
      </c>
      <c r="AC1340" s="345">
        <v>54260</v>
      </c>
      <c r="AD1340" s="349">
        <v>0</v>
      </c>
      <c r="AE1340" s="345" t="s">
        <v>944</v>
      </c>
      <c r="AF1340" s="347"/>
      <c r="AG1340" s="347"/>
      <c r="AH1340" s="347" t="s">
        <v>57</v>
      </c>
      <c r="AI1340" s="347" t="s">
        <v>4442</v>
      </c>
      <c r="AJ1340" s="347" t="s">
        <v>4443</v>
      </c>
      <c r="AK1340" s="347" t="s">
        <v>4437</v>
      </c>
      <c r="AL1340" s="387">
        <v>45574</v>
      </c>
    </row>
    <row r="1341" spans="2:38" ht="15.75" outlineLevel="1">
      <c r="B1341" s="345">
        <v>2111</v>
      </c>
      <c r="C1341" s="346">
        <v>87850</v>
      </c>
      <c r="D1341" s="345" t="s">
        <v>944</v>
      </c>
      <c r="E1341" s="347" t="s">
        <v>4240</v>
      </c>
      <c r="F1341" s="343" t="s">
        <v>3116</v>
      </c>
      <c r="I1341" s="345">
        <v>13</v>
      </c>
      <c r="J1341" s="347"/>
      <c r="K1341" s="345">
        <v>0</v>
      </c>
      <c r="L1341" s="347" t="s">
        <v>2257</v>
      </c>
      <c r="M1341" s="347"/>
      <c r="N1341" s="347" t="s">
        <v>4446</v>
      </c>
      <c r="O1341" s="347" t="s">
        <v>4441</v>
      </c>
      <c r="P1341" s="347"/>
      <c r="Q1341" s="347" t="s">
        <v>4479</v>
      </c>
      <c r="R1341" s="347" t="s">
        <v>4450</v>
      </c>
      <c r="S1341" s="348">
        <v>40877</v>
      </c>
      <c r="T1341" s="348">
        <v>40877</v>
      </c>
      <c r="U1341" s="347" t="s">
        <v>3115</v>
      </c>
      <c r="V1341" s="345">
        <v>1200</v>
      </c>
      <c r="W1341" s="345">
        <v>14050</v>
      </c>
      <c r="X1341" s="349">
        <v>12077.65</v>
      </c>
      <c r="Y1341" s="345">
        <v>14056</v>
      </c>
      <c r="Z1341" s="349">
        <v>12077.65</v>
      </c>
      <c r="AA1341" s="349">
        <f t="shared" si="105"/>
        <v>0</v>
      </c>
      <c r="AB1341" s="349">
        <v>0</v>
      </c>
      <c r="AC1341" s="345">
        <v>54260</v>
      </c>
      <c r="AD1341" s="349">
        <v>0</v>
      </c>
      <c r="AE1341" s="345" t="s">
        <v>944</v>
      </c>
      <c r="AF1341" s="347"/>
      <c r="AG1341" s="347"/>
      <c r="AH1341" s="347" t="s">
        <v>57</v>
      </c>
      <c r="AI1341" s="347" t="s">
        <v>4442</v>
      </c>
      <c r="AJ1341" s="347" t="s">
        <v>4443</v>
      </c>
      <c r="AK1341" s="347" t="s">
        <v>4437</v>
      </c>
      <c r="AL1341" s="387">
        <v>45574</v>
      </c>
    </row>
    <row r="1342" spans="2:38" ht="15.75" outlineLevel="1">
      <c r="B1342" s="345">
        <v>2111</v>
      </c>
      <c r="C1342" s="346">
        <v>87849</v>
      </c>
      <c r="D1342" s="345" t="s">
        <v>944</v>
      </c>
      <c r="E1342" s="347" t="s">
        <v>4240</v>
      </c>
      <c r="F1342" s="343" t="s">
        <v>3114</v>
      </c>
      <c r="I1342" s="345">
        <v>2</v>
      </c>
      <c r="J1342" s="347"/>
      <c r="K1342" s="345">
        <v>0</v>
      </c>
      <c r="L1342" s="347" t="s">
        <v>2257</v>
      </c>
      <c r="M1342" s="347"/>
      <c r="N1342" s="347" t="s">
        <v>4446</v>
      </c>
      <c r="O1342" s="347" t="s">
        <v>4441</v>
      </c>
      <c r="P1342" s="347"/>
      <c r="Q1342" s="347" t="s">
        <v>4479</v>
      </c>
      <c r="R1342" s="347" t="s">
        <v>4450</v>
      </c>
      <c r="S1342" s="348">
        <v>40877</v>
      </c>
      <c r="T1342" s="348">
        <v>40877</v>
      </c>
      <c r="U1342" s="347" t="s">
        <v>3115</v>
      </c>
      <c r="V1342" s="345">
        <v>1200</v>
      </c>
      <c r="W1342" s="345">
        <v>14050</v>
      </c>
      <c r="X1342" s="349">
        <v>1683.22</v>
      </c>
      <c r="Y1342" s="345">
        <v>14056</v>
      </c>
      <c r="Z1342" s="349">
        <v>1683.22</v>
      </c>
      <c r="AA1342" s="349">
        <f t="shared" si="105"/>
        <v>0</v>
      </c>
      <c r="AB1342" s="349">
        <v>0</v>
      </c>
      <c r="AC1342" s="345">
        <v>54260</v>
      </c>
      <c r="AD1342" s="349">
        <v>0</v>
      </c>
      <c r="AE1342" s="345" t="s">
        <v>944</v>
      </c>
      <c r="AF1342" s="347"/>
      <c r="AG1342" s="347"/>
      <c r="AH1342" s="347" t="s">
        <v>57</v>
      </c>
      <c r="AI1342" s="347" t="s">
        <v>4442</v>
      </c>
      <c r="AJ1342" s="347" t="s">
        <v>4443</v>
      </c>
      <c r="AK1342" s="347" t="s">
        <v>4437</v>
      </c>
      <c r="AL1342" s="387">
        <v>45574</v>
      </c>
    </row>
    <row r="1343" spans="2:38" ht="15.75" outlineLevel="1">
      <c r="B1343" s="345">
        <v>2111</v>
      </c>
      <c r="C1343" s="346">
        <v>87848</v>
      </c>
      <c r="D1343" s="345" t="s">
        <v>944</v>
      </c>
      <c r="E1343" s="347" t="s">
        <v>4240</v>
      </c>
      <c r="F1343" s="343" t="s">
        <v>3114</v>
      </c>
      <c r="I1343" s="345">
        <v>7</v>
      </c>
      <c r="J1343" s="347"/>
      <c r="K1343" s="345">
        <v>0</v>
      </c>
      <c r="L1343" s="347" t="s">
        <v>2257</v>
      </c>
      <c r="M1343" s="347"/>
      <c r="N1343" s="347" t="s">
        <v>4446</v>
      </c>
      <c r="O1343" s="347" t="s">
        <v>4441</v>
      </c>
      <c r="P1343" s="347"/>
      <c r="Q1343" s="347" t="s">
        <v>4479</v>
      </c>
      <c r="R1343" s="347" t="s">
        <v>4450</v>
      </c>
      <c r="S1343" s="348">
        <v>40877</v>
      </c>
      <c r="T1343" s="348">
        <v>40877</v>
      </c>
      <c r="U1343" s="347" t="s">
        <v>3115</v>
      </c>
      <c r="V1343" s="345">
        <v>1200</v>
      </c>
      <c r="W1343" s="345">
        <v>14050</v>
      </c>
      <c r="X1343" s="349">
        <v>5891.27</v>
      </c>
      <c r="Y1343" s="345">
        <v>14056</v>
      </c>
      <c r="Z1343" s="349">
        <v>5891.27</v>
      </c>
      <c r="AA1343" s="349">
        <f t="shared" si="105"/>
        <v>0</v>
      </c>
      <c r="AB1343" s="349">
        <v>0</v>
      </c>
      <c r="AC1343" s="345">
        <v>54260</v>
      </c>
      <c r="AD1343" s="349">
        <v>0</v>
      </c>
      <c r="AE1343" s="345" t="s">
        <v>944</v>
      </c>
      <c r="AF1343" s="347"/>
      <c r="AG1343" s="347"/>
      <c r="AH1343" s="347" t="s">
        <v>57</v>
      </c>
      <c r="AI1343" s="347" t="s">
        <v>4442</v>
      </c>
      <c r="AJ1343" s="347" t="s">
        <v>4443</v>
      </c>
      <c r="AK1343" s="347" t="s">
        <v>4437</v>
      </c>
      <c r="AL1343" s="387">
        <v>45574</v>
      </c>
    </row>
    <row r="1344" spans="2:38" ht="15.75" outlineLevel="1">
      <c r="B1344" s="345">
        <v>2111</v>
      </c>
      <c r="C1344" s="346">
        <v>87697</v>
      </c>
      <c r="D1344" s="345">
        <v>80817</v>
      </c>
      <c r="E1344" s="347" t="s">
        <v>4240</v>
      </c>
      <c r="F1344" s="343" t="s">
        <v>2874</v>
      </c>
      <c r="I1344" s="345">
        <v>1</v>
      </c>
      <c r="J1344" s="347"/>
      <c r="K1344" s="345">
        <v>0</v>
      </c>
      <c r="L1344" s="347" t="s">
        <v>2875</v>
      </c>
      <c r="M1344" s="347"/>
      <c r="N1344" s="347" t="s">
        <v>4440</v>
      </c>
      <c r="O1344" s="347" t="s">
        <v>4441</v>
      </c>
      <c r="P1344" s="347"/>
      <c r="Q1344" s="347"/>
      <c r="R1344" s="347"/>
      <c r="S1344" s="348">
        <v>40637</v>
      </c>
      <c r="T1344" s="348">
        <v>40637</v>
      </c>
      <c r="U1344" s="347" t="s">
        <v>3117</v>
      </c>
      <c r="V1344" s="345">
        <v>300</v>
      </c>
      <c r="W1344" s="345">
        <v>14110</v>
      </c>
      <c r="X1344" s="349">
        <v>162.75</v>
      </c>
      <c r="Y1344" s="345">
        <v>14116</v>
      </c>
      <c r="Z1344" s="349">
        <v>162.75</v>
      </c>
      <c r="AA1344" s="349">
        <f t="shared" si="105"/>
        <v>0</v>
      </c>
      <c r="AB1344" s="349">
        <v>0</v>
      </c>
      <c r="AC1344" s="345">
        <v>70260</v>
      </c>
      <c r="AD1344" s="349">
        <v>0</v>
      </c>
      <c r="AE1344" s="345" t="s">
        <v>944</v>
      </c>
      <c r="AF1344" s="347"/>
      <c r="AG1344" s="347"/>
      <c r="AH1344" s="347" t="s">
        <v>57</v>
      </c>
      <c r="AI1344" s="347" t="s">
        <v>4442</v>
      </c>
      <c r="AJ1344" s="347" t="s">
        <v>4443</v>
      </c>
      <c r="AK1344" s="347" t="s">
        <v>4437</v>
      </c>
      <c r="AL1344" s="387">
        <v>45574</v>
      </c>
    </row>
    <row r="1345" spans="2:38" ht="15.75" outlineLevel="1">
      <c r="B1345" s="345">
        <v>2111</v>
      </c>
      <c r="C1345" s="346">
        <v>87404</v>
      </c>
      <c r="D1345" s="345" t="s">
        <v>944</v>
      </c>
      <c r="E1345" s="347" t="s">
        <v>4240</v>
      </c>
      <c r="F1345" s="343" t="s">
        <v>3118</v>
      </c>
      <c r="I1345" s="345">
        <v>1</v>
      </c>
      <c r="J1345" s="347"/>
      <c r="K1345" s="345">
        <v>0</v>
      </c>
      <c r="L1345" s="347" t="s">
        <v>2257</v>
      </c>
      <c r="M1345" s="347"/>
      <c r="N1345" s="347" t="s">
        <v>4446</v>
      </c>
      <c r="O1345" s="347" t="s">
        <v>4441</v>
      </c>
      <c r="P1345" s="347"/>
      <c r="Q1345" s="347" t="s">
        <v>4461</v>
      </c>
      <c r="R1345" s="347" t="s">
        <v>4450</v>
      </c>
      <c r="S1345" s="348">
        <v>40847</v>
      </c>
      <c r="T1345" s="348">
        <v>40847</v>
      </c>
      <c r="U1345" s="347" t="s">
        <v>3119</v>
      </c>
      <c r="V1345" s="345">
        <v>1200</v>
      </c>
      <c r="W1345" s="345">
        <v>14050</v>
      </c>
      <c r="X1345" s="349">
        <v>486.39</v>
      </c>
      <c r="Y1345" s="345">
        <v>14056</v>
      </c>
      <c r="Z1345" s="349">
        <v>486.39</v>
      </c>
      <c r="AA1345" s="349">
        <f t="shared" si="105"/>
        <v>0</v>
      </c>
      <c r="AB1345" s="349">
        <v>0</v>
      </c>
      <c r="AC1345" s="345">
        <v>54260</v>
      </c>
      <c r="AD1345" s="349">
        <v>0</v>
      </c>
      <c r="AE1345" s="345" t="s">
        <v>944</v>
      </c>
      <c r="AF1345" s="347"/>
      <c r="AG1345" s="347"/>
      <c r="AH1345" s="347" t="s">
        <v>57</v>
      </c>
      <c r="AI1345" s="347" t="s">
        <v>4442</v>
      </c>
      <c r="AJ1345" s="347" t="s">
        <v>4443</v>
      </c>
      <c r="AK1345" s="347" t="s">
        <v>4437</v>
      </c>
      <c r="AL1345" s="387">
        <v>45574</v>
      </c>
    </row>
    <row r="1346" spans="2:38" ht="15.75" outlineLevel="1">
      <c r="B1346" s="345">
        <v>2111</v>
      </c>
      <c r="C1346" s="346">
        <v>87403</v>
      </c>
      <c r="D1346" s="345" t="s">
        <v>944</v>
      </c>
      <c r="E1346" s="347" t="s">
        <v>4240</v>
      </c>
      <c r="F1346" s="343" t="s">
        <v>3120</v>
      </c>
      <c r="I1346" s="345">
        <v>12</v>
      </c>
      <c r="J1346" s="347"/>
      <c r="K1346" s="345">
        <v>0</v>
      </c>
      <c r="L1346" s="347" t="s">
        <v>2257</v>
      </c>
      <c r="M1346" s="347"/>
      <c r="N1346" s="347" t="s">
        <v>4446</v>
      </c>
      <c r="O1346" s="347" t="s">
        <v>4441</v>
      </c>
      <c r="P1346" s="347"/>
      <c r="Q1346" s="347" t="s">
        <v>4461</v>
      </c>
      <c r="R1346" s="347" t="s">
        <v>4450</v>
      </c>
      <c r="S1346" s="348">
        <v>40847</v>
      </c>
      <c r="T1346" s="348">
        <v>40847</v>
      </c>
      <c r="U1346" s="347" t="s">
        <v>3119</v>
      </c>
      <c r="V1346" s="345">
        <v>1200</v>
      </c>
      <c r="W1346" s="345">
        <v>14050</v>
      </c>
      <c r="X1346" s="349">
        <v>5836.62</v>
      </c>
      <c r="Y1346" s="345">
        <v>14056</v>
      </c>
      <c r="Z1346" s="349">
        <v>5836.62</v>
      </c>
      <c r="AA1346" s="349">
        <f t="shared" si="105"/>
        <v>0</v>
      </c>
      <c r="AB1346" s="349">
        <v>0</v>
      </c>
      <c r="AC1346" s="345">
        <v>54260</v>
      </c>
      <c r="AD1346" s="349">
        <v>0</v>
      </c>
      <c r="AE1346" s="345" t="s">
        <v>944</v>
      </c>
      <c r="AF1346" s="347"/>
      <c r="AG1346" s="347"/>
      <c r="AH1346" s="347" t="s">
        <v>57</v>
      </c>
      <c r="AI1346" s="347" t="s">
        <v>4442</v>
      </c>
      <c r="AJ1346" s="347" t="s">
        <v>4443</v>
      </c>
      <c r="AK1346" s="347" t="s">
        <v>4437</v>
      </c>
      <c r="AL1346" s="387">
        <v>45574</v>
      </c>
    </row>
    <row r="1347" spans="2:38" ht="15.75" outlineLevel="1">
      <c r="B1347" s="345">
        <v>2111</v>
      </c>
      <c r="C1347" s="346">
        <v>87402</v>
      </c>
      <c r="D1347" s="345" t="s">
        <v>944</v>
      </c>
      <c r="E1347" s="347" t="s">
        <v>4240</v>
      </c>
      <c r="F1347" s="343" t="s">
        <v>3120</v>
      </c>
      <c r="I1347" s="345">
        <v>2</v>
      </c>
      <c r="J1347" s="347"/>
      <c r="K1347" s="345">
        <v>0</v>
      </c>
      <c r="L1347" s="347" t="s">
        <v>2257</v>
      </c>
      <c r="M1347" s="347"/>
      <c r="N1347" s="347" t="s">
        <v>4446</v>
      </c>
      <c r="O1347" s="347" t="s">
        <v>4441</v>
      </c>
      <c r="P1347" s="347"/>
      <c r="Q1347" s="347" t="s">
        <v>4461</v>
      </c>
      <c r="R1347" s="347" t="s">
        <v>4450</v>
      </c>
      <c r="S1347" s="348">
        <v>40847</v>
      </c>
      <c r="T1347" s="348">
        <v>40847</v>
      </c>
      <c r="U1347" s="347" t="s">
        <v>3119</v>
      </c>
      <c r="V1347" s="345">
        <v>1200</v>
      </c>
      <c r="W1347" s="345">
        <v>14050</v>
      </c>
      <c r="X1347" s="349">
        <v>972.77</v>
      </c>
      <c r="Y1347" s="345">
        <v>14056</v>
      </c>
      <c r="Z1347" s="349">
        <v>972.77</v>
      </c>
      <c r="AA1347" s="349">
        <f t="shared" si="105"/>
        <v>0</v>
      </c>
      <c r="AB1347" s="349">
        <v>0</v>
      </c>
      <c r="AC1347" s="345">
        <v>54260</v>
      </c>
      <c r="AD1347" s="349">
        <v>0</v>
      </c>
      <c r="AE1347" s="345" t="s">
        <v>944</v>
      </c>
      <c r="AF1347" s="347"/>
      <c r="AG1347" s="347"/>
      <c r="AH1347" s="347" t="s">
        <v>57</v>
      </c>
      <c r="AI1347" s="347" t="s">
        <v>4442</v>
      </c>
      <c r="AJ1347" s="347" t="s">
        <v>4443</v>
      </c>
      <c r="AK1347" s="347" t="s">
        <v>4437</v>
      </c>
      <c r="AL1347" s="387">
        <v>45574</v>
      </c>
    </row>
    <row r="1348" spans="2:38" ht="15.75" outlineLevel="1">
      <c r="B1348" s="345">
        <v>2111</v>
      </c>
      <c r="C1348" s="346">
        <v>86523</v>
      </c>
      <c r="D1348" s="345" t="s">
        <v>944</v>
      </c>
      <c r="E1348" s="347" t="s">
        <v>4240</v>
      </c>
      <c r="F1348" s="343" t="s">
        <v>3121</v>
      </c>
      <c r="I1348" s="345">
        <v>1</v>
      </c>
      <c r="J1348" s="347"/>
      <c r="K1348" s="345">
        <v>0</v>
      </c>
      <c r="L1348" s="347" t="s">
        <v>1657</v>
      </c>
      <c r="M1348" s="347"/>
      <c r="N1348" s="347" t="s">
        <v>4440</v>
      </c>
      <c r="O1348" s="347" t="s">
        <v>4441</v>
      </c>
      <c r="P1348" s="347"/>
      <c r="Q1348" s="347"/>
      <c r="R1348" s="347"/>
      <c r="S1348" s="348">
        <v>40813</v>
      </c>
      <c r="T1348" s="348">
        <v>40813</v>
      </c>
      <c r="U1348" s="347" t="s">
        <v>3122</v>
      </c>
      <c r="V1348" s="345">
        <v>300</v>
      </c>
      <c r="W1348" s="345">
        <v>14110</v>
      </c>
      <c r="X1348" s="349">
        <v>593.86</v>
      </c>
      <c r="Y1348" s="345">
        <v>14116</v>
      </c>
      <c r="Z1348" s="349">
        <v>593.86</v>
      </c>
      <c r="AA1348" s="349">
        <f t="shared" si="105"/>
        <v>0</v>
      </c>
      <c r="AB1348" s="349">
        <v>0</v>
      </c>
      <c r="AC1348" s="345">
        <v>70260</v>
      </c>
      <c r="AD1348" s="349">
        <v>0</v>
      </c>
      <c r="AE1348" s="345" t="s">
        <v>944</v>
      </c>
      <c r="AF1348" s="347"/>
      <c r="AG1348" s="347"/>
      <c r="AH1348" s="347" t="s">
        <v>57</v>
      </c>
      <c r="AI1348" s="347" t="s">
        <v>4442</v>
      </c>
      <c r="AJ1348" s="347" t="s">
        <v>4443</v>
      </c>
      <c r="AK1348" s="347" t="s">
        <v>4437</v>
      </c>
      <c r="AL1348" s="387">
        <v>45574</v>
      </c>
    </row>
    <row r="1349" spans="2:38" ht="15.75" outlineLevel="1">
      <c r="B1349" s="345">
        <v>2111</v>
      </c>
      <c r="C1349" s="346">
        <v>86151</v>
      </c>
      <c r="D1349" s="345" t="s">
        <v>944</v>
      </c>
      <c r="E1349" s="347" t="s">
        <v>4240</v>
      </c>
      <c r="F1349" s="343" t="s">
        <v>3124</v>
      </c>
      <c r="I1349" s="345">
        <v>486</v>
      </c>
      <c r="J1349" s="347"/>
      <c r="K1349" s="345">
        <v>0</v>
      </c>
      <c r="L1349" s="347" t="s">
        <v>2245</v>
      </c>
      <c r="M1349" s="347"/>
      <c r="N1349" s="347" t="s">
        <v>4446</v>
      </c>
      <c r="O1349" s="347" t="s">
        <v>4441</v>
      </c>
      <c r="P1349" s="347"/>
      <c r="Q1349" s="347"/>
      <c r="R1349" s="347"/>
      <c r="S1349" s="348">
        <v>40786</v>
      </c>
      <c r="T1349" s="348">
        <v>40786</v>
      </c>
      <c r="U1349" s="347" t="s">
        <v>3125</v>
      </c>
      <c r="V1349" s="345">
        <v>700</v>
      </c>
      <c r="W1349" s="345">
        <v>14050</v>
      </c>
      <c r="X1349" s="349">
        <v>26150.87</v>
      </c>
      <c r="Y1349" s="345">
        <v>14056</v>
      </c>
      <c r="Z1349" s="349">
        <v>26150.87</v>
      </c>
      <c r="AA1349" s="349">
        <f t="shared" si="105"/>
        <v>0</v>
      </c>
      <c r="AB1349" s="349">
        <v>0</v>
      </c>
      <c r="AC1349" s="345">
        <v>54260</v>
      </c>
      <c r="AD1349" s="349">
        <v>0</v>
      </c>
      <c r="AE1349" s="345" t="s">
        <v>944</v>
      </c>
      <c r="AF1349" s="347"/>
      <c r="AG1349" s="347"/>
      <c r="AH1349" s="347" t="s">
        <v>57</v>
      </c>
      <c r="AI1349" s="347" t="s">
        <v>4442</v>
      </c>
      <c r="AJ1349" s="347" t="s">
        <v>4443</v>
      </c>
      <c r="AK1349" s="347" t="s">
        <v>4437</v>
      </c>
      <c r="AL1349" s="387">
        <v>45574</v>
      </c>
    </row>
    <row r="1350" spans="2:38" ht="15.75" outlineLevel="1">
      <c r="B1350" s="345">
        <v>2111</v>
      </c>
      <c r="C1350" s="346">
        <v>85380</v>
      </c>
      <c r="D1350" s="345">
        <v>85258</v>
      </c>
      <c r="E1350" s="347" t="s">
        <v>4240</v>
      </c>
      <c r="F1350" s="343" t="s">
        <v>3127</v>
      </c>
      <c r="I1350" s="345">
        <v>1</v>
      </c>
      <c r="J1350" s="347" t="s">
        <v>3128</v>
      </c>
      <c r="K1350" s="345">
        <v>2005</v>
      </c>
      <c r="L1350" s="347"/>
      <c r="M1350" s="347"/>
      <c r="N1350" s="347" t="s">
        <v>4445</v>
      </c>
      <c r="O1350" s="347" t="s">
        <v>4441</v>
      </c>
      <c r="P1350" s="347" t="s">
        <v>1467</v>
      </c>
      <c r="Q1350" s="347"/>
      <c r="R1350" s="347"/>
      <c r="S1350" s="348">
        <v>40755</v>
      </c>
      <c r="T1350" s="348">
        <v>40755</v>
      </c>
      <c r="U1350" s="347" t="s">
        <v>3129</v>
      </c>
      <c r="V1350" s="345">
        <v>300</v>
      </c>
      <c r="W1350" s="345">
        <v>14040</v>
      </c>
      <c r="X1350" s="349">
        <v>3825.5</v>
      </c>
      <c r="Y1350" s="345">
        <v>14046</v>
      </c>
      <c r="Z1350" s="349">
        <v>3825.5</v>
      </c>
      <c r="AA1350" s="349">
        <f t="shared" si="105"/>
        <v>0</v>
      </c>
      <c r="AB1350" s="349">
        <v>0</v>
      </c>
      <c r="AC1350" s="345">
        <v>51260</v>
      </c>
      <c r="AD1350" s="349">
        <v>0</v>
      </c>
      <c r="AE1350" s="345" t="s">
        <v>944</v>
      </c>
      <c r="AF1350" s="347"/>
      <c r="AG1350" s="347"/>
      <c r="AH1350" s="347" t="s">
        <v>57</v>
      </c>
      <c r="AI1350" s="347" t="s">
        <v>4442</v>
      </c>
      <c r="AJ1350" s="347" t="s">
        <v>4443</v>
      </c>
      <c r="AK1350" s="347" t="s">
        <v>4437</v>
      </c>
      <c r="AL1350" s="387">
        <v>45574</v>
      </c>
    </row>
    <row r="1351" spans="2:38" ht="15.75" outlineLevel="1">
      <c r="B1351" s="345">
        <v>2111</v>
      </c>
      <c r="C1351" s="346">
        <v>85258</v>
      </c>
      <c r="D1351" s="345" t="s">
        <v>944</v>
      </c>
      <c r="E1351" s="347" t="s">
        <v>4240</v>
      </c>
      <c r="F1351" s="343" t="s">
        <v>3130</v>
      </c>
      <c r="I1351" s="345">
        <v>1</v>
      </c>
      <c r="J1351" s="347" t="s">
        <v>3128</v>
      </c>
      <c r="K1351" s="345">
        <v>2005</v>
      </c>
      <c r="L1351" s="347" t="s">
        <v>3032</v>
      </c>
      <c r="M1351" s="347" t="s">
        <v>751</v>
      </c>
      <c r="N1351" s="347" t="s">
        <v>4445</v>
      </c>
      <c r="O1351" s="347" t="s">
        <v>4441</v>
      </c>
      <c r="P1351" s="347" t="s">
        <v>1591</v>
      </c>
      <c r="Q1351" s="347"/>
      <c r="R1351" s="347"/>
      <c r="S1351" s="348">
        <v>40755</v>
      </c>
      <c r="T1351" s="348">
        <v>40755</v>
      </c>
      <c r="U1351" s="347" t="s">
        <v>3129</v>
      </c>
      <c r="V1351" s="345">
        <v>300</v>
      </c>
      <c r="W1351" s="345">
        <v>14040</v>
      </c>
      <c r="X1351" s="349">
        <v>71987.66</v>
      </c>
      <c r="Y1351" s="345">
        <v>14046</v>
      </c>
      <c r="Z1351" s="349">
        <v>71987.66</v>
      </c>
      <c r="AA1351" s="349">
        <f t="shared" si="105"/>
        <v>0</v>
      </c>
      <c r="AB1351" s="349">
        <v>0</v>
      </c>
      <c r="AC1351" s="345">
        <v>51260</v>
      </c>
      <c r="AD1351" s="349">
        <v>0</v>
      </c>
      <c r="AE1351" s="345" t="s">
        <v>944</v>
      </c>
      <c r="AF1351" s="347"/>
      <c r="AG1351" s="347">
        <v>185</v>
      </c>
      <c r="AH1351" s="347" t="s">
        <v>57</v>
      </c>
      <c r="AI1351" s="347" t="s">
        <v>4442</v>
      </c>
      <c r="AJ1351" s="347" t="s">
        <v>4443</v>
      </c>
      <c r="AK1351" s="347" t="s">
        <v>4437</v>
      </c>
      <c r="AL1351" s="387">
        <v>45574</v>
      </c>
    </row>
    <row r="1352" spans="2:38" ht="15.75" outlineLevel="1">
      <c r="B1352" s="345">
        <v>2111</v>
      </c>
      <c r="C1352" s="346">
        <v>85182</v>
      </c>
      <c r="D1352" s="345" t="s">
        <v>944</v>
      </c>
      <c r="E1352" s="347" t="s">
        <v>4240</v>
      </c>
      <c r="F1352" s="343" t="s">
        <v>3132</v>
      </c>
      <c r="I1352" s="345">
        <v>486</v>
      </c>
      <c r="J1352" s="347"/>
      <c r="K1352" s="345">
        <v>0</v>
      </c>
      <c r="L1352" s="347" t="s">
        <v>2245</v>
      </c>
      <c r="M1352" s="347"/>
      <c r="N1352" s="347" t="s">
        <v>4446</v>
      </c>
      <c r="O1352" s="347" t="s">
        <v>4441</v>
      </c>
      <c r="P1352" s="347"/>
      <c r="Q1352" s="347"/>
      <c r="R1352" s="347"/>
      <c r="S1352" s="348">
        <v>40732</v>
      </c>
      <c r="T1352" s="348">
        <v>40732</v>
      </c>
      <c r="U1352" s="347" t="s">
        <v>3133</v>
      </c>
      <c r="V1352" s="345">
        <v>700</v>
      </c>
      <c r="W1352" s="345">
        <v>14050</v>
      </c>
      <c r="X1352" s="349">
        <v>26150.87</v>
      </c>
      <c r="Y1352" s="345">
        <v>14056</v>
      </c>
      <c r="Z1352" s="349">
        <v>26150.87</v>
      </c>
      <c r="AA1352" s="349">
        <f t="shared" si="105"/>
        <v>0</v>
      </c>
      <c r="AB1352" s="349">
        <v>0</v>
      </c>
      <c r="AC1352" s="345">
        <v>54260</v>
      </c>
      <c r="AD1352" s="349">
        <v>0</v>
      </c>
      <c r="AE1352" s="345" t="s">
        <v>944</v>
      </c>
      <c r="AF1352" s="347"/>
      <c r="AG1352" s="347"/>
      <c r="AH1352" s="347" t="s">
        <v>57</v>
      </c>
      <c r="AI1352" s="347" t="s">
        <v>4442</v>
      </c>
      <c r="AJ1352" s="347" t="s">
        <v>4443</v>
      </c>
      <c r="AK1352" s="347" t="s">
        <v>4437</v>
      </c>
      <c r="AL1352" s="387">
        <v>45574</v>
      </c>
    </row>
    <row r="1353" spans="2:38" ht="15.75" outlineLevel="1">
      <c r="B1353" s="345">
        <v>2111</v>
      </c>
      <c r="C1353" s="346">
        <v>85181</v>
      </c>
      <c r="D1353" s="345" t="s">
        <v>944</v>
      </c>
      <c r="E1353" s="347" t="s">
        <v>4240</v>
      </c>
      <c r="F1353" s="343" t="s">
        <v>3132</v>
      </c>
      <c r="I1353" s="345">
        <v>243</v>
      </c>
      <c r="J1353" s="347"/>
      <c r="K1353" s="345">
        <v>0</v>
      </c>
      <c r="L1353" s="347" t="s">
        <v>2245</v>
      </c>
      <c r="M1353" s="347"/>
      <c r="N1353" s="347" t="s">
        <v>4446</v>
      </c>
      <c r="O1353" s="347" t="s">
        <v>4441</v>
      </c>
      <c r="P1353" s="347"/>
      <c r="Q1353" s="347"/>
      <c r="R1353" s="347"/>
      <c r="S1353" s="348">
        <v>40732</v>
      </c>
      <c r="T1353" s="348">
        <v>40732</v>
      </c>
      <c r="U1353" s="347" t="s">
        <v>3133</v>
      </c>
      <c r="V1353" s="345">
        <v>700</v>
      </c>
      <c r="W1353" s="345">
        <v>14050</v>
      </c>
      <c r="X1353" s="349">
        <v>13075.44</v>
      </c>
      <c r="Y1353" s="345">
        <v>14056</v>
      </c>
      <c r="Z1353" s="349">
        <v>13075.44</v>
      </c>
      <c r="AA1353" s="349">
        <f t="shared" si="105"/>
        <v>0</v>
      </c>
      <c r="AB1353" s="349">
        <v>0</v>
      </c>
      <c r="AC1353" s="345">
        <v>54260</v>
      </c>
      <c r="AD1353" s="349">
        <v>0</v>
      </c>
      <c r="AE1353" s="345" t="s">
        <v>944</v>
      </c>
      <c r="AF1353" s="347"/>
      <c r="AG1353" s="347"/>
      <c r="AH1353" s="347" t="s">
        <v>57</v>
      </c>
      <c r="AI1353" s="347" t="s">
        <v>4442</v>
      </c>
      <c r="AJ1353" s="347" t="s">
        <v>4443</v>
      </c>
      <c r="AK1353" s="347" t="s">
        <v>4437</v>
      </c>
      <c r="AL1353" s="387">
        <v>45574</v>
      </c>
    </row>
    <row r="1354" spans="2:38" ht="15.75" outlineLevel="1">
      <c r="B1354" s="345">
        <v>2111</v>
      </c>
      <c r="C1354" s="346">
        <v>85180</v>
      </c>
      <c r="D1354" s="345" t="s">
        <v>944</v>
      </c>
      <c r="E1354" s="347" t="s">
        <v>4240</v>
      </c>
      <c r="F1354" s="343" t="s">
        <v>3136</v>
      </c>
      <c r="I1354" s="345">
        <v>243</v>
      </c>
      <c r="J1354" s="347"/>
      <c r="K1354" s="345">
        <v>0</v>
      </c>
      <c r="L1354" s="347" t="s">
        <v>2245</v>
      </c>
      <c r="M1354" s="347"/>
      <c r="N1354" s="347" t="s">
        <v>4446</v>
      </c>
      <c r="O1354" s="347" t="s">
        <v>4441</v>
      </c>
      <c r="P1354" s="347"/>
      <c r="Q1354" s="347"/>
      <c r="R1354" s="347"/>
      <c r="S1354" s="348">
        <v>40732</v>
      </c>
      <c r="T1354" s="348">
        <v>40732</v>
      </c>
      <c r="U1354" s="347" t="s">
        <v>3133</v>
      </c>
      <c r="V1354" s="345">
        <v>700</v>
      </c>
      <c r="W1354" s="345">
        <v>14050</v>
      </c>
      <c r="X1354" s="349">
        <v>13341.05</v>
      </c>
      <c r="Y1354" s="345">
        <v>14056</v>
      </c>
      <c r="Z1354" s="349">
        <v>13341.05</v>
      </c>
      <c r="AA1354" s="349">
        <f t="shared" si="105"/>
        <v>0</v>
      </c>
      <c r="AB1354" s="349">
        <v>0</v>
      </c>
      <c r="AC1354" s="345">
        <v>54260</v>
      </c>
      <c r="AD1354" s="349">
        <v>0</v>
      </c>
      <c r="AE1354" s="345" t="s">
        <v>944</v>
      </c>
      <c r="AF1354" s="347"/>
      <c r="AG1354" s="347"/>
      <c r="AH1354" s="347" t="s">
        <v>57</v>
      </c>
      <c r="AI1354" s="347" t="s">
        <v>4442</v>
      </c>
      <c r="AJ1354" s="347" t="s">
        <v>4443</v>
      </c>
      <c r="AK1354" s="347" t="s">
        <v>4437</v>
      </c>
      <c r="AL1354" s="387">
        <v>45574</v>
      </c>
    </row>
    <row r="1355" spans="2:38" ht="15.75" outlineLevel="1">
      <c r="B1355" s="345">
        <v>2111</v>
      </c>
      <c r="C1355" s="346">
        <v>85049</v>
      </c>
      <c r="D1355" s="345" t="s">
        <v>944</v>
      </c>
      <c r="E1355" s="347" t="s">
        <v>4240</v>
      </c>
      <c r="F1355" s="343" t="s">
        <v>3138</v>
      </c>
      <c r="I1355" s="345">
        <v>45</v>
      </c>
      <c r="J1355" s="347"/>
      <c r="K1355" s="345">
        <v>0</v>
      </c>
      <c r="L1355" s="347" t="s">
        <v>3139</v>
      </c>
      <c r="M1355" s="347"/>
      <c r="N1355" s="347" t="s">
        <v>4446</v>
      </c>
      <c r="O1355" s="347" t="s">
        <v>4441</v>
      </c>
      <c r="P1355" s="347"/>
      <c r="Q1355" s="347" t="s">
        <v>4459</v>
      </c>
      <c r="R1355" s="347" t="s">
        <v>4450</v>
      </c>
      <c r="S1355" s="348">
        <v>40724</v>
      </c>
      <c r="T1355" s="348">
        <v>40724</v>
      </c>
      <c r="U1355" s="347" t="s">
        <v>3140</v>
      </c>
      <c r="V1355" s="345">
        <v>1200</v>
      </c>
      <c r="W1355" s="345">
        <v>14050</v>
      </c>
      <c r="X1355" s="349">
        <v>35855.870000000003</v>
      </c>
      <c r="Y1355" s="345">
        <v>14056</v>
      </c>
      <c r="Z1355" s="349">
        <v>35855.870000000003</v>
      </c>
      <c r="AA1355" s="349">
        <f t="shared" si="105"/>
        <v>0</v>
      </c>
      <c r="AB1355" s="349">
        <v>0</v>
      </c>
      <c r="AC1355" s="345">
        <v>54260</v>
      </c>
      <c r="AD1355" s="349">
        <v>0</v>
      </c>
      <c r="AE1355" s="345" t="s">
        <v>944</v>
      </c>
      <c r="AF1355" s="347"/>
      <c r="AG1355" s="347"/>
      <c r="AH1355" s="347" t="s">
        <v>57</v>
      </c>
      <c r="AI1355" s="347" t="s">
        <v>4442</v>
      </c>
      <c r="AJ1355" s="347" t="s">
        <v>4443</v>
      </c>
      <c r="AK1355" s="347" t="s">
        <v>4437</v>
      </c>
      <c r="AL1355" s="387">
        <v>45574</v>
      </c>
    </row>
    <row r="1356" spans="2:38" ht="15.75" outlineLevel="1">
      <c r="B1356" s="345">
        <v>2111</v>
      </c>
      <c r="C1356" s="346">
        <v>81008</v>
      </c>
      <c r="D1356" s="345">
        <v>31293</v>
      </c>
      <c r="E1356" s="347" t="s">
        <v>4240</v>
      </c>
      <c r="F1356" s="343" t="s">
        <v>4471</v>
      </c>
      <c r="I1356" s="345">
        <v>1</v>
      </c>
      <c r="J1356" s="347"/>
      <c r="K1356" s="345">
        <v>0</v>
      </c>
      <c r="L1356" s="347" t="s">
        <v>1980</v>
      </c>
      <c r="M1356" s="347"/>
      <c r="N1356" s="347" t="s">
        <v>4458</v>
      </c>
      <c r="O1356" s="347" t="s">
        <v>4441</v>
      </c>
      <c r="P1356" s="347" t="s">
        <v>1467</v>
      </c>
      <c r="Q1356" s="347"/>
      <c r="R1356" s="347"/>
      <c r="S1356" s="348">
        <v>40558</v>
      </c>
      <c r="T1356" s="348">
        <v>40558</v>
      </c>
      <c r="U1356" s="347" t="s">
        <v>4472</v>
      </c>
      <c r="V1356" s="345">
        <v>300</v>
      </c>
      <c r="W1356" s="345">
        <v>14030</v>
      </c>
      <c r="X1356" s="349">
        <v>36961.360000000001</v>
      </c>
      <c r="Y1356" s="345">
        <v>14036</v>
      </c>
      <c r="Z1356" s="349">
        <v>36961.360000000001</v>
      </c>
      <c r="AA1356" s="349">
        <f t="shared" si="105"/>
        <v>0</v>
      </c>
      <c r="AB1356" s="349">
        <v>0</v>
      </c>
      <c r="AC1356" s="345">
        <v>51260</v>
      </c>
      <c r="AD1356" s="349">
        <v>0</v>
      </c>
      <c r="AE1356" s="345" t="s">
        <v>944</v>
      </c>
      <c r="AF1356" s="347"/>
      <c r="AG1356" s="347"/>
      <c r="AH1356" s="347" t="s">
        <v>57</v>
      </c>
      <c r="AI1356" s="347" t="s">
        <v>4442</v>
      </c>
      <c r="AJ1356" s="347" t="s">
        <v>4443</v>
      </c>
      <c r="AK1356" s="347" t="s">
        <v>4437</v>
      </c>
      <c r="AL1356" s="387">
        <v>45574</v>
      </c>
    </row>
    <row r="1357" spans="2:38" ht="15.75" outlineLevel="1">
      <c r="B1357" s="345">
        <v>2111</v>
      </c>
      <c r="C1357" s="346">
        <v>80817</v>
      </c>
      <c r="D1357" s="345" t="s">
        <v>944</v>
      </c>
      <c r="E1357" s="347" t="s">
        <v>4240</v>
      </c>
      <c r="F1357" s="343" t="s">
        <v>3141</v>
      </c>
      <c r="I1357" s="345">
        <v>1</v>
      </c>
      <c r="J1357" s="347"/>
      <c r="K1357" s="345">
        <v>0</v>
      </c>
      <c r="L1357" s="347" t="s">
        <v>2347</v>
      </c>
      <c r="M1357" s="347"/>
      <c r="N1357" s="347" t="s">
        <v>4440</v>
      </c>
      <c r="O1357" s="347" t="s">
        <v>4441</v>
      </c>
      <c r="P1357" s="347"/>
      <c r="Q1357" s="347"/>
      <c r="R1357" s="347"/>
      <c r="S1357" s="348">
        <v>40637</v>
      </c>
      <c r="T1357" s="348">
        <v>40637</v>
      </c>
      <c r="U1357" s="347" t="s">
        <v>3117</v>
      </c>
      <c r="V1357" s="345">
        <v>300</v>
      </c>
      <c r="W1357" s="345">
        <v>14110</v>
      </c>
      <c r="X1357" s="349">
        <v>1750</v>
      </c>
      <c r="Y1357" s="345">
        <v>14116</v>
      </c>
      <c r="Z1357" s="349">
        <v>1750</v>
      </c>
      <c r="AA1357" s="349">
        <f t="shared" si="105"/>
        <v>0</v>
      </c>
      <c r="AB1357" s="349">
        <v>0</v>
      </c>
      <c r="AC1357" s="345">
        <v>70260</v>
      </c>
      <c r="AD1357" s="349">
        <v>0</v>
      </c>
      <c r="AE1357" s="345" t="s">
        <v>944</v>
      </c>
      <c r="AF1357" s="347"/>
      <c r="AG1357" s="347"/>
      <c r="AH1357" s="347" t="s">
        <v>57</v>
      </c>
      <c r="AI1357" s="347" t="s">
        <v>4442</v>
      </c>
      <c r="AJ1357" s="347" t="s">
        <v>4443</v>
      </c>
      <c r="AK1357" s="347" t="s">
        <v>4437</v>
      </c>
      <c r="AL1357" s="387">
        <v>45574</v>
      </c>
    </row>
    <row r="1358" spans="2:38" ht="15.75" outlineLevel="1">
      <c r="B1358" s="345">
        <v>2111</v>
      </c>
      <c r="C1358" s="346">
        <v>80693</v>
      </c>
      <c r="D1358" s="345" t="s">
        <v>944</v>
      </c>
      <c r="E1358" s="347" t="s">
        <v>4240</v>
      </c>
      <c r="F1358" s="343" t="s">
        <v>3142</v>
      </c>
      <c r="I1358" s="345">
        <v>1</v>
      </c>
      <c r="J1358" s="347"/>
      <c r="K1358" s="345">
        <v>0</v>
      </c>
      <c r="L1358" s="347" t="s">
        <v>1120</v>
      </c>
      <c r="M1358" s="347"/>
      <c r="N1358" s="347" t="s">
        <v>4451</v>
      </c>
      <c r="O1358" s="347" t="s">
        <v>4441</v>
      </c>
      <c r="P1358" s="347"/>
      <c r="Q1358" s="347"/>
      <c r="R1358" s="347"/>
      <c r="S1358" s="348">
        <v>40544</v>
      </c>
      <c r="T1358" s="348">
        <v>40544</v>
      </c>
      <c r="U1358" s="347" t="s">
        <v>3143</v>
      </c>
      <c r="V1358" s="345">
        <v>500</v>
      </c>
      <c r="W1358" s="345">
        <v>14070</v>
      </c>
      <c r="X1358" s="349">
        <v>6260.49</v>
      </c>
      <c r="Y1358" s="345">
        <v>14076</v>
      </c>
      <c r="Z1358" s="349">
        <v>6260.49</v>
      </c>
      <c r="AA1358" s="349">
        <f t="shared" si="105"/>
        <v>0</v>
      </c>
      <c r="AB1358" s="349">
        <v>0</v>
      </c>
      <c r="AC1358" s="345">
        <v>51260</v>
      </c>
      <c r="AD1358" s="349">
        <v>0</v>
      </c>
      <c r="AE1358" s="345" t="s">
        <v>944</v>
      </c>
      <c r="AF1358" s="347"/>
      <c r="AG1358" s="347"/>
      <c r="AH1358" s="347" t="s">
        <v>57</v>
      </c>
      <c r="AI1358" s="347" t="s">
        <v>4442</v>
      </c>
      <c r="AJ1358" s="347" t="s">
        <v>4443</v>
      </c>
      <c r="AK1358" s="347" t="s">
        <v>4437</v>
      </c>
      <c r="AL1358" s="387">
        <v>45574</v>
      </c>
    </row>
    <row r="1359" spans="2:38" ht="15.75" outlineLevel="1">
      <c r="B1359" s="345">
        <v>2111</v>
      </c>
      <c r="C1359" s="346">
        <v>80515</v>
      </c>
      <c r="D1359" s="345">
        <v>80514</v>
      </c>
      <c r="E1359" s="347" t="s">
        <v>4240</v>
      </c>
      <c r="F1359" s="343" t="s">
        <v>3144</v>
      </c>
      <c r="I1359" s="345">
        <v>12</v>
      </c>
      <c r="J1359" s="347"/>
      <c r="K1359" s="345">
        <v>0</v>
      </c>
      <c r="L1359" s="347" t="s">
        <v>2257</v>
      </c>
      <c r="M1359" s="347"/>
      <c r="N1359" s="347" t="s">
        <v>4446</v>
      </c>
      <c r="O1359" s="347" t="s">
        <v>4441</v>
      </c>
      <c r="P1359" s="347"/>
      <c r="Q1359" s="347"/>
      <c r="R1359" s="347"/>
      <c r="S1359" s="348">
        <v>40544</v>
      </c>
      <c r="T1359" s="348">
        <v>40544</v>
      </c>
      <c r="U1359" s="347" t="s">
        <v>3145</v>
      </c>
      <c r="V1359" s="345">
        <v>1200</v>
      </c>
      <c r="W1359" s="345">
        <v>14050</v>
      </c>
      <c r="X1359" s="349">
        <v>590</v>
      </c>
      <c r="Y1359" s="345">
        <v>14056</v>
      </c>
      <c r="Z1359" s="349">
        <v>590</v>
      </c>
      <c r="AA1359" s="349">
        <f t="shared" si="105"/>
        <v>0</v>
      </c>
      <c r="AB1359" s="349">
        <v>0</v>
      </c>
      <c r="AC1359" s="345">
        <v>54260</v>
      </c>
      <c r="AD1359" s="349">
        <v>0</v>
      </c>
      <c r="AE1359" s="345" t="s">
        <v>944</v>
      </c>
      <c r="AF1359" s="347"/>
      <c r="AG1359" s="347"/>
      <c r="AH1359" s="347" t="s">
        <v>57</v>
      </c>
      <c r="AI1359" s="347" t="s">
        <v>4442</v>
      </c>
      <c r="AJ1359" s="347" t="s">
        <v>4443</v>
      </c>
      <c r="AK1359" s="347" t="s">
        <v>4437</v>
      </c>
      <c r="AL1359" s="387">
        <v>45574</v>
      </c>
    </row>
    <row r="1360" spans="2:38" ht="15.75" outlineLevel="1">
      <c r="B1360" s="345">
        <v>2111</v>
      </c>
      <c r="C1360" s="346">
        <v>80514</v>
      </c>
      <c r="D1360" s="345" t="s">
        <v>944</v>
      </c>
      <c r="E1360" s="347" t="s">
        <v>4240</v>
      </c>
      <c r="F1360" s="343" t="s">
        <v>3146</v>
      </c>
      <c r="I1360" s="345">
        <v>12</v>
      </c>
      <c r="J1360" s="347"/>
      <c r="K1360" s="345">
        <v>0</v>
      </c>
      <c r="L1360" s="347" t="s">
        <v>2257</v>
      </c>
      <c r="M1360" s="347"/>
      <c r="N1360" s="347" t="s">
        <v>4446</v>
      </c>
      <c r="O1360" s="347" t="s">
        <v>4441</v>
      </c>
      <c r="P1360" s="347"/>
      <c r="Q1360" s="347" t="s">
        <v>4449</v>
      </c>
      <c r="R1360" s="347" t="s">
        <v>4450</v>
      </c>
      <c r="S1360" s="348">
        <v>40544</v>
      </c>
      <c r="T1360" s="348">
        <v>40544</v>
      </c>
      <c r="U1360" s="347" t="s">
        <v>3147</v>
      </c>
      <c r="V1360" s="345">
        <v>1200</v>
      </c>
      <c r="W1360" s="345">
        <v>14050</v>
      </c>
      <c r="X1360" s="349">
        <v>4886</v>
      </c>
      <c r="Y1360" s="345">
        <v>14056</v>
      </c>
      <c r="Z1360" s="349">
        <v>4886</v>
      </c>
      <c r="AA1360" s="349">
        <f t="shared" si="105"/>
        <v>0</v>
      </c>
      <c r="AB1360" s="349">
        <v>0</v>
      </c>
      <c r="AC1360" s="345">
        <v>54260</v>
      </c>
      <c r="AD1360" s="349">
        <v>0</v>
      </c>
      <c r="AE1360" s="345" t="s">
        <v>944</v>
      </c>
      <c r="AF1360" s="347"/>
      <c r="AG1360" s="347"/>
      <c r="AH1360" s="347" t="s">
        <v>57</v>
      </c>
      <c r="AI1360" s="347" t="s">
        <v>4442</v>
      </c>
      <c r="AJ1360" s="347" t="s">
        <v>4443</v>
      </c>
      <c r="AK1360" s="347" t="s">
        <v>4437</v>
      </c>
      <c r="AL1360" s="387">
        <v>45574</v>
      </c>
    </row>
    <row r="1361" spans="2:38" ht="15.75" outlineLevel="1">
      <c r="B1361" s="345">
        <v>2111</v>
      </c>
      <c r="C1361" s="346">
        <v>79173</v>
      </c>
      <c r="D1361" s="345" t="s">
        <v>944</v>
      </c>
      <c r="E1361" s="347" t="s">
        <v>4240</v>
      </c>
      <c r="F1361" s="343" t="s">
        <v>708</v>
      </c>
      <c r="I1361" s="345">
        <v>9</v>
      </c>
      <c r="J1361" s="347"/>
      <c r="K1361" s="345">
        <v>0</v>
      </c>
      <c r="L1361" s="347" t="s">
        <v>2257</v>
      </c>
      <c r="M1361" s="347"/>
      <c r="N1361" s="347" t="s">
        <v>4446</v>
      </c>
      <c r="O1361" s="347" t="s">
        <v>4441</v>
      </c>
      <c r="P1361" s="347"/>
      <c r="Q1361" s="347" t="s">
        <v>4449</v>
      </c>
      <c r="R1361" s="347" t="s">
        <v>4450</v>
      </c>
      <c r="S1361" s="348">
        <v>40543</v>
      </c>
      <c r="T1361" s="348">
        <v>40543</v>
      </c>
      <c r="U1361" s="347" t="s">
        <v>3145</v>
      </c>
      <c r="V1361" s="345">
        <v>1200</v>
      </c>
      <c r="W1361" s="345">
        <v>14050</v>
      </c>
      <c r="X1361" s="349">
        <v>4131.54</v>
      </c>
      <c r="Y1361" s="345">
        <v>14056</v>
      </c>
      <c r="Z1361" s="349">
        <v>4131.54</v>
      </c>
      <c r="AA1361" s="349">
        <f t="shared" si="105"/>
        <v>0</v>
      </c>
      <c r="AB1361" s="349">
        <v>0</v>
      </c>
      <c r="AC1361" s="345">
        <v>54260</v>
      </c>
      <c r="AD1361" s="349">
        <v>0</v>
      </c>
      <c r="AE1361" s="345" t="s">
        <v>944</v>
      </c>
      <c r="AF1361" s="347"/>
      <c r="AG1361" s="347"/>
      <c r="AH1361" s="347" t="s">
        <v>57</v>
      </c>
      <c r="AI1361" s="347" t="s">
        <v>4442</v>
      </c>
      <c r="AJ1361" s="347" t="s">
        <v>4443</v>
      </c>
      <c r="AK1361" s="347" t="s">
        <v>4437</v>
      </c>
      <c r="AL1361" s="387">
        <v>45574</v>
      </c>
    </row>
    <row r="1362" spans="2:38" ht="15.75" outlineLevel="1">
      <c r="B1362" s="345">
        <v>2111</v>
      </c>
      <c r="C1362" s="346">
        <v>79157</v>
      </c>
      <c r="D1362" s="345" t="s">
        <v>944</v>
      </c>
      <c r="E1362" s="347" t="s">
        <v>4240</v>
      </c>
      <c r="F1362" s="343" t="s">
        <v>3148</v>
      </c>
      <c r="I1362" s="345">
        <v>6</v>
      </c>
      <c r="J1362" s="347"/>
      <c r="K1362" s="345">
        <v>0</v>
      </c>
      <c r="L1362" s="347" t="s">
        <v>2257</v>
      </c>
      <c r="M1362" s="347"/>
      <c r="N1362" s="347" t="s">
        <v>4446</v>
      </c>
      <c r="O1362" s="347" t="s">
        <v>4441</v>
      </c>
      <c r="P1362" s="347"/>
      <c r="Q1362" s="347" t="s">
        <v>4459</v>
      </c>
      <c r="R1362" s="347" t="s">
        <v>4450</v>
      </c>
      <c r="S1362" s="348">
        <v>40533</v>
      </c>
      <c r="T1362" s="348">
        <v>40533</v>
      </c>
      <c r="U1362" s="347" t="s">
        <v>3145</v>
      </c>
      <c r="V1362" s="345">
        <v>1200</v>
      </c>
      <c r="W1362" s="345">
        <v>14050</v>
      </c>
      <c r="X1362" s="349">
        <v>3147.84</v>
      </c>
      <c r="Y1362" s="345">
        <v>14056</v>
      </c>
      <c r="Z1362" s="349">
        <v>3147.84</v>
      </c>
      <c r="AA1362" s="349">
        <f t="shared" si="105"/>
        <v>0</v>
      </c>
      <c r="AB1362" s="349">
        <v>0</v>
      </c>
      <c r="AC1362" s="345">
        <v>54260</v>
      </c>
      <c r="AD1362" s="349">
        <v>0</v>
      </c>
      <c r="AE1362" s="345" t="s">
        <v>944</v>
      </c>
      <c r="AF1362" s="347"/>
      <c r="AG1362" s="347"/>
      <c r="AH1362" s="347" t="s">
        <v>57</v>
      </c>
      <c r="AI1362" s="347" t="s">
        <v>4442</v>
      </c>
      <c r="AJ1362" s="347" t="s">
        <v>4443</v>
      </c>
      <c r="AK1362" s="347" t="s">
        <v>4437</v>
      </c>
      <c r="AL1362" s="387">
        <v>45574</v>
      </c>
    </row>
    <row r="1363" spans="2:38" ht="15.75" outlineLevel="1">
      <c r="B1363" s="345">
        <v>2111</v>
      </c>
      <c r="C1363" s="346">
        <v>79156</v>
      </c>
      <c r="D1363" s="345" t="s">
        <v>944</v>
      </c>
      <c r="E1363" s="347" t="s">
        <v>4240</v>
      </c>
      <c r="F1363" s="343" t="s">
        <v>1530</v>
      </c>
      <c r="I1363" s="345">
        <v>2</v>
      </c>
      <c r="J1363" s="347"/>
      <c r="K1363" s="345">
        <v>0</v>
      </c>
      <c r="L1363" s="347" t="s">
        <v>2257</v>
      </c>
      <c r="M1363" s="347"/>
      <c r="N1363" s="347" t="s">
        <v>4446</v>
      </c>
      <c r="O1363" s="347" t="s">
        <v>4441</v>
      </c>
      <c r="P1363" s="347"/>
      <c r="Q1363" s="347" t="s">
        <v>4459</v>
      </c>
      <c r="R1363" s="347" t="s">
        <v>4450</v>
      </c>
      <c r="S1363" s="348">
        <v>40533</v>
      </c>
      <c r="T1363" s="348">
        <v>40533</v>
      </c>
      <c r="U1363" s="347" t="s">
        <v>3147</v>
      </c>
      <c r="V1363" s="345">
        <v>1200</v>
      </c>
      <c r="W1363" s="345">
        <v>14050</v>
      </c>
      <c r="X1363" s="349">
        <v>163.96</v>
      </c>
      <c r="Y1363" s="345">
        <v>14056</v>
      </c>
      <c r="Z1363" s="349">
        <v>163.96</v>
      </c>
      <c r="AA1363" s="349">
        <f t="shared" si="105"/>
        <v>0</v>
      </c>
      <c r="AB1363" s="349">
        <v>0</v>
      </c>
      <c r="AC1363" s="345">
        <v>54260</v>
      </c>
      <c r="AD1363" s="349">
        <v>0</v>
      </c>
      <c r="AE1363" s="345" t="s">
        <v>944</v>
      </c>
      <c r="AF1363" s="347"/>
      <c r="AG1363" s="347"/>
      <c r="AH1363" s="347" t="s">
        <v>57</v>
      </c>
      <c r="AI1363" s="347" t="s">
        <v>4442</v>
      </c>
      <c r="AJ1363" s="347" t="s">
        <v>4443</v>
      </c>
      <c r="AK1363" s="347" t="s">
        <v>4437</v>
      </c>
      <c r="AL1363" s="387">
        <v>45574</v>
      </c>
    </row>
    <row r="1364" spans="2:38" ht="15.75" outlineLevel="1">
      <c r="B1364" s="345">
        <v>2111</v>
      </c>
      <c r="C1364" s="346">
        <v>79155</v>
      </c>
      <c r="D1364" s="345" t="s">
        <v>944</v>
      </c>
      <c r="E1364" s="347" t="s">
        <v>4240</v>
      </c>
      <c r="F1364" s="343" t="s">
        <v>730</v>
      </c>
      <c r="I1364" s="345">
        <v>12</v>
      </c>
      <c r="J1364" s="347"/>
      <c r="K1364" s="345">
        <v>0</v>
      </c>
      <c r="L1364" s="347" t="s">
        <v>2257</v>
      </c>
      <c r="M1364" s="347"/>
      <c r="N1364" s="347" t="s">
        <v>4446</v>
      </c>
      <c r="O1364" s="347" t="s">
        <v>4441</v>
      </c>
      <c r="P1364" s="347"/>
      <c r="Q1364" s="347" t="s">
        <v>4459</v>
      </c>
      <c r="R1364" s="347" t="s">
        <v>4450</v>
      </c>
      <c r="S1364" s="348">
        <v>40533</v>
      </c>
      <c r="T1364" s="348">
        <v>40533</v>
      </c>
      <c r="U1364" s="347" t="s">
        <v>3149</v>
      </c>
      <c r="V1364" s="345">
        <v>1200</v>
      </c>
      <c r="W1364" s="345">
        <v>14050</v>
      </c>
      <c r="X1364" s="349">
        <v>7181</v>
      </c>
      <c r="Y1364" s="345">
        <v>14056</v>
      </c>
      <c r="Z1364" s="349">
        <v>7181</v>
      </c>
      <c r="AA1364" s="349">
        <f t="shared" si="105"/>
        <v>0</v>
      </c>
      <c r="AB1364" s="349">
        <v>0</v>
      </c>
      <c r="AC1364" s="345">
        <v>54260</v>
      </c>
      <c r="AD1364" s="349">
        <v>0</v>
      </c>
      <c r="AE1364" s="345" t="s">
        <v>944</v>
      </c>
      <c r="AF1364" s="347"/>
      <c r="AG1364" s="347"/>
      <c r="AH1364" s="347" t="s">
        <v>57</v>
      </c>
      <c r="AI1364" s="347" t="s">
        <v>4442</v>
      </c>
      <c r="AJ1364" s="347" t="s">
        <v>4443</v>
      </c>
      <c r="AK1364" s="347" t="s">
        <v>4437</v>
      </c>
      <c r="AL1364" s="387">
        <v>45574</v>
      </c>
    </row>
    <row r="1365" spans="2:38" ht="15.75" outlineLevel="1">
      <c r="B1365" s="345">
        <v>2111</v>
      </c>
      <c r="C1365" s="346">
        <v>79154</v>
      </c>
      <c r="D1365" s="345" t="s">
        <v>944</v>
      </c>
      <c r="E1365" s="347" t="s">
        <v>4240</v>
      </c>
      <c r="F1365" s="343" t="s">
        <v>708</v>
      </c>
      <c r="I1365" s="345">
        <v>9</v>
      </c>
      <c r="J1365" s="347"/>
      <c r="K1365" s="345">
        <v>0</v>
      </c>
      <c r="L1365" s="347" t="s">
        <v>2257</v>
      </c>
      <c r="M1365" s="347"/>
      <c r="N1365" s="347" t="s">
        <v>4446</v>
      </c>
      <c r="O1365" s="347" t="s">
        <v>4441</v>
      </c>
      <c r="P1365" s="347"/>
      <c r="Q1365" s="347" t="s">
        <v>4449</v>
      </c>
      <c r="R1365" s="347" t="s">
        <v>4450</v>
      </c>
      <c r="S1365" s="348">
        <v>40533</v>
      </c>
      <c r="T1365" s="348">
        <v>40533</v>
      </c>
      <c r="U1365" s="347" t="s">
        <v>3147</v>
      </c>
      <c r="V1365" s="345">
        <v>1200</v>
      </c>
      <c r="W1365" s="345">
        <v>14050</v>
      </c>
      <c r="X1365" s="349">
        <v>4131.54</v>
      </c>
      <c r="Y1365" s="345">
        <v>14056</v>
      </c>
      <c r="Z1365" s="349">
        <v>4131.54</v>
      </c>
      <c r="AA1365" s="349">
        <f t="shared" si="105"/>
        <v>0</v>
      </c>
      <c r="AB1365" s="349">
        <v>0</v>
      </c>
      <c r="AC1365" s="345">
        <v>54260</v>
      </c>
      <c r="AD1365" s="349">
        <v>0</v>
      </c>
      <c r="AE1365" s="345" t="s">
        <v>944</v>
      </c>
      <c r="AF1365" s="347"/>
      <c r="AG1365" s="347"/>
      <c r="AH1365" s="347" t="s">
        <v>57</v>
      </c>
      <c r="AI1365" s="347" t="s">
        <v>4442</v>
      </c>
      <c r="AJ1365" s="347" t="s">
        <v>4443</v>
      </c>
      <c r="AK1365" s="347" t="s">
        <v>4437</v>
      </c>
      <c r="AL1365" s="387">
        <v>45574</v>
      </c>
    </row>
    <row r="1366" spans="2:38" ht="15.75" outlineLevel="1">
      <c r="B1366" s="345">
        <v>2111</v>
      </c>
      <c r="C1366" s="346">
        <v>79152</v>
      </c>
      <c r="D1366" s="345" t="s">
        <v>944</v>
      </c>
      <c r="E1366" s="347" t="s">
        <v>4240</v>
      </c>
      <c r="F1366" s="343" t="s">
        <v>730</v>
      </c>
      <c r="I1366" s="345">
        <v>8</v>
      </c>
      <c r="J1366" s="347"/>
      <c r="K1366" s="345">
        <v>0</v>
      </c>
      <c r="L1366" s="347" t="s">
        <v>2257</v>
      </c>
      <c r="M1366" s="347"/>
      <c r="N1366" s="347" t="s">
        <v>4446</v>
      </c>
      <c r="O1366" s="347" t="s">
        <v>4441</v>
      </c>
      <c r="P1366" s="347"/>
      <c r="Q1366" s="347" t="s">
        <v>4459</v>
      </c>
      <c r="R1366" s="347" t="s">
        <v>4450</v>
      </c>
      <c r="S1366" s="348">
        <v>40532</v>
      </c>
      <c r="T1366" s="348">
        <v>40532</v>
      </c>
      <c r="U1366" s="347" t="s">
        <v>3145</v>
      </c>
      <c r="V1366" s="345">
        <v>1200</v>
      </c>
      <c r="W1366" s="345">
        <v>14050</v>
      </c>
      <c r="X1366" s="349">
        <v>4197.12</v>
      </c>
      <c r="Y1366" s="345">
        <v>14056</v>
      </c>
      <c r="Z1366" s="349">
        <v>4197.12</v>
      </c>
      <c r="AA1366" s="349">
        <f t="shared" si="105"/>
        <v>0</v>
      </c>
      <c r="AB1366" s="349">
        <v>0</v>
      </c>
      <c r="AC1366" s="345">
        <v>54260</v>
      </c>
      <c r="AD1366" s="349">
        <v>0</v>
      </c>
      <c r="AE1366" s="345" t="s">
        <v>944</v>
      </c>
      <c r="AF1366" s="347"/>
      <c r="AG1366" s="347"/>
      <c r="AH1366" s="347" t="s">
        <v>57</v>
      </c>
      <c r="AI1366" s="347" t="s">
        <v>4442</v>
      </c>
      <c r="AJ1366" s="347" t="s">
        <v>4443</v>
      </c>
      <c r="AK1366" s="347" t="s">
        <v>4437</v>
      </c>
      <c r="AL1366" s="387">
        <v>45574</v>
      </c>
    </row>
    <row r="1367" spans="2:38" ht="15.75" outlineLevel="1">
      <c r="B1367" s="345">
        <v>2111</v>
      </c>
      <c r="C1367" s="346">
        <v>79144</v>
      </c>
      <c r="D1367" s="345" t="s">
        <v>944</v>
      </c>
      <c r="E1367" s="347" t="s">
        <v>4240</v>
      </c>
      <c r="F1367" s="343" t="s">
        <v>530</v>
      </c>
      <c r="I1367" s="345">
        <v>486</v>
      </c>
      <c r="J1367" s="347"/>
      <c r="K1367" s="345">
        <v>0</v>
      </c>
      <c r="L1367" s="347" t="s">
        <v>2245</v>
      </c>
      <c r="M1367" s="347"/>
      <c r="N1367" s="347" t="s">
        <v>4446</v>
      </c>
      <c r="O1367" s="347" t="s">
        <v>4441</v>
      </c>
      <c r="P1367" s="347"/>
      <c r="Q1367" s="347"/>
      <c r="R1367" s="347"/>
      <c r="S1367" s="348">
        <v>40510</v>
      </c>
      <c r="T1367" s="348">
        <v>40510</v>
      </c>
      <c r="U1367" s="347" t="s">
        <v>3150</v>
      </c>
      <c r="V1367" s="345">
        <v>700</v>
      </c>
      <c r="W1367" s="345">
        <v>14050</v>
      </c>
      <c r="X1367" s="349">
        <v>23872.04</v>
      </c>
      <c r="Y1367" s="345">
        <v>14056</v>
      </c>
      <c r="Z1367" s="349">
        <v>23872.04</v>
      </c>
      <c r="AA1367" s="349">
        <f t="shared" si="105"/>
        <v>0</v>
      </c>
      <c r="AB1367" s="349">
        <v>0</v>
      </c>
      <c r="AC1367" s="345">
        <v>54260</v>
      </c>
      <c r="AD1367" s="349">
        <v>0</v>
      </c>
      <c r="AE1367" s="345" t="s">
        <v>944</v>
      </c>
      <c r="AF1367" s="347"/>
      <c r="AG1367" s="347"/>
      <c r="AH1367" s="347" t="s">
        <v>57</v>
      </c>
      <c r="AI1367" s="347" t="s">
        <v>4442</v>
      </c>
      <c r="AJ1367" s="347" t="s">
        <v>4443</v>
      </c>
      <c r="AK1367" s="347" t="s">
        <v>4437</v>
      </c>
      <c r="AL1367" s="387">
        <v>45574</v>
      </c>
    </row>
    <row r="1368" spans="2:38" ht="15.75" outlineLevel="1">
      <c r="B1368" s="345">
        <v>2111</v>
      </c>
      <c r="C1368" s="346">
        <v>78044</v>
      </c>
      <c r="D1368" s="345" t="s">
        <v>944</v>
      </c>
      <c r="E1368" s="347" t="s">
        <v>4240</v>
      </c>
      <c r="F1368" s="343" t="s">
        <v>3152</v>
      </c>
      <c r="I1368" s="345">
        <v>1</v>
      </c>
      <c r="J1368" s="347"/>
      <c r="K1368" s="345">
        <v>0</v>
      </c>
      <c r="L1368" s="347" t="s">
        <v>3153</v>
      </c>
      <c r="M1368" s="347"/>
      <c r="N1368" s="347" t="s">
        <v>4451</v>
      </c>
      <c r="O1368" s="347" t="s">
        <v>4441</v>
      </c>
      <c r="P1368" s="347"/>
      <c r="Q1368" s="347"/>
      <c r="R1368" s="347"/>
      <c r="S1368" s="348">
        <v>40501</v>
      </c>
      <c r="T1368" s="348">
        <v>40501</v>
      </c>
      <c r="U1368" s="347" t="s">
        <v>3154</v>
      </c>
      <c r="V1368" s="345">
        <v>500</v>
      </c>
      <c r="W1368" s="345">
        <v>14070</v>
      </c>
      <c r="X1368" s="349">
        <v>7651</v>
      </c>
      <c r="Y1368" s="345">
        <v>14076</v>
      </c>
      <c r="Z1368" s="349">
        <v>7651</v>
      </c>
      <c r="AA1368" s="349">
        <f t="shared" si="105"/>
        <v>0</v>
      </c>
      <c r="AB1368" s="349">
        <v>0</v>
      </c>
      <c r="AC1368" s="345">
        <v>51260</v>
      </c>
      <c r="AD1368" s="349">
        <v>0</v>
      </c>
      <c r="AE1368" s="345" t="s">
        <v>944</v>
      </c>
      <c r="AF1368" s="347"/>
      <c r="AG1368" s="347"/>
      <c r="AH1368" s="347" t="s">
        <v>57</v>
      </c>
      <c r="AI1368" s="347" t="s">
        <v>4442</v>
      </c>
      <c r="AJ1368" s="347" t="s">
        <v>4443</v>
      </c>
      <c r="AK1368" s="347" t="s">
        <v>4437</v>
      </c>
      <c r="AL1368" s="387">
        <v>45574</v>
      </c>
    </row>
    <row r="1369" spans="2:38" ht="15.75" outlineLevel="1">
      <c r="B1369" s="345">
        <v>2111</v>
      </c>
      <c r="C1369" s="346">
        <v>78016</v>
      </c>
      <c r="D1369" s="345">
        <v>9536</v>
      </c>
      <c r="E1369" s="347" t="s">
        <v>4240</v>
      </c>
      <c r="F1369" s="343" t="s">
        <v>3155</v>
      </c>
      <c r="I1369" s="345">
        <v>1</v>
      </c>
      <c r="J1369" s="347"/>
      <c r="K1369" s="345">
        <v>0</v>
      </c>
      <c r="L1369" s="347" t="s">
        <v>2252</v>
      </c>
      <c r="M1369" s="347"/>
      <c r="N1369" s="347" t="s">
        <v>4445</v>
      </c>
      <c r="O1369" s="347" t="s">
        <v>4441</v>
      </c>
      <c r="P1369" s="347" t="s">
        <v>1467</v>
      </c>
      <c r="Q1369" s="347"/>
      <c r="R1369" s="347"/>
      <c r="S1369" s="348">
        <v>40479</v>
      </c>
      <c r="T1369" s="348">
        <v>40479</v>
      </c>
      <c r="U1369" s="347" t="s">
        <v>3156</v>
      </c>
      <c r="V1369" s="345">
        <v>300</v>
      </c>
      <c r="W1369" s="345">
        <v>14040</v>
      </c>
      <c r="X1369" s="349">
        <v>12406</v>
      </c>
      <c r="Y1369" s="345">
        <v>14046</v>
      </c>
      <c r="Z1369" s="349">
        <v>12406</v>
      </c>
      <c r="AA1369" s="349">
        <f t="shared" si="105"/>
        <v>0</v>
      </c>
      <c r="AB1369" s="349">
        <v>0</v>
      </c>
      <c r="AC1369" s="345">
        <v>51260</v>
      </c>
      <c r="AD1369" s="349">
        <v>0</v>
      </c>
      <c r="AE1369" s="345" t="s">
        <v>944</v>
      </c>
      <c r="AF1369" s="347"/>
      <c r="AG1369" s="347"/>
      <c r="AH1369" s="347" t="s">
        <v>57</v>
      </c>
      <c r="AI1369" s="347" t="s">
        <v>4442</v>
      </c>
      <c r="AJ1369" s="347" t="s">
        <v>4443</v>
      </c>
      <c r="AK1369" s="347" t="s">
        <v>4437</v>
      </c>
      <c r="AL1369" s="387">
        <v>45574</v>
      </c>
    </row>
    <row r="1370" spans="2:38" ht="15.75" outlineLevel="1">
      <c r="B1370" s="345">
        <v>2111</v>
      </c>
      <c r="C1370" s="346">
        <v>77215</v>
      </c>
      <c r="D1370" s="345" t="s">
        <v>944</v>
      </c>
      <c r="E1370" s="347" t="s">
        <v>4240</v>
      </c>
      <c r="F1370" s="343" t="s">
        <v>3157</v>
      </c>
      <c r="I1370" s="345">
        <v>11</v>
      </c>
      <c r="J1370" s="347"/>
      <c r="K1370" s="345">
        <v>0</v>
      </c>
      <c r="L1370" s="347" t="s">
        <v>2257</v>
      </c>
      <c r="M1370" s="347"/>
      <c r="N1370" s="347" t="s">
        <v>4446</v>
      </c>
      <c r="O1370" s="347" t="s">
        <v>4441</v>
      </c>
      <c r="P1370" s="347"/>
      <c r="Q1370" s="347" t="s">
        <v>4459</v>
      </c>
      <c r="R1370" s="347" t="s">
        <v>4450</v>
      </c>
      <c r="S1370" s="348">
        <v>40351</v>
      </c>
      <c r="T1370" s="348">
        <v>40351</v>
      </c>
      <c r="U1370" s="347" t="s">
        <v>3158</v>
      </c>
      <c r="V1370" s="345">
        <v>1200</v>
      </c>
      <c r="W1370" s="345">
        <v>14050</v>
      </c>
      <c r="X1370" s="349">
        <v>5584</v>
      </c>
      <c r="Y1370" s="345">
        <v>14056</v>
      </c>
      <c r="Z1370" s="349">
        <v>5584</v>
      </c>
      <c r="AA1370" s="349">
        <f t="shared" si="105"/>
        <v>0</v>
      </c>
      <c r="AB1370" s="349">
        <v>0</v>
      </c>
      <c r="AC1370" s="345">
        <v>54260</v>
      </c>
      <c r="AD1370" s="349">
        <v>0</v>
      </c>
      <c r="AE1370" s="345" t="s">
        <v>944</v>
      </c>
      <c r="AF1370" s="347"/>
      <c r="AG1370" s="347"/>
      <c r="AH1370" s="347" t="s">
        <v>57</v>
      </c>
      <c r="AI1370" s="347" t="s">
        <v>4442</v>
      </c>
      <c r="AJ1370" s="347" t="s">
        <v>4443</v>
      </c>
      <c r="AK1370" s="347" t="s">
        <v>4437</v>
      </c>
      <c r="AL1370" s="387">
        <v>45574</v>
      </c>
    </row>
    <row r="1371" spans="2:38" ht="15.75" outlineLevel="1">
      <c r="B1371" s="345">
        <v>2111</v>
      </c>
      <c r="C1371" s="346">
        <v>77214</v>
      </c>
      <c r="D1371" s="345">
        <v>77215</v>
      </c>
      <c r="E1371" s="347" t="s">
        <v>4240</v>
      </c>
      <c r="F1371" s="343" t="s">
        <v>3159</v>
      </c>
      <c r="I1371" s="345">
        <v>11</v>
      </c>
      <c r="J1371" s="347"/>
      <c r="K1371" s="345">
        <v>0</v>
      </c>
      <c r="L1371" s="347" t="s">
        <v>2257</v>
      </c>
      <c r="M1371" s="347"/>
      <c r="N1371" s="347" t="s">
        <v>4446</v>
      </c>
      <c r="O1371" s="347" t="s">
        <v>4441</v>
      </c>
      <c r="P1371" s="347"/>
      <c r="Q1371" s="347"/>
      <c r="R1371" s="347"/>
      <c r="S1371" s="348">
        <v>40350</v>
      </c>
      <c r="T1371" s="348">
        <v>40350</v>
      </c>
      <c r="U1371" s="347" t="s">
        <v>3160</v>
      </c>
      <c r="V1371" s="345">
        <v>1200</v>
      </c>
      <c r="W1371" s="345">
        <v>14050</v>
      </c>
      <c r="X1371" s="349">
        <v>0.7</v>
      </c>
      <c r="Y1371" s="345">
        <v>14056</v>
      </c>
      <c r="Z1371" s="349">
        <v>0.7</v>
      </c>
      <c r="AA1371" s="349">
        <f t="shared" si="105"/>
        <v>0</v>
      </c>
      <c r="AB1371" s="349">
        <v>0</v>
      </c>
      <c r="AC1371" s="345">
        <v>54260</v>
      </c>
      <c r="AD1371" s="349">
        <v>0</v>
      </c>
      <c r="AE1371" s="345" t="s">
        <v>944</v>
      </c>
      <c r="AF1371" s="347"/>
      <c r="AG1371" s="347"/>
      <c r="AH1371" s="347" t="s">
        <v>57</v>
      </c>
      <c r="AI1371" s="347" t="s">
        <v>4442</v>
      </c>
      <c r="AJ1371" s="347" t="s">
        <v>4443</v>
      </c>
      <c r="AK1371" s="347" t="s">
        <v>4437</v>
      </c>
      <c r="AL1371" s="387">
        <v>45574</v>
      </c>
    </row>
    <row r="1372" spans="2:38" ht="15.75" outlineLevel="1">
      <c r="B1372" s="345">
        <v>2111</v>
      </c>
      <c r="C1372" s="346">
        <v>77213</v>
      </c>
      <c r="D1372" s="345">
        <v>77215</v>
      </c>
      <c r="E1372" s="347" t="s">
        <v>4240</v>
      </c>
      <c r="F1372" s="343" t="s">
        <v>3159</v>
      </c>
      <c r="I1372" s="345">
        <v>11</v>
      </c>
      <c r="J1372" s="347"/>
      <c r="K1372" s="345">
        <v>0</v>
      </c>
      <c r="L1372" s="347" t="s">
        <v>2257</v>
      </c>
      <c r="M1372" s="347"/>
      <c r="N1372" s="347" t="s">
        <v>4446</v>
      </c>
      <c r="O1372" s="347" t="s">
        <v>4441</v>
      </c>
      <c r="P1372" s="347"/>
      <c r="Q1372" s="347"/>
      <c r="R1372" s="347"/>
      <c r="S1372" s="348">
        <v>40350</v>
      </c>
      <c r="T1372" s="348">
        <v>40350</v>
      </c>
      <c r="U1372" s="347" t="s">
        <v>3161</v>
      </c>
      <c r="V1372" s="345">
        <v>1200</v>
      </c>
      <c r="W1372" s="345">
        <v>14050</v>
      </c>
      <c r="X1372" s="349">
        <v>6</v>
      </c>
      <c r="Y1372" s="345">
        <v>14056</v>
      </c>
      <c r="Z1372" s="349">
        <v>6</v>
      </c>
      <c r="AA1372" s="349">
        <f t="shared" si="105"/>
        <v>0</v>
      </c>
      <c r="AB1372" s="349">
        <v>0</v>
      </c>
      <c r="AC1372" s="345">
        <v>54260</v>
      </c>
      <c r="AD1372" s="349">
        <v>0</v>
      </c>
      <c r="AE1372" s="345" t="s">
        <v>944</v>
      </c>
      <c r="AF1372" s="347"/>
      <c r="AG1372" s="347"/>
      <c r="AH1372" s="347" t="s">
        <v>57</v>
      </c>
      <c r="AI1372" s="347" t="s">
        <v>4442</v>
      </c>
      <c r="AJ1372" s="347" t="s">
        <v>4443</v>
      </c>
      <c r="AK1372" s="347" t="s">
        <v>4437</v>
      </c>
      <c r="AL1372" s="387">
        <v>45574</v>
      </c>
    </row>
    <row r="1373" spans="2:38" ht="15.75" outlineLevel="1">
      <c r="B1373" s="345">
        <v>2111</v>
      </c>
      <c r="C1373" s="346">
        <v>76984</v>
      </c>
      <c r="D1373" s="345" t="s">
        <v>944</v>
      </c>
      <c r="E1373" s="347" t="s">
        <v>4240</v>
      </c>
      <c r="F1373" s="343" t="s">
        <v>715</v>
      </c>
      <c r="I1373" s="345">
        <v>9</v>
      </c>
      <c r="J1373" s="347"/>
      <c r="K1373" s="345">
        <v>0</v>
      </c>
      <c r="L1373" s="347" t="s">
        <v>2257</v>
      </c>
      <c r="M1373" s="347"/>
      <c r="N1373" s="347" t="s">
        <v>4446</v>
      </c>
      <c r="O1373" s="347" t="s">
        <v>4441</v>
      </c>
      <c r="P1373" s="347"/>
      <c r="Q1373" s="347" t="s">
        <v>4464</v>
      </c>
      <c r="R1373" s="347" t="s">
        <v>4450</v>
      </c>
      <c r="S1373" s="348">
        <v>40422</v>
      </c>
      <c r="T1373" s="348">
        <v>40422</v>
      </c>
      <c r="U1373" s="347" t="s">
        <v>3162</v>
      </c>
      <c r="V1373" s="345">
        <v>1200</v>
      </c>
      <c r="W1373" s="345">
        <v>14050</v>
      </c>
      <c r="X1373" s="349">
        <v>5705.46</v>
      </c>
      <c r="Y1373" s="345">
        <v>14056</v>
      </c>
      <c r="Z1373" s="349">
        <v>5705.46</v>
      </c>
      <c r="AA1373" s="349">
        <f t="shared" si="105"/>
        <v>0</v>
      </c>
      <c r="AB1373" s="349">
        <v>0</v>
      </c>
      <c r="AC1373" s="345">
        <v>54260</v>
      </c>
      <c r="AD1373" s="349">
        <v>0</v>
      </c>
      <c r="AE1373" s="345" t="s">
        <v>944</v>
      </c>
      <c r="AF1373" s="347"/>
      <c r="AG1373" s="347"/>
      <c r="AH1373" s="347" t="s">
        <v>57</v>
      </c>
      <c r="AI1373" s="347" t="s">
        <v>4442</v>
      </c>
      <c r="AJ1373" s="347" t="s">
        <v>4443</v>
      </c>
      <c r="AK1373" s="347" t="s">
        <v>4437</v>
      </c>
      <c r="AL1373" s="387">
        <v>45574</v>
      </c>
    </row>
    <row r="1374" spans="2:38" ht="15.75" outlineLevel="1">
      <c r="B1374" s="345">
        <v>2111</v>
      </c>
      <c r="C1374" s="346">
        <v>76983</v>
      </c>
      <c r="D1374" s="345" t="s">
        <v>944</v>
      </c>
      <c r="E1374" s="347" t="s">
        <v>4240</v>
      </c>
      <c r="F1374" s="343" t="s">
        <v>3163</v>
      </c>
      <c r="I1374" s="345">
        <v>14</v>
      </c>
      <c r="J1374" s="347"/>
      <c r="K1374" s="345">
        <v>0</v>
      </c>
      <c r="L1374" s="347" t="s">
        <v>2257</v>
      </c>
      <c r="M1374" s="347"/>
      <c r="N1374" s="347" t="s">
        <v>4446</v>
      </c>
      <c r="O1374" s="347" t="s">
        <v>4441</v>
      </c>
      <c r="P1374" s="347"/>
      <c r="Q1374" s="347" t="s">
        <v>4464</v>
      </c>
      <c r="R1374" s="347" t="s">
        <v>4450</v>
      </c>
      <c r="S1374" s="348">
        <v>40422</v>
      </c>
      <c r="T1374" s="348">
        <v>40422</v>
      </c>
      <c r="U1374" s="347" t="s">
        <v>3162</v>
      </c>
      <c r="V1374" s="345">
        <v>1200</v>
      </c>
      <c r="W1374" s="345">
        <v>14050</v>
      </c>
      <c r="X1374" s="349">
        <v>8875.16</v>
      </c>
      <c r="Y1374" s="345">
        <v>14056</v>
      </c>
      <c r="Z1374" s="349">
        <v>8875.16</v>
      </c>
      <c r="AA1374" s="349">
        <f t="shared" si="105"/>
        <v>0</v>
      </c>
      <c r="AB1374" s="349">
        <v>0</v>
      </c>
      <c r="AC1374" s="345">
        <v>54260</v>
      </c>
      <c r="AD1374" s="349">
        <v>0</v>
      </c>
      <c r="AE1374" s="345" t="s">
        <v>944</v>
      </c>
      <c r="AF1374" s="347"/>
      <c r="AG1374" s="347"/>
      <c r="AH1374" s="347" t="s">
        <v>57</v>
      </c>
      <c r="AI1374" s="347" t="s">
        <v>4442</v>
      </c>
      <c r="AJ1374" s="347" t="s">
        <v>4443</v>
      </c>
      <c r="AK1374" s="347" t="s">
        <v>4437</v>
      </c>
      <c r="AL1374" s="387">
        <v>45574</v>
      </c>
    </row>
    <row r="1375" spans="2:38" ht="15.75" outlineLevel="1">
      <c r="B1375" s="345">
        <v>2111</v>
      </c>
      <c r="C1375" s="346">
        <v>76982</v>
      </c>
      <c r="D1375" s="345" t="s">
        <v>944</v>
      </c>
      <c r="E1375" s="347" t="s">
        <v>4240</v>
      </c>
      <c r="F1375" s="343" t="s">
        <v>715</v>
      </c>
      <c r="I1375" s="345">
        <v>14</v>
      </c>
      <c r="J1375" s="347"/>
      <c r="K1375" s="345">
        <v>0</v>
      </c>
      <c r="L1375" s="347" t="s">
        <v>2257</v>
      </c>
      <c r="M1375" s="347"/>
      <c r="N1375" s="347" t="s">
        <v>4446</v>
      </c>
      <c r="O1375" s="347" t="s">
        <v>4441</v>
      </c>
      <c r="P1375" s="347"/>
      <c r="Q1375" s="347" t="s">
        <v>4464</v>
      </c>
      <c r="R1375" s="347" t="s">
        <v>4450</v>
      </c>
      <c r="S1375" s="348">
        <v>40422</v>
      </c>
      <c r="T1375" s="348">
        <v>40422</v>
      </c>
      <c r="U1375" s="347" t="s">
        <v>3162</v>
      </c>
      <c r="V1375" s="345">
        <v>1200</v>
      </c>
      <c r="W1375" s="345">
        <v>14050</v>
      </c>
      <c r="X1375" s="349">
        <v>8875.16</v>
      </c>
      <c r="Y1375" s="345">
        <v>14056</v>
      </c>
      <c r="Z1375" s="349">
        <v>8875.16</v>
      </c>
      <c r="AA1375" s="349">
        <f t="shared" si="105"/>
        <v>0</v>
      </c>
      <c r="AB1375" s="349">
        <v>0</v>
      </c>
      <c r="AC1375" s="345">
        <v>54260</v>
      </c>
      <c r="AD1375" s="349">
        <v>0</v>
      </c>
      <c r="AE1375" s="345" t="s">
        <v>944</v>
      </c>
      <c r="AF1375" s="347"/>
      <c r="AG1375" s="347"/>
      <c r="AH1375" s="347" t="s">
        <v>57</v>
      </c>
      <c r="AI1375" s="347" t="s">
        <v>4442</v>
      </c>
      <c r="AJ1375" s="347" t="s">
        <v>4443</v>
      </c>
      <c r="AK1375" s="347" t="s">
        <v>4437</v>
      </c>
      <c r="AL1375" s="387">
        <v>45574</v>
      </c>
    </row>
    <row r="1376" spans="2:38" ht="15.75" outlineLevel="1">
      <c r="B1376" s="345">
        <v>2111</v>
      </c>
      <c r="C1376" s="346">
        <v>76981</v>
      </c>
      <c r="D1376" s="345" t="s">
        <v>944</v>
      </c>
      <c r="E1376" s="347" t="s">
        <v>4240</v>
      </c>
      <c r="F1376" s="343" t="s">
        <v>715</v>
      </c>
      <c r="I1376" s="345">
        <v>13</v>
      </c>
      <c r="J1376" s="347"/>
      <c r="K1376" s="345">
        <v>0</v>
      </c>
      <c r="L1376" s="347" t="s">
        <v>2257</v>
      </c>
      <c r="M1376" s="347"/>
      <c r="N1376" s="347" t="s">
        <v>4446</v>
      </c>
      <c r="O1376" s="347" t="s">
        <v>4441</v>
      </c>
      <c r="P1376" s="347"/>
      <c r="Q1376" s="347" t="s">
        <v>4464</v>
      </c>
      <c r="R1376" s="347" t="s">
        <v>4450</v>
      </c>
      <c r="S1376" s="348">
        <v>40422</v>
      </c>
      <c r="T1376" s="348">
        <v>40422</v>
      </c>
      <c r="U1376" s="347" t="s">
        <v>3162</v>
      </c>
      <c r="V1376" s="345">
        <v>1200</v>
      </c>
      <c r="W1376" s="345">
        <v>14050</v>
      </c>
      <c r="X1376" s="349">
        <v>8241.2199999999993</v>
      </c>
      <c r="Y1376" s="345">
        <v>14056</v>
      </c>
      <c r="Z1376" s="349">
        <v>8241.2199999999993</v>
      </c>
      <c r="AA1376" s="349">
        <f t="shared" si="105"/>
        <v>0</v>
      </c>
      <c r="AB1376" s="349">
        <v>0</v>
      </c>
      <c r="AC1376" s="345">
        <v>54260</v>
      </c>
      <c r="AD1376" s="349">
        <v>0</v>
      </c>
      <c r="AE1376" s="345" t="s">
        <v>944</v>
      </c>
      <c r="AF1376" s="347"/>
      <c r="AG1376" s="347"/>
      <c r="AH1376" s="347" t="s">
        <v>57</v>
      </c>
      <c r="AI1376" s="347" t="s">
        <v>4442</v>
      </c>
      <c r="AJ1376" s="347" t="s">
        <v>4443</v>
      </c>
      <c r="AK1376" s="347" t="s">
        <v>4437</v>
      </c>
      <c r="AL1376" s="387">
        <v>45574</v>
      </c>
    </row>
    <row r="1377" spans="2:38" ht="15.75" outlineLevel="1">
      <c r="B1377" s="345">
        <v>2111</v>
      </c>
      <c r="C1377" s="346">
        <v>76808</v>
      </c>
      <c r="D1377" s="345" t="s">
        <v>944</v>
      </c>
      <c r="E1377" s="347" t="s">
        <v>4240</v>
      </c>
      <c r="F1377" s="343" t="s">
        <v>3164</v>
      </c>
      <c r="I1377" s="345">
        <v>1</v>
      </c>
      <c r="J1377" s="347"/>
      <c r="K1377" s="345">
        <v>0</v>
      </c>
      <c r="L1377" s="347" t="s">
        <v>1657</v>
      </c>
      <c r="M1377" s="347"/>
      <c r="N1377" s="347" t="s">
        <v>4440</v>
      </c>
      <c r="O1377" s="347" t="s">
        <v>4441</v>
      </c>
      <c r="P1377" s="347"/>
      <c r="Q1377" s="347"/>
      <c r="R1377" s="347"/>
      <c r="S1377" s="348">
        <v>40420</v>
      </c>
      <c r="T1377" s="348">
        <v>40420</v>
      </c>
      <c r="U1377" s="347" t="s">
        <v>3165</v>
      </c>
      <c r="V1377" s="345">
        <v>300</v>
      </c>
      <c r="W1377" s="345">
        <v>14110</v>
      </c>
      <c r="X1377" s="349">
        <v>611.54999999999995</v>
      </c>
      <c r="Y1377" s="345">
        <v>14116</v>
      </c>
      <c r="Z1377" s="349">
        <v>611.54999999999995</v>
      </c>
      <c r="AA1377" s="349">
        <f t="shared" si="105"/>
        <v>0</v>
      </c>
      <c r="AB1377" s="349">
        <v>0</v>
      </c>
      <c r="AC1377" s="345">
        <v>70260</v>
      </c>
      <c r="AD1377" s="349">
        <v>0</v>
      </c>
      <c r="AE1377" s="345" t="s">
        <v>944</v>
      </c>
      <c r="AF1377" s="347"/>
      <c r="AG1377" s="347"/>
      <c r="AH1377" s="347" t="s">
        <v>57</v>
      </c>
      <c r="AI1377" s="347" t="s">
        <v>4442</v>
      </c>
      <c r="AJ1377" s="347" t="s">
        <v>4443</v>
      </c>
      <c r="AK1377" s="347" t="s">
        <v>4437</v>
      </c>
      <c r="AL1377" s="387">
        <v>45574</v>
      </c>
    </row>
    <row r="1378" spans="2:38" ht="15.75" outlineLevel="1">
      <c r="B1378" s="345">
        <v>2111</v>
      </c>
      <c r="C1378" s="346">
        <v>76740</v>
      </c>
      <c r="D1378" s="345" t="s">
        <v>944</v>
      </c>
      <c r="E1378" s="347" t="s">
        <v>4240</v>
      </c>
      <c r="F1378" s="343" t="s">
        <v>3167</v>
      </c>
      <c r="I1378" s="345">
        <v>1</v>
      </c>
      <c r="J1378" s="347"/>
      <c r="K1378" s="345">
        <v>0</v>
      </c>
      <c r="L1378" s="347" t="s">
        <v>3168</v>
      </c>
      <c r="M1378" s="347"/>
      <c r="N1378" s="347" t="s">
        <v>4451</v>
      </c>
      <c r="O1378" s="347" t="s">
        <v>4441</v>
      </c>
      <c r="P1378" s="347"/>
      <c r="Q1378" s="347"/>
      <c r="R1378" s="347"/>
      <c r="S1378" s="348">
        <v>40401</v>
      </c>
      <c r="T1378" s="348">
        <v>40401</v>
      </c>
      <c r="U1378" s="347" t="s">
        <v>3169</v>
      </c>
      <c r="V1378" s="345">
        <v>500</v>
      </c>
      <c r="W1378" s="345">
        <v>14070</v>
      </c>
      <c r="X1378" s="349">
        <v>3359.46</v>
      </c>
      <c r="Y1378" s="345">
        <v>14076</v>
      </c>
      <c r="Z1378" s="349">
        <v>3359.46</v>
      </c>
      <c r="AA1378" s="349">
        <f t="shared" si="105"/>
        <v>0</v>
      </c>
      <c r="AB1378" s="349">
        <v>0</v>
      </c>
      <c r="AC1378" s="345">
        <v>51260</v>
      </c>
      <c r="AD1378" s="349">
        <v>0</v>
      </c>
      <c r="AE1378" s="345" t="s">
        <v>944</v>
      </c>
      <c r="AF1378" s="347"/>
      <c r="AG1378" s="347"/>
      <c r="AH1378" s="347" t="s">
        <v>57</v>
      </c>
      <c r="AI1378" s="347" t="s">
        <v>4442</v>
      </c>
      <c r="AJ1378" s="347" t="s">
        <v>4443</v>
      </c>
      <c r="AK1378" s="347" t="s">
        <v>4437</v>
      </c>
      <c r="AL1378" s="387">
        <v>45574</v>
      </c>
    </row>
    <row r="1379" spans="2:38" ht="15.75" outlineLevel="1">
      <c r="B1379" s="345">
        <v>2111</v>
      </c>
      <c r="C1379" s="346">
        <v>76739</v>
      </c>
      <c r="D1379" s="345" t="s">
        <v>944</v>
      </c>
      <c r="E1379" s="347" t="s">
        <v>4240</v>
      </c>
      <c r="F1379" s="343" t="s">
        <v>3170</v>
      </c>
      <c r="I1379" s="345">
        <v>1</v>
      </c>
      <c r="J1379" s="347"/>
      <c r="K1379" s="345">
        <v>0</v>
      </c>
      <c r="L1379" s="347" t="s">
        <v>3168</v>
      </c>
      <c r="M1379" s="347"/>
      <c r="N1379" s="347" t="s">
        <v>4451</v>
      </c>
      <c r="O1379" s="347" t="s">
        <v>4441</v>
      </c>
      <c r="P1379" s="347"/>
      <c r="Q1379" s="347"/>
      <c r="R1379" s="347"/>
      <c r="S1379" s="348">
        <v>40399</v>
      </c>
      <c r="T1379" s="348">
        <v>40399</v>
      </c>
      <c r="U1379" s="347" t="s">
        <v>3169</v>
      </c>
      <c r="V1379" s="345">
        <v>500</v>
      </c>
      <c r="W1379" s="345">
        <v>14070</v>
      </c>
      <c r="X1379" s="349">
        <v>1119.82</v>
      </c>
      <c r="Y1379" s="345">
        <v>14076</v>
      </c>
      <c r="Z1379" s="349">
        <v>1119.82</v>
      </c>
      <c r="AA1379" s="349">
        <f t="shared" si="105"/>
        <v>0</v>
      </c>
      <c r="AB1379" s="349">
        <v>0</v>
      </c>
      <c r="AC1379" s="345">
        <v>51260</v>
      </c>
      <c r="AD1379" s="349">
        <v>0</v>
      </c>
      <c r="AE1379" s="345" t="s">
        <v>944</v>
      </c>
      <c r="AF1379" s="347"/>
      <c r="AG1379" s="347"/>
      <c r="AH1379" s="347" t="s">
        <v>57</v>
      </c>
      <c r="AI1379" s="347" t="s">
        <v>4442</v>
      </c>
      <c r="AJ1379" s="347" t="s">
        <v>4443</v>
      </c>
      <c r="AK1379" s="347" t="s">
        <v>4437</v>
      </c>
      <c r="AL1379" s="387">
        <v>45574</v>
      </c>
    </row>
    <row r="1380" spans="2:38" ht="15.75" outlineLevel="1">
      <c r="B1380" s="345">
        <v>2111</v>
      </c>
      <c r="C1380" s="346">
        <v>76738</v>
      </c>
      <c r="D1380" s="345" t="s">
        <v>944</v>
      </c>
      <c r="E1380" s="347" t="s">
        <v>4240</v>
      </c>
      <c r="F1380" s="343" t="s">
        <v>3171</v>
      </c>
      <c r="I1380" s="345">
        <v>1</v>
      </c>
      <c r="J1380" s="347"/>
      <c r="K1380" s="345">
        <v>0</v>
      </c>
      <c r="L1380" s="347" t="s">
        <v>3168</v>
      </c>
      <c r="M1380" s="347"/>
      <c r="N1380" s="347" t="s">
        <v>4451</v>
      </c>
      <c r="O1380" s="347" t="s">
        <v>4441</v>
      </c>
      <c r="P1380" s="347"/>
      <c r="Q1380" s="347"/>
      <c r="R1380" s="347"/>
      <c r="S1380" s="348">
        <v>40389</v>
      </c>
      <c r="T1380" s="348">
        <v>40389</v>
      </c>
      <c r="U1380" s="347" t="s">
        <v>3169</v>
      </c>
      <c r="V1380" s="345">
        <v>500</v>
      </c>
      <c r="W1380" s="345">
        <v>14070</v>
      </c>
      <c r="X1380" s="349">
        <v>1119.82</v>
      </c>
      <c r="Y1380" s="345">
        <v>14076</v>
      </c>
      <c r="Z1380" s="349">
        <v>1119.82</v>
      </c>
      <c r="AA1380" s="349">
        <f t="shared" si="105"/>
        <v>0</v>
      </c>
      <c r="AB1380" s="349">
        <v>0</v>
      </c>
      <c r="AC1380" s="345">
        <v>51260</v>
      </c>
      <c r="AD1380" s="349">
        <v>0</v>
      </c>
      <c r="AE1380" s="345" t="s">
        <v>944</v>
      </c>
      <c r="AF1380" s="347"/>
      <c r="AG1380" s="347"/>
      <c r="AH1380" s="347" t="s">
        <v>57</v>
      </c>
      <c r="AI1380" s="347" t="s">
        <v>4442</v>
      </c>
      <c r="AJ1380" s="347" t="s">
        <v>4443</v>
      </c>
      <c r="AK1380" s="347" t="s">
        <v>4437</v>
      </c>
      <c r="AL1380" s="387">
        <v>45574</v>
      </c>
    </row>
    <row r="1381" spans="2:38" ht="15.75" outlineLevel="1">
      <c r="B1381" s="345">
        <v>2111</v>
      </c>
      <c r="C1381" s="346">
        <v>76629</v>
      </c>
      <c r="D1381" s="345" t="s">
        <v>944</v>
      </c>
      <c r="E1381" s="347" t="s">
        <v>4240</v>
      </c>
      <c r="F1381" s="343" t="s">
        <v>3172</v>
      </c>
      <c r="I1381" s="345">
        <v>1</v>
      </c>
      <c r="J1381" s="347"/>
      <c r="K1381" s="345">
        <v>0</v>
      </c>
      <c r="L1381" s="347" t="s">
        <v>3173</v>
      </c>
      <c r="M1381" s="347"/>
      <c r="N1381" s="347" t="s">
        <v>4451</v>
      </c>
      <c r="O1381" s="347" t="s">
        <v>4441</v>
      </c>
      <c r="P1381" s="347"/>
      <c r="Q1381" s="347"/>
      <c r="R1381" s="347"/>
      <c r="S1381" s="348">
        <v>40382</v>
      </c>
      <c r="T1381" s="348">
        <v>40382</v>
      </c>
      <c r="U1381" s="347" t="s">
        <v>3174</v>
      </c>
      <c r="V1381" s="345">
        <v>500</v>
      </c>
      <c r="W1381" s="345">
        <v>14070</v>
      </c>
      <c r="X1381" s="349">
        <v>164438</v>
      </c>
      <c r="Y1381" s="345">
        <v>14076</v>
      </c>
      <c r="Z1381" s="349">
        <v>164438</v>
      </c>
      <c r="AA1381" s="349">
        <f t="shared" ref="AA1381:AA1444" si="106">+X1381-Z1381</f>
        <v>0</v>
      </c>
      <c r="AB1381" s="349">
        <v>0</v>
      </c>
      <c r="AC1381" s="345">
        <v>51260</v>
      </c>
      <c r="AD1381" s="349">
        <v>0</v>
      </c>
      <c r="AE1381" s="345" t="s">
        <v>944</v>
      </c>
      <c r="AF1381" s="347"/>
      <c r="AG1381" s="347"/>
      <c r="AH1381" s="347" t="s">
        <v>57</v>
      </c>
      <c r="AI1381" s="347" t="s">
        <v>4442</v>
      </c>
      <c r="AJ1381" s="347" t="s">
        <v>4443</v>
      </c>
      <c r="AK1381" s="347" t="s">
        <v>4437</v>
      </c>
      <c r="AL1381" s="387">
        <v>45574</v>
      </c>
    </row>
    <row r="1382" spans="2:38" ht="15.75" outlineLevel="1">
      <c r="B1382" s="345">
        <v>2111</v>
      </c>
      <c r="C1382" s="346">
        <v>76057</v>
      </c>
      <c r="D1382" s="345">
        <v>73368</v>
      </c>
      <c r="E1382" s="347" t="s">
        <v>4240</v>
      </c>
      <c r="F1382" s="343" t="s">
        <v>3175</v>
      </c>
      <c r="I1382" s="345">
        <v>1</v>
      </c>
      <c r="J1382" s="347"/>
      <c r="K1382" s="345">
        <v>0</v>
      </c>
      <c r="L1382" s="347" t="s">
        <v>3176</v>
      </c>
      <c r="M1382" s="347"/>
      <c r="N1382" s="347" t="s">
        <v>4453</v>
      </c>
      <c r="O1382" s="347" t="s">
        <v>4441</v>
      </c>
      <c r="P1382" s="347"/>
      <c r="Q1382" s="347"/>
      <c r="R1382" s="347"/>
      <c r="S1382" s="348">
        <v>40298</v>
      </c>
      <c r="T1382" s="348">
        <v>40298</v>
      </c>
      <c r="U1382" s="347" t="s">
        <v>3177</v>
      </c>
      <c r="V1382" s="345">
        <v>500</v>
      </c>
      <c r="W1382" s="345">
        <v>14100</v>
      </c>
      <c r="X1382" s="349">
        <v>5000</v>
      </c>
      <c r="Y1382" s="345">
        <v>14106</v>
      </c>
      <c r="Z1382" s="349">
        <v>5000</v>
      </c>
      <c r="AA1382" s="349">
        <f t="shared" si="106"/>
        <v>0</v>
      </c>
      <c r="AB1382" s="349">
        <v>0</v>
      </c>
      <c r="AC1382" s="345">
        <v>70260</v>
      </c>
      <c r="AD1382" s="349">
        <v>0</v>
      </c>
      <c r="AE1382" s="345" t="s">
        <v>944</v>
      </c>
      <c r="AF1382" s="347"/>
      <c r="AG1382" s="347"/>
      <c r="AH1382" s="347" t="s">
        <v>57</v>
      </c>
      <c r="AI1382" s="347" t="s">
        <v>4442</v>
      </c>
      <c r="AJ1382" s="347" t="s">
        <v>4443</v>
      </c>
      <c r="AK1382" s="347" t="s">
        <v>4437</v>
      </c>
      <c r="AL1382" s="387">
        <v>45574</v>
      </c>
    </row>
    <row r="1383" spans="2:38" ht="15.75" outlineLevel="1">
      <c r="B1383" s="345">
        <v>2111</v>
      </c>
      <c r="C1383" s="346">
        <v>75742</v>
      </c>
      <c r="D1383" s="345">
        <v>75741</v>
      </c>
      <c r="E1383" s="347" t="s">
        <v>4240</v>
      </c>
      <c r="F1383" s="343" t="s">
        <v>3179</v>
      </c>
      <c r="I1383" s="345">
        <v>1</v>
      </c>
      <c r="J1383" s="347" t="s">
        <v>3180</v>
      </c>
      <c r="K1383" s="345">
        <v>1999</v>
      </c>
      <c r="L1383" s="347"/>
      <c r="M1383" s="347"/>
      <c r="N1383" s="347" t="s">
        <v>4445</v>
      </c>
      <c r="O1383" s="347" t="s">
        <v>4441</v>
      </c>
      <c r="P1383" s="347" t="s">
        <v>1467</v>
      </c>
      <c r="Q1383" s="347"/>
      <c r="R1383" s="347"/>
      <c r="S1383" s="348">
        <v>38579</v>
      </c>
      <c r="T1383" s="348">
        <v>38579</v>
      </c>
      <c r="U1383" s="347">
        <v>52170001</v>
      </c>
      <c r="V1383" s="345">
        <v>1000</v>
      </c>
      <c r="W1383" s="345">
        <v>14040</v>
      </c>
      <c r="X1383" s="349">
        <v>8008</v>
      </c>
      <c r="Y1383" s="345">
        <v>14046</v>
      </c>
      <c r="Z1383" s="349">
        <v>8008</v>
      </c>
      <c r="AA1383" s="349">
        <f t="shared" si="106"/>
        <v>0</v>
      </c>
      <c r="AB1383" s="349">
        <v>0</v>
      </c>
      <c r="AC1383" s="345">
        <v>51260</v>
      </c>
      <c r="AD1383" s="349">
        <v>0</v>
      </c>
      <c r="AE1383" s="345" t="s">
        <v>944</v>
      </c>
      <c r="AF1383" s="347">
        <v>0</v>
      </c>
      <c r="AG1383" s="347"/>
      <c r="AH1383" s="347" t="s">
        <v>57</v>
      </c>
      <c r="AI1383" s="347" t="s">
        <v>4442</v>
      </c>
      <c r="AJ1383" s="347" t="s">
        <v>4443</v>
      </c>
      <c r="AK1383" s="347" t="s">
        <v>4437</v>
      </c>
      <c r="AL1383" s="387">
        <v>45574</v>
      </c>
    </row>
    <row r="1384" spans="2:38" ht="15.75" outlineLevel="1">
      <c r="B1384" s="345">
        <v>2111</v>
      </c>
      <c r="C1384" s="346">
        <v>75741</v>
      </c>
      <c r="D1384" s="345" t="s">
        <v>944</v>
      </c>
      <c r="E1384" s="347" t="s">
        <v>4240</v>
      </c>
      <c r="F1384" s="343" t="s">
        <v>3182</v>
      </c>
      <c r="I1384" s="345">
        <v>1</v>
      </c>
      <c r="J1384" s="347" t="s">
        <v>3183</v>
      </c>
      <c r="K1384" s="345">
        <v>2005</v>
      </c>
      <c r="L1384" s="347" t="s">
        <v>3184</v>
      </c>
      <c r="M1384" s="347" t="s">
        <v>2214</v>
      </c>
      <c r="N1384" s="347" t="s">
        <v>4445</v>
      </c>
      <c r="O1384" s="347" t="s">
        <v>4441</v>
      </c>
      <c r="P1384" s="347" t="s">
        <v>2868</v>
      </c>
      <c r="Q1384" s="347"/>
      <c r="R1384" s="347"/>
      <c r="S1384" s="348">
        <v>38505</v>
      </c>
      <c r="T1384" s="348">
        <v>38505</v>
      </c>
      <c r="U1384" s="347">
        <v>52170001</v>
      </c>
      <c r="V1384" s="345">
        <v>1000</v>
      </c>
      <c r="W1384" s="345">
        <v>14040</v>
      </c>
      <c r="X1384" s="349">
        <v>88000</v>
      </c>
      <c r="Y1384" s="345">
        <v>14046</v>
      </c>
      <c r="Z1384" s="349">
        <v>88000</v>
      </c>
      <c r="AA1384" s="349">
        <f t="shared" si="106"/>
        <v>0</v>
      </c>
      <c r="AB1384" s="349">
        <v>0</v>
      </c>
      <c r="AC1384" s="345">
        <v>51260</v>
      </c>
      <c r="AD1384" s="349">
        <v>0</v>
      </c>
      <c r="AE1384" s="345" t="s">
        <v>944</v>
      </c>
      <c r="AF1384" s="347">
        <v>0</v>
      </c>
      <c r="AG1384" s="347" t="s">
        <v>3185</v>
      </c>
      <c r="AH1384" s="347" t="s">
        <v>57</v>
      </c>
      <c r="AI1384" s="347" t="s">
        <v>4442</v>
      </c>
      <c r="AJ1384" s="347" t="s">
        <v>4443</v>
      </c>
      <c r="AK1384" s="347" t="s">
        <v>4437</v>
      </c>
      <c r="AL1384" s="387">
        <v>45574</v>
      </c>
    </row>
    <row r="1385" spans="2:38" ht="15.75" outlineLevel="1">
      <c r="B1385" s="345">
        <v>2111</v>
      </c>
      <c r="C1385" s="346">
        <v>75679</v>
      </c>
      <c r="D1385" s="345" t="s">
        <v>944</v>
      </c>
      <c r="E1385" s="347" t="s">
        <v>4240</v>
      </c>
      <c r="F1385" s="343" t="s">
        <v>3186</v>
      </c>
      <c r="I1385" s="345">
        <v>10</v>
      </c>
      <c r="J1385" s="347"/>
      <c r="K1385" s="345">
        <v>0</v>
      </c>
      <c r="L1385" s="347" t="s">
        <v>2257</v>
      </c>
      <c r="M1385" s="347"/>
      <c r="N1385" s="347" t="s">
        <v>4446</v>
      </c>
      <c r="O1385" s="347" t="s">
        <v>4441</v>
      </c>
      <c r="P1385" s="347"/>
      <c r="Q1385" s="347" t="s">
        <v>4459</v>
      </c>
      <c r="R1385" s="347" t="s">
        <v>4450</v>
      </c>
      <c r="S1385" s="348">
        <v>40359</v>
      </c>
      <c r="T1385" s="348">
        <v>40359</v>
      </c>
      <c r="U1385" s="347" t="s">
        <v>3187</v>
      </c>
      <c r="V1385" s="345">
        <v>1200</v>
      </c>
      <c r="W1385" s="345">
        <v>14050</v>
      </c>
      <c r="X1385" s="349">
        <v>5027.8</v>
      </c>
      <c r="Y1385" s="345">
        <v>14056</v>
      </c>
      <c r="Z1385" s="349">
        <v>5027.8</v>
      </c>
      <c r="AA1385" s="349">
        <f t="shared" si="106"/>
        <v>0</v>
      </c>
      <c r="AB1385" s="349">
        <v>0</v>
      </c>
      <c r="AC1385" s="345">
        <v>54260</v>
      </c>
      <c r="AD1385" s="349">
        <v>0</v>
      </c>
      <c r="AE1385" s="345" t="s">
        <v>944</v>
      </c>
      <c r="AF1385" s="347"/>
      <c r="AG1385" s="347"/>
      <c r="AH1385" s="347" t="s">
        <v>57</v>
      </c>
      <c r="AI1385" s="347" t="s">
        <v>4442</v>
      </c>
      <c r="AJ1385" s="347" t="s">
        <v>4443</v>
      </c>
      <c r="AK1385" s="347" t="s">
        <v>4437</v>
      </c>
      <c r="AL1385" s="387">
        <v>45574</v>
      </c>
    </row>
    <row r="1386" spans="2:38" ht="15.75" outlineLevel="1">
      <c r="B1386" s="345">
        <v>2111</v>
      </c>
      <c r="C1386" s="346">
        <v>75234</v>
      </c>
      <c r="D1386" s="345" t="s">
        <v>944</v>
      </c>
      <c r="E1386" s="347" t="s">
        <v>4240</v>
      </c>
      <c r="F1386" s="343" t="s">
        <v>3188</v>
      </c>
      <c r="I1386" s="345">
        <v>14</v>
      </c>
      <c r="J1386" s="347"/>
      <c r="K1386" s="345">
        <v>0</v>
      </c>
      <c r="L1386" s="347" t="s">
        <v>2257</v>
      </c>
      <c r="M1386" s="347"/>
      <c r="N1386" s="347" t="s">
        <v>4446</v>
      </c>
      <c r="O1386" s="347" t="s">
        <v>4441</v>
      </c>
      <c r="P1386" s="347"/>
      <c r="Q1386" s="347" t="s">
        <v>4449</v>
      </c>
      <c r="R1386" s="347" t="s">
        <v>4450</v>
      </c>
      <c r="S1386" s="348">
        <v>40350</v>
      </c>
      <c r="T1386" s="348">
        <v>40350</v>
      </c>
      <c r="U1386" s="347" t="s">
        <v>3189</v>
      </c>
      <c r="V1386" s="345">
        <v>1200</v>
      </c>
      <c r="W1386" s="345">
        <v>14050</v>
      </c>
      <c r="X1386" s="349">
        <v>6273.82</v>
      </c>
      <c r="Y1386" s="345">
        <v>14056</v>
      </c>
      <c r="Z1386" s="349">
        <v>6273.82</v>
      </c>
      <c r="AA1386" s="349">
        <f t="shared" si="106"/>
        <v>0</v>
      </c>
      <c r="AB1386" s="349">
        <v>0</v>
      </c>
      <c r="AC1386" s="345">
        <v>54260</v>
      </c>
      <c r="AD1386" s="349">
        <v>0</v>
      </c>
      <c r="AE1386" s="345" t="s">
        <v>944</v>
      </c>
      <c r="AF1386" s="347"/>
      <c r="AG1386" s="347"/>
      <c r="AH1386" s="347" t="s">
        <v>57</v>
      </c>
      <c r="AI1386" s="347" t="s">
        <v>4442</v>
      </c>
      <c r="AJ1386" s="347" t="s">
        <v>4443</v>
      </c>
      <c r="AK1386" s="347" t="s">
        <v>4437</v>
      </c>
      <c r="AL1386" s="387">
        <v>45574</v>
      </c>
    </row>
    <row r="1387" spans="2:38" ht="15.75" outlineLevel="1">
      <c r="B1387" s="345">
        <v>2111</v>
      </c>
      <c r="C1387" s="346">
        <v>75233</v>
      </c>
      <c r="D1387" s="345" t="s">
        <v>944</v>
      </c>
      <c r="E1387" s="347" t="s">
        <v>4240</v>
      </c>
      <c r="F1387" s="343" t="s">
        <v>3188</v>
      </c>
      <c r="I1387" s="345">
        <v>1</v>
      </c>
      <c r="J1387" s="347"/>
      <c r="K1387" s="345">
        <v>0</v>
      </c>
      <c r="L1387" s="347" t="s">
        <v>2257</v>
      </c>
      <c r="M1387" s="347"/>
      <c r="N1387" s="347" t="s">
        <v>4446</v>
      </c>
      <c r="O1387" s="347" t="s">
        <v>4441</v>
      </c>
      <c r="P1387" s="347"/>
      <c r="Q1387" s="347" t="s">
        <v>4449</v>
      </c>
      <c r="R1387" s="347" t="s">
        <v>4450</v>
      </c>
      <c r="S1387" s="348">
        <v>40350</v>
      </c>
      <c r="T1387" s="348">
        <v>40350</v>
      </c>
      <c r="U1387" s="347" t="s">
        <v>3189</v>
      </c>
      <c r="V1387" s="345">
        <v>1200</v>
      </c>
      <c r="W1387" s="345">
        <v>14050</v>
      </c>
      <c r="X1387" s="349">
        <v>448.13</v>
      </c>
      <c r="Y1387" s="345">
        <v>14056</v>
      </c>
      <c r="Z1387" s="349">
        <v>448.13</v>
      </c>
      <c r="AA1387" s="349">
        <f t="shared" si="106"/>
        <v>0</v>
      </c>
      <c r="AB1387" s="349">
        <v>0</v>
      </c>
      <c r="AC1387" s="345">
        <v>54260</v>
      </c>
      <c r="AD1387" s="349">
        <v>0</v>
      </c>
      <c r="AE1387" s="345" t="s">
        <v>944</v>
      </c>
      <c r="AF1387" s="347"/>
      <c r="AG1387" s="347"/>
      <c r="AH1387" s="347" t="s">
        <v>57</v>
      </c>
      <c r="AI1387" s="347" t="s">
        <v>4442</v>
      </c>
      <c r="AJ1387" s="347" t="s">
        <v>4443</v>
      </c>
      <c r="AK1387" s="347" t="s">
        <v>4437</v>
      </c>
      <c r="AL1387" s="387">
        <v>45574</v>
      </c>
    </row>
    <row r="1388" spans="2:38" ht="15.75" outlineLevel="1">
      <c r="B1388" s="345">
        <v>2111</v>
      </c>
      <c r="C1388" s="346">
        <v>75232</v>
      </c>
      <c r="D1388" s="345" t="s">
        <v>944</v>
      </c>
      <c r="E1388" s="347" t="s">
        <v>4240</v>
      </c>
      <c r="F1388" s="343" t="s">
        <v>675</v>
      </c>
      <c r="I1388" s="345">
        <v>15</v>
      </c>
      <c r="J1388" s="347"/>
      <c r="K1388" s="345">
        <v>0</v>
      </c>
      <c r="L1388" s="347" t="s">
        <v>2257</v>
      </c>
      <c r="M1388" s="347"/>
      <c r="N1388" s="347" t="s">
        <v>4446</v>
      </c>
      <c r="O1388" s="347" t="s">
        <v>4441</v>
      </c>
      <c r="P1388" s="347"/>
      <c r="Q1388" s="347" t="s">
        <v>4449</v>
      </c>
      <c r="R1388" s="347" t="s">
        <v>4450</v>
      </c>
      <c r="S1388" s="348">
        <v>40350</v>
      </c>
      <c r="T1388" s="348">
        <v>40350</v>
      </c>
      <c r="U1388" s="347" t="s">
        <v>3189</v>
      </c>
      <c r="V1388" s="345">
        <v>1200</v>
      </c>
      <c r="W1388" s="345">
        <v>14050</v>
      </c>
      <c r="X1388" s="349">
        <v>6721.95</v>
      </c>
      <c r="Y1388" s="345">
        <v>14056</v>
      </c>
      <c r="Z1388" s="349">
        <v>6721.95</v>
      </c>
      <c r="AA1388" s="349">
        <f t="shared" si="106"/>
        <v>0</v>
      </c>
      <c r="AB1388" s="349">
        <v>0</v>
      </c>
      <c r="AC1388" s="345">
        <v>54260</v>
      </c>
      <c r="AD1388" s="349">
        <v>0</v>
      </c>
      <c r="AE1388" s="345" t="s">
        <v>944</v>
      </c>
      <c r="AF1388" s="347"/>
      <c r="AG1388" s="347"/>
      <c r="AH1388" s="347" t="s">
        <v>57</v>
      </c>
      <c r="AI1388" s="347" t="s">
        <v>4442</v>
      </c>
      <c r="AJ1388" s="347" t="s">
        <v>4443</v>
      </c>
      <c r="AK1388" s="347" t="s">
        <v>4437</v>
      </c>
      <c r="AL1388" s="387">
        <v>45574</v>
      </c>
    </row>
    <row r="1389" spans="2:38" ht="15.75" outlineLevel="1">
      <c r="B1389" s="345">
        <v>2111</v>
      </c>
      <c r="C1389" s="346">
        <v>75231</v>
      </c>
      <c r="D1389" s="345" t="s">
        <v>944</v>
      </c>
      <c r="E1389" s="347" t="s">
        <v>4240</v>
      </c>
      <c r="F1389" s="343" t="s">
        <v>2352</v>
      </c>
      <c r="I1389" s="345">
        <v>8</v>
      </c>
      <c r="J1389" s="347"/>
      <c r="K1389" s="345">
        <v>0</v>
      </c>
      <c r="L1389" s="347" t="s">
        <v>2257</v>
      </c>
      <c r="M1389" s="347"/>
      <c r="N1389" s="347" t="s">
        <v>4446</v>
      </c>
      <c r="O1389" s="347" t="s">
        <v>4441</v>
      </c>
      <c r="P1389" s="347"/>
      <c r="Q1389" s="347" t="s">
        <v>4461</v>
      </c>
      <c r="R1389" s="347" t="s">
        <v>4450</v>
      </c>
      <c r="S1389" s="348">
        <v>40350</v>
      </c>
      <c r="T1389" s="348">
        <v>40350</v>
      </c>
      <c r="U1389" s="347" t="s">
        <v>3160</v>
      </c>
      <c r="V1389" s="345">
        <v>1200</v>
      </c>
      <c r="W1389" s="345">
        <v>14050</v>
      </c>
      <c r="X1389" s="349">
        <v>3716.2</v>
      </c>
      <c r="Y1389" s="345">
        <v>14056</v>
      </c>
      <c r="Z1389" s="349">
        <v>3716.2</v>
      </c>
      <c r="AA1389" s="349">
        <f t="shared" si="106"/>
        <v>0</v>
      </c>
      <c r="AB1389" s="349">
        <v>0</v>
      </c>
      <c r="AC1389" s="345">
        <v>54260</v>
      </c>
      <c r="AD1389" s="349">
        <v>0</v>
      </c>
      <c r="AE1389" s="345" t="s">
        <v>944</v>
      </c>
      <c r="AF1389" s="347"/>
      <c r="AG1389" s="347"/>
      <c r="AH1389" s="347" t="s">
        <v>57</v>
      </c>
      <c r="AI1389" s="347" t="s">
        <v>4442</v>
      </c>
      <c r="AJ1389" s="347" t="s">
        <v>4443</v>
      </c>
      <c r="AK1389" s="347" t="s">
        <v>4437</v>
      </c>
      <c r="AL1389" s="387">
        <v>45574</v>
      </c>
    </row>
    <row r="1390" spans="2:38" ht="15.75" outlineLevel="1">
      <c r="B1390" s="345">
        <v>2111</v>
      </c>
      <c r="C1390" s="346">
        <v>75230</v>
      </c>
      <c r="D1390" s="345" t="s">
        <v>944</v>
      </c>
      <c r="E1390" s="347" t="s">
        <v>4240</v>
      </c>
      <c r="F1390" s="343" t="s">
        <v>2352</v>
      </c>
      <c r="I1390" s="345">
        <v>3</v>
      </c>
      <c r="J1390" s="347"/>
      <c r="K1390" s="345">
        <v>0</v>
      </c>
      <c r="L1390" s="347" t="s">
        <v>2257</v>
      </c>
      <c r="M1390" s="347"/>
      <c r="N1390" s="347" t="s">
        <v>4446</v>
      </c>
      <c r="O1390" s="347" t="s">
        <v>4441</v>
      </c>
      <c r="P1390" s="347"/>
      <c r="Q1390" s="347" t="s">
        <v>4461</v>
      </c>
      <c r="R1390" s="347" t="s">
        <v>4450</v>
      </c>
      <c r="S1390" s="348">
        <v>40350</v>
      </c>
      <c r="T1390" s="348">
        <v>40350</v>
      </c>
      <c r="U1390" s="347" t="s">
        <v>3160</v>
      </c>
      <c r="V1390" s="345">
        <v>1200</v>
      </c>
      <c r="W1390" s="345">
        <v>14050</v>
      </c>
      <c r="X1390" s="349">
        <v>1393.58</v>
      </c>
      <c r="Y1390" s="345">
        <v>14056</v>
      </c>
      <c r="Z1390" s="349">
        <v>1393.58</v>
      </c>
      <c r="AA1390" s="349">
        <f t="shared" si="106"/>
        <v>0</v>
      </c>
      <c r="AB1390" s="349">
        <v>0</v>
      </c>
      <c r="AC1390" s="345">
        <v>54260</v>
      </c>
      <c r="AD1390" s="349">
        <v>0</v>
      </c>
      <c r="AE1390" s="345" t="s">
        <v>944</v>
      </c>
      <c r="AF1390" s="347"/>
      <c r="AG1390" s="347"/>
      <c r="AH1390" s="347" t="s">
        <v>57</v>
      </c>
      <c r="AI1390" s="347" t="s">
        <v>4442</v>
      </c>
      <c r="AJ1390" s="347" t="s">
        <v>4443</v>
      </c>
      <c r="AK1390" s="347" t="s">
        <v>4437</v>
      </c>
      <c r="AL1390" s="387">
        <v>45574</v>
      </c>
    </row>
    <row r="1391" spans="2:38" ht="15.75" outlineLevel="1">
      <c r="B1391" s="345">
        <v>2111</v>
      </c>
      <c r="C1391" s="346">
        <v>75220</v>
      </c>
      <c r="D1391" s="345" t="s">
        <v>944</v>
      </c>
      <c r="E1391" s="347" t="s">
        <v>4240</v>
      </c>
      <c r="F1391" s="343" t="s">
        <v>3190</v>
      </c>
      <c r="I1391" s="345">
        <v>486</v>
      </c>
      <c r="J1391" s="347"/>
      <c r="K1391" s="345">
        <v>0</v>
      </c>
      <c r="L1391" s="347" t="s">
        <v>2245</v>
      </c>
      <c r="M1391" s="347"/>
      <c r="N1391" s="347" t="s">
        <v>4446</v>
      </c>
      <c r="O1391" s="347" t="s">
        <v>4441</v>
      </c>
      <c r="P1391" s="347"/>
      <c r="Q1391" s="347"/>
      <c r="R1391" s="347"/>
      <c r="S1391" s="348">
        <v>40310</v>
      </c>
      <c r="T1391" s="348">
        <v>40310</v>
      </c>
      <c r="U1391" s="347" t="s">
        <v>3191</v>
      </c>
      <c r="V1391" s="345">
        <v>700</v>
      </c>
      <c r="W1391" s="345">
        <v>14050</v>
      </c>
      <c r="X1391" s="349">
        <v>25141.599999999999</v>
      </c>
      <c r="Y1391" s="345">
        <v>14056</v>
      </c>
      <c r="Z1391" s="349">
        <v>25141.599999999999</v>
      </c>
      <c r="AA1391" s="349">
        <f t="shared" si="106"/>
        <v>0</v>
      </c>
      <c r="AB1391" s="349">
        <v>0</v>
      </c>
      <c r="AC1391" s="345">
        <v>54260</v>
      </c>
      <c r="AD1391" s="349">
        <v>0</v>
      </c>
      <c r="AE1391" s="345" t="s">
        <v>944</v>
      </c>
      <c r="AF1391" s="347"/>
      <c r="AG1391" s="347"/>
      <c r="AH1391" s="347" t="s">
        <v>57</v>
      </c>
      <c r="AI1391" s="347" t="s">
        <v>4442</v>
      </c>
      <c r="AJ1391" s="347" t="s">
        <v>4443</v>
      </c>
      <c r="AK1391" s="347" t="s">
        <v>4437</v>
      </c>
      <c r="AL1391" s="387">
        <v>45574</v>
      </c>
    </row>
    <row r="1392" spans="2:38" ht="15.75" outlineLevel="1">
      <c r="B1392" s="345">
        <v>2111</v>
      </c>
      <c r="C1392" s="346">
        <v>75183</v>
      </c>
      <c r="D1392" s="345" t="s">
        <v>944</v>
      </c>
      <c r="E1392" s="347" t="s">
        <v>4240</v>
      </c>
      <c r="F1392" s="343" t="s">
        <v>697</v>
      </c>
      <c r="I1392" s="345">
        <v>4</v>
      </c>
      <c r="J1392" s="347"/>
      <c r="K1392" s="345">
        <v>0</v>
      </c>
      <c r="L1392" s="347" t="s">
        <v>2257</v>
      </c>
      <c r="M1392" s="347"/>
      <c r="N1392" s="347" t="s">
        <v>4446</v>
      </c>
      <c r="O1392" s="347" t="s">
        <v>4441</v>
      </c>
      <c r="P1392" s="347"/>
      <c r="Q1392" s="347" t="s">
        <v>4459</v>
      </c>
      <c r="R1392" s="347" t="s">
        <v>4450</v>
      </c>
      <c r="S1392" s="348">
        <v>40351</v>
      </c>
      <c r="T1392" s="348">
        <v>40351</v>
      </c>
      <c r="U1392" s="347" t="s">
        <v>3158</v>
      </c>
      <c r="V1392" s="345">
        <v>1200</v>
      </c>
      <c r="W1392" s="345">
        <v>14050</v>
      </c>
      <c r="X1392" s="349">
        <v>2032.98</v>
      </c>
      <c r="Y1392" s="345">
        <v>14056</v>
      </c>
      <c r="Z1392" s="349">
        <v>2032.98</v>
      </c>
      <c r="AA1392" s="349">
        <f t="shared" si="106"/>
        <v>0</v>
      </c>
      <c r="AB1392" s="349">
        <v>0</v>
      </c>
      <c r="AC1392" s="345">
        <v>54260</v>
      </c>
      <c r="AD1392" s="349">
        <v>0</v>
      </c>
      <c r="AE1392" s="345" t="s">
        <v>944</v>
      </c>
      <c r="AF1392" s="347"/>
      <c r="AG1392" s="347"/>
      <c r="AH1392" s="347" t="s">
        <v>57</v>
      </c>
      <c r="AI1392" s="347" t="s">
        <v>4442</v>
      </c>
      <c r="AJ1392" s="347" t="s">
        <v>4443</v>
      </c>
      <c r="AK1392" s="347" t="s">
        <v>4437</v>
      </c>
      <c r="AL1392" s="387">
        <v>45574</v>
      </c>
    </row>
    <row r="1393" spans="2:38" ht="15.75" outlineLevel="1">
      <c r="B1393" s="345">
        <v>2111</v>
      </c>
      <c r="C1393" s="346">
        <v>75182</v>
      </c>
      <c r="D1393" s="345" t="s">
        <v>944</v>
      </c>
      <c r="E1393" s="347" t="s">
        <v>4240</v>
      </c>
      <c r="F1393" s="343" t="s">
        <v>2352</v>
      </c>
      <c r="I1393" s="345">
        <v>2</v>
      </c>
      <c r="J1393" s="347"/>
      <c r="K1393" s="345">
        <v>0</v>
      </c>
      <c r="L1393" s="347" t="s">
        <v>2257</v>
      </c>
      <c r="M1393" s="347"/>
      <c r="N1393" s="347" t="s">
        <v>4446</v>
      </c>
      <c r="O1393" s="347" t="s">
        <v>4441</v>
      </c>
      <c r="P1393" s="347"/>
      <c r="Q1393" s="347" t="s">
        <v>4461</v>
      </c>
      <c r="R1393" s="347" t="s">
        <v>4450</v>
      </c>
      <c r="S1393" s="348">
        <v>40350</v>
      </c>
      <c r="T1393" s="348">
        <v>40350</v>
      </c>
      <c r="U1393" s="347" t="s">
        <v>3160</v>
      </c>
      <c r="V1393" s="345">
        <v>1200</v>
      </c>
      <c r="W1393" s="345">
        <v>14050</v>
      </c>
      <c r="X1393" s="349">
        <v>929.05</v>
      </c>
      <c r="Y1393" s="345">
        <v>14056</v>
      </c>
      <c r="Z1393" s="349">
        <v>929.05</v>
      </c>
      <c r="AA1393" s="349">
        <f t="shared" si="106"/>
        <v>0</v>
      </c>
      <c r="AB1393" s="349">
        <v>0</v>
      </c>
      <c r="AC1393" s="345">
        <v>54260</v>
      </c>
      <c r="AD1393" s="349">
        <v>0</v>
      </c>
      <c r="AE1393" s="345" t="s">
        <v>944</v>
      </c>
      <c r="AF1393" s="347"/>
      <c r="AG1393" s="347"/>
      <c r="AH1393" s="347" t="s">
        <v>57</v>
      </c>
      <c r="AI1393" s="347" t="s">
        <v>4442</v>
      </c>
      <c r="AJ1393" s="347" t="s">
        <v>4443</v>
      </c>
      <c r="AK1393" s="347" t="s">
        <v>4437</v>
      </c>
      <c r="AL1393" s="387">
        <v>45574</v>
      </c>
    </row>
    <row r="1394" spans="2:38" ht="15.75" outlineLevel="1">
      <c r="B1394" s="345">
        <v>2111</v>
      </c>
      <c r="C1394" s="346">
        <v>75181</v>
      </c>
      <c r="D1394" s="345" t="s">
        <v>944</v>
      </c>
      <c r="E1394" s="347" t="s">
        <v>4240</v>
      </c>
      <c r="F1394" s="343" t="s">
        <v>3193</v>
      </c>
      <c r="I1394" s="345">
        <v>1</v>
      </c>
      <c r="J1394" s="347"/>
      <c r="K1394" s="345">
        <v>0</v>
      </c>
      <c r="L1394" s="347" t="s">
        <v>2257</v>
      </c>
      <c r="M1394" s="347"/>
      <c r="N1394" s="347" t="s">
        <v>4446</v>
      </c>
      <c r="O1394" s="347" t="s">
        <v>4441</v>
      </c>
      <c r="P1394" s="347"/>
      <c r="Q1394" s="347" t="s">
        <v>4459</v>
      </c>
      <c r="R1394" s="347" t="s">
        <v>4450</v>
      </c>
      <c r="S1394" s="348">
        <v>40350</v>
      </c>
      <c r="T1394" s="348">
        <v>40350</v>
      </c>
      <c r="U1394" s="347" t="s">
        <v>3161</v>
      </c>
      <c r="V1394" s="345">
        <v>1200</v>
      </c>
      <c r="W1394" s="345">
        <v>14050</v>
      </c>
      <c r="X1394" s="349">
        <v>508.25</v>
      </c>
      <c r="Y1394" s="345">
        <v>14056</v>
      </c>
      <c r="Z1394" s="349">
        <v>508.25</v>
      </c>
      <c r="AA1394" s="349">
        <f t="shared" si="106"/>
        <v>0</v>
      </c>
      <c r="AB1394" s="349">
        <v>0</v>
      </c>
      <c r="AC1394" s="345">
        <v>54260</v>
      </c>
      <c r="AD1394" s="349">
        <v>0</v>
      </c>
      <c r="AE1394" s="345" t="s">
        <v>944</v>
      </c>
      <c r="AF1394" s="347"/>
      <c r="AG1394" s="347"/>
      <c r="AH1394" s="347" t="s">
        <v>57</v>
      </c>
      <c r="AI1394" s="347" t="s">
        <v>4442</v>
      </c>
      <c r="AJ1394" s="347" t="s">
        <v>4443</v>
      </c>
      <c r="AK1394" s="347" t="s">
        <v>4437</v>
      </c>
      <c r="AL1394" s="387">
        <v>45574</v>
      </c>
    </row>
    <row r="1395" spans="2:38" ht="15.75" outlineLevel="1">
      <c r="B1395" s="345">
        <v>2111</v>
      </c>
      <c r="C1395" s="346">
        <v>75180</v>
      </c>
      <c r="D1395" s="345" t="s">
        <v>944</v>
      </c>
      <c r="E1395" s="347" t="s">
        <v>4240</v>
      </c>
      <c r="F1395" s="343" t="s">
        <v>697</v>
      </c>
      <c r="I1395" s="345">
        <v>13</v>
      </c>
      <c r="J1395" s="347"/>
      <c r="K1395" s="345">
        <v>0</v>
      </c>
      <c r="L1395" s="347" t="s">
        <v>2257</v>
      </c>
      <c r="M1395" s="347"/>
      <c r="N1395" s="347" t="s">
        <v>4446</v>
      </c>
      <c r="O1395" s="347" t="s">
        <v>4441</v>
      </c>
      <c r="P1395" s="347"/>
      <c r="Q1395" s="347" t="s">
        <v>4459</v>
      </c>
      <c r="R1395" s="347" t="s">
        <v>4450</v>
      </c>
      <c r="S1395" s="348">
        <v>40350</v>
      </c>
      <c r="T1395" s="348">
        <v>40350</v>
      </c>
      <c r="U1395" s="347" t="s">
        <v>3161</v>
      </c>
      <c r="V1395" s="345">
        <v>1200</v>
      </c>
      <c r="W1395" s="345">
        <v>14050</v>
      </c>
      <c r="X1395" s="349">
        <v>6607.18</v>
      </c>
      <c r="Y1395" s="345">
        <v>14056</v>
      </c>
      <c r="Z1395" s="349">
        <v>6607.18</v>
      </c>
      <c r="AA1395" s="349">
        <f t="shared" si="106"/>
        <v>0</v>
      </c>
      <c r="AB1395" s="349">
        <v>0</v>
      </c>
      <c r="AC1395" s="345">
        <v>54260</v>
      </c>
      <c r="AD1395" s="349">
        <v>0</v>
      </c>
      <c r="AE1395" s="345" t="s">
        <v>944</v>
      </c>
      <c r="AF1395" s="347"/>
      <c r="AG1395" s="347"/>
      <c r="AH1395" s="347" t="s">
        <v>57</v>
      </c>
      <c r="AI1395" s="347" t="s">
        <v>4442</v>
      </c>
      <c r="AJ1395" s="347" t="s">
        <v>4443</v>
      </c>
      <c r="AK1395" s="347" t="s">
        <v>4437</v>
      </c>
      <c r="AL1395" s="387">
        <v>45574</v>
      </c>
    </row>
    <row r="1396" spans="2:38" ht="15.75" outlineLevel="1">
      <c r="B1396" s="345">
        <v>2111</v>
      </c>
      <c r="C1396" s="346">
        <v>75142</v>
      </c>
      <c r="D1396" s="345" t="s">
        <v>944</v>
      </c>
      <c r="E1396" s="347" t="s">
        <v>4240</v>
      </c>
      <c r="F1396" s="343" t="s">
        <v>3194</v>
      </c>
      <c r="I1396" s="345">
        <v>1</v>
      </c>
      <c r="J1396" s="347" t="s">
        <v>3195</v>
      </c>
      <c r="K1396" s="345">
        <v>2007</v>
      </c>
      <c r="L1396" s="347" t="s">
        <v>3196</v>
      </c>
      <c r="M1396" s="347" t="s">
        <v>2214</v>
      </c>
      <c r="N1396" s="347" t="s">
        <v>4445</v>
      </c>
      <c r="O1396" s="347" t="s">
        <v>4441</v>
      </c>
      <c r="P1396" s="347" t="s">
        <v>4478</v>
      </c>
      <c r="Q1396" s="347"/>
      <c r="R1396" s="347"/>
      <c r="S1396" s="348">
        <v>40333</v>
      </c>
      <c r="T1396" s="348">
        <v>40333</v>
      </c>
      <c r="U1396" s="347" t="s">
        <v>3197</v>
      </c>
      <c r="V1396" s="345">
        <v>300</v>
      </c>
      <c r="W1396" s="345">
        <v>14040</v>
      </c>
      <c r="X1396" s="349">
        <v>25131.7</v>
      </c>
      <c r="Y1396" s="345">
        <v>14046</v>
      </c>
      <c r="Z1396" s="349">
        <v>25131.7</v>
      </c>
      <c r="AA1396" s="349">
        <f t="shared" si="106"/>
        <v>0</v>
      </c>
      <c r="AB1396" s="349">
        <v>0</v>
      </c>
      <c r="AC1396" s="345">
        <v>51260</v>
      </c>
      <c r="AD1396" s="349">
        <v>0</v>
      </c>
      <c r="AE1396" s="345" t="s">
        <v>944</v>
      </c>
      <c r="AF1396" s="347"/>
      <c r="AG1396" s="347">
        <v>3</v>
      </c>
      <c r="AH1396" s="347" t="s">
        <v>57</v>
      </c>
      <c r="AI1396" s="347" t="s">
        <v>4442</v>
      </c>
      <c r="AJ1396" s="347" t="s">
        <v>4443</v>
      </c>
      <c r="AK1396" s="347" t="s">
        <v>4437</v>
      </c>
      <c r="AL1396" s="387">
        <v>45574</v>
      </c>
    </row>
    <row r="1397" spans="2:38" ht="15.75" outlineLevel="1">
      <c r="B1397" s="345">
        <v>2111</v>
      </c>
      <c r="C1397" s="346">
        <v>74450</v>
      </c>
      <c r="D1397" s="345" t="s">
        <v>944</v>
      </c>
      <c r="E1397" s="347" t="s">
        <v>4240</v>
      </c>
      <c r="F1397" s="343" t="s">
        <v>3199</v>
      </c>
      <c r="I1397" s="345">
        <v>1</v>
      </c>
      <c r="J1397" s="347"/>
      <c r="K1397" s="345">
        <v>0</v>
      </c>
      <c r="L1397" s="347" t="s">
        <v>1657</v>
      </c>
      <c r="M1397" s="347"/>
      <c r="N1397" s="347" t="s">
        <v>4440</v>
      </c>
      <c r="O1397" s="347" t="s">
        <v>4441</v>
      </c>
      <c r="P1397" s="347"/>
      <c r="Q1397" s="347"/>
      <c r="R1397" s="347"/>
      <c r="S1397" s="348">
        <v>40308</v>
      </c>
      <c r="T1397" s="348">
        <v>40308</v>
      </c>
      <c r="U1397" s="347" t="s">
        <v>3200</v>
      </c>
      <c r="V1397" s="345">
        <v>300</v>
      </c>
      <c r="W1397" s="345">
        <v>14110</v>
      </c>
      <c r="X1397" s="349">
        <v>1573.39</v>
      </c>
      <c r="Y1397" s="345">
        <v>14116</v>
      </c>
      <c r="Z1397" s="349">
        <v>1573.39</v>
      </c>
      <c r="AA1397" s="349">
        <f t="shared" si="106"/>
        <v>0</v>
      </c>
      <c r="AB1397" s="349">
        <v>0</v>
      </c>
      <c r="AC1397" s="345">
        <v>70260</v>
      </c>
      <c r="AD1397" s="349">
        <v>0</v>
      </c>
      <c r="AE1397" s="345" t="s">
        <v>944</v>
      </c>
      <c r="AF1397" s="347"/>
      <c r="AG1397" s="347"/>
      <c r="AH1397" s="347" t="s">
        <v>57</v>
      </c>
      <c r="AI1397" s="347" t="s">
        <v>4442</v>
      </c>
      <c r="AJ1397" s="347" t="s">
        <v>4443</v>
      </c>
      <c r="AK1397" s="347" t="s">
        <v>4437</v>
      </c>
      <c r="AL1397" s="387">
        <v>45574</v>
      </c>
    </row>
    <row r="1398" spans="2:38" ht="15.75" outlineLevel="1">
      <c r="B1398" s="345">
        <v>2111</v>
      </c>
      <c r="C1398" s="346">
        <v>74443</v>
      </c>
      <c r="D1398" s="345">
        <v>73368</v>
      </c>
      <c r="E1398" s="347" t="s">
        <v>4240</v>
      </c>
      <c r="F1398" s="343" t="s">
        <v>3202</v>
      </c>
      <c r="I1398" s="345">
        <v>1</v>
      </c>
      <c r="J1398" s="347"/>
      <c r="K1398" s="345">
        <v>0</v>
      </c>
      <c r="L1398" s="347" t="s">
        <v>3176</v>
      </c>
      <c r="M1398" s="347"/>
      <c r="N1398" s="347" t="s">
        <v>4453</v>
      </c>
      <c r="O1398" s="347" t="s">
        <v>4441</v>
      </c>
      <c r="P1398" s="347"/>
      <c r="Q1398" s="347"/>
      <c r="R1398" s="347"/>
      <c r="S1398" s="348">
        <v>40283</v>
      </c>
      <c r="T1398" s="348">
        <v>40283</v>
      </c>
      <c r="U1398" s="347" t="s">
        <v>3177</v>
      </c>
      <c r="V1398" s="345">
        <v>500</v>
      </c>
      <c r="W1398" s="345">
        <v>14100</v>
      </c>
      <c r="X1398" s="349">
        <v>21294.240000000002</v>
      </c>
      <c r="Y1398" s="345">
        <v>14106</v>
      </c>
      <c r="Z1398" s="349">
        <v>21294.240000000002</v>
      </c>
      <c r="AA1398" s="349">
        <f t="shared" si="106"/>
        <v>0</v>
      </c>
      <c r="AB1398" s="349">
        <v>0</v>
      </c>
      <c r="AC1398" s="345">
        <v>70260</v>
      </c>
      <c r="AD1398" s="349">
        <v>0</v>
      </c>
      <c r="AE1398" s="345" t="s">
        <v>944</v>
      </c>
      <c r="AF1398" s="347"/>
      <c r="AG1398" s="347"/>
      <c r="AH1398" s="347" t="s">
        <v>57</v>
      </c>
      <c r="AI1398" s="347" t="s">
        <v>4442</v>
      </c>
      <c r="AJ1398" s="347" t="s">
        <v>4443</v>
      </c>
      <c r="AK1398" s="347" t="s">
        <v>4437</v>
      </c>
      <c r="AL1398" s="387">
        <v>45574</v>
      </c>
    </row>
    <row r="1399" spans="2:38" ht="15.75" outlineLevel="1">
      <c r="B1399" s="345">
        <v>2111</v>
      </c>
      <c r="C1399" s="346">
        <v>74026</v>
      </c>
      <c r="D1399" s="345" t="s">
        <v>944</v>
      </c>
      <c r="E1399" s="347" t="s">
        <v>4240</v>
      </c>
      <c r="F1399" s="343" t="s">
        <v>3204</v>
      </c>
      <c r="I1399" s="345">
        <v>1</v>
      </c>
      <c r="J1399" s="347"/>
      <c r="K1399" s="345">
        <v>0</v>
      </c>
      <c r="L1399" s="347" t="s">
        <v>3205</v>
      </c>
      <c r="M1399" s="347"/>
      <c r="N1399" s="347" t="s">
        <v>4451</v>
      </c>
      <c r="O1399" s="347" t="s">
        <v>4441</v>
      </c>
      <c r="P1399" s="347"/>
      <c r="Q1399" s="347"/>
      <c r="R1399" s="347"/>
      <c r="S1399" s="348">
        <v>40296</v>
      </c>
      <c r="T1399" s="348">
        <v>40296</v>
      </c>
      <c r="U1399" s="347" t="s">
        <v>3206</v>
      </c>
      <c r="V1399" s="345">
        <v>500</v>
      </c>
      <c r="W1399" s="345">
        <v>14070</v>
      </c>
      <c r="X1399" s="349">
        <v>5464.99</v>
      </c>
      <c r="Y1399" s="345">
        <v>14076</v>
      </c>
      <c r="Z1399" s="349">
        <v>5464.99</v>
      </c>
      <c r="AA1399" s="349">
        <f t="shared" si="106"/>
        <v>0</v>
      </c>
      <c r="AB1399" s="349">
        <v>0</v>
      </c>
      <c r="AC1399" s="345">
        <v>51260</v>
      </c>
      <c r="AD1399" s="349">
        <v>0</v>
      </c>
      <c r="AE1399" s="345" t="s">
        <v>944</v>
      </c>
      <c r="AF1399" s="347"/>
      <c r="AG1399" s="347"/>
      <c r="AH1399" s="347" t="s">
        <v>57</v>
      </c>
      <c r="AI1399" s="347" t="s">
        <v>4442</v>
      </c>
      <c r="AJ1399" s="347" t="s">
        <v>4443</v>
      </c>
      <c r="AK1399" s="347" t="s">
        <v>4437</v>
      </c>
      <c r="AL1399" s="387">
        <v>45574</v>
      </c>
    </row>
    <row r="1400" spans="2:38" ht="15.75" outlineLevel="1">
      <c r="B1400" s="345">
        <v>2111</v>
      </c>
      <c r="C1400" s="346">
        <v>73855</v>
      </c>
      <c r="D1400" s="345">
        <v>73757</v>
      </c>
      <c r="E1400" s="347" t="s">
        <v>4240</v>
      </c>
      <c r="F1400" s="343" t="s">
        <v>3207</v>
      </c>
      <c r="I1400" s="345">
        <v>1</v>
      </c>
      <c r="J1400" s="347"/>
      <c r="K1400" s="345">
        <v>0</v>
      </c>
      <c r="L1400" s="347" t="s">
        <v>2875</v>
      </c>
      <c r="M1400" s="347"/>
      <c r="N1400" s="347" t="s">
        <v>4440</v>
      </c>
      <c r="O1400" s="347" t="s">
        <v>4441</v>
      </c>
      <c r="P1400" s="347"/>
      <c r="Q1400" s="347"/>
      <c r="R1400" s="347"/>
      <c r="S1400" s="348">
        <v>40269</v>
      </c>
      <c r="T1400" s="348">
        <v>40269</v>
      </c>
      <c r="U1400" s="347" t="s">
        <v>3208</v>
      </c>
      <c r="V1400" s="345">
        <v>300</v>
      </c>
      <c r="W1400" s="345">
        <v>14110</v>
      </c>
      <c r="X1400" s="349">
        <v>81.38</v>
      </c>
      <c r="Y1400" s="345">
        <v>14116</v>
      </c>
      <c r="Z1400" s="349">
        <v>81.38</v>
      </c>
      <c r="AA1400" s="349">
        <f t="shared" si="106"/>
        <v>0</v>
      </c>
      <c r="AB1400" s="349">
        <v>0</v>
      </c>
      <c r="AC1400" s="345">
        <v>70260</v>
      </c>
      <c r="AD1400" s="349">
        <v>0</v>
      </c>
      <c r="AE1400" s="345" t="s">
        <v>944</v>
      </c>
      <c r="AF1400" s="347"/>
      <c r="AG1400" s="347"/>
      <c r="AH1400" s="347" t="s">
        <v>57</v>
      </c>
      <c r="AI1400" s="347" t="s">
        <v>4442</v>
      </c>
      <c r="AJ1400" s="347" t="s">
        <v>4443</v>
      </c>
      <c r="AK1400" s="347" t="s">
        <v>4437</v>
      </c>
      <c r="AL1400" s="387">
        <v>45574</v>
      </c>
    </row>
    <row r="1401" spans="2:38" ht="15.75" outlineLevel="1">
      <c r="B1401" s="345">
        <v>2111</v>
      </c>
      <c r="C1401" s="346">
        <v>73851</v>
      </c>
      <c r="D1401" s="345">
        <v>73368</v>
      </c>
      <c r="E1401" s="347" t="s">
        <v>4240</v>
      </c>
      <c r="F1401" s="343" t="s">
        <v>3209</v>
      </c>
      <c r="I1401" s="345">
        <v>1</v>
      </c>
      <c r="J1401" s="347"/>
      <c r="K1401" s="345">
        <v>0</v>
      </c>
      <c r="L1401" s="347" t="s">
        <v>3176</v>
      </c>
      <c r="M1401" s="347"/>
      <c r="N1401" s="347" t="s">
        <v>4453</v>
      </c>
      <c r="O1401" s="347" t="s">
        <v>4441</v>
      </c>
      <c r="P1401" s="347"/>
      <c r="Q1401" s="347"/>
      <c r="R1401" s="347"/>
      <c r="S1401" s="348">
        <v>40283</v>
      </c>
      <c r="T1401" s="348">
        <v>40283</v>
      </c>
      <c r="U1401" s="347" t="s">
        <v>3177</v>
      </c>
      <c r="V1401" s="345">
        <v>500</v>
      </c>
      <c r="W1401" s="345">
        <v>14100</v>
      </c>
      <c r="X1401" s="349">
        <v>30050.55</v>
      </c>
      <c r="Y1401" s="345">
        <v>14106</v>
      </c>
      <c r="Z1401" s="349">
        <v>30050.55</v>
      </c>
      <c r="AA1401" s="349">
        <f t="shared" si="106"/>
        <v>0</v>
      </c>
      <c r="AB1401" s="349">
        <v>0</v>
      </c>
      <c r="AC1401" s="345">
        <v>70260</v>
      </c>
      <c r="AD1401" s="349">
        <v>0</v>
      </c>
      <c r="AE1401" s="345" t="s">
        <v>944</v>
      </c>
      <c r="AF1401" s="347"/>
      <c r="AG1401" s="347"/>
      <c r="AH1401" s="347" t="s">
        <v>57</v>
      </c>
      <c r="AI1401" s="347" t="s">
        <v>4442</v>
      </c>
      <c r="AJ1401" s="347" t="s">
        <v>4443</v>
      </c>
      <c r="AK1401" s="347" t="s">
        <v>4437</v>
      </c>
      <c r="AL1401" s="387">
        <v>45574</v>
      </c>
    </row>
    <row r="1402" spans="2:38" ht="15.75" outlineLevel="1">
      <c r="B1402" s="345">
        <v>2111</v>
      </c>
      <c r="C1402" s="346">
        <v>73757</v>
      </c>
      <c r="D1402" s="345" t="s">
        <v>944</v>
      </c>
      <c r="E1402" s="347" t="s">
        <v>4240</v>
      </c>
      <c r="F1402" s="343" t="s">
        <v>3211</v>
      </c>
      <c r="I1402" s="345">
        <v>1</v>
      </c>
      <c r="J1402" s="347"/>
      <c r="K1402" s="345">
        <v>0</v>
      </c>
      <c r="L1402" s="347" t="s">
        <v>2347</v>
      </c>
      <c r="M1402" s="347"/>
      <c r="N1402" s="347" t="s">
        <v>4440</v>
      </c>
      <c r="O1402" s="347" t="s">
        <v>4441</v>
      </c>
      <c r="P1402" s="347"/>
      <c r="Q1402" s="347"/>
      <c r="R1402" s="347"/>
      <c r="S1402" s="348">
        <v>40269</v>
      </c>
      <c r="T1402" s="348">
        <v>40269</v>
      </c>
      <c r="U1402" s="347" t="s">
        <v>3208</v>
      </c>
      <c r="V1402" s="345">
        <v>300</v>
      </c>
      <c r="W1402" s="345">
        <v>14110</v>
      </c>
      <c r="X1402" s="349">
        <v>875</v>
      </c>
      <c r="Y1402" s="345">
        <v>14116</v>
      </c>
      <c r="Z1402" s="349">
        <v>875</v>
      </c>
      <c r="AA1402" s="349">
        <f t="shared" si="106"/>
        <v>0</v>
      </c>
      <c r="AB1402" s="349">
        <v>0</v>
      </c>
      <c r="AC1402" s="345">
        <v>70260</v>
      </c>
      <c r="AD1402" s="349">
        <v>0</v>
      </c>
      <c r="AE1402" s="345" t="s">
        <v>944</v>
      </c>
      <c r="AF1402" s="347"/>
      <c r="AG1402" s="347"/>
      <c r="AH1402" s="347" t="s">
        <v>57</v>
      </c>
      <c r="AI1402" s="347" t="s">
        <v>4442</v>
      </c>
      <c r="AJ1402" s="347" t="s">
        <v>4443</v>
      </c>
      <c r="AK1402" s="347" t="s">
        <v>4437</v>
      </c>
      <c r="AL1402" s="387">
        <v>45574</v>
      </c>
    </row>
    <row r="1403" spans="2:38" ht="15.75" outlineLevel="1">
      <c r="B1403" s="345">
        <v>2111</v>
      </c>
      <c r="C1403" s="346">
        <v>73638</v>
      </c>
      <c r="D1403" s="345" t="s">
        <v>944</v>
      </c>
      <c r="E1403" s="347" t="s">
        <v>4240</v>
      </c>
      <c r="F1403" s="343" t="s">
        <v>3212</v>
      </c>
      <c r="I1403" s="345">
        <v>1</v>
      </c>
      <c r="J1403" s="347" t="s">
        <v>3213</v>
      </c>
      <c r="K1403" s="345">
        <v>2010</v>
      </c>
      <c r="L1403" s="347" t="s">
        <v>3214</v>
      </c>
      <c r="M1403" s="347" t="s">
        <v>3215</v>
      </c>
      <c r="N1403" s="347" t="s">
        <v>4445</v>
      </c>
      <c r="O1403" s="347" t="s">
        <v>4441</v>
      </c>
      <c r="P1403" s="347" t="s">
        <v>2039</v>
      </c>
      <c r="Q1403" s="347"/>
      <c r="R1403" s="347"/>
      <c r="S1403" s="348">
        <v>40284</v>
      </c>
      <c r="T1403" s="348">
        <v>40284</v>
      </c>
      <c r="U1403" s="347" t="s">
        <v>3216</v>
      </c>
      <c r="V1403" s="345">
        <v>500</v>
      </c>
      <c r="W1403" s="345">
        <v>14040</v>
      </c>
      <c r="X1403" s="349">
        <v>35496</v>
      </c>
      <c r="Y1403" s="345">
        <v>14046</v>
      </c>
      <c r="Z1403" s="349">
        <v>35496</v>
      </c>
      <c r="AA1403" s="349">
        <f t="shared" si="106"/>
        <v>0</v>
      </c>
      <c r="AB1403" s="349">
        <v>0</v>
      </c>
      <c r="AC1403" s="345">
        <v>51260</v>
      </c>
      <c r="AD1403" s="349">
        <v>0</v>
      </c>
      <c r="AE1403" s="345" t="s">
        <v>944</v>
      </c>
      <c r="AF1403" s="347">
        <v>0</v>
      </c>
      <c r="AG1403" s="347" t="s">
        <v>3218</v>
      </c>
      <c r="AH1403" s="347" t="s">
        <v>57</v>
      </c>
      <c r="AI1403" s="347" t="s">
        <v>4442</v>
      </c>
      <c r="AJ1403" s="347" t="s">
        <v>4443</v>
      </c>
      <c r="AK1403" s="347" t="s">
        <v>4437</v>
      </c>
      <c r="AL1403" s="387">
        <v>45574</v>
      </c>
    </row>
    <row r="1404" spans="2:38" ht="15.75" outlineLevel="1">
      <c r="B1404" s="345">
        <v>2111</v>
      </c>
      <c r="C1404" s="346">
        <v>73490</v>
      </c>
      <c r="D1404" s="345" t="s">
        <v>944</v>
      </c>
      <c r="E1404" s="347" t="s">
        <v>4240</v>
      </c>
      <c r="F1404" s="343" t="s">
        <v>3219</v>
      </c>
      <c r="I1404" s="345">
        <v>5</v>
      </c>
      <c r="J1404" s="347"/>
      <c r="K1404" s="345">
        <v>0</v>
      </c>
      <c r="L1404" s="347" t="s">
        <v>2125</v>
      </c>
      <c r="M1404" s="347"/>
      <c r="N1404" s="347" t="s">
        <v>4446</v>
      </c>
      <c r="O1404" s="347" t="s">
        <v>4441</v>
      </c>
      <c r="P1404" s="347"/>
      <c r="Q1404" s="347" t="s">
        <v>4464</v>
      </c>
      <c r="R1404" s="347" t="s">
        <v>4450</v>
      </c>
      <c r="S1404" s="348">
        <v>37455</v>
      </c>
      <c r="T1404" s="348">
        <v>37455</v>
      </c>
      <c r="U1404" s="347" t="s">
        <v>3220</v>
      </c>
      <c r="V1404" s="345">
        <v>1200</v>
      </c>
      <c r="W1404" s="345">
        <v>14050</v>
      </c>
      <c r="X1404" s="349">
        <v>16250</v>
      </c>
      <c r="Y1404" s="345">
        <v>14056</v>
      </c>
      <c r="Z1404" s="349">
        <v>16250</v>
      </c>
      <c r="AA1404" s="349">
        <f t="shared" si="106"/>
        <v>0</v>
      </c>
      <c r="AB1404" s="349">
        <v>0</v>
      </c>
      <c r="AC1404" s="345">
        <v>54260</v>
      </c>
      <c r="AD1404" s="349">
        <v>0</v>
      </c>
      <c r="AE1404" s="345" t="s">
        <v>944</v>
      </c>
      <c r="AF1404" s="347"/>
      <c r="AG1404" s="347"/>
      <c r="AH1404" s="347" t="s">
        <v>57</v>
      </c>
      <c r="AI1404" s="347" t="s">
        <v>4442</v>
      </c>
      <c r="AJ1404" s="347" t="s">
        <v>4443</v>
      </c>
      <c r="AK1404" s="347" t="s">
        <v>4437</v>
      </c>
      <c r="AL1404" s="387">
        <v>45574</v>
      </c>
    </row>
    <row r="1405" spans="2:38" ht="15.75" outlineLevel="1">
      <c r="B1405" s="345">
        <v>2111</v>
      </c>
      <c r="C1405" s="346">
        <v>73470</v>
      </c>
      <c r="D1405" s="345" t="s">
        <v>944</v>
      </c>
      <c r="E1405" s="347" t="s">
        <v>4240</v>
      </c>
      <c r="F1405" s="343" t="s">
        <v>3224</v>
      </c>
      <c r="I1405" s="345">
        <v>10</v>
      </c>
      <c r="J1405" s="347"/>
      <c r="K1405" s="345">
        <v>0</v>
      </c>
      <c r="L1405" s="347"/>
      <c r="M1405" s="347"/>
      <c r="N1405" s="347" t="s">
        <v>4446</v>
      </c>
      <c r="O1405" s="347" t="s">
        <v>4441</v>
      </c>
      <c r="P1405" s="347"/>
      <c r="Q1405" s="347" t="s">
        <v>4447</v>
      </c>
      <c r="R1405" s="347" t="s">
        <v>4448</v>
      </c>
      <c r="S1405" s="348">
        <v>35765</v>
      </c>
      <c r="T1405" s="348">
        <v>35765</v>
      </c>
      <c r="U1405" s="347"/>
      <c r="V1405" s="345">
        <v>600</v>
      </c>
      <c r="W1405" s="345">
        <v>14050</v>
      </c>
      <c r="X1405" s="349">
        <v>66000</v>
      </c>
      <c r="Y1405" s="345">
        <v>14056</v>
      </c>
      <c r="Z1405" s="349">
        <v>66000</v>
      </c>
      <c r="AA1405" s="349">
        <f t="shared" si="106"/>
        <v>0</v>
      </c>
      <c r="AB1405" s="349">
        <v>0</v>
      </c>
      <c r="AC1405" s="345">
        <v>54260</v>
      </c>
      <c r="AD1405" s="349">
        <v>0</v>
      </c>
      <c r="AE1405" s="345" t="s">
        <v>410</v>
      </c>
      <c r="AF1405" s="347" t="s">
        <v>3225</v>
      </c>
      <c r="AG1405" s="347" t="s">
        <v>2206</v>
      </c>
      <c r="AH1405" s="347" t="s">
        <v>57</v>
      </c>
      <c r="AI1405" s="347" t="s">
        <v>4442</v>
      </c>
      <c r="AJ1405" s="347" t="s">
        <v>4443</v>
      </c>
      <c r="AK1405" s="347" t="s">
        <v>4437</v>
      </c>
      <c r="AL1405" s="387">
        <v>45574</v>
      </c>
    </row>
    <row r="1406" spans="2:38" ht="15.75" outlineLevel="1">
      <c r="B1406" s="345">
        <v>2111</v>
      </c>
      <c r="C1406" s="346">
        <v>73368</v>
      </c>
      <c r="D1406" s="345" t="s">
        <v>944</v>
      </c>
      <c r="E1406" s="347" t="s">
        <v>4240</v>
      </c>
      <c r="F1406" s="343" t="s">
        <v>3226</v>
      </c>
      <c r="I1406" s="345">
        <v>1</v>
      </c>
      <c r="J1406" s="347"/>
      <c r="K1406" s="345">
        <v>0</v>
      </c>
      <c r="L1406" s="347" t="s">
        <v>3176</v>
      </c>
      <c r="M1406" s="347"/>
      <c r="N1406" s="347" t="s">
        <v>4453</v>
      </c>
      <c r="O1406" s="347" t="s">
        <v>4441</v>
      </c>
      <c r="P1406" s="347"/>
      <c r="Q1406" s="347"/>
      <c r="R1406" s="347"/>
      <c r="S1406" s="348">
        <v>40283</v>
      </c>
      <c r="T1406" s="348">
        <v>40283</v>
      </c>
      <c r="U1406" s="347" t="s">
        <v>3177</v>
      </c>
      <c r="V1406" s="345">
        <v>500</v>
      </c>
      <c r="W1406" s="345">
        <v>14100</v>
      </c>
      <c r="X1406" s="349">
        <v>18781.59</v>
      </c>
      <c r="Y1406" s="345">
        <v>14106</v>
      </c>
      <c r="Z1406" s="349">
        <v>18781.59</v>
      </c>
      <c r="AA1406" s="349">
        <f t="shared" si="106"/>
        <v>0</v>
      </c>
      <c r="AB1406" s="349">
        <v>0</v>
      </c>
      <c r="AC1406" s="345">
        <v>70260</v>
      </c>
      <c r="AD1406" s="349">
        <v>0</v>
      </c>
      <c r="AE1406" s="345" t="s">
        <v>944</v>
      </c>
      <c r="AF1406" s="347"/>
      <c r="AG1406" s="347"/>
      <c r="AH1406" s="347" t="s">
        <v>57</v>
      </c>
      <c r="AI1406" s="347" t="s">
        <v>4442</v>
      </c>
      <c r="AJ1406" s="347" t="s">
        <v>4443</v>
      </c>
      <c r="AK1406" s="347" t="s">
        <v>4437</v>
      </c>
      <c r="AL1406" s="387">
        <v>45574</v>
      </c>
    </row>
    <row r="1407" spans="2:38" ht="15.75" outlineLevel="1">
      <c r="B1407" s="345">
        <v>2111</v>
      </c>
      <c r="C1407" s="346">
        <v>73244</v>
      </c>
      <c r="D1407" s="345">
        <v>73243</v>
      </c>
      <c r="E1407" s="347" t="s">
        <v>4240</v>
      </c>
      <c r="F1407" s="343" t="s">
        <v>3228</v>
      </c>
      <c r="I1407" s="345">
        <v>1</v>
      </c>
      <c r="J1407" s="347" t="s">
        <v>3229</v>
      </c>
      <c r="K1407" s="345">
        <v>2009</v>
      </c>
      <c r="L1407" s="347" t="s">
        <v>3230</v>
      </c>
      <c r="M1407" s="347" t="s">
        <v>2214</v>
      </c>
      <c r="N1407" s="347" t="s">
        <v>4445</v>
      </c>
      <c r="O1407" s="347" t="s">
        <v>4441</v>
      </c>
      <c r="P1407" s="347" t="s">
        <v>1467</v>
      </c>
      <c r="Q1407" s="347"/>
      <c r="R1407" s="347"/>
      <c r="S1407" s="348">
        <v>40266</v>
      </c>
      <c r="T1407" s="348">
        <v>40266</v>
      </c>
      <c r="U1407" s="347" t="s">
        <v>3231</v>
      </c>
      <c r="V1407" s="345">
        <v>900</v>
      </c>
      <c r="W1407" s="345">
        <v>14040</v>
      </c>
      <c r="X1407" s="349">
        <v>36333.870000000003</v>
      </c>
      <c r="Y1407" s="345">
        <v>14046</v>
      </c>
      <c r="Z1407" s="349">
        <v>36333.870000000003</v>
      </c>
      <c r="AA1407" s="349">
        <f t="shared" si="106"/>
        <v>0</v>
      </c>
      <c r="AB1407" s="349">
        <v>0</v>
      </c>
      <c r="AC1407" s="345">
        <v>51260</v>
      </c>
      <c r="AD1407" s="349">
        <v>0</v>
      </c>
      <c r="AE1407" s="345" t="s">
        <v>944</v>
      </c>
      <c r="AF1407" s="347"/>
      <c r="AG1407" s="347" t="s">
        <v>4489</v>
      </c>
      <c r="AH1407" s="347" t="s">
        <v>57</v>
      </c>
      <c r="AI1407" s="347" t="s">
        <v>4442</v>
      </c>
      <c r="AJ1407" s="347" t="s">
        <v>4443</v>
      </c>
      <c r="AK1407" s="347" t="s">
        <v>4437</v>
      </c>
      <c r="AL1407" s="387">
        <v>45574</v>
      </c>
    </row>
    <row r="1408" spans="2:38" ht="15.75" outlineLevel="1">
      <c r="B1408" s="345">
        <v>2111</v>
      </c>
      <c r="C1408" s="346">
        <v>73243</v>
      </c>
      <c r="D1408" s="345" t="s">
        <v>944</v>
      </c>
      <c r="E1408" s="347" t="s">
        <v>4240</v>
      </c>
      <c r="F1408" s="343" t="s">
        <v>3234</v>
      </c>
      <c r="I1408" s="345">
        <v>1</v>
      </c>
      <c r="J1408" s="347" t="s">
        <v>3229</v>
      </c>
      <c r="K1408" s="345">
        <v>2009</v>
      </c>
      <c r="L1408" s="347" t="s">
        <v>3235</v>
      </c>
      <c r="M1408" s="347" t="s">
        <v>1557</v>
      </c>
      <c r="N1408" s="347" t="s">
        <v>4445</v>
      </c>
      <c r="O1408" s="347" t="s">
        <v>4441</v>
      </c>
      <c r="P1408" s="347" t="s">
        <v>2868</v>
      </c>
      <c r="Q1408" s="347"/>
      <c r="R1408" s="347"/>
      <c r="S1408" s="348">
        <v>40266</v>
      </c>
      <c r="T1408" s="348">
        <v>40266</v>
      </c>
      <c r="U1408" s="347" t="s">
        <v>3231</v>
      </c>
      <c r="V1408" s="345">
        <v>900</v>
      </c>
      <c r="W1408" s="345">
        <v>14040</v>
      </c>
      <c r="X1408" s="349">
        <v>74310.77</v>
      </c>
      <c r="Y1408" s="345">
        <v>14046</v>
      </c>
      <c r="Z1408" s="349">
        <v>74310.77</v>
      </c>
      <c r="AA1408" s="349">
        <f t="shared" si="106"/>
        <v>0</v>
      </c>
      <c r="AB1408" s="349">
        <v>0</v>
      </c>
      <c r="AC1408" s="345">
        <v>51260</v>
      </c>
      <c r="AD1408" s="349">
        <v>0</v>
      </c>
      <c r="AE1408" s="345" t="s">
        <v>944</v>
      </c>
      <c r="AF1408" s="347">
        <v>0</v>
      </c>
      <c r="AG1408" s="347" t="s">
        <v>185</v>
      </c>
      <c r="AH1408" s="347" t="s">
        <v>57</v>
      </c>
      <c r="AI1408" s="347" t="s">
        <v>4442</v>
      </c>
      <c r="AJ1408" s="347" t="s">
        <v>4443</v>
      </c>
      <c r="AK1408" s="347" t="s">
        <v>4437</v>
      </c>
      <c r="AL1408" s="387">
        <v>45574</v>
      </c>
    </row>
    <row r="1409" spans="2:38" ht="15.75" outlineLevel="1">
      <c r="B1409" s="345">
        <v>2111</v>
      </c>
      <c r="C1409" s="346">
        <v>73005</v>
      </c>
      <c r="D1409" s="345" t="s">
        <v>944</v>
      </c>
      <c r="E1409" s="347" t="s">
        <v>4240</v>
      </c>
      <c r="F1409" s="343" t="s">
        <v>3236</v>
      </c>
      <c r="I1409" s="345">
        <v>40</v>
      </c>
      <c r="J1409" s="347"/>
      <c r="K1409" s="345">
        <v>0</v>
      </c>
      <c r="L1409" s="347" t="s">
        <v>2257</v>
      </c>
      <c r="M1409" s="347"/>
      <c r="N1409" s="347" t="s">
        <v>4446</v>
      </c>
      <c r="O1409" s="347" t="s">
        <v>4441</v>
      </c>
      <c r="P1409" s="347"/>
      <c r="Q1409" s="347" t="s">
        <v>4479</v>
      </c>
      <c r="R1409" s="347" t="s">
        <v>4450</v>
      </c>
      <c r="S1409" s="348">
        <v>40179</v>
      </c>
      <c r="T1409" s="348">
        <v>40179</v>
      </c>
      <c r="U1409" s="347" t="s">
        <v>3237</v>
      </c>
      <c r="V1409" s="345">
        <v>1200</v>
      </c>
      <c r="W1409" s="345">
        <v>14050</v>
      </c>
      <c r="X1409" s="349">
        <v>34626.239999999998</v>
      </c>
      <c r="Y1409" s="345">
        <v>14056</v>
      </c>
      <c r="Z1409" s="349">
        <v>34626.239999999998</v>
      </c>
      <c r="AA1409" s="349">
        <f t="shared" si="106"/>
        <v>0</v>
      </c>
      <c r="AB1409" s="349">
        <v>0</v>
      </c>
      <c r="AC1409" s="345">
        <v>54260</v>
      </c>
      <c r="AD1409" s="349">
        <v>0</v>
      </c>
      <c r="AE1409" s="345" t="s">
        <v>944</v>
      </c>
      <c r="AF1409" s="347"/>
      <c r="AG1409" s="347"/>
      <c r="AH1409" s="347" t="s">
        <v>57</v>
      </c>
      <c r="AI1409" s="347" t="s">
        <v>4442</v>
      </c>
      <c r="AJ1409" s="347" t="s">
        <v>4443</v>
      </c>
      <c r="AK1409" s="347" t="s">
        <v>4437</v>
      </c>
      <c r="AL1409" s="387">
        <v>45574</v>
      </c>
    </row>
    <row r="1410" spans="2:38" ht="15.75" outlineLevel="1">
      <c r="B1410" s="345">
        <v>2111</v>
      </c>
      <c r="C1410" s="346">
        <v>73004</v>
      </c>
      <c r="D1410" s="345" t="s">
        <v>944</v>
      </c>
      <c r="E1410" s="347" t="s">
        <v>4240</v>
      </c>
      <c r="F1410" s="343" t="s">
        <v>3238</v>
      </c>
      <c r="I1410" s="345">
        <v>40</v>
      </c>
      <c r="J1410" s="347"/>
      <c r="K1410" s="345">
        <v>0</v>
      </c>
      <c r="L1410" s="347" t="s">
        <v>2257</v>
      </c>
      <c r="M1410" s="347"/>
      <c r="N1410" s="347" t="s">
        <v>4446</v>
      </c>
      <c r="O1410" s="347" t="s">
        <v>4441</v>
      </c>
      <c r="P1410" s="347"/>
      <c r="Q1410" s="347" t="s">
        <v>4459</v>
      </c>
      <c r="R1410" s="347" t="s">
        <v>4450</v>
      </c>
      <c r="S1410" s="348">
        <v>40179</v>
      </c>
      <c r="T1410" s="348">
        <v>40179</v>
      </c>
      <c r="U1410" s="347" t="s">
        <v>3239</v>
      </c>
      <c r="V1410" s="345">
        <v>1200</v>
      </c>
      <c r="W1410" s="345">
        <v>14050</v>
      </c>
      <c r="X1410" s="349">
        <v>20723.28</v>
      </c>
      <c r="Y1410" s="345">
        <v>14056</v>
      </c>
      <c r="Z1410" s="349">
        <v>20723.28</v>
      </c>
      <c r="AA1410" s="349">
        <f t="shared" si="106"/>
        <v>0</v>
      </c>
      <c r="AB1410" s="349">
        <v>0</v>
      </c>
      <c r="AC1410" s="345">
        <v>54260</v>
      </c>
      <c r="AD1410" s="349">
        <v>0</v>
      </c>
      <c r="AE1410" s="345" t="s">
        <v>944</v>
      </c>
      <c r="AF1410" s="347"/>
      <c r="AG1410" s="347"/>
      <c r="AH1410" s="347" t="s">
        <v>57</v>
      </c>
      <c r="AI1410" s="347" t="s">
        <v>4442</v>
      </c>
      <c r="AJ1410" s="347" t="s">
        <v>4443</v>
      </c>
      <c r="AK1410" s="347" t="s">
        <v>4437</v>
      </c>
      <c r="AL1410" s="387">
        <v>45574</v>
      </c>
    </row>
    <row r="1411" spans="2:38" ht="15.75" outlineLevel="1">
      <c r="B1411" s="345">
        <v>2111</v>
      </c>
      <c r="C1411" s="346">
        <v>70873</v>
      </c>
      <c r="D1411" s="345" t="s">
        <v>944</v>
      </c>
      <c r="E1411" s="347" t="s">
        <v>4240</v>
      </c>
      <c r="F1411" s="343" t="s">
        <v>3240</v>
      </c>
      <c r="I1411" s="345">
        <v>624</v>
      </c>
      <c r="J1411" s="347"/>
      <c r="K1411" s="345">
        <v>0</v>
      </c>
      <c r="L1411" s="347" t="s">
        <v>2342</v>
      </c>
      <c r="M1411" s="347"/>
      <c r="N1411" s="347" t="s">
        <v>4446</v>
      </c>
      <c r="O1411" s="347" t="s">
        <v>4441</v>
      </c>
      <c r="P1411" s="347"/>
      <c r="Q1411" s="347"/>
      <c r="R1411" s="347"/>
      <c r="S1411" s="348">
        <v>40161</v>
      </c>
      <c r="T1411" s="348">
        <v>40161</v>
      </c>
      <c r="U1411" s="347" t="s">
        <v>3241</v>
      </c>
      <c r="V1411" s="345">
        <v>700</v>
      </c>
      <c r="W1411" s="345">
        <v>14050</v>
      </c>
      <c r="X1411" s="349">
        <v>29186.16</v>
      </c>
      <c r="Y1411" s="345">
        <v>14056</v>
      </c>
      <c r="Z1411" s="349">
        <v>29186.16</v>
      </c>
      <c r="AA1411" s="349">
        <f t="shared" si="106"/>
        <v>0</v>
      </c>
      <c r="AB1411" s="349">
        <v>0</v>
      </c>
      <c r="AC1411" s="345">
        <v>54260</v>
      </c>
      <c r="AD1411" s="349">
        <v>0</v>
      </c>
      <c r="AE1411" s="345" t="s">
        <v>944</v>
      </c>
      <c r="AF1411" s="347"/>
      <c r="AG1411" s="347"/>
      <c r="AH1411" s="347" t="s">
        <v>57</v>
      </c>
      <c r="AI1411" s="347" t="s">
        <v>4442</v>
      </c>
      <c r="AJ1411" s="347" t="s">
        <v>4443</v>
      </c>
      <c r="AK1411" s="347" t="s">
        <v>4437</v>
      </c>
      <c r="AL1411" s="387">
        <v>45574</v>
      </c>
    </row>
    <row r="1412" spans="2:38" ht="15.75" outlineLevel="1">
      <c r="B1412" s="345">
        <v>2111</v>
      </c>
      <c r="C1412" s="346">
        <v>69853</v>
      </c>
      <c r="D1412" s="345" t="s">
        <v>944</v>
      </c>
      <c r="E1412" s="347" t="s">
        <v>4240</v>
      </c>
      <c r="F1412" s="343" t="s">
        <v>3243</v>
      </c>
      <c r="I1412" s="345">
        <v>624</v>
      </c>
      <c r="J1412" s="347"/>
      <c r="K1412" s="345">
        <v>0</v>
      </c>
      <c r="L1412" s="347" t="s">
        <v>2342</v>
      </c>
      <c r="M1412" s="347"/>
      <c r="N1412" s="347" t="s">
        <v>4446</v>
      </c>
      <c r="O1412" s="347" t="s">
        <v>4441</v>
      </c>
      <c r="P1412" s="347"/>
      <c r="Q1412" s="347"/>
      <c r="R1412" s="347"/>
      <c r="S1412" s="348">
        <v>40116</v>
      </c>
      <c r="T1412" s="348">
        <v>40116</v>
      </c>
      <c r="U1412" s="347" t="s">
        <v>3244</v>
      </c>
      <c r="V1412" s="345">
        <v>700</v>
      </c>
      <c r="W1412" s="345">
        <v>14050</v>
      </c>
      <c r="X1412" s="349">
        <v>30038.7</v>
      </c>
      <c r="Y1412" s="345">
        <v>14056</v>
      </c>
      <c r="Z1412" s="349">
        <v>30038.7</v>
      </c>
      <c r="AA1412" s="349">
        <f t="shared" si="106"/>
        <v>0</v>
      </c>
      <c r="AB1412" s="349">
        <v>0</v>
      </c>
      <c r="AC1412" s="345">
        <v>54260</v>
      </c>
      <c r="AD1412" s="349">
        <v>0</v>
      </c>
      <c r="AE1412" s="345" t="s">
        <v>944</v>
      </c>
      <c r="AF1412" s="347"/>
      <c r="AG1412" s="347"/>
      <c r="AH1412" s="347" t="s">
        <v>57</v>
      </c>
      <c r="AI1412" s="347" t="s">
        <v>4442</v>
      </c>
      <c r="AJ1412" s="347" t="s">
        <v>4443</v>
      </c>
      <c r="AK1412" s="347" t="s">
        <v>4437</v>
      </c>
      <c r="AL1412" s="387">
        <v>45574</v>
      </c>
    </row>
    <row r="1413" spans="2:38" ht="15.75" outlineLevel="1">
      <c r="B1413" s="345">
        <v>2111</v>
      </c>
      <c r="C1413" s="346">
        <v>68924</v>
      </c>
      <c r="D1413" s="345" t="s">
        <v>944</v>
      </c>
      <c r="E1413" s="347" t="s">
        <v>4240</v>
      </c>
      <c r="F1413" s="343" t="s">
        <v>3246</v>
      </c>
      <c r="I1413" s="345">
        <v>624</v>
      </c>
      <c r="J1413" s="347"/>
      <c r="K1413" s="345">
        <v>0</v>
      </c>
      <c r="L1413" s="347" t="s">
        <v>2342</v>
      </c>
      <c r="M1413" s="347"/>
      <c r="N1413" s="347" t="s">
        <v>4446</v>
      </c>
      <c r="O1413" s="347" t="s">
        <v>4441</v>
      </c>
      <c r="P1413" s="347"/>
      <c r="Q1413" s="347"/>
      <c r="R1413" s="347"/>
      <c r="S1413" s="348">
        <v>40071</v>
      </c>
      <c r="T1413" s="348">
        <v>40071</v>
      </c>
      <c r="U1413" s="347" t="s">
        <v>3244</v>
      </c>
      <c r="V1413" s="345">
        <v>700</v>
      </c>
      <c r="W1413" s="345">
        <v>14050</v>
      </c>
      <c r="X1413" s="349">
        <v>30038.7</v>
      </c>
      <c r="Y1413" s="345">
        <v>14056</v>
      </c>
      <c r="Z1413" s="349">
        <v>30038.7</v>
      </c>
      <c r="AA1413" s="349">
        <f t="shared" si="106"/>
        <v>0</v>
      </c>
      <c r="AB1413" s="349">
        <v>0</v>
      </c>
      <c r="AC1413" s="345">
        <v>54260</v>
      </c>
      <c r="AD1413" s="349">
        <v>0</v>
      </c>
      <c r="AE1413" s="345" t="s">
        <v>944</v>
      </c>
      <c r="AF1413" s="347"/>
      <c r="AG1413" s="347"/>
      <c r="AH1413" s="347" t="s">
        <v>57</v>
      </c>
      <c r="AI1413" s="347" t="s">
        <v>4442</v>
      </c>
      <c r="AJ1413" s="347" t="s">
        <v>4443</v>
      </c>
      <c r="AK1413" s="347" t="s">
        <v>4437</v>
      </c>
      <c r="AL1413" s="387">
        <v>45574</v>
      </c>
    </row>
    <row r="1414" spans="2:38" ht="15.75" outlineLevel="1">
      <c r="B1414" s="345">
        <v>2111</v>
      </c>
      <c r="C1414" s="346">
        <v>66433</v>
      </c>
      <c r="D1414" s="345">
        <v>66278</v>
      </c>
      <c r="E1414" s="347" t="s">
        <v>4240</v>
      </c>
      <c r="F1414" s="343" t="s">
        <v>3248</v>
      </c>
      <c r="I1414" s="345">
        <v>1</v>
      </c>
      <c r="J1414" s="347"/>
      <c r="K1414" s="345">
        <v>0</v>
      </c>
      <c r="L1414" s="347" t="s">
        <v>3249</v>
      </c>
      <c r="M1414" s="347"/>
      <c r="N1414" s="347" t="s">
        <v>4451</v>
      </c>
      <c r="O1414" s="347" t="s">
        <v>4441</v>
      </c>
      <c r="P1414" s="347"/>
      <c r="Q1414" s="347"/>
      <c r="R1414" s="347"/>
      <c r="S1414" s="348">
        <v>39994</v>
      </c>
      <c r="T1414" s="348">
        <v>39994</v>
      </c>
      <c r="U1414" s="347" t="s">
        <v>3250</v>
      </c>
      <c r="V1414" s="345">
        <v>500</v>
      </c>
      <c r="W1414" s="345">
        <v>14070</v>
      </c>
      <c r="X1414" s="349">
        <v>746.16</v>
      </c>
      <c r="Y1414" s="345">
        <v>14076</v>
      </c>
      <c r="Z1414" s="349">
        <v>746.16</v>
      </c>
      <c r="AA1414" s="349">
        <f t="shared" si="106"/>
        <v>0</v>
      </c>
      <c r="AB1414" s="349">
        <v>0</v>
      </c>
      <c r="AC1414" s="345">
        <v>51260</v>
      </c>
      <c r="AD1414" s="349">
        <v>0</v>
      </c>
      <c r="AE1414" s="345" t="s">
        <v>944</v>
      </c>
      <c r="AF1414" s="347"/>
      <c r="AG1414" s="347"/>
      <c r="AH1414" s="347" t="s">
        <v>57</v>
      </c>
      <c r="AI1414" s="347" t="s">
        <v>4442</v>
      </c>
      <c r="AJ1414" s="347" t="s">
        <v>4443</v>
      </c>
      <c r="AK1414" s="347" t="s">
        <v>4437</v>
      </c>
      <c r="AL1414" s="387">
        <v>45574</v>
      </c>
    </row>
    <row r="1415" spans="2:38" ht="15.75" outlineLevel="1">
      <c r="B1415" s="345">
        <v>2111</v>
      </c>
      <c r="C1415" s="346">
        <v>66278</v>
      </c>
      <c r="D1415" s="345" t="s">
        <v>944</v>
      </c>
      <c r="E1415" s="347" t="s">
        <v>4240</v>
      </c>
      <c r="F1415" s="343" t="s">
        <v>3251</v>
      </c>
      <c r="I1415" s="345">
        <v>1</v>
      </c>
      <c r="J1415" s="347"/>
      <c r="K1415" s="345">
        <v>0</v>
      </c>
      <c r="L1415" s="347" t="s">
        <v>3249</v>
      </c>
      <c r="M1415" s="347"/>
      <c r="N1415" s="347" t="s">
        <v>4451</v>
      </c>
      <c r="O1415" s="347" t="s">
        <v>4441</v>
      </c>
      <c r="P1415" s="347"/>
      <c r="Q1415" s="347"/>
      <c r="R1415" s="347"/>
      <c r="S1415" s="348">
        <v>39994</v>
      </c>
      <c r="T1415" s="348">
        <v>39994</v>
      </c>
      <c r="U1415" s="347" t="s">
        <v>3250</v>
      </c>
      <c r="V1415" s="345">
        <v>500</v>
      </c>
      <c r="W1415" s="345">
        <v>14070</v>
      </c>
      <c r="X1415" s="349">
        <v>13737.83</v>
      </c>
      <c r="Y1415" s="345">
        <v>14076</v>
      </c>
      <c r="Z1415" s="349">
        <v>13737.83</v>
      </c>
      <c r="AA1415" s="349">
        <f t="shared" si="106"/>
        <v>0</v>
      </c>
      <c r="AB1415" s="349">
        <v>0</v>
      </c>
      <c r="AC1415" s="345">
        <v>51260</v>
      </c>
      <c r="AD1415" s="349">
        <v>0</v>
      </c>
      <c r="AE1415" s="345" t="s">
        <v>944</v>
      </c>
      <c r="AF1415" s="347"/>
      <c r="AG1415" s="347"/>
      <c r="AH1415" s="347" t="s">
        <v>57</v>
      </c>
      <c r="AI1415" s="347" t="s">
        <v>4442</v>
      </c>
      <c r="AJ1415" s="347" t="s">
        <v>4443</v>
      </c>
      <c r="AK1415" s="347" t="s">
        <v>4437</v>
      </c>
      <c r="AL1415" s="387">
        <v>45574</v>
      </c>
    </row>
    <row r="1416" spans="2:38" ht="15.75" outlineLevel="1">
      <c r="B1416" s="345">
        <v>2111</v>
      </c>
      <c r="C1416" s="346">
        <v>66197</v>
      </c>
      <c r="D1416" s="345">
        <v>66196</v>
      </c>
      <c r="E1416" s="347" t="s">
        <v>4240</v>
      </c>
      <c r="F1416" s="343" t="s">
        <v>3253</v>
      </c>
      <c r="I1416" s="345">
        <v>1</v>
      </c>
      <c r="J1416" s="347" t="s">
        <v>3254</v>
      </c>
      <c r="K1416" s="345">
        <v>2007</v>
      </c>
      <c r="L1416" s="347"/>
      <c r="M1416" s="347"/>
      <c r="N1416" s="347" t="s">
        <v>4445</v>
      </c>
      <c r="O1416" s="347" t="s">
        <v>4441</v>
      </c>
      <c r="P1416" s="347" t="s">
        <v>1467</v>
      </c>
      <c r="Q1416" s="347"/>
      <c r="R1416" s="347"/>
      <c r="S1416" s="348">
        <v>39448</v>
      </c>
      <c r="T1416" s="348">
        <v>39448</v>
      </c>
      <c r="U1416" s="347" t="s">
        <v>3255</v>
      </c>
      <c r="V1416" s="345">
        <v>904</v>
      </c>
      <c r="W1416" s="345">
        <v>14040</v>
      </c>
      <c r="X1416" s="349">
        <v>-2947</v>
      </c>
      <c r="Y1416" s="345">
        <v>14046</v>
      </c>
      <c r="Z1416" s="349">
        <v>-2947</v>
      </c>
      <c r="AA1416" s="349">
        <f t="shared" si="106"/>
        <v>0</v>
      </c>
      <c r="AB1416" s="349">
        <v>0</v>
      </c>
      <c r="AC1416" s="345">
        <v>51260</v>
      </c>
      <c r="AD1416" s="349">
        <v>0</v>
      </c>
      <c r="AE1416" s="345" t="s">
        <v>944</v>
      </c>
      <c r="AF1416" s="347">
        <v>0</v>
      </c>
      <c r="AG1416" s="347"/>
      <c r="AH1416" s="347" t="s">
        <v>57</v>
      </c>
      <c r="AI1416" s="347" t="s">
        <v>4442</v>
      </c>
      <c r="AJ1416" s="347" t="s">
        <v>4443</v>
      </c>
      <c r="AK1416" s="347" t="s">
        <v>4437</v>
      </c>
      <c r="AL1416" s="387">
        <v>45574</v>
      </c>
    </row>
    <row r="1417" spans="2:38" ht="15.75" outlineLevel="1">
      <c r="B1417" s="345">
        <v>2111</v>
      </c>
      <c r="C1417" s="346">
        <v>66196</v>
      </c>
      <c r="D1417" s="345" t="s">
        <v>944</v>
      </c>
      <c r="E1417" s="347" t="s">
        <v>4240</v>
      </c>
      <c r="F1417" s="343" t="s">
        <v>3257</v>
      </c>
      <c r="I1417" s="345">
        <v>1</v>
      </c>
      <c r="J1417" s="347" t="s">
        <v>3254</v>
      </c>
      <c r="K1417" s="345">
        <v>2009</v>
      </c>
      <c r="L1417" s="347" t="s">
        <v>3258</v>
      </c>
      <c r="M1417" s="347" t="s">
        <v>1522</v>
      </c>
      <c r="N1417" s="347" t="s">
        <v>4445</v>
      </c>
      <c r="O1417" s="347" t="s">
        <v>4441</v>
      </c>
      <c r="P1417" s="347" t="s">
        <v>4463</v>
      </c>
      <c r="Q1417" s="347"/>
      <c r="R1417" s="347"/>
      <c r="S1417" s="348">
        <v>39177</v>
      </c>
      <c r="T1417" s="348">
        <v>39177</v>
      </c>
      <c r="U1417" s="347" t="s">
        <v>3255</v>
      </c>
      <c r="V1417" s="345">
        <v>1000</v>
      </c>
      <c r="W1417" s="345">
        <v>14040</v>
      </c>
      <c r="X1417" s="349">
        <v>83420.460000000006</v>
      </c>
      <c r="Y1417" s="345">
        <v>14046</v>
      </c>
      <c r="Z1417" s="349">
        <v>83420.460000000006</v>
      </c>
      <c r="AA1417" s="349">
        <f t="shared" si="106"/>
        <v>0</v>
      </c>
      <c r="AB1417" s="349">
        <v>0</v>
      </c>
      <c r="AC1417" s="345">
        <v>51260</v>
      </c>
      <c r="AD1417" s="349">
        <v>0</v>
      </c>
      <c r="AE1417" s="345" t="s">
        <v>944</v>
      </c>
      <c r="AF1417" s="347">
        <v>0</v>
      </c>
      <c r="AG1417" s="347">
        <v>614</v>
      </c>
      <c r="AH1417" s="347" t="s">
        <v>57</v>
      </c>
      <c r="AI1417" s="347" t="s">
        <v>4442</v>
      </c>
      <c r="AJ1417" s="347" t="s">
        <v>4443</v>
      </c>
      <c r="AK1417" s="347" t="s">
        <v>4437</v>
      </c>
      <c r="AL1417" s="387">
        <v>45574</v>
      </c>
    </row>
    <row r="1418" spans="2:38" ht="15.75" outlineLevel="1">
      <c r="B1418" s="345">
        <v>2111</v>
      </c>
      <c r="C1418" s="346">
        <v>65892</v>
      </c>
      <c r="D1418" s="345">
        <v>62296</v>
      </c>
      <c r="E1418" s="347" t="s">
        <v>4240</v>
      </c>
      <c r="F1418" s="343" t="s">
        <v>3259</v>
      </c>
      <c r="I1418" s="345">
        <v>1</v>
      </c>
      <c r="J1418" s="347" t="s">
        <v>3260</v>
      </c>
      <c r="K1418" s="345">
        <v>2008</v>
      </c>
      <c r="L1418" s="347"/>
      <c r="M1418" s="347"/>
      <c r="N1418" s="347" t="s">
        <v>4445</v>
      </c>
      <c r="O1418" s="347" t="s">
        <v>4441</v>
      </c>
      <c r="P1418" s="347" t="s">
        <v>4487</v>
      </c>
      <c r="Q1418" s="347"/>
      <c r="R1418" s="347"/>
      <c r="S1418" s="348">
        <v>39814</v>
      </c>
      <c r="T1418" s="348">
        <v>39814</v>
      </c>
      <c r="U1418" s="347" t="s">
        <v>3261</v>
      </c>
      <c r="V1418" s="345">
        <v>911</v>
      </c>
      <c r="W1418" s="345">
        <v>14040</v>
      </c>
      <c r="X1418" s="349">
        <v>1105.68</v>
      </c>
      <c r="Y1418" s="345">
        <v>14046</v>
      </c>
      <c r="Z1418" s="349">
        <v>1105.68</v>
      </c>
      <c r="AA1418" s="349">
        <f t="shared" si="106"/>
        <v>0</v>
      </c>
      <c r="AB1418" s="349">
        <v>0</v>
      </c>
      <c r="AC1418" s="345">
        <v>51260</v>
      </c>
      <c r="AD1418" s="349">
        <v>0</v>
      </c>
      <c r="AE1418" s="345" t="s">
        <v>944</v>
      </c>
      <c r="AF1418" s="347"/>
      <c r="AG1418" s="347"/>
      <c r="AH1418" s="347" t="s">
        <v>57</v>
      </c>
      <c r="AI1418" s="347" t="s">
        <v>4442</v>
      </c>
      <c r="AJ1418" s="347" t="s">
        <v>4443</v>
      </c>
      <c r="AK1418" s="347" t="s">
        <v>4437</v>
      </c>
      <c r="AL1418" s="387">
        <v>45574</v>
      </c>
    </row>
    <row r="1419" spans="2:38" ht="15.75" outlineLevel="1">
      <c r="B1419" s="345">
        <v>2111</v>
      </c>
      <c r="C1419" s="346">
        <v>65540</v>
      </c>
      <c r="D1419" s="345" t="s">
        <v>944</v>
      </c>
      <c r="E1419" s="347" t="s">
        <v>4240</v>
      </c>
      <c r="F1419" s="343" t="s">
        <v>3263</v>
      </c>
      <c r="I1419" s="345">
        <v>415</v>
      </c>
      <c r="J1419" s="347"/>
      <c r="K1419" s="345">
        <v>0</v>
      </c>
      <c r="L1419" s="347" t="s">
        <v>2245</v>
      </c>
      <c r="M1419" s="347"/>
      <c r="N1419" s="347" t="s">
        <v>4446</v>
      </c>
      <c r="O1419" s="347" t="s">
        <v>4441</v>
      </c>
      <c r="P1419" s="347"/>
      <c r="Q1419" s="347"/>
      <c r="R1419" s="347"/>
      <c r="S1419" s="348">
        <v>39965</v>
      </c>
      <c r="T1419" s="348">
        <v>39965</v>
      </c>
      <c r="U1419" s="347" t="s">
        <v>3241</v>
      </c>
      <c r="V1419" s="345">
        <v>700</v>
      </c>
      <c r="W1419" s="345">
        <v>14050</v>
      </c>
      <c r="X1419" s="349">
        <v>20203.11</v>
      </c>
      <c r="Y1419" s="345">
        <v>14056</v>
      </c>
      <c r="Z1419" s="349">
        <v>20203.11</v>
      </c>
      <c r="AA1419" s="349">
        <f t="shared" si="106"/>
        <v>0</v>
      </c>
      <c r="AB1419" s="349">
        <v>0</v>
      </c>
      <c r="AC1419" s="345">
        <v>54260</v>
      </c>
      <c r="AD1419" s="349">
        <v>0</v>
      </c>
      <c r="AE1419" s="345" t="s">
        <v>944</v>
      </c>
      <c r="AF1419" s="347"/>
      <c r="AG1419" s="347"/>
      <c r="AH1419" s="347" t="s">
        <v>57</v>
      </c>
      <c r="AI1419" s="347" t="s">
        <v>4442</v>
      </c>
      <c r="AJ1419" s="347" t="s">
        <v>4443</v>
      </c>
      <c r="AK1419" s="347" t="s">
        <v>4437</v>
      </c>
      <c r="AL1419" s="387">
        <v>45574</v>
      </c>
    </row>
    <row r="1420" spans="2:38" ht="15.75" outlineLevel="1">
      <c r="B1420" s="345">
        <v>2111</v>
      </c>
      <c r="C1420" s="346">
        <v>65106</v>
      </c>
      <c r="D1420" s="345" t="s">
        <v>944</v>
      </c>
      <c r="E1420" s="347" t="s">
        <v>4240</v>
      </c>
      <c r="F1420" s="343" t="s">
        <v>3265</v>
      </c>
      <c r="I1420" s="345">
        <v>486</v>
      </c>
      <c r="J1420" s="347"/>
      <c r="K1420" s="345">
        <v>0</v>
      </c>
      <c r="L1420" s="347" t="s">
        <v>2245</v>
      </c>
      <c r="M1420" s="347"/>
      <c r="N1420" s="347" t="s">
        <v>4446</v>
      </c>
      <c r="O1420" s="347" t="s">
        <v>4441</v>
      </c>
      <c r="P1420" s="347"/>
      <c r="Q1420" s="347"/>
      <c r="R1420" s="347"/>
      <c r="S1420" s="348">
        <v>39953</v>
      </c>
      <c r="T1420" s="348">
        <v>39953</v>
      </c>
      <c r="U1420" s="347" t="s">
        <v>3241</v>
      </c>
      <c r="V1420" s="345">
        <v>700</v>
      </c>
      <c r="W1420" s="345">
        <v>14050</v>
      </c>
      <c r="X1420" s="349">
        <v>23659.56</v>
      </c>
      <c r="Y1420" s="345">
        <v>14056</v>
      </c>
      <c r="Z1420" s="349">
        <v>23659.56</v>
      </c>
      <c r="AA1420" s="349">
        <f t="shared" si="106"/>
        <v>0</v>
      </c>
      <c r="AB1420" s="349">
        <v>0</v>
      </c>
      <c r="AC1420" s="345">
        <v>54260</v>
      </c>
      <c r="AD1420" s="349">
        <v>0</v>
      </c>
      <c r="AE1420" s="345" t="s">
        <v>944</v>
      </c>
      <c r="AF1420" s="347"/>
      <c r="AG1420" s="347"/>
      <c r="AH1420" s="347" t="s">
        <v>57</v>
      </c>
      <c r="AI1420" s="347" t="s">
        <v>4442</v>
      </c>
      <c r="AJ1420" s="347" t="s">
        <v>4443</v>
      </c>
      <c r="AK1420" s="347" t="s">
        <v>4437</v>
      </c>
      <c r="AL1420" s="387">
        <v>45574</v>
      </c>
    </row>
    <row r="1421" spans="2:38" ht="15.75" outlineLevel="1">
      <c r="B1421" s="345">
        <v>2111</v>
      </c>
      <c r="C1421" s="346">
        <v>64678</v>
      </c>
      <c r="D1421" s="345" t="s">
        <v>944</v>
      </c>
      <c r="E1421" s="347" t="s">
        <v>4240</v>
      </c>
      <c r="F1421" s="343" t="s">
        <v>4488</v>
      </c>
      <c r="I1421" s="345">
        <v>1</v>
      </c>
      <c r="J1421" s="347"/>
      <c r="K1421" s="345">
        <v>0</v>
      </c>
      <c r="L1421" s="347"/>
      <c r="M1421" s="347"/>
      <c r="N1421" s="347" t="s">
        <v>4446</v>
      </c>
      <c r="O1421" s="347" t="s">
        <v>4441</v>
      </c>
      <c r="P1421" s="347"/>
      <c r="Q1421" s="347" t="s">
        <v>4473</v>
      </c>
      <c r="R1421" s="347" t="s">
        <v>4448</v>
      </c>
      <c r="S1421" s="348">
        <v>39755</v>
      </c>
      <c r="T1421" s="348">
        <v>39755</v>
      </c>
      <c r="U1421" s="347"/>
      <c r="V1421" s="345">
        <v>700</v>
      </c>
      <c r="W1421" s="345">
        <v>14050</v>
      </c>
      <c r="X1421" s="349">
        <v>13125</v>
      </c>
      <c r="Y1421" s="345">
        <v>14056</v>
      </c>
      <c r="Z1421" s="349">
        <v>13125</v>
      </c>
      <c r="AA1421" s="349">
        <f t="shared" si="106"/>
        <v>0</v>
      </c>
      <c r="AB1421" s="349">
        <v>0</v>
      </c>
      <c r="AC1421" s="345">
        <v>54260</v>
      </c>
      <c r="AD1421" s="349">
        <v>0</v>
      </c>
      <c r="AE1421" s="345" t="s">
        <v>410</v>
      </c>
      <c r="AF1421" s="347" t="s">
        <v>1828</v>
      </c>
      <c r="AG1421" s="347" t="s">
        <v>2206</v>
      </c>
      <c r="AH1421" s="347" t="s">
        <v>57</v>
      </c>
      <c r="AI1421" s="347" t="s">
        <v>4442</v>
      </c>
      <c r="AJ1421" s="347" t="s">
        <v>4443</v>
      </c>
      <c r="AK1421" s="347" t="s">
        <v>4437</v>
      </c>
      <c r="AL1421" s="387">
        <v>45574</v>
      </c>
    </row>
    <row r="1422" spans="2:38" ht="15.75" outlineLevel="1">
      <c r="B1422" s="345">
        <v>2111</v>
      </c>
      <c r="C1422" s="346">
        <v>64155</v>
      </c>
      <c r="D1422" s="345" t="s">
        <v>944</v>
      </c>
      <c r="E1422" s="347" t="s">
        <v>4240</v>
      </c>
      <c r="F1422" s="343" t="s">
        <v>3267</v>
      </c>
      <c r="I1422" s="345">
        <v>1</v>
      </c>
      <c r="J1422" s="347"/>
      <c r="K1422" s="345">
        <v>2009</v>
      </c>
      <c r="L1422" s="347"/>
      <c r="M1422" s="347"/>
      <c r="N1422" s="347" t="s">
        <v>4445</v>
      </c>
      <c r="O1422" s="347" t="s">
        <v>4441</v>
      </c>
      <c r="P1422" s="347" t="s">
        <v>4463</v>
      </c>
      <c r="Q1422" s="347"/>
      <c r="R1422" s="347"/>
      <c r="S1422" s="348">
        <v>39885</v>
      </c>
      <c r="T1422" s="348">
        <v>39885</v>
      </c>
      <c r="U1422" s="347" t="s">
        <v>3268</v>
      </c>
      <c r="V1422" s="345">
        <v>1000</v>
      </c>
      <c r="W1422" s="345">
        <v>14040</v>
      </c>
      <c r="X1422" s="349">
        <v>8016.29</v>
      </c>
      <c r="Y1422" s="345">
        <v>14046</v>
      </c>
      <c r="Z1422" s="349">
        <v>8016.29</v>
      </c>
      <c r="AA1422" s="349">
        <f t="shared" si="106"/>
        <v>0</v>
      </c>
      <c r="AB1422" s="349">
        <v>0</v>
      </c>
      <c r="AC1422" s="345">
        <v>51260</v>
      </c>
      <c r="AD1422" s="349">
        <v>0</v>
      </c>
      <c r="AE1422" s="345" t="s">
        <v>944</v>
      </c>
      <c r="AF1422" s="347"/>
      <c r="AG1422" s="347"/>
      <c r="AH1422" s="347" t="s">
        <v>57</v>
      </c>
      <c r="AI1422" s="347" t="s">
        <v>4442</v>
      </c>
      <c r="AJ1422" s="347" t="s">
        <v>4443</v>
      </c>
      <c r="AK1422" s="347" t="s">
        <v>4437</v>
      </c>
      <c r="AL1422" s="387">
        <v>45574</v>
      </c>
    </row>
    <row r="1423" spans="2:38" ht="15.75" outlineLevel="1">
      <c r="B1423" s="345">
        <v>2111</v>
      </c>
      <c r="C1423" s="346">
        <v>62662</v>
      </c>
      <c r="D1423" s="345">
        <v>25020</v>
      </c>
      <c r="E1423" s="347" t="s">
        <v>4240</v>
      </c>
      <c r="F1423" s="343" t="s">
        <v>3269</v>
      </c>
      <c r="I1423" s="345">
        <v>1</v>
      </c>
      <c r="J1423" s="347"/>
      <c r="K1423" s="345">
        <v>0</v>
      </c>
      <c r="L1423" s="347"/>
      <c r="M1423" s="347"/>
      <c r="N1423" s="347" t="s">
        <v>4445</v>
      </c>
      <c r="O1423" s="347" t="s">
        <v>4441</v>
      </c>
      <c r="P1423" s="347" t="s">
        <v>1467</v>
      </c>
      <c r="Q1423" s="347"/>
      <c r="R1423" s="347"/>
      <c r="S1423" s="348">
        <v>39814</v>
      </c>
      <c r="T1423" s="348">
        <v>39814</v>
      </c>
      <c r="U1423" s="347" t="s">
        <v>3270</v>
      </c>
      <c r="V1423" s="345">
        <v>300</v>
      </c>
      <c r="W1423" s="345">
        <v>14040</v>
      </c>
      <c r="X1423" s="349">
        <v>6818.83</v>
      </c>
      <c r="Y1423" s="345">
        <v>14046</v>
      </c>
      <c r="Z1423" s="349">
        <v>6818.83</v>
      </c>
      <c r="AA1423" s="349">
        <f t="shared" si="106"/>
        <v>0</v>
      </c>
      <c r="AB1423" s="349">
        <v>0</v>
      </c>
      <c r="AC1423" s="345">
        <v>51260</v>
      </c>
      <c r="AD1423" s="349">
        <v>0</v>
      </c>
      <c r="AE1423" s="345" t="s">
        <v>944</v>
      </c>
      <c r="AF1423" s="347">
        <v>0</v>
      </c>
      <c r="AG1423" s="347"/>
      <c r="AH1423" s="347" t="s">
        <v>57</v>
      </c>
      <c r="AI1423" s="347" t="s">
        <v>4442</v>
      </c>
      <c r="AJ1423" s="347" t="s">
        <v>4443</v>
      </c>
      <c r="AK1423" s="347" t="s">
        <v>4437</v>
      </c>
      <c r="AL1423" s="387">
        <v>45574</v>
      </c>
    </row>
    <row r="1424" spans="2:38" ht="15.75" outlineLevel="1">
      <c r="B1424" s="345">
        <v>2111</v>
      </c>
      <c r="C1424" s="346">
        <v>62604</v>
      </c>
      <c r="D1424" s="345">
        <v>61128</v>
      </c>
      <c r="E1424" s="347" t="s">
        <v>4240</v>
      </c>
      <c r="F1424" s="343" t="s">
        <v>4485</v>
      </c>
      <c r="I1424" s="345">
        <v>1</v>
      </c>
      <c r="J1424" s="347"/>
      <c r="K1424" s="345">
        <v>0</v>
      </c>
      <c r="L1424" s="347"/>
      <c r="M1424" s="347"/>
      <c r="N1424" s="347" t="s">
        <v>4445</v>
      </c>
      <c r="O1424" s="347" t="s">
        <v>4441</v>
      </c>
      <c r="P1424" s="347" t="s">
        <v>1467</v>
      </c>
      <c r="Q1424" s="347"/>
      <c r="R1424" s="347"/>
      <c r="S1424" s="348">
        <v>39814</v>
      </c>
      <c r="T1424" s="348">
        <v>39814</v>
      </c>
      <c r="U1424" s="347" t="s">
        <v>4486</v>
      </c>
      <c r="V1424" s="345">
        <v>300</v>
      </c>
      <c r="W1424" s="345">
        <v>14040</v>
      </c>
      <c r="X1424" s="349">
        <v>3949.44</v>
      </c>
      <c r="Y1424" s="345">
        <v>14046</v>
      </c>
      <c r="Z1424" s="349">
        <v>3949.44</v>
      </c>
      <c r="AA1424" s="349">
        <f t="shared" si="106"/>
        <v>0</v>
      </c>
      <c r="AB1424" s="349">
        <v>0</v>
      </c>
      <c r="AC1424" s="345">
        <v>51260</v>
      </c>
      <c r="AD1424" s="349">
        <v>0</v>
      </c>
      <c r="AE1424" s="345" t="s">
        <v>944</v>
      </c>
      <c r="AF1424" s="347"/>
      <c r="AG1424" s="347"/>
      <c r="AH1424" s="347" t="s">
        <v>57</v>
      </c>
      <c r="AI1424" s="347" t="s">
        <v>4442</v>
      </c>
      <c r="AJ1424" s="347" t="s">
        <v>4443</v>
      </c>
      <c r="AK1424" s="347" t="s">
        <v>4437</v>
      </c>
      <c r="AL1424" s="387">
        <v>45574</v>
      </c>
    </row>
    <row r="1425" spans="2:38" ht="15.75" outlineLevel="1">
      <c r="B1425" s="345">
        <v>2111</v>
      </c>
      <c r="C1425" s="346">
        <v>62308</v>
      </c>
      <c r="D1425" s="345">
        <v>25019</v>
      </c>
      <c r="E1425" s="347" t="s">
        <v>4240</v>
      </c>
      <c r="F1425" s="343" t="s">
        <v>181</v>
      </c>
      <c r="I1425" s="345">
        <v>1</v>
      </c>
      <c r="J1425" s="347"/>
      <c r="K1425" s="345">
        <v>0</v>
      </c>
      <c r="L1425" s="347"/>
      <c r="M1425" s="347"/>
      <c r="N1425" s="347" t="s">
        <v>4445</v>
      </c>
      <c r="O1425" s="347" t="s">
        <v>4441</v>
      </c>
      <c r="P1425" s="347" t="s">
        <v>1467</v>
      </c>
      <c r="Q1425" s="347"/>
      <c r="R1425" s="347"/>
      <c r="S1425" s="348">
        <v>39813</v>
      </c>
      <c r="T1425" s="348">
        <v>39813</v>
      </c>
      <c r="U1425" s="347" t="s">
        <v>3271</v>
      </c>
      <c r="V1425" s="345">
        <v>300</v>
      </c>
      <c r="W1425" s="345">
        <v>14040</v>
      </c>
      <c r="X1425" s="349">
        <v>6818.83</v>
      </c>
      <c r="Y1425" s="345">
        <v>14046</v>
      </c>
      <c r="Z1425" s="349">
        <v>6818.83</v>
      </c>
      <c r="AA1425" s="349">
        <f t="shared" si="106"/>
        <v>0</v>
      </c>
      <c r="AB1425" s="349">
        <v>0</v>
      </c>
      <c r="AC1425" s="345">
        <v>51260</v>
      </c>
      <c r="AD1425" s="349">
        <v>0</v>
      </c>
      <c r="AE1425" s="345" t="s">
        <v>944</v>
      </c>
      <c r="AF1425" s="347"/>
      <c r="AG1425" s="347"/>
      <c r="AH1425" s="347" t="s">
        <v>57</v>
      </c>
      <c r="AI1425" s="347" t="s">
        <v>4442</v>
      </c>
      <c r="AJ1425" s="347" t="s">
        <v>4443</v>
      </c>
      <c r="AK1425" s="347" t="s">
        <v>4437</v>
      </c>
      <c r="AL1425" s="387">
        <v>45574</v>
      </c>
    </row>
    <row r="1426" spans="2:38" ht="15.75" outlineLevel="1">
      <c r="B1426" s="345">
        <v>2111</v>
      </c>
      <c r="C1426" s="346">
        <v>62296</v>
      </c>
      <c r="D1426" s="345" t="s">
        <v>944</v>
      </c>
      <c r="E1426" s="347" t="s">
        <v>4240</v>
      </c>
      <c r="F1426" s="343" t="s">
        <v>3272</v>
      </c>
      <c r="I1426" s="345">
        <v>1</v>
      </c>
      <c r="J1426" s="347" t="s">
        <v>3273</v>
      </c>
      <c r="K1426" s="345">
        <v>2008</v>
      </c>
      <c r="L1426" s="347" t="s">
        <v>2300</v>
      </c>
      <c r="M1426" s="347" t="s">
        <v>1764</v>
      </c>
      <c r="N1426" s="347" t="s">
        <v>4445</v>
      </c>
      <c r="O1426" s="347" t="s">
        <v>4441</v>
      </c>
      <c r="P1426" s="347" t="s">
        <v>4487</v>
      </c>
      <c r="Q1426" s="347"/>
      <c r="R1426" s="347"/>
      <c r="S1426" s="348">
        <v>39784</v>
      </c>
      <c r="T1426" s="348">
        <v>39784</v>
      </c>
      <c r="U1426" s="347" t="s">
        <v>3274</v>
      </c>
      <c r="V1426" s="345">
        <v>900</v>
      </c>
      <c r="W1426" s="345">
        <v>14040</v>
      </c>
      <c r="X1426" s="349">
        <v>247446.22</v>
      </c>
      <c r="Y1426" s="345">
        <v>14046</v>
      </c>
      <c r="Z1426" s="349">
        <v>247446.22</v>
      </c>
      <c r="AA1426" s="349">
        <f t="shared" si="106"/>
        <v>0</v>
      </c>
      <c r="AB1426" s="349">
        <v>0</v>
      </c>
      <c r="AC1426" s="345">
        <v>51260</v>
      </c>
      <c r="AD1426" s="349">
        <v>0</v>
      </c>
      <c r="AE1426" s="345" t="s">
        <v>944</v>
      </c>
      <c r="AF1426" s="347"/>
      <c r="AG1426" s="347">
        <v>907</v>
      </c>
      <c r="AH1426" s="347" t="s">
        <v>57</v>
      </c>
      <c r="AI1426" s="347" t="s">
        <v>4442</v>
      </c>
      <c r="AJ1426" s="347" t="s">
        <v>4443</v>
      </c>
      <c r="AK1426" s="347" t="s">
        <v>4437</v>
      </c>
      <c r="AL1426" s="387">
        <v>45574</v>
      </c>
    </row>
    <row r="1427" spans="2:38" ht="15.75" outlineLevel="1">
      <c r="B1427" s="345">
        <v>2111</v>
      </c>
      <c r="C1427" s="346">
        <v>62289</v>
      </c>
      <c r="D1427" s="345">
        <v>60338</v>
      </c>
      <c r="E1427" s="347" t="s">
        <v>4240</v>
      </c>
      <c r="F1427" s="343" t="s">
        <v>3275</v>
      </c>
      <c r="I1427" s="345">
        <v>1</v>
      </c>
      <c r="J1427" s="347"/>
      <c r="K1427" s="345">
        <v>0</v>
      </c>
      <c r="L1427" s="347"/>
      <c r="M1427" s="347"/>
      <c r="N1427" s="347" t="s">
        <v>4445</v>
      </c>
      <c r="O1427" s="347" t="s">
        <v>4441</v>
      </c>
      <c r="P1427" s="347" t="s">
        <v>1467</v>
      </c>
      <c r="Q1427" s="347"/>
      <c r="R1427" s="347"/>
      <c r="S1427" s="348">
        <v>39696</v>
      </c>
      <c r="T1427" s="348">
        <v>39696</v>
      </c>
      <c r="U1427" s="347" t="s">
        <v>3276</v>
      </c>
      <c r="V1427" s="345">
        <v>300</v>
      </c>
      <c r="W1427" s="345">
        <v>14040</v>
      </c>
      <c r="X1427" s="349">
        <v>5712.34</v>
      </c>
      <c r="Y1427" s="345">
        <v>14046</v>
      </c>
      <c r="Z1427" s="349">
        <v>5712.34</v>
      </c>
      <c r="AA1427" s="349">
        <f t="shared" si="106"/>
        <v>0</v>
      </c>
      <c r="AB1427" s="349">
        <v>0</v>
      </c>
      <c r="AC1427" s="345">
        <v>51260</v>
      </c>
      <c r="AD1427" s="349">
        <v>0</v>
      </c>
      <c r="AE1427" s="345" t="s">
        <v>944</v>
      </c>
      <c r="AF1427" s="347"/>
      <c r="AG1427" s="347"/>
      <c r="AH1427" s="347" t="s">
        <v>57</v>
      </c>
      <c r="AI1427" s="347" t="s">
        <v>4442</v>
      </c>
      <c r="AJ1427" s="347" t="s">
        <v>4443</v>
      </c>
      <c r="AK1427" s="347" t="s">
        <v>4437</v>
      </c>
      <c r="AL1427" s="387">
        <v>45574</v>
      </c>
    </row>
    <row r="1428" spans="2:38" ht="15.75" outlineLevel="1">
      <c r="B1428" s="345">
        <v>2111</v>
      </c>
      <c r="C1428" s="346">
        <v>61128</v>
      </c>
      <c r="D1428" s="345" t="s">
        <v>944</v>
      </c>
      <c r="E1428" s="347" t="s">
        <v>4240</v>
      </c>
      <c r="F1428" s="343" t="s">
        <v>4483</v>
      </c>
      <c r="I1428" s="345">
        <v>1</v>
      </c>
      <c r="J1428" s="347" t="s">
        <v>4484</v>
      </c>
      <c r="K1428" s="345">
        <v>2009</v>
      </c>
      <c r="L1428" s="347" t="s">
        <v>1483</v>
      </c>
      <c r="M1428" s="347" t="s">
        <v>2190</v>
      </c>
      <c r="N1428" s="347" t="s">
        <v>4445</v>
      </c>
      <c r="O1428" s="347" t="s">
        <v>4441</v>
      </c>
      <c r="P1428" s="347" t="s">
        <v>4482</v>
      </c>
      <c r="Q1428" s="347"/>
      <c r="R1428" s="347"/>
      <c r="S1428" s="348">
        <v>39755</v>
      </c>
      <c r="T1428" s="348">
        <v>39755</v>
      </c>
      <c r="U1428" s="347"/>
      <c r="V1428" s="345">
        <v>1000</v>
      </c>
      <c r="W1428" s="345">
        <v>14040</v>
      </c>
      <c r="X1428" s="349">
        <v>132128.6</v>
      </c>
      <c r="Y1428" s="345">
        <v>14046</v>
      </c>
      <c r="Z1428" s="349">
        <v>132128.6</v>
      </c>
      <c r="AA1428" s="349">
        <f t="shared" si="106"/>
        <v>0</v>
      </c>
      <c r="AB1428" s="349">
        <v>0</v>
      </c>
      <c r="AC1428" s="345">
        <v>51260</v>
      </c>
      <c r="AD1428" s="349">
        <v>0</v>
      </c>
      <c r="AE1428" s="345" t="s">
        <v>410</v>
      </c>
      <c r="AF1428" s="347" t="s">
        <v>1828</v>
      </c>
      <c r="AG1428" s="347">
        <v>3621</v>
      </c>
      <c r="AH1428" s="347" t="s">
        <v>57</v>
      </c>
      <c r="AI1428" s="347" t="s">
        <v>4442</v>
      </c>
      <c r="AJ1428" s="347" t="s">
        <v>4443</v>
      </c>
      <c r="AK1428" s="347" t="s">
        <v>4437</v>
      </c>
      <c r="AL1428" s="387">
        <v>45574</v>
      </c>
    </row>
    <row r="1429" spans="2:38" ht="15.75" outlineLevel="1">
      <c r="B1429" s="345">
        <v>2111</v>
      </c>
      <c r="C1429" s="346">
        <v>61124</v>
      </c>
      <c r="D1429" s="345" t="s">
        <v>944</v>
      </c>
      <c r="E1429" s="347" t="s">
        <v>4240</v>
      </c>
      <c r="F1429" s="343" t="s">
        <v>4480</v>
      </c>
      <c r="I1429" s="345">
        <v>1</v>
      </c>
      <c r="J1429" s="347" t="s">
        <v>4481</v>
      </c>
      <c r="K1429" s="345">
        <v>2007</v>
      </c>
      <c r="L1429" s="347" t="s">
        <v>1483</v>
      </c>
      <c r="M1429" s="347" t="s">
        <v>2190</v>
      </c>
      <c r="N1429" s="347" t="s">
        <v>4445</v>
      </c>
      <c r="O1429" s="347" t="s">
        <v>4441</v>
      </c>
      <c r="P1429" s="347" t="s">
        <v>4482</v>
      </c>
      <c r="Q1429" s="347"/>
      <c r="R1429" s="347"/>
      <c r="S1429" s="348">
        <v>39755</v>
      </c>
      <c r="T1429" s="348">
        <v>39755</v>
      </c>
      <c r="U1429" s="347"/>
      <c r="V1429" s="345">
        <v>800</v>
      </c>
      <c r="W1429" s="345">
        <v>14040</v>
      </c>
      <c r="X1429" s="349">
        <v>133500</v>
      </c>
      <c r="Y1429" s="345">
        <v>14046</v>
      </c>
      <c r="Z1429" s="349">
        <v>133500</v>
      </c>
      <c r="AA1429" s="349">
        <f t="shared" si="106"/>
        <v>0</v>
      </c>
      <c r="AB1429" s="349">
        <v>0</v>
      </c>
      <c r="AC1429" s="345">
        <v>51260</v>
      </c>
      <c r="AD1429" s="349">
        <v>0</v>
      </c>
      <c r="AE1429" s="345" t="s">
        <v>410</v>
      </c>
      <c r="AF1429" s="347" t="s">
        <v>1828</v>
      </c>
      <c r="AG1429" s="347">
        <v>3615</v>
      </c>
      <c r="AH1429" s="347" t="s">
        <v>57</v>
      </c>
      <c r="AI1429" s="347" t="s">
        <v>4442</v>
      </c>
      <c r="AJ1429" s="347" t="s">
        <v>4443</v>
      </c>
      <c r="AK1429" s="347" t="s">
        <v>4437</v>
      </c>
      <c r="AL1429" s="387">
        <v>45574</v>
      </c>
    </row>
    <row r="1430" spans="2:38" ht="15.75" outlineLevel="1">
      <c r="B1430" s="345">
        <v>2111</v>
      </c>
      <c r="C1430" s="346">
        <v>60421</v>
      </c>
      <c r="D1430" s="345">
        <v>60338</v>
      </c>
      <c r="E1430" s="347" t="s">
        <v>4240</v>
      </c>
      <c r="F1430" s="343" t="s">
        <v>3277</v>
      </c>
      <c r="I1430" s="345">
        <v>1</v>
      </c>
      <c r="J1430" s="347"/>
      <c r="K1430" s="345">
        <v>0</v>
      </c>
      <c r="L1430" s="347"/>
      <c r="M1430" s="347"/>
      <c r="N1430" s="347" t="s">
        <v>4445</v>
      </c>
      <c r="O1430" s="347" t="s">
        <v>4441</v>
      </c>
      <c r="P1430" s="347" t="s">
        <v>1467</v>
      </c>
      <c r="Q1430" s="347"/>
      <c r="R1430" s="347"/>
      <c r="S1430" s="348">
        <v>39755</v>
      </c>
      <c r="T1430" s="348">
        <v>39755</v>
      </c>
      <c r="U1430" s="347" t="s">
        <v>3276</v>
      </c>
      <c r="V1430" s="345">
        <v>300</v>
      </c>
      <c r="W1430" s="345">
        <v>14040</v>
      </c>
      <c r="X1430" s="349">
        <v>910</v>
      </c>
      <c r="Y1430" s="345">
        <v>14046</v>
      </c>
      <c r="Z1430" s="349">
        <v>910</v>
      </c>
      <c r="AA1430" s="349">
        <f t="shared" si="106"/>
        <v>0</v>
      </c>
      <c r="AB1430" s="349">
        <v>0</v>
      </c>
      <c r="AC1430" s="345">
        <v>51260</v>
      </c>
      <c r="AD1430" s="349">
        <v>0</v>
      </c>
      <c r="AE1430" s="345" t="s">
        <v>944</v>
      </c>
      <c r="AF1430" s="347"/>
      <c r="AG1430" s="347"/>
      <c r="AH1430" s="347" t="s">
        <v>57</v>
      </c>
      <c r="AI1430" s="347" t="s">
        <v>4442</v>
      </c>
      <c r="AJ1430" s="347" t="s">
        <v>4443</v>
      </c>
      <c r="AK1430" s="347" t="s">
        <v>4437</v>
      </c>
      <c r="AL1430" s="387">
        <v>45574</v>
      </c>
    </row>
    <row r="1431" spans="2:38" ht="15.75" outlineLevel="1">
      <c r="B1431" s="345">
        <v>2111</v>
      </c>
      <c r="C1431" s="346">
        <v>60420</v>
      </c>
      <c r="D1431" s="345">
        <v>58549</v>
      </c>
      <c r="E1431" s="347" t="s">
        <v>4240</v>
      </c>
      <c r="F1431" s="343" t="s">
        <v>3279</v>
      </c>
      <c r="I1431" s="345">
        <v>1</v>
      </c>
      <c r="J1431" s="347" t="s">
        <v>3280</v>
      </c>
      <c r="K1431" s="345">
        <v>2008</v>
      </c>
      <c r="L1431" s="347"/>
      <c r="M1431" s="347"/>
      <c r="N1431" s="347" t="s">
        <v>4445</v>
      </c>
      <c r="O1431" s="347" t="s">
        <v>4441</v>
      </c>
      <c r="P1431" s="347" t="s">
        <v>1467</v>
      </c>
      <c r="Q1431" s="347"/>
      <c r="R1431" s="347"/>
      <c r="S1431" s="348">
        <v>39680</v>
      </c>
      <c r="T1431" s="348">
        <v>39738</v>
      </c>
      <c r="U1431" s="347" t="s">
        <v>3281</v>
      </c>
      <c r="V1431" s="345">
        <v>900</v>
      </c>
      <c r="W1431" s="345">
        <v>14040</v>
      </c>
      <c r="X1431" s="349">
        <v>2714.56</v>
      </c>
      <c r="Y1431" s="345">
        <v>14046</v>
      </c>
      <c r="Z1431" s="349">
        <v>2714.56</v>
      </c>
      <c r="AA1431" s="349">
        <f t="shared" si="106"/>
        <v>0</v>
      </c>
      <c r="AB1431" s="349">
        <v>0</v>
      </c>
      <c r="AC1431" s="345">
        <v>51260</v>
      </c>
      <c r="AD1431" s="349">
        <v>0</v>
      </c>
      <c r="AE1431" s="345" t="s">
        <v>944</v>
      </c>
      <c r="AF1431" s="347"/>
      <c r="AG1431" s="347"/>
      <c r="AH1431" s="347" t="s">
        <v>57</v>
      </c>
      <c r="AI1431" s="347" t="s">
        <v>4442</v>
      </c>
      <c r="AJ1431" s="347" t="s">
        <v>4443</v>
      </c>
      <c r="AK1431" s="347" t="s">
        <v>4437</v>
      </c>
      <c r="AL1431" s="387">
        <v>45574</v>
      </c>
    </row>
    <row r="1432" spans="2:38" ht="15.75" outlineLevel="1">
      <c r="B1432" s="345">
        <v>2111</v>
      </c>
      <c r="C1432" s="346">
        <v>60377</v>
      </c>
      <c r="D1432" s="345" t="s">
        <v>944</v>
      </c>
      <c r="E1432" s="347" t="s">
        <v>4240</v>
      </c>
      <c r="F1432" s="343" t="s">
        <v>3282</v>
      </c>
      <c r="I1432" s="345">
        <v>1</v>
      </c>
      <c r="J1432" s="347" t="s">
        <v>3283</v>
      </c>
      <c r="K1432" s="345">
        <v>2008</v>
      </c>
      <c r="L1432" s="347" t="s">
        <v>3284</v>
      </c>
      <c r="M1432" s="347" t="s">
        <v>3285</v>
      </c>
      <c r="N1432" s="347" t="s">
        <v>4445</v>
      </c>
      <c r="O1432" s="347" t="s">
        <v>4441</v>
      </c>
      <c r="P1432" s="347" t="s">
        <v>1575</v>
      </c>
      <c r="Q1432" s="347"/>
      <c r="R1432" s="347"/>
      <c r="S1432" s="348">
        <v>39758</v>
      </c>
      <c r="T1432" s="348">
        <v>39758</v>
      </c>
      <c r="U1432" s="347" t="s">
        <v>3286</v>
      </c>
      <c r="V1432" s="345">
        <v>600</v>
      </c>
      <c r="W1432" s="345">
        <v>14040</v>
      </c>
      <c r="X1432" s="349">
        <v>101028.8</v>
      </c>
      <c r="Y1432" s="345">
        <v>14046</v>
      </c>
      <c r="Z1432" s="349">
        <v>101028.8</v>
      </c>
      <c r="AA1432" s="349">
        <f t="shared" si="106"/>
        <v>0</v>
      </c>
      <c r="AB1432" s="349">
        <v>0</v>
      </c>
      <c r="AC1432" s="345">
        <v>51260</v>
      </c>
      <c r="AD1432" s="349">
        <v>0</v>
      </c>
      <c r="AE1432" s="345" t="s">
        <v>944</v>
      </c>
      <c r="AF1432" s="347">
        <v>0</v>
      </c>
      <c r="AG1432" s="347" t="s">
        <v>358</v>
      </c>
      <c r="AH1432" s="347" t="s">
        <v>57</v>
      </c>
      <c r="AI1432" s="347" t="s">
        <v>4442</v>
      </c>
      <c r="AJ1432" s="347" t="s">
        <v>4443</v>
      </c>
      <c r="AK1432" s="347" t="s">
        <v>4437</v>
      </c>
      <c r="AL1432" s="387">
        <v>45574</v>
      </c>
    </row>
    <row r="1433" spans="2:38" ht="15.75" outlineLevel="1">
      <c r="B1433" s="345">
        <v>2111</v>
      </c>
      <c r="C1433" s="346">
        <v>60150</v>
      </c>
      <c r="D1433" s="345" t="s">
        <v>944</v>
      </c>
      <c r="E1433" s="347" t="s">
        <v>4240</v>
      </c>
      <c r="F1433" s="343" t="s">
        <v>695</v>
      </c>
      <c r="I1433" s="345">
        <v>13</v>
      </c>
      <c r="J1433" s="347"/>
      <c r="K1433" s="345">
        <v>0</v>
      </c>
      <c r="L1433" s="347" t="s">
        <v>2257</v>
      </c>
      <c r="M1433" s="347"/>
      <c r="N1433" s="347" t="s">
        <v>4446</v>
      </c>
      <c r="O1433" s="347" t="s">
        <v>4441</v>
      </c>
      <c r="P1433" s="347"/>
      <c r="Q1433" s="347" t="s">
        <v>4459</v>
      </c>
      <c r="R1433" s="347" t="s">
        <v>4450</v>
      </c>
      <c r="S1433" s="348">
        <v>39752</v>
      </c>
      <c r="T1433" s="348">
        <v>39752</v>
      </c>
      <c r="U1433" s="347" t="s">
        <v>3287</v>
      </c>
      <c r="V1433" s="345">
        <v>1200</v>
      </c>
      <c r="W1433" s="345">
        <v>14050</v>
      </c>
      <c r="X1433" s="349">
        <v>7468.03</v>
      </c>
      <c r="Y1433" s="345">
        <v>14056</v>
      </c>
      <c r="Z1433" s="349">
        <v>7468.03</v>
      </c>
      <c r="AA1433" s="349">
        <f t="shared" si="106"/>
        <v>0</v>
      </c>
      <c r="AB1433" s="349">
        <v>0</v>
      </c>
      <c r="AC1433" s="345">
        <v>54260</v>
      </c>
      <c r="AD1433" s="349">
        <v>0</v>
      </c>
      <c r="AE1433" s="345" t="s">
        <v>944</v>
      </c>
      <c r="AF1433" s="347"/>
      <c r="AG1433" s="347"/>
      <c r="AH1433" s="347" t="s">
        <v>57</v>
      </c>
      <c r="AI1433" s="347" t="s">
        <v>4442</v>
      </c>
      <c r="AJ1433" s="347" t="s">
        <v>4443</v>
      </c>
      <c r="AK1433" s="347" t="s">
        <v>4437</v>
      </c>
      <c r="AL1433" s="387">
        <v>45574</v>
      </c>
    </row>
    <row r="1434" spans="2:38" ht="15.75" outlineLevel="1">
      <c r="B1434" s="345">
        <v>2111</v>
      </c>
      <c r="C1434" s="346">
        <v>60147</v>
      </c>
      <c r="D1434" s="345" t="s">
        <v>944</v>
      </c>
      <c r="E1434" s="347" t="s">
        <v>4240</v>
      </c>
      <c r="F1434" s="343" t="s">
        <v>693</v>
      </c>
      <c r="I1434" s="345">
        <v>1</v>
      </c>
      <c r="J1434" s="347"/>
      <c r="K1434" s="345">
        <v>0</v>
      </c>
      <c r="L1434" s="347" t="s">
        <v>2257</v>
      </c>
      <c r="M1434" s="347"/>
      <c r="N1434" s="347" t="s">
        <v>4446</v>
      </c>
      <c r="O1434" s="347" t="s">
        <v>4441</v>
      </c>
      <c r="P1434" s="347"/>
      <c r="Q1434" s="347" t="s">
        <v>4449</v>
      </c>
      <c r="R1434" s="347" t="s">
        <v>4450</v>
      </c>
      <c r="S1434" s="348">
        <v>39752</v>
      </c>
      <c r="T1434" s="348">
        <v>39752</v>
      </c>
      <c r="U1434" s="347" t="s">
        <v>3288</v>
      </c>
      <c r="V1434" s="345">
        <v>1200</v>
      </c>
      <c r="W1434" s="345">
        <v>14050</v>
      </c>
      <c r="X1434" s="349">
        <v>2475.1999999999998</v>
      </c>
      <c r="Y1434" s="345">
        <v>14056</v>
      </c>
      <c r="Z1434" s="349">
        <v>2475.1999999999998</v>
      </c>
      <c r="AA1434" s="349">
        <f t="shared" si="106"/>
        <v>0</v>
      </c>
      <c r="AB1434" s="349">
        <v>0</v>
      </c>
      <c r="AC1434" s="345">
        <v>54260</v>
      </c>
      <c r="AD1434" s="349">
        <v>0</v>
      </c>
      <c r="AE1434" s="345" t="s">
        <v>944</v>
      </c>
      <c r="AF1434" s="347"/>
      <c r="AG1434" s="347"/>
      <c r="AH1434" s="347" t="s">
        <v>57</v>
      </c>
      <c r="AI1434" s="347" t="s">
        <v>4442</v>
      </c>
      <c r="AJ1434" s="347" t="s">
        <v>4443</v>
      </c>
      <c r="AK1434" s="347" t="s">
        <v>4437</v>
      </c>
      <c r="AL1434" s="387">
        <v>45574</v>
      </c>
    </row>
    <row r="1435" spans="2:38" ht="15.75" outlineLevel="1">
      <c r="B1435" s="345">
        <v>2111</v>
      </c>
      <c r="C1435" s="346">
        <v>59913</v>
      </c>
      <c r="D1435" s="345" t="s">
        <v>944</v>
      </c>
      <c r="E1435" s="347" t="s">
        <v>4240</v>
      </c>
      <c r="F1435" s="343" t="s">
        <v>3291</v>
      </c>
      <c r="I1435" s="345">
        <v>1</v>
      </c>
      <c r="J1435" s="347"/>
      <c r="K1435" s="345">
        <v>0</v>
      </c>
      <c r="L1435" s="347" t="s">
        <v>1657</v>
      </c>
      <c r="M1435" s="347"/>
      <c r="N1435" s="347" t="s">
        <v>4440</v>
      </c>
      <c r="O1435" s="347" t="s">
        <v>4441</v>
      </c>
      <c r="P1435" s="347"/>
      <c r="Q1435" s="347"/>
      <c r="R1435" s="347"/>
      <c r="S1435" s="348">
        <v>39726</v>
      </c>
      <c r="T1435" s="348">
        <v>39726</v>
      </c>
      <c r="U1435" s="347" t="s">
        <v>3292</v>
      </c>
      <c r="V1435" s="345">
        <v>300</v>
      </c>
      <c r="W1435" s="345">
        <v>14110</v>
      </c>
      <c r="X1435" s="349">
        <v>1251.47</v>
      </c>
      <c r="Y1435" s="345">
        <v>14116</v>
      </c>
      <c r="Z1435" s="349">
        <v>1251.47</v>
      </c>
      <c r="AA1435" s="349">
        <f t="shared" si="106"/>
        <v>0</v>
      </c>
      <c r="AB1435" s="349">
        <v>0</v>
      </c>
      <c r="AC1435" s="345">
        <v>70260</v>
      </c>
      <c r="AD1435" s="349">
        <v>0</v>
      </c>
      <c r="AE1435" s="345" t="s">
        <v>944</v>
      </c>
      <c r="AF1435" s="347"/>
      <c r="AG1435" s="347"/>
      <c r="AH1435" s="347" t="s">
        <v>57</v>
      </c>
      <c r="AI1435" s="347" t="s">
        <v>4442</v>
      </c>
      <c r="AJ1435" s="347" t="s">
        <v>4443</v>
      </c>
      <c r="AK1435" s="347" t="s">
        <v>4437</v>
      </c>
      <c r="AL1435" s="387">
        <v>45574</v>
      </c>
    </row>
    <row r="1436" spans="2:38" ht="15.75" outlineLevel="1">
      <c r="B1436" s="345">
        <v>2111</v>
      </c>
      <c r="C1436" s="346">
        <v>59813</v>
      </c>
      <c r="D1436" s="345" t="s">
        <v>944</v>
      </c>
      <c r="E1436" s="347" t="s">
        <v>4240</v>
      </c>
      <c r="F1436" s="343" t="s">
        <v>3294</v>
      </c>
      <c r="I1436" s="345">
        <v>624</v>
      </c>
      <c r="J1436" s="347"/>
      <c r="K1436" s="345">
        <v>0</v>
      </c>
      <c r="L1436" s="347" t="s">
        <v>2342</v>
      </c>
      <c r="M1436" s="347"/>
      <c r="N1436" s="347" t="s">
        <v>4446</v>
      </c>
      <c r="O1436" s="347" t="s">
        <v>4441</v>
      </c>
      <c r="P1436" s="347"/>
      <c r="Q1436" s="347"/>
      <c r="R1436" s="347"/>
      <c r="S1436" s="348">
        <v>39706</v>
      </c>
      <c r="T1436" s="348">
        <v>39706</v>
      </c>
      <c r="U1436" s="347" t="s">
        <v>3295</v>
      </c>
      <c r="V1436" s="345">
        <v>700</v>
      </c>
      <c r="W1436" s="345">
        <v>14050</v>
      </c>
      <c r="X1436" s="349">
        <v>39442.870000000003</v>
      </c>
      <c r="Y1436" s="345">
        <v>14056</v>
      </c>
      <c r="Z1436" s="349">
        <v>39442.870000000003</v>
      </c>
      <c r="AA1436" s="349">
        <f t="shared" si="106"/>
        <v>0</v>
      </c>
      <c r="AB1436" s="349">
        <v>0</v>
      </c>
      <c r="AC1436" s="345">
        <v>54260</v>
      </c>
      <c r="AD1436" s="349">
        <v>0</v>
      </c>
      <c r="AE1436" s="345" t="s">
        <v>944</v>
      </c>
      <c r="AF1436" s="347"/>
      <c r="AG1436" s="347"/>
      <c r="AH1436" s="347" t="s">
        <v>57</v>
      </c>
      <c r="AI1436" s="347" t="s">
        <v>4442</v>
      </c>
      <c r="AJ1436" s="347" t="s">
        <v>4443</v>
      </c>
      <c r="AK1436" s="347" t="s">
        <v>4437</v>
      </c>
      <c r="AL1436" s="387">
        <v>45574</v>
      </c>
    </row>
    <row r="1437" spans="2:38" ht="15.75" outlineLevel="1">
      <c r="B1437" s="345">
        <v>2111</v>
      </c>
      <c r="C1437" s="346">
        <v>59812</v>
      </c>
      <c r="D1437" s="345" t="s">
        <v>944</v>
      </c>
      <c r="E1437" s="347" t="s">
        <v>4240</v>
      </c>
      <c r="F1437" s="343" t="s">
        <v>3294</v>
      </c>
      <c r="I1437" s="345">
        <v>624</v>
      </c>
      <c r="J1437" s="347"/>
      <c r="K1437" s="345">
        <v>0</v>
      </c>
      <c r="L1437" s="347" t="s">
        <v>2342</v>
      </c>
      <c r="M1437" s="347"/>
      <c r="N1437" s="347" t="s">
        <v>4446</v>
      </c>
      <c r="O1437" s="347" t="s">
        <v>4441</v>
      </c>
      <c r="P1437" s="347"/>
      <c r="Q1437" s="347"/>
      <c r="R1437" s="347"/>
      <c r="S1437" s="348">
        <v>39706</v>
      </c>
      <c r="T1437" s="348">
        <v>39706</v>
      </c>
      <c r="U1437" s="347" t="s">
        <v>3295</v>
      </c>
      <c r="V1437" s="345">
        <v>700</v>
      </c>
      <c r="W1437" s="345">
        <v>14050</v>
      </c>
      <c r="X1437" s="349">
        <v>39442.870000000003</v>
      </c>
      <c r="Y1437" s="345">
        <v>14056</v>
      </c>
      <c r="Z1437" s="349">
        <v>39442.870000000003</v>
      </c>
      <c r="AA1437" s="349">
        <f t="shared" si="106"/>
        <v>0</v>
      </c>
      <c r="AB1437" s="349">
        <v>0</v>
      </c>
      <c r="AC1437" s="345">
        <v>54260</v>
      </c>
      <c r="AD1437" s="349">
        <v>0</v>
      </c>
      <c r="AE1437" s="345" t="s">
        <v>944</v>
      </c>
      <c r="AF1437" s="347"/>
      <c r="AG1437" s="347"/>
      <c r="AH1437" s="347" t="s">
        <v>57</v>
      </c>
      <c r="AI1437" s="347" t="s">
        <v>4442</v>
      </c>
      <c r="AJ1437" s="347" t="s">
        <v>4443</v>
      </c>
      <c r="AK1437" s="347" t="s">
        <v>4437</v>
      </c>
      <c r="AL1437" s="387">
        <v>45574</v>
      </c>
    </row>
    <row r="1438" spans="2:38" ht="15.75" outlineLevel="1">
      <c r="B1438" s="345">
        <v>2111</v>
      </c>
      <c r="C1438" s="346">
        <v>59445</v>
      </c>
      <c r="D1438" s="345" t="s">
        <v>944</v>
      </c>
      <c r="E1438" s="347" t="s">
        <v>4240</v>
      </c>
      <c r="F1438" s="343" t="s">
        <v>2997</v>
      </c>
      <c r="I1438" s="345">
        <v>5</v>
      </c>
      <c r="J1438" s="347"/>
      <c r="K1438" s="345">
        <v>0</v>
      </c>
      <c r="L1438" s="347" t="s">
        <v>2257</v>
      </c>
      <c r="M1438" s="347"/>
      <c r="N1438" s="347" t="s">
        <v>4446</v>
      </c>
      <c r="O1438" s="347" t="s">
        <v>4441</v>
      </c>
      <c r="P1438" s="347"/>
      <c r="Q1438" s="347" t="s">
        <v>4479</v>
      </c>
      <c r="R1438" s="347" t="s">
        <v>4450</v>
      </c>
      <c r="S1438" s="348">
        <v>39707</v>
      </c>
      <c r="T1438" s="348">
        <v>39707</v>
      </c>
      <c r="U1438" s="347" t="s">
        <v>3303</v>
      </c>
      <c r="V1438" s="345">
        <v>1200</v>
      </c>
      <c r="W1438" s="345">
        <v>14050</v>
      </c>
      <c r="X1438" s="349">
        <v>4977.6000000000004</v>
      </c>
      <c r="Y1438" s="345">
        <v>14056</v>
      </c>
      <c r="Z1438" s="349">
        <v>4977.6000000000004</v>
      </c>
      <c r="AA1438" s="349">
        <f t="shared" si="106"/>
        <v>0</v>
      </c>
      <c r="AB1438" s="349">
        <v>0</v>
      </c>
      <c r="AC1438" s="345">
        <v>54260</v>
      </c>
      <c r="AD1438" s="349">
        <v>0</v>
      </c>
      <c r="AE1438" s="345" t="s">
        <v>944</v>
      </c>
      <c r="AF1438" s="347"/>
      <c r="AG1438" s="347"/>
      <c r="AH1438" s="347" t="s">
        <v>57</v>
      </c>
      <c r="AI1438" s="347" t="s">
        <v>4442</v>
      </c>
      <c r="AJ1438" s="347" t="s">
        <v>4443</v>
      </c>
      <c r="AK1438" s="347" t="s">
        <v>4437</v>
      </c>
      <c r="AL1438" s="387">
        <v>45574</v>
      </c>
    </row>
    <row r="1439" spans="2:38" ht="15.75" outlineLevel="1">
      <c r="B1439" s="345">
        <v>2111</v>
      </c>
      <c r="C1439" s="346">
        <v>59444</v>
      </c>
      <c r="D1439" s="345" t="s">
        <v>944</v>
      </c>
      <c r="E1439" s="347" t="s">
        <v>4240</v>
      </c>
      <c r="F1439" s="343" t="s">
        <v>3304</v>
      </c>
      <c r="I1439" s="345">
        <v>5</v>
      </c>
      <c r="J1439" s="347"/>
      <c r="K1439" s="345">
        <v>0</v>
      </c>
      <c r="L1439" s="347" t="s">
        <v>2257</v>
      </c>
      <c r="M1439" s="347"/>
      <c r="N1439" s="347" t="s">
        <v>4446</v>
      </c>
      <c r="O1439" s="347" t="s">
        <v>4441</v>
      </c>
      <c r="P1439" s="347"/>
      <c r="Q1439" s="347" t="s">
        <v>4464</v>
      </c>
      <c r="R1439" s="347" t="s">
        <v>4450</v>
      </c>
      <c r="S1439" s="348">
        <v>39716</v>
      </c>
      <c r="T1439" s="348">
        <v>39716</v>
      </c>
      <c r="U1439" s="347" t="s">
        <v>3305</v>
      </c>
      <c r="V1439" s="345">
        <v>1200</v>
      </c>
      <c r="W1439" s="345">
        <v>14050</v>
      </c>
      <c r="X1439" s="349">
        <v>3726.4</v>
      </c>
      <c r="Y1439" s="345">
        <v>14056</v>
      </c>
      <c r="Z1439" s="349">
        <v>3726.4</v>
      </c>
      <c r="AA1439" s="349">
        <f t="shared" si="106"/>
        <v>0</v>
      </c>
      <c r="AB1439" s="349">
        <v>0</v>
      </c>
      <c r="AC1439" s="345">
        <v>54260</v>
      </c>
      <c r="AD1439" s="349">
        <v>0</v>
      </c>
      <c r="AE1439" s="345" t="s">
        <v>944</v>
      </c>
      <c r="AF1439" s="347"/>
      <c r="AG1439" s="347"/>
      <c r="AH1439" s="347" t="s">
        <v>57</v>
      </c>
      <c r="AI1439" s="347" t="s">
        <v>4442</v>
      </c>
      <c r="AJ1439" s="347" t="s">
        <v>4443</v>
      </c>
      <c r="AK1439" s="347" t="s">
        <v>4437</v>
      </c>
      <c r="AL1439" s="387">
        <v>45574</v>
      </c>
    </row>
    <row r="1440" spans="2:38" ht="15.75" outlineLevel="1">
      <c r="B1440" s="345">
        <v>2111</v>
      </c>
      <c r="C1440" s="346">
        <v>59199</v>
      </c>
      <c r="D1440" s="345" t="s">
        <v>944</v>
      </c>
      <c r="E1440" s="347" t="s">
        <v>4240</v>
      </c>
      <c r="F1440" s="343" t="s">
        <v>3306</v>
      </c>
      <c r="I1440" s="345">
        <v>1</v>
      </c>
      <c r="J1440" s="347" t="s">
        <v>3307</v>
      </c>
      <c r="K1440" s="345">
        <v>2008</v>
      </c>
      <c r="L1440" s="347" t="s">
        <v>2214</v>
      </c>
      <c r="M1440" s="347" t="s">
        <v>3285</v>
      </c>
      <c r="N1440" s="347" t="s">
        <v>4445</v>
      </c>
      <c r="O1440" s="347" t="s">
        <v>4441</v>
      </c>
      <c r="P1440" s="347" t="s">
        <v>1575</v>
      </c>
      <c r="Q1440" s="347"/>
      <c r="R1440" s="347"/>
      <c r="S1440" s="348">
        <v>39631</v>
      </c>
      <c r="T1440" s="348">
        <v>39631</v>
      </c>
      <c r="U1440" s="347" t="s">
        <v>3309</v>
      </c>
      <c r="V1440" s="345">
        <v>600</v>
      </c>
      <c r="W1440" s="345">
        <v>14040</v>
      </c>
      <c r="X1440" s="349">
        <v>96676.9</v>
      </c>
      <c r="Y1440" s="345">
        <v>14046</v>
      </c>
      <c r="Z1440" s="349">
        <v>96676.9</v>
      </c>
      <c r="AA1440" s="349">
        <f t="shared" si="106"/>
        <v>0</v>
      </c>
      <c r="AB1440" s="349">
        <v>0</v>
      </c>
      <c r="AC1440" s="345">
        <v>51260</v>
      </c>
      <c r="AD1440" s="349">
        <v>0</v>
      </c>
      <c r="AE1440" s="345" t="s">
        <v>944</v>
      </c>
      <c r="AF1440" s="347">
        <v>0</v>
      </c>
      <c r="AG1440" s="347" t="s">
        <v>357</v>
      </c>
      <c r="AH1440" s="347" t="s">
        <v>57</v>
      </c>
      <c r="AI1440" s="347" t="s">
        <v>4442</v>
      </c>
      <c r="AJ1440" s="347" t="s">
        <v>4443</v>
      </c>
      <c r="AK1440" s="347" t="s">
        <v>4437</v>
      </c>
      <c r="AL1440" s="387">
        <v>45574</v>
      </c>
    </row>
    <row r="1441" spans="2:38" ht="15.75" outlineLevel="1">
      <c r="B1441" s="345">
        <v>2111</v>
      </c>
      <c r="C1441" s="346">
        <v>58826</v>
      </c>
      <c r="D1441" s="345" t="s">
        <v>944</v>
      </c>
      <c r="E1441" s="347" t="s">
        <v>4240</v>
      </c>
      <c r="F1441" s="343" t="s">
        <v>3311</v>
      </c>
      <c r="I1441" s="345">
        <v>1</v>
      </c>
      <c r="J1441" s="347"/>
      <c r="K1441" s="345">
        <v>0</v>
      </c>
      <c r="L1441" s="347" t="s">
        <v>1657</v>
      </c>
      <c r="M1441" s="347"/>
      <c r="N1441" s="347" t="s">
        <v>4440</v>
      </c>
      <c r="O1441" s="347" t="s">
        <v>4441</v>
      </c>
      <c r="P1441" s="347"/>
      <c r="Q1441" s="347"/>
      <c r="R1441" s="347"/>
      <c r="S1441" s="348">
        <v>39685</v>
      </c>
      <c r="T1441" s="348">
        <v>39685</v>
      </c>
      <c r="U1441" s="347" t="s">
        <v>3312</v>
      </c>
      <c r="V1441" s="345">
        <v>300</v>
      </c>
      <c r="W1441" s="345">
        <v>14110</v>
      </c>
      <c r="X1441" s="349">
        <v>1462.97</v>
      </c>
      <c r="Y1441" s="345">
        <v>14116</v>
      </c>
      <c r="Z1441" s="349">
        <v>1462.97</v>
      </c>
      <c r="AA1441" s="349">
        <f t="shared" si="106"/>
        <v>0</v>
      </c>
      <c r="AB1441" s="349">
        <v>0</v>
      </c>
      <c r="AC1441" s="345">
        <v>70260</v>
      </c>
      <c r="AD1441" s="349">
        <v>0</v>
      </c>
      <c r="AE1441" s="345" t="s">
        <v>944</v>
      </c>
      <c r="AF1441" s="347"/>
      <c r="AG1441" s="347"/>
      <c r="AH1441" s="347" t="s">
        <v>57</v>
      </c>
      <c r="AI1441" s="347" t="s">
        <v>4442</v>
      </c>
      <c r="AJ1441" s="347" t="s">
        <v>4443</v>
      </c>
      <c r="AK1441" s="347" t="s">
        <v>4437</v>
      </c>
      <c r="AL1441" s="387">
        <v>45574</v>
      </c>
    </row>
    <row r="1442" spans="2:38" ht="15.75" outlineLevel="1">
      <c r="B1442" s="345">
        <v>2111</v>
      </c>
      <c r="C1442" s="346">
        <v>58549</v>
      </c>
      <c r="D1442" s="345" t="s">
        <v>944</v>
      </c>
      <c r="E1442" s="347" t="s">
        <v>4240</v>
      </c>
      <c r="F1442" s="343" t="s">
        <v>3316</v>
      </c>
      <c r="I1442" s="345">
        <v>1</v>
      </c>
      <c r="J1442" s="347" t="s">
        <v>3280</v>
      </c>
      <c r="K1442" s="345">
        <v>2008</v>
      </c>
      <c r="L1442" s="347" t="s">
        <v>3317</v>
      </c>
      <c r="M1442" s="347" t="s">
        <v>2306</v>
      </c>
      <c r="N1442" s="347" t="s">
        <v>4445</v>
      </c>
      <c r="O1442" s="347" t="s">
        <v>4441</v>
      </c>
      <c r="P1442" s="347" t="s">
        <v>2306</v>
      </c>
      <c r="Q1442" s="347"/>
      <c r="R1442" s="347"/>
      <c r="S1442" s="348">
        <v>39680</v>
      </c>
      <c r="T1442" s="348">
        <v>39680</v>
      </c>
      <c r="U1442" s="347" t="s">
        <v>3281</v>
      </c>
      <c r="V1442" s="345">
        <v>900</v>
      </c>
      <c r="W1442" s="345">
        <v>14040</v>
      </c>
      <c r="X1442" s="349">
        <v>46818.35</v>
      </c>
      <c r="Y1442" s="345">
        <v>14046</v>
      </c>
      <c r="Z1442" s="349">
        <v>46818.35</v>
      </c>
      <c r="AA1442" s="349">
        <f t="shared" si="106"/>
        <v>0</v>
      </c>
      <c r="AB1442" s="349">
        <v>0</v>
      </c>
      <c r="AC1442" s="345">
        <v>51260</v>
      </c>
      <c r="AD1442" s="349">
        <v>0</v>
      </c>
      <c r="AE1442" s="345" t="s">
        <v>944</v>
      </c>
      <c r="AF1442" s="347"/>
      <c r="AG1442" s="347">
        <v>126</v>
      </c>
      <c r="AH1442" s="347" t="s">
        <v>57</v>
      </c>
      <c r="AI1442" s="347" t="s">
        <v>4442</v>
      </c>
      <c r="AJ1442" s="347" t="s">
        <v>4443</v>
      </c>
      <c r="AK1442" s="347" t="s">
        <v>4437</v>
      </c>
      <c r="AL1442" s="387">
        <v>45574</v>
      </c>
    </row>
    <row r="1443" spans="2:38" ht="15.75" outlineLevel="1">
      <c r="B1443" s="345">
        <v>2111</v>
      </c>
      <c r="C1443" s="346">
        <v>57894</v>
      </c>
      <c r="D1443" s="345">
        <v>57325</v>
      </c>
      <c r="E1443" s="347" t="s">
        <v>4240</v>
      </c>
      <c r="F1443" s="343" t="s">
        <v>3322</v>
      </c>
      <c r="I1443" s="345">
        <v>1</v>
      </c>
      <c r="J1443" s="347"/>
      <c r="K1443" s="345">
        <v>0</v>
      </c>
      <c r="L1443" s="347" t="s">
        <v>2333</v>
      </c>
      <c r="M1443" s="347"/>
      <c r="N1443" s="347" t="s">
        <v>4451</v>
      </c>
      <c r="O1443" s="347" t="s">
        <v>4441</v>
      </c>
      <c r="P1443" s="347" t="s">
        <v>1467</v>
      </c>
      <c r="Q1443" s="347"/>
      <c r="R1443" s="347"/>
      <c r="S1443" s="348">
        <v>39598</v>
      </c>
      <c r="T1443" s="348">
        <v>39598</v>
      </c>
      <c r="U1443" s="347" t="s">
        <v>3323</v>
      </c>
      <c r="V1443" s="345">
        <v>500</v>
      </c>
      <c r="W1443" s="345">
        <v>14070</v>
      </c>
      <c r="X1443" s="349">
        <v>12000</v>
      </c>
      <c r="Y1443" s="345">
        <v>14076</v>
      </c>
      <c r="Z1443" s="349">
        <v>12000</v>
      </c>
      <c r="AA1443" s="349">
        <f t="shared" si="106"/>
        <v>0</v>
      </c>
      <c r="AB1443" s="349">
        <v>0</v>
      </c>
      <c r="AC1443" s="345">
        <v>51260</v>
      </c>
      <c r="AD1443" s="349">
        <v>0</v>
      </c>
      <c r="AE1443" s="345" t="s">
        <v>944</v>
      </c>
      <c r="AF1443" s="347"/>
      <c r="AG1443" s="347"/>
      <c r="AH1443" s="347" t="s">
        <v>57</v>
      </c>
      <c r="AI1443" s="347" t="s">
        <v>4442</v>
      </c>
      <c r="AJ1443" s="347" t="s">
        <v>4443</v>
      </c>
      <c r="AK1443" s="347" t="s">
        <v>4437</v>
      </c>
      <c r="AL1443" s="387">
        <v>45574</v>
      </c>
    </row>
    <row r="1444" spans="2:38" ht="15.75" outlineLevel="1">
      <c r="B1444" s="345">
        <v>2111</v>
      </c>
      <c r="C1444" s="346">
        <v>57822</v>
      </c>
      <c r="D1444" s="345">
        <v>50359</v>
      </c>
      <c r="E1444" s="347" t="s">
        <v>4240</v>
      </c>
      <c r="F1444" s="343" t="s">
        <v>3325</v>
      </c>
      <c r="I1444" s="345">
        <v>1</v>
      </c>
      <c r="J1444" s="347">
        <v>0</v>
      </c>
      <c r="K1444" s="345">
        <v>0</v>
      </c>
      <c r="L1444" s="347"/>
      <c r="M1444" s="347"/>
      <c r="N1444" s="347" t="s">
        <v>4477</v>
      </c>
      <c r="O1444" s="347" t="s">
        <v>4477</v>
      </c>
      <c r="P1444" s="347"/>
      <c r="Q1444" s="347"/>
      <c r="R1444" s="347"/>
      <c r="S1444" s="348">
        <v>39448</v>
      </c>
      <c r="T1444" s="348">
        <v>39448</v>
      </c>
      <c r="U1444" s="347" t="s">
        <v>3326</v>
      </c>
      <c r="V1444" s="345">
        <v>11</v>
      </c>
      <c r="W1444" s="345">
        <v>14090</v>
      </c>
      <c r="X1444" s="349">
        <v>-3745.44</v>
      </c>
      <c r="Y1444" s="345">
        <v>14096</v>
      </c>
      <c r="Z1444" s="349">
        <v>-3745.44</v>
      </c>
      <c r="AA1444" s="349">
        <f t="shared" si="106"/>
        <v>0</v>
      </c>
      <c r="AB1444" s="349">
        <v>0</v>
      </c>
      <c r="AC1444" s="345">
        <v>57260</v>
      </c>
      <c r="AD1444" s="349">
        <v>0</v>
      </c>
      <c r="AE1444" s="345" t="s">
        <v>944</v>
      </c>
      <c r="AF1444" s="347"/>
      <c r="AG1444" s="347"/>
      <c r="AH1444" s="347" t="s">
        <v>57</v>
      </c>
      <c r="AI1444" s="347" t="s">
        <v>4442</v>
      </c>
      <c r="AJ1444" s="347" t="s">
        <v>4443</v>
      </c>
      <c r="AK1444" s="347" t="s">
        <v>4437</v>
      </c>
      <c r="AL1444" s="387">
        <v>45574</v>
      </c>
    </row>
    <row r="1445" spans="2:38" ht="15.75" outlineLevel="1">
      <c r="B1445" s="345">
        <v>2111</v>
      </c>
      <c r="C1445" s="346">
        <v>57735</v>
      </c>
      <c r="D1445" s="345" t="s">
        <v>944</v>
      </c>
      <c r="E1445" s="347" t="s">
        <v>4240</v>
      </c>
      <c r="F1445" s="343" t="s">
        <v>3328</v>
      </c>
      <c r="I1445" s="345">
        <v>486</v>
      </c>
      <c r="J1445" s="347"/>
      <c r="K1445" s="345">
        <v>0</v>
      </c>
      <c r="L1445" s="347" t="s">
        <v>2245</v>
      </c>
      <c r="M1445" s="347"/>
      <c r="N1445" s="347" t="s">
        <v>4446</v>
      </c>
      <c r="O1445" s="347" t="s">
        <v>4441</v>
      </c>
      <c r="P1445" s="347"/>
      <c r="Q1445" s="347"/>
      <c r="R1445" s="347"/>
      <c r="S1445" s="348">
        <v>39601</v>
      </c>
      <c r="T1445" s="348">
        <v>39601</v>
      </c>
      <c r="U1445" s="347" t="s">
        <v>3295</v>
      </c>
      <c r="V1445" s="345">
        <v>700</v>
      </c>
      <c r="W1445" s="345">
        <v>14050</v>
      </c>
      <c r="X1445" s="349">
        <v>29335</v>
      </c>
      <c r="Y1445" s="345">
        <v>14056</v>
      </c>
      <c r="Z1445" s="349">
        <v>29335</v>
      </c>
      <c r="AA1445" s="349">
        <f t="shared" ref="AA1445:AA1508" si="107">+X1445-Z1445</f>
        <v>0</v>
      </c>
      <c r="AB1445" s="349">
        <v>0</v>
      </c>
      <c r="AC1445" s="345">
        <v>54260</v>
      </c>
      <c r="AD1445" s="349">
        <v>0</v>
      </c>
      <c r="AE1445" s="345" t="s">
        <v>944</v>
      </c>
      <c r="AF1445" s="347"/>
      <c r="AG1445" s="347"/>
      <c r="AH1445" s="347" t="s">
        <v>57</v>
      </c>
      <c r="AI1445" s="347" t="s">
        <v>4442</v>
      </c>
      <c r="AJ1445" s="347" t="s">
        <v>4443</v>
      </c>
      <c r="AK1445" s="347" t="s">
        <v>4437</v>
      </c>
      <c r="AL1445" s="387">
        <v>45574</v>
      </c>
    </row>
    <row r="1446" spans="2:38" ht="15.75" outlineLevel="1">
      <c r="B1446" s="345">
        <v>2111</v>
      </c>
      <c r="C1446" s="346">
        <v>57734</v>
      </c>
      <c r="D1446" s="345" t="s">
        <v>944</v>
      </c>
      <c r="E1446" s="347" t="s">
        <v>4240</v>
      </c>
      <c r="F1446" s="343" t="s">
        <v>3330</v>
      </c>
      <c r="I1446" s="345">
        <v>486</v>
      </c>
      <c r="J1446" s="347"/>
      <c r="K1446" s="345">
        <v>0</v>
      </c>
      <c r="L1446" s="347" t="s">
        <v>2245</v>
      </c>
      <c r="M1446" s="347"/>
      <c r="N1446" s="347" t="s">
        <v>4446</v>
      </c>
      <c r="O1446" s="347" t="s">
        <v>4441</v>
      </c>
      <c r="P1446" s="347"/>
      <c r="Q1446" s="347"/>
      <c r="R1446" s="347"/>
      <c r="S1446" s="348">
        <v>39601</v>
      </c>
      <c r="T1446" s="348">
        <v>39601</v>
      </c>
      <c r="U1446" s="347" t="s">
        <v>3331</v>
      </c>
      <c r="V1446" s="345">
        <v>700</v>
      </c>
      <c r="W1446" s="345">
        <v>14050</v>
      </c>
      <c r="X1446" s="349">
        <v>28400.13</v>
      </c>
      <c r="Y1446" s="345">
        <v>14056</v>
      </c>
      <c r="Z1446" s="349">
        <v>28400.13</v>
      </c>
      <c r="AA1446" s="349">
        <f t="shared" si="107"/>
        <v>0</v>
      </c>
      <c r="AB1446" s="349">
        <v>0</v>
      </c>
      <c r="AC1446" s="345">
        <v>54260</v>
      </c>
      <c r="AD1446" s="349">
        <v>0</v>
      </c>
      <c r="AE1446" s="345" t="s">
        <v>944</v>
      </c>
      <c r="AF1446" s="347"/>
      <c r="AG1446" s="347"/>
      <c r="AH1446" s="347" t="s">
        <v>57</v>
      </c>
      <c r="AI1446" s="347" t="s">
        <v>4442</v>
      </c>
      <c r="AJ1446" s="347" t="s">
        <v>4443</v>
      </c>
      <c r="AK1446" s="347" t="s">
        <v>4437</v>
      </c>
      <c r="AL1446" s="387">
        <v>45574</v>
      </c>
    </row>
    <row r="1447" spans="2:38" ht="15.75" outlineLevel="1">
      <c r="B1447" s="345">
        <v>2111</v>
      </c>
      <c r="C1447" s="346">
        <v>57733</v>
      </c>
      <c r="D1447" s="345" t="s">
        <v>944</v>
      </c>
      <c r="E1447" s="347" t="s">
        <v>4240</v>
      </c>
      <c r="F1447" s="343" t="s">
        <v>3330</v>
      </c>
      <c r="I1447" s="345">
        <v>486</v>
      </c>
      <c r="J1447" s="347"/>
      <c r="K1447" s="345">
        <v>0</v>
      </c>
      <c r="L1447" s="347" t="s">
        <v>2245</v>
      </c>
      <c r="M1447" s="347"/>
      <c r="N1447" s="347" t="s">
        <v>4446</v>
      </c>
      <c r="O1447" s="347" t="s">
        <v>4441</v>
      </c>
      <c r="P1447" s="347"/>
      <c r="Q1447" s="347"/>
      <c r="R1447" s="347"/>
      <c r="S1447" s="348">
        <v>39601</v>
      </c>
      <c r="T1447" s="348">
        <v>39601</v>
      </c>
      <c r="U1447" s="347" t="s">
        <v>3331</v>
      </c>
      <c r="V1447" s="345">
        <v>700</v>
      </c>
      <c r="W1447" s="345">
        <v>14050</v>
      </c>
      <c r="X1447" s="349">
        <v>28400.13</v>
      </c>
      <c r="Y1447" s="345">
        <v>14056</v>
      </c>
      <c r="Z1447" s="349">
        <v>28400.13</v>
      </c>
      <c r="AA1447" s="349">
        <f t="shared" si="107"/>
        <v>0</v>
      </c>
      <c r="AB1447" s="349">
        <v>0</v>
      </c>
      <c r="AC1447" s="345">
        <v>54260</v>
      </c>
      <c r="AD1447" s="349">
        <v>0</v>
      </c>
      <c r="AE1447" s="345" t="s">
        <v>944</v>
      </c>
      <c r="AF1447" s="347"/>
      <c r="AG1447" s="347"/>
      <c r="AH1447" s="347" t="s">
        <v>57</v>
      </c>
      <c r="AI1447" s="347" t="s">
        <v>4442</v>
      </c>
      <c r="AJ1447" s="347" t="s">
        <v>4443</v>
      </c>
      <c r="AK1447" s="347" t="s">
        <v>4437</v>
      </c>
      <c r="AL1447" s="387">
        <v>45574</v>
      </c>
    </row>
    <row r="1448" spans="2:38" ht="15.75" outlineLevel="1">
      <c r="B1448" s="345">
        <v>2111</v>
      </c>
      <c r="C1448" s="346">
        <v>57375</v>
      </c>
      <c r="D1448" s="345">
        <v>57325</v>
      </c>
      <c r="E1448" s="347" t="s">
        <v>4240</v>
      </c>
      <c r="F1448" s="343" t="s">
        <v>3334</v>
      </c>
      <c r="I1448" s="345">
        <v>1</v>
      </c>
      <c r="J1448" s="347"/>
      <c r="K1448" s="345">
        <v>0</v>
      </c>
      <c r="L1448" s="347" t="s">
        <v>2333</v>
      </c>
      <c r="M1448" s="347"/>
      <c r="N1448" s="347" t="s">
        <v>4451</v>
      </c>
      <c r="O1448" s="347" t="s">
        <v>4441</v>
      </c>
      <c r="P1448" s="347"/>
      <c r="Q1448" s="347"/>
      <c r="R1448" s="347"/>
      <c r="S1448" s="348">
        <v>39599</v>
      </c>
      <c r="T1448" s="348">
        <v>39599</v>
      </c>
      <c r="U1448" s="347" t="s">
        <v>2401</v>
      </c>
      <c r="V1448" s="345">
        <v>500</v>
      </c>
      <c r="W1448" s="345">
        <v>14070</v>
      </c>
      <c r="X1448" s="349">
        <v>19635.47</v>
      </c>
      <c r="Y1448" s="345">
        <v>14076</v>
      </c>
      <c r="Z1448" s="349">
        <v>19635.47</v>
      </c>
      <c r="AA1448" s="349">
        <f t="shared" si="107"/>
        <v>0</v>
      </c>
      <c r="AB1448" s="349">
        <v>0</v>
      </c>
      <c r="AC1448" s="345">
        <v>51260</v>
      </c>
      <c r="AD1448" s="349">
        <v>0</v>
      </c>
      <c r="AE1448" s="345" t="s">
        <v>944</v>
      </c>
      <c r="AF1448" s="347"/>
      <c r="AG1448" s="347"/>
      <c r="AH1448" s="347" t="s">
        <v>57</v>
      </c>
      <c r="AI1448" s="347" t="s">
        <v>4442</v>
      </c>
      <c r="AJ1448" s="347" t="s">
        <v>4443</v>
      </c>
      <c r="AK1448" s="347" t="s">
        <v>4437</v>
      </c>
      <c r="AL1448" s="387">
        <v>45574</v>
      </c>
    </row>
    <row r="1449" spans="2:38" ht="15.75" outlineLevel="1">
      <c r="B1449" s="345">
        <v>2111</v>
      </c>
      <c r="C1449" s="346">
        <v>57325</v>
      </c>
      <c r="D1449" s="345" t="s">
        <v>944</v>
      </c>
      <c r="E1449" s="347" t="s">
        <v>4240</v>
      </c>
      <c r="F1449" s="343" t="s">
        <v>3335</v>
      </c>
      <c r="I1449" s="345">
        <v>1</v>
      </c>
      <c r="J1449" s="347"/>
      <c r="K1449" s="345">
        <v>0</v>
      </c>
      <c r="L1449" s="347" t="s">
        <v>2333</v>
      </c>
      <c r="M1449" s="347"/>
      <c r="N1449" s="347" t="s">
        <v>4451</v>
      </c>
      <c r="O1449" s="347" t="s">
        <v>4441</v>
      </c>
      <c r="P1449" s="347"/>
      <c r="Q1449" s="347"/>
      <c r="R1449" s="347"/>
      <c r="S1449" s="348">
        <v>39599</v>
      </c>
      <c r="T1449" s="348">
        <v>39599</v>
      </c>
      <c r="U1449" s="347" t="s">
        <v>2401</v>
      </c>
      <c r="V1449" s="345">
        <v>500</v>
      </c>
      <c r="W1449" s="345">
        <v>14070</v>
      </c>
      <c r="X1449" s="349">
        <v>538.6</v>
      </c>
      <c r="Y1449" s="345">
        <v>14076</v>
      </c>
      <c r="Z1449" s="349">
        <v>538.6</v>
      </c>
      <c r="AA1449" s="349">
        <f t="shared" si="107"/>
        <v>0</v>
      </c>
      <c r="AB1449" s="349">
        <v>0</v>
      </c>
      <c r="AC1449" s="345">
        <v>51260</v>
      </c>
      <c r="AD1449" s="349">
        <v>0</v>
      </c>
      <c r="AE1449" s="345" t="s">
        <v>944</v>
      </c>
      <c r="AF1449" s="347"/>
      <c r="AG1449" s="347"/>
      <c r="AH1449" s="347" t="s">
        <v>57</v>
      </c>
      <c r="AI1449" s="347" t="s">
        <v>4442</v>
      </c>
      <c r="AJ1449" s="347" t="s">
        <v>4443</v>
      </c>
      <c r="AK1449" s="347" t="s">
        <v>4437</v>
      </c>
      <c r="AL1449" s="387">
        <v>45574</v>
      </c>
    </row>
    <row r="1450" spans="2:38" ht="15.75" outlineLevel="1">
      <c r="B1450" s="345">
        <v>2111</v>
      </c>
      <c r="C1450" s="346">
        <v>56988</v>
      </c>
      <c r="D1450" s="345" t="s">
        <v>944</v>
      </c>
      <c r="E1450" s="347" t="s">
        <v>4240</v>
      </c>
      <c r="F1450" s="343" t="s">
        <v>2288</v>
      </c>
      <c r="I1450" s="345">
        <v>427</v>
      </c>
      <c r="J1450" s="347"/>
      <c r="K1450" s="345">
        <v>0</v>
      </c>
      <c r="L1450" s="347" t="s">
        <v>3337</v>
      </c>
      <c r="M1450" s="347"/>
      <c r="N1450" s="347" t="s">
        <v>4446</v>
      </c>
      <c r="O1450" s="347" t="s">
        <v>4441</v>
      </c>
      <c r="P1450" s="347"/>
      <c r="Q1450" s="347"/>
      <c r="R1450" s="347"/>
      <c r="S1450" s="348">
        <v>39449</v>
      </c>
      <c r="T1450" s="348">
        <v>39449</v>
      </c>
      <c r="U1450" s="347" t="s">
        <v>3331</v>
      </c>
      <c r="V1450" s="345">
        <v>700</v>
      </c>
      <c r="W1450" s="345">
        <v>14050</v>
      </c>
      <c r="X1450" s="349">
        <v>22067.360000000001</v>
      </c>
      <c r="Y1450" s="345">
        <v>14056</v>
      </c>
      <c r="Z1450" s="349">
        <v>22067.360000000001</v>
      </c>
      <c r="AA1450" s="349">
        <f t="shared" si="107"/>
        <v>0</v>
      </c>
      <c r="AB1450" s="349">
        <v>0</v>
      </c>
      <c r="AC1450" s="345">
        <v>54260</v>
      </c>
      <c r="AD1450" s="349">
        <v>0</v>
      </c>
      <c r="AE1450" s="345" t="s">
        <v>944</v>
      </c>
      <c r="AF1450" s="347"/>
      <c r="AG1450" s="347"/>
      <c r="AH1450" s="347" t="s">
        <v>57</v>
      </c>
      <c r="AI1450" s="347" t="s">
        <v>4442</v>
      </c>
      <c r="AJ1450" s="347" t="s">
        <v>4443</v>
      </c>
      <c r="AK1450" s="347" t="s">
        <v>4437</v>
      </c>
      <c r="AL1450" s="387">
        <v>45574</v>
      </c>
    </row>
    <row r="1451" spans="2:38" ht="15.75" outlineLevel="1">
      <c r="B1451" s="345">
        <v>2111</v>
      </c>
      <c r="C1451" s="346">
        <v>56642</v>
      </c>
      <c r="D1451" s="345" t="s">
        <v>944</v>
      </c>
      <c r="E1451" s="347" t="s">
        <v>4240</v>
      </c>
      <c r="F1451" s="343" t="s">
        <v>3339</v>
      </c>
      <c r="I1451" s="345">
        <v>486</v>
      </c>
      <c r="J1451" s="347"/>
      <c r="K1451" s="345">
        <v>0</v>
      </c>
      <c r="L1451" s="347" t="s">
        <v>2245</v>
      </c>
      <c r="M1451" s="347"/>
      <c r="N1451" s="347" t="s">
        <v>4446</v>
      </c>
      <c r="O1451" s="347" t="s">
        <v>4441</v>
      </c>
      <c r="P1451" s="347"/>
      <c r="Q1451" s="347"/>
      <c r="R1451" s="347"/>
      <c r="S1451" s="348">
        <v>39546</v>
      </c>
      <c r="T1451" s="348">
        <v>39546</v>
      </c>
      <c r="U1451" s="347" t="s">
        <v>3295</v>
      </c>
      <c r="V1451" s="345">
        <v>700</v>
      </c>
      <c r="W1451" s="345">
        <v>14050</v>
      </c>
      <c r="X1451" s="349">
        <v>29457.67</v>
      </c>
      <c r="Y1451" s="345">
        <v>14056</v>
      </c>
      <c r="Z1451" s="349">
        <v>29457.67</v>
      </c>
      <c r="AA1451" s="349">
        <f t="shared" si="107"/>
        <v>0</v>
      </c>
      <c r="AB1451" s="349">
        <v>0</v>
      </c>
      <c r="AC1451" s="345">
        <v>54260</v>
      </c>
      <c r="AD1451" s="349">
        <v>0</v>
      </c>
      <c r="AE1451" s="345" t="s">
        <v>944</v>
      </c>
      <c r="AF1451" s="347"/>
      <c r="AG1451" s="347"/>
      <c r="AH1451" s="347" t="s">
        <v>57</v>
      </c>
      <c r="AI1451" s="347" t="s">
        <v>4442</v>
      </c>
      <c r="AJ1451" s="347" t="s">
        <v>4443</v>
      </c>
      <c r="AK1451" s="347" t="s">
        <v>4437</v>
      </c>
      <c r="AL1451" s="387">
        <v>45574</v>
      </c>
    </row>
    <row r="1452" spans="2:38" ht="15.75" outlineLevel="1">
      <c r="B1452" s="345">
        <v>2111</v>
      </c>
      <c r="C1452" s="346">
        <v>56426</v>
      </c>
      <c r="D1452" s="345" t="s">
        <v>944</v>
      </c>
      <c r="E1452" s="347" t="s">
        <v>4240</v>
      </c>
      <c r="F1452" s="343" t="s">
        <v>3341</v>
      </c>
      <c r="I1452" s="345">
        <v>1</v>
      </c>
      <c r="J1452" s="347"/>
      <c r="K1452" s="345">
        <v>0</v>
      </c>
      <c r="L1452" s="347"/>
      <c r="M1452" s="347"/>
      <c r="N1452" s="347" t="s">
        <v>4452</v>
      </c>
      <c r="O1452" s="347" t="s">
        <v>4441</v>
      </c>
      <c r="P1452" s="347"/>
      <c r="Q1452" s="347"/>
      <c r="R1452" s="347"/>
      <c r="S1452" s="348">
        <v>39448</v>
      </c>
      <c r="T1452" s="348">
        <v>39448</v>
      </c>
      <c r="U1452" s="347"/>
      <c r="V1452" s="345">
        <v>1000</v>
      </c>
      <c r="W1452" s="345">
        <v>14080</v>
      </c>
      <c r="X1452" s="349">
        <v>253974.7</v>
      </c>
      <c r="Y1452" s="345">
        <v>14086</v>
      </c>
      <c r="Z1452" s="349">
        <v>253974.7</v>
      </c>
      <c r="AA1452" s="349">
        <f t="shared" si="107"/>
        <v>0</v>
      </c>
      <c r="AB1452" s="349">
        <v>0</v>
      </c>
      <c r="AC1452" s="345">
        <v>57260</v>
      </c>
      <c r="AD1452" s="349">
        <v>0</v>
      </c>
      <c r="AE1452" s="345" t="s">
        <v>944</v>
      </c>
      <c r="AF1452" s="347">
        <v>0</v>
      </c>
      <c r="AG1452" s="347"/>
      <c r="AH1452" s="347" t="s">
        <v>57</v>
      </c>
      <c r="AI1452" s="347" t="s">
        <v>4442</v>
      </c>
      <c r="AJ1452" s="347" t="s">
        <v>4443</v>
      </c>
      <c r="AK1452" s="347" t="s">
        <v>4437</v>
      </c>
      <c r="AL1452" s="387">
        <v>45574</v>
      </c>
    </row>
    <row r="1453" spans="2:38" ht="15.75" outlineLevel="1">
      <c r="B1453" s="345">
        <v>2111</v>
      </c>
      <c r="C1453" s="346">
        <v>55944</v>
      </c>
      <c r="D1453" s="345" t="s">
        <v>944</v>
      </c>
      <c r="E1453" s="347" t="s">
        <v>4240</v>
      </c>
      <c r="F1453" s="343" t="s">
        <v>3342</v>
      </c>
      <c r="I1453" s="345">
        <v>10</v>
      </c>
      <c r="J1453" s="347"/>
      <c r="K1453" s="345">
        <v>0</v>
      </c>
      <c r="L1453" s="347" t="s">
        <v>2403</v>
      </c>
      <c r="M1453" s="347"/>
      <c r="N1453" s="347" t="s">
        <v>4446</v>
      </c>
      <c r="O1453" s="347" t="s">
        <v>4441</v>
      </c>
      <c r="P1453" s="347"/>
      <c r="Q1453" s="347" t="s">
        <v>4479</v>
      </c>
      <c r="R1453" s="347" t="s">
        <v>4450</v>
      </c>
      <c r="S1453" s="348">
        <v>39454</v>
      </c>
      <c r="T1453" s="348">
        <v>39454</v>
      </c>
      <c r="U1453" s="347" t="s">
        <v>3343</v>
      </c>
      <c r="V1453" s="345">
        <v>1200</v>
      </c>
      <c r="W1453" s="345">
        <v>14050</v>
      </c>
      <c r="X1453" s="349">
        <v>8051</v>
      </c>
      <c r="Y1453" s="345">
        <v>14056</v>
      </c>
      <c r="Z1453" s="349">
        <v>8051</v>
      </c>
      <c r="AA1453" s="349">
        <f t="shared" si="107"/>
        <v>0</v>
      </c>
      <c r="AB1453" s="349">
        <v>0</v>
      </c>
      <c r="AC1453" s="345">
        <v>54260</v>
      </c>
      <c r="AD1453" s="349">
        <v>0</v>
      </c>
      <c r="AE1453" s="345" t="s">
        <v>944</v>
      </c>
      <c r="AF1453" s="347"/>
      <c r="AG1453" s="347"/>
      <c r="AH1453" s="347" t="s">
        <v>57</v>
      </c>
      <c r="AI1453" s="347" t="s">
        <v>4442</v>
      </c>
      <c r="AJ1453" s="347" t="s">
        <v>4443</v>
      </c>
      <c r="AK1453" s="347" t="s">
        <v>4437</v>
      </c>
      <c r="AL1453" s="387">
        <v>45574</v>
      </c>
    </row>
    <row r="1454" spans="2:38" ht="15.75" outlineLevel="1">
      <c r="B1454" s="345">
        <v>2111</v>
      </c>
      <c r="C1454" s="346">
        <v>54744</v>
      </c>
      <c r="D1454" s="345" t="s">
        <v>944</v>
      </c>
      <c r="E1454" s="347" t="s">
        <v>4240</v>
      </c>
      <c r="F1454" s="343" t="s">
        <v>3344</v>
      </c>
      <c r="I1454" s="345">
        <v>427</v>
      </c>
      <c r="J1454" s="347">
        <v>0</v>
      </c>
      <c r="K1454" s="345">
        <v>0</v>
      </c>
      <c r="L1454" s="347" t="s">
        <v>3337</v>
      </c>
      <c r="M1454" s="347"/>
      <c r="N1454" s="347" t="s">
        <v>4446</v>
      </c>
      <c r="O1454" s="347" t="s">
        <v>4441</v>
      </c>
      <c r="P1454" s="347"/>
      <c r="Q1454" s="347"/>
      <c r="R1454" s="347"/>
      <c r="S1454" s="348">
        <v>39443</v>
      </c>
      <c r="T1454" s="348">
        <v>39443</v>
      </c>
      <c r="U1454" s="347" t="s">
        <v>3345</v>
      </c>
      <c r="V1454" s="345">
        <v>700</v>
      </c>
      <c r="W1454" s="345">
        <v>14050</v>
      </c>
      <c r="X1454" s="349">
        <v>25797.360000000001</v>
      </c>
      <c r="Y1454" s="345">
        <v>14056</v>
      </c>
      <c r="Z1454" s="349">
        <v>25797.360000000001</v>
      </c>
      <c r="AA1454" s="349">
        <f t="shared" si="107"/>
        <v>0</v>
      </c>
      <c r="AB1454" s="349">
        <v>0</v>
      </c>
      <c r="AC1454" s="345">
        <v>54260</v>
      </c>
      <c r="AD1454" s="349">
        <v>0</v>
      </c>
      <c r="AE1454" s="345" t="s">
        <v>944</v>
      </c>
      <c r="AF1454" s="347"/>
      <c r="AG1454" s="347"/>
      <c r="AH1454" s="347" t="s">
        <v>57</v>
      </c>
      <c r="AI1454" s="347" t="s">
        <v>4442</v>
      </c>
      <c r="AJ1454" s="347" t="s">
        <v>4443</v>
      </c>
      <c r="AK1454" s="347" t="s">
        <v>4437</v>
      </c>
      <c r="AL1454" s="387">
        <v>45574</v>
      </c>
    </row>
    <row r="1455" spans="2:38" ht="15.75" outlineLevel="1">
      <c r="B1455" s="345">
        <v>2111</v>
      </c>
      <c r="C1455" s="346">
        <v>54694</v>
      </c>
      <c r="D1455" s="345" t="s">
        <v>944</v>
      </c>
      <c r="E1455" s="347" t="s">
        <v>4240</v>
      </c>
      <c r="F1455" s="343" t="s">
        <v>3347</v>
      </c>
      <c r="I1455" s="345">
        <v>10</v>
      </c>
      <c r="J1455" s="347">
        <v>0</v>
      </c>
      <c r="K1455" s="345">
        <v>0</v>
      </c>
      <c r="L1455" s="347" t="s">
        <v>2403</v>
      </c>
      <c r="M1455" s="347"/>
      <c r="N1455" s="347" t="s">
        <v>4446</v>
      </c>
      <c r="O1455" s="347" t="s">
        <v>4441</v>
      </c>
      <c r="P1455" s="347"/>
      <c r="Q1455" s="347" t="s">
        <v>4461</v>
      </c>
      <c r="R1455" s="347" t="s">
        <v>4450</v>
      </c>
      <c r="S1455" s="348">
        <v>39436</v>
      </c>
      <c r="T1455" s="348">
        <v>39436</v>
      </c>
      <c r="U1455" s="347" t="s">
        <v>3348</v>
      </c>
      <c r="V1455" s="345">
        <v>1200</v>
      </c>
      <c r="W1455" s="345">
        <v>14050</v>
      </c>
      <c r="X1455" s="349">
        <v>4580.4799999999996</v>
      </c>
      <c r="Y1455" s="345">
        <v>14056</v>
      </c>
      <c r="Z1455" s="349">
        <v>4580.4799999999996</v>
      </c>
      <c r="AA1455" s="349">
        <f t="shared" si="107"/>
        <v>0</v>
      </c>
      <c r="AB1455" s="349">
        <v>0</v>
      </c>
      <c r="AC1455" s="345">
        <v>54260</v>
      </c>
      <c r="AD1455" s="349">
        <v>0</v>
      </c>
      <c r="AE1455" s="345" t="s">
        <v>944</v>
      </c>
      <c r="AF1455" s="347"/>
      <c r="AG1455" s="347"/>
      <c r="AH1455" s="347" t="s">
        <v>57</v>
      </c>
      <c r="AI1455" s="347" t="s">
        <v>4442</v>
      </c>
      <c r="AJ1455" s="347" t="s">
        <v>4443</v>
      </c>
      <c r="AK1455" s="347" t="s">
        <v>4437</v>
      </c>
      <c r="AL1455" s="387">
        <v>45574</v>
      </c>
    </row>
    <row r="1456" spans="2:38" ht="15.75" outlineLevel="1">
      <c r="B1456" s="345">
        <v>2111</v>
      </c>
      <c r="C1456" s="346">
        <v>54079</v>
      </c>
      <c r="D1456" s="345" t="s">
        <v>944</v>
      </c>
      <c r="E1456" s="347" t="s">
        <v>4240</v>
      </c>
      <c r="F1456" s="343" t="s">
        <v>3349</v>
      </c>
      <c r="I1456" s="345">
        <v>1</v>
      </c>
      <c r="J1456" s="347" t="s">
        <v>3254</v>
      </c>
      <c r="K1456" s="345">
        <v>2007</v>
      </c>
      <c r="L1456" s="347"/>
      <c r="M1456" s="347"/>
      <c r="N1456" s="347" t="s">
        <v>4445</v>
      </c>
      <c r="O1456" s="347" t="s">
        <v>4441</v>
      </c>
      <c r="P1456" s="347" t="s">
        <v>4463</v>
      </c>
      <c r="Q1456" s="347"/>
      <c r="R1456" s="347"/>
      <c r="S1456" s="348">
        <v>39396</v>
      </c>
      <c r="T1456" s="348">
        <v>39396</v>
      </c>
      <c r="U1456" s="347" t="s">
        <v>3350</v>
      </c>
      <c r="V1456" s="345">
        <v>1000</v>
      </c>
      <c r="W1456" s="345">
        <v>14040</v>
      </c>
      <c r="X1456" s="349">
        <v>61630.89</v>
      </c>
      <c r="Y1456" s="345">
        <v>14046</v>
      </c>
      <c r="Z1456" s="349">
        <v>61630.89</v>
      </c>
      <c r="AA1456" s="349">
        <f t="shared" si="107"/>
        <v>0</v>
      </c>
      <c r="AB1456" s="349">
        <v>0</v>
      </c>
      <c r="AC1456" s="345">
        <v>51260</v>
      </c>
      <c r="AD1456" s="349">
        <v>0</v>
      </c>
      <c r="AE1456" s="345" t="s">
        <v>944</v>
      </c>
      <c r="AF1456" s="347">
        <v>0</v>
      </c>
      <c r="AG1456" s="347"/>
      <c r="AH1456" s="347" t="s">
        <v>57</v>
      </c>
      <c r="AI1456" s="347" t="s">
        <v>4442</v>
      </c>
      <c r="AJ1456" s="347" t="s">
        <v>4443</v>
      </c>
      <c r="AK1456" s="347" t="s">
        <v>4437</v>
      </c>
      <c r="AL1456" s="387">
        <v>45574</v>
      </c>
    </row>
    <row r="1457" spans="2:38" ht="15.75" outlineLevel="1">
      <c r="B1457" s="345">
        <v>2111</v>
      </c>
      <c r="C1457" s="346">
        <v>53724</v>
      </c>
      <c r="D1457" s="345">
        <v>6680</v>
      </c>
      <c r="E1457" s="347" t="s">
        <v>4240</v>
      </c>
      <c r="F1457" s="343" t="s">
        <v>3351</v>
      </c>
      <c r="I1457" s="345">
        <v>1</v>
      </c>
      <c r="J1457" s="347">
        <v>0</v>
      </c>
      <c r="K1457" s="345">
        <v>0</v>
      </c>
      <c r="L1457" s="347" t="s">
        <v>3352</v>
      </c>
      <c r="M1457" s="347"/>
      <c r="N1457" s="347" t="s">
        <v>4452</v>
      </c>
      <c r="O1457" s="347" t="s">
        <v>4441</v>
      </c>
      <c r="P1457" s="347"/>
      <c r="Q1457" s="347"/>
      <c r="R1457" s="347"/>
      <c r="S1457" s="348">
        <v>39367</v>
      </c>
      <c r="T1457" s="348">
        <v>39367</v>
      </c>
      <c r="U1457" s="347" t="s">
        <v>3353</v>
      </c>
      <c r="V1457" s="345">
        <v>500</v>
      </c>
      <c r="W1457" s="345">
        <v>14080</v>
      </c>
      <c r="X1457" s="349">
        <v>4068.5</v>
      </c>
      <c r="Y1457" s="345">
        <v>14086</v>
      </c>
      <c r="Z1457" s="349">
        <v>4068.5</v>
      </c>
      <c r="AA1457" s="349">
        <f t="shared" si="107"/>
        <v>0</v>
      </c>
      <c r="AB1457" s="349">
        <v>0</v>
      </c>
      <c r="AC1457" s="345">
        <v>57260</v>
      </c>
      <c r="AD1457" s="349">
        <v>0</v>
      </c>
      <c r="AE1457" s="345" t="s">
        <v>944</v>
      </c>
      <c r="AF1457" s="347"/>
      <c r="AG1457" s="347"/>
      <c r="AH1457" s="347" t="s">
        <v>57</v>
      </c>
      <c r="AI1457" s="347" t="s">
        <v>4442</v>
      </c>
      <c r="AJ1457" s="347" t="s">
        <v>4443</v>
      </c>
      <c r="AK1457" s="347" t="s">
        <v>4437</v>
      </c>
      <c r="AL1457" s="387">
        <v>45574</v>
      </c>
    </row>
    <row r="1458" spans="2:38" ht="15.75" outlineLevel="1">
      <c r="B1458" s="345">
        <v>2111</v>
      </c>
      <c r="C1458" s="346">
        <v>53367</v>
      </c>
      <c r="D1458" s="345" t="s">
        <v>944</v>
      </c>
      <c r="E1458" s="347" t="s">
        <v>4240</v>
      </c>
      <c r="F1458" s="343" t="s">
        <v>593</v>
      </c>
      <c r="I1458" s="345">
        <v>486</v>
      </c>
      <c r="J1458" s="347">
        <v>0</v>
      </c>
      <c r="K1458" s="345">
        <v>0</v>
      </c>
      <c r="L1458" s="347" t="s">
        <v>2245</v>
      </c>
      <c r="M1458" s="347"/>
      <c r="N1458" s="347" t="s">
        <v>4446</v>
      </c>
      <c r="O1458" s="347" t="s">
        <v>4441</v>
      </c>
      <c r="P1458" s="347"/>
      <c r="Q1458" s="347"/>
      <c r="R1458" s="347"/>
      <c r="S1458" s="348">
        <v>39378</v>
      </c>
      <c r="T1458" s="348">
        <v>39378</v>
      </c>
      <c r="U1458" s="347" t="s">
        <v>3355</v>
      </c>
      <c r="V1458" s="345">
        <v>700</v>
      </c>
      <c r="W1458" s="345">
        <v>14050</v>
      </c>
      <c r="X1458" s="349">
        <v>28267.94</v>
      </c>
      <c r="Y1458" s="345">
        <v>14056</v>
      </c>
      <c r="Z1458" s="349">
        <v>28267.94</v>
      </c>
      <c r="AA1458" s="349">
        <f t="shared" si="107"/>
        <v>0</v>
      </c>
      <c r="AB1458" s="349">
        <v>0</v>
      </c>
      <c r="AC1458" s="345">
        <v>54260</v>
      </c>
      <c r="AD1458" s="349">
        <v>0</v>
      </c>
      <c r="AE1458" s="345" t="s">
        <v>944</v>
      </c>
      <c r="AF1458" s="347"/>
      <c r="AG1458" s="347"/>
      <c r="AH1458" s="347" t="s">
        <v>57</v>
      </c>
      <c r="AI1458" s="347" t="s">
        <v>4442</v>
      </c>
      <c r="AJ1458" s="347" t="s">
        <v>4443</v>
      </c>
      <c r="AK1458" s="347" t="s">
        <v>4437</v>
      </c>
      <c r="AL1458" s="387">
        <v>45574</v>
      </c>
    </row>
    <row r="1459" spans="2:38" ht="15.75" outlineLevel="1">
      <c r="B1459" s="345">
        <v>2111</v>
      </c>
      <c r="C1459" s="346">
        <v>53224</v>
      </c>
      <c r="D1459" s="345">
        <v>6677</v>
      </c>
      <c r="E1459" s="347" t="s">
        <v>4240</v>
      </c>
      <c r="F1459" s="343" t="s">
        <v>2603</v>
      </c>
      <c r="I1459" s="345">
        <v>1</v>
      </c>
      <c r="J1459" s="347"/>
      <c r="K1459" s="345">
        <v>0</v>
      </c>
      <c r="L1459" s="347"/>
      <c r="M1459" s="347"/>
      <c r="N1459" s="347" t="s">
        <v>4452</v>
      </c>
      <c r="O1459" s="347" t="s">
        <v>4441</v>
      </c>
      <c r="P1459" s="347"/>
      <c r="Q1459" s="347"/>
      <c r="R1459" s="347"/>
      <c r="S1459" s="348">
        <v>39294</v>
      </c>
      <c r="T1459" s="348">
        <v>39294</v>
      </c>
      <c r="U1459" s="347" t="s">
        <v>3360</v>
      </c>
      <c r="V1459" s="345">
        <v>1000</v>
      </c>
      <c r="W1459" s="345">
        <v>14080</v>
      </c>
      <c r="X1459" s="349">
        <v>33494.5</v>
      </c>
      <c r="Y1459" s="345">
        <v>14086</v>
      </c>
      <c r="Z1459" s="349">
        <v>33494.5</v>
      </c>
      <c r="AA1459" s="349">
        <f t="shared" si="107"/>
        <v>0</v>
      </c>
      <c r="AB1459" s="349">
        <v>0</v>
      </c>
      <c r="AC1459" s="345">
        <v>57260</v>
      </c>
      <c r="AD1459" s="349">
        <v>0</v>
      </c>
      <c r="AE1459" s="345" t="s">
        <v>944</v>
      </c>
      <c r="AF1459" s="347">
        <v>0</v>
      </c>
      <c r="AG1459" s="347"/>
      <c r="AH1459" s="347" t="s">
        <v>57</v>
      </c>
      <c r="AI1459" s="347" t="s">
        <v>4442</v>
      </c>
      <c r="AJ1459" s="347" t="s">
        <v>4443</v>
      </c>
      <c r="AK1459" s="347" t="s">
        <v>4437</v>
      </c>
      <c r="AL1459" s="387">
        <v>45574</v>
      </c>
    </row>
    <row r="1460" spans="2:38" ht="15.75" outlineLevel="1">
      <c r="B1460" s="345">
        <v>2111</v>
      </c>
      <c r="C1460" s="346">
        <v>53209</v>
      </c>
      <c r="D1460" s="345" t="s">
        <v>944</v>
      </c>
      <c r="E1460" s="347" t="s">
        <v>4240</v>
      </c>
      <c r="F1460" s="343" t="s">
        <v>593</v>
      </c>
      <c r="I1460" s="345">
        <v>486</v>
      </c>
      <c r="J1460" s="347">
        <v>0</v>
      </c>
      <c r="K1460" s="345">
        <v>0</v>
      </c>
      <c r="L1460" s="347" t="s">
        <v>2245</v>
      </c>
      <c r="M1460" s="347"/>
      <c r="N1460" s="347" t="s">
        <v>4446</v>
      </c>
      <c r="O1460" s="347" t="s">
        <v>4441</v>
      </c>
      <c r="P1460" s="347"/>
      <c r="Q1460" s="347"/>
      <c r="R1460" s="347"/>
      <c r="S1460" s="348">
        <v>39353</v>
      </c>
      <c r="T1460" s="348">
        <v>39353</v>
      </c>
      <c r="U1460" s="347" t="s">
        <v>3355</v>
      </c>
      <c r="V1460" s="345">
        <v>700</v>
      </c>
      <c r="W1460" s="345">
        <v>14050</v>
      </c>
      <c r="X1460" s="349">
        <v>27210.400000000001</v>
      </c>
      <c r="Y1460" s="345">
        <v>14056</v>
      </c>
      <c r="Z1460" s="349">
        <v>27210.400000000001</v>
      </c>
      <c r="AA1460" s="349">
        <f t="shared" si="107"/>
        <v>0</v>
      </c>
      <c r="AB1460" s="349">
        <v>0</v>
      </c>
      <c r="AC1460" s="345">
        <v>54260</v>
      </c>
      <c r="AD1460" s="349">
        <v>0</v>
      </c>
      <c r="AE1460" s="345" t="s">
        <v>944</v>
      </c>
      <c r="AF1460" s="347"/>
      <c r="AG1460" s="347"/>
      <c r="AH1460" s="347" t="s">
        <v>57</v>
      </c>
      <c r="AI1460" s="347" t="s">
        <v>4442</v>
      </c>
      <c r="AJ1460" s="347" t="s">
        <v>4443</v>
      </c>
      <c r="AK1460" s="347" t="s">
        <v>4437</v>
      </c>
      <c r="AL1460" s="387">
        <v>45574</v>
      </c>
    </row>
    <row r="1461" spans="2:38" ht="15.75" outlineLevel="1">
      <c r="B1461" s="345">
        <v>2111</v>
      </c>
      <c r="C1461" s="346">
        <v>53208</v>
      </c>
      <c r="D1461" s="345" t="s">
        <v>944</v>
      </c>
      <c r="E1461" s="347" t="s">
        <v>4240</v>
      </c>
      <c r="F1461" s="343" t="s">
        <v>593</v>
      </c>
      <c r="I1461" s="345">
        <v>486</v>
      </c>
      <c r="J1461" s="347">
        <v>0</v>
      </c>
      <c r="K1461" s="345">
        <v>0</v>
      </c>
      <c r="L1461" s="347" t="s">
        <v>2245</v>
      </c>
      <c r="M1461" s="347"/>
      <c r="N1461" s="347" t="s">
        <v>4446</v>
      </c>
      <c r="O1461" s="347" t="s">
        <v>4441</v>
      </c>
      <c r="P1461" s="347"/>
      <c r="Q1461" s="347"/>
      <c r="R1461" s="347"/>
      <c r="S1461" s="348">
        <v>39353</v>
      </c>
      <c r="T1461" s="348">
        <v>39353</v>
      </c>
      <c r="U1461" s="347" t="s">
        <v>3355</v>
      </c>
      <c r="V1461" s="345">
        <v>700</v>
      </c>
      <c r="W1461" s="345">
        <v>14050</v>
      </c>
      <c r="X1461" s="349">
        <v>27210.400000000001</v>
      </c>
      <c r="Y1461" s="345">
        <v>14056</v>
      </c>
      <c r="Z1461" s="349">
        <v>27210.400000000001</v>
      </c>
      <c r="AA1461" s="349">
        <f t="shared" si="107"/>
        <v>0</v>
      </c>
      <c r="AB1461" s="349">
        <v>0</v>
      </c>
      <c r="AC1461" s="345">
        <v>54260</v>
      </c>
      <c r="AD1461" s="349">
        <v>0</v>
      </c>
      <c r="AE1461" s="345" t="s">
        <v>944</v>
      </c>
      <c r="AF1461" s="347"/>
      <c r="AG1461" s="347"/>
      <c r="AH1461" s="347" t="s">
        <v>57</v>
      </c>
      <c r="AI1461" s="347" t="s">
        <v>4442</v>
      </c>
      <c r="AJ1461" s="347" t="s">
        <v>4443</v>
      </c>
      <c r="AK1461" s="347" t="s">
        <v>4437</v>
      </c>
      <c r="AL1461" s="387">
        <v>45574</v>
      </c>
    </row>
    <row r="1462" spans="2:38" ht="15.75" outlineLevel="1">
      <c r="B1462" s="345">
        <v>2111</v>
      </c>
      <c r="C1462" s="346">
        <v>52692</v>
      </c>
      <c r="D1462" s="345" t="s">
        <v>944</v>
      </c>
      <c r="E1462" s="347" t="s">
        <v>4240</v>
      </c>
      <c r="F1462" s="343" t="s">
        <v>3363</v>
      </c>
      <c r="I1462" s="345">
        <v>1</v>
      </c>
      <c r="J1462" s="347"/>
      <c r="K1462" s="345">
        <v>0</v>
      </c>
      <c r="L1462" s="347"/>
      <c r="M1462" s="347"/>
      <c r="N1462" s="347" t="s">
        <v>4462</v>
      </c>
      <c r="O1462" s="347" t="s">
        <v>4441</v>
      </c>
      <c r="P1462" s="347"/>
      <c r="Q1462" s="347"/>
      <c r="R1462" s="347"/>
      <c r="S1462" s="348">
        <v>39264</v>
      </c>
      <c r="T1462" s="348">
        <v>39264</v>
      </c>
      <c r="U1462" s="347"/>
      <c r="V1462" s="345">
        <v>1000</v>
      </c>
      <c r="W1462" s="345">
        <v>14010</v>
      </c>
      <c r="X1462" s="349">
        <v>869261.59</v>
      </c>
      <c r="Y1462" s="345">
        <v>14016</v>
      </c>
      <c r="Z1462" s="349">
        <v>869261.59</v>
      </c>
      <c r="AA1462" s="349">
        <f t="shared" si="107"/>
        <v>0</v>
      </c>
      <c r="AB1462" s="349">
        <v>0</v>
      </c>
      <c r="AC1462" s="345">
        <v>57260</v>
      </c>
      <c r="AD1462" s="349">
        <v>0</v>
      </c>
      <c r="AE1462" s="345" t="s">
        <v>944</v>
      </c>
      <c r="AF1462" s="347">
        <v>0</v>
      </c>
      <c r="AG1462" s="347"/>
      <c r="AH1462" s="347" t="s">
        <v>57</v>
      </c>
      <c r="AI1462" s="347" t="s">
        <v>4442</v>
      </c>
      <c r="AJ1462" s="347" t="s">
        <v>4443</v>
      </c>
      <c r="AK1462" s="347" t="s">
        <v>4437</v>
      </c>
      <c r="AL1462" s="387">
        <v>45574</v>
      </c>
    </row>
    <row r="1463" spans="2:38" ht="15.75" outlineLevel="1">
      <c r="B1463" s="345">
        <v>2111</v>
      </c>
      <c r="C1463" s="346">
        <v>52691</v>
      </c>
      <c r="D1463" s="345">
        <v>6685</v>
      </c>
      <c r="E1463" s="347" t="s">
        <v>4240</v>
      </c>
      <c r="F1463" s="343" t="s">
        <v>3364</v>
      </c>
      <c r="I1463" s="345">
        <v>1</v>
      </c>
      <c r="J1463" s="347"/>
      <c r="K1463" s="345">
        <v>0</v>
      </c>
      <c r="L1463" s="347"/>
      <c r="M1463" s="347"/>
      <c r="N1463" s="347" t="s">
        <v>4452</v>
      </c>
      <c r="O1463" s="347" t="s">
        <v>4441</v>
      </c>
      <c r="P1463" s="347"/>
      <c r="Q1463" s="347"/>
      <c r="R1463" s="347"/>
      <c r="S1463" s="348">
        <v>39264</v>
      </c>
      <c r="T1463" s="348">
        <v>39264</v>
      </c>
      <c r="U1463" s="347"/>
      <c r="V1463" s="345">
        <v>2000</v>
      </c>
      <c r="W1463" s="345">
        <v>14080</v>
      </c>
      <c r="X1463" s="349">
        <v>1462717.52</v>
      </c>
      <c r="Y1463" s="345">
        <v>14086</v>
      </c>
      <c r="Z1463" s="349">
        <v>1261593.96</v>
      </c>
      <c r="AA1463" s="349">
        <f t="shared" si="107"/>
        <v>201123.56000000006</v>
      </c>
      <c r="AB1463" s="349">
        <v>54851.94</v>
      </c>
      <c r="AC1463" s="345">
        <v>57260</v>
      </c>
      <c r="AD1463" s="349">
        <v>6094.66</v>
      </c>
      <c r="AE1463" s="345" t="s">
        <v>944</v>
      </c>
      <c r="AF1463" s="347">
        <v>0</v>
      </c>
      <c r="AG1463" s="347"/>
      <c r="AH1463" s="347" t="s">
        <v>57</v>
      </c>
      <c r="AI1463" s="347" t="s">
        <v>4442</v>
      </c>
      <c r="AJ1463" s="347" t="s">
        <v>4443</v>
      </c>
      <c r="AK1463" s="347" t="s">
        <v>4437</v>
      </c>
      <c r="AL1463" s="387">
        <v>45574</v>
      </c>
    </row>
    <row r="1464" spans="2:38" ht="15.75" outlineLevel="1">
      <c r="B1464" s="345">
        <v>2111</v>
      </c>
      <c r="C1464" s="346">
        <v>52506</v>
      </c>
      <c r="D1464" s="345">
        <v>6677</v>
      </c>
      <c r="E1464" s="347" t="s">
        <v>4240</v>
      </c>
      <c r="F1464" s="343" t="s">
        <v>3365</v>
      </c>
      <c r="I1464" s="345">
        <v>1</v>
      </c>
      <c r="J1464" s="347"/>
      <c r="K1464" s="345">
        <v>0</v>
      </c>
      <c r="L1464" s="347"/>
      <c r="M1464" s="347"/>
      <c r="N1464" s="347" t="s">
        <v>4452</v>
      </c>
      <c r="O1464" s="347" t="s">
        <v>4441</v>
      </c>
      <c r="P1464" s="347"/>
      <c r="Q1464" s="347"/>
      <c r="R1464" s="347"/>
      <c r="S1464" s="348">
        <v>39294</v>
      </c>
      <c r="T1464" s="348">
        <v>39294</v>
      </c>
      <c r="U1464" s="347" t="s">
        <v>3360</v>
      </c>
      <c r="V1464" s="345">
        <v>1000</v>
      </c>
      <c r="W1464" s="345">
        <v>14080</v>
      </c>
      <c r="X1464" s="349">
        <v>3465.19</v>
      </c>
      <c r="Y1464" s="345">
        <v>14086</v>
      </c>
      <c r="Z1464" s="349">
        <v>3465.19</v>
      </c>
      <c r="AA1464" s="349">
        <f t="shared" si="107"/>
        <v>0</v>
      </c>
      <c r="AB1464" s="349">
        <v>0</v>
      </c>
      <c r="AC1464" s="345">
        <v>57260</v>
      </c>
      <c r="AD1464" s="349">
        <v>0</v>
      </c>
      <c r="AE1464" s="345" t="s">
        <v>944</v>
      </c>
      <c r="AF1464" s="347">
        <v>0</v>
      </c>
      <c r="AG1464" s="347"/>
      <c r="AH1464" s="347" t="s">
        <v>57</v>
      </c>
      <c r="AI1464" s="347" t="s">
        <v>4442</v>
      </c>
      <c r="AJ1464" s="347" t="s">
        <v>4443</v>
      </c>
      <c r="AK1464" s="347" t="s">
        <v>4437</v>
      </c>
      <c r="AL1464" s="387">
        <v>45574</v>
      </c>
    </row>
    <row r="1465" spans="2:38" ht="15.75" outlineLevel="1">
      <c r="B1465" s="345">
        <v>2111</v>
      </c>
      <c r="C1465" s="346">
        <v>52247</v>
      </c>
      <c r="D1465" s="345" t="s">
        <v>944</v>
      </c>
      <c r="E1465" s="347" t="s">
        <v>4240</v>
      </c>
      <c r="F1465" s="343" t="s">
        <v>3366</v>
      </c>
      <c r="I1465" s="345">
        <v>1</v>
      </c>
      <c r="J1465" s="347"/>
      <c r="K1465" s="345">
        <v>0</v>
      </c>
      <c r="L1465" s="347"/>
      <c r="M1465" s="347"/>
      <c r="N1465" s="347" t="s">
        <v>4440</v>
      </c>
      <c r="O1465" s="347" t="s">
        <v>4441</v>
      </c>
      <c r="P1465" s="347"/>
      <c r="Q1465" s="347"/>
      <c r="R1465" s="347"/>
      <c r="S1465" s="348">
        <v>37500</v>
      </c>
      <c r="T1465" s="348">
        <v>37500</v>
      </c>
      <c r="U1465" s="347" t="s">
        <v>3367</v>
      </c>
      <c r="V1465" s="345">
        <v>500</v>
      </c>
      <c r="W1465" s="345">
        <v>14110</v>
      </c>
      <c r="X1465" s="349">
        <v>3000</v>
      </c>
      <c r="Y1465" s="345">
        <v>14116</v>
      </c>
      <c r="Z1465" s="349">
        <v>3000</v>
      </c>
      <c r="AA1465" s="349">
        <f t="shared" si="107"/>
        <v>0</v>
      </c>
      <c r="AB1465" s="349">
        <v>0</v>
      </c>
      <c r="AC1465" s="345">
        <v>70260</v>
      </c>
      <c r="AD1465" s="349">
        <v>0</v>
      </c>
      <c r="AE1465" s="345" t="s">
        <v>944</v>
      </c>
      <c r="AF1465" s="347"/>
      <c r="AG1465" s="347"/>
      <c r="AH1465" s="347" t="s">
        <v>57</v>
      </c>
      <c r="AI1465" s="347" t="s">
        <v>4442</v>
      </c>
      <c r="AJ1465" s="347" t="s">
        <v>4443</v>
      </c>
      <c r="AK1465" s="347" t="s">
        <v>4437</v>
      </c>
      <c r="AL1465" s="387">
        <v>45574</v>
      </c>
    </row>
    <row r="1466" spans="2:38" ht="15.75" outlineLevel="1">
      <c r="B1466" s="345">
        <v>2111</v>
      </c>
      <c r="C1466" s="346">
        <v>52240</v>
      </c>
      <c r="D1466" s="345" t="s">
        <v>944</v>
      </c>
      <c r="E1466" s="347" t="s">
        <v>4240</v>
      </c>
      <c r="F1466" s="343" t="s">
        <v>3366</v>
      </c>
      <c r="I1466" s="345">
        <v>1</v>
      </c>
      <c r="J1466" s="347"/>
      <c r="K1466" s="345">
        <v>0</v>
      </c>
      <c r="L1466" s="347"/>
      <c r="M1466" s="347"/>
      <c r="N1466" s="347" t="s">
        <v>4440</v>
      </c>
      <c r="O1466" s="347" t="s">
        <v>4441</v>
      </c>
      <c r="P1466" s="347"/>
      <c r="Q1466" s="347"/>
      <c r="R1466" s="347"/>
      <c r="S1466" s="348">
        <v>37500</v>
      </c>
      <c r="T1466" s="348">
        <v>37500</v>
      </c>
      <c r="U1466" s="347" t="s">
        <v>3368</v>
      </c>
      <c r="V1466" s="345">
        <v>500</v>
      </c>
      <c r="W1466" s="345">
        <v>14110</v>
      </c>
      <c r="X1466" s="349">
        <v>15000</v>
      </c>
      <c r="Y1466" s="345">
        <v>14116</v>
      </c>
      <c r="Z1466" s="349">
        <v>15000</v>
      </c>
      <c r="AA1466" s="349">
        <f t="shared" si="107"/>
        <v>0</v>
      </c>
      <c r="AB1466" s="349">
        <v>0</v>
      </c>
      <c r="AC1466" s="345">
        <v>70260</v>
      </c>
      <c r="AD1466" s="349">
        <v>0</v>
      </c>
      <c r="AE1466" s="345" t="s">
        <v>944</v>
      </c>
      <c r="AF1466" s="347"/>
      <c r="AG1466" s="347"/>
      <c r="AH1466" s="347" t="s">
        <v>57</v>
      </c>
      <c r="AI1466" s="347" t="s">
        <v>4442</v>
      </c>
      <c r="AJ1466" s="347" t="s">
        <v>4443</v>
      </c>
      <c r="AK1466" s="347" t="s">
        <v>4437</v>
      </c>
      <c r="AL1466" s="387">
        <v>45574</v>
      </c>
    </row>
    <row r="1467" spans="2:38" ht="15.75" outlineLevel="1">
      <c r="B1467" s="345">
        <v>2111</v>
      </c>
      <c r="C1467" s="346">
        <v>52122</v>
      </c>
      <c r="D1467" s="345" t="s">
        <v>944</v>
      </c>
      <c r="E1467" s="347" t="s">
        <v>4240</v>
      </c>
      <c r="F1467" s="343" t="s">
        <v>593</v>
      </c>
      <c r="I1467" s="345">
        <v>427</v>
      </c>
      <c r="J1467" s="347">
        <v>0</v>
      </c>
      <c r="K1467" s="345">
        <v>0</v>
      </c>
      <c r="L1467" s="347" t="s">
        <v>3369</v>
      </c>
      <c r="M1467" s="347"/>
      <c r="N1467" s="347" t="s">
        <v>4446</v>
      </c>
      <c r="O1467" s="347" t="s">
        <v>4441</v>
      </c>
      <c r="P1467" s="347"/>
      <c r="Q1467" s="347"/>
      <c r="R1467" s="347"/>
      <c r="S1467" s="348">
        <v>39289</v>
      </c>
      <c r="T1467" s="348">
        <v>39289</v>
      </c>
      <c r="U1467" s="347" t="s">
        <v>3355</v>
      </c>
      <c r="V1467" s="345">
        <v>700</v>
      </c>
      <c r="W1467" s="345">
        <v>14050</v>
      </c>
      <c r="X1467" s="349">
        <v>21898.65</v>
      </c>
      <c r="Y1467" s="345">
        <v>14056</v>
      </c>
      <c r="Z1467" s="349">
        <v>21898.65</v>
      </c>
      <c r="AA1467" s="349">
        <f t="shared" si="107"/>
        <v>0</v>
      </c>
      <c r="AB1467" s="349">
        <v>0</v>
      </c>
      <c r="AC1467" s="345">
        <v>54260</v>
      </c>
      <c r="AD1467" s="349">
        <v>0</v>
      </c>
      <c r="AE1467" s="345" t="s">
        <v>944</v>
      </c>
      <c r="AF1467" s="347"/>
      <c r="AG1467" s="347"/>
      <c r="AH1467" s="347" t="s">
        <v>57</v>
      </c>
      <c r="AI1467" s="347" t="s">
        <v>4442</v>
      </c>
      <c r="AJ1467" s="347" t="s">
        <v>4443</v>
      </c>
      <c r="AK1467" s="347" t="s">
        <v>4437</v>
      </c>
      <c r="AL1467" s="387">
        <v>45574</v>
      </c>
    </row>
    <row r="1468" spans="2:38" ht="15.75" outlineLevel="1">
      <c r="B1468" s="345">
        <v>2111</v>
      </c>
      <c r="C1468" s="346">
        <v>52121</v>
      </c>
      <c r="D1468" s="345" t="s">
        <v>944</v>
      </c>
      <c r="E1468" s="347" t="s">
        <v>4240</v>
      </c>
      <c r="F1468" s="343" t="s">
        <v>682</v>
      </c>
      <c r="I1468" s="345">
        <v>35</v>
      </c>
      <c r="J1468" s="347">
        <v>0</v>
      </c>
      <c r="K1468" s="345">
        <v>0</v>
      </c>
      <c r="L1468" s="347" t="s">
        <v>2403</v>
      </c>
      <c r="M1468" s="347"/>
      <c r="N1468" s="347" t="s">
        <v>4446</v>
      </c>
      <c r="O1468" s="347" t="s">
        <v>4441</v>
      </c>
      <c r="P1468" s="347"/>
      <c r="Q1468" s="347" t="s">
        <v>4459</v>
      </c>
      <c r="R1468" s="347" t="s">
        <v>4450</v>
      </c>
      <c r="S1468" s="348">
        <v>39329</v>
      </c>
      <c r="T1468" s="348">
        <v>39329</v>
      </c>
      <c r="U1468" s="347" t="s">
        <v>3371</v>
      </c>
      <c r="V1468" s="345">
        <v>1200</v>
      </c>
      <c r="W1468" s="345">
        <v>14050</v>
      </c>
      <c r="X1468" s="349">
        <v>16450.560000000001</v>
      </c>
      <c r="Y1468" s="345">
        <v>14056</v>
      </c>
      <c r="Z1468" s="349">
        <v>16450.560000000001</v>
      </c>
      <c r="AA1468" s="349">
        <f t="shared" si="107"/>
        <v>0</v>
      </c>
      <c r="AB1468" s="349">
        <v>0</v>
      </c>
      <c r="AC1468" s="345">
        <v>54260</v>
      </c>
      <c r="AD1468" s="349">
        <v>0</v>
      </c>
      <c r="AE1468" s="345" t="s">
        <v>944</v>
      </c>
      <c r="AF1468" s="347"/>
      <c r="AG1468" s="347"/>
      <c r="AH1468" s="347" t="s">
        <v>57</v>
      </c>
      <c r="AI1468" s="347" t="s">
        <v>4442</v>
      </c>
      <c r="AJ1468" s="347" t="s">
        <v>4443</v>
      </c>
      <c r="AK1468" s="347" t="s">
        <v>4437</v>
      </c>
      <c r="AL1468" s="387">
        <v>45574</v>
      </c>
    </row>
    <row r="1469" spans="2:38" ht="15.75" outlineLevel="1">
      <c r="B1469" s="345">
        <v>2111</v>
      </c>
      <c r="C1469" s="346">
        <v>52045</v>
      </c>
      <c r="D1469" s="345">
        <v>6677</v>
      </c>
      <c r="E1469" s="347" t="s">
        <v>4240</v>
      </c>
      <c r="F1469" s="343" t="s">
        <v>3372</v>
      </c>
      <c r="I1469" s="345">
        <v>1</v>
      </c>
      <c r="J1469" s="347"/>
      <c r="K1469" s="345">
        <v>0</v>
      </c>
      <c r="L1469" s="347"/>
      <c r="M1469" s="347"/>
      <c r="N1469" s="347" t="s">
        <v>4452</v>
      </c>
      <c r="O1469" s="347" t="s">
        <v>4441</v>
      </c>
      <c r="P1469" s="347"/>
      <c r="Q1469" s="347"/>
      <c r="R1469" s="347"/>
      <c r="S1469" s="348">
        <v>39294</v>
      </c>
      <c r="T1469" s="348">
        <v>39294</v>
      </c>
      <c r="U1469" s="347" t="s">
        <v>3360</v>
      </c>
      <c r="V1469" s="345">
        <v>1000</v>
      </c>
      <c r="W1469" s="345">
        <v>14080</v>
      </c>
      <c r="X1469" s="349">
        <v>3564.49</v>
      </c>
      <c r="Y1469" s="345">
        <v>14086</v>
      </c>
      <c r="Z1469" s="349">
        <v>3564.49</v>
      </c>
      <c r="AA1469" s="349">
        <f t="shared" si="107"/>
        <v>0</v>
      </c>
      <c r="AB1469" s="349">
        <v>0</v>
      </c>
      <c r="AC1469" s="345">
        <v>57260</v>
      </c>
      <c r="AD1469" s="349">
        <v>0</v>
      </c>
      <c r="AE1469" s="345" t="s">
        <v>944</v>
      </c>
      <c r="AF1469" s="347">
        <v>0</v>
      </c>
      <c r="AG1469" s="347"/>
      <c r="AH1469" s="347" t="s">
        <v>57</v>
      </c>
      <c r="AI1469" s="347" t="s">
        <v>4442</v>
      </c>
      <c r="AJ1469" s="347" t="s">
        <v>4443</v>
      </c>
      <c r="AK1469" s="347" t="s">
        <v>4437</v>
      </c>
      <c r="AL1469" s="387">
        <v>45574</v>
      </c>
    </row>
    <row r="1470" spans="2:38" ht="15.75" outlineLevel="1">
      <c r="B1470" s="345">
        <v>2111</v>
      </c>
      <c r="C1470" s="346">
        <v>51546</v>
      </c>
      <c r="D1470" s="345">
        <v>6677</v>
      </c>
      <c r="E1470" s="347" t="s">
        <v>4240</v>
      </c>
      <c r="F1470" s="343" t="s">
        <v>3374</v>
      </c>
      <c r="I1470" s="345">
        <v>1</v>
      </c>
      <c r="J1470" s="347"/>
      <c r="K1470" s="345">
        <v>0</v>
      </c>
      <c r="L1470" s="347"/>
      <c r="M1470" s="347"/>
      <c r="N1470" s="347" t="s">
        <v>4452</v>
      </c>
      <c r="O1470" s="347" t="s">
        <v>4441</v>
      </c>
      <c r="P1470" s="347"/>
      <c r="Q1470" s="347"/>
      <c r="R1470" s="347"/>
      <c r="S1470" s="348">
        <v>39294</v>
      </c>
      <c r="T1470" s="348">
        <v>39294</v>
      </c>
      <c r="U1470" s="347" t="s">
        <v>3360</v>
      </c>
      <c r="V1470" s="345">
        <v>1000</v>
      </c>
      <c r="W1470" s="345">
        <v>14080</v>
      </c>
      <c r="X1470" s="349">
        <v>28205.23</v>
      </c>
      <c r="Y1470" s="345">
        <v>14086</v>
      </c>
      <c r="Z1470" s="349">
        <v>28205.23</v>
      </c>
      <c r="AA1470" s="349">
        <f t="shared" si="107"/>
        <v>0</v>
      </c>
      <c r="AB1470" s="349">
        <v>0</v>
      </c>
      <c r="AC1470" s="345">
        <v>57260</v>
      </c>
      <c r="AD1470" s="349">
        <v>0</v>
      </c>
      <c r="AE1470" s="345" t="s">
        <v>944</v>
      </c>
      <c r="AF1470" s="347">
        <v>0</v>
      </c>
      <c r="AG1470" s="347"/>
      <c r="AH1470" s="347" t="s">
        <v>57</v>
      </c>
      <c r="AI1470" s="347" t="s">
        <v>4442</v>
      </c>
      <c r="AJ1470" s="347" t="s">
        <v>4443</v>
      </c>
      <c r="AK1470" s="347" t="s">
        <v>4437</v>
      </c>
      <c r="AL1470" s="387">
        <v>45574</v>
      </c>
    </row>
    <row r="1471" spans="2:38" ht="15.75" outlineLevel="1">
      <c r="B1471" s="345">
        <v>2111</v>
      </c>
      <c r="C1471" s="346">
        <v>51497</v>
      </c>
      <c r="D1471" s="345" t="s">
        <v>944</v>
      </c>
      <c r="E1471" s="347" t="s">
        <v>4240</v>
      </c>
      <c r="F1471" s="343" t="s">
        <v>3375</v>
      </c>
      <c r="I1471" s="345">
        <v>1</v>
      </c>
      <c r="J1471" s="347">
        <v>0</v>
      </c>
      <c r="K1471" s="345">
        <v>0</v>
      </c>
      <c r="L1471" s="347"/>
      <c r="M1471" s="347"/>
      <c r="N1471" s="347" t="s">
        <v>4440</v>
      </c>
      <c r="O1471" s="347" t="s">
        <v>4441</v>
      </c>
      <c r="P1471" s="347"/>
      <c r="Q1471" s="347"/>
      <c r="R1471" s="347"/>
      <c r="S1471" s="348">
        <v>39285</v>
      </c>
      <c r="T1471" s="348">
        <v>39285</v>
      </c>
      <c r="U1471" s="347" t="s">
        <v>3376</v>
      </c>
      <c r="V1471" s="345">
        <v>300</v>
      </c>
      <c r="W1471" s="345">
        <v>14110</v>
      </c>
      <c r="X1471" s="349">
        <v>1338.74</v>
      </c>
      <c r="Y1471" s="345">
        <v>14116</v>
      </c>
      <c r="Z1471" s="349">
        <v>1338.74</v>
      </c>
      <c r="AA1471" s="349">
        <f t="shared" si="107"/>
        <v>0</v>
      </c>
      <c r="AB1471" s="349">
        <v>0</v>
      </c>
      <c r="AC1471" s="345">
        <v>70260</v>
      </c>
      <c r="AD1471" s="349">
        <v>0</v>
      </c>
      <c r="AE1471" s="345" t="s">
        <v>944</v>
      </c>
      <c r="AF1471" s="347"/>
      <c r="AG1471" s="347"/>
      <c r="AH1471" s="347" t="s">
        <v>57</v>
      </c>
      <c r="AI1471" s="347" t="s">
        <v>4442</v>
      </c>
      <c r="AJ1471" s="347" t="s">
        <v>4443</v>
      </c>
      <c r="AK1471" s="347" t="s">
        <v>4437</v>
      </c>
      <c r="AL1471" s="387">
        <v>45574</v>
      </c>
    </row>
    <row r="1472" spans="2:38" ht="15.75" outlineLevel="1">
      <c r="B1472" s="345">
        <v>2111</v>
      </c>
      <c r="C1472" s="346">
        <v>51122</v>
      </c>
      <c r="D1472" s="345">
        <v>50359</v>
      </c>
      <c r="E1472" s="347" t="s">
        <v>4240</v>
      </c>
      <c r="F1472" s="343" t="s">
        <v>3378</v>
      </c>
      <c r="I1472" s="345">
        <v>1</v>
      </c>
      <c r="J1472" s="347">
        <v>0</v>
      </c>
      <c r="K1472" s="345">
        <v>0</v>
      </c>
      <c r="L1472" s="347" t="s">
        <v>3379</v>
      </c>
      <c r="M1472" s="347"/>
      <c r="N1472" s="347" t="s">
        <v>4477</v>
      </c>
      <c r="O1472" s="347" t="s">
        <v>4477</v>
      </c>
      <c r="P1472" s="347"/>
      <c r="Q1472" s="347"/>
      <c r="R1472" s="347"/>
      <c r="S1472" s="348">
        <v>39217</v>
      </c>
      <c r="T1472" s="348">
        <v>39217</v>
      </c>
      <c r="U1472" s="347" t="s">
        <v>3326</v>
      </c>
      <c r="V1472" s="345">
        <v>300</v>
      </c>
      <c r="W1472" s="345">
        <v>14090</v>
      </c>
      <c r="X1472" s="349">
        <v>1872.72</v>
      </c>
      <c r="Y1472" s="345">
        <v>14096</v>
      </c>
      <c r="Z1472" s="349">
        <v>1872.72</v>
      </c>
      <c r="AA1472" s="349">
        <f t="shared" si="107"/>
        <v>0</v>
      </c>
      <c r="AB1472" s="349">
        <v>0</v>
      </c>
      <c r="AC1472" s="345">
        <v>57260</v>
      </c>
      <c r="AD1472" s="349">
        <v>0</v>
      </c>
      <c r="AE1472" s="345" t="s">
        <v>944</v>
      </c>
      <c r="AF1472" s="347"/>
      <c r="AG1472" s="347"/>
      <c r="AH1472" s="347" t="s">
        <v>57</v>
      </c>
      <c r="AI1472" s="347" t="s">
        <v>4442</v>
      </c>
      <c r="AJ1472" s="347" t="s">
        <v>4443</v>
      </c>
      <c r="AK1472" s="347" t="s">
        <v>4437</v>
      </c>
      <c r="AL1472" s="387">
        <v>45574</v>
      </c>
    </row>
    <row r="1473" spans="2:38" ht="15.75" outlineLevel="1">
      <c r="B1473" s="345">
        <v>2111</v>
      </c>
      <c r="C1473" s="346">
        <v>50490</v>
      </c>
      <c r="D1473" s="345" t="s">
        <v>944</v>
      </c>
      <c r="E1473" s="347" t="s">
        <v>4240</v>
      </c>
      <c r="F1473" s="343" t="s">
        <v>696</v>
      </c>
      <c r="I1473" s="345">
        <v>4</v>
      </c>
      <c r="J1473" s="347">
        <v>0</v>
      </c>
      <c r="K1473" s="345">
        <v>0</v>
      </c>
      <c r="L1473" s="347" t="s">
        <v>2257</v>
      </c>
      <c r="M1473" s="347"/>
      <c r="N1473" s="347" t="s">
        <v>4446</v>
      </c>
      <c r="O1473" s="347" t="s">
        <v>4441</v>
      </c>
      <c r="P1473" s="347"/>
      <c r="Q1473" s="347" t="s">
        <v>4479</v>
      </c>
      <c r="R1473" s="347" t="s">
        <v>4450</v>
      </c>
      <c r="S1473" s="348">
        <v>39233</v>
      </c>
      <c r="T1473" s="348">
        <v>39233</v>
      </c>
      <c r="U1473" s="347" t="s">
        <v>3381</v>
      </c>
      <c r="V1473" s="345">
        <v>1200</v>
      </c>
      <c r="W1473" s="345">
        <v>14050</v>
      </c>
      <c r="X1473" s="349">
        <v>3245.22</v>
      </c>
      <c r="Y1473" s="345">
        <v>14056</v>
      </c>
      <c r="Z1473" s="349">
        <v>3245.22</v>
      </c>
      <c r="AA1473" s="349">
        <f t="shared" si="107"/>
        <v>0</v>
      </c>
      <c r="AB1473" s="349">
        <v>0</v>
      </c>
      <c r="AC1473" s="345">
        <v>54260</v>
      </c>
      <c r="AD1473" s="349">
        <v>0</v>
      </c>
      <c r="AE1473" s="345" t="s">
        <v>944</v>
      </c>
      <c r="AF1473" s="347"/>
      <c r="AG1473" s="347"/>
      <c r="AH1473" s="347" t="s">
        <v>57</v>
      </c>
      <c r="AI1473" s="347" t="s">
        <v>4442</v>
      </c>
      <c r="AJ1473" s="347" t="s">
        <v>4443</v>
      </c>
      <c r="AK1473" s="347" t="s">
        <v>4437</v>
      </c>
      <c r="AL1473" s="387">
        <v>45574</v>
      </c>
    </row>
    <row r="1474" spans="2:38" ht="15.75" outlineLevel="1">
      <c r="B1474" s="345">
        <v>2111</v>
      </c>
      <c r="C1474" s="346">
        <v>50359</v>
      </c>
      <c r="D1474" s="345" t="s">
        <v>944</v>
      </c>
      <c r="E1474" s="347" t="s">
        <v>4240</v>
      </c>
      <c r="F1474" s="343" t="s">
        <v>3378</v>
      </c>
      <c r="I1474" s="345">
        <v>1</v>
      </c>
      <c r="J1474" s="347">
        <v>0</v>
      </c>
      <c r="K1474" s="345">
        <v>0</v>
      </c>
      <c r="L1474" s="347" t="s">
        <v>3379</v>
      </c>
      <c r="M1474" s="347"/>
      <c r="N1474" s="347" t="s">
        <v>4477</v>
      </c>
      <c r="O1474" s="347" t="s">
        <v>4477</v>
      </c>
      <c r="P1474" s="347"/>
      <c r="Q1474" s="347"/>
      <c r="R1474" s="347"/>
      <c r="S1474" s="348">
        <v>39217</v>
      </c>
      <c r="T1474" s="348">
        <v>39217</v>
      </c>
      <c r="U1474" s="347" t="s">
        <v>3326</v>
      </c>
      <c r="V1474" s="345">
        <v>107</v>
      </c>
      <c r="W1474" s="345">
        <v>14090</v>
      </c>
      <c r="X1474" s="349">
        <v>1872.72</v>
      </c>
      <c r="Y1474" s="345">
        <v>14096</v>
      </c>
      <c r="Z1474" s="349">
        <v>1872.72</v>
      </c>
      <c r="AA1474" s="349">
        <f t="shared" si="107"/>
        <v>0</v>
      </c>
      <c r="AB1474" s="349">
        <v>0</v>
      </c>
      <c r="AC1474" s="345">
        <v>57260</v>
      </c>
      <c r="AD1474" s="349">
        <v>0</v>
      </c>
      <c r="AE1474" s="345" t="s">
        <v>944</v>
      </c>
      <c r="AF1474" s="347"/>
      <c r="AG1474" s="347"/>
      <c r="AH1474" s="347" t="s">
        <v>57</v>
      </c>
      <c r="AI1474" s="347" t="s">
        <v>4442</v>
      </c>
      <c r="AJ1474" s="347" t="s">
        <v>4443</v>
      </c>
      <c r="AK1474" s="347" t="s">
        <v>4437</v>
      </c>
      <c r="AL1474" s="387">
        <v>45574</v>
      </c>
    </row>
    <row r="1475" spans="2:38" ht="15.75" outlineLevel="1">
      <c r="B1475" s="345">
        <v>2111</v>
      </c>
      <c r="C1475" s="346">
        <v>50276</v>
      </c>
      <c r="D1475" s="345" t="s">
        <v>944</v>
      </c>
      <c r="E1475" s="347" t="s">
        <v>4240</v>
      </c>
      <c r="F1475" s="343" t="s">
        <v>682</v>
      </c>
      <c r="I1475" s="345">
        <v>8</v>
      </c>
      <c r="J1475" s="347">
        <v>0</v>
      </c>
      <c r="K1475" s="345">
        <v>0</v>
      </c>
      <c r="L1475" s="347" t="s">
        <v>2257</v>
      </c>
      <c r="M1475" s="347"/>
      <c r="N1475" s="347" t="s">
        <v>4446</v>
      </c>
      <c r="O1475" s="347" t="s">
        <v>4441</v>
      </c>
      <c r="P1475" s="347"/>
      <c r="Q1475" s="347" t="s">
        <v>4459</v>
      </c>
      <c r="R1475" s="347" t="s">
        <v>4450</v>
      </c>
      <c r="S1475" s="348">
        <v>39220</v>
      </c>
      <c r="T1475" s="348">
        <v>39220</v>
      </c>
      <c r="U1475" s="347" t="s">
        <v>3382</v>
      </c>
      <c r="V1475" s="345">
        <v>1200</v>
      </c>
      <c r="W1475" s="345">
        <v>14050</v>
      </c>
      <c r="X1475" s="349">
        <v>3789.72</v>
      </c>
      <c r="Y1475" s="345">
        <v>14056</v>
      </c>
      <c r="Z1475" s="349">
        <v>3789.72</v>
      </c>
      <c r="AA1475" s="349">
        <f t="shared" si="107"/>
        <v>0</v>
      </c>
      <c r="AB1475" s="349">
        <v>0</v>
      </c>
      <c r="AC1475" s="345">
        <v>54260</v>
      </c>
      <c r="AD1475" s="349">
        <v>0</v>
      </c>
      <c r="AE1475" s="345" t="s">
        <v>944</v>
      </c>
      <c r="AF1475" s="347"/>
      <c r="AG1475" s="347"/>
      <c r="AH1475" s="347" t="s">
        <v>57</v>
      </c>
      <c r="AI1475" s="347" t="s">
        <v>4442</v>
      </c>
      <c r="AJ1475" s="347" t="s">
        <v>4443</v>
      </c>
      <c r="AK1475" s="347" t="s">
        <v>4437</v>
      </c>
      <c r="AL1475" s="387">
        <v>45574</v>
      </c>
    </row>
    <row r="1476" spans="2:38" ht="15.75" outlineLevel="1">
      <c r="B1476" s="345">
        <v>2111</v>
      </c>
      <c r="C1476" s="346">
        <v>50275</v>
      </c>
      <c r="D1476" s="345" t="s">
        <v>944</v>
      </c>
      <c r="E1476" s="347" t="s">
        <v>4240</v>
      </c>
      <c r="F1476" s="343" t="s">
        <v>682</v>
      </c>
      <c r="I1476" s="345">
        <v>12</v>
      </c>
      <c r="J1476" s="347">
        <v>0</v>
      </c>
      <c r="K1476" s="345">
        <v>0</v>
      </c>
      <c r="L1476" s="347" t="s">
        <v>2257</v>
      </c>
      <c r="M1476" s="347"/>
      <c r="N1476" s="347" t="s">
        <v>4446</v>
      </c>
      <c r="O1476" s="347" t="s">
        <v>4441</v>
      </c>
      <c r="P1476" s="347"/>
      <c r="Q1476" s="347" t="s">
        <v>4459</v>
      </c>
      <c r="R1476" s="347" t="s">
        <v>4450</v>
      </c>
      <c r="S1476" s="348">
        <v>39219</v>
      </c>
      <c r="T1476" s="348">
        <v>39219</v>
      </c>
      <c r="U1476" s="347" t="s">
        <v>3382</v>
      </c>
      <c r="V1476" s="345">
        <v>1200</v>
      </c>
      <c r="W1476" s="345">
        <v>14050</v>
      </c>
      <c r="X1476" s="349">
        <v>5684.58</v>
      </c>
      <c r="Y1476" s="345">
        <v>14056</v>
      </c>
      <c r="Z1476" s="349">
        <v>5684.58</v>
      </c>
      <c r="AA1476" s="349">
        <f t="shared" si="107"/>
        <v>0</v>
      </c>
      <c r="AB1476" s="349">
        <v>0</v>
      </c>
      <c r="AC1476" s="345">
        <v>54260</v>
      </c>
      <c r="AD1476" s="349">
        <v>0</v>
      </c>
      <c r="AE1476" s="345" t="s">
        <v>944</v>
      </c>
      <c r="AF1476" s="347"/>
      <c r="AG1476" s="347"/>
      <c r="AH1476" s="347" t="s">
        <v>57</v>
      </c>
      <c r="AI1476" s="347" t="s">
        <v>4442</v>
      </c>
      <c r="AJ1476" s="347" t="s">
        <v>4443</v>
      </c>
      <c r="AK1476" s="347" t="s">
        <v>4437</v>
      </c>
      <c r="AL1476" s="387">
        <v>45574</v>
      </c>
    </row>
    <row r="1477" spans="2:38" ht="15.75" outlineLevel="1">
      <c r="B1477" s="345">
        <v>2111</v>
      </c>
      <c r="C1477" s="346">
        <v>50274</v>
      </c>
      <c r="D1477" s="345" t="s">
        <v>944</v>
      </c>
      <c r="E1477" s="347" t="s">
        <v>4240</v>
      </c>
      <c r="F1477" s="343" t="s">
        <v>681</v>
      </c>
      <c r="I1477" s="345">
        <v>20</v>
      </c>
      <c r="J1477" s="347">
        <v>0</v>
      </c>
      <c r="K1477" s="345">
        <v>0</v>
      </c>
      <c r="L1477" s="347" t="s">
        <v>2257</v>
      </c>
      <c r="M1477" s="347"/>
      <c r="N1477" s="347" t="s">
        <v>4446</v>
      </c>
      <c r="O1477" s="347" t="s">
        <v>4441</v>
      </c>
      <c r="P1477" s="347"/>
      <c r="Q1477" s="347" t="s">
        <v>4449</v>
      </c>
      <c r="R1477" s="347" t="s">
        <v>4450</v>
      </c>
      <c r="S1477" s="348">
        <v>39219</v>
      </c>
      <c r="T1477" s="348">
        <v>39219</v>
      </c>
      <c r="U1477" s="347" t="s">
        <v>3383</v>
      </c>
      <c r="V1477" s="345">
        <v>1200</v>
      </c>
      <c r="W1477" s="345">
        <v>14050</v>
      </c>
      <c r="X1477" s="349">
        <v>8820.9</v>
      </c>
      <c r="Y1477" s="345">
        <v>14056</v>
      </c>
      <c r="Z1477" s="349">
        <v>8820.9</v>
      </c>
      <c r="AA1477" s="349">
        <f t="shared" si="107"/>
        <v>0</v>
      </c>
      <c r="AB1477" s="349">
        <v>0</v>
      </c>
      <c r="AC1477" s="345">
        <v>54260</v>
      </c>
      <c r="AD1477" s="349">
        <v>0</v>
      </c>
      <c r="AE1477" s="345" t="s">
        <v>944</v>
      </c>
      <c r="AF1477" s="347"/>
      <c r="AG1477" s="347"/>
      <c r="AH1477" s="347" t="s">
        <v>57</v>
      </c>
      <c r="AI1477" s="347" t="s">
        <v>4442</v>
      </c>
      <c r="AJ1477" s="347" t="s">
        <v>4443</v>
      </c>
      <c r="AK1477" s="347" t="s">
        <v>4437</v>
      </c>
      <c r="AL1477" s="387">
        <v>45574</v>
      </c>
    </row>
    <row r="1478" spans="2:38" ht="15.75" outlineLevel="1">
      <c r="B1478" s="345">
        <v>2111</v>
      </c>
      <c r="C1478" s="346">
        <v>50150</v>
      </c>
      <c r="D1478" s="345" t="s">
        <v>944</v>
      </c>
      <c r="E1478" s="347" t="s">
        <v>4240</v>
      </c>
      <c r="F1478" s="343" t="s">
        <v>593</v>
      </c>
      <c r="I1478" s="345">
        <v>486</v>
      </c>
      <c r="J1478" s="347">
        <v>0</v>
      </c>
      <c r="K1478" s="345">
        <v>0</v>
      </c>
      <c r="L1478" s="347" t="s">
        <v>2245</v>
      </c>
      <c r="M1478" s="347"/>
      <c r="N1478" s="347" t="s">
        <v>4446</v>
      </c>
      <c r="O1478" s="347" t="s">
        <v>4441</v>
      </c>
      <c r="P1478" s="347"/>
      <c r="Q1478" s="347"/>
      <c r="R1478" s="347"/>
      <c r="S1478" s="348">
        <v>39216</v>
      </c>
      <c r="T1478" s="348">
        <v>39216</v>
      </c>
      <c r="U1478" s="347" t="s">
        <v>3384</v>
      </c>
      <c r="V1478" s="345">
        <v>700</v>
      </c>
      <c r="W1478" s="345">
        <v>14050</v>
      </c>
      <c r="X1478" s="349">
        <v>26554.73</v>
      </c>
      <c r="Y1478" s="345">
        <v>14056</v>
      </c>
      <c r="Z1478" s="349">
        <v>26554.73</v>
      </c>
      <c r="AA1478" s="349">
        <f t="shared" si="107"/>
        <v>0</v>
      </c>
      <c r="AB1478" s="349">
        <v>0</v>
      </c>
      <c r="AC1478" s="345">
        <v>54260</v>
      </c>
      <c r="AD1478" s="349">
        <v>0</v>
      </c>
      <c r="AE1478" s="345" t="s">
        <v>944</v>
      </c>
      <c r="AF1478" s="347"/>
      <c r="AG1478" s="347"/>
      <c r="AH1478" s="347" t="s">
        <v>57</v>
      </c>
      <c r="AI1478" s="347" t="s">
        <v>4442</v>
      </c>
      <c r="AJ1478" s="347" t="s">
        <v>4443</v>
      </c>
      <c r="AK1478" s="347" t="s">
        <v>4437</v>
      </c>
      <c r="AL1478" s="387">
        <v>45574</v>
      </c>
    </row>
    <row r="1479" spans="2:38" ht="15.75" outlineLevel="1">
      <c r="B1479" s="345">
        <v>2111</v>
      </c>
      <c r="C1479" s="346">
        <v>50136</v>
      </c>
      <c r="D1479" s="345" t="s">
        <v>944</v>
      </c>
      <c r="E1479" s="347" t="s">
        <v>4240</v>
      </c>
      <c r="F1479" s="343" t="s">
        <v>593</v>
      </c>
      <c r="I1479" s="345">
        <v>427</v>
      </c>
      <c r="J1479" s="347">
        <v>0</v>
      </c>
      <c r="K1479" s="345">
        <v>0</v>
      </c>
      <c r="L1479" s="347" t="s">
        <v>3369</v>
      </c>
      <c r="M1479" s="347"/>
      <c r="N1479" s="347" t="s">
        <v>4446</v>
      </c>
      <c r="O1479" s="347" t="s">
        <v>4441</v>
      </c>
      <c r="P1479" s="347"/>
      <c r="Q1479" s="347"/>
      <c r="R1479" s="347"/>
      <c r="S1479" s="348">
        <v>39205</v>
      </c>
      <c r="T1479" s="348">
        <v>39205</v>
      </c>
      <c r="U1479" s="347" t="s">
        <v>3386</v>
      </c>
      <c r="V1479" s="345">
        <v>700</v>
      </c>
      <c r="W1479" s="345">
        <v>14050</v>
      </c>
      <c r="X1479" s="349">
        <v>20171.91</v>
      </c>
      <c r="Y1479" s="345">
        <v>14056</v>
      </c>
      <c r="Z1479" s="349">
        <v>20171.91</v>
      </c>
      <c r="AA1479" s="349">
        <f t="shared" si="107"/>
        <v>0</v>
      </c>
      <c r="AB1479" s="349">
        <v>0</v>
      </c>
      <c r="AC1479" s="345">
        <v>54260</v>
      </c>
      <c r="AD1479" s="349">
        <v>0</v>
      </c>
      <c r="AE1479" s="345" t="s">
        <v>944</v>
      </c>
      <c r="AF1479" s="347"/>
      <c r="AG1479" s="347"/>
      <c r="AH1479" s="347" t="s">
        <v>57</v>
      </c>
      <c r="AI1479" s="347" t="s">
        <v>4442</v>
      </c>
      <c r="AJ1479" s="347" t="s">
        <v>4443</v>
      </c>
      <c r="AK1479" s="347" t="s">
        <v>4437</v>
      </c>
      <c r="AL1479" s="387">
        <v>45574</v>
      </c>
    </row>
    <row r="1480" spans="2:38" ht="15.75" outlineLevel="1">
      <c r="B1480" s="345">
        <v>2111</v>
      </c>
      <c r="C1480" s="346">
        <v>50135</v>
      </c>
      <c r="D1480" s="345" t="s">
        <v>944</v>
      </c>
      <c r="E1480" s="347" t="s">
        <v>4240</v>
      </c>
      <c r="F1480" s="343" t="s">
        <v>593</v>
      </c>
      <c r="I1480" s="345">
        <v>427</v>
      </c>
      <c r="J1480" s="347">
        <v>0</v>
      </c>
      <c r="K1480" s="345">
        <v>0</v>
      </c>
      <c r="L1480" s="347" t="s">
        <v>3369</v>
      </c>
      <c r="M1480" s="347"/>
      <c r="N1480" s="347" t="s">
        <v>4446</v>
      </c>
      <c r="O1480" s="347" t="s">
        <v>4441</v>
      </c>
      <c r="P1480" s="347"/>
      <c r="Q1480" s="347"/>
      <c r="R1480" s="347"/>
      <c r="S1480" s="348">
        <v>39203</v>
      </c>
      <c r="T1480" s="348">
        <v>39203</v>
      </c>
      <c r="U1480" s="347" t="s">
        <v>3386</v>
      </c>
      <c r="V1480" s="345">
        <v>700</v>
      </c>
      <c r="W1480" s="345">
        <v>14050</v>
      </c>
      <c r="X1480" s="349">
        <v>23353.89</v>
      </c>
      <c r="Y1480" s="345">
        <v>14056</v>
      </c>
      <c r="Z1480" s="349">
        <v>23353.89</v>
      </c>
      <c r="AA1480" s="349">
        <f t="shared" si="107"/>
        <v>0</v>
      </c>
      <c r="AB1480" s="349">
        <v>0</v>
      </c>
      <c r="AC1480" s="345">
        <v>54260</v>
      </c>
      <c r="AD1480" s="349">
        <v>0</v>
      </c>
      <c r="AE1480" s="345" t="s">
        <v>944</v>
      </c>
      <c r="AF1480" s="347"/>
      <c r="AG1480" s="347"/>
      <c r="AH1480" s="347" t="s">
        <v>57</v>
      </c>
      <c r="AI1480" s="347" t="s">
        <v>4442</v>
      </c>
      <c r="AJ1480" s="347" t="s">
        <v>4443</v>
      </c>
      <c r="AK1480" s="347" t="s">
        <v>4437</v>
      </c>
      <c r="AL1480" s="387">
        <v>45574</v>
      </c>
    </row>
    <row r="1481" spans="2:38" ht="15.75" outlineLevel="1">
      <c r="B1481" s="345">
        <v>2111</v>
      </c>
      <c r="C1481" s="346">
        <v>50085</v>
      </c>
      <c r="D1481" s="345" t="s">
        <v>944</v>
      </c>
      <c r="E1481" s="347" t="s">
        <v>4240</v>
      </c>
      <c r="F1481" s="343" t="s">
        <v>2431</v>
      </c>
      <c r="I1481" s="345">
        <v>300</v>
      </c>
      <c r="J1481" s="347">
        <v>0</v>
      </c>
      <c r="K1481" s="345">
        <v>0</v>
      </c>
      <c r="L1481" s="347" t="s">
        <v>2342</v>
      </c>
      <c r="M1481" s="347"/>
      <c r="N1481" s="347" t="s">
        <v>4446</v>
      </c>
      <c r="O1481" s="347" t="s">
        <v>4441</v>
      </c>
      <c r="P1481" s="347"/>
      <c r="Q1481" s="347"/>
      <c r="R1481" s="347"/>
      <c r="S1481" s="348">
        <v>39083</v>
      </c>
      <c r="T1481" s="348">
        <v>39083</v>
      </c>
      <c r="U1481" s="347" t="s">
        <v>3389</v>
      </c>
      <c r="V1481" s="345">
        <v>611</v>
      </c>
      <c r="W1481" s="345">
        <v>14050</v>
      </c>
      <c r="X1481" s="349">
        <v>18278.400000000001</v>
      </c>
      <c r="Y1481" s="345">
        <v>14056</v>
      </c>
      <c r="Z1481" s="349">
        <v>18278.400000000001</v>
      </c>
      <c r="AA1481" s="349">
        <f t="shared" si="107"/>
        <v>0</v>
      </c>
      <c r="AB1481" s="349">
        <v>0</v>
      </c>
      <c r="AC1481" s="345">
        <v>54260</v>
      </c>
      <c r="AD1481" s="349">
        <v>0</v>
      </c>
      <c r="AE1481" s="345" t="s">
        <v>944</v>
      </c>
      <c r="AF1481" s="347"/>
      <c r="AG1481" s="347"/>
      <c r="AH1481" s="347" t="s">
        <v>57</v>
      </c>
      <c r="AI1481" s="347" t="s">
        <v>4442</v>
      </c>
      <c r="AJ1481" s="347" t="s">
        <v>4443</v>
      </c>
      <c r="AK1481" s="347" t="s">
        <v>4437</v>
      </c>
      <c r="AL1481" s="387">
        <v>45574</v>
      </c>
    </row>
    <row r="1482" spans="2:38" ht="15.75" outlineLevel="1">
      <c r="B1482" s="345">
        <v>2111</v>
      </c>
      <c r="C1482" s="346">
        <v>49173</v>
      </c>
      <c r="D1482" s="345" t="s">
        <v>944</v>
      </c>
      <c r="E1482" s="347" t="s">
        <v>4240</v>
      </c>
      <c r="F1482" s="343" t="s">
        <v>3391</v>
      </c>
      <c r="I1482" s="345">
        <v>1</v>
      </c>
      <c r="J1482" s="347">
        <v>0</v>
      </c>
      <c r="K1482" s="345">
        <v>0</v>
      </c>
      <c r="L1482" s="347" t="s">
        <v>2342</v>
      </c>
      <c r="M1482" s="347"/>
      <c r="N1482" s="347" t="s">
        <v>4446</v>
      </c>
      <c r="O1482" s="347" t="s">
        <v>4441</v>
      </c>
      <c r="P1482" s="347"/>
      <c r="Q1482" s="347"/>
      <c r="R1482" s="347"/>
      <c r="S1482" s="348">
        <v>39169</v>
      </c>
      <c r="T1482" s="348">
        <v>39169</v>
      </c>
      <c r="U1482" s="347" t="s">
        <v>3392</v>
      </c>
      <c r="V1482" s="345">
        <v>700</v>
      </c>
      <c r="W1482" s="345">
        <v>14050</v>
      </c>
      <c r="X1482" s="349">
        <v>1599.36</v>
      </c>
      <c r="Y1482" s="345">
        <v>14056</v>
      </c>
      <c r="Z1482" s="349">
        <v>1599.36</v>
      </c>
      <c r="AA1482" s="349">
        <f t="shared" si="107"/>
        <v>0</v>
      </c>
      <c r="AB1482" s="349">
        <v>0</v>
      </c>
      <c r="AC1482" s="345">
        <v>54260</v>
      </c>
      <c r="AD1482" s="349">
        <v>0</v>
      </c>
      <c r="AE1482" s="345" t="s">
        <v>944</v>
      </c>
      <c r="AF1482" s="347"/>
      <c r="AG1482" s="347"/>
      <c r="AH1482" s="347" t="s">
        <v>57</v>
      </c>
      <c r="AI1482" s="347" t="s">
        <v>4442</v>
      </c>
      <c r="AJ1482" s="347" t="s">
        <v>4443</v>
      </c>
      <c r="AK1482" s="347" t="s">
        <v>4437</v>
      </c>
      <c r="AL1482" s="387">
        <v>45574</v>
      </c>
    </row>
    <row r="1483" spans="2:38" ht="15.75" outlineLevel="1">
      <c r="B1483" s="345">
        <v>2111</v>
      </c>
      <c r="C1483" s="346">
        <v>49172</v>
      </c>
      <c r="D1483" s="345" t="s">
        <v>944</v>
      </c>
      <c r="E1483" s="347" t="s">
        <v>4240</v>
      </c>
      <c r="F1483" s="343" t="s">
        <v>2431</v>
      </c>
      <c r="I1483" s="345">
        <v>588</v>
      </c>
      <c r="J1483" s="347">
        <v>0</v>
      </c>
      <c r="K1483" s="345">
        <v>0</v>
      </c>
      <c r="L1483" s="347" t="s">
        <v>2342</v>
      </c>
      <c r="M1483" s="347"/>
      <c r="N1483" s="347" t="s">
        <v>4446</v>
      </c>
      <c r="O1483" s="347" t="s">
        <v>4441</v>
      </c>
      <c r="P1483" s="347"/>
      <c r="Q1483" s="347"/>
      <c r="R1483" s="347"/>
      <c r="S1483" s="348">
        <v>39168</v>
      </c>
      <c r="T1483" s="348">
        <v>39168</v>
      </c>
      <c r="U1483" s="347" t="s">
        <v>3392</v>
      </c>
      <c r="V1483" s="345">
        <v>700</v>
      </c>
      <c r="W1483" s="345">
        <v>14050</v>
      </c>
      <c r="X1483" s="349">
        <v>33421.18</v>
      </c>
      <c r="Y1483" s="345">
        <v>14056</v>
      </c>
      <c r="Z1483" s="349">
        <v>33421.18</v>
      </c>
      <c r="AA1483" s="349">
        <f t="shared" si="107"/>
        <v>0</v>
      </c>
      <c r="AB1483" s="349">
        <v>0</v>
      </c>
      <c r="AC1483" s="345">
        <v>54260</v>
      </c>
      <c r="AD1483" s="349">
        <v>0</v>
      </c>
      <c r="AE1483" s="345" t="s">
        <v>944</v>
      </c>
      <c r="AF1483" s="347"/>
      <c r="AG1483" s="347"/>
      <c r="AH1483" s="347" t="s">
        <v>57</v>
      </c>
      <c r="AI1483" s="347" t="s">
        <v>4442</v>
      </c>
      <c r="AJ1483" s="347" t="s">
        <v>4443</v>
      </c>
      <c r="AK1483" s="347" t="s">
        <v>4437</v>
      </c>
      <c r="AL1483" s="387">
        <v>45574</v>
      </c>
    </row>
    <row r="1484" spans="2:38" ht="15.75" outlineLevel="1">
      <c r="B1484" s="345">
        <v>2111</v>
      </c>
      <c r="C1484" s="346">
        <v>49075</v>
      </c>
      <c r="D1484" s="345" t="s">
        <v>944</v>
      </c>
      <c r="E1484" s="347" t="s">
        <v>4240</v>
      </c>
      <c r="F1484" s="343" t="s">
        <v>755</v>
      </c>
      <c r="I1484" s="345">
        <v>10</v>
      </c>
      <c r="J1484" s="347">
        <v>0</v>
      </c>
      <c r="K1484" s="345">
        <v>0</v>
      </c>
      <c r="L1484" s="347" t="s">
        <v>2403</v>
      </c>
      <c r="M1484" s="347"/>
      <c r="N1484" s="347" t="s">
        <v>4446</v>
      </c>
      <c r="O1484" s="347" t="s">
        <v>4441</v>
      </c>
      <c r="P1484" s="347"/>
      <c r="Q1484" s="347" t="s">
        <v>4447</v>
      </c>
      <c r="R1484" s="347" t="s">
        <v>4448</v>
      </c>
      <c r="S1484" s="348">
        <v>39163</v>
      </c>
      <c r="T1484" s="348">
        <v>39163</v>
      </c>
      <c r="U1484" s="347" t="s">
        <v>3395</v>
      </c>
      <c r="V1484" s="345">
        <v>1200</v>
      </c>
      <c r="W1484" s="345">
        <v>14050</v>
      </c>
      <c r="X1484" s="349">
        <v>51408</v>
      </c>
      <c r="Y1484" s="345">
        <v>14056</v>
      </c>
      <c r="Z1484" s="349">
        <v>51408</v>
      </c>
      <c r="AA1484" s="349">
        <f t="shared" si="107"/>
        <v>0</v>
      </c>
      <c r="AB1484" s="349">
        <v>0</v>
      </c>
      <c r="AC1484" s="345">
        <v>54260</v>
      </c>
      <c r="AD1484" s="349">
        <v>0</v>
      </c>
      <c r="AE1484" s="345" t="s">
        <v>944</v>
      </c>
      <c r="AF1484" s="347"/>
      <c r="AG1484" s="347"/>
      <c r="AH1484" s="347" t="s">
        <v>57</v>
      </c>
      <c r="AI1484" s="347" t="s">
        <v>4442</v>
      </c>
      <c r="AJ1484" s="347" t="s">
        <v>4443</v>
      </c>
      <c r="AK1484" s="347" t="s">
        <v>4437</v>
      </c>
      <c r="AL1484" s="387">
        <v>45574</v>
      </c>
    </row>
    <row r="1485" spans="2:38" ht="15.75" outlineLevel="1">
      <c r="B1485" s="345">
        <v>2111</v>
      </c>
      <c r="C1485" s="346">
        <v>48905</v>
      </c>
      <c r="D1485" s="345" t="s">
        <v>944</v>
      </c>
      <c r="E1485" s="347" t="s">
        <v>4240</v>
      </c>
      <c r="F1485" s="343" t="s">
        <v>2431</v>
      </c>
      <c r="I1485" s="345">
        <v>588</v>
      </c>
      <c r="J1485" s="347">
        <v>0</v>
      </c>
      <c r="K1485" s="345">
        <v>0</v>
      </c>
      <c r="L1485" s="347" t="s">
        <v>2342</v>
      </c>
      <c r="M1485" s="347"/>
      <c r="N1485" s="347" t="s">
        <v>4446</v>
      </c>
      <c r="O1485" s="347" t="s">
        <v>4441</v>
      </c>
      <c r="P1485" s="347"/>
      <c r="Q1485" s="347"/>
      <c r="R1485" s="347"/>
      <c r="S1485" s="348">
        <v>39136</v>
      </c>
      <c r="T1485" s="348">
        <v>39136</v>
      </c>
      <c r="U1485" s="347" t="s">
        <v>3396</v>
      </c>
      <c r="V1485" s="345">
        <v>700</v>
      </c>
      <c r="W1485" s="345">
        <v>14050</v>
      </c>
      <c r="X1485" s="349">
        <v>35020.54</v>
      </c>
      <c r="Y1485" s="345">
        <v>14056</v>
      </c>
      <c r="Z1485" s="349">
        <v>35020.54</v>
      </c>
      <c r="AA1485" s="349">
        <f t="shared" si="107"/>
        <v>0</v>
      </c>
      <c r="AB1485" s="349">
        <v>0</v>
      </c>
      <c r="AC1485" s="345">
        <v>54260</v>
      </c>
      <c r="AD1485" s="349">
        <v>0</v>
      </c>
      <c r="AE1485" s="345" t="s">
        <v>944</v>
      </c>
      <c r="AF1485" s="347"/>
      <c r="AG1485" s="347"/>
      <c r="AH1485" s="347" t="s">
        <v>57</v>
      </c>
      <c r="AI1485" s="347" t="s">
        <v>4442</v>
      </c>
      <c r="AJ1485" s="347" t="s">
        <v>4443</v>
      </c>
      <c r="AK1485" s="347" t="s">
        <v>4437</v>
      </c>
      <c r="AL1485" s="387">
        <v>45574</v>
      </c>
    </row>
    <row r="1486" spans="2:38" ht="15.75" outlineLevel="1">
      <c r="B1486" s="345">
        <v>2111</v>
      </c>
      <c r="C1486" s="346">
        <v>48345</v>
      </c>
      <c r="D1486" s="345" t="s">
        <v>944</v>
      </c>
      <c r="E1486" s="347" t="s">
        <v>4240</v>
      </c>
      <c r="F1486" s="343" t="s">
        <v>3398</v>
      </c>
      <c r="I1486" s="345">
        <v>1</v>
      </c>
      <c r="J1486" s="347" t="s">
        <v>3399</v>
      </c>
      <c r="K1486" s="345">
        <v>2006</v>
      </c>
      <c r="L1486" s="347" t="s">
        <v>3400</v>
      </c>
      <c r="M1486" s="347" t="s">
        <v>2326</v>
      </c>
      <c r="N1486" s="347" t="s">
        <v>4445</v>
      </c>
      <c r="O1486" s="347" t="s">
        <v>4441</v>
      </c>
      <c r="P1486" s="347" t="s">
        <v>4478</v>
      </c>
      <c r="Q1486" s="347"/>
      <c r="R1486" s="347"/>
      <c r="S1486" s="348">
        <v>38792</v>
      </c>
      <c r="T1486" s="348">
        <v>38792</v>
      </c>
      <c r="U1486" s="347" t="s">
        <v>3401</v>
      </c>
      <c r="V1486" s="345">
        <v>500</v>
      </c>
      <c r="W1486" s="345">
        <v>14040</v>
      </c>
      <c r="X1486" s="349">
        <v>19775.939999999999</v>
      </c>
      <c r="Y1486" s="345">
        <v>14046</v>
      </c>
      <c r="Z1486" s="349">
        <v>19775.939999999999</v>
      </c>
      <c r="AA1486" s="349">
        <f t="shared" si="107"/>
        <v>0</v>
      </c>
      <c r="AB1486" s="349">
        <v>0</v>
      </c>
      <c r="AC1486" s="345">
        <v>51260</v>
      </c>
      <c r="AD1486" s="349">
        <v>0</v>
      </c>
      <c r="AE1486" s="345" t="s">
        <v>944</v>
      </c>
      <c r="AF1486" s="347"/>
      <c r="AG1486" s="347">
        <v>5</v>
      </c>
      <c r="AH1486" s="347" t="s">
        <v>57</v>
      </c>
      <c r="AI1486" s="347" t="s">
        <v>4442</v>
      </c>
      <c r="AJ1486" s="347" t="s">
        <v>4443</v>
      </c>
      <c r="AK1486" s="347" t="s">
        <v>4437</v>
      </c>
      <c r="AL1486" s="387">
        <v>45574</v>
      </c>
    </row>
    <row r="1487" spans="2:38" ht="15.75" outlineLevel="1">
      <c r="B1487" s="345">
        <v>2111</v>
      </c>
      <c r="C1487" s="346">
        <v>47682</v>
      </c>
      <c r="D1487" s="345">
        <v>45086</v>
      </c>
      <c r="E1487" s="347" t="s">
        <v>4240</v>
      </c>
      <c r="F1487" s="343" t="s">
        <v>3402</v>
      </c>
      <c r="I1487" s="345">
        <v>1</v>
      </c>
      <c r="J1487" s="347">
        <v>0</v>
      </c>
      <c r="K1487" s="345">
        <v>0</v>
      </c>
      <c r="L1487" s="347"/>
      <c r="M1487" s="347"/>
      <c r="N1487" s="347" t="s">
        <v>4477</v>
      </c>
      <c r="O1487" s="347" t="s">
        <v>4477</v>
      </c>
      <c r="P1487" s="347"/>
      <c r="Q1487" s="347"/>
      <c r="R1487" s="347"/>
      <c r="S1487" s="348">
        <v>39055</v>
      </c>
      <c r="T1487" s="348">
        <v>39055</v>
      </c>
      <c r="U1487" s="347" t="s">
        <v>3403</v>
      </c>
      <c r="V1487" s="345">
        <v>108</v>
      </c>
      <c r="W1487" s="345">
        <v>14090</v>
      </c>
      <c r="X1487" s="349">
        <v>2496.96</v>
      </c>
      <c r="Y1487" s="345">
        <v>14096</v>
      </c>
      <c r="Z1487" s="349">
        <v>2496.96</v>
      </c>
      <c r="AA1487" s="349">
        <f t="shared" si="107"/>
        <v>0</v>
      </c>
      <c r="AB1487" s="349">
        <v>0</v>
      </c>
      <c r="AC1487" s="345">
        <v>57260</v>
      </c>
      <c r="AD1487" s="349">
        <v>0</v>
      </c>
      <c r="AE1487" s="345" t="s">
        <v>944</v>
      </c>
      <c r="AF1487" s="347"/>
      <c r="AG1487" s="347"/>
      <c r="AH1487" s="347" t="s">
        <v>57</v>
      </c>
      <c r="AI1487" s="347" t="s">
        <v>4442</v>
      </c>
      <c r="AJ1487" s="347" t="s">
        <v>4443</v>
      </c>
      <c r="AK1487" s="347" t="s">
        <v>4437</v>
      </c>
      <c r="AL1487" s="387">
        <v>45574</v>
      </c>
    </row>
    <row r="1488" spans="2:38" ht="15.75" outlineLevel="1">
      <c r="B1488" s="345">
        <v>2111</v>
      </c>
      <c r="C1488" s="346">
        <v>47425</v>
      </c>
      <c r="D1488" s="345">
        <v>6681</v>
      </c>
      <c r="E1488" s="347" t="s">
        <v>4240</v>
      </c>
      <c r="F1488" s="343" t="s">
        <v>3404</v>
      </c>
      <c r="I1488" s="345">
        <v>1</v>
      </c>
      <c r="J1488" s="347">
        <v>0</v>
      </c>
      <c r="K1488" s="345">
        <v>0</v>
      </c>
      <c r="L1488" s="347" t="s">
        <v>3405</v>
      </c>
      <c r="M1488" s="347"/>
      <c r="N1488" s="347" t="s">
        <v>4452</v>
      </c>
      <c r="O1488" s="347" t="s">
        <v>4441</v>
      </c>
      <c r="P1488" s="347"/>
      <c r="Q1488" s="347"/>
      <c r="R1488" s="347"/>
      <c r="S1488" s="348">
        <v>39060</v>
      </c>
      <c r="T1488" s="348">
        <v>39060</v>
      </c>
      <c r="U1488" s="347" t="s">
        <v>3406</v>
      </c>
      <c r="V1488" s="345">
        <v>1000</v>
      </c>
      <c r="W1488" s="345">
        <v>14080</v>
      </c>
      <c r="X1488" s="349">
        <v>1632</v>
      </c>
      <c r="Y1488" s="345">
        <v>14086</v>
      </c>
      <c r="Z1488" s="349">
        <v>1632</v>
      </c>
      <c r="AA1488" s="349">
        <f t="shared" si="107"/>
        <v>0</v>
      </c>
      <c r="AB1488" s="349">
        <v>0</v>
      </c>
      <c r="AC1488" s="345">
        <v>57260</v>
      </c>
      <c r="AD1488" s="349">
        <v>0</v>
      </c>
      <c r="AE1488" s="345" t="s">
        <v>944</v>
      </c>
      <c r="AF1488" s="347"/>
      <c r="AG1488" s="347"/>
      <c r="AH1488" s="347" t="s">
        <v>57</v>
      </c>
      <c r="AI1488" s="347" t="s">
        <v>4442</v>
      </c>
      <c r="AJ1488" s="347" t="s">
        <v>4443</v>
      </c>
      <c r="AK1488" s="347" t="s">
        <v>4437</v>
      </c>
      <c r="AL1488" s="387">
        <v>45574</v>
      </c>
    </row>
    <row r="1489" spans="2:38" ht="15.75" outlineLevel="1">
      <c r="B1489" s="345">
        <v>2111</v>
      </c>
      <c r="C1489" s="346">
        <v>47399</v>
      </c>
      <c r="D1489" s="345" t="s">
        <v>944</v>
      </c>
      <c r="E1489" s="347" t="s">
        <v>4240</v>
      </c>
      <c r="F1489" s="343" t="s">
        <v>682</v>
      </c>
      <c r="I1489" s="345">
        <v>15</v>
      </c>
      <c r="J1489" s="347">
        <v>0</v>
      </c>
      <c r="K1489" s="345">
        <v>0</v>
      </c>
      <c r="L1489" s="347" t="s">
        <v>2403</v>
      </c>
      <c r="M1489" s="347"/>
      <c r="N1489" s="347" t="s">
        <v>4446</v>
      </c>
      <c r="O1489" s="347" t="s">
        <v>4441</v>
      </c>
      <c r="P1489" s="347"/>
      <c r="Q1489" s="347" t="s">
        <v>4459</v>
      </c>
      <c r="R1489" s="347" t="s">
        <v>4450</v>
      </c>
      <c r="S1489" s="348">
        <v>39063</v>
      </c>
      <c r="T1489" s="348">
        <v>39063</v>
      </c>
      <c r="U1489" s="347" t="s">
        <v>3407</v>
      </c>
      <c r="V1489" s="345">
        <v>1200</v>
      </c>
      <c r="W1489" s="345">
        <v>14050</v>
      </c>
      <c r="X1489" s="349">
        <v>7050.24</v>
      </c>
      <c r="Y1489" s="345">
        <v>14056</v>
      </c>
      <c r="Z1489" s="349">
        <v>7050.24</v>
      </c>
      <c r="AA1489" s="349">
        <f t="shared" si="107"/>
        <v>0</v>
      </c>
      <c r="AB1489" s="349">
        <v>0</v>
      </c>
      <c r="AC1489" s="345">
        <v>54260</v>
      </c>
      <c r="AD1489" s="349">
        <v>0</v>
      </c>
      <c r="AE1489" s="345" t="s">
        <v>944</v>
      </c>
      <c r="AF1489" s="347"/>
      <c r="AG1489" s="347"/>
      <c r="AH1489" s="347" t="s">
        <v>57</v>
      </c>
      <c r="AI1489" s="347" t="s">
        <v>4442</v>
      </c>
      <c r="AJ1489" s="347" t="s">
        <v>4443</v>
      </c>
      <c r="AK1489" s="347" t="s">
        <v>4437</v>
      </c>
      <c r="AL1489" s="387">
        <v>45574</v>
      </c>
    </row>
    <row r="1490" spans="2:38" ht="15.75" outlineLevel="1">
      <c r="B1490" s="345">
        <v>2111</v>
      </c>
      <c r="C1490" s="346">
        <v>47398</v>
      </c>
      <c r="D1490" s="345" t="s">
        <v>944</v>
      </c>
      <c r="E1490" s="347" t="s">
        <v>4240</v>
      </c>
      <c r="F1490" s="343" t="s">
        <v>686</v>
      </c>
      <c r="I1490" s="345">
        <v>15</v>
      </c>
      <c r="J1490" s="347">
        <v>0</v>
      </c>
      <c r="K1490" s="345">
        <v>0</v>
      </c>
      <c r="L1490" s="347" t="s">
        <v>2403</v>
      </c>
      <c r="M1490" s="347"/>
      <c r="N1490" s="347" t="s">
        <v>4446</v>
      </c>
      <c r="O1490" s="347" t="s">
        <v>4441</v>
      </c>
      <c r="P1490" s="347"/>
      <c r="Q1490" s="347" t="s">
        <v>4459</v>
      </c>
      <c r="R1490" s="347" t="s">
        <v>4450</v>
      </c>
      <c r="S1490" s="348">
        <v>39063</v>
      </c>
      <c r="T1490" s="348">
        <v>39063</v>
      </c>
      <c r="U1490" s="347" t="s">
        <v>3408</v>
      </c>
      <c r="V1490" s="345">
        <v>1200</v>
      </c>
      <c r="W1490" s="345">
        <v>14050</v>
      </c>
      <c r="X1490" s="349">
        <v>7539.84</v>
      </c>
      <c r="Y1490" s="345">
        <v>14056</v>
      </c>
      <c r="Z1490" s="349">
        <v>7539.84</v>
      </c>
      <c r="AA1490" s="349">
        <f t="shared" si="107"/>
        <v>0</v>
      </c>
      <c r="AB1490" s="349">
        <v>0</v>
      </c>
      <c r="AC1490" s="345">
        <v>54260</v>
      </c>
      <c r="AD1490" s="349">
        <v>0</v>
      </c>
      <c r="AE1490" s="345" t="s">
        <v>944</v>
      </c>
      <c r="AF1490" s="347"/>
      <c r="AG1490" s="347"/>
      <c r="AH1490" s="347" t="s">
        <v>57</v>
      </c>
      <c r="AI1490" s="347" t="s">
        <v>4442</v>
      </c>
      <c r="AJ1490" s="347" t="s">
        <v>4443</v>
      </c>
      <c r="AK1490" s="347" t="s">
        <v>4437</v>
      </c>
      <c r="AL1490" s="387">
        <v>45574</v>
      </c>
    </row>
    <row r="1491" spans="2:38" ht="15.75" outlineLevel="1">
      <c r="B1491" s="345">
        <v>2111</v>
      </c>
      <c r="C1491" s="346">
        <v>47397</v>
      </c>
      <c r="D1491" s="345" t="s">
        <v>944</v>
      </c>
      <c r="E1491" s="347" t="s">
        <v>4240</v>
      </c>
      <c r="F1491" s="343" t="s">
        <v>2420</v>
      </c>
      <c r="I1491" s="345">
        <v>10</v>
      </c>
      <c r="J1491" s="347">
        <v>0</v>
      </c>
      <c r="K1491" s="345">
        <v>0</v>
      </c>
      <c r="L1491" s="347" t="s">
        <v>2403</v>
      </c>
      <c r="M1491" s="347"/>
      <c r="N1491" s="347" t="s">
        <v>4446</v>
      </c>
      <c r="O1491" s="347" t="s">
        <v>4441</v>
      </c>
      <c r="P1491" s="347"/>
      <c r="Q1491" s="347" t="s">
        <v>4464</v>
      </c>
      <c r="R1491" s="347" t="s">
        <v>4450</v>
      </c>
      <c r="S1491" s="348">
        <v>39063</v>
      </c>
      <c r="T1491" s="348">
        <v>39063</v>
      </c>
      <c r="U1491" s="347" t="s">
        <v>3409</v>
      </c>
      <c r="V1491" s="345">
        <v>1200</v>
      </c>
      <c r="W1491" s="345">
        <v>14050</v>
      </c>
      <c r="X1491" s="349">
        <v>6299.52</v>
      </c>
      <c r="Y1491" s="345">
        <v>14056</v>
      </c>
      <c r="Z1491" s="349">
        <v>6299.52</v>
      </c>
      <c r="AA1491" s="349">
        <f t="shared" si="107"/>
        <v>0</v>
      </c>
      <c r="AB1491" s="349">
        <v>0</v>
      </c>
      <c r="AC1491" s="345">
        <v>54260</v>
      </c>
      <c r="AD1491" s="349">
        <v>0</v>
      </c>
      <c r="AE1491" s="345" t="s">
        <v>944</v>
      </c>
      <c r="AF1491" s="347"/>
      <c r="AG1491" s="347"/>
      <c r="AH1491" s="347" t="s">
        <v>57</v>
      </c>
      <c r="AI1491" s="347" t="s">
        <v>4442</v>
      </c>
      <c r="AJ1491" s="347" t="s">
        <v>4443</v>
      </c>
      <c r="AK1491" s="347" t="s">
        <v>4437</v>
      </c>
      <c r="AL1491" s="387">
        <v>45574</v>
      </c>
    </row>
    <row r="1492" spans="2:38" ht="15.75" outlineLevel="1">
      <c r="B1492" s="345">
        <v>2111</v>
      </c>
      <c r="C1492" s="346">
        <v>46677</v>
      </c>
      <c r="D1492" s="345" t="s">
        <v>944</v>
      </c>
      <c r="E1492" s="347" t="s">
        <v>4240</v>
      </c>
      <c r="F1492" s="343" t="s">
        <v>3410</v>
      </c>
      <c r="I1492" s="345">
        <v>1</v>
      </c>
      <c r="J1492" s="347">
        <v>0</v>
      </c>
      <c r="K1492" s="345">
        <v>0</v>
      </c>
      <c r="L1492" s="347" t="s">
        <v>3411</v>
      </c>
      <c r="M1492" s="347"/>
      <c r="N1492" s="347" t="s">
        <v>4477</v>
      </c>
      <c r="O1492" s="347" t="s">
        <v>4477</v>
      </c>
      <c r="P1492" s="347"/>
      <c r="Q1492" s="347"/>
      <c r="R1492" s="347"/>
      <c r="S1492" s="348">
        <v>39029</v>
      </c>
      <c r="T1492" s="348">
        <v>39029</v>
      </c>
      <c r="U1492" s="347" t="s">
        <v>3403</v>
      </c>
      <c r="V1492" s="345">
        <v>110</v>
      </c>
      <c r="W1492" s="345">
        <v>14090</v>
      </c>
      <c r="X1492" s="349">
        <v>2496.96</v>
      </c>
      <c r="Y1492" s="345">
        <v>14096</v>
      </c>
      <c r="Z1492" s="349">
        <v>2496.96</v>
      </c>
      <c r="AA1492" s="349">
        <f t="shared" si="107"/>
        <v>0</v>
      </c>
      <c r="AB1492" s="349">
        <v>0</v>
      </c>
      <c r="AC1492" s="345">
        <v>57260</v>
      </c>
      <c r="AD1492" s="349">
        <v>0</v>
      </c>
      <c r="AE1492" s="345" t="s">
        <v>944</v>
      </c>
      <c r="AF1492" s="347"/>
      <c r="AG1492" s="347"/>
      <c r="AH1492" s="347" t="s">
        <v>57</v>
      </c>
      <c r="AI1492" s="347" t="s">
        <v>4442</v>
      </c>
      <c r="AJ1492" s="347" t="s">
        <v>4443</v>
      </c>
      <c r="AK1492" s="347" t="s">
        <v>4437</v>
      </c>
      <c r="AL1492" s="387">
        <v>45574</v>
      </c>
    </row>
    <row r="1493" spans="2:38" ht="15.75" outlineLevel="1">
      <c r="B1493" s="345">
        <v>2111</v>
      </c>
      <c r="C1493" s="346">
        <v>46610</v>
      </c>
      <c r="D1493" s="345" t="s">
        <v>944</v>
      </c>
      <c r="E1493" s="347" t="s">
        <v>4240</v>
      </c>
      <c r="F1493" s="343" t="s">
        <v>3413</v>
      </c>
      <c r="I1493" s="345">
        <v>580</v>
      </c>
      <c r="J1493" s="347">
        <v>0</v>
      </c>
      <c r="K1493" s="345">
        <v>0</v>
      </c>
      <c r="L1493" s="347" t="s">
        <v>2342</v>
      </c>
      <c r="M1493" s="347"/>
      <c r="N1493" s="347" t="s">
        <v>4446</v>
      </c>
      <c r="O1493" s="347" t="s">
        <v>4441</v>
      </c>
      <c r="P1493" s="347"/>
      <c r="Q1493" s="347"/>
      <c r="R1493" s="347"/>
      <c r="S1493" s="348">
        <v>39013</v>
      </c>
      <c r="T1493" s="348">
        <v>39013</v>
      </c>
      <c r="U1493" s="347" t="s">
        <v>3414</v>
      </c>
      <c r="V1493" s="345">
        <v>700</v>
      </c>
      <c r="W1493" s="345">
        <v>14050</v>
      </c>
      <c r="X1493" s="349">
        <v>34359.040000000001</v>
      </c>
      <c r="Y1493" s="345">
        <v>14056</v>
      </c>
      <c r="Z1493" s="349">
        <v>34359.040000000001</v>
      </c>
      <c r="AA1493" s="349">
        <f t="shared" si="107"/>
        <v>0</v>
      </c>
      <c r="AB1493" s="349">
        <v>0</v>
      </c>
      <c r="AC1493" s="345">
        <v>54260</v>
      </c>
      <c r="AD1493" s="349">
        <v>0</v>
      </c>
      <c r="AE1493" s="345" t="s">
        <v>944</v>
      </c>
      <c r="AF1493" s="347"/>
      <c r="AG1493" s="347"/>
      <c r="AH1493" s="347" t="s">
        <v>57</v>
      </c>
      <c r="AI1493" s="347" t="s">
        <v>4442</v>
      </c>
      <c r="AJ1493" s="347" t="s">
        <v>4443</v>
      </c>
      <c r="AK1493" s="347" t="s">
        <v>4437</v>
      </c>
      <c r="AL1493" s="387">
        <v>45574</v>
      </c>
    </row>
    <row r="1494" spans="2:38" ht="15.75" outlineLevel="1">
      <c r="B1494" s="345">
        <v>2111</v>
      </c>
      <c r="C1494" s="346">
        <v>46588</v>
      </c>
      <c r="D1494" s="345">
        <v>6681</v>
      </c>
      <c r="E1494" s="347" t="s">
        <v>4240</v>
      </c>
      <c r="F1494" s="343" t="s">
        <v>3416</v>
      </c>
      <c r="I1494" s="345">
        <v>1</v>
      </c>
      <c r="J1494" s="347">
        <v>0</v>
      </c>
      <c r="K1494" s="345">
        <v>0</v>
      </c>
      <c r="L1494" s="347" t="s">
        <v>3417</v>
      </c>
      <c r="M1494" s="347"/>
      <c r="N1494" s="347" t="s">
        <v>4452</v>
      </c>
      <c r="O1494" s="347" t="s">
        <v>4441</v>
      </c>
      <c r="P1494" s="347"/>
      <c r="Q1494" s="347"/>
      <c r="R1494" s="347"/>
      <c r="S1494" s="348">
        <v>39003</v>
      </c>
      <c r="T1494" s="348">
        <v>39003</v>
      </c>
      <c r="U1494" s="347" t="s">
        <v>3406</v>
      </c>
      <c r="V1494" s="345">
        <v>1000</v>
      </c>
      <c r="W1494" s="345">
        <v>14080</v>
      </c>
      <c r="X1494" s="349">
        <v>8129.63</v>
      </c>
      <c r="Y1494" s="345">
        <v>14086</v>
      </c>
      <c r="Z1494" s="349">
        <v>8129.63</v>
      </c>
      <c r="AA1494" s="349">
        <f t="shared" si="107"/>
        <v>0</v>
      </c>
      <c r="AB1494" s="349">
        <v>0</v>
      </c>
      <c r="AC1494" s="345">
        <v>57260</v>
      </c>
      <c r="AD1494" s="349">
        <v>0</v>
      </c>
      <c r="AE1494" s="345" t="s">
        <v>944</v>
      </c>
      <c r="AF1494" s="347"/>
      <c r="AG1494" s="347"/>
      <c r="AH1494" s="347" t="s">
        <v>57</v>
      </c>
      <c r="AI1494" s="347" t="s">
        <v>4442</v>
      </c>
      <c r="AJ1494" s="347" t="s">
        <v>4443</v>
      </c>
      <c r="AK1494" s="347" t="s">
        <v>4437</v>
      </c>
      <c r="AL1494" s="387">
        <v>45574</v>
      </c>
    </row>
    <row r="1495" spans="2:38" ht="15.75" outlineLevel="1">
      <c r="B1495" s="345">
        <v>2111</v>
      </c>
      <c r="C1495" s="346">
        <v>46260</v>
      </c>
      <c r="D1495" s="345" t="s">
        <v>944</v>
      </c>
      <c r="E1495" s="347" t="s">
        <v>4240</v>
      </c>
      <c r="F1495" s="343" t="s">
        <v>681</v>
      </c>
      <c r="I1495" s="345">
        <v>10</v>
      </c>
      <c r="J1495" s="347">
        <v>0</v>
      </c>
      <c r="K1495" s="345">
        <v>0</v>
      </c>
      <c r="L1495" s="347" t="s">
        <v>2257</v>
      </c>
      <c r="M1495" s="347"/>
      <c r="N1495" s="347" t="s">
        <v>4446</v>
      </c>
      <c r="O1495" s="347" t="s">
        <v>4441</v>
      </c>
      <c r="P1495" s="347"/>
      <c r="Q1495" s="347" t="s">
        <v>4449</v>
      </c>
      <c r="R1495" s="347" t="s">
        <v>4450</v>
      </c>
      <c r="S1495" s="348">
        <v>39009</v>
      </c>
      <c r="T1495" s="348">
        <v>39009</v>
      </c>
      <c r="U1495" s="347" t="s">
        <v>3420</v>
      </c>
      <c r="V1495" s="345">
        <v>1200</v>
      </c>
      <c r="W1495" s="345">
        <v>14050</v>
      </c>
      <c r="X1495" s="349">
        <v>4406.3999999999996</v>
      </c>
      <c r="Y1495" s="345">
        <v>14056</v>
      </c>
      <c r="Z1495" s="349">
        <v>4406.3999999999996</v>
      </c>
      <c r="AA1495" s="349">
        <f t="shared" si="107"/>
        <v>0</v>
      </c>
      <c r="AB1495" s="349">
        <v>0</v>
      </c>
      <c r="AC1495" s="345">
        <v>54260</v>
      </c>
      <c r="AD1495" s="349">
        <v>0</v>
      </c>
      <c r="AE1495" s="345" t="s">
        <v>944</v>
      </c>
      <c r="AF1495" s="347"/>
      <c r="AG1495" s="347"/>
      <c r="AH1495" s="347" t="s">
        <v>57</v>
      </c>
      <c r="AI1495" s="347" t="s">
        <v>4442</v>
      </c>
      <c r="AJ1495" s="347" t="s">
        <v>4443</v>
      </c>
      <c r="AK1495" s="347" t="s">
        <v>4437</v>
      </c>
      <c r="AL1495" s="387">
        <v>45574</v>
      </c>
    </row>
    <row r="1496" spans="2:38" ht="15.75" outlineLevel="1">
      <c r="B1496" s="345">
        <v>2111</v>
      </c>
      <c r="C1496" s="346">
        <v>46190</v>
      </c>
      <c r="D1496" s="345" t="s">
        <v>944</v>
      </c>
      <c r="E1496" s="347" t="s">
        <v>4240</v>
      </c>
      <c r="F1496" s="343" t="s">
        <v>3421</v>
      </c>
      <c r="I1496" s="345">
        <v>427</v>
      </c>
      <c r="J1496" s="347">
        <v>0</v>
      </c>
      <c r="K1496" s="345">
        <v>0</v>
      </c>
      <c r="L1496" s="347" t="s">
        <v>3369</v>
      </c>
      <c r="M1496" s="347"/>
      <c r="N1496" s="347" t="s">
        <v>4446</v>
      </c>
      <c r="O1496" s="347" t="s">
        <v>4441</v>
      </c>
      <c r="P1496" s="347"/>
      <c r="Q1496" s="347"/>
      <c r="R1496" s="347"/>
      <c r="S1496" s="348">
        <v>39001</v>
      </c>
      <c r="T1496" s="348">
        <v>39001</v>
      </c>
      <c r="U1496" s="347" t="s">
        <v>3422</v>
      </c>
      <c r="V1496" s="345">
        <v>700</v>
      </c>
      <c r="W1496" s="345">
        <v>14050</v>
      </c>
      <c r="X1496" s="349">
        <v>23341.42</v>
      </c>
      <c r="Y1496" s="345">
        <v>14056</v>
      </c>
      <c r="Z1496" s="349">
        <v>23341.42</v>
      </c>
      <c r="AA1496" s="349">
        <f t="shared" si="107"/>
        <v>0</v>
      </c>
      <c r="AB1496" s="349">
        <v>0</v>
      </c>
      <c r="AC1496" s="345">
        <v>54260</v>
      </c>
      <c r="AD1496" s="349">
        <v>0</v>
      </c>
      <c r="AE1496" s="345" t="s">
        <v>944</v>
      </c>
      <c r="AF1496" s="347"/>
      <c r="AG1496" s="347"/>
      <c r="AH1496" s="347" t="s">
        <v>57</v>
      </c>
      <c r="AI1496" s="347" t="s">
        <v>4442</v>
      </c>
      <c r="AJ1496" s="347" t="s">
        <v>4443</v>
      </c>
      <c r="AK1496" s="347" t="s">
        <v>4437</v>
      </c>
      <c r="AL1496" s="387">
        <v>45574</v>
      </c>
    </row>
    <row r="1497" spans="2:38" ht="15.75" outlineLevel="1">
      <c r="B1497" s="345">
        <v>2111</v>
      </c>
      <c r="C1497" s="346">
        <v>46101</v>
      </c>
      <c r="D1497" s="345">
        <v>45086</v>
      </c>
      <c r="E1497" s="347" t="s">
        <v>4240</v>
      </c>
      <c r="F1497" s="343" t="s">
        <v>3424</v>
      </c>
      <c r="I1497" s="345">
        <v>1</v>
      </c>
      <c r="J1497" s="347">
        <v>0</v>
      </c>
      <c r="K1497" s="345">
        <v>0</v>
      </c>
      <c r="L1497" s="347" t="s">
        <v>3425</v>
      </c>
      <c r="M1497" s="347"/>
      <c r="N1497" s="347" t="s">
        <v>4477</v>
      </c>
      <c r="O1497" s="347" t="s">
        <v>4477</v>
      </c>
      <c r="P1497" s="347"/>
      <c r="Q1497" s="347"/>
      <c r="R1497" s="347"/>
      <c r="S1497" s="348">
        <v>38968</v>
      </c>
      <c r="T1497" s="348">
        <v>38968</v>
      </c>
      <c r="U1497" s="347" t="s">
        <v>3403</v>
      </c>
      <c r="V1497" s="345">
        <v>200</v>
      </c>
      <c r="W1497" s="345">
        <v>14090</v>
      </c>
      <c r="X1497" s="349">
        <v>18641.509999999998</v>
      </c>
      <c r="Y1497" s="345">
        <v>14096</v>
      </c>
      <c r="Z1497" s="349">
        <v>18641.509999999998</v>
      </c>
      <c r="AA1497" s="349">
        <f t="shared" si="107"/>
        <v>0</v>
      </c>
      <c r="AB1497" s="349">
        <v>0</v>
      </c>
      <c r="AC1497" s="345">
        <v>57260</v>
      </c>
      <c r="AD1497" s="349">
        <v>0</v>
      </c>
      <c r="AE1497" s="345" t="s">
        <v>944</v>
      </c>
      <c r="AF1497" s="347"/>
      <c r="AG1497" s="347"/>
      <c r="AH1497" s="347" t="s">
        <v>57</v>
      </c>
      <c r="AI1497" s="347" t="s">
        <v>4442</v>
      </c>
      <c r="AJ1497" s="347" t="s">
        <v>4443</v>
      </c>
      <c r="AK1497" s="347" t="s">
        <v>4437</v>
      </c>
      <c r="AL1497" s="387">
        <v>45574</v>
      </c>
    </row>
    <row r="1498" spans="2:38" ht="15.75" outlineLevel="1">
      <c r="B1498" s="345">
        <v>2111</v>
      </c>
      <c r="C1498" s="346">
        <v>45151</v>
      </c>
      <c r="D1498" s="345" t="s">
        <v>944</v>
      </c>
      <c r="E1498" s="347" t="s">
        <v>4240</v>
      </c>
      <c r="F1498" s="343" t="s">
        <v>593</v>
      </c>
      <c r="I1498" s="345">
        <v>854</v>
      </c>
      <c r="J1498" s="347">
        <v>0</v>
      </c>
      <c r="K1498" s="345">
        <v>0</v>
      </c>
      <c r="L1498" s="347" t="s">
        <v>3369</v>
      </c>
      <c r="M1498" s="347"/>
      <c r="N1498" s="347" t="s">
        <v>4446</v>
      </c>
      <c r="O1498" s="347" t="s">
        <v>4441</v>
      </c>
      <c r="P1498" s="347"/>
      <c r="Q1498" s="347"/>
      <c r="R1498" s="347"/>
      <c r="S1498" s="348">
        <v>38930</v>
      </c>
      <c r="T1498" s="348">
        <v>38930</v>
      </c>
      <c r="U1498" s="347" t="s">
        <v>3427</v>
      </c>
      <c r="V1498" s="345">
        <v>700</v>
      </c>
      <c r="W1498" s="345">
        <v>14050</v>
      </c>
      <c r="X1498" s="349">
        <v>45629.59</v>
      </c>
      <c r="Y1498" s="345">
        <v>14056</v>
      </c>
      <c r="Z1498" s="349">
        <v>45629.59</v>
      </c>
      <c r="AA1498" s="349">
        <f t="shared" si="107"/>
        <v>0</v>
      </c>
      <c r="AB1498" s="349">
        <v>0</v>
      </c>
      <c r="AC1498" s="345">
        <v>54260</v>
      </c>
      <c r="AD1498" s="349">
        <v>0</v>
      </c>
      <c r="AE1498" s="345" t="s">
        <v>944</v>
      </c>
      <c r="AF1498" s="347"/>
      <c r="AG1498" s="347"/>
      <c r="AH1498" s="347" t="s">
        <v>57</v>
      </c>
      <c r="AI1498" s="347" t="s">
        <v>4442</v>
      </c>
      <c r="AJ1498" s="347" t="s">
        <v>4443</v>
      </c>
      <c r="AK1498" s="347" t="s">
        <v>4437</v>
      </c>
      <c r="AL1498" s="387">
        <v>45574</v>
      </c>
    </row>
    <row r="1499" spans="2:38" ht="15.75" outlineLevel="1">
      <c r="B1499" s="345">
        <v>2111</v>
      </c>
      <c r="C1499" s="346">
        <v>45086</v>
      </c>
      <c r="D1499" s="345" t="s">
        <v>944</v>
      </c>
      <c r="E1499" s="347" t="s">
        <v>4240</v>
      </c>
      <c r="F1499" s="343" t="s">
        <v>3429</v>
      </c>
      <c r="I1499" s="345">
        <v>1</v>
      </c>
      <c r="J1499" s="347">
        <v>0</v>
      </c>
      <c r="K1499" s="345">
        <v>0</v>
      </c>
      <c r="L1499" s="347" t="s">
        <v>3425</v>
      </c>
      <c r="M1499" s="347"/>
      <c r="N1499" s="347" t="s">
        <v>4477</v>
      </c>
      <c r="O1499" s="347" t="s">
        <v>4477</v>
      </c>
      <c r="P1499" s="347"/>
      <c r="Q1499" s="347"/>
      <c r="R1499" s="347"/>
      <c r="S1499" s="348">
        <v>38937</v>
      </c>
      <c r="T1499" s="348">
        <v>38937</v>
      </c>
      <c r="U1499" s="347" t="s">
        <v>3403</v>
      </c>
      <c r="V1499" s="345">
        <v>201</v>
      </c>
      <c r="W1499" s="345">
        <v>14090</v>
      </c>
      <c r="X1499" s="349">
        <v>15109.06</v>
      </c>
      <c r="Y1499" s="345">
        <v>14096</v>
      </c>
      <c r="Z1499" s="349">
        <v>15109.06</v>
      </c>
      <c r="AA1499" s="349">
        <f t="shared" si="107"/>
        <v>0</v>
      </c>
      <c r="AB1499" s="349">
        <v>0</v>
      </c>
      <c r="AC1499" s="345">
        <v>57260</v>
      </c>
      <c r="AD1499" s="349">
        <v>0</v>
      </c>
      <c r="AE1499" s="345" t="s">
        <v>944</v>
      </c>
      <c r="AF1499" s="347"/>
      <c r="AG1499" s="347"/>
      <c r="AH1499" s="347" t="s">
        <v>57</v>
      </c>
      <c r="AI1499" s="347" t="s">
        <v>4442</v>
      </c>
      <c r="AJ1499" s="347" t="s">
        <v>4443</v>
      </c>
      <c r="AK1499" s="347" t="s">
        <v>4437</v>
      </c>
      <c r="AL1499" s="387">
        <v>45574</v>
      </c>
    </row>
    <row r="1500" spans="2:38" ht="15.75" outlineLevel="1">
      <c r="B1500" s="345">
        <v>2111</v>
      </c>
      <c r="C1500" s="346">
        <v>44884</v>
      </c>
      <c r="D1500" s="345" t="s">
        <v>944</v>
      </c>
      <c r="E1500" s="347" t="s">
        <v>4240</v>
      </c>
      <c r="F1500" s="343" t="s">
        <v>3432</v>
      </c>
      <c r="I1500" s="345">
        <v>1</v>
      </c>
      <c r="J1500" s="347">
        <v>0</v>
      </c>
      <c r="K1500" s="345">
        <v>0</v>
      </c>
      <c r="L1500" s="347" t="s">
        <v>3433</v>
      </c>
      <c r="M1500" s="347"/>
      <c r="N1500" s="347" t="s">
        <v>4452</v>
      </c>
      <c r="O1500" s="347" t="s">
        <v>4441</v>
      </c>
      <c r="P1500" s="347"/>
      <c r="Q1500" s="347"/>
      <c r="R1500" s="347"/>
      <c r="S1500" s="348">
        <v>38897</v>
      </c>
      <c r="T1500" s="348">
        <v>38897</v>
      </c>
      <c r="U1500" s="347" t="s">
        <v>3434</v>
      </c>
      <c r="V1500" s="345">
        <v>500</v>
      </c>
      <c r="W1500" s="345">
        <v>14080</v>
      </c>
      <c r="X1500" s="349">
        <v>5578.4</v>
      </c>
      <c r="Y1500" s="345">
        <v>14086</v>
      </c>
      <c r="Z1500" s="349">
        <v>5578.4</v>
      </c>
      <c r="AA1500" s="349">
        <f t="shared" si="107"/>
        <v>0</v>
      </c>
      <c r="AB1500" s="349">
        <v>0</v>
      </c>
      <c r="AC1500" s="345">
        <v>57260</v>
      </c>
      <c r="AD1500" s="349">
        <v>0</v>
      </c>
      <c r="AE1500" s="345" t="s">
        <v>944</v>
      </c>
      <c r="AF1500" s="347"/>
      <c r="AG1500" s="347"/>
      <c r="AH1500" s="347" t="s">
        <v>57</v>
      </c>
      <c r="AI1500" s="347" t="s">
        <v>4442</v>
      </c>
      <c r="AJ1500" s="347" t="s">
        <v>4443</v>
      </c>
      <c r="AK1500" s="347" t="s">
        <v>4437</v>
      </c>
      <c r="AL1500" s="387">
        <v>45574</v>
      </c>
    </row>
    <row r="1501" spans="2:38" ht="15.75" outlineLevel="1">
      <c r="B1501" s="345">
        <v>2111</v>
      </c>
      <c r="C1501" s="346">
        <v>44646</v>
      </c>
      <c r="D1501" s="345" t="s">
        <v>944</v>
      </c>
      <c r="E1501" s="347" t="s">
        <v>4240</v>
      </c>
      <c r="F1501" s="343" t="s">
        <v>2431</v>
      </c>
      <c r="I1501" s="345">
        <v>588</v>
      </c>
      <c r="J1501" s="347">
        <v>0</v>
      </c>
      <c r="K1501" s="345">
        <v>0</v>
      </c>
      <c r="L1501" s="347" t="s">
        <v>2342</v>
      </c>
      <c r="M1501" s="347"/>
      <c r="N1501" s="347" t="s">
        <v>4446</v>
      </c>
      <c r="O1501" s="347" t="s">
        <v>4441</v>
      </c>
      <c r="P1501" s="347"/>
      <c r="Q1501" s="347"/>
      <c r="R1501" s="347"/>
      <c r="S1501" s="348">
        <v>38910</v>
      </c>
      <c r="T1501" s="348">
        <v>38910</v>
      </c>
      <c r="U1501" s="347" t="s">
        <v>3436</v>
      </c>
      <c r="V1501" s="345">
        <v>700</v>
      </c>
      <c r="W1501" s="345">
        <v>14050</v>
      </c>
      <c r="X1501" s="349">
        <v>35666.82</v>
      </c>
      <c r="Y1501" s="345">
        <v>14056</v>
      </c>
      <c r="Z1501" s="349">
        <v>35666.82</v>
      </c>
      <c r="AA1501" s="349">
        <f t="shared" si="107"/>
        <v>0</v>
      </c>
      <c r="AB1501" s="349">
        <v>0</v>
      </c>
      <c r="AC1501" s="345">
        <v>54260</v>
      </c>
      <c r="AD1501" s="349">
        <v>0</v>
      </c>
      <c r="AE1501" s="345" t="s">
        <v>944</v>
      </c>
      <c r="AF1501" s="347"/>
      <c r="AG1501" s="347"/>
      <c r="AH1501" s="347" t="s">
        <v>57</v>
      </c>
      <c r="AI1501" s="347" t="s">
        <v>4442</v>
      </c>
      <c r="AJ1501" s="347" t="s">
        <v>4443</v>
      </c>
      <c r="AK1501" s="347" t="s">
        <v>4437</v>
      </c>
      <c r="AL1501" s="387">
        <v>45574</v>
      </c>
    </row>
    <row r="1502" spans="2:38" ht="15.75" outlineLevel="1">
      <c r="B1502" s="345">
        <v>2111</v>
      </c>
      <c r="C1502" s="346">
        <v>44542</v>
      </c>
      <c r="D1502" s="345" t="s">
        <v>944</v>
      </c>
      <c r="E1502" s="347" t="s">
        <v>4240</v>
      </c>
      <c r="F1502" s="343" t="s">
        <v>4475</v>
      </c>
      <c r="I1502" s="345">
        <v>3</v>
      </c>
      <c r="J1502" s="347">
        <v>0</v>
      </c>
      <c r="K1502" s="345">
        <v>0</v>
      </c>
      <c r="L1502" s="347" t="s">
        <v>2257</v>
      </c>
      <c r="M1502" s="347"/>
      <c r="N1502" s="347" t="s">
        <v>4446</v>
      </c>
      <c r="O1502" s="347" t="s">
        <v>4441</v>
      </c>
      <c r="P1502" s="347"/>
      <c r="Q1502" s="347" t="s">
        <v>4461</v>
      </c>
      <c r="R1502" s="347" t="s">
        <v>4450</v>
      </c>
      <c r="S1502" s="348">
        <v>38854</v>
      </c>
      <c r="T1502" s="348">
        <v>38854</v>
      </c>
      <c r="U1502" s="347" t="s">
        <v>4476</v>
      </c>
      <c r="V1502" s="345">
        <v>1200</v>
      </c>
      <c r="W1502" s="345">
        <v>14050</v>
      </c>
      <c r="X1502" s="349">
        <v>1344.77</v>
      </c>
      <c r="Y1502" s="345">
        <v>14056</v>
      </c>
      <c r="Z1502" s="349">
        <v>1344.77</v>
      </c>
      <c r="AA1502" s="349">
        <f t="shared" si="107"/>
        <v>0</v>
      </c>
      <c r="AB1502" s="349">
        <v>0</v>
      </c>
      <c r="AC1502" s="345">
        <v>54260</v>
      </c>
      <c r="AD1502" s="349">
        <v>0</v>
      </c>
      <c r="AE1502" s="345" t="s">
        <v>944</v>
      </c>
      <c r="AF1502" s="347"/>
      <c r="AG1502" s="347"/>
      <c r="AH1502" s="347" t="s">
        <v>57</v>
      </c>
      <c r="AI1502" s="347" t="s">
        <v>4442</v>
      </c>
      <c r="AJ1502" s="347" t="s">
        <v>4443</v>
      </c>
      <c r="AK1502" s="347" t="s">
        <v>4437</v>
      </c>
      <c r="AL1502" s="387">
        <v>45574</v>
      </c>
    </row>
    <row r="1503" spans="2:38" ht="15.75" outlineLevel="1">
      <c r="B1503" s="345">
        <v>2111</v>
      </c>
      <c r="C1503" s="346">
        <v>43885</v>
      </c>
      <c r="D1503" s="345" t="s">
        <v>944</v>
      </c>
      <c r="E1503" s="347" t="s">
        <v>4240</v>
      </c>
      <c r="F1503" s="343" t="s">
        <v>2621</v>
      </c>
      <c r="I1503" s="345">
        <v>432</v>
      </c>
      <c r="J1503" s="347" t="s">
        <v>3438</v>
      </c>
      <c r="K1503" s="345">
        <v>1997</v>
      </c>
      <c r="L1503" s="347" t="s">
        <v>2578</v>
      </c>
      <c r="M1503" s="347" t="s">
        <v>2214</v>
      </c>
      <c r="N1503" s="347" t="s">
        <v>4446</v>
      </c>
      <c r="O1503" s="347" t="s">
        <v>4441</v>
      </c>
      <c r="P1503" s="347"/>
      <c r="Q1503" s="347"/>
      <c r="R1503" s="347" t="s">
        <v>4474</v>
      </c>
      <c r="S1503" s="348">
        <v>35552</v>
      </c>
      <c r="T1503" s="348">
        <v>35552</v>
      </c>
      <c r="U1503" s="347"/>
      <c r="V1503" s="345">
        <v>500</v>
      </c>
      <c r="W1503" s="345">
        <v>14050</v>
      </c>
      <c r="X1503" s="349">
        <v>22477.83</v>
      </c>
      <c r="Y1503" s="345">
        <v>14056</v>
      </c>
      <c r="Z1503" s="349">
        <v>22477.83</v>
      </c>
      <c r="AA1503" s="349">
        <f t="shared" si="107"/>
        <v>0</v>
      </c>
      <c r="AB1503" s="349">
        <v>0</v>
      </c>
      <c r="AC1503" s="345">
        <v>54260</v>
      </c>
      <c r="AD1503" s="349">
        <v>0</v>
      </c>
      <c r="AE1503" s="345" t="s">
        <v>410</v>
      </c>
      <c r="AF1503" s="347" t="s">
        <v>3044</v>
      </c>
      <c r="AG1503" s="347" t="s">
        <v>2206</v>
      </c>
      <c r="AH1503" s="347" t="s">
        <v>57</v>
      </c>
      <c r="AI1503" s="347" t="s">
        <v>4442</v>
      </c>
      <c r="AJ1503" s="347" t="s">
        <v>4443</v>
      </c>
      <c r="AK1503" s="347" t="s">
        <v>4437</v>
      </c>
      <c r="AL1503" s="387">
        <v>45574</v>
      </c>
    </row>
    <row r="1504" spans="2:38" ht="15.75" outlineLevel="1">
      <c r="B1504" s="345">
        <v>2111</v>
      </c>
      <c r="C1504" s="346">
        <v>43215</v>
      </c>
      <c r="D1504" s="345" t="s">
        <v>944</v>
      </c>
      <c r="E1504" s="347" t="s">
        <v>4240</v>
      </c>
      <c r="F1504" s="343" t="s">
        <v>3439</v>
      </c>
      <c r="I1504" s="345">
        <v>3300</v>
      </c>
      <c r="J1504" s="347">
        <v>0</v>
      </c>
      <c r="K1504" s="345">
        <v>0</v>
      </c>
      <c r="L1504" s="347" t="s">
        <v>2342</v>
      </c>
      <c r="M1504" s="347"/>
      <c r="N1504" s="347" t="s">
        <v>4446</v>
      </c>
      <c r="O1504" s="347" t="s">
        <v>4441</v>
      </c>
      <c r="P1504" s="347"/>
      <c r="Q1504" s="347"/>
      <c r="R1504" s="347"/>
      <c r="S1504" s="348">
        <v>38756</v>
      </c>
      <c r="T1504" s="348">
        <v>38756</v>
      </c>
      <c r="U1504" s="347" t="s">
        <v>3440</v>
      </c>
      <c r="V1504" s="345">
        <v>700</v>
      </c>
      <c r="W1504" s="345">
        <v>14050</v>
      </c>
      <c r="X1504" s="349">
        <v>9873.6</v>
      </c>
      <c r="Y1504" s="345">
        <v>14056</v>
      </c>
      <c r="Z1504" s="349">
        <v>9873.6</v>
      </c>
      <c r="AA1504" s="349">
        <f t="shared" si="107"/>
        <v>0</v>
      </c>
      <c r="AB1504" s="349">
        <v>0</v>
      </c>
      <c r="AC1504" s="345">
        <v>54260</v>
      </c>
      <c r="AD1504" s="349">
        <v>0</v>
      </c>
      <c r="AE1504" s="345" t="s">
        <v>944</v>
      </c>
      <c r="AF1504" s="347">
        <v>0</v>
      </c>
      <c r="AG1504" s="347"/>
      <c r="AH1504" s="347" t="s">
        <v>57</v>
      </c>
      <c r="AI1504" s="347" t="s">
        <v>4442</v>
      </c>
      <c r="AJ1504" s="347" t="s">
        <v>4443</v>
      </c>
      <c r="AK1504" s="347" t="s">
        <v>4437</v>
      </c>
      <c r="AL1504" s="387">
        <v>45574</v>
      </c>
    </row>
    <row r="1505" spans="2:38" ht="15.75" outlineLevel="1">
      <c r="B1505" s="345">
        <v>2111</v>
      </c>
      <c r="C1505" s="346">
        <v>43214</v>
      </c>
      <c r="D1505" s="345" t="s">
        <v>944</v>
      </c>
      <c r="E1505" s="347" t="s">
        <v>4240</v>
      </c>
      <c r="F1505" s="343" t="s">
        <v>2431</v>
      </c>
      <c r="I1505" s="345">
        <v>91</v>
      </c>
      <c r="J1505" s="347">
        <v>0</v>
      </c>
      <c r="K1505" s="345">
        <v>0</v>
      </c>
      <c r="L1505" s="347" t="s">
        <v>2342</v>
      </c>
      <c r="M1505" s="347"/>
      <c r="N1505" s="347" t="s">
        <v>4446</v>
      </c>
      <c r="O1505" s="347" t="s">
        <v>4441</v>
      </c>
      <c r="P1505" s="347"/>
      <c r="Q1505" s="347"/>
      <c r="R1505" s="347"/>
      <c r="S1505" s="348">
        <v>38747</v>
      </c>
      <c r="T1505" s="348">
        <v>38747</v>
      </c>
      <c r="U1505" s="347" t="s">
        <v>3440</v>
      </c>
      <c r="V1505" s="345">
        <v>700</v>
      </c>
      <c r="W1505" s="345">
        <v>14050</v>
      </c>
      <c r="X1505" s="349">
        <v>7350.9</v>
      </c>
      <c r="Y1505" s="345">
        <v>14056</v>
      </c>
      <c r="Z1505" s="349">
        <v>7350.9</v>
      </c>
      <c r="AA1505" s="349">
        <f t="shared" si="107"/>
        <v>0</v>
      </c>
      <c r="AB1505" s="349">
        <v>0</v>
      </c>
      <c r="AC1505" s="345">
        <v>54260</v>
      </c>
      <c r="AD1505" s="349">
        <v>0</v>
      </c>
      <c r="AE1505" s="345" t="s">
        <v>944</v>
      </c>
      <c r="AF1505" s="347">
        <v>0</v>
      </c>
      <c r="AG1505" s="347"/>
      <c r="AH1505" s="347" t="s">
        <v>57</v>
      </c>
      <c r="AI1505" s="347" t="s">
        <v>4442</v>
      </c>
      <c r="AJ1505" s="347" t="s">
        <v>4443</v>
      </c>
      <c r="AK1505" s="347" t="s">
        <v>4437</v>
      </c>
      <c r="AL1505" s="387">
        <v>45574</v>
      </c>
    </row>
    <row r="1506" spans="2:38" ht="15.75" outlineLevel="1">
      <c r="B1506" s="345">
        <v>2111</v>
      </c>
      <c r="C1506" s="346">
        <v>43213</v>
      </c>
      <c r="D1506" s="345" t="s">
        <v>944</v>
      </c>
      <c r="E1506" s="347" t="s">
        <v>4240</v>
      </c>
      <c r="F1506" s="343" t="s">
        <v>3443</v>
      </c>
      <c r="I1506" s="345">
        <v>720</v>
      </c>
      <c r="J1506" s="347">
        <v>0</v>
      </c>
      <c r="K1506" s="345">
        <v>0</v>
      </c>
      <c r="L1506" s="347" t="s">
        <v>2342</v>
      </c>
      <c r="M1506" s="347"/>
      <c r="N1506" s="347" t="s">
        <v>4446</v>
      </c>
      <c r="O1506" s="347" t="s">
        <v>4441</v>
      </c>
      <c r="P1506" s="347"/>
      <c r="Q1506" s="347"/>
      <c r="R1506" s="347"/>
      <c r="S1506" s="348">
        <v>38736</v>
      </c>
      <c r="T1506" s="348">
        <v>38736</v>
      </c>
      <c r="U1506" s="347" t="s">
        <v>3440</v>
      </c>
      <c r="V1506" s="345">
        <v>700</v>
      </c>
      <c r="W1506" s="345">
        <v>14050</v>
      </c>
      <c r="X1506" s="349">
        <v>41441.919999999998</v>
      </c>
      <c r="Y1506" s="345">
        <v>14056</v>
      </c>
      <c r="Z1506" s="349">
        <v>41441.919999999998</v>
      </c>
      <c r="AA1506" s="349">
        <f t="shared" si="107"/>
        <v>0</v>
      </c>
      <c r="AB1506" s="349">
        <v>0</v>
      </c>
      <c r="AC1506" s="345">
        <v>54260</v>
      </c>
      <c r="AD1506" s="349">
        <v>0</v>
      </c>
      <c r="AE1506" s="345" t="s">
        <v>944</v>
      </c>
      <c r="AF1506" s="347">
        <v>0</v>
      </c>
      <c r="AG1506" s="347"/>
      <c r="AH1506" s="347" t="s">
        <v>57</v>
      </c>
      <c r="AI1506" s="347" t="s">
        <v>4442</v>
      </c>
      <c r="AJ1506" s="347" t="s">
        <v>4443</v>
      </c>
      <c r="AK1506" s="347" t="s">
        <v>4437</v>
      </c>
      <c r="AL1506" s="387">
        <v>45574</v>
      </c>
    </row>
    <row r="1507" spans="2:38" ht="15.75" outlineLevel="1">
      <c r="B1507" s="345">
        <v>2111</v>
      </c>
      <c r="C1507" s="346">
        <v>43212</v>
      </c>
      <c r="D1507" s="345" t="s">
        <v>944</v>
      </c>
      <c r="E1507" s="347" t="s">
        <v>4240</v>
      </c>
      <c r="F1507" s="343" t="s">
        <v>3445</v>
      </c>
      <c r="I1507" s="345">
        <v>720</v>
      </c>
      <c r="J1507" s="347">
        <v>0</v>
      </c>
      <c r="K1507" s="345">
        <v>0</v>
      </c>
      <c r="L1507" s="347" t="s">
        <v>2342</v>
      </c>
      <c r="M1507" s="347"/>
      <c r="N1507" s="347" t="s">
        <v>4446</v>
      </c>
      <c r="O1507" s="347" t="s">
        <v>4441</v>
      </c>
      <c r="P1507" s="347"/>
      <c r="Q1507" s="347"/>
      <c r="R1507" s="347"/>
      <c r="S1507" s="348">
        <v>38741</v>
      </c>
      <c r="T1507" s="348">
        <v>38741</v>
      </c>
      <c r="U1507" s="347" t="s">
        <v>3440</v>
      </c>
      <c r="V1507" s="345">
        <v>700</v>
      </c>
      <c r="W1507" s="345">
        <v>14050</v>
      </c>
      <c r="X1507" s="349">
        <v>41441.919999999998</v>
      </c>
      <c r="Y1507" s="345">
        <v>14056</v>
      </c>
      <c r="Z1507" s="349">
        <v>41441.919999999998</v>
      </c>
      <c r="AA1507" s="349">
        <f t="shared" si="107"/>
        <v>0</v>
      </c>
      <c r="AB1507" s="349">
        <v>0</v>
      </c>
      <c r="AC1507" s="345">
        <v>54260</v>
      </c>
      <c r="AD1507" s="349">
        <v>0</v>
      </c>
      <c r="AE1507" s="345" t="s">
        <v>944</v>
      </c>
      <c r="AF1507" s="347">
        <v>0</v>
      </c>
      <c r="AG1507" s="347"/>
      <c r="AH1507" s="347" t="s">
        <v>57</v>
      </c>
      <c r="AI1507" s="347" t="s">
        <v>4442</v>
      </c>
      <c r="AJ1507" s="347" t="s">
        <v>4443</v>
      </c>
      <c r="AK1507" s="347" t="s">
        <v>4437</v>
      </c>
      <c r="AL1507" s="387">
        <v>45574</v>
      </c>
    </row>
    <row r="1508" spans="2:38" ht="15.75" outlineLevel="1">
      <c r="B1508" s="345">
        <v>2111</v>
      </c>
      <c r="C1508" s="346">
        <v>43211</v>
      </c>
      <c r="D1508" s="345" t="s">
        <v>944</v>
      </c>
      <c r="E1508" s="347" t="s">
        <v>4240</v>
      </c>
      <c r="F1508" s="343" t="s">
        <v>3445</v>
      </c>
      <c r="I1508" s="345">
        <v>720</v>
      </c>
      <c r="J1508" s="347">
        <v>0</v>
      </c>
      <c r="K1508" s="345">
        <v>0</v>
      </c>
      <c r="L1508" s="347" t="s">
        <v>2342</v>
      </c>
      <c r="M1508" s="347"/>
      <c r="N1508" s="347" t="s">
        <v>4446</v>
      </c>
      <c r="O1508" s="347" t="s">
        <v>4441</v>
      </c>
      <c r="P1508" s="347"/>
      <c r="Q1508" s="347"/>
      <c r="R1508" s="347"/>
      <c r="S1508" s="348">
        <v>38740</v>
      </c>
      <c r="T1508" s="348">
        <v>38740</v>
      </c>
      <c r="U1508" s="347" t="s">
        <v>3440</v>
      </c>
      <c r="V1508" s="345">
        <v>700</v>
      </c>
      <c r="W1508" s="345">
        <v>14050</v>
      </c>
      <c r="X1508" s="349">
        <v>41441.919999999998</v>
      </c>
      <c r="Y1508" s="345">
        <v>14056</v>
      </c>
      <c r="Z1508" s="349">
        <v>41441.919999999998</v>
      </c>
      <c r="AA1508" s="349">
        <f t="shared" si="107"/>
        <v>0</v>
      </c>
      <c r="AB1508" s="349">
        <v>0</v>
      </c>
      <c r="AC1508" s="345">
        <v>54260</v>
      </c>
      <c r="AD1508" s="349">
        <v>0</v>
      </c>
      <c r="AE1508" s="345" t="s">
        <v>944</v>
      </c>
      <c r="AF1508" s="347">
        <v>0</v>
      </c>
      <c r="AG1508" s="347"/>
      <c r="AH1508" s="347" t="s">
        <v>57</v>
      </c>
      <c r="AI1508" s="347" t="s">
        <v>4442</v>
      </c>
      <c r="AJ1508" s="347" t="s">
        <v>4443</v>
      </c>
      <c r="AK1508" s="347" t="s">
        <v>4437</v>
      </c>
      <c r="AL1508" s="387">
        <v>45574</v>
      </c>
    </row>
    <row r="1509" spans="2:38" ht="15.75" outlineLevel="1">
      <c r="B1509" s="345">
        <v>2111</v>
      </c>
      <c r="C1509" s="346">
        <v>43210</v>
      </c>
      <c r="D1509" s="345" t="s">
        <v>944</v>
      </c>
      <c r="E1509" s="347" t="s">
        <v>4240</v>
      </c>
      <c r="F1509" s="343" t="s">
        <v>3443</v>
      </c>
      <c r="I1509" s="345">
        <v>720</v>
      </c>
      <c r="J1509" s="347">
        <v>0</v>
      </c>
      <c r="K1509" s="345">
        <v>0</v>
      </c>
      <c r="L1509" s="347" t="s">
        <v>2342</v>
      </c>
      <c r="M1509" s="347"/>
      <c r="N1509" s="347" t="s">
        <v>4446</v>
      </c>
      <c r="O1509" s="347" t="s">
        <v>4441</v>
      </c>
      <c r="P1509" s="347"/>
      <c r="Q1509" s="347"/>
      <c r="R1509" s="347"/>
      <c r="S1509" s="348">
        <v>38737</v>
      </c>
      <c r="T1509" s="348">
        <v>38737</v>
      </c>
      <c r="U1509" s="347" t="s">
        <v>3440</v>
      </c>
      <c r="V1509" s="345">
        <v>700</v>
      </c>
      <c r="W1509" s="345">
        <v>14050</v>
      </c>
      <c r="X1509" s="349">
        <v>38554.18</v>
      </c>
      <c r="Y1509" s="345">
        <v>14056</v>
      </c>
      <c r="Z1509" s="349">
        <v>38554.18</v>
      </c>
      <c r="AA1509" s="349">
        <f t="shared" ref="AA1509:AA1572" si="108">+X1509-Z1509</f>
        <v>0</v>
      </c>
      <c r="AB1509" s="349">
        <v>0</v>
      </c>
      <c r="AC1509" s="345">
        <v>54260</v>
      </c>
      <c r="AD1509" s="349">
        <v>0</v>
      </c>
      <c r="AE1509" s="345" t="s">
        <v>944</v>
      </c>
      <c r="AF1509" s="347">
        <v>0</v>
      </c>
      <c r="AG1509" s="347"/>
      <c r="AH1509" s="347" t="s">
        <v>57</v>
      </c>
      <c r="AI1509" s="347" t="s">
        <v>4442</v>
      </c>
      <c r="AJ1509" s="347" t="s">
        <v>4443</v>
      </c>
      <c r="AK1509" s="347" t="s">
        <v>4437</v>
      </c>
      <c r="AL1509" s="387">
        <v>45574</v>
      </c>
    </row>
    <row r="1510" spans="2:38" ht="15.75" outlineLevel="1">
      <c r="B1510" s="345">
        <v>2111</v>
      </c>
      <c r="C1510" s="346">
        <v>43209</v>
      </c>
      <c r="D1510" s="345" t="s">
        <v>944</v>
      </c>
      <c r="E1510" s="347" t="s">
        <v>4240</v>
      </c>
      <c r="F1510" s="343" t="s">
        <v>3445</v>
      </c>
      <c r="I1510" s="345">
        <v>720</v>
      </c>
      <c r="J1510" s="347">
        <v>0</v>
      </c>
      <c r="K1510" s="345">
        <v>0</v>
      </c>
      <c r="L1510" s="347" t="s">
        <v>2342</v>
      </c>
      <c r="M1510" s="347"/>
      <c r="N1510" s="347" t="s">
        <v>4446</v>
      </c>
      <c r="O1510" s="347" t="s">
        <v>4441</v>
      </c>
      <c r="P1510" s="347"/>
      <c r="Q1510" s="347"/>
      <c r="R1510" s="347"/>
      <c r="S1510" s="348">
        <v>38743</v>
      </c>
      <c r="T1510" s="348">
        <v>38743</v>
      </c>
      <c r="U1510" s="347" t="s">
        <v>3440</v>
      </c>
      <c r="V1510" s="345">
        <v>700</v>
      </c>
      <c r="W1510" s="345">
        <v>14050</v>
      </c>
      <c r="X1510" s="349">
        <v>41226.32</v>
      </c>
      <c r="Y1510" s="345">
        <v>14056</v>
      </c>
      <c r="Z1510" s="349">
        <v>41226.32</v>
      </c>
      <c r="AA1510" s="349">
        <f t="shared" si="108"/>
        <v>0</v>
      </c>
      <c r="AB1510" s="349">
        <v>0</v>
      </c>
      <c r="AC1510" s="345">
        <v>54260</v>
      </c>
      <c r="AD1510" s="349">
        <v>0</v>
      </c>
      <c r="AE1510" s="345" t="s">
        <v>944</v>
      </c>
      <c r="AF1510" s="347">
        <v>0</v>
      </c>
      <c r="AG1510" s="347"/>
      <c r="AH1510" s="347" t="s">
        <v>57</v>
      </c>
      <c r="AI1510" s="347" t="s">
        <v>4442</v>
      </c>
      <c r="AJ1510" s="347" t="s">
        <v>4443</v>
      </c>
      <c r="AK1510" s="347" t="s">
        <v>4437</v>
      </c>
      <c r="AL1510" s="387">
        <v>45574</v>
      </c>
    </row>
    <row r="1511" spans="2:38" ht="15.75" outlineLevel="1">
      <c r="B1511" s="345">
        <v>2111</v>
      </c>
      <c r="C1511" s="346">
        <v>43208</v>
      </c>
      <c r="D1511" s="345" t="s">
        <v>944</v>
      </c>
      <c r="E1511" s="347" t="s">
        <v>4240</v>
      </c>
      <c r="F1511" s="343" t="s">
        <v>3445</v>
      </c>
      <c r="I1511" s="345">
        <v>720</v>
      </c>
      <c r="J1511" s="347">
        <v>0</v>
      </c>
      <c r="K1511" s="345">
        <v>0</v>
      </c>
      <c r="L1511" s="347" t="s">
        <v>2342</v>
      </c>
      <c r="M1511" s="347"/>
      <c r="N1511" s="347" t="s">
        <v>4446</v>
      </c>
      <c r="O1511" s="347" t="s">
        <v>4441</v>
      </c>
      <c r="P1511" s="347"/>
      <c r="Q1511" s="347"/>
      <c r="R1511" s="347"/>
      <c r="S1511" s="348">
        <v>38740</v>
      </c>
      <c r="T1511" s="348">
        <v>38740</v>
      </c>
      <c r="U1511" s="347" t="s">
        <v>3440</v>
      </c>
      <c r="V1511" s="345">
        <v>700</v>
      </c>
      <c r="W1511" s="345">
        <v>14050</v>
      </c>
      <c r="X1511" s="349">
        <v>41226.32</v>
      </c>
      <c r="Y1511" s="345">
        <v>14056</v>
      </c>
      <c r="Z1511" s="349">
        <v>41226.32</v>
      </c>
      <c r="AA1511" s="349">
        <f t="shared" si="108"/>
        <v>0</v>
      </c>
      <c r="AB1511" s="349">
        <v>0</v>
      </c>
      <c r="AC1511" s="345">
        <v>54260</v>
      </c>
      <c r="AD1511" s="349">
        <v>0</v>
      </c>
      <c r="AE1511" s="345" t="s">
        <v>944</v>
      </c>
      <c r="AF1511" s="347">
        <v>0</v>
      </c>
      <c r="AG1511" s="347"/>
      <c r="AH1511" s="347" t="s">
        <v>57</v>
      </c>
      <c r="AI1511" s="347" t="s">
        <v>4442</v>
      </c>
      <c r="AJ1511" s="347" t="s">
        <v>4443</v>
      </c>
      <c r="AK1511" s="347" t="s">
        <v>4437</v>
      </c>
      <c r="AL1511" s="387">
        <v>45574</v>
      </c>
    </row>
    <row r="1512" spans="2:38" ht="15.75" outlineLevel="1">
      <c r="B1512" s="345">
        <v>2111</v>
      </c>
      <c r="C1512" s="346">
        <v>43207</v>
      </c>
      <c r="D1512" s="345" t="s">
        <v>944</v>
      </c>
      <c r="E1512" s="347" t="s">
        <v>4240</v>
      </c>
      <c r="F1512" s="343" t="s">
        <v>3445</v>
      </c>
      <c r="I1512" s="345">
        <v>56</v>
      </c>
      <c r="J1512" s="347">
        <v>0</v>
      </c>
      <c r="K1512" s="345">
        <v>0</v>
      </c>
      <c r="L1512" s="347" t="s">
        <v>2342</v>
      </c>
      <c r="M1512" s="347"/>
      <c r="N1512" s="347" t="s">
        <v>4446</v>
      </c>
      <c r="O1512" s="347" t="s">
        <v>4441</v>
      </c>
      <c r="P1512" s="347"/>
      <c r="Q1512" s="347"/>
      <c r="R1512" s="347"/>
      <c r="S1512" s="348">
        <v>38747</v>
      </c>
      <c r="T1512" s="348">
        <v>38747</v>
      </c>
      <c r="U1512" s="347" t="s">
        <v>3440</v>
      </c>
      <c r="V1512" s="345">
        <v>700</v>
      </c>
      <c r="W1512" s="345">
        <v>14050</v>
      </c>
      <c r="X1512" s="349">
        <v>5344.08</v>
      </c>
      <c r="Y1512" s="345">
        <v>14056</v>
      </c>
      <c r="Z1512" s="349">
        <v>5344.08</v>
      </c>
      <c r="AA1512" s="349">
        <f t="shared" si="108"/>
        <v>0</v>
      </c>
      <c r="AB1512" s="349">
        <v>0</v>
      </c>
      <c r="AC1512" s="345">
        <v>54260</v>
      </c>
      <c r="AD1512" s="349">
        <v>0</v>
      </c>
      <c r="AE1512" s="345" t="s">
        <v>944</v>
      </c>
      <c r="AF1512" s="347">
        <v>0</v>
      </c>
      <c r="AG1512" s="347"/>
      <c r="AH1512" s="347" t="s">
        <v>57</v>
      </c>
      <c r="AI1512" s="347" t="s">
        <v>4442</v>
      </c>
      <c r="AJ1512" s="347" t="s">
        <v>4443</v>
      </c>
      <c r="AK1512" s="347" t="s">
        <v>4437</v>
      </c>
      <c r="AL1512" s="387">
        <v>45574</v>
      </c>
    </row>
    <row r="1513" spans="2:38" ht="15.75" outlineLevel="1">
      <c r="B1513" s="345">
        <v>2111</v>
      </c>
      <c r="C1513" s="346">
        <v>43206</v>
      </c>
      <c r="D1513" s="345" t="s">
        <v>944</v>
      </c>
      <c r="E1513" s="347" t="s">
        <v>4240</v>
      </c>
      <c r="F1513" s="343" t="s">
        <v>3445</v>
      </c>
      <c r="I1513" s="345">
        <v>720</v>
      </c>
      <c r="J1513" s="347">
        <v>0</v>
      </c>
      <c r="K1513" s="345">
        <v>0</v>
      </c>
      <c r="L1513" s="347" t="s">
        <v>2342</v>
      </c>
      <c r="M1513" s="347"/>
      <c r="N1513" s="347" t="s">
        <v>4446</v>
      </c>
      <c r="O1513" s="347" t="s">
        <v>4441</v>
      </c>
      <c r="P1513" s="347"/>
      <c r="Q1513" s="347"/>
      <c r="R1513" s="347"/>
      <c r="S1513" s="348">
        <v>38742</v>
      </c>
      <c r="T1513" s="348">
        <v>38742</v>
      </c>
      <c r="U1513" s="347" t="s">
        <v>3440</v>
      </c>
      <c r="V1513" s="345">
        <v>700</v>
      </c>
      <c r="W1513" s="345">
        <v>14050</v>
      </c>
      <c r="X1513" s="349">
        <v>41441.919999999998</v>
      </c>
      <c r="Y1513" s="345">
        <v>14056</v>
      </c>
      <c r="Z1513" s="349">
        <v>41441.919999999998</v>
      </c>
      <c r="AA1513" s="349">
        <f t="shared" si="108"/>
        <v>0</v>
      </c>
      <c r="AB1513" s="349">
        <v>0</v>
      </c>
      <c r="AC1513" s="345">
        <v>54260</v>
      </c>
      <c r="AD1513" s="349">
        <v>0</v>
      </c>
      <c r="AE1513" s="345" t="s">
        <v>944</v>
      </c>
      <c r="AF1513" s="347">
        <v>0</v>
      </c>
      <c r="AG1513" s="347"/>
      <c r="AH1513" s="347" t="s">
        <v>57</v>
      </c>
      <c r="AI1513" s="347" t="s">
        <v>4442</v>
      </c>
      <c r="AJ1513" s="347" t="s">
        <v>4443</v>
      </c>
      <c r="AK1513" s="347" t="s">
        <v>4437</v>
      </c>
      <c r="AL1513" s="387">
        <v>45574</v>
      </c>
    </row>
    <row r="1514" spans="2:38" ht="15.75" outlineLevel="1">
      <c r="B1514" s="345">
        <v>2111</v>
      </c>
      <c r="C1514" s="346">
        <v>43205</v>
      </c>
      <c r="D1514" s="345" t="s">
        <v>944</v>
      </c>
      <c r="E1514" s="347" t="s">
        <v>4240</v>
      </c>
      <c r="F1514" s="343" t="s">
        <v>3453</v>
      </c>
      <c r="I1514" s="345">
        <v>1</v>
      </c>
      <c r="J1514" s="347">
        <v>0</v>
      </c>
      <c r="K1514" s="345">
        <v>0</v>
      </c>
      <c r="L1514" s="347" t="s">
        <v>2342</v>
      </c>
      <c r="M1514" s="347"/>
      <c r="N1514" s="347" t="s">
        <v>4446</v>
      </c>
      <c r="O1514" s="347" t="s">
        <v>4441</v>
      </c>
      <c r="P1514" s="347"/>
      <c r="Q1514" s="347"/>
      <c r="R1514" s="347"/>
      <c r="S1514" s="348">
        <v>38757</v>
      </c>
      <c r="T1514" s="348">
        <v>38757</v>
      </c>
      <c r="U1514" s="347" t="s">
        <v>3440</v>
      </c>
      <c r="V1514" s="345">
        <v>700</v>
      </c>
      <c r="W1514" s="345">
        <v>14050</v>
      </c>
      <c r="X1514" s="349">
        <v>648.79999999999995</v>
      </c>
      <c r="Y1514" s="345">
        <v>14056</v>
      </c>
      <c r="Z1514" s="349">
        <v>648.79999999999995</v>
      </c>
      <c r="AA1514" s="349">
        <f t="shared" si="108"/>
        <v>0</v>
      </c>
      <c r="AB1514" s="349">
        <v>0</v>
      </c>
      <c r="AC1514" s="345">
        <v>54260</v>
      </c>
      <c r="AD1514" s="349">
        <v>0</v>
      </c>
      <c r="AE1514" s="345" t="s">
        <v>944</v>
      </c>
      <c r="AF1514" s="347">
        <v>0</v>
      </c>
      <c r="AG1514" s="347"/>
      <c r="AH1514" s="347" t="s">
        <v>57</v>
      </c>
      <c r="AI1514" s="347" t="s">
        <v>4442</v>
      </c>
      <c r="AJ1514" s="347" t="s">
        <v>4443</v>
      </c>
      <c r="AK1514" s="347" t="s">
        <v>4437</v>
      </c>
      <c r="AL1514" s="387">
        <v>45574</v>
      </c>
    </row>
    <row r="1515" spans="2:38" ht="15.75" outlineLevel="1">
      <c r="B1515" s="345">
        <v>2111</v>
      </c>
      <c r="C1515" s="346">
        <v>43204</v>
      </c>
      <c r="D1515" s="345" t="s">
        <v>944</v>
      </c>
      <c r="E1515" s="347" t="s">
        <v>4240</v>
      </c>
      <c r="F1515" s="343" t="s">
        <v>3445</v>
      </c>
      <c r="I1515" s="345">
        <v>720</v>
      </c>
      <c r="J1515" s="347">
        <v>0</v>
      </c>
      <c r="K1515" s="345">
        <v>0</v>
      </c>
      <c r="L1515" s="347" t="s">
        <v>2342</v>
      </c>
      <c r="M1515" s="347"/>
      <c r="N1515" s="347" t="s">
        <v>4446</v>
      </c>
      <c r="O1515" s="347" t="s">
        <v>4441</v>
      </c>
      <c r="P1515" s="347"/>
      <c r="Q1515" s="347"/>
      <c r="R1515" s="347"/>
      <c r="S1515" s="348">
        <v>38737</v>
      </c>
      <c r="T1515" s="348">
        <v>38737</v>
      </c>
      <c r="U1515" s="347" t="s">
        <v>3440</v>
      </c>
      <c r="V1515" s="345">
        <v>700</v>
      </c>
      <c r="W1515" s="345">
        <v>14050</v>
      </c>
      <c r="X1515" s="349">
        <v>41226.32</v>
      </c>
      <c r="Y1515" s="345">
        <v>14056</v>
      </c>
      <c r="Z1515" s="349">
        <v>41226.32</v>
      </c>
      <c r="AA1515" s="349">
        <f t="shared" si="108"/>
        <v>0</v>
      </c>
      <c r="AB1515" s="349">
        <v>0</v>
      </c>
      <c r="AC1515" s="345">
        <v>54260</v>
      </c>
      <c r="AD1515" s="349">
        <v>0</v>
      </c>
      <c r="AE1515" s="345" t="s">
        <v>944</v>
      </c>
      <c r="AF1515" s="347">
        <v>0</v>
      </c>
      <c r="AG1515" s="347"/>
      <c r="AH1515" s="347" t="s">
        <v>57</v>
      </c>
      <c r="AI1515" s="347" t="s">
        <v>4442</v>
      </c>
      <c r="AJ1515" s="347" t="s">
        <v>4443</v>
      </c>
      <c r="AK1515" s="347" t="s">
        <v>4437</v>
      </c>
      <c r="AL1515" s="387">
        <v>45574</v>
      </c>
    </row>
    <row r="1516" spans="2:38" ht="15.75" outlineLevel="1">
      <c r="B1516" s="345">
        <v>2111</v>
      </c>
      <c r="C1516" s="346">
        <v>43052</v>
      </c>
      <c r="D1516" s="345" t="s">
        <v>944</v>
      </c>
      <c r="E1516" s="347" t="s">
        <v>4240</v>
      </c>
      <c r="F1516" s="343" t="s">
        <v>682</v>
      </c>
      <c r="I1516" s="345">
        <v>12</v>
      </c>
      <c r="J1516" s="347">
        <v>0</v>
      </c>
      <c r="K1516" s="345">
        <v>0</v>
      </c>
      <c r="L1516" s="347" t="s">
        <v>2257</v>
      </c>
      <c r="M1516" s="347"/>
      <c r="N1516" s="347" t="s">
        <v>4446</v>
      </c>
      <c r="O1516" s="347" t="s">
        <v>4441</v>
      </c>
      <c r="P1516" s="347"/>
      <c r="Q1516" s="347" t="s">
        <v>4459</v>
      </c>
      <c r="R1516" s="347" t="s">
        <v>4450</v>
      </c>
      <c r="S1516" s="348">
        <v>38835</v>
      </c>
      <c r="T1516" s="348">
        <v>38835</v>
      </c>
      <c r="U1516" s="347" t="s">
        <v>3456</v>
      </c>
      <c r="V1516" s="345">
        <v>1200</v>
      </c>
      <c r="W1516" s="345">
        <v>14050</v>
      </c>
      <c r="X1516" s="349">
        <v>5679.36</v>
      </c>
      <c r="Y1516" s="345">
        <v>14056</v>
      </c>
      <c r="Z1516" s="349">
        <v>5679.36</v>
      </c>
      <c r="AA1516" s="349">
        <f t="shared" si="108"/>
        <v>0</v>
      </c>
      <c r="AB1516" s="349">
        <v>0</v>
      </c>
      <c r="AC1516" s="345">
        <v>54260</v>
      </c>
      <c r="AD1516" s="349">
        <v>0</v>
      </c>
      <c r="AE1516" s="345" t="s">
        <v>944</v>
      </c>
      <c r="AF1516" s="347"/>
      <c r="AG1516" s="347"/>
      <c r="AH1516" s="347" t="s">
        <v>57</v>
      </c>
      <c r="AI1516" s="347" t="s">
        <v>4442</v>
      </c>
      <c r="AJ1516" s="347" t="s">
        <v>4443</v>
      </c>
      <c r="AK1516" s="347" t="s">
        <v>4437</v>
      </c>
      <c r="AL1516" s="387">
        <v>45574</v>
      </c>
    </row>
    <row r="1517" spans="2:38" ht="15.75" outlineLevel="1">
      <c r="B1517" s="345">
        <v>2111</v>
      </c>
      <c r="C1517" s="346">
        <v>43051</v>
      </c>
      <c r="D1517" s="345" t="s">
        <v>944</v>
      </c>
      <c r="E1517" s="347" t="s">
        <v>4240</v>
      </c>
      <c r="F1517" s="343" t="s">
        <v>682</v>
      </c>
      <c r="I1517" s="345">
        <v>13</v>
      </c>
      <c r="J1517" s="347">
        <v>0</v>
      </c>
      <c r="K1517" s="345">
        <v>0</v>
      </c>
      <c r="L1517" s="347" t="s">
        <v>2257</v>
      </c>
      <c r="M1517" s="347"/>
      <c r="N1517" s="347" t="s">
        <v>4446</v>
      </c>
      <c r="O1517" s="347" t="s">
        <v>4441</v>
      </c>
      <c r="P1517" s="347"/>
      <c r="Q1517" s="347" t="s">
        <v>4459</v>
      </c>
      <c r="R1517" s="347" t="s">
        <v>4450</v>
      </c>
      <c r="S1517" s="348">
        <v>38835</v>
      </c>
      <c r="T1517" s="348">
        <v>38835</v>
      </c>
      <c r="U1517" s="347" t="s">
        <v>3456</v>
      </c>
      <c r="V1517" s="345">
        <v>1200</v>
      </c>
      <c r="W1517" s="345">
        <v>14050</v>
      </c>
      <c r="X1517" s="349">
        <v>6152.64</v>
      </c>
      <c r="Y1517" s="345">
        <v>14056</v>
      </c>
      <c r="Z1517" s="349">
        <v>6152.64</v>
      </c>
      <c r="AA1517" s="349">
        <f t="shared" si="108"/>
        <v>0</v>
      </c>
      <c r="AB1517" s="349">
        <v>0</v>
      </c>
      <c r="AC1517" s="345">
        <v>54260</v>
      </c>
      <c r="AD1517" s="349">
        <v>0</v>
      </c>
      <c r="AE1517" s="345" t="s">
        <v>944</v>
      </c>
      <c r="AF1517" s="347"/>
      <c r="AG1517" s="347"/>
      <c r="AH1517" s="347" t="s">
        <v>57</v>
      </c>
      <c r="AI1517" s="347" t="s">
        <v>4442</v>
      </c>
      <c r="AJ1517" s="347" t="s">
        <v>4443</v>
      </c>
      <c r="AK1517" s="347" t="s">
        <v>4437</v>
      </c>
      <c r="AL1517" s="387">
        <v>45574</v>
      </c>
    </row>
    <row r="1518" spans="2:38" ht="15.75" outlineLevel="1">
      <c r="B1518" s="345">
        <v>2111</v>
      </c>
      <c r="C1518" s="346">
        <v>43050</v>
      </c>
      <c r="D1518" s="345" t="s">
        <v>944</v>
      </c>
      <c r="E1518" s="347" t="s">
        <v>4240</v>
      </c>
      <c r="F1518" s="343" t="s">
        <v>682</v>
      </c>
      <c r="I1518" s="345">
        <v>5</v>
      </c>
      <c r="J1518" s="347">
        <v>0</v>
      </c>
      <c r="K1518" s="345">
        <v>0</v>
      </c>
      <c r="L1518" s="347" t="s">
        <v>2257</v>
      </c>
      <c r="M1518" s="347"/>
      <c r="N1518" s="347" t="s">
        <v>4446</v>
      </c>
      <c r="O1518" s="347" t="s">
        <v>4441</v>
      </c>
      <c r="P1518" s="347"/>
      <c r="Q1518" s="347" t="s">
        <v>4459</v>
      </c>
      <c r="R1518" s="347" t="s">
        <v>4450</v>
      </c>
      <c r="S1518" s="348">
        <v>38835</v>
      </c>
      <c r="T1518" s="348">
        <v>38835</v>
      </c>
      <c r="U1518" s="347" t="s">
        <v>3456</v>
      </c>
      <c r="V1518" s="345">
        <v>1200</v>
      </c>
      <c r="W1518" s="345">
        <v>14050</v>
      </c>
      <c r="X1518" s="349">
        <v>2366.4</v>
      </c>
      <c r="Y1518" s="345">
        <v>14056</v>
      </c>
      <c r="Z1518" s="349">
        <v>2366.4</v>
      </c>
      <c r="AA1518" s="349">
        <f t="shared" si="108"/>
        <v>0</v>
      </c>
      <c r="AB1518" s="349">
        <v>0</v>
      </c>
      <c r="AC1518" s="345">
        <v>54260</v>
      </c>
      <c r="AD1518" s="349">
        <v>0</v>
      </c>
      <c r="AE1518" s="345" t="s">
        <v>944</v>
      </c>
      <c r="AF1518" s="347"/>
      <c r="AG1518" s="347"/>
      <c r="AH1518" s="347" t="s">
        <v>57</v>
      </c>
      <c r="AI1518" s="347" t="s">
        <v>4442</v>
      </c>
      <c r="AJ1518" s="347" t="s">
        <v>4443</v>
      </c>
      <c r="AK1518" s="347" t="s">
        <v>4437</v>
      </c>
      <c r="AL1518" s="387">
        <v>45574</v>
      </c>
    </row>
    <row r="1519" spans="2:38" ht="15.75" outlineLevel="1">
      <c r="B1519" s="345">
        <v>2111</v>
      </c>
      <c r="C1519" s="346">
        <v>43049</v>
      </c>
      <c r="D1519" s="345" t="s">
        <v>944</v>
      </c>
      <c r="E1519" s="347" t="s">
        <v>4240</v>
      </c>
      <c r="F1519" s="343" t="s">
        <v>682</v>
      </c>
      <c r="I1519" s="345">
        <v>5</v>
      </c>
      <c r="J1519" s="347">
        <v>0</v>
      </c>
      <c r="K1519" s="345">
        <v>0</v>
      </c>
      <c r="L1519" s="347" t="s">
        <v>2257</v>
      </c>
      <c r="M1519" s="347"/>
      <c r="N1519" s="347" t="s">
        <v>4446</v>
      </c>
      <c r="O1519" s="347" t="s">
        <v>4441</v>
      </c>
      <c r="P1519" s="347"/>
      <c r="Q1519" s="347" t="s">
        <v>4459</v>
      </c>
      <c r="R1519" s="347" t="s">
        <v>4450</v>
      </c>
      <c r="S1519" s="348">
        <v>38835</v>
      </c>
      <c r="T1519" s="348">
        <v>38835</v>
      </c>
      <c r="U1519" s="347" t="s">
        <v>3456</v>
      </c>
      <c r="V1519" s="345">
        <v>1200</v>
      </c>
      <c r="W1519" s="345">
        <v>14050</v>
      </c>
      <c r="X1519" s="349">
        <v>2366.4</v>
      </c>
      <c r="Y1519" s="345">
        <v>14056</v>
      </c>
      <c r="Z1519" s="349">
        <v>2366.4</v>
      </c>
      <c r="AA1519" s="349">
        <f t="shared" si="108"/>
        <v>0</v>
      </c>
      <c r="AB1519" s="349">
        <v>0</v>
      </c>
      <c r="AC1519" s="345">
        <v>54260</v>
      </c>
      <c r="AD1519" s="349">
        <v>0</v>
      </c>
      <c r="AE1519" s="345" t="s">
        <v>944</v>
      </c>
      <c r="AF1519" s="347"/>
      <c r="AG1519" s="347"/>
      <c r="AH1519" s="347" t="s">
        <v>57</v>
      </c>
      <c r="AI1519" s="347" t="s">
        <v>4442</v>
      </c>
      <c r="AJ1519" s="347" t="s">
        <v>4443</v>
      </c>
      <c r="AK1519" s="347" t="s">
        <v>4437</v>
      </c>
      <c r="AL1519" s="387">
        <v>45574</v>
      </c>
    </row>
    <row r="1520" spans="2:38" ht="15.75" outlineLevel="1">
      <c r="B1520" s="345">
        <v>2111</v>
      </c>
      <c r="C1520" s="346">
        <v>43048</v>
      </c>
      <c r="D1520" s="345" t="s">
        <v>944</v>
      </c>
      <c r="E1520" s="347" t="s">
        <v>4240</v>
      </c>
      <c r="F1520" s="343" t="s">
        <v>3457</v>
      </c>
      <c r="I1520" s="345">
        <v>1</v>
      </c>
      <c r="J1520" s="347">
        <v>0</v>
      </c>
      <c r="K1520" s="345">
        <v>0</v>
      </c>
      <c r="L1520" s="347" t="s">
        <v>2257</v>
      </c>
      <c r="M1520" s="347"/>
      <c r="N1520" s="347" t="s">
        <v>4446</v>
      </c>
      <c r="O1520" s="347" t="s">
        <v>4441</v>
      </c>
      <c r="P1520" s="347"/>
      <c r="Q1520" s="347" t="s">
        <v>4447</v>
      </c>
      <c r="R1520" s="347" t="s">
        <v>4448</v>
      </c>
      <c r="S1520" s="348">
        <v>38835</v>
      </c>
      <c r="T1520" s="348">
        <v>38835</v>
      </c>
      <c r="U1520" s="347" t="s">
        <v>3458</v>
      </c>
      <c r="V1520" s="345">
        <v>1200</v>
      </c>
      <c r="W1520" s="345">
        <v>14050</v>
      </c>
      <c r="X1520" s="349">
        <v>4950.3999999999996</v>
      </c>
      <c r="Y1520" s="345">
        <v>14056</v>
      </c>
      <c r="Z1520" s="349">
        <v>4950.3999999999996</v>
      </c>
      <c r="AA1520" s="349">
        <f t="shared" si="108"/>
        <v>0</v>
      </c>
      <c r="AB1520" s="349">
        <v>0</v>
      </c>
      <c r="AC1520" s="345">
        <v>54260</v>
      </c>
      <c r="AD1520" s="349">
        <v>0</v>
      </c>
      <c r="AE1520" s="345" t="s">
        <v>944</v>
      </c>
      <c r="AF1520" s="347"/>
      <c r="AG1520" s="347"/>
      <c r="AH1520" s="347" t="s">
        <v>57</v>
      </c>
      <c r="AI1520" s="347" t="s">
        <v>4442</v>
      </c>
      <c r="AJ1520" s="347" t="s">
        <v>4443</v>
      </c>
      <c r="AK1520" s="347" t="s">
        <v>4437</v>
      </c>
      <c r="AL1520" s="387">
        <v>45574</v>
      </c>
    </row>
    <row r="1521" spans="2:38" ht="15.75" outlineLevel="1">
      <c r="B1521" s="345">
        <v>2111</v>
      </c>
      <c r="C1521" s="346">
        <v>43047</v>
      </c>
      <c r="D1521" s="345" t="s">
        <v>944</v>
      </c>
      <c r="E1521" s="347" t="s">
        <v>4240</v>
      </c>
      <c r="F1521" s="343" t="s">
        <v>3457</v>
      </c>
      <c r="I1521" s="345">
        <v>2</v>
      </c>
      <c r="J1521" s="347">
        <v>0</v>
      </c>
      <c r="K1521" s="345">
        <v>0</v>
      </c>
      <c r="L1521" s="347" t="s">
        <v>2257</v>
      </c>
      <c r="M1521" s="347"/>
      <c r="N1521" s="347" t="s">
        <v>4446</v>
      </c>
      <c r="O1521" s="347" t="s">
        <v>4441</v>
      </c>
      <c r="P1521" s="347"/>
      <c r="Q1521" s="347" t="s">
        <v>4447</v>
      </c>
      <c r="R1521" s="347" t="s">
        <v>4448</v>
      </c>
      <c r="S1521" s="348">
        <v>38835</v>
      </c>
      <c r="T1521" s="348">
        <v>38835</v>
      </c>
      <c r="U1521" s="347" t="s">
        <v>3458</v>
      </c>
      <c r="V1521" s="345">
        <v>1200</v>
      </c>
      <c r="W1521" s="345">
        <v>14050</v>
      </c>
      <c r="X1521" s="349">
        <v>9900.7999999999993</v>
      </c>
      <c r="Y1521" s="345">
        <v>14056</v>
      </c>
      <c r="Z1521" s="349">
        <v>9900.7999999999993</v>
      </c>
      <c r="AA1521" s="349">
        <f t="shared" si="108"/>
        <v>0</v>
      </c>
      <c r="AB1521" s="349">
        <v>0</v>
      </c>
      <c r="AC1521" s="345">
        <v>54260</v>
      </c>
      <c r="AD1521" s="349">
        <v>0</v>
      </c>
      <c r="AE1521" s="345" t="s">
        <v>944</v>
      </c>
      <c r="AF1521" s="347"/>
      <c r="AG1521" s="347"/>
      <c r="AH1521" s="347" t="s">
        <v>57</v>
      </c>
      <c r="AI1521" s="347" t="s">
        <v>4442</v>
      </c>
      <c r="AJ1521" s="347" t="s">
        <v>4443</v>
      </c>
      <c r="AK1521" s="347" t="s">
        <v>4437</v>
      </c>
      <c r="AL1521" s="387">
        <v>45574</v>
      </c>
    </row>
    <row r="1522" spans="2:38" ht="15.75" outlineLevel="1">
      <c r="B1522" s="345">
        <v>2111</v>
      </c>
      <c r="C1522" s="346">
        <v>43046</v>
      </c>
      <c r="D1522" s="345" t="s">
        <v>944</v>
      </c>
      <c r="E1522" s="347" t="s">
        <v>4240</v>
      </c>
      <c r="F1522" s="343" t="s">
        <v>3457</v>
      </c>
      <c r="I1522" s="345">
        <v>2</v>
      </c>
      <c r="J1522" s="347">
        <v>0</v>
      </c>
      <c r="K1522" s="345">
        <v>0</v>
      </c>
      <c r="L1522" s="347" t="s">
        <v>2257</v>
      </c>
      <c r="M1522" s="347"/>
      <c r="N1522" s="347" t="s">
        <v>4446</v>
      </c>
      <c r="O1522" s="347" t="s">
        <v>4441</v>
      </c>
      <c r="P1522" s="347"/>
      <c r="Q1522" s="347" t="s">
        <v>4447</v>
      </c>
      <c r="R1522" s="347" t="s">
        <v>4448</v>
      </c>
      <c r="S1522" s="348">
        <v>38835</v>
      </c>
      <c r="T1522" s="348">
        <v>38835</v>
      </c>
      <c r="U1522" s="347" t="s">
        <v>3458</v>
      </c>
      <c r="V1522" s="345">
        <v>1200</v>
      </c>
      <c r="W1522" s="345">
        <v>14050</v>
      </c>
      <c r="X1522" s="349">
        <v>9900.7999999999993</v>
      </c>
      <c r="Y1522" s="345">
        <v>14056</v>
      </c>
      <c r="Z1522" s="349">
        <v>9900.7999999999993</v>
      </c>
      <c r="AA1522" s="349">
        <f t="shared" si="108"/>
        <v>0</v>
      </c>
      <c r="AB1522" s="349">
        <v>0</v>
      </c>
      <c r="AC1522" s="345">
        <v>54260</v>
      </c>
      <c r="AD1522" s="349">
        <v>0</v>
      </c>
      <c r="AE1522" s="345" t="s">
        <v>944</v>
      </c>
      <c r="AF1522" s="347"/>
      <c r="AG1522" s="347"/>
      <c r="AH1522" s="347" t="s">
        <v>57</v>
      </c>
      <c r="AI1522" s="347" t="s">
        <v>4442</v>
      </c>
      <c r="AJ1522" s="347" t="s">
        <v>4443</v>
      </c>
      <c r="AK1522" s="347" t="s">
        <v>4437</v>
      </c>
      <c r="AL1522" s="387">
        <v>45574</v>
      </c>
    </row>
    <row r="1523" spans="2:38" ht="15.75" outlineLevel="1">
      <c r="B1523" s="345">
        <v>2111</v>
      </c>
      <c r="C1523" s="346">
        <v>42254</v>
      </c>
      <c r="D1523" s="345" t="s">
        <v>944</v>
      </c>
      <c r="E1523" s="347" t="s">
        <v>4240</v>
      </c>
      <c r="F1523" s="343" t="s">
        <v>3459</v>
      </c>
      <c r="I1523" s="345">
        <v>1</v>
      </c>
      <c r="J1523" s="347">
        <v>0</v>
      </c>
      <c r="K1523" s="345">
        <v>0</v>
      </c>
      <c r="L1523" s="347" t="s">
        <v>3433</v>
      </c>
      <c r="M1523" s="347"/>
      <c r="N1523" s="347" t="s">
        <v>4452</v>
      </c>
      <c r="O1523" s="347" t="s">
        <v>4441</v>
      </c>
      <c r="P1523" s="347"/>
      <c r="Q1523" s="347"/>
      <c r="R1523" s="347"/>
      <c r="S1523" s="348">
        <v>38718</v>
      </c>
      <c r="T1523" s="348">
        <v>38718</v>
      </c>
      <c r="U1523" s="347" t="s">
        <v>3434</v>
      </c>
      <c r="V1523" s="345">
        <v>406</v>
      </c>
      <c r="W1523" s="345">
        <v>14080</v>
      </c>
      <c r="X1523" s="349">
        <v>2500</v>
      </c>
      <c r="Y1523" s="345">
        <v>14086</v>
      </c>
      <c r="Z1523" s="349">
        <v>2500</v>
      </c>
      <c r="AA1523" s="349">
        <f t="shared" si="108"/>
        <v>0</v>
      </c>
      <c r="AB1523" s="349">
        <v>0</v>
      </c>
      <c r="AC1523" s="345">
        <v>57260</v>
      </c>
      <c r="AD1523" s="349">
        <v>0</v>
      </c>
      <c r="AE1523" s="345" t="s">
        <v>944</v>
      </c>
      <c r="AF1523" s="347"/>
      <c r="AG1523" s="347"/>
      <c r="AH1523" s="347" t="s">
        <v>57</v>
      </c>
      <c r="AI1523" s="347" t="s">
        <v>4442</v>
      </c>
      <c r="AJ1523" s="347" t="s">
        <v>4443</v>
      </c>
      <c r="AK1523" s="347" t="s">
        <v>4437</v>
      </c>
      <c r="AL1523" s="387">
        <v>45574</v>
      </c>
    </row>
    <row r="1524" spans="2:38" ht="15.75" outlineLevel="1">
      <c r="B1524" s="345">
        <v>2111</v>
      </c>
      <c r="C1524" s="346">
        <v>42174</v>
      </c>
      <c r="D1524" s="345">
        <v>42173</v>
      </c>
      <c r="E1524" s="347" t="s">
        <v>4240</v>
      </c>
      <c r="F1524" s="343" t="s">
        <v>3461</v>
      </c>
      <c r="I1524" s="345">
        <v>77</v>
      </c>
      <c r="J1524" s="347">
        <v>0</v>
      </c>
      <c r="K1524" s="345">
        <v>0</v>
      </c>
      <c r="L1524" s="347" t="s">
        <v>2342</v>
      </c>
      <c r="M1524" s="347"/>
      <c r="N1524" s="347" t="s">
        <v>4446</v>
      </c>
      <c r="O1524" s="347" t="s">
        <v>4441</v>
      </c>
      <c r="P1524" s="347"/>
      <c r="Q1524" s="347"/>
      <c r="R1524" s="347"/>
      <c r="S1524" s="348">
        <v>38744</v>
      </c>
      <c r="T1524" s="348">
        <v>38744</v>
      </c>
      <c r="U1524" s="347" t="s">
        <v>3462</v>
      </c>
      <c r="V1524" s="345">
        <v>700</v>
      </c>
      <c r="W1524" s="345">
        <v>14050</v>
      </c>
      <c r="X1524" s="349">
        <v>167.55</v>
      </c>
      <c r="Y1524" s="345">
        <v>14056</v>
      </c>
      <c r="Z1524" s="349">
        <v>167.55</v>
      </c>
      <c r="AA1524" s="349">
        <f t="shared" si="108"/>
        <v>0</v>
      </c>
      <c r="AB1524" s="349">
        <v>0</v>
      </c>
      <c r="AC1524" s="345">
        <v>54260</v>
      </c>
      <c r="AD1524" s="349">
        <v>0</v>
      </c>
      <c r="AE1524" s="345" t="s">
        <v>944</v>
      </c>
      <c r="AF1524" s="347"/>
      <c r="AG1524" s="347"/>
      <c r="AH1524" s="347" t="s">
        <v>57</v>
      </c>
      <c r="AI1524" s="347" t="s">
        <v>4442</v>
      </c>
      <c r="AJ1524" s="347" t="s">
        <v>4443</v>
      </c>
      <c r="AK1524" s="347" t="s">
        <v>4437</v>
      </c>
      <c r="AL1524" s="387">
        <v>45574</v>
      </c>
    </row>
    <row r="1525" spans="2:38" ht="15.75" outlineLevel="1">
      <c r="B1525" s="345">
        <v>2111</v>
      </c>
      <c r="C1525" s="346">
        <v>42173</v>
      </c>
      <c r="D1525" s="345" t="s">
        <v>944</v>
      </c>
      <c r="E1525" s="347" t="s">
        <v>4240</v>
      </c>
      <c r="F1525" s="343" t="s">
        <v>3464</v>
      </c>
      <c r="I1525" s="345">
        <v>720</v>
      </c>
      <c r="J1525" s="347">
        <v>0</v>
      </c>
      <c r="K1525" s="345">
        <v>0</v>
      </c>
      <c r="L1525" s="347" t="s">
        <v>2342</v>
      </c>
      <c r="M1525" s="347"/>
      <c r="N1525" s="347" t="s">
        <v>4446</v>
      </c>
      <c r="O1525" s="347" t="s">
        <v>4441</v>
      </c>
      <c r="P1525" s="347"/>
      <c r="Q1525" s="347"/>
      <c r="R1525" s="347"/>
      <c r="S1525" s="348">
        <v>38744</v>
      </c>
      <c r="T1525" s="348">
        <v>38744</v>
      </c>
      <c r="U1525" s="347" t="s">
        <v>3462</v>
      </c>
      <c r="V1525" s="345">
        <v>700</v>
      </c>
      <c r="W1525" s="345">
        <v>14050</v>
      </c>
      <c r="X1525" s="349">
        <v>41226.32</v>
      </c>
      <c r="Y1525" s="345">
        <v>14056</v>
      </c>
      <c r="Z1525" s="349">
        <v>41226.32</v>
      </c>
      <c r="AA1525" s="349">
        <f t="shared" si="108"/>
        <v>0</v>
      </c>
      <c r="AB1525" s="349">
        <v>0</v>
      </c>
      <c r="AC1525" s="345">
        <v>54260</v>
      </c>
      <c r="AD1525" s="349">
        <v>0</v>
      </c>
      <c r="AE1525" s="345" t="s">
        <v>944</v>
      </c>
      <c r="AF1525" s="347"/>
      <c r="AG1525" s="347"/>
      <c r="AH1525" s="347" t="s">
        <v>57</v>
      </c>
      <c r="AI1525" s="347" t="s">
        <v>4442</v>
      </c>
      <c r="AJ1525" s="347" t="s">
        <v>4443</v>
      </c>
      <c r="AK1525" s="347" t="s">
        <v>4437</v>
      </c>
      <c r="AL1525" s="387">
        <v>45574</v>
      </c>
    </row>
    <row r="1526" spans="2:38" ht="15.75" outlineLevel="1">
      <c r="B1526" s="345">
        <v>2111</v>
      </c>
      <c r="C1526" s="346">
        <v>41661</v>
      </c>
      <c r="D1526" s="345" t="s">
        <v>944</v>
      </c>
      <c r="E1526" s="347" t="s">
        <v>4240</v>
      </c>
      <c r="F1526" s="343" t="s">
        <v>3466</v>
      </c>
      <c r="I1526" s="345">
        <v>854</v>
      </c>
      <c r="J1526" s="347">
        <v>0</v>
      </c>
      <c r="K1526" s="345">
        <v>0</v>
      </c>
      <c r="L1526" s="347" t="s">
        <v>3369</v>
      </c>
      <c r="M1526" s="347"/>
      <c r="N1526" s="347" t="s">
        <v>4446</v>
      </c>
      <c r="O1526" s="347" t="s">
        <v>4441</v>
      </c>
      <c r="P1526" s="347"/>
      <c r="Q1526" s="347"/>
      <c r="R1526" s="347"/>
      <c r="S1526" s="348">
        <v>38782</v>
      </c>
      <c r="T1526" s="348">
        <v>38782</v>
      </c>
      <c r="U1526" s="347" t="s">
        <v>3467</v>
      </c>
      <c r="V1526" s="345">
        <v>700</v>
      </c>
      <c r="W1526" s="345">
        <v>14050</v>
      </c>
      <c r="X1526" s="349">
        <v>47348.1</v>
      </c>
      <c r="Y1526" s="345">
        <v>14056</v>
      </c>
      <c r="Z1526" s="349">
        <v>47348.1</v>
      </c>
      <c r="AA1526" s="349">
        <f t="shared" si="108"/>
        <v>0</v>
      </c>
      <c r="AB1526" s="349">
        <v>0</v>
      </c>
      <c r="AC1526" s="345">
        <v>54260</v>
      </c>
      <c r="AD1526" s="349">
        <v>0</v>
      </c>
      <c r="AE1526" s="345" t="s">
        <v>944</v>
      </c>
      <c r="AF1526" s="347"/>
      <c r="AG1526" s="347"/>
      <c r="AH1526" s="347" t="s">
        <v>57</v>
      </c>
      <c r="AI1526" s="347" t="s">
        <v>4442</v>
      </c>
      <c r="AJ1526" s="347" t="s">
        <v>4443</v>
      </c>
      <c r="AK1526" s="347" t="s">
        <v>4437</v>
      </c>
      <c r="AL1526" s="387">
        <v>45574</v>
      </c>
    </row>
    <row r="1527" spans="2:38" ht="15.75" outlineLevel="1">
      <c r="B1527" s="345">
        <v>2111</v>
      </c>
      <c r="C1527" s="346">
        <v>41464</v>
      </c>
      <c r="D1527" s="345" t="s">
        <v>944</v>
      </c>
      <c r="E1527" s="347" t="s">
        <v>4240</v>
      </c>
      <c r="F1527" s="343" t="s">
        <v>3469</v>
      </c>
      <c r="I1527" s="345">
        <v>10</v>
      </c>
      <c r="J1527" s="347">
        <v>0</v>
      </c>
      <c r="K1527" s="345">
        <v>0</v>
      </c>
      <c r="L1527" s="347" t="s">
        <v>2403</v>
      </c>
      <c r="M1527" s="347"/>
      <c r="N1527" s="347" t="s">
        <v>4446</v>
      </c>
      <c r="O1527" s="347" t="s">
        <v>4441</v>
      </c>
      <c r="P1527" s="347"/>
      <c r="Q1527" s="347" t="s">
        <v>4459</v>
      </c>
      <c r="R1527" s="347" t="s">
        <v>4450</v>
      </c>
      <c r="S1527" s="348">
        <v>38783</v>
      </c>
      <c r="T1527" s="348">
        <v>38783</v>
      </c>
      <c r="U1527" s="347" t="s">
        <v>3470</v>
      </c>
      <c r="V1527" s="345">
        <v>1200</v>
      </c>
      <c r="W1527" s="345">
        <v>14050</v>
      </c>
      <c r="X1527" s="349">
        <v>4591.3599999999997</v>
      </c>
      <c r="Y1527" s="345">
        <v>14056</v>
      </c>
      <c r="Z1527" s="349">
        <v>4591.3599999999997</v>
      </c>
      <c r="AA1527" s="349">
        <f t="shared" si="108"/>
        <v>0</v>
      </c>
      <c r="AB1527" s="349">
        <v>0</v>
      </c>
      <c r="AC1527" s="345">
        <v>54260</v>
      </c>
      <c r="AD1527" s="349">
        <v>0</v>
      </c>
      <c r="AE1527" s="345" t="s">
        <v>944</v>
      </c>
      <c r="AF1527" s="347">
        <v>0</v>
      </c>
      <c r="AG1527" s="347"/>
      <c r="AH1527" s="347" t="s">
        <v>57</v>
      </c>
      <c r="AI1527" s="347" t="s">
        <v>4442</v>
      </c>
      <c r="AJ1527" s="347" t="s">
        <v>4443</v>
      </c>
      <c r="AK1527" s="347" t="s">
        <v>4437</v>
      </c>
      <c r="AL1527" s="387">
        <v>45574</v>
      </c>
    </row>
    <row r="1528" spans="2:38" ht="15.75" outlineLevel="1">
      <c r="B1528" s="345">
        <v>2111</v>
      </c>
      <c r="C1528" s="346">
        <v>41299</v>
      </c>
      <c r="D1528" s="345" t="s">
        <v>944</v>
      </c>
      <c r="E1528" s="347" t="s">
        <v>4240</v>
      </c>
      <c r="F1528" s="343" t="s">
        <v>3445</v>
      </c>
      <c r="I1528" s="345">
        <v>713</v>
      </c>
      <c r="J1528" s="347">
        <v>0</v>
      </c>
      <c r="K1528" s="345">
        <v>0</v>
      </c>
      <c r="L1528" s="347" t="s">
        <v>2342</v>
      </c>
      <c r="M1528" s="347"/>
      <c r="N1528" s="347" t="s">
        <v>4446</v>
      </c>
      <c r="O1528" s="347" t="s">
        <v>4441</v>
      </c>
      <c r="P1528" s="347"/>
      <c r="Q1528" s="347"/>
      <c r="R1528" s="347"/>
      <c r="S1528" s="348">
        <v>38745</v>
      </c>
      <c r="T1528" s="348">
        <v>38745</v>
      </c>
      <c r="U1528" s="347" t="s">
        <v>3462</v>
      </c>
      <c r="V1528" s="345">
        <v>700</v>
      </c>
      <c r="W1528" s="345">
        <v>14050</v>
      </c>
      <c r="X1528" s="349">
        <v>41064.93</v>
      </c>
      <c r="Y1528" s="345">
        <v>14056</v>
      </c>
      <c r="Z1528" s="349">
        <v>41064.93</v>
      </c>
      <c r="AA1528" s="349">
        <f t="shared" si="108"/>
        <v>0</v>
      </c>
      <c r="AB1528" s="349">
        <v>0</v>
      </c>
      <c r="AC1528" s="345">
        <v>54260</v>
      </c>
      <c r="AD1528" s="349">
        <v>0</v>
      </c>
      <c r="AE1528" s="345" t="s">
        <v>944</v>
      </c>
      <c r="AF1528" s="347">
        <v>0</v>
      </c>
      <c r="AG1528" s="347"/>
      <c r="AH1528" s="347" t="s">
        <v>57</v>
      </c>
      <c r="AI1528" s="347" t="s">
        <v>4442</v>
      </c>
      <c r="AJ1528" s="347" t="s">
        <v>4443</v>
      </c>
      <c r="AK1528" s="347" t="s">
        <v>4437</v>
      </c>
      <c r="AL1528" s="387">
        <v>45574</v>
      </c>
    </row>
    <row r="1529" spans="2:38" ht="15.75" outlineLevel="1">
      <c r="B1529" s="345">
        <v>2111</v>
      </c>
      <c r="C1529" s="346">
        <v>41298</v>
      </c>
      <c r="D1529" s="345" t="s">
        <v>944</v>
      </c>
      <c r="E1529" s="347" t="s">
        <v>4240</v>
      </c>
      <c r="F1529" s="343" t="s">
        <v>3445</v>
      </c>
      <c r="I1529" s="345">
        <v>720</v>
      </c>
      <c r="J1529" s="347">
        <v>0</v>
      </c>
      <c r="K1529" s="345">
        <v>0</v>
      </c>
      <c r="L1529" s="347" t="s">
        <v>2342</v>
      </c>
      <c r="M1529" s="347"/>
      <c r="N1529" s="347" t="s">
        <v>4446</v>
      </c>
      <c r="O1529" s="347" t="s">
        <v>4441</v>
      </c>
      <c r="P1529" s="347"/>
      <c r="Q1529" s="347"/>
      <c r="R1529" s="347"/>
      <c r="S1529" s="348">
        <v>38745</v>
      </c>
      <c r="T1529" s="348">
        <v>38745</v>
      </c>
      <c r="U1529" s="347" t="s">
        <v>3462</v>
      </c>
      <c r="V1529" s="345">
        <v>700</v>
      </c>
      <c r="W1529" s="345">
        <v>14050</v>
      </c>
      <c r="X1529" s="349">
        <v>41226.32</v>
      </c>
      <c r="Y1529" s="345">
        <v>14056</v>
      </c>
      <c r="Z1529" s="349">
        <v>41226.32</v>
      </c>
      <c r="AA1529" s="349">
        <f t="shared" si="108"/>
        <v>0</v>
      </c>
      <c r="AB1529" s="349">
        <v>0</v>
      </c>
      <c r="AC1529" s="345">
        <v>54260</v>
      </c>
      <c r="AD1529" s="349">
        <v>0</v>
      </c>
      <c r="AE1529" s="345" t="s">
        <v>944</v>
      </c>
      <c r="AF1529" s="347">
        <v>0</v>
      </c>
      <c r="AG1529" s="347"/>
      <c r="AH1529" s="347" t="s">
        <v>57</v>
      </c>
      <c r="AI1529" s="347" t="s">
        <v>4442</v>
      </c>
      <c r="AJ1529" s="347" t="s">
        <v>4443</v>
      </c>
      <c r="AK1529" s="347" t="s">
        <v>4437</v>
      </c>
      <c r="AL1529" s="387">
        <v>45574</v>
      </c>
    </row>
    <row r="1530" spans="2:38" ht="15.75" outlineLevel="1">
      <c r="B1530" s="345">
        <v>2111</v>
      </c>
      <c r="C1530" s="346">
        <v>41297</v>
      </c>
      <c r="D1530" s="345" t="s">
        <v>944</v>
      </c>
      <c r="E1530" s="347" t="s">
        <v>4240</v>
      </c>
      <c r="F1530" s="343" t="s">
        <v>3445</v>
      </c>
      <c r="I1530" s="345">
        <v>720</v>
      </c>
      <c r="J1530" s="347">
        <v>0</v>
      </c>
      <c r="K1530" s="345">
        <v>0</v>
      </c>
      <c r="L1530" s="347" t="s">
        <v>2342</v>
      </c>
      <c r="M1530" s="347"/>
      <c r="N1530" s="347" t="s">
        <v>4446</v>
      </c>
      <c r="O1530" s="347" t="s">
        <v>4441</v>
      </c>
      <c r="P1530" s="347"/>
      <c r="Q1530" s="347"/>
      <c r="R1530" s="347"/>
      <c r="S1530" s="348">
        <v>38745</v>
      </c>
      <c r="T1530" s="348">
        <v>38745</v>
      </c>
      <c r="U1530" s="347" t="s">
        <v>3462</v>
      </c>
      <c r="V1530" s="345">
        <v>700</v>
      </c>
      <c r="W1530" s="345">
        <v>14050</v>
      </c>
      <c r="X1530" s="349">
        <v>41226.32</v>
      </c>
      <c r="Y1530" s="345">
        <v>14056</v>
      </c>
      <c r="Z1530" s="349">
        <v>41226.32</v>
      </c>
      <c r="AA1530" s="349">
        <f t="shared" si="108"/>
        <v>0</v>
      </c>
      <c r="AB1530" s="349">
        <v>0</v>
      </c>
      <c r="AC1530" s="345">
        <v>54260</v>
      </c>
      <c r="AD1530" s="349">
        <v>0</v>
      </c>
      <c r="AE1530" s="345" t="s">
        <v>944</v>
      </c>
      <c r="AF1530" s="347">
        <v>0</v>
      </c>
      <c r="AG1530" s="347"/>
      <c r="AH1530" s="347" t="s">
        <v>57</v>
      </c>
      <c r="AI1530" s="347" t="s">
        <v>4442</v>
      </c>
      <c r="AJ1530" s="347" t="s">
        <v>4443</v>
      </c>
      <c r="AK1530" s="347" t="s">
        <v>4437</v>
      </c>
      <c r="AL1530" s="387">
        <v>45574</v>
      </c>
    </row>
    <row r="1531" spans="2:38" ht="15.75" outlineLevel="1">
      <c r="B1531" s="345">
        <v>2111</v>
      </c>
      <c r="C1531" s="346">
        <v>41296</v>
      </c>
      <c r="D1531" s="345" t="s">
        <v>944</v>
      </c>
      <c r="E1531" s="347" t="s">
        <v>4240</v>
      </c>
      <c r="F1531" s="343" t="s">
        <v>3439</v>
      </c>
      <c r="I1531" s="345">
        <v>776</v>
      </c>
      <c r="J1531" s="347">
        <v>0</v>
      </c>
      <c r="K1531" s="345">
        <v>0</v>
      </c>
      <c r="L1531" s="347" t="s">
        <v>2342</v>
      </c>
      <c r="M1531" s="347"/>
      <c r="N1531" s="347" t="s">
        <v>4446</v>
      </c>
      <c r="O1531" s="347" t="s">
        <v>4441</v>
      </c>
      <c r="P1531" s="347"/>
      <c r="Q1531" s="347"/>
      <c r="R1531" s="347"/>
      <c r="S1531" s="348">
        <v>38764</v>
      </c>
      <c r="T1531" s="348">
        <v>38764</v>
      </c>
      <c r="U1531" s="347" t="s">
        <v>3462</v>
      </c>
      <c r="V1531" s="345">
        <v>700</v>
      </c>
      <c r="W1531" s="345">
        <v>14050</v>
      </c>
      <c r="X1531" s="349">
        <v>2321.79</v>
      </c>
      <c r="Y1531" s="345">
        <v>14056</v>
      </c>
      <c r="Z1531" s="349">
        <v>2321.79</v>
      </c>
      <c r="AA1531" s="349">
        <f t="shared" si="108"/>
        <v>0</v>
      </c>
      <c r="AB1531" s="349">
        <v>0</v>
      </c>
      <c r="AC1531" s="345">
        <v>54260</v>
      </c>
      <c r="AD1531" s="349">
        <v>0</v>
      </c>
      <c r="AE1531" s="345" t="s">
        <v>944</v>
      </c>
      <c r="AF1531" s="347">
        <v>0</v>
      </c>
      <c r="AG1531" s="347"/>
      <c r="AH1531" s="347" t="s">
        <v>57</v>
      </c>
      <c r="AI1531" s="347" t="s">
        <v>4442</v>
      </c>
      <c r="AJ1531" s="347" t="s">
        <v>4443</v>
      </c>
      <c r="AK1531" s="347" t="s">
        <v>4437</v>
      </c>
      <c r="AL1531" s="387">
        <v>45574</v>
      </c>
    </row>
    <row r="1532" spans="2:38" ht="15.75" outlineLevel="1">
      <c r="B1532" s="345">
        <v>2111</v>
      </c>
      <c r="C1532" s="346">
        <v>41295</v>
      </c>
      <c r="D1532" s="345" t="s">
        <v>944</v>
      </c>
      <c r="E1532" s="347" t="s">
        <v>4240</v>
      </c>
      <c r="F1532" s="343" t="s">
        <v>3439</v>
      </c>
      <c r="I1532" s="345">
        <v>2022</v>
      </c>
      <c r="J1532" s="347">
        <v>0</v>
      </c>
      <c r="K1532" s="345">
        <v>0</v>
      </c>
      <c r="L1532" s="347" t="s">
        <v>2342</v>
      </c>
      <c r="M1532" s="347"/>
      <c r="N1532" s="347" t="s">
        <v>4446</v>
      </c>
      <c r="O1532" s="347" t="s">
        <v>4441</v>
      </c>
      <c r="P1532" s="347"/>
      <c r="Q1532" s="347"/>
      <c r="R1532" s="347"/>
      <c r="S1532" s="348">
        <v>38764</v>
      </c>
      <c r="T1532" s="348">
        <v>38764</v>
      </c>
      <c r="U1532" s="347" t="s">
        <v>3462</v>
      </c>
      <c r="V1532" s="345">
        <v>700</v>
      </c>
      <c r="W1532" s="345">
        <v>14050</v>
      </c>
      <c r="X1532" s="349">
        <v>6049.93</v>
      </c>
      <c r="Y1532" s="345">
        <v>14056</v>
      </c>
      <c r="Z1532" s="349">
        <v>6049.93</v>
      </c>
      <c r="AA1532" s="349">
        <f t="shared" si="108"/>
        <v>0</v>
      </c>
      <c r="AB1532" s="349">
        <v>0</v>
      </c>
      <c r="AC1532" s="345">
        <v>54260</v>
      </c>
      <c r="AD1532" s="349">
        <v>0</v>
      </c>
      <c r="AE1532" s="345" t="s">
        <v>944</v>
      </c>
      <c r="AF1532" s="347">
        <v>0</v>
      </c>
      <c r="AG1532" s="347"/>
      <c r="AH1532" s="347" t="s">
        <v>57</v>
      </c>
      <c r="AI1532" s="347" t="s">
        <v>4442</v>
      </c>
      <c r="AJ1532" s="347" t="s">
        <v>4443</v>
      </c>
      <c r="AK1532" s="347" t="s">
        <v>4437</v>
      </c>
      <c r="AL1532" s="387">
        <v>45574</v>
      </c>
    </row>
    <row r="1533" spans="2:38" ht="15.75" outlineLevel="1">
      <c r="B1533" s="345">
        <v>2111</v>
      </c>
      <c r="C1533" s="346">
        <v>37663</v>
      </c>
      <c r="D1533" s="345" t="s">
        <v>944</v>
      </c>
      <c r="E1533" s="347" t="s">
        <v>4240</v>
      </c>
      <c r="F1533" s="343" t="s">
        <v>3480</v>
      </c>
      <c r="I1533" s="345">
        <v>432</v>
      </c>
      <c r="J1533" s="347" t="s">
        <v>3481</v>
      </c>
      <c r="K1533" s="345">
        <v>0</v>
      </c>
      <c r="L1533" s="347" t="s">
        <v>2222</v>
      </c>
      <c r="M1533" s="347"/>
      <c r="N1533" s="347" t="s">
        <v>4446</v>
      </c>
      <c r="O1533" s="347" t="s">
        <v>4441</v>
      </c>
      <c r="P1533" s="347"/>
      <c r="Q1533" s="347"/>
      <c r="R1533" s="347"/>
      <c r="S1533" s="348">
        <v>38638</v>
      </c>
      <c r="T1533" s="348">
        <v>38638</v>
      </c>
      <c r="U1533" s="347"/>
      <c r="V1533" s="345">
        <v>700</v>
      </c>
      <c r="W1533" s="345">
        <v>14050</v>
      </c>
      <c r="X1533" s="349">
        <v>21738.23</v>
      </c>
      <c r="Y1533" s="345">
        <v>14056</v>
      </c>
      <c r="Z1533" s="349">
        <v>21738.23</v>
      </c>
      <c r="AA1533" s="349">
        <f t="shared" si="108"/>
        <v>0</v>
      </c>
      <c r="AB1533" s="349">
        <v>0</v>
      </c>
      <c r="AC1533" s="345">
        <v>54260</v>
      </c>
      <c r="AD1533" s="349">
        <v>0</v>
      </c>
      <c r="AE1533" s="345" t="s">
        <v>944</v>
      </c>
      <c r="AF1533" s="347">
        <v>0</v>
      </c>
      <c r="AG1533" s="347"/>
      <c r="AH1533" s="347" t="s">
        <v>57</v>
      </c>
      <c r="AI1533" s="347" t="s">
        <v>4442</v>
      </c>
      <c r="AJ1533" s="347" t="s">
        <v>4443</v>
      </c>
      <c r="AK1533" s="347" t="s">
        <v>4437</v>
      </c>
      <c r="AL1533" s="387">
        <v>45574</v>
      </c>
    </row>
    <row r="1534" spans="2:38" ht="15.75" outlineLevel="1">
      <c r="B1534" s="345">
        <v>2111</v>
      </c>
      <c r="C1534" s="346">
        <v>37481</v>
      </c>
      <c r="D1534" s="345" t="s">
        <v>944</v>
      </c>
      <c r="E1534" s="347" t="s">
        <v>4240</v>
      </c>
      <c r="F1534" s="343" t="s">
        <v>3484</v>
      </c>
      <c r="I1534" s="345">
        <v>5</v>
      </c>
      <c r="J1534" s="347"/>
      <c r="K1534" s="345">
        <v>0</v>
      </c>
      <c r="L1534" s="347" t="s">
        <v>2462</v>
      </c>
      <c r="M1534" s="347"/>
      <c r="N1534" s="347" t="s">
        <v>4446</v>
      </c>
      <c r="O1534" s="347" t="s">
        <v>4441</v>
      </c>
      <c r="P1534" s="347"/>
      <c r="Q1534" s="347" t="s">
        <v>4449</v>
      </c>
      <c r="R1534" s="347" t="s">
        <v>4450</v>
      </c>
      <c r="S1534" s="348">
        <v>38650</v>
      </c>
      <c r="T1534" s="348">
        <v>38650</v>
      </c>
      <c r="U1534" s="347">
        <v>52111017</v>
      </c>
      <c r="V1534" s="345">
        <v>1200</v>
      </c>
      <c r="W1534" s="345">
        <v>14050</v>
      </c>
      <c r="X1534" s="349">
        <v>2148.8000000000002</v>
      </c>
      <c r="Y1534" s="345">
        <v>14056</v>
      </c>
      <c r="Z1534" s="349">
        <v>2148.8000000000002</v>
      </c>
      <c r="AA1534" s="349">
        <f t="shared" si="108"/>
        <v>0</v>
      </c>
      <c r="AB1534" s="349">
        <v>0</v>
      </c>
      <c r="AC1534" s="345">
        <v>54260</v>
      </c>
      <c r="AD1534" s="349">
        <v>0</v>
      </c>
      <c r="AE1534" s="345" t="s">
        <v>944</v>
      </c>
      <c r="AF1534" s="347">
        <v>0</v>
      </c>
      <c r="AG1534" s="347"/>
      <c r="AH1534" s="347" t="s">
        <v>57</v>
      </c>
      <c r="AI1534" s="347" t="s">
        <v>4442</v>
      </c>
      <c r="AJ1534" s="347" t="s">
        <v>4443</v>
      </c>
      <c r="AK1534" s="347" t="s">
        <v>4437</v>
      </c>
      <c r="AL1534" s="387">
        <v>45574</v>
      </c>
    </row>
    <row r="1535" spans="2:38" ht="15.75" outlineLevel="1">
      <c r="B1535" s="345">
        <v>2111</v>
      </c>
      <c r="C1535" s="346">
        <v>37480</v>
      </c>
      <c r="D1535" s="345" t="s">
        <v>944</v>
      </c>
      <c r="E1535" s="347" t="s">
        <v>4240</v>
      </c>
      <c r="F1535" s="343" t="s">
        <v>3485</v>
      </c>
      <c r="I1535" s="345">
        <v>2</v>
      </c>
      <c r="J1535" s="347"/>
      <c r="K1535" s="345">
        <v>0</v>
      </c>
      <c r="L1535" s="347" t="s">
        <v>2462</v>
      </c>
      <c r="M1535" s="347"/>
      <c r="N1535" s="347" t="s">
        <v>4446</v>
      </c>
      <c r="O1535" s="347" t="s">
        <v>4441</v>
      </c>
      <c r="P1535" s="347"/>
      <c r="Q1535" s="347" t="s">
        <v>4447</v>
      </c>
      <c r="R1535" s="347" t="s">
        <v>4448</v>
      </c>
      <c r="S1535" s="348">
        <v>38625</v>
      </c>
      <c r="T1535" s="348">
        <v>38625</v>
      </c>
      <c r="U1535" s="347">
        <v>52111015</v>
      </c>
      <c r="V1535" s="345">
        <v>1200</v>
      </c>
      <c r="W1535" s="345">
        <v>14050</v>
      </c>
      <c r="X1535" s="349">
        <v>10183.68</v>
      </c>
      <c r="Y1535" s="345">
        <v>14056</v>
      </c>
      <c r="Z1535" s="349">
        <v>10183.68</v>
      </c>
      <c r="AA1535" s="349">
        <f t="shared" si="108"/>
        <v>0</v>
      </c>
      <c r="AB1535" s="349">
        <v>0</v>
      </c>
      <c r="AC1535" s="345">
        <v>54260</v>
      </c>
      <c r="AD1535" s="349">
        <v>0</v>
      </c>
      <c r="AE1535" s="345" t="s">
        <v>944</v>
      </c>
      <c r="AF1535" s="347">
        <v>0</v>
      </c>
      <c r="AG1535" s="347"/>
      <c r="AH1535" s="347" t="s">
        <v>57</v>
      </c>
      <c r="AI1535" s="347" t="s">
        <v>4442</v>
      </c>
      <c r="AJ1535" s="347" t="s">
        <v>4443</v>
      </c>
      <c r="AK1535" s="347" t="s">
        <v>4437</v>
      </c>
      <c r="AL1535" s="387">
        <v>45574</v>
      </c>
    </row>
    <row r="1536" spans="2:38" ht="15.75" outlineLevel="1">
      <c r="B1536" s="345">
        <v>2111</v>
      </c>
      <c r="C1536" s="346">
        <v>37479</v>
      </c>
      <c r="D1536" s="345" t="s">
        <v>944</v>
      </c>
      <c r="E1536" s="347" t="s">
        <v>4240</v>
      </c>
      <c r="F1536" s="343" t="s">
        <v>3486</v>
      </c>
      <c r="I1536" s="345">
        <v>3</v>
      </c>
      <c r="J1536" s="347"/>
      <c r="K1536" s="345">
        <v>0</v>
      </c>
      <c r="L1536" s="347" t="s">
        <v>2462</v>
      </c>
      <c r="M1536" s="347"/>
      <c r="N1536" s="347" t="s">
        <v>4446</v>
      </c>
      <c r="O1536" s="347" t="s">
        <v>4441</v>
      </c>
      <c r="P1536" s="347"/>
      <c r="Q1536" s="347" t="s">
        <v>4447</v>
      </c>
      <c r="R1536" s="347" t="s">
        <v>4448</v>
      </c>
      <c r="S1536" s="348">
        <v>38625</v>
      </c>
      <c r="T1536" s="348">
        <v>38625</v>
      </c>
      <c r="U1536" s="347">
        <v>52111015</v>
      </c>
      <c r="V1536" s="345">
        <v>1200</v>
      </c>
      <c r="W1536" s="345">
        <v>14050</v>
      </c>
      <c r="X1536" s="349">
        <v>15275.52</v>
      </c>
      <c r="Y1536" s="345">
        <v>14056</v>
      </c>
      <c r="Z1536" s="349">
        <v>15275.52</v>
      </c>
      <c r="AA1536" s="349">
        <f t="shared" si="108"/>
        <v>0</v>
      </c>
      <c r="AB1536" s="349">
        <v>0</v>
      </c>
      <c r="AC1536" s="345">
        <v>54260</v>
      </c>
      <c r="AD1536" s="349">
        <v>0</v>
      </c>
      <c r="AE1536" s="345" t="s">
        <v>944</v>
      </c>
      <c r="AF1536" s="347">
        <v>0</v>
      </c>
      <c r="AG1536" s="347"/>
      <c r="AH1536" s="347" t="s">
        <v>57</v>
      </c>
      <c r="AI1536" s="347" t="s">
        <v>4442</v>
      </c>
      <c r="AJ1536" s="347" t="s">
        <v>4443</v>
      </c>
      <c r="AK1536" s="347" t="s">
        <v>4437</v>
      </c>
      <c r="AL1536" s="387">
        <v>45574</v>
      </c>
    </row>
    <row r="1537" spans="2:38" ht="15.75" outlineLevel="1">
      <c r="B1537" s="345">
        <v>2111</v>
      </c>
      <c r="C1537" s="346">
        <v>37258</v>
      </c>
      <c r="D1537" s="345">
        <v>17353</v>
      </c>
      <c r="E1537" s="347" t="s">
        <v>4240</v>
      </c>
      <c r="F1537" s="343" t="s">
        <v>3487</v>
      </c>
      <c r="I1537" s="345">
        <v>1</v>
      </c>
      <c r="J1537" s="347"/>
      <c r="K1537" s="345">
        <v>0</v>
      </c>
      <c r="L1537" s="347" t="s">
        <v>2465</v>
      </c>
      <c r="M1537" s="347"/>
      <c r="N1537" s="347" t="s">
        <v>4440</v>
      </c>
      <c r="O1537" s="347" t="s">
        <v>4441</v>
      </c>
      <c r="P1537" s="347"/>
      <c r="Q1537" s="347"/>
      <c r="R1537" s="347"/>
      <c r="S1537" s="348">
        <v>38518</v>
      </c>
      <c r="T1537" s="348">
        <v>38518</v>
      </c>
      <c r="U1537" s="347"/>
      <c r="V1537" s="345">
        <v>300</v>
      </c>
      <c r="W1537" s="345">
        <v>14110</v>
      </c>
      <c r="X1537" s="349">
        <v>434.57</v>
      </c>
      <c r="Y1537" s="345">
        <v>14116</v>
      </c>
      <c r="Z1537" s="349">
        <v>434.57</v>
      </c>
      <c r="AA1537" s="349">
        <f t="shared" si="108"/>
        <v>0</v>
      </c>
      <c r="AB1537" s="349">
        <v>0</v>
      </c>
      <c r="AC1537" s="345">
        <v>70260</v>
      </c>
      <c r="AD1537" s="349">
        <v>0</v>
      </c>
      <c r="AE1537" s="345" t="s">
        <v>944</v>
      </c>
      <c r="AF1537" s="347">
        <v>0</v>
      </c>
      <c r="AG1537" s="347"/>
      <c r="AH1537" s="347" t="s">
        <v>57</v>
      </c>
      <c r="AI1537" s="347" t="s">
        <v>4442</v>
      </c>
      <c r="AJ1537" s="347" t="s">
        <v>4443</v>
      </c>
      <c r="AK1537" s="347" t="s">
        <v>4437</v>
      </c>
      <c r="AL1537" s="387">
        <v>45574</v>
      </c>
    </row>
    <row r="1538" spans="2:38" ht="15.75" outlineLevel="1">
      <c r="B1538" s="345">
        <v>2111</v>
      </c>
      <c r="C1538" s="346">
        <v>37256</v>
      </c>
      <c r="D1538" s="345">
        <v>26946</v>
      </c>
      <c r="E1538" s="347" t="s">
        <v>4240</v>
      </c>
      <c r="F1538" s="343" t="s">
        <v>3489</v>
      </c>
      <c r="I1538" s="345">
        <v>1</v>
      </c>
      <c r="J1538" s="347"/>
      <c r="K1538" s="345">
        <v>0</v>
      </c>
      <c r="L1538" s="347" t="s">
        <v>2465</v>
      </c>
      <c r="M1538" s="347"/>
      <c r="N1538" s="347" t="s">
        <v>4440</v>
      </c>
      <c r="O1538" s="347" t="s">
        <v>4441</v>
      </c>
      <c r="P1538" s="347"/>
      <c r="Q1538" s="347"/>
      <c r="R1538" s="347"/>
      <c r="S1538" s="348">
        <v>38518</v>
      </c>
      <c r="T1538" s="348">
        <v>38518</v>
      </c>
      <c r="U1538" s="347"/>
      <c r="V1538" s="345">
        <v>300</v>
      </c>
      <c r="W1538" s="345">
        <v>14110</v>
      </c>
      <c r="X1538" s="349">
        <v>177.68</v>
      </c>
      <c r="Y1538" s="345">
        <v>14116</v>
      </c>
      <c r="Z1538" s="349">
        <v>177.68</v>
      </c>
      <c r="AA1538" s="349">
        <f t="shared" si="108"/>
        <v>0</v>
      </c>
      <c r="AB1538" s="349">
        <v>0</v>
      </c>
      <c r="AC1538" s="345">
        <v>70260</v>
      </c>
      <c r="AD1538" s="349">
        <v>0</v>
      </c>
      <c r="AE1538" s="345" t="s">
        <v>944</v>
      </c>
      <c r="AF1538" s="347">
        <v>0</v>
      </c>
      <c r="AG1538" s="347"/>
      <c r="AH1538" s="347" t="s">
        <v>57</v>
      </c>
      <c r="AI1538" s="347" t="s">
        <v>4442</v>
      </c>
      <c r="AJ1538" s="347" t="s">
        <v>4443</v>
      </c>
      <c r="AK1538" s="347" t="s">
        <v>4437</v>
      </c>
      <c r="AL1538" s="387">
        <v>45574</v>
      </c>
    </row>
    <row r="1539" spans="2:38" ht="15.75" outlineLevel="1">
      <c r="B1539" s="345">
        <v>2111</v>
      </c>
      <c r="C1539" s="346">
        <v>37255</v>
      </c>
      <c r="D1539" s="345">
        <v>24899</v>
      </c>
      <c r="E1539" s="347" t="s">
        <v>4240</v>
      </c>
      <c r="F1539" s="343" t="s">
        <v>3490</v>
      </c>
      <c r="I1539" s="345">
        <v>1</v>
      </c>
      <c r="J1539" s="347"/>
      <c r="K1539" s="345">
        <v>0</v>
      </c>
      <c r="L1539" s="347" t="s">
        <v>2465</v>
      </c>
      <c r="M1539" s="347"/>
      <c r="N1539" s="347" t="s">
        <v>4440</v>
      </c>
      <c r="O1539" s="347" t="s">
        <v>4441</v>
      </c>
      <c r="P1539" s="347"/>
      <c r="Q1539" s="347"/>
      <c r="R1539" s="347"/>
      <c r="S1539" s="348">
        <v>38518</v>
      </c>
      <c r="T1539" s="348">
        <v>38518</v>
      </c>
      <c r="U1539" s="347"/>
      <c r="V1539" s="345">
        <v>300</v>
      </c>
      <c r="W1539" s="345">
        <v>14110</v>
      </c>
      <c r="X1539" s="349">
        <v>310.88</v>
      </c>
      <c r="Y1539" s="345">
        <v>14116</v>
      </c>
      <c r="Z1539" s="349">
        <v>310.88</v>
      </c>
      <c r="AA1539" s="349">
        <f t="shared" si="108"/>
        <v>0</v>
      </c>
      <c r="AB1539" s="349">
        <v>0</v>
      </c>
      <c r="AC1539" s="345">
        <v>70260</v>
      </c>
      <c r="AD1539" s="349">
        <v>0</v>
      </c>
      <c r="AE1539" s="345" t="s">
        <v>944</v>
      </c>
      <c r="AF1539" s="347">
        <v>0</v>
      </c>
      <c r="AG1539" s="347"/>
      <c r="AH1539" s="347" t="s">
        <v>57</v>
      </c>
      <c r="AI1539" s="347" t="s">
        <v>4442</v>
      </c>
      <c r="AJ1539" s="347" t="s">
        <v>4443</v>
      </c>
      <c r="AK1539" s="347" t="s">
        <v>4437</v>
      </c>
      <c r="AL1539" s="387">
        <v>45574</v>
      </c>
    </row>
    <row r="1540" spans="2:38" ht="15.75" outlineLevel="1">
      <c r="B1540" s="345">
        <v>2111</v>
      </c>
      <c r="C1540" s="346">
        <v>37254</v>
      </c>
      <c r="D1540" s="345">
        <v>23391</v>
      </c>
      <c r="E1540" s="347" t="s">
        <v>4240</v>
      </c>
      <c r="F1540" s="343" t="s">
        <v>3491</v>
      </c>
      <c r="I1540" s="345">
        <v>1</v>
      </c>
      <c r="J1540" s="347"/>
      <c r="K1540" s="345">
        <v>0</v>
      </c>
      <c r="L1540" s="347" t="s">
        <v>2465</v>
      </c>
      <c r="M1540" s="347"/>
      <c r="N1540" s="347" t="s">
        <v>4440</v>
      </c>
      <c r="O1540" s="347" t="s">
        <v>4441</v>
      </c>
      <c r="P1540" s="347"/>
      <c r="Q1540" s="347"/>
      <c r="R1540" s="347"/>
      <c r="S1540" s="348">
        <v>38518</v>
      </c>
      <c r="T1540" s="348">
        <v>38518</v>
      </c>
      <c r="U1540" s="347"/>
      <c r="V1540" s="345">
        <v>300</v>
      </c>
      <c r="W1540" s="345">
        <v>14110</v>
      </c>
      <c r="X1540" s="349">
        <v>284.91000000000003</v>
      </c>
      <c r="Y1540" s="345">
        <v>14116</v>
      </c>
      <c r="Z1540" s="349">
        <v>284.91000000000003</v>
      </c>
      <c r="AA1540" s="349">
        <f t="shared" si="108"/>
        <v>0</v>
      </c>
      <c r="AB1540" s="349">
        <v>0</v>
      </c>
      <c r="AC1540" s="345">
        <v>70260</v>
      </c>
      <c r="AD1540" s="349">
        <v>0</v>
      </c>
      <c r="AE1540" s="345" t="s">
        <v>944</v>
      </c>
      <c r="AF1540" s="347">
        <v>0</v>
      </c>
      <c r="AG1540" s="347"/>
      <c r="AH1540" s="347" t="s">
        <v>57</v>
      </c>
      <c r="AI1540" s="347" t="s">
        <v>4442</v>
      </c>
      <c r="AJ1540" s="347" t="s">
        <v>4443</v>
      </c>
      <c r="AK1540" s="347" t="s">
        <v>4437</v>
      </c>
      <c r="AL1540" s="387">
        <v>45574</v>
      </c>
    </row>
    <row r="1541" spans="2:38" ht="15.75" outlineLevel="1">
      <c r="B1541" s="345">
        <v>2111</v>
      </c>
      <c r="C1541" s="346">
        <v>37253</v>
      </c>
      <c r="D1541" s="345">
        <v>23536</v>
      </c>
      <c r="E1541" s="347" t="s">
        <v>4240</v>
      </c>
      <c r="F1541" s="343" t="s">
        <v>3492</v>
      </c>
      <c r="I1541" s="345">
        <v>1</v>
      </c>
      <c r="J1541" s="347"/>
      <c r="K1541" s="345">
        <v>0</v>
      </c>
      <c r="L1541" s="347" t="s">
        <v>2465</v>
      </c>
      <c r="M1541" s="347"/>
      <c r="N1541" s="347" t="s">
        <v>4440</v>
      </c>
      <c r="O1541" s="347" t="s">
        <v>4441</v>
      </c>
      <c r="P1541" s="347"/>
      <c r="Q1541" s="347"/>
      <c r="R1541" s="347"/>
      <c r="S1541" s="348">
        <v>38518</v>
      </c>
      <c r="T1541" s="348">
        <v>38518</v>
      </c>
      <c r="U1541" s="347"/>
      <c r="V1541" s="345">
        <v>300</v>
      </c>
      <c r="W1541" s="345">
        <v>14110</v>
      </c>
      <c r="X1541" s="349">
        <v>424.36</v>
      </c>
      <c r="Y1541" s="345">
        <v>14116</v>
      </c>
      <c r="Z1541" s="349">
        <v>424.36</v>
      </c>
      <c r="AA1541" s="349">
        <f t="shared" si="108"/>
        <v>0</v>
      </c>
      <c r="AB1541" s="349">
        <v>0</v>
      </c>
      <c r="AC1541" s="345">
        <v>70260</v>
      </c>
      <c r="AD1541" s="349">
        <v>0</v>
      </c>
      <c r="AE1541" s="345" t="s">
        <v>944</v>
      </c>
      <c r="AF1541" s="347">
        <v>0</v>
      </c>
      <c r="AG1541" s="347"/>
      <c r="AH1541" s="347" t="s">
        <v>57</v>
      </c>
      <c r="AI1541" s="347" t="s">
        <v>4442</v>
      </c>
      <c r="AJ1541" s="347" t="s">
        <v>4443</v>
      </c>
      <c r="AK1541" s="347" t="s">
        <v>4437</v>
      </c>
      <c r="AL1541" s="387">
        <v>45574</v>
      </c>
    </row>
    <row r="1542" spans="2:38" ht="15.75" outlineLevel="1">
      <c r="B1542" s="345">
        <v>2111</v>
      </c>
      <c r="C1542" s="346">
        <v>37252</v>
      </c>
      <c r="D1542" s="345">
        <v>26944</v>
      </c>
      <c r="E1542" s="347" t="s">
        <v>4240</v>
      </c>
      <c r="F1542" s="343" t="s">
        <v>3489</v>
      </c>
      <c r="I1542" s="345">
        <v>1</v>
      </c>
      <c r="J1542" s="347"/>
      <c r="K1542" s="345">
        <v>0</v>
      </c>
      <c r="L1542" s="347" t="s">
        <v>2465</v>
      </c>
      <c r="M1542" s="347"/>
      <c r="N1542" s="347" t="s">
        <v>4440</v>
      </c>
      <c r="O1542" s="347" t="s">
        <v>4441</v>
      </c>
      <c r="P1542" s="347"/>
      <c r="Q1542" s="347"/>
      <c r="R1542" s="347"/>
      <c r="S1542" s="348">
        <v>38518</v>
      </c>
      <c r="T1542" s="348">
        <v>38518</v>
      </c>
      <c r="U1542" s="347"/>
      <c r="V1542" s="345">
        <v>300</v>
      </c>
      <c r="W1542" s="345">
        <v>14110</v>
      </c>
      <c r="X1542" s="349">
        <v>352.8</v>
      </c>
      <c r="Y1542" s="345">
        <v>14116</v>
      </c>
      <c r="Z1542" s="349">
        <v>352.8</v>
      </c>
      <c r="AA1542" s="349">
        <f t="shared" si="108"/>
        <v>0</v>
      </c>
      <c r="AB1542" s="349">
        <v>0</v>
      </c>
      <c r="AC1542" s="345">
        <v>70260</v>
      </c>
      <c r="AD1542" s="349">
        <v>0</v>
      </c>
      <c r="AE1542" s="345" t="s">
        <v>944</v>
      </c>
      <c r="AF1542" s="347">
        <v>0</v>
      </c>
      <c r="AG1542" s="347"/>
      <c r="AH1542" s="347" t="s">
        <v>57</v>
      </c>
      <c r="AI1542" s="347" t="s">
        <v>4442</v>
      </c>
      <c r="AJ1542" s="347" t="s">
        <v>4443</v>
      </c>
      <c r="AK1542" s="347" t="s">
        <v>4437</v>
      </c>
      <c r="AL1542" s="387">
        <v>45574</v>
      </c>
    </row>
    <row r="1543" spans="2:38" ht="15.75" outlineLevel="1">
      <c r="B1543" s="345">
        <v>2111</v>
      </c>
      <c r="C1543" s="346">
        <v>37251</v>
      </c>
      <c r="D1543" s="345">
        <v>26945</v>
      </c>
      <c r="E1543" s="347" t="s">
        <v>4240</v>
      </c>
      <c r="F1543" s="343" t="s">
        <v>3489</v>
      </c>
      <c r="I1543" s="345">
        <v>1</v>
      </c>
      <c r="J1543" s="347"/>
      <c r="K1543" s="345">
        <v>0</v>
      </c>
      <c r="L1543" s="347" t="s">
        <v>2465</v>
      </c>
      <c r="M1543" s="347"/>
      <c r="N1543" s="347" t="s">
        <v>4440</v>
      </c>
      <c r="O1543" s="347" t="s">
        <v>4441</v>
      </c>
      <c r="P1543" s="347"/>
      <c r="Q1543" s="347"/>
      <c r="R1543" s="347"/>
      <c r="S1543" s="348">
        <v>38518</v>
      </c>
      <c r="T1543" s="348">
        <v>38518</v>
      </c>
      <c r="U1543" s="347"/>
      <c r="V1543" s="345">
        <v>300</v>
      </c>
      <c r="W1543" s="345">
        <v>14110</v>
      </c>
      <c r="X1543" s="349">
        <v>352.8</v>
      </c>
      <c r="Y1543" s="345">
        <v>14116</v>
      </c>
      <c r="Z1543" s="349">
        <v>352.8</v>
      </c>
      <c r="AA1543" s="349">
        <f t="shared" si="108"/>
        <v>0</v>
      </c>
      <c r="AB1543" s="349">
        <v>0</v>
      </c>
      <c r="AC1543" s="345">
        <v>70260</v>
      </c>
      <c r="AD1543" s="349">
        <v>0</v>
      </c>
      <c r="AE1543" s="345" t="s">
        <v>944</v>
      </c>
      <c r="AF1543" s="347">
        <v>0</v>
      </c>
      <c r="AG1543" s="347"/>
      <c r="AH1543" s="347" t="s">
        <v>57</v>
      </c>
      <c r="AI1543" s="347" t="s">
        <v>4442</v>
      </c>
      <c r="AJ1543" s="347" t="s">
        <v>4443</v>
      </c>
      <c r="AK1543" s="347" t="s">
        <v>4437</v>
      </c>
      <c r="AL1543" s="387">
        <v>45574</v>
      </c>
    </row>
    <row r="1544" spans="2:38" ht="15.75" outlineLevel="1">
      <c r="B1544" s="345">
        <v>2111</v>
      </c>
      <c r="C1544" s="346">
        <v>37250</v>
      </c>
      <c r="D1544" s="345">
        <v>10766</v>
      </c>
      <c r="E1544" s="347" t="s">
        <v>4240</v>
      </c>
      <c r="F1544" s="343" t="s">
        <v>3494</v>
      </c>
      <c r="I1544" s="345">
        <v>1</v>
      </c>
      <c r="J1544" s="347"/>
      <c r="K1544" s="345">
        <v>0</v>
      </c>
      <c r="L1544" s="347" t="s">
        <v>2465</v>
      </c>
      <c r="M1544" s="347"/>
      <c r="N1544" s="347" t="s">
        <v>4440</v>
      </c>
      <c r="O1544" s="347" t="s">
        <v>4441</v>
      </c>
      <c r="P1544" s="347"/>
      <c r="Q1544" s="347"/>
      <c r="R1544" s="347"/>
      <c r="S1544" s="348">
        <v>38518</v>
      </c>
      <c r="T1544" s="348">
        <v>38518</v>
      </c>
      <c r="U1544" s="347"/>
      <c r="V1544" s="345">
        <v>300</v>
      </c>
      <c r="W1544" s="345">
        <v>14110</v>
      </c>
      <c r="X1544" s="349">
        <v>880.88</v>
      </c>
      <c r="Y1544" s="345">
        <v>14116</v>
      </c>
      <c r="Z1544" s="349">
        <v>880.88</v>
      </c>
      <c r="AA1544" s="349">
        <f t="shared" si="108"/>
        <v>0</v>
      </c>
      <c r="AB1544" s="349">
        <v>0</v>
      </c>
      <c r="AC1544" s="345">
        <v>70260</v>
      </c>
      <c r="AD1544" s="349">
        <v>0</v>
      </c>
      <c r="AE1544" s="345" t="s">
        <v>944</v>
      </c>
      <c r="AF1544" s="347">
        <v>0</v>
      </c>
      <c r="AG1544" s="347"/>
      <c r="AH1544" s="347" t="s">
        <v>57</v>
      </c>
      <c r="AI1544" s="347" t="s">
        <v>4442</v>
      </c>
      <c r="AJ1544" s="347" t="s">
        <v>4443</v>
      </c>
      <c r="AK1544" s="347" t="s">
        <v>4437</v>
      </c>
      <c r="AL1544" s="387">
        <v>45574</v>
      </c>
    </row>
    <row r="1545" spans="2:38" ht="15.75" outlineLevel="1">
      <c r="B1545" s="345">
        <v>2111</v>
      </c>
      <c r="C1545" s="346">
        <v>37249</v>
      </c>
      <c r="D1545" s="345">
        <v>24896</v>
      </c>
      <c r="E1545" s="347" t="s">
        <v>4240</v>
      </c>
      <c r="F1545" s="343" t="s">
        <v>3495</v>
      </c>
      <c r="I1545" s="345">
        <v>1</v>
      </c>
      <c r="J1545" s="347"/>
      <c r="K1545" s="345">
        <v>0</v>
      </c>
      <c r="L1545" s="347" t="s">
        <v>2465</v>
      </c>
      <c r="M1545" s="347"/>
      <c r="N1545" s="347" t="s">
        <v>4440</v>
      </c>
      <c r="O1545" s="347" t="s">
        <v>4441</v>
      </c>
      <c r="P1545" s="347"/>
      <c r="Q1545" s="347"/>
      <c r="R1545" s="347"/>
      <c r="S1545" s="348">
        <v>38518</v>
      </c>
      <c r="T1545" s="348">
        <v>38518</v>
      </c>
      <c r="U1545" s="347"/>
      <c r="V1545" s="345">
        <v>300</v>
      </c>
      <c r="W1545" s="345">
        <v>14110</v>
      </c>
      <c r="X1545" s="349">
        <v>299.24</v>
      </c>
      <c r="Y1545" s="345">
        <v>14116</v>
      </c>
      <c r="Z1545" s="349">
        <v>299.24</v>
      </c>
      <c r="AA1545" s="349">
        <f t="shared" si="108"/>
        <v>0</v>
      </c>
      <c r="AB1545" s="349">
        <v>0</v>
      </c>
      <c r="AC1545" s="345">
        <v>70260</v>
      </c>
      <c r="AD1545" s="349">
        <v>0</v>
      </c>
      <c r="AE1545" s="345" t="s">
        <v>944</v>
      </c>
      <c r="AF1545" s="347">
        <v>0</v>
      </c>
      <c r="AG1545" s="347"/>
      <c r="AH1545" s="347" t="s">
        <v>57</v>
      </c>
      <c r="AI1545" s="347" t="s">
        <v>4442</v>
      </c>
      <c r="AJ1545" s="347" t="s">
        <v>4443</v>
      </c>
      <c r="AK1545" s="347" t="s">
        <v>4437</v>
      </c>
      <c r="AL1545" s="387">
        <v>45574</v>
      </c>
    </row>
    <row r="1546" spans="2:38" ht="15.75" outlineLevel="1">
      <c r="B1546" s="345">
        <v>2111</v>
      </c>
      <c r="C1546" s="346">
        <v>37240</v>
      </c>
      <c r="D1546" s="345">
        <v>24894</v>
      </c>
      <c r="E1546" s="347" t="s">
        <v>4240</v>
      </c>
      <c r="F1546" s="343" t="s">
        <v>3489</v>
      </c>
      <c r="I1546" s="345">
        <v>1</v>
      </c>
      <c r="J1546" s="347"/>
      <c r="K1546" s="345">
        <v>0</v>
      </c>
      <c r="L1546" s="347" t="s">
        <v>2465</v>
      </c>
      <c r="M1546" s="347"/>
      <c r="N1546" s="347" t="s">
        <v>4440</v>
      </c>
      <c r="O1546" s="347" t="s">
        <v>4441</v>
      </c>
      <c r="P1546" s="347"/>
      <c r="Q1546" s="347"/>
      <c r="R1546" s="347"/>
      <c r="S1546" s="348">
        <v>38518</v>
      </c>
      <c r="T1546" s="348">
        <v>38518</v>
      </c>
      <c r="U1546" s="347"/>
      <c r="V1546" s="345">
        <v>300</v>
      </c>
      <c r="W1546" s="345">
        <v>14110</v>
      </c>
      <c r="X1546" s="349">
        <v>1789.2</v>
      </c>
      <c r="Y1546" s="345">
        <v>14116</v>
      </c>
      <c r="Z1546" s="349">
        <v>1789.2</v>
      </c>
      <c r="AA1546" s="349">
        <f t="shared" si="108"/>
        <v>0</v>
      </c>
      <c r="AB1546" s="349">
        <v>0</v>
      </c>
      <c r="AC1546" s="345">
        <v>70260</v>
      </c>
      <c r="AD1546" s="349">
        <v>0</v>
      </c>
      <c r="AE1546" s="345" t="s">
        <v>944</v>
      </c>
      <c r="AF1546" s="347">
        <v>0</v>
      </c>
      <c r="AG1546" s="347"/>
      <c r="AH1546" s="347" t="s">
        <v>57</v>
      </c>
      <c r="AI1546" s="347" t="s">
        <v>4442</v>
      </c>
      <c r="AJ1546" s="347" t="s">
        <v>4443</v>
      </c>
      <c r="AK1546" s="347" t="s">
        <v>4437</v>
      </c>
      <c r="AL1546" s="387">
        <v>45574</v>
      </c>
    </row>
    <row r="1547" spans="2:38" ht="15.75" outlineLevel="1">
      <c r="B1547" s="345">
        <v>2111</v>
      </c>
      <c r="C1547" s="346">
        <v>36399</v>
      </c>
      <c r="D1547" s="345" t="s">
        <v>944</v>
      </c>
      <c r="E1547" s="347" t="s">
        <v>4240</v>
      </c>
      <c r="F1547" s="343" t="s">
        <v>530</v>
      </c>
      <c r="I1547" s="345">
        <v>52</v>
      </c>
      <c r="J1547" s="347"/>
      <c r="K1547" s="345">
        <v>0</v>
      </c>
      <c r="L1547" s="347" t="s">
        <v>3496</v>
      </c>
      <c r="M1547" s="347"/>
      <c r="N1547" s="347" t="s">
        <v>4446</v>
      </c>
      <c r="O1547" s="347" t="s">
        <v>4441</v>
      </c>
      <c r="P1547" s="347"/>
      <c r="Q1547" s="347"/>
      <c r="R1547" s="347"/>
      <c r="S1547" s="348">
        <v>38593</v>
      </c>
      <c r="T1547" s="348">
        <v>38593</v>
      </c>
      <c r="U1547" s="347">
        <v>52111014</v>
      </c>
      <c r="V1547" s="345">
        <v>700</v>
      </c>
      <c r="W1547" s="345">
        <v>14050</v>
      </c>
      <c r="X1547" s="349">
        <v>2540.39</v>
      </c>
      <c r="Y1547" s="345">
        <v>14056</v>
      </c>
      <c r="Z1547" s="349">
        <v>2540.39</v>
      </c>
      <c r="AA1547" s="349">
        <f t="shared" si="108"/>
        <v>0</v>
      </c>
      <c r="AB1547" s="349">
        <v>0</v>
      </c>
      <c r="AC1547" s="345">
        <v>54260</v>
      </c>
      <c r="AD1547" s="349">
        <v>0</v>
      </c>
      <c r="AE1547" s="345" t="s">
        <v>944</v>
      </c>
      <c r="AF1547" s="347">
        <v>0</v>
      </c>
      <c r="AG1547" s="347"/>
      <c r="AH1547" s="347" t="s">
        <v>57</v>
      </c>
      <c r="AI1547" s="347" t="s">
        <v>4442</v>
      </c>
      <c r="AJ1547" s="347" t="s">
        <v>4443</v>
      </c>
      <c r="AK1547" s="347" t="s">
        <v>4437</v>
      </c>
      <c r="AL1547" s="387">
        <v>45574</v>
      </c>
    </row>
    <row r="1548" spans="2:38" ht="15.75" outlineLevel="1">
      <c r="B1548" s="345">
        <v>2111</v>
      </c>
      <c r="C1548" s="346">
        <v>35610</v>
      </c>
      <c r="D1548" s="345" t="s">
        <v>944</v>
      </c>
      <c r="E1548" s="347" t="s">
        <v>4240</v>
      </c>
      <c r="F1548" s="343" t="s">
        <v>753</v>
      </c>
      <c r="I1548" s="345">
        <v>1</v>
      </c>
      <c r="J1548" s="347"/>
      <c r="K1548" s="345">
        <v>0</v>
      </c>
      <c r="L1548" s="347" t="s">
        <v>2474</v>
      </c>
      <c r="M1548" s="347"/>
      <c r="N1548" s="347" t="s">
        <v>4446</v>
      </c>
      <c r="O1548" s="347" t="s">
        <v>4441</v>
      </c>
      <c r="P1548" s="347"/>
      <c r="Q1548" s="347" t="s">
        <v>4473</v>
      </c>
      <c r="R1548" s="347" t="s">
        <v>4448</v>
      </c>
      <c r="S1548" s="348">
        <v>38558</v>
      </c>
      <c r="T1548" s="348">
        <v>38558</v>
      </c>
      <c r="U1548" s="347">
        <v>52111012</v>
      </c>
      <c r="V1548" s="345">
        <v>1200</v>
      </c>
      <c r="W1548" s="345">
        <v>14050</v>
      </c>
      <c r="X1548" s="349">
        <v>5206.08</v>
      </c>
      <c r="Y1548" s="345">
        <v>14056</v>
      </c>
      <c r="Z1548" s="349">
        <v>5206.08</v>
      </c>
      <c r="AA1548" s="349">
        <f t="shared" si="108"/>
        <v>0</v>
      </c>
      <c r="AB1548" s="349">
        <v>0</v>
      </c>
      <c r="AC1548" s="345">
        <v>54260</v>
      </c>
      <c r="AD1548" s="349">
        <v>0</v>
      </c>
      <c r="AE1548" s="345" t="s">
        <v>944</v>
      </c>
      <c r="AF1548" s="347">
        <v>0</v>
      </c>
      <c r="AG1548" s="347"/>
      <c r="AH1548" s="347" t="s">
        <v>57</v>
      </c>
      <c r="AI1548" s="347" t="s">
        <v>4442</v>
      </c>
      <c r="AJ1548" s="347" t="s">
        <v>4443</v>
      </c>
      <c r="AK1548" s="347" t="s">
        <v>4437</v>
      </c>
      <c r="AL1548" s="387">
        <v>45574</v>
      </c>
    </row>
    <row r="1549" spans="2:38" ht="15.75" outlineLevel="1">
      <c r="B1549" s="345">
        <v>2111</v>
      </c>
      <c r="C1549" s="346">
        <v>35608</v>
      </c>
      <c r="D1549" s="345" t="s">
        <v>944</v>
      </c>
      <c r="E1549" s="347" t="s">
        <v>4240</v>
      </c>
      <c r="F1549" s="343" t="s">
        <v>3500</v>
      </c>
      <c r="I1549" s="345">
        <v>1380</v>
      </c>
      <c r="J1549" s="347"/>
      <c r="K1549" s="345">
        <v>0</v>
      </c>
      <c r="L1549" s="347" t="s">
        <v>2454</v>
      </c>
      <c r="M1549" s="347"/>
      <c r="N1549" s="347" t="s">
        <v>4446</v>
      </c>
      <c r="O1549" s="347" t="s">
        <v>4441</v>
      </c>
      <c r="P1549" s="347"/>
      <c r="Q1549" s="347"/>
      <c r="R1549" s="347"/>
      <c r="S1549" s="348">
        <v>38481</v>
      </c>
      <c r="T1549" s="348">
        <v>38481</v>
      </c>
      <c r="U1549" s="347">
        <v>52111002</v>
      </c>
      <c r="V1549" s="345">
        <v>700</v>
      </c>
      <c r="W1549" s="345">
        <v>14050</v>
      </c>
      <c r="X1549" s="349">
        <v>2627.52</v>
      </c>
      <c r="Y1549" s="345">
        <v>14056</v>
      </c>
      <c r="Z1549" s="349">
        <v>2627.52</v>
      </c>
      <c r="AA1549" s="349">
        <f t="shared" si="108"/>
        <v>0</v>
      </c>
      <c r="AB1549" s="349">
        <v>0</v>
      </c>
      <c r="AC1549" s="345">
        <v>54260</v>
      </c>
      <c r="AD1549" s="349">
        <v>0</v>
      </c>
      <c r="AE1549" s="345" t="s">
        <v>944</v>
      </c>
      <c r="AF1549" s="347">
        <v>0</v>
      </c>
      <c r="AG1549" s="347"/>
      <c r="AH1549" s="347" t="s">
        <v>57</v>
      </c>
      <c r="AI1549" s="347" t="s">
        <v>4442</v>
      </c>
      <c r="AJ1549" s="347" t="s">
        <v>4443</v>
      </c>
      <c r="AK1549" s="347" t="s">
        <v>4437</v>
      </c>
      <c r="AL1549" s="387">
        <v>45574</v>
      </c>
    </row>
    <row r="1550" spans="2:38" ht="15.75" outlineLevel="1">
      <c r="B1550" s="345">
        <v>2111</v>
      </c>
      <c r="C1550" s="346">
        <v>35607</v>
      </c>
      <c r="D1550" s="345" t="s">
        <v>944</v>
      </c>
      <c r="E1550" s="347" t="s">
        <v>4240</v>
      </c>
      <c r="F1550" s="343" t="s">
        <v>3502</v>
      </c>
      <c r="I1550" s="345">
        <v>1</v>
      </c>
      <c r="J1550" s="347"/>
      <c r="K1550" s="345">
        <v>0</v>
      </c>
      <c r="L1550" s="347" t="s">
        <v>2454</v>
      </c>
      <c r="M1550" s="347"/>
      <c r="N1550" s="347" t="s">
        <v>4446</v>
      </c>
      <c r="O1550" s="347" t="s">
        <v>4441</v>
      </c>
      <c r="P1550" s="347"/>
      <c r="Q1550" s="347"/>
      <c r="R1550" s="347"/>
      <c r="S1550" s="348">
        <v>38572</v>
      </c>
      <c r="T1550" s="348">
        <v>38572</v>
      </c>
      <c r="U1550" s="347">
        <v>52111002</v>
      </c>
      <c r="V1550" s="345">
        <v>700</v>
      </c>
      <c r="W1550" s="345">
        <v>14050</v>
      </c>
      <c r="X1550" s="349">
        <v>-1261.44</v>
      </c>
      <c r="Y1550" s="345">
        <v>14056</v>
      </c>
      <c r="Z1550" s="349">
        <v>-1261.44</v>
      </c>
      <c r="AA1550" s="349">
        <f t="shared" si="108"/>
        <v>0</v>
      </c>
      <c r="AB1550" s="349">
        <v>0</v>
      </c>
      <c r="AC1550" s="345">
        <v>54260</v>
      </c>
      <c r="AD1550" s="349">
        <v>0</v>
      </c>
      <c r="AE1550" s="345" t="s">
        <v>944</v>
      </c>
      <c r="AF1550" s="347">
        <v>0</v>
      </c>
      <c r="AG1550" s="347"/>
      <c r="AH1550" s="347" t="s">
        <v>57</v>
      </c>
      <c r="AI1550" s="347" t="s">
        <v>4442</v>
      </c>
      <c r="AJ1550" s="347" t="s">
        <v>4443</v>
      </c>
      <c r="AK1550" s="347" t="s">
        <v>4437</v>
      </c>
      <c r="AL1550" s="387">
        <v>45574</v>
      </c>
    </row>
    <row r="1551" spans="2:38" ht="15.75" outlineLevel="1">
      <c r="B1551" s="345">
        <v>2111</v>
      </c>
      <c r="C1551" s="346">
        <v>35606</v>
      </c>
      <c r="D1551" s="345" t="s">
        <v>944</v>
      </c>
      <c r="E1551" s="347" t="s">
        <v>4240</v>
      </c>
      <c r="F1551" s="343" t="s">
        <v>2484</v>
      </c>
      <c r="I1551" s="345">
        <v>5153</v>
      </c>
      <c r="J1551" s="347"/>
      <c r="K1551" s="345">
        <v>0</v>
      </c>
      <c r="L1551" s="347" t="s">
        <v>2454</v>
      </c>
      <c r="M1551" s="347"/>
      <c r="N1551" s="347" t="s">
        <v>4446</v>
      </c>
      <c r="O1551" s="347" t="s">
        <v>4441</v>
      </c>
      <c r="P1551" s="347"/>
      <c r="Q1551" s="347"/>
      <c r="R1551" s="347"/>
      <c r="S1551" s="348">
        <v>38495</v>
      </c>
      <c r="T1551" s="348">
        <v>38495</v>
      </c>
      <c r="U1551" s="347">
        <v>52111002</v>
      </c>
      <c r="V1551" s="345">
        <v>700</v>
      </c>
      <c r="W1551" s="345">
        <v>14050</v>
      </c>
      <c r="X1551" s="349">
        <v>7008.08</v>
      </c>
      <c r="Y1551" s="345">
        <v>14056</v>
      </c>
      <c r="Z1551" s="349">
        <v>7008.08</v>
      </c>
      <c r="AA1551" s="349">
        <f t="shared" si="108"/>
        <v>0</v>
      </c>
      <c r="AB1551" s="349">
        <v>0</v>
      </c>
      <c r="AC1551" s="345">
        <v>54260</v>
      </c>
      <c r="AD1551" s="349">
        <v>0</v>
      </c>
      <c r="AE1551" s="345" t="s">
        <v>944</v>
      </c>
      <c r="AF1551" s="347">
        <v>0</v>
      </c>
      <c r="AG1551" s="347"/>
      <c r="AH1551" s="347" t="s">
        <v>57</v>
      </c>
      <c r="AI1551" s="347" t="s">
        <v>4442</v>
      </c>
      <c r="AJ1551" s="347" t="s">
        <v>4443</v>
      </c>
      <c r="AK1551" s="347" t="s">
        <v>4437</v>
      </c>
      <c r="AL1551" s="387">
        <v>45574</v>
      </c>
    </row>
    <row r="1552" spans="2:38" ht="15.75" outlineLevel="1">
      <c r="B1552" s="345">
        <v>2111</v>
      </c>
      <c r="C1552" s="346">
        <v>35605</v>
      </c>
      <c r="D1552" s="345" t="s">
        <v>944</v>
      </c>
      <c r="E1552" s="347" t="s">
        <v>4240</v>
      </c>
      <c r="F1552" s="343" t="s">
        <v>3500</v>
      </c>
      <c r="I1552" s="345">
        <v>1175</v>
      </c>
      <c r="J1552" s="347"/>
      <c r="K1552" s="345">
        <v>0</v>
      </c>
      <c r="L1552" s="347" t="s">
        <v>2454</v>
      </c>
      <c r="M1552" s="347"/>
      <c r="N1552" s="347" t="s">
        <v>4446</v>
      </c>
      <c r="O1552" s="347" t="s">
        <v>4441</v>
      </c>
      <c r="P1552" s="347"/>
      <c r="Q1552" s="347"/>
      <c r="R1552" s="347"/>
      <c r="S1552" s="348">
        <v>38495</v>
      </c>
      <c r="T1552" s="348">
        <v>38495</v>
      </c>
      <c r="U1552" s="347">
        <v>52111002</v>
      </c>
      <c r="V1552" s="345">
        <v>700</v>
      </c>
      <c r="W1552" s="345">
        <v>14050</v>
      </c>
      <c r="X1552" s="349">
        <v>2237.1999999999998</v>
      </c>
      <c r="Y1552" s="345">
        <v>14056</v>
      </c>
      <c r="Z1552" s="349">
        <v>2237.1999999999998</v>
      </c>
      <c r="AA1552" s="349">
        <f t="shared" si="108"/>
        <v>0</v>
      </c>
      <c r="AB1552" s="349">
        <v>0</v>
      </c>
      <c r="AC1552" s="345">
        <v>54260</v>
      </c>
      <c r="AD1552" s="349">
        <v>0</v>
      </c>
      <c r="AE1552" s="345" t="s">
        <v>944</v>
      </c>
      <c r="AF1552" s="347">
        <v>0</v>
      </c>
      <c r="AG1552" s="347"/>
      <c r="AH1552" s="347" t="s">
        <v>57</v>
      </c>
      <c r="AI1552" s="347" t="s">
        <v>4442</v>
      </c>
      <c r="AJ1552" s="347" t="s">
        <v>4443</v>
      </c>
      <c r="AK1552" s="347" t="s">
        <v>4437</v>
      </c>
      <c r="AL1552" s="387">
        <v>45574</v>
      </c>
    </row>
    <row r="1553" spans="2:38" ht="15.75" outlineLevel="1">
      <c r="B1553" s="345">
        <v>2111</v>
      </c>
      <c r="C1553" s="346">
        <v>35604</v>
      </c>
      <c r="D1553" s="345" t="s">
        <v>944</v>
      </c>
      <c r="E1553" s="347" t="s">
        <v>4240</v>
      </c>
      <c r="F1553" s="343" t="s">
        <v>3500</v>
      </c>
      <c r="I1553" s="345">
        <v>2620</v>
      </c>
      <c r="J1553" s="347"/>
      <c r="K1553" s="345">
        <v>0</v>
      </c>
      <c r="L1553" s="347" t="s">
        <v>2454</v>
      </c>
      <c r="M1553" s="347"/>
      <c r="N1553" s="347" t="s">
        <v>4446</v>
      </c>
      <c r="O1553" s="347" t="s">
        <v>4441</v>
      </c>
      <c r="P1553" s="347"/>
      <c r="Q1553" s="347"/>
      <c r="R1553" s="347"/>
      <c r="S1553" s="348">
        <v>38470</v>
      </c>
      <c r="T1553" s="348">
        <v>38470</v>
      </c>
      <c r="U1553" s="347">
        <v>52111002</v>
      </c>
      <c r="V1553" s="345">
        <v>700</v>
      </c>
      <c r="W1553" s="345">
        <v>14050</v>
      </c>
      <c r="X1553" s="349">
        <v>4988.4799999999996</v>
      </c>
      <c r="Y1553" s="345">
        <v>14056</v>
      </c>
      <c r="Z1553" s="349">
        <v>4988.4799999999996</v>
      </c>
      <c r="AA1553" s="349">
        <f t="shared" si="108"/>
        <v>0</v>
      </c>
      <c r="AB1553" s="349">
        <v>0</v>
      </c>
      <c r="AC1553" s="345">
        <v>54260</v>
      </c>
      <c r="AD1553" s="349">
        <v>0</v>
      </c>
      <c r="AE1553" s="345" t="s">
        <v>944</v>
      </c>
      <c r="AF1553" s="347">
        <v>0</v>
      </c>
      <c r="AG1553" s="347"/>
      <c r="AH1553" s="347" t="s">
        <v>57</v>
      </c>
      <c r="AI1553" s="347" t="s">
        <v>4442</v>
      </c>
      <c r="AJ1553" s="347" t="s">
        <v>4443</v>
      </c>
      <c r="AK1553" s="347" t="s">
        <v>4437</v>
      </c>
      <c r="AL1553" s="387">
        <v>45574</v>
      </c>
    </row>
    <row r="1554" spans="2:38" ht="15.75" outlineLevel="1">
      <c r="B1554" s="345">
        <v>2111</v>
      </c>
      <c r="C1554" s="346">
        <v>35603</v>
      </c>
      <c r="D1554" s="345" t="s">
        <v>944</v>
      </c>
      <c r="E1554" s="347" t="s">
        <v>4240</v>
      </c>
      <c r="F1554" s="343" t="s">
        <v>3500</v>
      </c>
      <c r="I1554" s="345">
        <v>3000</v>
      </c>
      <c r="J1554" s="347"/>
      <c r="K1554" s="345">
        <v>0</v>
      </c>
      <c r="L1554" s="347" t="s">
        <v>2454</v>
      </c>
      <c r="M1554" s="347"/>
      <c r="N1554" s="347" t="s">
        <v>4446</v>
      </c>
      <c r="O1554" s="347" t="s">
        <v>4441</v>
      </c>
      <c r="P1554" s="347"/>
      <c r="Q1554" s="347"/>
      <c r="R1554" s="347"/>
      <c r="S1554" s="348">
        <v>38485</v>
      </c>
      <c r="T1554" s="348">
        <v>38485</v>
      </c>
      <c r="U1554" s="347">
        <v>52111002</v>
      </c>
      <c r="V1554" s="345">
        <v>700</v>
      </c>
      <c r="W1554" s="345">
        <v>14050</v>
      </c>
      <c r="X1554" s="349">
        <v>4080</v>
      </c>
      <c r="Y1554" s="345">
        <v>14056</v>
      </c>
      <c r="Z1554" s="349">
        <v>4080</v>
      </c>
      <c r="AA1554" s="349">
        <f t="shared" si="108"/>
        <v>0</v>
      </c>
      <c r="AB1554" s="349">
        <v>0</v>
      </c>
      <c r="AC1554" s="345">
        <v>54260</v>
      </c>
      <c r="AD1554" s="349">
        <v>0</v>
      </c>
      <c r="AE1554" s="345" t="s">
        <v>944</v>
      </c>
      <c r="AF1554" s="347">
        <v>0</v>
      </c>
      <c r="AG1554" s="347"/>
      <c r="AH1554" s="347" t="s">
        <v>57</v>
      </c>
      <c r="AI1554" s="347" t="s">
        <v>4442</v>
      </c>
      <c r="AJ1554" s="347" t="s">
        <v>4443</v>
      </c>
      <c r="AK1554" s="347" t="s">
        <v>4437</v>
      </c>
      <c r="AL1554" s="387">
        <v>45574</v>
      </c>
    </row>
    <row r="1555" spans="2:38" ht="15.75" outlineLevel="1">
      <c r="B1555" s="345">
        <v>2111</v>
      </c>
      <c r="C1555" s="346">
        <v>35602</v>
      </c>
      <c r="D1555" s="345" t="s">
        <v>944</v>
      </c>
      <c r="E1555" s="347" t="s">
        <v>4240</v>
      </c>
      <c r="F1555" s="343" t="s">
        <v>3500</v>
      </c>
      <c r="I1555" s="345">
        <v>2325</v>
      </c>
      <c r="J1555" s="347"/>
      <c r="K1555" s="345">
        <v>0</v>
      </c>
      <c r="L1555" s="347" t="s">
        <v>2454</v>
      </c>
      <c r="M1555" s="347"/>
      <c r="N1555" s="347" t="s">
        <v>4446</v>
      </c>
      <c r="O1555" s="347" t="s">
        <v>4441</v>
      </c>
      <c r="P1555" s="347"/>
      <c r="Q1555" s="347"/>
      <c r="R1555" s="347"/>
      <c r="S1555" s="348">
        <v>38481</v>
      </c>
      <c r="T1555" s="348">
        <v>38481</v>
      </c>
      <c r="U1555" s="347">
        <v>52111002</v>
      </c>
      <c r="V1555" s="345">
        <v>700</v>
      </c>
      <c r="W1555" s="345">
        <v>14050</v>
      </c>
      <c r="X1555" s="349">
        <v>4426.8</v>
      </c>
      <c r="Y1555" s="345">
        <v>14056</v>
      </c>
      <c r="Z1555" s="349">
        <v>4426.8</v>
      </c>
      <c r="AA1555" s="349">
        <f t="shared" si="108"/>
        <v>0</v>
      </c>
      <c r="AB1555" s="349">
        <v>0</v>
      </c>
      <c r="AC1555" s="345">
        <v>54260</v>
      </c>
      <c r="AD1555" s="349">
        <v>0</v>
      </c>
      <c r="AE1555" s="345" t="s">
        <v>944</v>
      </c>
      <c r="AF1555" s="347">
        <v>0</v>
      </c>
      <c r="AG1555" s="347"/>
      <c r="AH1555" s="347" t="s">
        <v>57</v>
      </c>
      <c r="AI1555" s="347" t="s">
        <v>4442</v>
      </c>
      <c r="AJ1555" s="347" t="s">
        <v>4443</v>
      </c>
      <c r="AK1555" s="347" t="s">
        <v>4437</v>
      </c>
      <c r="AL1555" s="387">
        <v>45574</v>
      </c>
    </row>
    <row r="1556" spans="2:38" ht="15.75" outlineLevel="1">
      <c r="B1556" s="345">
        <v>2111</v>
      </c>
      <c r="C1556" s="346">
        <v>35601</v>
      </c>
      <c r="D1556" s="345" t="s">
        <v>944</v>
      </c>
      <c r="E1556" s="347" t="s">
        <v>4240</v>
      </c>
      <c r="F1556" s="343" t="s">
        <v>3508</v>
      </c>
      <c r="I1556" s="345">
        <v>10470</v>
      </c>
      <c r="J1556" s="347"/>
      <c r="K1556" s="345">
        <v>0</v>
      </c>
      <c r="L1556" s="347" t="s">
        <v>2454</v>
      </c>
      <c r="M1556" s="347"/>
      <c r="N1556" s="347" t="s">
        <v>4446</v>
      </c>
      <c r="O1556" s="347" t="s">
        <v>4441</v>
      </c>
      <c r="P1556" s="347"/>
      <c r="Q1556" s="347"/>
      <c r="R1556" s="347"/>
      <c r="S1556" s="348">
        <v>38485</v>
      </c>
      <c r="T1556" s="348">
        <v>38485</v>
      </c>
      <c r="U1556" s="347">
        <v>52111002</v>
      </c>
      <c r="V1556" s="345">
        <v>700</v>
      </c>
      <c r="W1556" s="345">
        <v>14050</v>
      </c>
      <c r="X1556" s="349">
        <v>14239.2</v>
      </c>
      <c r="Y1556" s="345">
        <v>14056</v>
      </c>
      <c r="Z1556" s="349">
        <v>14239.2</v>
      </c>
      <c r="AA1556" s="349">
        <f t="shared" si="108"/>
        <v>0</v>
      </c>
      <c r="AB1556" s="349">
        <v>0</v>
      </c>
      <c r="AC1556" s="345">
        <v>54260</v>
      </c>
      <c r="AD1556" s="349">
        <v>0</v>
      </c>
      <c r="AE1556" s="345" t="s">
        <v>944</v>
      </c>
      <c r="AF1556" s="347">
        <v>0</v>
      </c>
      <c r="AG1556" s="347"/>
      <c r="AH1556" s="347" t="s">
        <v>57</v>
      </c>
      <c r="AI1556" s="347" t="s">
        <v>4442</v>
      </c>
      <c r="AJ1556" s="347" t="s">
        <v>4443</v>
      </c>
      <c r="AK1556" s="347" t="s">
        <v>4437</v>
      </c>
      <c r="AL1556" s="387">
        <v>45574</v>
      </c>
    </row>
    <row r="1557" spans="2:38" ht="15.75" outlineLevel="1">
      <c r="B1557" s="345">
        <v>2111</v>
      </c>
      <c r="C1557" s="346">
        <v>35210</v>
      </c>
      <c r="D1557" s="345" t="s">
        <v>944</v>
      </c>
      <c r="E1557" s="347" t="s">
        <v>4240</v>
      </c>
      <c r="F1557" s="343" t="s">
        <v>3510</v>
      </c>
      <c r="I1557" s="345">
        <v>1</v>
      </c>
      <c r="J1557" s="347"/>
      <c r="K1557" s="345">
        <v>0</v>
      </c>
      <c r="L1557" s="347" t="s">
        <v>2471</v>
      </c>
      <c r="M1557" s="347"/>
      <c r="N1557" s="347" t="s">
        <v>4451</v>
      </c>
      <c r="O1557" s="347" t="s">
        <v>4441</v>
      </c>
      <c r="P1557" s="347"/>
      <c r="Q1557" s="347"/>
      <c r="R1557" s="347"/>
      <c r="S1557" s="348">
        <v>38531</v>
      </c>
      <c r="T1557" s="348">
        <v>38531</v>
      </c>
      <c r="U1557" s="347">
        <v>52111003</v>
      </c>
      <c r="V1557" s="345">
        <v>1000</v>
      </c>
      <c r="W1557" s="345">
        <v>14070</v>
      </c>
      <c r="X1557" s="349">
        <v>8268.9699999999993</v>
      </c>
      <c r="Y1557" s="345">
        <v>14076</v>
      </c>
      <c r="Z1557" s="349">
        <v>8268.9699999999993</v>
      </c>
      <c r="AA1557" s="349">
        <f t="shared" si="108"/>
        <v>0</v>
      </c>
      <c r="AB1557" s="349">
        <v>0</v>
      </c>
      <c r="AC1557" s="345">
        <v>51260</v>
      </c>
      <c r="AD1557" s="349">
        <v>0</v>
      </c>
      <c r="AE1557" s="345" t="s">
        <v>944</v>
      </c>
      <c r="AF1557" s="347">
        <v>0</v>
      </c>
      <c r="AG1557" s="347"/>
      <c r="AH1557" s="347" t="s">
        <v>57</v>
      </c>
      <c r="AI1557" s="347" t="s">
        <v>4442</v>
      </c>
      <c r="AJ1557" s="347" t="s">
        <v>4443</v>
      </c>
      <c r="AK1557" s="347" t="s">
        <v>4437</v>
      </c>
      <c r="AL1557" s="387">
        <v>45574</v>
      </c>
    </row>
    <row r="1558" spans="2:38" ht="15.75" outlineLevel="1">
      <c r="B1558" s="345">
        <v>2111</v>
      </c>
      <c r="C1558" s="346">
        <v>35105</v>
      </c>
      <c r="D1558" s="345" t="s">
        <v>944</v>
      </c>
      <c r="E1558" s="347" t="s">
        <v>4240</v>
      </c>
      <c r="F1558" s="343" t="s">
        <v>3511</v>
      </c>
      <c r="I1558" s="345">
        <v>28</v>
      </c>
      <c r="J1558" s="347"/>
      <c r="K1558" s="345">
        <v>0</v>
      </c>
      <c r="L1558" s="347" t="s">
        <v>2462</v>
      </c>
      <c r="M1558" s="347"/>
      <c r="N1558" s="347" t="s">
        <v>4446</v>
      </c>
      <c r="O1558" s="347" t="s">
        <v>4441</v>
      </c>
      <c r="P1558" s="347"/>
      <c r="Q1558" s="347" t="s">
        <v>4459</v>
      </c>
      <c r="R1558" s="347" t="s">
        <v>4450</v>
      </c>
      <c r="S1558" s="348">
        <v>38533</v>
      </c>
      <c r="T1558" s="348">
        <v>38533</v>
      </c>
      <c r="U1558" s="347">
        <v>52111008</v>
      </c>
      <c r="V1558" s="345">
        <v>1200</v>
      </c>
      <c r="W1558" s="345">
        <v>14050</v>
      </c>
      <c r="X1558" s="349">
        <v>12855.81</v>
      </c>
      <c r="Y1558" s="345">
        <v>14056</v>
      </c>
      <c r="Z1558" s="349">
        <v>12855.81</v>
      </c>
      <c r="AA1558" s="349">
        <f t="shared" si="108"/>
        <v>0</v>
      </c>
      <c r="AB1558" s="349">
        <v>0</v>
      </c>
      <c r="AC1558" s="345">
        <v>54260</v>
      </c>
      <c r="AD1558" s="349">
        <v>0</v>
      </c>
      <c r="AE1558" s="345" t="s">
        <v>944</v>
      </c>
      <c r="AF1558" s="347">
        <v>0</v>
      </c>
      <c r="AG1558" s="347"/>
      <c r="AH1558" s="347" t="s">
        <v>57</v>
      </c>
      <c r="AI1558" s="347" t="s">
        <v>4442</v>
      </c>
      <c r="AJ1558" s="347" t="s">
        <v>4443</v>
      </c>
      <c r="AK1558" s="347" t="s">
        <v>4437</v>
      </c>
      <c r="AL1558" s="387">
        <v>45574</v>
      </c>
    </row>
    <row r="1559" spans="2:38" ht="15.75" outlineLevel="1">
      <c r="B1559" s="345">
        <v>2111</v>
      </c>
      <c r="C1559" s="346">
        <v>34689</v>
      </c>
      <c r="D1559" s="345" t="s">
        <v>944</v>
      </c>
      <c r="E1559" s="347" t="s">
        <v>4240</v>
      </c>
      <c r="F1559" s="343" t="s">
        <v>2484</v>
      </c>
      <c r="I1559" s="345">
        <v>720</v>
      </c>
      <c r="J1559" s="347" t="s">
        <v>3512</v>
      </c>
      <c r="K1559" s="345">
        <v>0</v>
      </c>
      <c r="L1559" s="347" t="s">
        <v>2454</v>
      </c>
      <c r="M1559" s="347"/>
      <c r="N1559" s="347" t="s">
        <v>4446</v>
      </c>
      <c r="O1559" s="347" t="s">
        <v>4441</v>
      </c>
      <c r="P1559" s="347"/>
      <c r="Q1559" s="347"/>
      <c r="R1559" s="347"/>
      <c r="S1559" s="348">
        <v>38406</v>
      </c>
      <c r="T1559" s="348">
        <v>38406</v>
      </c>
      <c r="U1559" s="347">
        <v>52111002</v>
      </c>
      <c r="V1559" s="345">
        <v>700</v>
      </c>
      <c r="W1559" s="345">
        <v>14050</v>
      </c>
      <c r="X1559" s="349">
        <v>1588.48</v>
      </c>
      <c r="Y1559" s="345">
        <v>14056</v>
      </c>
      <c r="Z1559" s="349">
        <v>1588.48</v>
      </c>
      <c r="AA1559" s="349">
        <f t="shared" si="108"/>
        <v>0</v>
      </c>
      <c r="AB1559" s="349">
        <v>0</v>
      </c>
      <c r="AC1559" s="345">
        <v>54260</v>
      </c>
      <c r="AD1559" s="349">
        <v>0</v>
      </c>
      <c r="AE1559" s="345" t="s">
        <v>944</v>
      </c>
      <c r="AF1559" s="347">
        <v>0</v>
      </c>
      <c r="AG1559" s="347"/>
      <c r="AH1559" s="347" t="s">
        <v>57</v>
      </c>
      <c r="AI1559" s="347" t="s">
        <v>4442</v>
      </c>
      <c r="AJ1559" s="347" t="s">
        <v>4443</v>
      </c>
      <c r="AK1559" s="347" t="s">
        <v>4437</v>
      </c>
      <c r="AL1559" s="387">
        <v>45574</v>
      </c>
    </row>
    <row r="1560" spans="2:38" ht="15.75" outlineLevel="1">
      <c r="B1560" s="345">
        <v>2111</v>
      </c>
      <c r="C1560" s="346">
        <v>34611</v>
      </c>
      <c r="D1560" s="345" t="s">
        <v>944</v>
      </c>
      <c r="E1560" s="347" t="s">
        <v>4240</v>
      </c>
      <c r="F1560" s="343" t="s">
        <v>3514</v>
      </c>
      <c r="I1560" s="345">
        <v>1</v>
      </c>
      <c r="J1560" s="347"/>
      <c r="K1560" s="345">
        <v>0</v>
      </c>
      <c r="L1560" s="347" t="s">
        <v>3515</v>
      </c>
      <c r="M1560" s="347"/>
      <c r="N1560" s="347" t="s">
        <v>4440</v>
      </c>
      <c r="O1560" s="347" t="s">
        <v>4441</v>
      </c>
      <c r="P1560" s="347"/>
      <c r="Q1560" s="347"/>
      <c r="R1560" s="347"/>
      <c r="S1560" s="348">
        <v>38499</v>
      </c>
      <c r="T1560" s="348">
        <v>38499</v>
      </c>
      <c r="U1560" s="347"/>
      <c r="V1560" s="345">
        <v>300</v>
      </c>
      <c r="W1560" s="345">
        <v>14110</v>
      </c>
      <c r="X1560" s="349">
        <v>850</v>
      </c>
      <c r="Y1560" s="345">
        <v>14116</v>
      </c>
      <c r="Z1560" s="349">
        <v>850</v>
      </c>
      <c r="AA1560" s="349">
        <f t="shared" si="108"/>
        <v>0</v>
      </c>
      <c r="AB1560" s="349">
        <v>0</v>
      </c>
      <c r="AC1560" s="345">
        <v>70260</v>
      </c>
      <c r="AD1560" s="349">
        <v>0</v>
      </c>
      <c r="AE1560" s="345" t="s">
        <v>944</v>
      </c>
      <c r="AF1560" s="347">
        <v>0</v>
      </c>
      <c r="AG1560" s="347"/>
      <c r="AH1560" s="347" t="s">
        <v>57</v>
      </c>
      <c r="AI1560" s="347" t="s">
        <v>4442</v>
      </c>
      <c r="AJ1560" s="347" t="s">
        <v>4443</v>
      </c>
      <c r="AK1560" s="347" t="s">
        <v>4437</v>
      </c>
      <c r="AL1560" s="387">
        <v>45574</v>
      </c>
    </row>
    <row r="1561" spans="2:38" ht="15.75" outlineLevel="1">
      <c r="B1561" s="345">
        <v>2111</v>
      </c>
      <c r="C1561" s="346">
        <v>34376</v>
      </c>
      <c r="D1561" s="345" t="s">
        <v>944</v>
      </c>
      <c r="E1561" s="347" t="s">
        <v>4240</v>
      </c>
      <c r="F1561" s="343" t="s">
        <v>3517</v>
      </c>
      <c r="I1561" s="345">
        <v>960</v>
      </c>
      <c r="J1561" s="347" t="s">
        <v>3518</v>
      </c>
      <c r="K1561" s="345">
        <v>0</v>
      </c>
      <c r="L1561" s="347" t="s">
        <v>2454</v>
      </c>
      <c r="M1561" s="347"/>
      <c r="N1561" s="347" t="s">
        <v>4446</v>
      </c>
      <c r="O1561" s="347" t="s">
        <v>4441</v>
      </c>
      <c r="P1561" s="347"/>
      <c r="Q1561" s="347"/>
      <c r="R1561" s="347"/>
      <c r="S1561" s="348">
        <v>38413</v>
      </c>
      <c r="T1561" s="348">
        <v>38413</v>
      </c>
      <c r="U1561" s="347">
        <v>52111002</v>
      </c>
      <c r="V1561" s="345">
        <v>700</v>
      </c>
      <c r="W1561" s="345">
        <v>14050</v>
      </c>
      <c r="X1561" s="349">
        <v>33945.599999999999</v>
      </c>
      <c r="Y1561" s="345">
        <v>14056</v>
      </c>
      <c r="Z1561" s="349">
        <v>33945.599999999999</v>
      </c>
      <c r="AA1561" s="349">
        <f t="shared" si="108"/>
        <v>0</v>
      </c>
      <c r="AB1561" s="349">
        <v>0</v>
      </c>
      <c r="AC1561" s="345">
        <v>54260</v>
      </c>
      <c r="AD1561" s="349">
        <v>0</v>
      </c>
      <c r="AE1561" s="345" t="s">
        <v>944</v>
      </c>
      <c r="AF1561" s="347">
        <v>0</v>
      </c>
      <c r="AG1561" s="347"/>
      <c r="AH1561" s="347" t="s">
        <v>57</v>
      </c>
      <c r="AI1561" s="347" t="s">
        <v>4442</v>
      </c>
      <c r="AJ1561" s="347" t="s">
        <v>4443</v>
      </c>
      <c r="AK1561" s="347" t="s">
        <v>4437</v>
      </c>
      <c r="AL1561" s="387">
        <v>45574</v>
      </c>
    </row>
    <row r="1562" spans="2:38" ht="15.75" outlineLevel="1">
      <c r="B1562" s="345">
        <v>2111</v>
      </c>
      <c r="C1562" s="346">
        <v>34375</v>
      </c>
      <c r="D1562" s="345" t="s">
        <v>944</v>
      </c>
      <c r="E1562" s="347" t="s">
        <v>4240</v>
      </c>
      <c r="F1562" s="343" t="s">
        <v>3517</v>
      </c>
      <c r="I1562" s="345">
        <v>40</v>
      </c>
      <c r="J1562" s="347" t="s">
        <v>3520</v>
      </c>
      <c r="K1562" s="345">
        <v>0</v>
      </c>
      <c r="L1562" s="347" t="s">
        <v>2454</v>
      </c>
      <c r="M1562" s="347"/>
      <c r="N1562" s="347" t="s">
        <v>4446</v>
      </c>
      <c r="O1562" s="347" t="s">
        <v>4441</v>
      </c>
      <c r="P1562" s="347"/>
      <c r="Q1562" s="347"/>
      <c r="R1562" s="347"/>
      <c r="S1562" s="348">
        <v>38421</v>
      </c>
      <c r="T1562" s="348">
        <v>38421</v>
      </c>
      <c r="U1562" s="347">
        <v>52111002</v>
      </c>
      <c r="V1562" s="345">
        <v>700</v>
      </c>
      <c r="W1562" s="345">
        <v>14050</v>
      </c>
      <c r="X1562" s="349">
        <v>1414.4</v>
      </c>
      <c r="Y1562" s="345">
        <v>14056</v>
      </c>
      <c r="Z1562" s="349">
        <v>1414.4</v>
      </c>
      <c r="AA1562" s="349">
        <f t="shared" si="108"/>
        <v>0</v>
      </c>
      <c r="AB1562" s="349">
        <v>0</v>
      </c>
      <c r="AC1562" s="345">
        <v>54260</v>
      </c>
      <c r="AD1562" s="349">
        <v>0</v>
      </c>
      <c r="AE1562" s="345" t="s">
        <v>944</v>
      </c>
      <c r="AF1562" s="347">
        <v>0</v>
      </c>
      <c r="AG1562" s="347"/>
      <c r="AH1562" s="347" t="s">
        <v>57</v>
      </c>
      <c r="AI1562" s="347" t="s">
        <v>4442</v>
      </c>
      <c r="AJ1562" s="347" t="s">
        <v>4443</v>
      </c>
      <c r="AK1562" s="347" t="s">
        <v>4437</v>
      </c>
      <c r="AL1562" s="387">
        <v>45574</v>
      </c>
    </row>
    <row r="1563" spans="2:38" ht="15.75" outlineLevel="1">
      <c r="B1563" s="345">
        <v>2111</v>
      </c>
      <c r="C1563" s="346">
        <v>34374</v>
      </c>
      <c r="D1563" s="345" t="s">
        <v>944</v>
      </c>
      <c r="E1563" s="347" t="s">
        <v>4240</v>
      </c>
      <c r="F1563" s="343" t="s">
        <v>2484</v>
      </c>
      <c r="I1563" s="345">
        <v>100</v>
      </c>
      <c r="J1563" s="347" t="s">
        <v>3522</v>
      </c>
      <c r="K1563" s="345">
        <v>0</v>
      </c>
      <c r="L1563" s="347" t="s">
        <v>2454</v>
      </c>
      <c r="M1563" s="347"/>
      <c r="N1563" s="347" t="s">
        <v>4446</v>
      </c>
      <c r="O1563" s="347" t="s">
        <v>4441</v>
      </c>
      <c r="P1563" s="347"/>
      <c r="Q1563" s="347"/>
      <c r="R1563" s="347"/>
      <c r="S1563" s="348">
        <v>38434</v>
      </c>
      <c r="T1563" s="348">
        <v>38434</v>
      </c>
      <c r="U1563" s="347">
        <v>52111002</v>
      </c>
      <c r="V1563" s="345">
        <v>700</v>
      </c>
      <c r="W1563" s="345">
        <v>14050</v>
      </c>
      <c r="X1563" s="349">
        <v>3971.2</v>
      </c>
      <c r="Y1563" s="345">
        <v>14056</v>
      </c>
      <c r="Z1563" s="349">
        <v>3971.2</v>
      </c>
      <c r="AA1563" s="349">
        <f t="shared" si="108"/>
        <v>0</v>
      </c>
      <c r="AB1563" s="349">
        <v>0</v>
      </c>
      <c r="AC1563" s="345">
        <v>54260</v>
      </c>
      <c r="AD1563" s="349">
        <v>0</v>
      </c>
      <c r="AE1563" s="345" t="s">
        <v>944</v>
      </c>
      <c r="AF1563" s="347">
        <v>0</v>
      </c>
      <c r="AG1563" s="347"/>
      <c r="AH1563" s="347" t="s">
        <v>57</v>
      </c>
      <c r="AI1563" s="347" t="s">
        <v>4442</v>
      </c>
      <c r="AJ1563" s="347" t="s">
        <v>4443</v>
      </c>
      <c r="AK1563" s="347" t="s">
        <v>4437</v>
      </c>
      <c r="AL1563" s="387">
        <v>45574</v>
      </c>
    </row>
    <row r="1564" spans="2:38" ht="15.75" outlineLevel="1">
      <c r="B1564" s="345">
        <v>2111</v>
      </c>
      <c r="C1564" s="346">
        <v>34373</v>
      </c>
      <c r="D1564" s="345" t="s">
        <v>944</v>
      </c>
      <c r="E1564" s="347" t="s">
        <v>4240</v>
      </c>
      <c r="F1564" s="343" t="s">
        <v>2484</v>
      </c>
      <c r="I1564" s="345">
        <v>720</v>
      </c>
      <c r="J1564" s="347" t="s">
        <v>3524</v>
      </c>
      <c r="K1564" s="345">
        <v>0</v>
      </c>
      <c r="L1564" s="347" t="s">
        <v>2454</v>
      </c>
      <c r="M1564" s="347"/>
      <c r="N1564" s="347" t="s">
        <v>4446</v>
      </c>
      <c r="O1564" s="347" t="s">
        <v>4441</v>
      </c>
      <c r="P1564" s="347"/>
      <c r="Q1564" s="347"/>
      <c r="R1564" s="347"/>
      <c r="S1564" s="348">
        <v>38432</v>
      </c>
      <c r="T1564" s="348">
        <v>38432</v>
      </c>
      <c r="U1564" s="347">
        <v>52111002</v>
      </c>
      <c r="V1564" s="345">
        <v>700</v>
      </c>
      <c r="W1564" s="345">
        <v>14050</v>
      </c>
      <c r="X1564" s="349">
        <v>28592.639999999999</v>
      </c>
      <c r="Y1564" s="345">
        <v>14056</v>
      </c>
      <c r="Z1564" s="349">
        <v>28592.639999999999</v>
      </c>
      <c r="AA1564" s="349">
        <f t="shared" si="108"/>
        <v>0</v>
      </c>
      <c r="AB1564" s="349">
        <v>0</v>
      </c>
      <c r="AC1564" s="345">
        <v>54260</v>
      </c>
      <c r="AD1564" s="349">
        <v>0</v>
      </c>
      <c r="AE1564" s="345" t="s">
        <v>944</v>
      </c>
      <c r="AF1564" s="347">
        <v>0</v>
      </c>
      <c r="AG1564" s="347"/>
      <c r="AH1564" s="347" t="s">
        <v>57</v>
      </c>
      <c r="AI1564" s="347" t="s">
        <v>4442</v>
      </c>
      <c r="AJ1564" s="347" t="s">
        <v>4443</v>
      </c>
      <c r="AK1564" s="347" t="s">
        <v>4437</v>
      </c>
      <c r="AL1564" s="387">
        <v>45574</v>
      </c>
    </row>
    <row r="1565" spans="2:38" ht="15.75" outlineLevel="1">
      <c r="B1565" s="345">
        <v>2111</v>
      </c>
      <c r="C1565" s="346">
        <v>34372</v>
      </c>
      <c r="D1565" s="345" t="s">
        <v>944</v>
      </c>
      <c r="E1565" s="347" t="s">
        <v>4240</v>
      </c>
      <c r="F1565" s="343" t="s">
        <v>2484</v>
      </c>
      <c r="I1565" s="345">
        <v>620</v>
      </c>
      <c r="J1565" s="347" t="s">
        <v>3526</v>
      </c>
      <c r="K1565" s="345">
        <v>0</v>
      </c>
      <c r="L1565" s="347" t="s">
        <v>2454</v>
      </c>
      <c r="M1565" s="347"/>
      <c r="N1565" s="347" t="s">
        <v>4446</v>
      </c>
      <c r="O1565" s="347" t="s">
        <v>4441</v>
      </c>
      <c r="P1565" s="347"/>
      <c r="Q1565" s="347"/>
      <c r="R1565" s="347"/>
      <c r="S1565" s="348">
        <v>38476</v>
      </c>
      <c r="T1565" s="348">
        <v>38476</v>
      </c>
      <c r="U1565" s="347">
        <v>52111002</v>
      </c>
      <c r="V1565" s="345">
        <v>700</v>
      </c>
      <c r="W1565" s="345">
        <v>14050</v>
      </c>
      <c r="X1565" s="349">
        <v>24621.439999999999</v>
      </c>
      <c r="Y1565" s="345">
        <v>14056</v>
      </c>
      <c r="Z1565" s="349">
        <v>24621.439999999999</v>
      </c>
      <c r="AA1565" s="349">
        <f t="shared" si="108"/>
        <v>0</v>
      </c>
      <c r="AB1565" s="349">
        <v>0</v>
      </c>
      <c r="AC1565" s="345">
        <v>54260</v>
      </c>
      <c r="AD1565" s="349">
        <v>0</v>
      </c>
      <c r="AE1565" s="345" t="s">
        <v>944</v>
      </c>
      <c r="AF1565" s="347">
        <v>0</v>
      </c>
      <c r="AG1565" s="347"/>
      <c r="AH1565" s="347" t="s">
        <v>57</v>
      </c>
      <c r="AI1565" s="347" t="s">
        <v>4442</v>
      </c>
      <c r="AJ1565" s="347" t="s">
        <v>4443</v>
      </c>
      <c r="AK1565" s="347" t="s">
        <v>4437</v>
      </c>
      <c r="AL1565" s="387">
        <v>45574</v>
      </c>
    </row>
    <row r="1566" spans="2:38" ht="15.75" outlineLevel="1">
      <c r="B1566" s="345">
        <v>2111</v>
      </c>
      <c r="C1566" s="346">
        <v>34371</v>
      </c>
      <c r="D1566" s="345" t="s">
        <v>944</v>
      </c>
      <c r="E1566" s="347" t="s">
        <v>4240</v>
      </c>
      <c r="F1566" s="343" t="s">
        <v>2484</v>
      </c>
      <c r="I1566" s="345">
        <v>720</v>
      </c>
      <c r="J1566" s="347" t="s">
        <v>3528</v>
      </c>
      <c r="K1566" s="345">
        <v>0</v>
      </c>
      <c r="L1566" s="347" t="s">
        <v>2454</v>
      </c>
      <c r="M1566" s="347"/>
      <c r="N1566" s="347" t="s">
        <v>4446</v>
      </c>
      <c r="O1566" s="347" t="s">
        <v>4441</v>
      </c>
      <c r="P1566" s="347"/>
      <c r="Q1566" s="347"/>
      <c r="R1566" s="347"/>
      <c r="S1566" s="348">
        <v>38475</v>
      </c>
      <c r="T1566" s="348">
        <v>38475</v>
      </c>
      <c r="U1566" s="347">
        <v>52111002</v>
      </c>
      <c r="V1566" s="345">
        <v>700</v>
      </c>
      <c r="W1566" s="345">
        <v>14050</v>
      </c>
      <c r="X1566" s="349">
        <v>28592.639999999999</v>
      </c>
      <c r="Y1566" s="345">
        <v>14056</v>
      </c>
      <c r="Z1566" s="349">
        <v>28592.639999999999</v>
      </c>
      <c r="AA1566" s="349">
        <f t="shared" si="108"/>
        <v>0</v>
      </c>
      <c r="AB1566" s="349">
        <v>0</v>
      </c>
      <c r="AC1566" s="345">
        <v>54260</v>
      </c>
      <c r="AD1566" s="349">
        <v>0</v>
      </c>
      <c r="AE1566" s="345" t="s">
        <v>944</v>
      </c>
      <c r="AF1566" s="347">
        <v>0</v>
      </c>
      <c r="AG1566" s="347"/>
      <c r="AH1566" s="347" t="s">
        <v>57</v>
      </c>
      <c r="AI1566" s="347" t="s">
        <v>4442</v>
      </c>
      <c r="AJ1566" s="347" t="s">
        <v>4443</v>
      </c>
      <c r="AK1566" s="347" t="s">
        <v>4437</v>
      </c>
      <c r="AL1566" s="387">
        <v>45574</v>
      </c>
    </row>
    <row r="1567" spans="2:38" ht="15.75" outlineLevel="1">
      <c r="B1567" s="345">
        <v>2111</v>
      </c>
      <c r="C1567" s="346">
        <v>34370</v>
      </c>
      <c r="D1567" s="345" t="s">
        <v>944</v>
      </c>
      <c r="E1567" s="347" t="s">
        <v>4240</v>
      </c>
      <c r="F1567" s="343" t="s">
        <v>2484</v>
      </c>
      <c r="I1567" s="345">
        <v>720</v>
      </c>
      <c r="J1567" s="347" t="s">
        <v>3530</v>
      </c>
      <c r="K1567" s="345">
        <v>0</v>
      </c>
      <c r="L1567" s="347" t="s">
        <v>2454</v>
      </c>
      <c r="M1567" s="347"/>
      <c r="N1567" s="347" t="s">
        <v>4446</v>
      </c>
      <c r="O1567" s="347" t="s">
        <v>4441</v>
      </c>
      <c r="P1567" s="347"/>
      <c r="Q1567" s="347"/>
      <c r="R1567" s="347"/>
      <c r="S1567" s="348">
        <v>38425</v>
      </c>
      <c r="T1567" s="348">
        <v>38425</v>
      </c>
      <c r="U1567" s="347">
        <v>52111002</v>
      </c>
      <c r="V1567" s="345">
        <v>700</v>
      </c>
      <c r="W1567" s="345">
        <v>14050</v>
      </c>
      <c r="X1567" s="349">
        <v>28592.639999999999</v>
      </c>
      <c r="Y1567" s="345">
        <v>14056</v>
      </c>
      <c r="Z1567" s="349">
        <v>28592.639999999999</v>
      </c>
      <c r="AA1567" s="349">
        <f t="shared" si="108"/>
        <v>0</v>
      </c>
      <c r="AB1567" s="349">
        <v>0</v>
      </c>
      <c r="AC1567" s="345">
        <v>54260</v>
      </c>
      <c r="AD1567" s="349">
        <v>0</v>
      </c>
      <c r="AE1567" s="345" t="s">
        <v>944</v>
      </c>
      <c r="AF1567" s="347">
        <v>0</v>
      </c>
      <c r="AG1567" s="347"/>
      <c r="AH1567" s="347" t="s">
        <v>57</v>
      </c>
      <c r="AI1567" s="347" t="s">
        <v>4442</v>
      </c>
      <c r="AJ1567" s="347" t="s">
        <v>4443</v>
      </c>
      <c r="AK1567" s="347" t="s">
        <v>4437</v>
      </c>
      <c r="AL1567" s="387">
        <v>45574</v>
      </c>
    </row>
    <row r="1568" spans="2:38" ht="15.75" outlineLevel="1">
      <c r="B1568" s="345">
        <v>2111</v>
      </c>
      <c r="C1568" s="346">
        <v>34369</v>
      </c>
      <c r="D1568" s="345" t="s">
        <v>944</v>
      </c>
      <c r="E1568" s="347" t="s">
        <v>4240</v>
      </c>
      <c r="F1568" s="343" t="s">
        <v>2484</v>
      </c>
      <c r="I1568" s="345">
        <v>720</v>
      </c>
      <c r="J1568" s="347" t="s">
        <v>3532</v>
      </c>
      <c r="K1568" s="345">
        <v>0</v>
      </c>
      <c r="L1568" s="347" t="s">
        <v>2454</v>
      </c>
      <c r="M1568" s="347"/>
      <c r="N1568" s="347" t="s">
        <v>4446</v>
      </c>
      <c r="O1568" s="347" t="s">
        <v>4441</v>
      </c>
      <c r="P1568" s="347"/>
      <c r="Q1568" s="347"/>
      <c r="R1568" s="347"/>
      <c r="S1568" s="348">
        <v>38422</v>
      </c>
      <c r="T1568" s="348">
        <v>38422</v>
      </c>
      <c r="U1568" s="347">
        <v>52111002</v>
      </c>
      <c r="V1568" s="345">
        <v>700</v>
      </c>
      <c r="W1568" s="345">
        <v>14050</v>
      </c>
      <c r="X1568" s="349">
        <v>28592.639999999999</v>
      </c>
      <c r="Y1568" s="345">
        <v>14056</v>
      </c>
      <c r="Z1568" s="349">
        <v>28592.639999999999</v>
      </c>
      <c r="AA1568" s="349">
        <f t="shared" si="108"/>
        <v>0</v>
      </c>
      <c r="AB1568" s="349">
        <v>0</v>
      </c>
      <c r="AC1568" s="345">
        <v>54260</v>
      </c>
      <c r="AD1568" s="349">
        <v>0</v>
      </c>
      <c r="AE1568" s="345" t="s">
        <v>944</v>
      </c>
      <c r="AF1568" s="347">
        <v>0</v>
      </c>
      <c r="AG1568" s="347"/>
      <c r="AH1568" s="347" t="s">
        <v>57</v>
      </c>
      <c r="AI1568" s="347" t="s">
        <v>4442</v>
      </c>
      <c r="AJ1568" s="347" t="s">
        <v>4443</v>
      </c>
      <c r="AK1568" s="347" t="s">
        <v>4437</v>
      </c>
      <c r="AL1568" s="387">
        <v>45574</v>
      </c>
    </row>
    <row r="1569" spans="2:38" ht="15.75" outlineLevel="1">
      <c r="B1569" s="345">
        <v>2111</v>
      </c>
      <c r="C1569" s="346">
        <v>34368</v>
      </c>
      <c r="D1569" s="345" t="s">
        <v>944</v>
      </c>
      <c r="E1569" s="347" t="s">
        <v>4240</v>
      </c>
      <c r="F1569" s="343" t="s">
        <v>2484</v>
      </c>
      <c r="I1569" s="345">
        <v>720</v>
      </c>
      <c r="J1569" s="347" t="s">
        <v>3534</v>
      </c>
      <c r="K1569" s="345">
        <v>0</v>
      </c>
      <c r="L1569" s="347" t="s">
        <v>2454</v>
      </c>
      <c r="M1569" s="347"/>
      <c r="N1569" s="347" t="s">
        <v>4446</v>
      </c>
      <c r="O1569" s="347" t="s">
        <v>4441</v>
      </c>
      <c r="P1569" s="347"/>
      <c r="Q1569" s="347"/>
      <c r="R1569" s="347"/>
      <c r="S1569" s="348">
        <v>38471</v>
      </c>
      <c r="T1569" s="348">
        <v>38471</v>
      </c>
      <c r="U1569" s="347">
        <v>52111002</v>
      </c>
      <c r="V1569" s="345">
        <v>700</v>
      </c>
      <c r="W1569" s="345">
        <v>14050</v>
      </c>
      <c r="X1569" s="349">
        <v>28592.639999999999</v>
      </c>
      <c r="Y1569" s="345">
        <v>14056</v>
      </c>
      <c r="Z1569" s="349">
        <v>28592.639999999999</v>
      </c>
      <c r="AA1569" s="349">
        <f t="shared" si="108"/>
        <v>0</v>
      </c>
      <c r="AB1569" s="349">
        <v>0</v>
      </c>
      <c r="AC1569" s="345">
        <v>54260</v>
      </c>
      <c r="AD1569" s="349">
        <v>0</v>
      </c>
      <c r="AE1569" s="345" t="s">
        <v>944</v>
      </c>
      <c r="AF1569" s="347">
        <v>0</v>
      </c>
      <c r="AG1569" s="347"/>
      <c r="AH1569" s="347" t="s">
        <v>57</v>
      </c>
      <c r="AI1569" s="347" t="s">
        <v>4442</v>
      </c>
      <c r="AJ1569" s="347" t="s">
        <v>4443</v>
      </c>
      <c r="AK1569" s="347" t="s">
        <v>4437</v>
      </c>
      <c r="AL1569" s="387">
        <v>45574</v>
      </c>
    </row>
    <row r="1570" spans="2:38" ht="15.75" outlineLevel="1">
      <c r="B1570" s="345">
        <v>2111</v>
      </c>
      <c r="C1570" s="346">
        <v>34367</v>
      </c>
      <c r="D1570" s="345" t="s">
        <v>944</v>
      </c>
      <c r="E1570" s="347" t="s">
        <v>4240</v>
      </c>
      <c r="F1570" s="343" t="s">
        <v>2484</v>
      </c>
      <c r="I1570" s="345">
        <v>720</v>
      </c>
      <c r="J1570" s="347" t="s">
        <v>3536</v>
      </c>
      <c r="K1570" s="345">
        <v>0</v>
      </c>
      <c r="L1570" s="347" t="s">
        <v>2454</v>
      </c>
      <c r="M1570" s="347"/>
      <c r="N1570" s="347" t="s">
        <v>4446</v>
      </c>
      <c r="O1570" s="347" t="s">
        <v>4441</v>
      </c>
      <c r="P1570" s="347"/>
      <c r="Q1570" s="347"/>
      <c r="R1570" s="347"/>
      <c r="S1570" s="348">
        <v>38471</v>
      </c>
      <c r="T1570" s="348">
        <v>38471</v>
      </c>
      <c r="U1570" s="347">
        <v>52111002</v>
      </c>
      <c r="V1570" s="345">
        <v>700</v>
      </c>
      <c r="W1570" s="345">
        <v>14050</v>
      </c>
      <c r="X1570" s="349">
        <v>28592.639999999999</v>
      </c>
      <c r="Y1570" s="345">
        <v>14056</v>
      </c>
      <c r="Z1570" s="349">
        <v>28592.639999999999</v>
      </c>
      <c r="AA1570" s="349">
        <f t="shared" si="108"/>
        <v>0</v>
      </c>
      <c r="AB1570" s="349">
        <v>0</v>
      </c>
      <c r="AC1570" s="345">
        <v>54260</v>
      </c>
      <c r="AD1570" s="349">
        <v>0</v>
      </c>
      <c r="AE1570" s="345" t="s">
        <v>944</v>
      </c>
      <c r="AF1570" s="347">
        <v>0</v>
      </c>
      <c r="AG1570" s="347"/>
      <c r="AH1570" s="347" t="s">
        <v>57</v>
      </c>
      <c r="AI1570" s="347" t="s">
        <v>4442</v>
      </c>
      <c r="AJ1570" s="347" t="s">
        <v>4443</v>
      </c>
      <c r="AK1570" s="347" t="s">
        <v>4437</v>
      </c>
      <c r="AL1570" s="387">
        <v>45574</v>
      </c>
    </row>
    <row r="1571" spans="2:38" ht="15.75" outlineLevel="1">
      <c r="B1571" s="345">
        <v>2111</v>
      </c>
      <c r="C1571" s="346">
        <v>34366</v>
      </c>
      <c r="D1571" s="345" t="s">
        <v>944</v>
      </c>
      <c r="E1571" s="347" t="s">
        <v>4240</v>
      </c>
      <c r="F1571" s="343" t="s">
        <v>2484</v>
      </c>
      <c r="I1571" s="345">
        <v>720</v>
      </c>
      <c r="J1571" s="347" t="s">
        <v>3538</v>
      </c>
      <c r="K1571" s="345">
        <v>0</v>
      </c>
      <c r="L1571" s="347" t="s">
        <v>2454</v>
      </c>
      <c r="M1571" s="347"/>
      <c r="N1571" s="347" t="s">
        <v>4446</v>
      </c>
      <c r="O1571" s="347" t="s">
        <v>4441</v>
      </c>
      <c r="P1571" s="347"/>
      <c r="Q1571" s="347"/>
      <c r="R1571" s="347"/>
      <c r="S1571" s="348">
        <v>38474</v>
      </c>
      <c r="T1571" s="348">
        <v>38474</v>
      </c>
      <c r="U1571" s="347">
        <v>52111002</v>
      </c>
      <c r="V1571" s="345">
        <v>700</v>
      </c>
      <c r="W1571" s="345">
        <v>14050</v>
      </c>
      <c r="X1571" s="349">
        <v>28592.639999999999</v>
      </c>
      <c r="Y1571" s="345">
        <v>14056</v>
      </c>
      <c r="Z1571" s="349">
        <v>28592.639999999999</v>
      </c>
      <c r="AA1571" s="349">
        <f t="shared" si="108"/>
        <v>0</v>
      </c>
      <c r="AB1571" s="349">
        <v>0</v>
      </c>
      <c r="AC1571" s="345">
        <v>54260</v>
      </c>
      <c r="AD1571" s="349">
        <v>0</v>
      </c>
      <c r="AE1571" s="345" t="s">
        <v>944</v>
      </c>
      <c r="AF1571" s="347">
        <v>0</v>
      </c>
      <c r="AG1571" s="347"/>
      <c r="AH1571" s="347" t="s">
        <v>57</v>
      </c>
      <c r="AI1571" s="347" t="s">
        <v>4442</v>
      </c>
      <c r="AJ1571" s="347" t="s">
        <v>4443</v>
      </c>
      <c r="AK1571" s="347" t="s">
        <v>4437</v>
      </c>
      <c r="AL1571" s="387">
        <v>45574</v>
      </c>
    </row>
    <row r="1572" spans="2:38" ht="15.75" outlineLevel="1">
      <c r="B1572" s="345">
        <v>2111</v>
      </c>
      <c r="C1572" s="346">
        <v>34365</v>
      </c>
      <c r="D1572" s="345" t="s">
        <v>944</v>
      </c>
      <c r="E1572" s="347" t="s">
        <v>4240</v>
      </c>
      <c r="F1572" s="343" t="s">
        <v>2484</v>
      </c>
      <c r="I1572" s="345">
        <v>720</v>
      </c>
      <c r="J1572" s="347" t="s">
        <v>3540</v>
      </c>
      <c r="K1572" s="345">
        <v>0</v>
      </c>
      <c r="L1572" s="347" t="s">
        <v>2454</v>
      </c>
      <c r="M1572" s="347"/>
      <c r="N1572" s="347" t="s">
        <v>4446</v>
      </c>
      <c r="O1572" s="347" t="s">
        <v>4441</v>
      </c>
      <c r="P1572" s="347"/>
      <c r="Q1572" s="347"/>
      <c r="R1572" s="347"/>
      <c r="S1572" s="348">
        <v>38432</v>
      </c>
      <c r="T1572" s="348">
        <v>38432</v>
      </c>
      <c r="U1572" s="347">
        <v>52111002</v>
      </c>
      <c r="V1572" s="345">
        <v>700</v>
      </c>
      <c r="W1572" s="345">
        <v>14050</v>
      </c>
      <c r="X1572" s="349">
        <v>28592.639999999999</v>
      </c>
      <c r="Y1572" s="345">
        <v>14056</v>
      </c>
      <c r="Z1572" s="349">
        <v>28592.639999999999</v>
      </c>
      <c r="AA1572" s="349">
        <f t="shared" si="108"/>
        <v>0</v>
      </c>
      <c r="AB1572" s="349">
        <v>0</v>
      </c>
      <c r="AC1572" s="345">
        <v>54260</v>
      </c>
      <c r="AD1572" s="349">
        <v>0</v>
      </c>
      <c r="AE1572" s="345" t="s">
        <v>944</v>
      </c>
      <c r="AF1572" s="347">
        <v>0</v>
      </c>
      <c r="AG1572" s="347"/>
      <c r="AH1572" s="347" t="s">
        <v>57</v>
      </c>
      <c r="AI1572" s="347" t="s">
        <v>4442</v>
      </c>
      <c r="AJ1572" s="347" t="s">
        <v>4443</v>
      </c>
      <c r="AK1572" s="347" t="s">
        <v>4437</v>
      </c>
      <c r="AL1572" s="387">
        <v>45574</v>
      </c>
    </row>
    <row r="1573" spans="2:38" ht="15.75" outlineLevel="1">
      <c r="B1573" s="345">
        <v>2111</v>
      </c>
      <c r="C1573" s="346">
        <v>34364</v>
      </c>
      <c r="D1573" s="345" t="s">
        <v>944</v>
      </c>
      <c r="E1573" s="347" t="s">
        <v>4240</v>
      </c>
      <c r="F1573" s="343" t="s">
        <v>2484</v>
      </c>
      <c r="I1573" s="345">
        <v>720</v>
      </c>
      <c r="J1573" s="347" t="s">
        <v>3542</v>
      </c>
      <c r="K1573" s="345">
        <v>0</v>
      </c>
      <c r="L1573" s="347" t="s">
        <v>2454</v>
      </c>
      <c r="M1573" s="347"/>
      <c r="N1573" s="347" t="s">
        <v>4446</v>
      </c>
      <c r="O1573" s="347" t="s">
        <v>4441</v>
      </c>
      <c r="P1573" s="347"/>
      <c r="Q1573" s="347"/>
      <c r="R1573" s="347"/>
      <c r="S1573" s="348">
        <v>38429</v>
      </c>
      <c r="T1573" s="348">
        <v>38429</v>
      </c>
      <c r="U1573" s="347">
        <v>52111002</v>
      </c>
      <c r="V1573" s="345">
        <v>700</v>
      </c>
      <c r="W1573" s="345">
        <v>14050</v>
      </c>
      <c r="X1573" s="349">
        <v>28592.639999999999</v>
      </c>
      <c r="Y1573" s="345">
        <v>14056</v>
      </c>
      <c r="Z1573" s="349">
        <v>28592.639999999999</v>
      </c>
      <c r="AA1573" s="349">
        <f t="shared" ref="AA1573:AA1636" si="109">+X1573-Z1573</f>
        <v>0</v>
      </c>
      <c r="AB1573" s="349">
        <v>0</v>
      </c>
      <c r="AC1573" s="345">
        <v>54260</v>
      </c>
      <c r="AD1573" s="349">
        <v>0</v>
      </c>
      <c r="AE1573" s="345" t="s">
        <v>944</v>
      </c>
      <c r="AF1573" s="347">
        <v>0</v>
      </c>
      <c r="AG1573" s="347"/>
      <c r="AH1573" s="347" t="s">
        <v>57</v>
      </c>
      <c r="AI1573" s="347" t="s">
        <v>4442</v>
      </c>
      <c r="AJ1573" s="347" t="s">
        <v>4443</v>
      </c>
      <c r="AK1573" s="347" t="s">
        <v>4437</v>
      </c>
      <c r="AL1573" s="387">
        <v>45574</v>
      </c>
    </row>
    <row r="1574" spans="2:38" ht="15.75" outlineLevel="1">
      <c r="B1574" s="345">
        <v>2111</v>
      </c>
      <c r="C1574" s="346">
        <v>34363</v>
      </c>
      <c r="D1574" s="345" t="s">
        <v>944</v>
      </c>
      <c r="E1574" s="347" t="s">
        <v>4240</v>
      </c>
      <c r="F1574" s="343" t="s">
        <v>2484</v>
      </c>
      <c r="I1574" s="345">
        <v>720</v>
      </c>
      <c r="J1574" s="347" t="s">
        <v>3544</v>
      </c>
      <c r="K1574" s="345">
        <v>0</v>
      </c>
      <c r="L1574" s="347" t="s">
        <v>2454</v>
      </c>
      <c r="M1574" s="347"/>
      <c r="N1574" s="347" t="s">
        <v>4446</v>
      </c>
      <c r="O1574" s="347" t="s">
        <v>4441</v>
      </c>
      <c r="P1574" s="347"/>
      <c r="Q1574" s="347"/>
      <c r="R1574" s="347"/>
      <c r="S1574" s="348">
        <v>38428</v>
      </c>
      <c r="T1574" s="348">
        <v>38428</v>
      </c>
      <c r="U1574" s="347">
        <v>52111002</v>
      </c>
      <c r="V1574" s="345">
        <v>700</v>
      </c>
      <c r="W1574" s="345">
        <v>14050</v>
      </c>
      <c r="X1574" s="349">
        <v>28592.639999999999</v>
      </c>
      <c r="Y1574" s="345">
        <v>14056</v>
      </c>
      <c r="Z1574" s="349">
        <v>28592.639999999999</v>
      </c>
      <c r="AA1574" s="349">
        <f t="shared" si="109"/>
        <v>0</v>
      </c>
      <c r="AB1574" s="349">
        <v>0</v>
      </c>
      <c r="AC1574" s="345">
        <v>54260</v>
      </c>
      <c r="AD1574" s="349">
        <v>0</v>
      </c>
      <c r="AE1574" s="345" t="s">
        <v>944</v>
      </c>
      <c r="AF1574" s="347">
        <v>0</v>
      </c>
      <c r="AG1574" s="347"/>
      <c r="AH1574" s="347" t="s">
        <v>57</v>
      </c>
      <c r="AI1574" s="347" t="s">
        <v>4442</v>
      </c>
      <c r="AJ1574" s="347" t="s">
        <v>4443</v>
      </c>
      <c r="AK1574" s="347" t="s">
        <v>4437</v>
      </c>
      <c r="AL1574" s="387">
        <v>45574</v>
      </c>
    </row>
    <row r="1575" spans="2:38" ht="15.75" outlineLevel="1">
      <c r="B1575" s="345">
        <v>2111</v>
      </c>
      <c r="C1575" s="346">
        <v>34362</v>
      </c>
      <c r="D1575" s="345" t="s">
        <v>944</v>
      </c>
      <c r="E1575" s="347" t="s">
        <v>4240</v>
      </c>
      <c r="F1575" s="343" t="s">
        <v>2484</v>
      </c>
      <c r="I1575" s="345">
        <v>720</v>
      </c>
      <c r="J1575" s="347" t="s">
        <v>3546</v>
      </c>
      <c r="K1575" s="345">
        <v>0</v>
      </c>
      <c r="L1575" s="347" t="s">
        <v>2454</v>
      </c>
      <c r="M1575" s="347"/>
      <c r="N1575" s="347" t="s">
        <v>4446</v>
      </c>
      <c r="O1575" s="347" t="s">
        <v>4441</v>
      </c>
      <c r="P1575" s="347"/>
      <c r="Q1575" s="347"/>
      <c r="R1575" s="347"/>
      <c r="S1575" s="348">
        <v>38433</v>
      </c>
      <c r="T1575" s="348">
        <v>38433</v>
      </c>
      <c r="U1575" s="347">
        <v>52111002</v>
      </c>
      <c r="V1575" s="345">
        <v>700</v>
      </c>
      <c r="W1575" s="345">
        <v>14050</v>
      </c>
      <c r="X1575" s="349">
        <v>28592.639999999999</v>
      </c>
      <c r="Y1575" s="345">
        <v>14056</v>
      </c>
      <c r="Z1575" s="349">
        <v>28592.639999999999</v>
      </c>
      <c r="AA1575" s="349">
        <f t="shared" si="109"/>
        <v>0</v>
      </c>
      <c r="AB1575" s="349">
        <v>0</v>
      </c>
      <c r="AC1575" s="345">
        <v>54260</v>
      </c>
      <c r="AD1575" s="349">
        <v>0</v>
      </c>
      <c r="AE1575" s="345" t="s">
        <v>944</v>
      </c>
      <c r="AF1575" s="347">
        <v>0</v>
      </c>
      <c r="AG1575" s="347"/>
      <c r="AH1575" s="347" t="s">
        <v>57</v>
      </c>
      <c r="AI1575" s="347" t="s">
        <v>4442</v>
      </c>
      <c r="AJ1575" s="347" t="s">
        <v>4443</v>
      </c>
      <c r="AK1575" s="347" t="s">
        <v>4437</v>
      </c>
      <c r="AL1575" s="387">
        <v>45574</v>
      </c>
    </row>
    <row r="1576" spans="2:38" ht="15.75" outlineLevel="1">
      <c r="B1576" s="345">
        <v>2111</v>
      </c>
      <c r="C1576" s="346">
        <v>34361</v>
      </c>
      <c r="D1576" s="345" t="s">
        <v>944</v>
      </c>
      <c r="E1576" s="347" t="s">
        <v>4240</v>
      </c>
      <c r="F1576" s="343" t="s">
        <v>2484</v>
      </c>
      <c r="I1576" s="345">
        <v>720</v>
      </c>
      <c r="J1576" s="347" t="s">
        <v>3548</v>
      </c>
      <c r="K1576" s="345">
        <v>0</v>
      </c>
      <c r="L1576" s="347" t="s">
        <v>2454</v>
      </c>
      <c r="M1576" s="347"/>
      <c r="N1576" s="347" t="s">
        <v>4446</v>
      </c>
      <c r="O1576" s="347" t="s">
        <v>4441</v>
      </c>
      <c r="P1576" s="347"/>
      <c r="Q1576" s="347"/>
      <c r="R1576" s="347"/>
      <c r="S1576" s="348">
        <v>38429</v>
      </c>
      <c r="T1576" s="348">
        <v>38429</v>
      </c>
      <c r="U1576" s="347">
        <v>52111002</v>
      </c>
      <c r="V1576" s="345">
        <v>700</v>
      </c>
      <c r="W1576" s="345">
        <v>14050</v>
      </c>
      <c r="X1576" s="349">
        <v>28592.639999999999</v>
      </c>
      <c r="Y1576" s="345">
        <v>14056</v>
      </c>
      <c r="Z1576" s="349">
        <v>28592.639999999999</v>
      </c>
      <c r="AA1576" s="349">
        <f t="shared" si="109"/>
        <v>0</v>
      </c>
      <c r="AB1576" s="349">
        <v>0</v>
      </c>
      <c r="AC1576" s="345">
        <v>54260</v>
      </c>
      <c r="AD1576" s="349">
        <v>0</v>
      </c>
      <c r="AE1576" s="345" t="s">
        <v>944</v>
      </c>
      <c r="AF1576" s="347">
        <v>0</v>
      </c>
      <c r="AG1576" s="347"/>
      <c r="AH1576" s="347" t="s">
        <v>57</v>
      </c>
      <c r="AI1576" s="347" t="s">
        <v>4442</v>
      </c>
      <c r="AJ1576" s="347" t="s">
        <v>4443</v>
      </c>
      <c r="AK1576" s="347" t="s">
        <v>4437</v>
      </c>
      <c r="AL1576" s="387">
        <v>45574</v>
      </c>
    </row>
    <row r="1577" spans="2:38" ht="15.75" outlineLevel="1">
      <c r="B1577" s="345">
        <v>2111</v>
      </c>
      <c r="C1577" s="346">
        <v>34360</v>
      </c>
      <c r="D1577" s="345" t="s">
        <v>944</v>
      </c>
      <c r="E1577" s="347" t="s">
        <v>4240</v>
      </c>
      <c r="F1577" s="343" t="s">
        <v>2484</v>
      </c>
      <c r="I1577" s="345">
        <v>720</v>
      </c>
      <c r="J1577" s="347" t="s">
        <v>3550</v>
      </c>
      <c r="K1577" s="345">
        <v>0</v>
      </c>
      <c r="L1577" s="347" t="s">
        <v>2454</v>
      </c>
      <c r="M1577" s="347"/>
      <c r="N1577" s="347" t="s">
        <v>4446</v>
      </c>
      <c r="O1577" s="347" t="s">
        <v>4441</v>
      </c>
      <c r="P1577" s="347"/>
      <c r="Q1577" s="347"/>
      <c r="R1577" s="347"/>
      <c r="S1577" s="348">
        <v>38429</v>
      </c>
      <c r="T1577" s="348">
        <v>38429</v>
      </c>
      <c r="U1577" s="347">
        <v>52111002</v>
      </c>
      <c r="V1577" s="345">
        <v>700</v>
      </c>
      <c r="W1577" s="345">
        <v>14050</v>
      </c>
      <c r="X1577" s="349">
        <v>28592.639999999999</v>
      </c>
      <c r="Y1577" s="345">
        <v>14056</v>
      </c>
      <c r="Z1577" s="349">
        <v>28592.639999999999</v>
      </c>
      <c r="AA1577" s="349">
        <f t="shared" si="109"/>
        <v>0</v>
      </c>
      <c r="AB1577" s="349">
        <v>0</v>
      </c>
      <c r="AC1577" s="345">
        <v>54260</v>
      </c>
      <c r="AD1577" s="349">
        <v>0</v>
      </c>
      <c r="AE1577" s="345" t="s">
        <v>944</v>
      </c>
      <c r="AF1577" s="347">
        <v>0</v>
      </c>
      <c r="AG1577" s="347"/>
      <c r="AH1577" s="347" t="s">
        <v>57</v>
      </c>
      <c r="AI1577" s="347" t="s">
        <v>4442</v>
      </c>
      <c r="AJ1577" s="347" t="s">
        <v>4443</v>
      </c>
      <c r="AK1577" s="347" t="s">
        <v>4437</v>
      </c>
      <c r="AL1577" s="387">
        <v>45574</v>
      </c>
    </row>
    <row r="1578" spans="2:38" ht="15.75" outlineLevel="1">
      <c r="B1578" s="345">
        <v>2111</v>
      </c>
      <c r="C1578" s="346">
        <v>34359</v>
      </c>
      <c r="D1578" s="345" t="s">
        <v>944</v>
      </c>
      <c r="E1578" s="347" t="s">
        <v>4240</v>
      </c>
      <c r="F1578" s="343" t="s">
        <v>2484</v>
      </c>
      <c r="I1578" s="345">
        <v>720</v>
      </c>
      <c r="J1578" s="347" t="s">
        <v>3552</v>
      </c>
      <c r="K1578" s="345">
        <v>0</v>
      </c>
      <c r="L1578" s="347" t="s">
        <v>2454</v>
      </c>
      <c r="M1578" s="347"/>
      <c r="N1578" s="347" t="s">
        <v>4446</v>
      </c>
      <c r="O1578" s="347" t="s">
        <v>4441</v>
      </c>
      <c r="P1578" s="347"/>
      <c r="Q1578" s="347"/>
      <c r="R1578" s="347"/>
      <c r="S1578" s="348">
        <v>38427</v>
      </c>
      <c r="T1578" s="348">
        <v>38427</v>
      </c>
      <c r="U1578" s="347">
        <v>52111002</v>
      </c>
      <c r="V1578" s="345">
        <v>700</v>
      </c>
      <c r="W1578" s="345">
        <v>14050</v>
      </c>
      <c r="X1578" s="349">
        <v>28592.639999999999</v>
      </c>
      <c r="Y1578" s="345">
        <v>14056</v>
      </c>
      <c r="Z1578" s="349">
        <v>28592.639999999999</v>
      </c>
      <c r="AA1578" s="349">
        <f t="shared" si="109"/>
        <v>0</v>
      </c>
      <c r="AB1578" s="349">
        <v>0</v>
      </c>
      <c r="AC1578" s="345">
        <v>54260</v>
      </c>
      <c r="AD1578" s="349">
        <v>0</v>
      </c>
      <c r="AE1578" s="345" t="s">
        <v>944</v>
      </c>
      <c r="AF1578" s="347">
        <v>0</v>
      </c>
      <c r="AG1578" s="347"/>
      <c r="AH1578" s="347" t="s">
        <v>57</v>
      </c>
      <c r="AI1578" s="347" t="s">
        <v>4442</v>
      </c>
      <c r="AJ1578" s="347" t="s">
        <v>4443</v>
      </c>
      <c r="AK1578" s="347" t="s">
        <v>4437</v>
      </c>
      <c r="AL1578" s="387">
        <v>45574</v>
      </c>
    </row>
    <row r="1579" spans="2:38" ht="15.75" outlineLevel="1">
      <c r="B1579" s="345">
        <v>2111</v>
      </c>
      <c r="C1579" s="346">
        <v>34358</v>
      </c>
      <c r="D1579" s="345" t="s">
        <v>944</v>
      </c>
      <c r="E1579" s="347" t="s">
        <v>4240</v>
      </c>
      <c r="F1579" s="343" t="s">
        <v>2484</v>
      </c>
      <c r="I1579" s="345">
        <v>720</v>
      </c>
      <c r="J1579" s="347" t="s">
        <v>3554</v>
      </c>
      <c r="K1579" s="345">
        <v>0</v>
      </c>
      <c r="L1579" s="347" t="s">
        <v>2454</v>
      </c>
      <c r="M1579" s="347"/>
      <c r="N1579" s="347" t="s">
        <v>4446</v>
      </c>
      <c r="O1579" s="347" t="s">
        <v>4441</v>
      </c>
      <c r="P1579" s="347"/>
      <c r="Q1579" s="347"/>
      <c r="R1579" s="347"/>
      <c r="S1579" s="348">
        <v>38427</v>
      </c>
      <c r="T1579" s="348">
        <v>38427</v>
      </c>
      <c r="U1579" s="347">
        <v>52111002</v>
      </c>
      <c r="V1579" s="345">
        <v>700</v>
      </c>
      <c r="W1579" s="345">
        <v>14050</v>
      </c>
      <c r="X1579" s="349">
        <v>28592.639999999999</v>
      </c>
      <c r="Y1579" s="345">
        <v>14056</v>
      </c>
      <c r="Z1579" s="349">
        <v>28592.639999999999</v>
      </c>
      <c r="AA1579" s="349">
        <f t="shared" si="109"/>
        <v>0</v>
      </c>
      <c r="AB1579" s="349">
        <v>0</v>
      </c>
      <c r="AC1579" s="345">
        <v>54260</v>
      </c>
      <c r="AD1579" s="349">
        <v>0</v>
      </c>
      <c r="AE1579" s="345" t="s">
        <v>944</v>
      </c>
      <c r="AF1579" s="347">
        <v>0</v>
      </c>
      <c r="AG1579" s="347"/>
      <c r="AH1579" s="347" t="s">
        <v>57</v>
      </c>
      <c r="AI1579" s="347" t="s">
        <v>4442</v>
      </c>
      <c r="AJ1579" s="347" t="s">
        <v>4443</v>
      </c>
      <c r="AK1579" s="347" t="s">
        <v>4437</v>
      </c>
      <c r="AL1579" s="387">
        <v>45574</v>
      </c>
    </row>
    <row r="1580" spans="2:38" ht="15.75" outlineLevel="1">
      <c r="B1580" s="345">
        <v>2111</v>
      </c>
      <c r="C1580" s="346">
        <v>34357</v>
      </c>
      <c r="D1580" s="345" t="s">
        <v>944</v>
      </c>
      <c r="E1580" s="347" t="s">
        <v>4240</v>
      </c>
      <c r="F1580" s="343" t="s">
        <v>2484</v>
      </c>
      <c r="I1580" s="345">
        <v>660</v>
      </c>
      <c r="J1580" s="347" t="s">
        <v>3556</v>
      </c>
      <c r="K1580" s="345">
        <v>0</v>
      </c>
      <c r="L1580" s="347" t="s">
        <v>2454</v>
      </c>
      <c r="M1580" s="347"/>
      <c r="N1580" s="347" t="s">
        <v>4446</v>
      </c>
      <c r="O1580" s="347" t="s">
        <v>4441</v>
      </c>
      <c r="P1580" s="347"/>
      <c r="Q1580" s="347"/>
      <c r="R1580" s="347"/>
      <c r="S1580" s="348">
        <v>38394</v>
      </c>
      <c r="T1580" s="348">
        <v>38394</v>
      </c>
      <c r="U1580" s="347">
        <v>52111002</v>
      </c>
      <c r="V1580" s="345">
        <v>700</v>
      </c>
      <c r="W1580" s="345">
        <v>14050</v>
      </c>
      <c r="X1580" s="349">
        <v>26209.919999999998</v>
      </c>
      <c r="Y1580" s="345">
        <v>14056</v>
      </c>
      <c r="Z1580" s="349">
        <v>26209.919999999998</v>
      </c>
      <c r="AA1580" s="349">
        <f t="shared" si="109"/>
        <v>0</v>
      </c>
      <c r="AB1580" s="349">
        <v>0</v>
      </c>
      <c r="AC1580" s="345">
        <v>54260</v>
      </c>
      <c r="AD1580" s="349">
        <v>0</v>
      </c>
      <c r="AE1580" s="345" t="s">
        <v>944</v>
      </c>
      <c r="AF1580" s="347">
        <v>0</v>
      </c>
      <c r="AG1580" s="347"/>
      <c r="AH1580" s="347" t="s">
        <v>57</v>
      </c>
      <c r="AI1580" s="347" t="s">
        <v>4442</v>
      </c>
      <c r="AJ1580" s="347" t="s">
        <v>4443</v>
      </c>
      <c r="AK1580" s="347" t="s">
        <v>4437</v>
      </c>
      <c r="AL1580" s="387">
        <v>45574</v>
      </c>
    </row>
    <row r="1581" spans="2:38" ht="15.75" outlineLevel="1">
      <c r="B1581" s="345">
        <v>2111</v>
      </c>
      <c r="C1581" s="346">
        <v>34356</v>
      </c>
      <c r="D1581" s="345" t="s">
        <v>944</v>
      </c>
      <c r="E1581" s="347" t="s">
        <v>4240</v>
      </c>
      <c r="F1581" s="343" t="s">
        <v>2484</v>
      </c>
      <c r="I1581" s="345">
        <v>660</v>
      </c>
      <c r="J1581" s="347" t="s">
        <v>3558</v>
      </c>
      <c r="K1581" s="345">
        <v>0</v>
      </c>
      <c r="L1581" s="347" t="s">
        <v>2454</v>
      </c>
      <c r="M1581" s="347"/>
      <c r="N1581" s="347" t="s">
        <v>4446</v>
      </c>
      <c r="O1581" s="347" t="s">
        <v>4441</v>
      </c>
      <c r="P1581" s="347"/>
      <c r="Q1581" s="347"/>
      <c r="R1581" s="347"/>
      <c r="S1581" s="348">
        <v>38394</v>
      </c>
      <c r="T1581" s="348">
        <v>38394</v>
      </c>
      <c r="U1581" s="347">
        <v>52111002</v>
      </c>
      <c r="V1581" s="345">
        <v>700</v>
      </c>
      <c r="W1581" s="345">
        <v>14050</v>
      </c>
      <c r="X1581" s="349">
        <v>26209.919999999998</v>
      </c>
      <c r="Y1581" s="345">
        <v>14056</v>
      </c>
      <c r="Z1581" s="349">
        <v>26209.919999999998</v>
      </c>
      <c r="AA1581" s="349">
        <f t="shared" si="109"/>
        <v>0</v>
      </c>
      <c r="AB1581" s="349">
        <v>0</v>
      </c>
      <c r="AC1581" s="345">
        <v>54260</v>
      </c>
      <c r="AD1581" s="349">
        <v>0</v>
      </c>
      <c r="AE1581" s="345" t="s">
        <v>944</v>
      </c>
      <c r="AF1581" s="347">
        <v>0</v>
      </c>
      <c r="AG1581" s="347"/>
      <c r="AH1581" s="347" t="s">
        <v>57</v>
      </c>
      <c r="AI1581" s="347" t="s">
        <v>4442</v>
      </c>
      <c r="AJ1581" s="347" t="s">
        <v>4443</v>
      </c>
      <c r="AK1581" s="347" t="s">
        <v>4437</v>
      </c>
      <c r="AL1581" s="387">
        <v>45574</v>
      </c>
    </row>
    <row r="1582" spans="2:38" ht="15.75" outlineLevel="1">
      <c r="B1582" s="345">
        <v>2111</v>
      </c>
      <c r="C1582" s="346">
        <v>34355</v>
      </c>
      <c r="D1582" s="345" t="s">
        <v>944</v>
      </c>
      <c r="E1582" s="347" t="s">
        <v>4240</v>
      </c>
      <c r="F1582" s="343" t="s">
        <v>2484</v>
      </c>
      <c r="I1582" s="345">
        <v>660</v>
      </c>
      <c r="J1582" s="347" t="s">
        <v>3560</v>
      </c>
      <c r="K1582" s="345">
        <v>0</v>
      </c>
      <c r="L1582" s="347" t="s">
        <v>2454</v>
      </c>
      <c r="M1582" s="347"/>
      <c r="N1582" s="347" t="s">
        <v>4446</v>
      </c>
      <c r="O1582" s="347" t="s">
        <v>4441</v>
      </c>
      <c r="P1582" s="347"/>
      <c r="Q1582" s="347"/>
      <c r="R1582" s="347"/>
      <c r="S1582" s="348">
        <v>38397</v>
      </c>
      <c r="T1582" s="348">
        <v>38397</v>
      </c>
      <c r="U1582" s="347">
        <v>52111002</v>
      </c>
      <c r="V1582" s="345">
        <v>700</v>
      </c>
      <c r="W1582" s="345">
        <v>14050</v>
      </c>
      <c r="X1582" s="349">
        <v>26209.919999999998</v>
      </c>
      <c r="Y1582" s="345">
        <v>14056</v>
      </c>
      <c r="Z1582" s="349">
        <v>26209.919999999998</v>
      </c>
      <c r="AA1582" s="349">
        <f t="shared" si="109"/>
        <v>0</v>
      </c>
      <c r="AB1582" s="349">
        <v>0</v>
      </c>
      <c r="AC1582" s="345">
        <v>54260</v>
      </c>
      <c r="AD1582" s="349">
        <v>0</v>
      </c>
      <c r="AE1582" s="345" t="s">
        <v>944</v>
      </c>
      <c r="AF1582" s="347">
        <v>0</v>
      </c>
      <c r="AG1582" s="347"/>
      <c r="AH1582" s="347" t="s">
        <v>57</v>
      </c>
      <c r="AI1582" s="347" t="s">
        <v>4442</v>
      </c>
      <c r="AJ1582" s="347" t="s">
        <v>4443</v>
      </c>
      <c r="AK1582" s="347" t="s">
        <v>4437</v>
      </c>
      <c r="AL1582" s="387">
        <v>45574</v>
      </c>
    </row>
    <row r="1583" spans="2:38" ht="15.75" outlineLevel="1">
      <c r="B1583" s="345">
        <v>2111</v>
      </c>
      <c r="C1583" s="346">
        <v>32737</v>
      </c>
      <c r="D1583" s="345" t="s">
        <v>944</v>
      </c>
      <c r="E1583" s="347" t="s">
        <v>4240</v>
      </c>
      <c r="F1583" s="343" t="s">
        <v>3562</v>
      </c>
      <c r="I1583" s="345">
        <v>432</v>
      </c>
      <c r="J1583" s="347" t="s">
        <v>3563</v>
      </c>
      <c r="K1583" s="345">
        <v>0</v>
      </c>
      <c r="L1583" s="347" t="s">
        <v>2222</v>
      </c>
      <c r="M1583" s="347"/>
      <c r="N1583" s="347" t="s">
        <v>4446</v>
      </c>
      <c r="O1583" s="347" t="s">
        <v>4441</v>
      </c>
      <c r="P1583" s="347"/>
      <c r="Q1583" s="347"/>
      <c r="R1583" s="347"/>
      <c r="S1583" s="348">
        <v>38439</v>
      </c>
      <c r="T1583" s="348">
        <v>38439</v>
      </c>
      <c r="U1583" s="347">
        <v>52111004</v>
      </c>
      <c r="V1583" s="345">
        <v>700</v>
      </c>
      <c r="W1583" s="345">
        <v>14050</v>
      </c>
      <c r="X1583" s="349">
        <v>19270.66</v>
      </c>
      <c r="Y1583" s="345">
        <v>14056</v>
      </c>
      <c r="Z1583" s="349">
        <v>19270.66</v>
      </c>
      <c r="AA1583" s="349">
        <f t="shared" si="109"/>
        <v>0</v>
      </c>
      <c r="AB1583" s="349">
        <v>0</v>
      </c>
      <c r="AC1583" s="345">
        <v>54260</v>
      </c>
      <c r="AD1583" s="349">
        <v>0</v>
      </c>
      <c r="AE1583" s="345" t="s">
        <v>944</v>
      </c>
      <c r="AF1583" s="347">
        <v>0</v>
      </c>
      <c r="AG1583" s="347"/>
      <c r="AH1583" s="347" t="s">
        <v>57</v>
      </c>
      <c r="AI1583" s="347" t="s">
        <v>4442</v>
      </c>
      <c r="AJ1583" s="347" t="s">
        <v>4443</v>
      </c>
      <c r="AK1583" s="347" t="s">
        <v>4437</v>
      </c>
      <c r="AL1583" s="387">
        <v>45574</v>
      </c>
    </row>
    <row r="1584" spans="2:38" ht="15.75" outlineLevel="1">
      <c r="B1584" s="345">
        <v>2111</v>
      </c>
      <c r="C1584" s="346">
        <v>32736</v>
      </c>
      <c r="D1584" s="345" t="s">
        <v>944</v>
      </c>
      <c r="E1584" s="347" t="s">
        <v>4240</v>
      </c>
      <c r="F1584" s="343" t="s">
        <v>3562</v>
      </c>
      <c r="I1584" s="345">
        <v>432</v>
      </c>
      <c r="J1584" s="347" t="s">
        <v>3565</v>
      </c>
      <c r="K1584" s="345">
        <v>0</v>
      </c>
      <c r="L1584" s="347" t="s">
        <v>2222</v>
      </c>
      <c r="M1584" s="347"/>
      <c r="N1584" s="347" t="s">
        <v>4446</v>
      </c>
      <c r="O1584" s="347" t="s">
        <v>4441</v>
      </c>
      <c r="P1584" s="347"/>
      <c r="Q1584" s="347"/>
      <c r="R1584" s="347"/>
      <c r="S1584" s="348">
        <v>38439</v>
      </c>
      <c r="T1584" s="348">
        <v>38439</v>
      </c>
      <c r="U1584" s="347">
        <v>52111004</v>
      </c>
      <c r="V1584" s="345">
        <v>700</v>
      </c>
      <c r="W1584" s="345">
        <v>14050</v>
      </c>
      <c r="X1584" s="349">
        <v>19270.66</v>
      </c>
      <c r="Y1584" s="345">
        <v>14056</v>
      </c>
      <c r="Z1584" s="349">
        <v>19270.66</v>
      </c>
      <c r="AA1584" s="349">
        <f t="shared" si="109"/>
        <v>0</v>
      </c>
      <c r="AB1584" s="349">
        <v>0</v>
      </c>
      <c r="AC1584" s="345">
        <v>54260</v>
      </c>
      <c r="AD1584" s="349">
        <v>0</v>
      </c>
      <c r="AE1584" s="345" t="s">
        <v>944</v>
      </c>
      <c r="AF1584" s="347">
        <v>0</v>
      </c>
      <c r="AG1584" s="347"/>
      <c r="AH1584" s="347" t="s">
        <v>57</v>
      </c>
      <c r="AI1584" s="347" t="s">
        <v>4442</v>
      </c>
      <c r="AJ1584" s="347" t="s">
        <v>4443</v>
      </c>
      <c r="AK1584" s="347" t="s">
        <v>4437</v>
      </c>
      <c r="AL1584" s="387">
        <v>45574</v>
      </c>
    </row>
    <row r="1585" spans="2:38" ht="15.75" outlineLevel="1">
      <c r="B1585" s="345">
        <v>2111</v>
      </c>
      <c r="C1585" s="346">
        <v>32735</v>
      </c>
      <c r="D1585" s="345" t="s">
        <v>944</v>
      </c>
      <c r="E1585" s="347" t="s">
        <v>4240</v>
      </c>
      <c r="F1585" s="343" t="s">
        <v>3567</v>
      </c>
      <c r="I1585" s="345">
        <v>12</v>
      </c>
      <c r="J1585" s="347"/>
      <c r="K1585" s="345">
        <v>0</v>
      </c>
      <c r="L1585" s="347" t="s">
        <v>2474</v>
      </c>
      <c r="M1585" s="347"/>
      <c r="N1585" s="347" t="s">
        <v>4446</v>
      </c>
      <c r="O1585" s="347" t="s">
        <v>4441</v>
      </c>
      <c r="P1585" s="347"/>
      <c r="Q1585" s="347" t="s">
        <v>4449</v>
      </c>
      <c r="R1585" s="347" t="s">
        <v>4450</v>
      </c>
      <c r="S1585" s="348">
        <v>38439</v>
      </c>
      <c r="T1585" s="348">
        <v>38439</v>
      </c>
      <c r="U1585" s="347">
        <v>52111005</v>
      </c>
      <c r="V1585" s="345">
        <v>1200</v>
      </c>
      <c r="W1585" s="345">
        <v>14050</v>
      </c>
      <c r="X1585" s="349">
        <v>5379.07</v>
      </c>
      <c r="Y1585" s="345">
        <v>14056</v>
      </c>
      <c r="Z1585" s="349">
        <v>5379.07</v>
      </c>
      <c r="AA1585" s="349">
        <f t="shared" si="109"/>
        <v>0</v>
      </c>
      <c r="AB1585" s="349">
        <v>0</v>
      </c>
      <c r="AC1585" s="345">
        <v>54260</v>
      </c>
      <c r="AD1585" s="349">
        <v>0</v>
      </c>
      <c r="AE1585" s="345" t="s">
        <v>944</v>
      </c>
      <c r="AF1585" s="347">
        <v>0</v>
      </c>
      <c r="AG1585" s="347"/>
      <c r="AH1585" s="347" t="s">
        <v>57</v>
      </c>
      <c r="AI1585" s="347" t="s">
        <v>4442</v>
      </c>
      <c r="AJ1585" s="347" t="s">
        <v>4443</v>
      </c>
      <c r="AK1585" s="347" t="s">
        <v>4437</v>
      </c>
      <c r="AL1585" s="387">
        <v>45574</v>
      </c>
    </row>
    <row r="1586" spans="2:38" ht="15.75" outlineLevel="1">
      <c r="B1586" s="345">
        <v>2111</v>
      </c>
      <c r="C1586" s="346">
        <v>32653</v>
      </c>
      <c r="D1586" s="345">
        <v>30478</v>
      </c>
      <c r="E1586" s="347" t="s">
        <v>4240</v>
      </c>
      <c r="F1586" s="343" t="s">
        <v>3568</v>
      </c>
      <c r="I1586" s="345">
        <v>1</v>
      </c>
      <c r="J1586" s="347" t="s">
        <v>3569</v>
      </c>
      <c r="K1586" s="345">
        <v>2003</v>
      </c>
      <c r="L1586" s="347"/>
      <c r="M1586" s="347"/>
      <c r="N1586" s="347" t="s">
        <v>4445</v>
      </c>
      <c r="O1586" s="347" t="s">
        <v>4441</v>
      </c>
      <c r="P1586" s="347" t="s">
        <v>1467</v>
      </c>
      <c r="Q1586" s="347"/>
      <c r="R1586" s="347"/>
      <c r="S1586" s="348">
        <v>38435</v>
      </c>
      <c r="T1586" s="348">
        <v>38435</v>
      </c>
      <c r="U1586" s="347" t="s">
        <v>3570</v>
      </c>
      <c r="V1586" s="345">
        <v>1000</v>
      </c>
      <c r="W1586" s="345">
        <v>14040</v>
      </c>
      <c r="X1586" s="349">
        <v>3036</v>
      </c>
      <c r="Y1586" s="345">
        <v>14046</v>
      </c>
      <c r="Z1586" s="349">
        <v>3036</v>
      </c>
      <c r="AA1586" s="349">
        <f t="shared" si="109"/>
        <v>0</v>
      </c>
      <c r="AB1586" s="349">
        <v>0</v>
      </c>
      <c r="AC1586" s="345">
        <v>51260</v>
      </c>
      <c r="AD1586" s="349">
        <v>0</v>
      </c>
      <c r="AE1586" s="345" t="s">
        <v>944</v>
      </c>
      <c r="AF1586" s="347">
        <v>0</v>
      </c>
      <c r="AG1586" s="347"/>
      <c r="AH1586" s="347" t="s">
        <v>57</v>
      </c>
      <c r="AI1586" s="347" t="s">
        <v>4442</v>
      </c>
      <c r="AJ1586" s="347" t="s">
        <v>4443</v>
      </c>
      <c r="AK1586" s="347" t="s">
        <v>4437</v>
      </c>
      <c r="AL1586" s="387">
        <v>45574</v>
      </c>
    </row>
    <row r="1587" spans="2:38" ht="15.75" outlineLevel="1">
      <c r="B1587" s="345">
        <v>2111</v>
      </c>
      <c r="C1587" s="346">
        <v>32652</v>
      </c>
      <c r="D1587" s="345">
        <v>30477</v>
      </c>
      <c r="E1587" s="347" t="s">
        <v>4240</v>
      </c>
      <c r="F1587" s="343" t="s">
        <v>3568</v>
      </c>
      <c r="I1587" s="345">
        <v>1</v>
      </c>
      <c r="J1587" s="347" t="s">
        <v>3571</v>
      </c>
      <c r="K1587" s="345">
        <v>2003</v>
      </c>
      <c r="L1587" s="347"/>
      <c r="M1587" s="347"/>
      <c r="N1587" s="347" t="s">
        <v>4445</v>
      </c>
      <c r="O1587" s="347" t="s">
        <v>4441</v>
      </c>
      <c r="P1587" s="347" t="s">
        <v>1467</v>
      </c>
      <c r="Q1587" s="347"/>
      <c r="R1587" s="347"/>
      <c r="S1587" s="348">
        <v>38435</v>
      </c>
      <c r="T1587" s="348">
        <v>38435</v>
      </c>
      <c r="U1587" s="347" t="s">
        <v>3572</v>
      </c>
      <c r="V1587" s="345">
        <v>1000</v>
      </c>
      <c r="W1587" s="345">
        <v>14040</v>
      </c>
      <c r="X1587" s="349">
        <v>3124</v>
      </c>
      <c r="Y1587" s="345">
        <v>14046</v>
      </c>
      <c r="Z1587" s="349">
        <v>3124</v>
      </c>
      <c r="AA1587" s="349">
        <f t="shared" si="109"/>
        <v>0</v>
      </c>
      <c r="AB1587" s="349">
        <v>0</v>
      </c>
      <c r="AC1587" s="345">
        <v>51260</v>
      </c>
      <c r="AD1587" s="349">
        <v>0</v>
      </c>
      <c r="AE1587" s="345" t="s">
        <v>944</v>
      </c>
      <c r="AF1587" s="347">
        <v>0</v>
      </c>
      <c r="AG1587" s="347"/>
      <c r="AH1587" s="347" t="s">
        <v>57</v>
      </c>
      <c r="AI1587" s="347" t="s">
        <v>4442</v>
      </c>
      <c r="AJ1587" s="347" t="s">
        <v>4443</v>
      </c>
      <c r="AK1587" s="347" t="s">
        <v>4437</v>
      </c>
      <c r="AL1587" s="387">
        <v>45574</v>
      </c>
    </row>
    <row r="1588" spans="2:38" ht="15.75" outlineLevel="1">
      <c r="B1588" s="345">
        <v>2111</v>
      </c>
      <c r="C1588" s="346">
        <v>32126</v>
      </c>
      <c r="D1588" s="345" t="s">
        <v>944</v>
      </c>
      <c r="E1588" s="347" t="s">
        <v>4240</v>
      </c>
      <c r="F1588" s="343" t="s">
        <v>3573</v>
      </c>
      <c r="I1588" s="345">
        <v>1</v>
      </c>
      <c r="J1588" s="347" t="s">
        <v>3574</v>
      </c>
      <c r="K1588" s="345">
        <v>0</v>
      </c>
      <c r="L1588" s="347" t="s">
        <v>2550</v>
      </c>
      <c r="M1588" s="347"/>
      <c r="N1588" s="347" t="s">
        <v>4440</v>
      </c>
      <c r="O1588" s="347" t="s">
        <v>4441</v>
      </c>
      <c r="P1588" s="347"/>
      <c r="Q1588" s="347"/>
      <c r="R1588" s="347"/>
      <c r="S1588" s="348">
        <v>38412</v>
      </c>
      <c r="T1588" s="348">
        <v>38412</v>
      </c>
      <c r="U1588" s="347"/>
      <c r="V1588" s="345">
        <v>300</v>
      </c>
      <c r="W1588" s="345">
        <v>14110</v>
      </c>
      <c r="X1588" s="349">
        <v>2085</v>
      </c>
      <c r="Y1588" s="345">
        <v>14116</v>
      </c>
      <c r="Z1588" s="349">
        <v>2085</v>
      </c>
      <c r="AA1588" s="349">
        <f t="shared" si="109"/>
        <v>0</v>
      </c>
      <c r="AB1588" s="349">
        <v>0</v>
      </c>
      <c r="AC1588" s="345">
        <v>70260</v>
      </c>
      <c r="AD1588" s="349">
        <v>0</v>
      </c>
      <c r="AE1588" s="345" t="s">
        <v>944</v>
      </c>
      <c r="AF1588" s="347">
        <v>0</v>
      </c>
      <c r="AG1588" s="347"/>
      <c r="AH1588" s="347" t="s">
        <v>57</v>
      </c>
      <c r="AI1588" s="347" t="s">
        <v>4442</v>
      </c>
      <c r="AJ1588" s="347" t="s">
        <v>4443</v>
      </c>
      <c r="AK1588" s="347" t="s">
        <v>4437</v>
      </c>
      <c r="AL1588" s="387">
        <v>45574</v>
      </c>
    </row>
    <row r="1589" spans="2:38" ht="15.75" outlineLevel="1">
      <c r="B1589" s="345">
        <v>2111</v>
      </c>
      <c r="C1589" s="346">
        <v>31918</v>
      </c>
      <c r="D1589" s="345" t="s">
        <v>944</v>
      </c>
      <c r="E1589" s="347" t="s">
        <v>4240</v>
      </c>
      <c r="F1589" s="343" t="s">
        <v>2484</v>
      </c>
      <c r="I1589" s="345">
        <v>660</v>
      </c>
      <c r="J1589" s="347" t="s">
        <v>3576</v>
      </c>
      <c r="K1589" s="345">
        <v>0</v>
      </c>
      <c r="L1589" s="347" t="s">
        <v>2454</v>
      </c>
      <c r="M1589" s="347"/>
      <c r="N1589" s="347" t="s">
        <v>4446</v>
      </c>
      <c r="O1589" s="347" t="s">
        <v>4441</v>
      </c>
      <c r="P1589" s="347"/>
      <c r="Q1589" s="347"/>
      <c r="R1589" s="347"/>
      <c r="S1589" s="348">
        <v>38386</v>
      </c>
      <c r="T1589" s="348">
        <v>38386</v>
      </c>
      <c r="U1589" s="347">
        <v>52111002</v>
      </c>
      <c r="V1589" s="345">
        <v>700</v>
      </c>
      <c r="W1589" s="345">
        <v>14050</v>
      </c>
      <c r="X1589" s="349">
        <v>26209.919999999998</v>
      </c>
      <c r="Y1589" s="345">
        <v>14056</v>
      </c>
      <c r="Z1589" s="349">
        <v>26209.919999999998</v>
      </c>
      <c r="AA1589" s="349">
        <f t="shared" si="109"/>
        <v>0</v>
      </c>
      <c r="AB1589" s="349">
        <v>0</v>
      </c>
      <c r="AC1589" s="345">
        <v>54260</v>
      </c>
      <c r="AD1589" s="349">
        <v>0</v>
      </c>
      <c r="AE1589" s="345" t="s">
        <v>944</v>
      </c>
      <c r="AF1589" s="347">
        <v>0</v>
      </c>
      <c r="AG1589" s="347"/>
      <c r="AH1589" s="347" t="s">
        <v>57</v>
      </c>
      <c r="AI1589" s="347" t="s">
        <v>4442</v>
      </c>
      <c r="AJ1589" s="347" t="s">
        <v>4443</v>
      </c>
      <c r="AK1589" s="347" t="s">
        <v>4437</v>
      </c>
      <c r="AL1589" s="387">
        <v>45574</v>
      </c>
    </row>
    <row r="1590" spans="2:38" ht="15.75" outlineLevel="1">
      <c r="B1590" s="345">
        <v>2111</v>
      </c>
      <c r="C1590" s="346">
        <v>31917</v>
      </c>
      <c r="D1590" s="345" t="s">
        <v>944</v>
      </c>
      <c r="E1590" s="347" t="s">
        <v>4240</v>
      </c>
      <c r="F1590" s="343" t="s">
        <v>2484</v>
      </c>
      <c r="I1590" s="345">
        <v>660</v>
      </c>
      <c r="J1590" s="347" t="s">
        <v>3578</v>
      </c>
      <c r="K1590" s="345">
        <v>0</v>
      </c>
      <c r="L1590" s="347" t="s">
        <v>2454</v>
      </c>
      <c r="M1590" s="347"/>
      <c r="N1590" s="347" t="s">
        <v>4446</v>
      </c>
      <c r="O1590" s="347" t="s">
        <v>4441</v>
      </c>
      <c r="P1590" s="347"/>
      <c r="Q1590" s="347"/>
      <c r="R1590" s="347"/>
      <c r="S1590" s="348">
        <v>38386</v>
      </c>
      <c r="T1590" s="348">
        <v>38386</v>
      </c>
      <c r="U1590" s="347">
        <v>52111002</v>
      </c>
      <c r="V1590" s="345">
        <v>700</v>
      </c>
      <c r="W1590" s="345">
        <v>14050</v>
      </c>
      <c r="X1590" s="349">
        <v>26209.919999999998</v>
      </c>
      <c r="Y1590" s="345">
        <v>14056</v>
      </c>
      <c r="Z1590" s="349">
        <v>26209.919999999998</v>
      </c>
      <c r="AA1590" s="349">
        <f t="shared" si="109"/>
        <v>0</v>
      </c>
      <c r="AB1590" s="349">
        <v>0</v>
      </c>
      <c r="AC1590" s="345">
        <v>54260</v>
      </c>
      <c r="AD1590" s="349">
        <v>0</v>
      </c>
      <c r="AE1590" s="345" t="s">
        <v>944</v>
      </c>
      <c r="AF1590" s="347">
        <v>0</v>
      </c>
      <c r="AG1590" s="347"/>
      <c r="AH1590" s="347" t="s">
        <v>57</v>
      </c>
      <c r="AI1590" s="347" t="s">
        <v>4442</v>
      </c>
      <c r="AJ1590" s="347" t="s">
        <v>4443</v>
      </c>
      <c r="AK1590" s="347" t="s">
        <v>4437</v>
      </c>
      <c r="AL1590" s="387">
        <v>45574</v>
      </c>
    </row>
    <row r="1591" spans="2:38" ht="15.75" outlineLevel="1">
      <c r="B1591" s="345">
        <v>2111</v>
      </c>
      <c r="C1591" s="346">
        <v>31916</v>
      </c>
      <c r="D1591" s="345" t="s">
        <v>944</v>
      </c>
      <c r="E1591" s="347" t="s">
        <v>4240</v>
      </c>
      <c r="F1591" s="343" t="s">
        <v>2484</v>
      </c>
      <c r="I1591" s="345">
        <v>660</v>
      </c>
      <c r="J1591" s="347" t="s">
        <v>3580</v>
      </c>
      <c r="K1591" s="345">
        <v>0</v>
      </c>
      <c r="L1591" s="347" t="s">
        <v>2454</v>
      </c>
      <c r="M1591" s="347"/>
      <c r="N1591" s="347" t="s">
        <v>4446</v>
      </c>
      <c r="O1591" s="347" t="s">
        <v>4441</v>
      </c>
      <c r="P1591" s="347"/>
      <c r="Q1591" s="347"/>
      <c r="R1591" s="347"/>
      <c r="S1591" s="348">
        <v>38387</v>
      </c>
      <c r="T1591" s="348">
        <v>38387</v>
      </c>
      <c r="U1591" s="347">
        <v>52111002</v>
      </c>
      <c r="V1591" s="345">
        <v>700</v>
      </c>
      <c r="W1591" s="345">
        <v>14050</v>
      </c>
      <c r="X1591" s="349">
        <v>26209.919999999998</v>
      </c>
      <c r="Y1591" s="345">
        <v>14056</v>
      </c>
      <c r="Z1591" s="349">
        <v>26209.919999999998</v>
      </c>
      <c r="AA1591" s="349">
        <f t="shared" si="109"/>
        <v>0</v>
      </c>
      <c r="AB1591" s="349">
        <v>0</v>
      </c>
      <c r="AC1591" s="345">
        <v>54260</v>
      </c>
      <c r="AD1591" s="349">
        <v>0</v>
      </c>
      <c r="AE1591" s="345" t="s">
        <v>944</v>
      </c>
      <c r="AF1591" s="347">
        <v>0</v>
      </c>
      <c r="AG1591" s="347"/>
      <c r="AH1591" s="347" t="s">
        <v>57</v>
      </c>
      <c r="AI1591" s="347" t="s">
        <v>4442</v>
      </c>
      <c r="AJ1591" s="347" t="s">
        <v>4443</v>
      </c>
      <c r="AK1591" s="347" t="s">
        <v>4437</v>
      </c>
      <c r="AL1591" s="387">
        <v>45574</v>
      </c>
    </row>
    <row r="1592" spans="2:38" ht="15.75" outlineLevel="1">
      <c r="B1592" s="345">
        <v>2111</v>
      </c>
      <c r="C1592" s="346">
        <v>31915</v>
      </c>
      <c r="D1592" s="345" t="s">
        <v>944</v>
      </c>
      <c r="E1592" s="347" t="s">
        <v>4240</v>
      </c>
      <c r="F1592" s="343" t="s">
        <v>2484</v>
      </c>
      <c r="I1592" s="345">
        <v>660</v>
      </c>
      <c r="J1592" s="347" t="s">
        <v>3582</v>
      </c>
      <c r="K1592" s="345">
        <v>0</v>
      </c>
      <c r="L1592" s="347" t="s">
        <v>2454</v>
      </c>
      <c r="M1592" s="347"/>
      <c r="N1592" s="347" t="s">
        <v>4446</v>
      </c>
      <c r="O1592" s="347" t="s">
        <v>4441</v>
      </c>
      <c r="P1592" s="347"/>
      <c r="Q1592" s="347"/>
      <c r="R1592" s="347"/>
      <c r="S1592" s="348">
        <v>38387</v>
      </c>
      <c r="T1592" s="348">
        <v>38387</v>
      </c>
      <c r="U1592" s="347">
        <v>52111002</v>
      </c>
      <c r="V1592" s="345">
        <v>700</v>
      </c>
      <c r="W1592" s="345">
        <v>14050</v>
      </c>
      <c r="X1592" s="349">
        <v>26209.919999999998</v>
      </c>
      <c r="Y1592" s="345">
        <v>14056</v>
      </c>
      <c r="Z1592" s="349">
        <v>26209.919999999998</v>
      </c>
      <c r="AA1592" s="349">
        <f t="shared" si="109"/>
        <v>0</v>
      </c>
      <c r="AB1592" s="349">
        <v>0</v>
      </c>
      <c r="AC1592" s="345">
        <v>54260</v>
      </c>
      <c r="AD1592" s="349">
        <v>0</v>
      </c>
      <c r="AE1592" s="345" t="s">
        <v>944</v>
      </c>
      <c r="AF1592" s="347">
        <v>0</v>
      </c>
      <c r="AG1592" s="347"/>
      <c r="AH1592" s="347" t="s">
        <v>57</v>
      </c>
      <c r="AI1592" s="347" t="s">
        <v>4442</v>
      </c>
      <c r="AJ1592" s="347" t="s">
        <v>4443</v>
      </c>
      <c r="AK1592" s="347" t="s">
        <v>4437</v>
      </c>
      <c r="AL1592" s="387">
        <v>45574</v>
      </c>
    </row>
    <row r="1593" spans="2:38" ht="15.75" outlineLevel="1">
      <c r="B1593" s="345">
        <v>2111</v>
      </c>
      <c r="C1593" s="346">
        <v>31914</v>
      </c>
      <c r="D1593" s="345" t="s">
        <v>944</v>
      </c>
      <c r="E1593" s="347" t="s">
        <v>4240</v>
      </c>
      <c r="F1593" s="343" t="s">
        <v>2484</v>
      </c>
      <c r="I1593" s="345">
        <v>660</v>
      </c>
      <c r="J1593" s="347" t="s">
        <v>3584</v>
      </c>
      <c r="K1593" s="345">
        <v>0</v>
      </c>
      <c r="L1593" s="347" t="s">
        <v>2454</v>
      </c>
      <c r="M1593" s="347"/>
      <c r="N1593" s="347" t="s">
        <v>4446</v>
      </c>
      <c r="O1593" s="347" t="s">
        <v>4441</v>
      </c>
      <c r="P1593" s="347"/>
      <c r="Q1593" s="347"/>
      <c r="R1593" s="347"/>
      <c r="S1593" s="348">
        <v>38391</v>
      </c>
      <c r="T1593" s="348">
        <v>38391</v>
      </c>
      <c r="U1593" s="347">
        <v>52111002</v>
      </c>
      <c r="V1593" s="345">
        <v>700</v>
      </c>
      <c r="W1593" s="345">
        <v>14050</v>
      </c>
      <c r="X1593" s="349">
        <v>26209.919999999998</v>
      </c>
      <c r="Y1593" s="345">
        <v>14056</v>
      </c>
      <c r="Z1593" s="349">
        <v>26209.919999999998</v>
      </c>
      <c r="AA1593" s="349">
        <f t="shared" si="109"/>
        <v>0</v>
      </c>
      <c r="AB1593" s="349">
        <v>0</v>
      </c>
      <c r="AC1593" s="345">
        <v>54260</v>
      </c>
      <c r="AD1593" s="349">
        <v>0</v>
      </c>
      <c r="AE1593" s="345" t="s">
        <v>944</v>
      </c>
      <c r="AF1593" s="347">
        <v>0</v>
      </c>
      <c r="AG1593" s="347"/>
      <c r="AH1593" s="347" t="s">
        <v>57</v>
      </c>
      <c r="AI1593" s="347" t="s">
        <v>4442</v>
      </c>
      <c r="AJ1593" s="347" t="s">
        <v>4443</v>
      </c>
      <c r="AK1593" s="347" t="s">
        <v>4437</v>
      </c>
      <c r="AL1593" s="387">
        <v>45574</v>
      </c>
    </row>
    <row r="1594" spans="2:38" ht="15.75" outlineLevel="1">
      <c r="B1594" s="345">
        <v>2111</v>
      </c>
      <c r="C1594" s="346">
        <v>31913</v>
      </c>
      <c r="D1594" s="345" t="s">
        <v>944</v>
      </c>
      <c r="E1594" s="347" t="s">
        <v>4240</v>
      </c>
      <c r="F1594" s="343" t="s">
        <v>2484</v>
      </c>
      <c r="I1594" s="345">
        <v>660</v>
      </c>
      <c r="J1594" s="347" t="s">
        <v>3586</v>
      </c>
      <c r="K1594" s="345">
        <v>0</v>
      </c>
      <c r="L1594" s="347" t="s">
        <v>2454</v>
      </c>
      <c r="M1594" s="347"/>
      <c r="N1594" s="347" t="s">
        <v>4446</v>
      </c>
      <c r="O1594" s="347" t="s">
        <v>4441</v>
      </c>
      <c r="P1594" s="347"/>
      <c r="Q1594" s="347"/>
      <c r="R1594" s="347"/>
      <c r="S1594" s="348">
        <v>38391</v>
      </c>
      <c r="T1594" s="348">
        <v>38391</v>
      </c>
      <c r="U1594" s="347">
        <v>52111002</v>
      </c>
      <c r="V1594" s="345">
        <v>700</v>
      </c>
      <c r="W1594" s="345">
        <v>14050</v>
      </c>
      <c r="X1594" s="349">
        <v>26209.919999999998</v>
      </c>
      <c r="Y1594" s="345">
        <v>14056</v>
      </c>
      <c r="Z1594" s="349">
        <v>26209.919999999998</v>
      </c>
      <c r="AA1594" s="349">
        <f t="shared" si="109"/>
        <v>0</v>
      </c>
      <c r="AB1594" s="349">
        <v>0</v>
      </c>
      <c r="AC1594" s="345">
        <v>54260</v>
      </c>
      <c r="AD1594" s="349">
        <v>0</v>
      </c>
      <c r="AE1594" s="345" t="s">
        <v>944</v>
      </c>
      <c r="AF1594" s="347">
        <v>0</v>
      </c>
      <c r="AG1594" s="347"/>
      <c r="AH1594" s="347" t="s">
        <v>57</v>
      </c>
      <c r="AI1594" s="347" t="s">
        <v>4442</v>
      </c>
      <c r="AJ1594" s="347" t="s">
        <v>4443</v>
      </c>
      <c r="AK1594" s="347" t="s">
        <v>4437</v>
      </c>
      <c r="AL1594" s="387">
        <v>45574</v>
      </c>
    </row>
    <row r="1595" spans="2:38" ht="15.75" outlineLevel="1">
      <c r="B1595" s="345">
        <v>2111</v>
      </c>
      <c r="C1595" s="346">
        <v>31912</v>
      </c>
      <c r="D1595" s="345" t="s">
        <v>944</v>
      </c>
      <c r="E1595" s="347" t="s">
        <v>4240</v>
      </c>
      <c r="F1595" s="343" t="s">
        <v>2484</v>
      </c>
      <c r="I1595" s="345">
        <v>660</v>
      </c>
      <c r="J1595" s="347" t="s">
        <v>3588</v>
      </c>
      <c r="K1595" s="345">
        <v>0</v>
      </c>
      <c r="L1595" s="347" t="s">
        <v>2454</v>
      </c>
      <c r="M1595" s="347"/>
      <c r="N1595" s="347" t="s">
        <v>4446</v>
      </c>
      <c r="O1595" s="347" t="s">
        <v>4441</v>
      </c>
      <c r="P1595" s="347"/>
      <c r="Q1595" s="347"/>
      <c r="R1595" s="347"/>
      <c r="S1595" s="348">
        <v>38390</v>
      </c>
      <c r="T1595" s="348">
        <v>38390</v>
      </c>
      <c r="U1595" s="347">
        <v>52111002</v>
      </c>
      <c r="V1595" s="345">
        <v>700</v>
      </c>
      <c r="W1595" s="345">
        <v>14050</v>
      </c>
      <c r="X1595" s="349">
        <v>26209.919999999998</v>
      </c>
      <c r="Y1595" s="345">
        <v>14056</v>
      </c>
      <c r="Z1595" s="349">
        <v>26209.919999999998</v>
      </c>
      <c r="AA1595" s="349">
        <f t="shared" si="109"/>
        <v>0</v>
      </c>
      <c r="AB1595" s="349">
        <v>0</v>
      </c>
      <c r="AC1595" s="345">
        <v>54260</v>
      </c>
      <c r="AD1595" s="349">
        <v>0</v>
      </c>
      <c r="AE1595" s="345" t="s">
        <v>944</v>
      </c>
      <c r="AF1595" s="347">
        <v>0</v>
      </c>
      <c r="AG1595" s="347"/>
      <c r="AH1595" s="347" t="s">
        <v>57</v>
      </c>
      <c r="AI1595" s="347" t="s">
        <v>4442</v>
      </c>
      <c r="AJ1595" s="347" t="s">
        <v>4443</v>
      </c>
      <c r="AK1595" s="347" t="s">
        <v>4437</v>
      </c>
      <c r="AL1595" s="387">
        <v>45574</v>
      </c>
    </row>
    <row r="1596" spans="2:38" ht="15.75" outlineLevel="1">
      <c r="B1596" s="345">
        <v>2111</v>
      </c>
      <c r="C1596" s="346">
        <v>31911</v>
      </c>
      <c r="D1596" s="345" t="s">
        <v>944</v>
      </c>
      <c r="E1596" s="347" t="s">
        <v>4240</v>
      </c>
      <c r="F1596" s="343" t="s">
        <v>2484</v>
      </c>
      <c r="I1596" s="345">
        <v>660</v>
      </c>
      <c r="J1596" s="347" t="s">
        <v>3590</v>
      </c>
      <c r="K1596" s="345">
        <v>0</v>
      </c>
      <c r="L1596" s="347" t="s">
        <v>2454</v>
      </c>
      <c r="M1596" s="347"/>
      <c r="N1596" s="347" t="s">
        <v>4446</v>
      </c>
      <c r="O1596" s="347" t="s">
        <v>4441</v>
      </c>
      <c r="P1596" s="347"/>
      <c r="Q1596" s="347"/>
      <c r="R1596" s="347"/>
      <c r="S1596" s="348">
        <v>38392</v>
      </c>
      <c r="T1596" s="348">
        <v>38392</v>
      </c>
      <c r="U1596" s="347">
        <v>52111002</v>
      </c>
      <c r="V1596" s="345">
        <v>700</v>
      </c>
      <c r="W1596" s="345">
        <v>14050</v>
      </c>
      <c r="X1596" s="349">
        <v>26209.919999999998</v>
      </c>
      <c r="Y1596" s="345">
        <v>14056</v>
      </c>
      <c r="Z1596" s="349">
        <v>26209.919999999998</v>
      </c>
      <c r="AA1596" s="349">
        <f t="shared" si="109"/>
        <v>0</v>
      </c>
      <c r="AB1596" s="349">
        <v>0</v>
      </c>
      <c r="AC1596" s="345">
        <v>54260</v>
      </c>
      <c r="AD1596" s="349">
        <v>0</v>
      </c>
      <c r="AE1596" s="345" t="s">
        <v>944</v>
      </c>
      <c r="AF1596" s="347">
        <v>0</v>
      </c>
      <c r="AG1596" s="347"/>
      <c r="AH1596" s="347" t="s">
        <v>57</v>
      </c>
      <c r="AI1596" s="347" t="s">
        <v>4442</v>
      </c>
      <c r="AJ1596" s="347" t="s">
        <v>4443</v>
      </c>
      <c r="AK1596" s="347" t="s">
        <v>4437</v>
      </c>
      <c r="AL1596" s="387">
        <v>45574</v>
      </c>
    </row>
    <row r="1597" spans="2:38" ht="15.75" outlineLevel="1">
      <c r="B1597" s="345">
        <v>2111</v>
      </c>
      <c r="C1597" s="346">
        <v>31406</v>
      </c>
      <c r="D1597" s="345" t="s">
        <v>944</v>
      </c>
      <c r="E1597" s="347" t="s">
        <v>4240</v>
      </c>
      <c r="F1597" s="343" t="s">
        <v>2484</v>
      </c>
      <c r="I1597" s="345">
        <v>660</v>
      </c>
      <c r="J1597" s="347" t="s">
        <v>3592</v>
      </c>
      <c r="K1597" s="345">
        <v>0</v>
      </c>
      <c r="L1597" s="347" t="s">
        <v>2454</v>
      </c>
      <c r="M1597" s="347"/>
      <c r="N1597" s="347" t="s">
        <v>4446</v>
      </c>
      <c r="O1597" s="347" t="s">
        <v>4441</v>
      </c>
      <c r="P1597" s="347"/>
      <c r="Q1597" s="347"/>
      <c r="R1597" s="347"/>
      <c r="S1597" s="348">
        <v>38364</v>
      </c>
      <c r="T1597" s="348">
        <v>38364</v>
      </c>
      <c r="U1597" s="347">
        <v>52111002</v>
      </c>
      <c r="V1597" s="345">
        <v>700</v>
      </c>
      <c r="W1597" s="345">
        <v>14050</v>
      </c>
      <c r="X1597" s="349">
        <v>26209.919999999998</v>
      </c>
      <c r="Y1597" s="345">
        <v>14056</v>
      </c>
      <c r="Z1597" s="349">
        <v>26209.919999999998</v>
      </c>
      <c r="AA1597" s="349">
        <f t="shared" si="109"/>
        <v>0</v>
      </c>
      <c r="AB1597" s="349">
        <v>0</v>
      </c>
      <c r="AC1597" s="345">
        <v>54260</v>
      </c>
      <c r="AD1597" s="349">
        <v>0</v>
      </c>
      <c r="AE1597" s="345" t="s">
        <v>944</v>
      </c>
      <c r="AF1597" s="347">
        <v>0</v>
      </c>
      <c r="AG1597" s="347"/>
      <c r="AH1597" s="347" t="s">
        <v>57</v>
      </c>
      <c r="AI1597" s="347" t="s">
        <v>4442</v>
      </c>
      <c r="AJ1597" s="347" t="s">
        <v>4443</v>
      </c>
      <c r="AK1597" s="347" t="s">
        <v>4437</v>
      </c>
      <c r="AL1597" s="387">
        <v>45574</v>
      </c>
    </row>
    <row r="1598" spans="2:38" ht="15.75" outlineLevel="1">
      <c r="B1598" s="345">
        <v>2111</v>
      </c>
      <c r="C1598" s="346">
        <v>31405</v>
      </c>
      <c r="D1598" s="345" t="s">
        <v>944</v>
      </c>
      <c r="E1598" s="347" t="s">
        <v>4240</v>
      </c>
      <c r="F1598" s="343" t="s">
        <v>2484</v>
      </c>
      <c r="I1598" s="345">
        <v>660</v>
      </c>
      <c r="J1598" s="347" t="s">
        <v>3594</v>
      </c>
      <c r="K1598" s="345">
        <v>0</v>
      </c>
      <c r="L1598" s="347" t="s">
        <v>2454</v>
      </c>
      <c r="M1598" s="347"/>
      <c r="N1598" s="347" t="s">
        <v>4446</v>
      </c>
      <c r="O1598" s="347" t="s">
        <v>4441</v>
      </c>
      <c r="P1598" s="347"/>
      <c r="Q1598" s="347"/>
      <c r="R1598" s="347"/>
      <c r="S1598" s="348">
        <v>38364</v>
      </c>
      <c r="T1598" s="348">
        <v>38364</v>
      </c>
      <c r="U1598" s="347">
        <v>52111002</v>
      </c>
      <c r="V1598" s="345">
        <v>700</v>
      </c>
      <c r="W1598" s="345">
        <v>14050</v>
      </c>
      <c r="X1598" s="349">
        <v>26209.919999999998</v>
      </c>
      <c r="Y1598" s="345">
        <v>14056</v>
      </c>
      <c r="Z1598" s="349">
        <v>26209.919999999998</v>
      </c>
      <c r="AA1598" s="349">
        <f t="shared" si="109"/>
        <v>0</v>
      </c>
      <c r="AB1598" s="349">
        <v>0</v>
      </c>
      <c r="AC1598" s="345">
        <v>54260</v>
      </c>
      <c r="AD1598" s="349">
        <v>0</v>
      </c>
      <c r="AE1598" s="345" t="s">
        <v>944</v>
      </c>
      <c r="AF1598" s="347">
        <v>0</v>
      </c>
      <c r="AG1598" s="347"/>
      <c r="AH1598" s="347" t="s">
        <v>57</v>
      </c>
      <c r="AI1598" s="347" t="s">
        <v>4442</v>
      </c>
      <c r="AJ1598" s="347" t="s">
        <v>4443</v>
      </c>
      <c r="AK1598" s="347" t="s">
        <v>4437</v>
      </c>
      <c r="AL1598" s="387">
        <v>45574</v>
      </c>
    </row>
    <row r="1599" spans="2:38" ht="15.75" outlineLevel="1">
      <c r="B1599" s="345">
        <v>2111</v>
      </c>
      <c r="C1599" s="346">
        <v>31404</v>
      </c>
      <c r="D1599" s="345" t="s">
        <v>944</v>
      </c>
      <c r="E1599" s="347" t="s">
        <v>4240</v>
      </c>
      <c r="F1599" s="343" t="s">
        <v>2484</v>
      </c>
      <c r="I1599" s="345">
        <v>660</v>
      </c>
      <c r="J1599" s="347" t="s">
        <v>3596</v>
      </c>
      <c r="K1599" s="345">
        <v>0</v>
      </c>
      <c r="L1599" s="347" t="s">
        <v>2454</v>
      </c>
      <c r="M1599" s="347"/>
      <c r="N1599" s="347" t="s">
        <v>4446</v>
      </c>
      <c r="O1599" s="347" t="s">
        <v>4441</v>
      </c>
      <c r="P1599" s="347"/>
      <c r="Q1599" s="347"/>
      <c r="R1599" s="347"/>
      <c r="S1599" s="348">
        <v>38370</v>
      </c>
      <c r="T1599" s="348">
        <v>38370</v>
      </c>
      <c r="U1599" s="347">
        <v>52111002</v>
      </c>
      <c r="V1599" s="345">
        <v>700</v>
      </c>
      <c r="W1599" s="345">
        <v>14050</v>
      </c>
      <c r="X1599" s="349">
        <v>26209.919999999998</v>
      </c>
      <c r="Y1599" s="345">
        <v>14056</v>
      </c>
      <c r="Z1599" s="349">
        <v>26209.919999999998</v>
      </c>
      <c r="AA1599" s="349">
        <f t="shared" si="109"/>
        <v>0</v>
      </c>
      <c r="AB1599" s="349">
        <v>0</v>
      </c>
      <c r="AC1599" s="345">
        <v>54260</v>
      </c>
      <c r="AD1599" s="349">
        <v>0</v>
      </c>
      <c r="AE1599" s="345" t="s">
        <v>944</v>
      </c>
      <c r="AF1599" s="347">
        <v>0</v>
      </c>
      <c r="AG1599" s="347"/>
      <c r="AH1599" s="347" t="s">
        <v>57</v>
      </c>
      <c r="AI1599" s="347" t="s">
        <v>4442</v>
      </c>
      <c r="AJ1599" s="347" t="s">
        <v>4443</v>
      </c>
      <c r="AK1599" s="347" t="s">
        <v>4437</v>
      </c>
      <c r="AL1599" s="387">
        <v>45574</v>
      </c>
    </row>
    <row r="1600" spans="2:38" ht="15.75" outlineLevel="1">
      <c r="B1600" s="345">
        <v>2111</v>
      </c>
      <c r="C1600" s="346">
        <v>31403</v>
      </c>
      <c r="D1600" s="345" t="s">
        <v>944</v>
      </c>
      <c r="E1600" s="347" t="s">
        <v>4240</v>
      </c>
      <c r="F1600" s="343" t="s">
        <v>2484</v>
      </c>
      <c r="I1600" s="345">
        <v>660</v>
      </c>
      <c r="J1600" s="347" t="s">
        <v>3598</v>
      </c>
      <c r="K1600" s="345">
        <v>0</v>
      </c>
      <c r="L1600" s="347" t="s">
        <v>2454</v>
      </c>
      <c r="M1600" s="347"/>
      <c r="N1600" s="347" t="s">
        <v>4446</v>
      </c>
      <c r="O1600" s="347" t="s">
        <v>4441</v>
      </c>
      <c r="P1600" s="347"/>
      <c r="Q1600" s="347"/>
      <c r="R1600" s="347"/>
      <c r="S1600" s="348">
        <v>38369</v>
      </c>
      <c r="T1600" s="348">
        <v>38369</v>
      </c>
      <c r="U1600" s="347">
        <v>52111002</v>
      </c>
      <c r="V1600" s="345">
        <v>700</v>
      </c>
      <c r="W1600" s="345">
        <v>14050</v>
      </c>
      <c r="X1600" s="349">
        <v>26209.919999999998</v>
      </c>
      <c r="Y1600" s="345">
        <v>14056</v>
      </c>
      <c r="Z1600" s="349">
        <v>26209.919999999998</v>
      </c>
      <c r="AA1600" s="349">
        <f t="shared" si="109"/>
        <v>0</v>
      </c>
      <c r="AB1600" s="349">
        <v>0</v>
      </c>
      <c r="AC1600" s="345">
        <v>54260</v>
      </c>
      <c r="AD1600" s="349">
        <v>0</v>
      </c>
      <c r="AE1600" s="345" t="s">
        <v>944</v>
      </c>
      <c r="AF1600" s="347">
        <v>0</v>
      </c>
      <c r="AG1600" s="347"/>
      <c r="AH1600" s="347" t="s">
        <v>57</v>
      </c>
      <c r="AI1600" s="347" t="s">
        <v>4442</v>
      </c>
      <c r="AJ1600" s="347" t="s">
        <v>4443</v>
      </c>
      <c r="AK1600" s="347" t="s">
        <v>4437</v>
      </c>
      <c r="AL1600" s="387">
        <v>45574</v>
      </c>
    </row>
    <row r="1601" spans="2:38" ht="15.75" outlineLevel="1">
      <c r="B1601" s="345">
        <v>2111</v>
      </c>
      <c r="C1601" s="346">
        <v>31402</v>
      </c>
      <c r="D1601" s="345" t="s">
        <v>944</v>
      </c>
      <c r="E1601" s="347" t="s">
        <v>4240</v>
      </c>
      <c r="F1601" s="343" t="s">
        <v>2484</v>
      </c>
      <c r="I1601" s="345">
        <v>660</v>
      </c>
      <c r="J1601" s="347" t="s">
        <v>3600</v>
      </c>
      <c r="K1601" s="345">
        <v>0</v>
      </c>
      <c r="L1601" s="347" t="s">
        <v>2454</v>
      </c>
      <c r="M1601" s="347"/>
      <c r="N1601" s="347" t="s">
        <v>4446</v>
      </c>
      <c r="O1601" s="347" t="s">
        <v>4441</v>
      </c>
      <c r="P1601" s="347"/>
      <c r="Q1601" s="347"/>
      <c r="R1601" s="347"/>
      <c r="S1601" s="348">
        <v>38369</v>
      </c>
      <c r="T1601" s="348">
        <v>38369</v>
      </c>
      <c r="U1601" s="347">
        <v>52111002</v>
      </c>
      <c r="V1601" s="345">
        <v>700</v>
      </c>
      <c r="W1601" s="345">
        <v>14050</v>
      </c>
      <c r="X1601" s="349">
        <v>26209.919999999998</v>
      </c>
      <c r="Y1601" s="345">
        <v>14056</v>
      </c>
      <c r="Z1601" s="349">
        <v>26209.919999999998</v>
      </c>
      <c r="AA1601" s="349">
        <f t="shared" si="109"/>
        <v>0</v>
      </c>
      <c r="AB1601" s="349">
        <v>0</v>
      </c>
      <c r="AC1601" s="345">
        <v>54260</v>
      </c>
      <c r="AD1601" s="349">
        <v>0</v>
      </c>
      <c r="AE1601" s="345" t="s">
        <v>944</v>
      </c>
      <c r="AF1601" s="347">
        <v>0</v>
      </c>
      <c r="AG1601" s="347"/>
      <c r="AH1601" s="347" t="s">
        <v>57</v>
      </c>
      <c r="AI1601" s="347" t="s">
        <v>4442</v>
      </c>
      <c r="AJ1601" s="347" t="s">
        <v>4443</v>
      </c>
      <c r="AK1601" s="347" t="s">
        <v>4437</v>
      </c>
      <c r="AL1601" s="387">
        <v>45574</v>
      </c>
    </row>
    <row r="1602" spans="2:38" ht="15.75" outlineLevel="1">
      <c r="B1602" s="345">
        <v>2111</v>
      </c>
      <c r="C1602" s="346">
        <v>31401</v>
      </c>
      <c r="D1602" s="345" t="s">
        <v>944</v>
      </c>
      <c r="E1602" s="347" t="s">
        <v>4240</v>
      </c>
      <c r="F1602" s="343" t="s">
        <v>2484</v>
      </c>
      <c r="I1602" s="345">
        <v>660</v>
      </c>
      <c r="J1602" s="347" t="s">
        <v>3602</v>
      </c>
      <c r="K1602" s="345">
        <v>0</v>
      </c>
      <c r="L1602" s="347" t="s">
        <v>2454</v>
      </c>
      <c r="M1602" s="347"/>
      <c r="N1602" s="347" t="s">
        <v>4446</v>
      </c>
      <c r="O1602" s="347" t="s">
        <v>4441</v>
      </c>
      <c r="P1602" s="347"/>
      <c r="Q1602" s="347"/>
      <c r="R1602" s="347"/>
      <c r="S1602" s="348">
        <v>38370</v>
      </c>
      <c r="T1602" s="348">
        <v>38370</v>
      </c>
      <c r="U1602" s="347">
        <v>52111002</v>
      </c>
      <c r="V1602" s="345">
        <v>700</v>
      </c>
      <c r="W1602" s="345">
        <v>14050</v>
      </c>
      <c r="X1602" s="349">
        <v>26209.919999999998</v>
      </c>
      <c r="Y1602" s="345">
        <v>14056</v>
      </c>
      <c r="Z1602" s="349">
        <v>26209.919999999998</v>
      </c>
      <c r="AA1602" s="349">
        <f t="shared" si="109"/>
        <v>0</v>
      </c>
      <c r="AB1602" s="349">
        <v>0</v>
      </c>
      <c r="AC1602" s="345">
        <v>54260</v>
      </c>
      <c r="AD1602" s="349">
        <v>0</v>
      </c>
      <c r="AE1602" s="345" t="s">
        <v>944</v>
      </c>
      <c r="AF1602" s="347">
        <v>0</v>
      </c>
      <c r="AG1602" s="347"/>
      <c r="AH1602" s="347" t="s">
        <v>57</v>
      </c>
      <c r="AI1602" s="347" t="s">
        <v>4442</v>
      </c>
      <c r="AJ1602" s="347" t="s">
        <v>4443</v>
      </c>
      <c r="AK1602" s="347" t="s">
        <v>4437</v>
      </c>
      <c r="AL1602" s="387">
        <v>45574</v>
      </c>
    </row>
    <row r="1603" spans="2:38" ht="15.75" outlineLevel="1">
      <c r="B1603" s="345">
        <v>2111</v>
      </c>
      <c r="C1603" s="346">
        <v>31400</v>
      </c>
      <c r="D1603" s="345" t="s">
        <v>944</v>
      </c>
      <c r="E1603" s="347" t="s">
        <v>4240</v>
      </c>
      <c r="F1603" s="343" t="s">
        <v>2484</v>
      </c>
      <c r="I1603" s="345">
        <v>660</v>
      </c>
      <c r="J1603" s="347" t="s">
        <v>3604</v>
      </c>
      <c r="K1603" s="345">
        <v>0</v>
      </c>
      <c r="L1603" s="347" t="s">
        <v>2454</v>
      </c>
      <c r="M1603" s="347"/>
      <c r="N1603" s="347" t="s">
        <v>4446</v>
      </c>
      <c r="O1603" s="347" t="s">
        <v>4441</v>
      </c>
      <c r="P1603" s="347"/>
      <c r="Q1603" s="347"/>
      <c r="R1603" s="347"/>
      <c r="S1603" s="348">
        <v>38366</v>
      </c>
      <c r="T1603" s="348">
        <v>38366</v>
      </c>
      <c r="U1603" s="347">
        <v>52111002</v>
      </c>
      <c r="V1603" s="345">
        <v>700</v>
      </c>
      <c r="W1603" s="345">
        <v>14050</v>
      </c>
      <c r="X1603" s="349">
        <v>26209.919999999998</v>
      </c>
      <c r="Y1603" s="345">
        <v>14056</v>
      </c>
      <c r="Z1603" s="349">
        <v>26209.919999999998</v>
      </c>
      <c r="AA1603" s="349">
        <f t="shared" si="109"/>
        <v>0</v>
      </c>
      <c r="AB1603" s="349">
        <v>0</v>
      </c>
      <c r="AC1603" s="345">
        <v>54260</v>
      </c>
      <c r="AD1603" s="349">
        <v>0</v>
      </c>
      <c r="AE1603" s="345" t="s">
        <v>944</v>
      </c>
      <c r="AF1603" s="347">
        <v>0</v>
      </c>
      <c r="AG1603" s="347"/>
      <c r="AH1603" s="347" t="s">
        <v>57</v>
      </c>
      <c r="AI1603" s="347" t="s">
        <v>4442</v>
      </c>
      <c r="AJ1603" s="347" t="s">
        <v>4443</v>
      </c>
      <c r="AK1603" s="347" t="s">
        <v>4437</v>
      </c>
      <c r="AL1603" s="387">
        <v>45574</v>
      </c>
    </row>
    <row r="1604" spans="2:38" ht="15.75" outlineLevel="1">
      <c r="B1604" s="345">
        <v>2111</v>
      </c>
      <c r="C1604" s="346">
        <v>31399</v>
      </c>
      <c r="D1604" s="345" t="s">
        <v>944</v>
      </c>
      <c r="E1604" s="347" t="s">
        <v>4240</v>
      </c>
      <c r="F1604" s="343" t="s">
        <v>2484</v>
      </c>
      <c r="I1604" s="345">
        <v>660</v>
      </c>
      <c r="J1604" s="347" t="s">
        <v>3606</v>
      </c>
      <c r="K1604" s="345">
        <v>0</v>
      </c>
      <c r="L1604" s="347" t="s">
        <v>2454</v>
      </c>
      <c r="M1604" s="347"/>
      <c r="N1604" s="347" t="s">
        <v>4446</v>
      </c>
      <c r="O1604" s="347" t="s">
        <v>4441</v>
      </c>
      <c r="P1604" s="347"/>
      <c r="Q1604" s="347"/>
      <c r="R1604" s="347"/>
      <c r="S1604" s="348">
        <v>38365</v>
      </c>
      <c r="T1604" s="348">
        <v>38365</v>
      </c>
      <c r="U1604" s="347">
        <v>52111002</v>
      </c>
      <c r="V1604" s="345">
        <v>700</v>
      </c>
      <c r="W1604" s="345">
        <v>14050</v>
      </c>
      <c r="X1604" s="349">
        <v>26209.919999999998</v>
      </c>
      <c r="Y1604" s="345">
        <v>14056</v>
      </c>
      <c r="Z1604" s="349">
        <v>26209.919999999998</v>
      </c>
      <c r="AA1604" s="349">
        <f t="shared" si="109"/>
        <v>0</v>
      </c>
      <c r="AB1604" s="349">
        <v>0</v>
      </c>
      <c r="AC1604" s="345">
        <v>54260</v>
      </c>
      <c r="AD1604" s="349">
        <v>0</v>
      </c>
      <c r="AE1604" s="345" t="s">
        <v>944</v>
      </c>
      <c r="AF1604" s="347">
        <v>0</v>
      </c>
      <c r="AG1604" s="347"/>
      <c r="AH1604" s="347" t="s">
        <v>57</v>
      </c>
      <c r="AI1604" s="347" t="s">
        <v>4442</v>
      </c>
      <c r="AJ1604" s="347" t="s">
        <v>4443</v>
      </c>
      <c r="AK1604" s="347" t="s">
        <v>4437</v>
      </c>
      <c r="AL1604" s="387">
        <v>45574</v>
      </c>
    </row>
    <row r="1605" spans="2:38" ht="15.75" outlineLevel="1">
      <c r="B1605" s="345">
        <v>2111</v>
      </c>
      <c r="C1605" s="346">
        <v>31398</v>
      </c>
      <c r="D1605" s="345" t="s">
        <v>944</v>
      </c>
      <c r="E1605" s="347" t="s">
        <v>4240</v>
      </c>
      <c r="F1605" s="343" t="s">
        <v>2484</v>
      </c>
      <c r="I1605" s="345">
        <v>20</v>
      </c>
      <c r="J1605" s="347" t="s">
        <v>3608</v>
      </c>
      <c r="K1605" s="345">
        <v>0</v>
      </c>
      <c r="L1605" s="347" t="s">
        <v>2454</v>
      </c>
      <c r="M1605" s="347"/>
      <c r="N1605" s="347" t="s">
        <v>4446</v>
      </c>
      <c r="O1605" s="347" t="s">
        <v>4441</v>
      </c>
      <c r="P1605" s="347"/>
      <c r="Q1605" s="347"/>
      <c r="R1605" s="347"/>
      <c r="S1605" s="348">
        <v>38378</v>
      </c>
      <c r="T1605" s="348">
        <v>38378</v>
      </c>
      <c r="U1605" s="347">
        <v>52111002</v>
      </c>
      <c r="V1605" s="345">
        <v>700</v>
      </c>
      <c r="W1605" s="345">
        <v>14050</v>
      </c>
      <c r="X1605" s="349">
        <v>794.24</v>
      </c>
      <c r="Y1605" s="345">
        <v>14056</v>
      </c>
      <c r="Z1605" s="349">
        <v>794.24</v>
      </c>
      <c r="AA1605" s="349">
        <f t="shared" si="109"/>
        <v>0</v>
      </c>
      <c r="AB1605" s="349">
        <v>0</v>
      </c>
      <c r="AC1605" s="345">
        <v>54260</v>
      </c>
      <c r="AD1605" s="349">
        <v>0</v>
      </c>
      <c r="AE1605" s="345" t="s">
        <v>944</v>
      </c>
      <c r="AF1605" s="347">
        <v>0</v>
      </c>
      <c r="AG1605" s="347"/>
      <c r="AH1605" s="347" t="s">
        <v>57</v>
      </c>
      <c r="AI1605" s="347" t="s">
        <v>4442</v>
      </c>
      <c r="AJ1605" s="347" t="s">
        <v>4443</v>
      </c>
      <c r="AK1605" s="347" t="s">
        <v>4437</v>
      </c>
      <c r="AL1605" s="387">
        <v>45574</v>
      </c>
    </row>
    <row r="1606" spans="2:38" ht="15.75" outlineLevel="1">
      <c r="B1606" s="345">
        <v>2111</v>
      </c>
      <c r="C1606" s="346">
        <v>31397</v>
      </c>
      <c r="D1606" s="345" t="s">
        <v>944</v>
      </c>
      <c r="E1606" s="347" t="s">
        <v>4240</v>
      </c>
      <c r="F1606" s="343" t="s">
        <v>2484</v>
      </c>
      <c r="I1606" s="345">
        <v>660</v>
      </c>
      <c r="J1606" s="347" t="s">
        <v>3610</v>
      </c>
      <c r="K1606" s="345">
        <v>0</v>
      </c>
      <c r="L1606" s="347" t="s">
        <v>2454</v>
      </c>
      <c r="M1606" s="347"/>
      <c r="N1606" s="347" t="s">
        <v>4446</v>
      </c>
      <c r="O1606" s="347" t="s">
        <v>4441</v>
      </c>
      <c r="P1606" s="347"/>
      <c r="Q1606" s="347"/>
      <c r="R1606" s="347"/>
      <c r="S1606" s="348">
        <v>38393</v>
      </c>
      <c r="T1606" s="348">
        <v>38393</v>
      </c>
      <c r="U1606" s="347">
        <v>52111002</v>
      </c>
      <c r="V1606" s="345">
        <v>700</v>
      </c>
      <c r="W1606" s="345">
        <v>14050</v>
      </c>
      <c r="X1606" s="349">
        <v>26209.919999999998</v>
      </c>
      <c r="Y1606" s="345">
        <v>14056</v>
      </c>
      <c r="Z1606" s="349">
        <v>26209.919999999998</v>
      </c>
      <c r="AA1606" s="349">
        <f t="shared" si="109"/>
        <v>0</v>
      </c>
      <c r="AB1606" s="349">
        <v>0</v>
      </c>
      <c r="AC1606" s="345">
        <v>54260</v>
      </c>
      <c r="AD1606" s="349">
        <v>0</v>
      </c>
      <c r="AE1606" s="345" t="s">
        <v>944</v>
      </c>
      <c r="AF1606" s="347">
        <v>0</v>
      </c>
      <c r="AG1606" s="347"/>
      <c r="AH1606" s="347" t="s">
        <v>57</v>
      </c>
      <c r="AI1606" s="347" t="s">
        <v>4442</v>
      </c>
      <c r="AJ1606" s="347" t="s">
        <v>4443</v>
      </c>
      <c r="AK1606" s="347" t="s">
        <v>4437</v>
      </c>
      <c r="AL1606" s="387">
        <v>45574</v>
      </c>
    </row>
    <row r="1607" spans="2:38" ht="15.75" outlineLevel="1">
      <c r="B1607" s="345">
        <v>2111</v>
      </c>
      <c r="C1607" s="346">
        <v>31396</v>
      </c>
      <c r="D1607" s="345" t="s">
        <v>944</v>
      </c>
      <c r="E1607" s="347" t="s">
        <v>4240</v>
      </c>
      <c r="F1607" s="343" t="s">
        <v>2484</v>
      </c>
      <c r="I1607" s="345">
        <v>660</v>
      </c>
      <c r="J1607" s="347" t="s">
        <v>3612</v>
      </c>
      <c r="K1607" s="345">
        <v>0</v>
      </c>
      <c r="L1607" s="347" t="s">
        <v>2454</v>
      </c>
      <c r="M1607" s="347"/>
      <c r="N1607" s="347" t="s">
        <v>4446</v>
      </c>
      <c r="O1607" s="347" t="s">
        <v>4441</v>
      </c>
      <c r="P1607" s="347"/>
      <c r="Q1607" s="347"/>
      <c r="R1607" s="347"/>
      <c r="S1607" s="348">
        <v>38393</v>
      </c>
      <c r="T1607" s="348">
        <v>38393</v>
      </c>
      <c r="U1607" s="347">
        <v>52111002</v>
      </c>
      <c r="V1607" s="345">
        <v>700</v>
      </c>
      <c r="W1607" s="345">
        <v>14050</v>
      </c>
      <c r="X1607" s="349">
        <v>26209.919999999998</v>
      </c>
      <c r="Y1607" s="345">
        <v>14056</v>
      </c>
      <c r="Z1607" s="349">
        <v>26209.919999999998</v>
      </c>
      <c r="AA1607" s="349">
        <f t="shared" si="109"/>
        <v>0</v>
      </c>
      <c r="AB1607" s="349">
        <v>0</v>
      </c>
      <c r="AC1607" s="345">
        <v>54260</v>
      </c>
      <c r="AD1607" s="349">
        <v>0</v>
      </c>
      <c r="AE1607" s="345" t="s">
        <v>944</v>
      </c>
      <c r="AF1607" s="347">
        <v>0</v>
      </c>
      <c r="AG1607" s="347"/>
      <c r="AH1607" s="347" t="s">
        <v>57</v>
      </c>
      <c r="AI1607" s="347" t="s">
        <v>4442</v>
      </c>
      <c r="AJ1607" s="347" t="s">
        <v>4443</v>
      </c>
      <c r="AK1607" s="347" t="s">
        <v>4437</v>
      </c>
      <c r="AL1607" s="387">
        <v>45574</v>
      </c>
    </row>
    <row r="1608" spans="2:38" ht="15.75" outlineLevel="1">
      <c r="B1608" s="345">
        <v>2111</v>
      </c>
      <c r="C1608" s="346">
        <v>31395</v>
      </c>
      <c r="D1608" s="345" t="s">
        <v>944</v>
      </c>
      <c r="E1608" s="347" t="s">
        <v>4240</v>
      </c>
      <c r="F1608" s="343" t="s">
        <v>2484</v>
      </c>
      <c r="I1608" s="345">
        <v>660</v>
      </c>
      <c r="J1608" s="347" t="s">
        <v>3614</v>
      </c>
      <c r="K1608" s="345">
        <v>0</v>
      </c>
      <c r="L1608" s="347" t="s">
        <v>2454</v>
      </c>
      <c r="M1608" s="347"/>
      <c r="N1608" s="347" t="s">
        <v>4446</v>
      </c>
      <c r="O1608" s="347" t="s">
        <v>4441</v>
      </c>
      <c r="P1608" s="347"/>
      <c r="Q1608" s="347"/>
      <c r="R1608" s="347"/>
      <c r="S1608" s="348">
        <v>38393</v>
      </c>
      <c r="T1608" s="348">
        <v>38393</v>
      </c>
      <c r="U1608" s="347">
        <v>52111002</v>
      </c>
      <c r="V1608" s="345">
        <v>700</v>
      </c>
      <c r="W1608" s="345">
        <v>14050</v>
      </c>
      <c r="X1608" s="349">
        <v>26209.919999999998</v>
      </c>
      <c r="Y1608" s="345">
        <v>14056</v>
      </c>
      <c r="Z1608" s="349">
        <v>26209.919999999998</v>
      </c>
      <c r="AA1608" s="349">
        <f t="shared" si="109"/>
        <v>0</v>
      </c>
      <c r="AB1608" s="349">
        <v>0</v>
      </c>
      <c r="AC1608" s="345">
        <v>54260</v>
      </c>
      <c r="AD1608" s="349">
        <v>0</v>
      </c>
      <c r="AE1608" s="345" t="s">
        <v>944</v>
      </c>
      <c r="AF1608" s="347">
        <v>0</v>
      </c>
      <c r="AG1608" s="347"/>
      <c r="AH1608" s="347" t="s">
        <v>57</v>
      </c>
      <c r="AI1608" s="347" t="s">
        <v>4442</v>
      </c>
      <c r="AJ1608" s="347" t="s">
        <v>4443</v>
      </c>
      <c r="AK1608" s="347" t="s">
        <v>4437</v>
      </c>
      <c r="AL1608" s="387">
        <v>45574</v>
      </c>
    </row>
    <row r="1609" spans="2:38" ht="15.75" outlineLevel="1">
      <c r="B1609" s="345">
        <v>2111</v>
      </c>
      <c r="C1609" s="346">
        <v>31294</v>
      </c>
      <c r="D1609" s="345">
        <v>31293</v>
      </c>
      <c r="E1609" s="347" t="s">
        <v>4240</v>
      </c>
      <c r="F1609" s="343" t="s">
        <v>4470</v>
      </c>
      <c r="I1609" s="345">
        <v>735</v>
      </c>
      <c r="J1609" s="347"/>
      <c r="K1609" s="345">
        <v>0</v>
      </c>
      <c r="L1609" s="347"/>
      <c r="M1609" s="347"/>
      <c r="N1609" s="347" t="s">
        <v>4458</v>
      </c>
      <c r="O1609" s="347" t="s">
        <v>4441</v>
      </c>
      <c r="P1609" s="347" t="s">
        <v>1467</v>
      </c>
      <c r="Q1609" s="347"/>
      <c r="R1609" s="347"/>
      <c r="S1609" s="348">
        <v>36922</v>
      </c>
      <c r="T1609" s="348">
        <v>36922</v>
      </c>
      <c r="U1609" s="347"/>
      <c r="V1609" s="345">
        <v>1000</v>
      </c>
      <c r="W1609" s="345">
        <v>14030</v>
      </c>
      <c r="X1609" s="349">
        <v>0</v>
      </c>
      <c r="Y1609" s="345">
        <v>14036</v>
      </c>
      <c r="Z1609" s="349">
        <v>0</v>
      </c>
      <c r="AA1609" s="349">
        <f t="shared" si="109"/>
        <v>0</v>
      </c>
      <c r="AB1609" s="349">
        <v>0</v>
      </c>
      <c r="AC1609" s="345">
        <v>51260</v>
      </c>
      <c r="AD1609" s="349">
        <v>0</v>
      </c>
      <c r="AE1609" s="345" t="s">
        <v>410</v>
      </c>
      <c r="AF1609" s="347" t="s">
        <v>4467</v>
      </c>
      <c r="AG1609" s="347">
        <v>51</v>
      </c>
      <c r="AH1609" s="347" t="s">
        <v>57</v>
      </c>
      <c r="AI1609" s="347" t="s">
        <v>4442</v>
      </c>
      <c r="AJ1609" s="347" t="s">
        <v>4443</v>
      </c>
      <c r="AK1609" s="347" t="s">
        <v>4437</v>
      </c>
      <c r="AL1609" s="387">
        <v>45574</v>
      </c>
    </row>
    <row r="1610" spans="2:38" ht="15.75" outlineLevel="1">
      <c r="B1610" s="345">
        <v>2111</v>
      </c>
      <c r="C1610" s="346">
        <v>31293</v>
      </c>
      <c r="D1610" s="345" t="s">
        <v>944</v>
      </c>
      <c r="E1610" s="347" t="s">
        <v>4240</v>
      </c>
      <c r="F1610" s="343" t="s">
        <v>4465</v>
      </c>
      <c r="I1610" s="345">
        <v>735</v>
      </c>
      <c r="J1610" s="347" t="s">
        <v>4466</v>
      </c>
      <c r="K1610" s="345">
        <v>1992</v>
      </c>
      <c r="L1610" s="347" t="s">
        <v>2214</v>
      </c>
      <c r="M1610" s="347" t="s">
        <v>2214</v>
      </c>
      <c r="N1610" s="347" t="s">
        <v>4458</v>
      </c>
      <c r="O1610" s="347" t="s">
        <v>4441</v>
      </c>
      <c r="P1610" s="347" t="s">
        <v>1041</v>
      </c>
      <c r="Q1610" s="347"/>
      <c r="R1610" s="347"/>
      <c r="S1610" s="348">
        <v>36922</v>
      </c>
      <c r="T1610" s="348">
        <v>36922</v>
      </c>
      <c r="U1610" s="347"/>
      <c r="V1610" s="345">
        <v>1000</v>
      </c>
      <c r="W1610" s="345">
        <v>14030</v>
      </c>
      <c r="X1610" s="349">
        <v>0</v>
      </c>
      <c r="Y1610" s="345">
        <v>14036</v>
      </c>
      <c r="Z1610" s="349">
        <v>0</v>
      </c>
      <c r="AA1610" s="349">
        <f t="shared" si="109"/>
        <v>0</v>
      </c>
      <c r="AB1610" s="349">
        <v>0</v>
      </c>
      <c r="AC1610" s="345">
        <v>51260</v>
      </c>
      <c r="AD1610" s="349">
        <v>0</v>
      </c>
      <c r="AE1610" s="345" t="s">
        <v>410</v>
      </c>
      <c r="AF1610" s="347" t="s">
        <v>4467</v>
      </c>
      <c r="AG1610" s="347" t="s">
        <v>4468</v>
      </c>
      <c r="AH1610" s="347" t="s">
        <v>57</v>
      </c>
      <c r="AI1610" s="347" t="s">
        <v>4442</v>
      </c>
      <c r="AJ1610" s="347" t="s">
        <v>4443</v>
      </c>
      <c r="AK1610" s="347" t="s">
        <v>4437</v>
      </c>
      <c r="AL1610" s="387">
        <v>45574</v>
      </c>
    </row>
    <row r="1611" spans="2:38" ht="15.75" outlineLevel="1">
      <c r="B1611" s="345">
        <v>2111</v>
      </c>
      <c r="C1611" s="346">
        <v>30780</v>
      </c>
      <c r="D1611" s="345">
        <v>31293</v>
      </c>
      <c r="E1611" s="347" t="s">
        <v>4240</v>
      </c>
      <c r="F1611" s="343" t="s">
        <v>4469</v>
      </c>
      <c r="I1611" s="345">
        <v>735</v>
      </c>
      <c r="J1611" s="347"/>
      <c r="K1611" s="345">
        <v>0</v>
      </c>
      <c r="L1611" s="347"/>
      <c r="M1611" s="347"/>
      <c r="N1611" s="347" t="s">
        <v>4458</v>
      </c>
      <c r="O1611" s="347" t="s">
        <v>4441</v>
      </c>
      <c r="P1611" s="347" t="s">
        <v>1041</v>
      </c>
      <c r="Q1611" s="347"/>
      <c r="R1611" s="347"/>
      <c r="S1611" s="348">
        <v>36922</v>
      </c>
      <c r="T1611" s="348">
        <v>36922</v>
      </c>
      <c r="U1611" s="347"/>
      <c r="V1611" s="345">
        <v>500</v>
      </c>
      <c r="W1611" s="345">
        <v>14030</v>
      </c>
      <c r="X1611" s="349">
        <v>11927</v>
      </c>
      <c r="Y1611" s="345">
        <v>14036</v>
      </c>
      <c r="Z1611" s="349">
        <v>11927</v>
      </c>
      <c r="AA1611" s="349">
        <f t="shared" si="109"/>
        <v>0</v>
      </c>
      <c r="AB1611" s="349">
        <v>0</v>
      </c>
      <c r="AC1611" s="345">
        <v>51260</v>
      </c>
      <c r="AD1611" s="349">
        <v>0</v>
      </c>
      <c r="AE1611" s="345" t="s">
        <v>410</v>
      </c>
      <c r="AF1611" s="347" t="s">
        <v>4467</v>
      </c>
      <c r="AG1611" s="347" t="s">
        <v>4468</v>
      </c>
      <c r="AH1611" s="347" t="s">
        <v>57</v>
      </c>
      <c r="AI1611" s="347" t="s">
        <v>4442</v>
      </c>
      <c r="AJ1611" s="347" t="s">
        <v>4443</v>
      </c>
      <c r="AK1611" s="347" t="s">
        <v>4437</v>
      </c>
      <c r="AL1611" s="387">
        <v>45574</v>
      </c>
    </row>
    <row r="1612" spans="2:38" ht="15.75" outlineLevel="1">
      <c r="B1612" s="345">
        <v>2111</v>
      </c>
      <c r="C1612" s="346">
        <v>30500</v>
      </c>
      <c r="D1612" s="345" t="s">
        <v>944</v>
      </c>
      <c r="E1612" s="347" t="s">
        <v>4240</v>
      </c>
      <c r="F1612" s="343" t="s">
        <v>3616</v>
      </c>
      <c r="I1612" s="345">
        <v>1</v>
      </c>
      <c r="J1612" s="347" t="s">
        <v>3617</v>
      </c>
      <c r="K1612" s="345">
        <v>0</v>
      </c>
      <c r="L1612" s="347" t="s">
        <v>2550</v>
      </c>
      <c r="M1612" s="347"/>
      <c r="N1612" s="347" t="s">
        <v>4440</v>
      </c>
      <c r="O1612" s="347" t="s">
        <v>4441</v>
      </c>
      <c r="P1612" s="347"/>
      <c r="Q1612" s="347"/>
      <c r="R1612" s="347"/>
      <c r="S1612" s="348">
        <v>38358</v>
      </c>
      <c r="T1612" s="348">
        <v>38358</v>
      </c>
      <c r="U1612" s="347"/>
      <c r="V1612" s="345">
        <v>300</v>
      </c>
      <c r="W1612" s="345">
        <v>14110</v>
      </c>
      <c r="X1612" s="349">
        <v>2508</v>
      </c>
      <c r="Y1612" s="345">
        <v>14116</v>
      </c>
      <c r="Z1612" s="349">
        <v>2508</v>
      </c>
      <c r="AA1612" s="349">
        <f t="shared" si="109"/>
        <v>0</v>
      </c>
      <c r="AB1612" s="349">
        <v>0</v>
      </c>
      <c r="AC1612" s="345">
        <v>70260</v>
      </c>
      <c r="AD1612" s="349">
        <v>0</v>
      </c>
      <c r="AE1612" s="345" t="s">
        <v>944</v>
      </c>
      <c r="AF1612" s="347">
        <v>0</v>
      </c>
      <c r="AG1612" s="347"/>
      <c r="AH1612" s="347" t="s">
        <v>57</v>
      </c>
      <c r="AI1612" s="347" t="s">
        <v>4442</v>
      </c>
      <c r="AJ1612" s="347" t="s">
        <v>4443</v>
      </c>
      <c r="AK1612" s="347" t="s">
        <v>4437</v>
      </c>
      <c r="AL1612" s="387">
        <v>45574</v>
      </c>
    </row>
    <row r="1613" spans="2:38" ht="15.75" outlineLevel="1">
      <c r="B1613" s="345">
        <v>2111</v>
      </c>
      <c r="C1613" s="346">
        <v>30478</v>
      </c>
      <c r="D1613" s="345" t="s">
        <v>944</v>
      </c>
      <c r="E1613" s="347" t="s">
        <v>4240</v>
      </c>
      <c r="F1613" s="343" t="s">
        <v>3619</v>
      </c>
      <c r="I1613" s="345">
        <v>1</v>
      </c>
      <c r="J1613" s="347" t="s">
        <v>3620</v>
      </c>
      <c r="K1613" s="345">
        <v>2003</v>
      </c>
      <c r="L1613" s="347" t="s">
        <v>3621</v>
      </c>
      <c r="M1613" s="347" t="s">
        <v>3622</v>
      </c>
      <c r="N1613" s="347" t="s">
        <v>4445</v>
      </c>
      <c r="O1613" s="347" t="s">
        <v>4441</v>
      </c>
      <c r="P1613" s="347" t="s">
        <v>2077</v>
      </c>
      <c r="Q1613" s="347"/>
      <c r="R1613" s="347"/>
      <c r="S1613" s="348">
        <v>38362</v>
      </c>
      <c r="T1613" s="348">
        <v>38362</v>
      </c>
      <c r="U1613" s="347" t="s">
        <v>3570</v>
      </c>
      <c r="V1613" s="345">
        <v>1000</v>
      </c>
      <c r="W1613" s="345">
        <v>14040</v>
      </c>
      <c r="X1613" s="349">
        <v>35500</v>
      </c>
      <c r="Y1613" s="345">
        <v>14046</v>
      </c>
      <c r="Z1613" s="349">
        <v>35500</v>
      </c>
      <c r="AA1613" s="349">
        <f t="shared" si="109"/>
        <v>0</v>
      </c>
      <c r="AB1613" s="349">
        <v>0</v>
      </c>
      <c r="AC1613" s="345">
        <v>51260</v>
      </c>
      <c r="AD1613" s="349">
        <v>0</v>
      </c>
      <c r="AE1613" s="345" t="s">
        <v>944</v>
      </c>
      <c r="AF1613" s="347">
        <v>0</v>
      </c>
      <c r="AG1613" s="347" t="s">
        <v>356</v>
      </c>
      <c r="AH1613" s="347" t="s">
        <v>57</v>
      </c>
      <c r="AI1613" s="347" t="s">
        <v>4442</v>
      </c>
      <c r="AJ1613" s="347" t="s">
        <v>4443</v>
      </c>
      <c r="AK1613" s="347" t="s">
        <v>4437</v>
      </c>
      <c r="AL1613" s="387">
        <v>45574</v>
      </c>
    </row>
    <row r="1614" spans="2:38" ht="15.75" outlineLevel="1">
      <c r="B1614" s="345">
        <v>2111</v>
      </c>
      <c r="C1614" s="346">
        <v>30477</v>
      </c>
      <c r="D1614" s="345" t="s">
        <v>944</v>
      </c>
      <c r="E1614" s="347" t="s">
        <v>4240</v>
      </c>
      <c r="F1614" s="343" t="s">
        <v>3619</v>
      </c>
      <c r="I1614" s="345">
        <v>1</v>
      </c>
      <c r="J1614" s="347" t="s">
        <v>3624</v>
      </c>
      <c r="K1614" s="345">
        <v>2003</v>
      </c>
      <c r="L1614" s="347" t="s">
        <v>3621</v>
      </c>
      <c r="M1614" s="347" t="s">
        <v>3622</v>
      </c>
      <c r="N1614" s="347" t="s">
        <v>4445</v>
      </c>
      <c r="O1614" s="347" t="s">
        <v>4441</v>
      </c>
      <c r="P1614" s="347" t="s">
        <v>2077</v>
      </c>
      <c r="Q1614" s="347"/>
      <c r="R1614" s="347"/>
      <c r="S1614" s="348">
        <v>38362</v>
      </c>
      <c r="T1614" s="348">
        <v>38362</v>
      </c>
      <c r="U1614" s="347" t="s">
        <v>3572</v>
      </c>
      <c r="V1614" s="345">
        <v>1000</v>
      </c>
      <c r="W1614" s="345">
        <v>14040</v>
      </c>
      <c r="X1614" s="349">
        <v>34500</v>
      </c>
      <c r="Y1614" s="345">
        <v>14046</v>
      </c>
      <c r="Z1614" s="349">
        <v>34500</v>
      </c>
      <c r="AA1614" s="349">
        <f t="shared" si="109"/>
        <v>0</v>
      </c>
      <c r="AB1614" s="349">
        <v>0</v>
      </c>
      <c r="AC1614" s="345">
        <v>51260</v>
      </c>
      <c r="AD1614" s="349">
        <v>0</v>
      </c>
      <c r="AE1614" s="345" t="s">
        <v>944</v>
      </c>
      <c r="AF1614" s="347">
        <v>0</v>
      </c>
      <c r="AG1614" s="347" t="s">
        <v>355</v>
      </c>
      <c r="AH1614" s="347" t="s">
        <v>57</v>
      </c>
      <c r="AI1614" s="347" t="s">
        <v>4442</v>
      </c>
      <c r="AJ1614" s="347" t="s">
        <v>4443</v>
      </c>
      <c r="AK1614" s="347" t="s">
        <v>4437</v>
      </c>
      <c r="AL1614" s="387">
        <v>45574</v>
      </c>
    </row>
    <row r="1615" spans="2:38" ht="15.75" outlineLevel="1">
      <c r="B1615" s="345">
        <v>2111</v>
      </c>
      <c r="C1615" s="346">
        <v>30295</v>
      </c>
      <c r="D1615" s="345" t="s">
        <v>944</v>
      </c>
      <c r="E1615" s="347" t="s">
        <v>4240</v>
      </c>
      <c r="F1615" s="343" t="s">
        <v>2875</v>
      </c>
      <c r="I1615" s="345">
        <v>1</v>
      </c>
      <c r="J1615" s="347"/>
      <c r="K1615" s="345">
        <v>0</v>
      </c>
      <c r="L1615" s="347" t="s">
        <v>3515</v>
      </c>
      <c r="M1615" s="347"/>
      <c r="N1615" s="347" t="s">
        <v>4440</v>
      </c>
      <c r="O1615" s="347" t="s">
        <v>4441</v>
      </c>
      <c r="P1615" s="347"/>
      <c r="Q1615" s="347"/>
      <c r="R1615" s="347"/>
      <c r="S1615" s="348">
        <v>38260</v>
      </c>
      <c r="T1615" s="348">
        <v>38260</v>
      </c>
      <c r="U1615" s="347"/>
      <c r="V1615" s="345">
        <v>300</v>
      </c>
      <c r="W1615" s="345">
        <v>14110</v>
      </c>
      <c r="X1615" s="349">
        <v>5285</v>
      </c>
      <c r="Y1615" s="345">
        <v>14116</v>
      </c>
      <c r="Z1615" s="349">
        <v>5285</v>
      </c>
      <c r="AA1615" s="349">
        <f t="shared" si="109"/>
        <v>0</v>
      </c>
      <c r="AB1615" s="349">
        <v>0</v>
      </c>
      <c r="AC1615" s="345">
        <v>70260</v>
      </c>
      <c r="AD1615" s="349">
        <v>0</v>
      </c>
      <c r="AE1615" s="345" t="s">
        <v>944</v>
      </c>
      <c r="AF1615" s="347">
        <v>0</v>
      </c>
      <c r="AG1615" s="347"/>
      <c r="AH1615" s="347" t="s">
        <v>57</v>
      </c>
      <c r="AI1615" s="347" t="s">
        <v>4442</v>
      </c>
      <c r="AJ1615" s="347" t="s">
        <v>4443</v>
      </c>
      <c r="AK1615" s="347" t="s">
        <v>4437</v>
      </c>
      <c r="AL1615" s="387">
        <v>45574</v>
      </c>
    </row>
    <row r="1616" spans="2:38" ht="15.75" outlineLevel="1">
      <c r="B1616" s="345">
        <v>2111</v>
      </c>
      <c r="C1616" s="346">
        <v>29758</v>
      </c>
      <c r="D1616" s="345" t="s">
        <v>944</v>
      </c>
      <c r="E1616" s="347" t="s">
        <v>4240</v>
      </c>
      <c r="F1616" s="343" t="s">
        <v>3628</v>
      </c>
      <c r="I1616" s="345">
        <v>432</v>
      </c>
      <c r="J1616" s="347" t="s">
        <v>3629</v>
      </c>
      <c r="K1616" s="345">
        <v>0</v>
      </c>
      <c r="L1616" s="347" t="s">
        <v>2222</v>
      </c>
      <c r="M1616" s="347"/>
      <c r="N1616" s="347" t="s">
        <v>4446</v>
      </c>
      <c r="O1616" s="347" t="s">
        <v>4441</v>
      </c>
      <c r="P1616" s="347"/>
      <c r="Q1616" s="347"/>
      <c r="R1616" s="347"/>
      <c r="S1616" s="348">
        <v>38343</v>
      </c>
      <c r="T1616" s="348">
        <v>38343</v>
      </c>
      <c r="U1616" s="347"/>
      <c r="V1616" s="345">
        <v>700</v>
      </c>
      <c r="W1616" s="345">
        <v>14050</v>
      </c>
      <c r="X1616" s="349">
        <v>18330.63</v>
      </c>
      <c r="Y1616" s="345">
        <v>14056</v>
      </c>
      <c r="Z1616" s="349">
        <v>18330.63</v>
      </c>
      <c r="AA1616" s="349">
        <f t="shared" si="109"/>
        <v>0</v>
      </c>
      <c r="AB1616" s="349">
        <v>0</v>
      </c>
      <c r="AC1616" s="345">
        <v>54260</v>
      </c>
      <c r="AD1616" s="349">
        <v>0</v>
      </c>
      <c r="AE1616" s="345" t="s">
        <v>944</v>
      </c>
      <c r="AF1616" s="347">
        <v>0</v>
      </c>
      <c r="AG1616" s="347"/>
      <c r="AH1616" s="347" t="s">
        <v>57</v>
      </c>
      <c r="AI1616" s="347" t="s">
        <v>4442</v>
      </c>
      <c r="AJ1616" s="347" t="s">
        <v>4443</v>
      </c>
      <c r="AK1616" s="347" t="s">
        <v>4437</v>
      </c>
      <c r="AL1616" s="387">
        <v>45574</v>
      </c>
    </row>
    <row r="1617" spans="2:38" ht="15.75" outlineLevel="1">
      <c r="B1617" s="345">
        <v>2111</v>
      </c>
      <c r="C1617" s="346">
        <v>27467</v>
      </c>
      <c r="D1617" s="345" t="s">
        <v>944</v>
      </c>
      <c r="E1617" s="347" t="s">
        <v>4240</v>
      </c>
      <c r="F1617" s="343" t="s">
        <v>3638</v>
      </c>
      <c r="I1617" s="345">
        <v>12</v>
      </c>
      <c r="J1617" s="347"/>
      <c r="K1617" s="345">
        <v>0</v>
      </c>
      <c r="L1617" s="347" t="s">
        <v>3639</v>
      </c>
      <c r="M1617" s="347"/>
      <c r="N1617" s="347" t="s">
        <v>4446</v>
      </c>
      <c r="O1617" s="347" t="s">
        <v>4441</v>
      </c>
      <c r="P1617" s="347"/>
      <c r="Q1617" s="347" t="s">
        <v>4459</v>
      </c>
      <c r="R1617" s="347" t="s">
        <v>4450</v>
      </c>
      <c r="S1617" s="348">
        <v>38225</v>
      </c>
      <c r="T1617" s="348">
        <v>38225</v>
      </c>
      <c r="U1617" s="347">
        <v>42111006</v>
      </c>
      <c r="V1617" s="345">
        <v>1200</v>
      </c>
      <c r="W1617" s="345">
        <v>14050</v>
      </c>
      <c r="X1617" s="349">
        <v>7259.14</v>
      </c>
      <c r="Y1617" s="345">
        <v>14056</v>
      </c>
      <c r="Z1617" s="349">
        <v>7259.14</v>
      </c>
      <c r="AA1617" s="349">
        <f t="shared" si="109"/>
        <v>0</v>
      </c>
      <c r="AB1617" s="349">
        <v>0</v>
      </c>
      <c r="AC1617" s="345">
        <v>54260</v>
      </c>
      <c r="AD1617" s="349">
        <v>0</v>
      </c>
      <c r="AE1617" s="345" t="s">
        <v>944</v>
      </c>
      <c r="AF1617" s="347">
        <v>0</v>
      </c>
      <c r="AG1617" s="347"/>
      <c r="AH1617" s="347" t="s">
        <v>57</v>
      </c>
      <c r="AI1617" s="347" t="s">
        <v>4442</v>
      </c>
      <c r="AJ1617" s="347" t="s">
        <v>4443</v>
      </c>
      <c r="AK1617" s="347" t="s">
        <v>4437</v>
      </c>
      <c r="AL1617" s="387">
        <v>45574</v>
      </c>
    </row>
    <row r="1618" spans="2:38" ht="15.75" outlineLevel="1">
      <c r="B1618" s="345">
        <v>2111</v>
      </c>
      <c r="C1618" s="346">
        <v>26946</v>
      </c>
      <c r="D1618" s="345" t="s">
        <v>944</v>
      </c>
      <c r="E1618" s="347" t="s">
        <v>4240</v>
      </c>
      <c r="F1618" s="343" t="s">
        <v>3640</v>
      </c>
      <c r="I1618" s="345">
        <v>1</v>
      </c>
      <c r="J1618" s="347"/>
      <c r="K1618" s="345">
        <v>0</v>
      </c>
      <c r="L1618" s="347" t="s">
        <v>3515</v>
      </c>
      <c r="M1618" s="347"/>
      <c r="N1618" s="347" t="s">
        <v>4440</v>
      </c>
      <c r="O1618" s="347" t="s">
        <v>4441</v>
      </c>
      <c r="P1618" s="347"/>
      <c r="Q1618" s="347"/>
      <c r="R1618" s="347"/>
      <c r="S1618" s="348">
        <v>38149</v>
      </c>
      <c r="T1618" s="348">
        <v>38149</v>
      </c>
      <c r="U1618" s="347"/>
      <c r="V1618" s="345">
        <v>300</v>
      </c>
      <c r="W1618" s="345">
        <v>14110</v>
      </c>
      <c r="X1618" s="349">
        <v>2115.35</v>
      </c>
      <c r="Y1618" s="345">
        <v>14116</v>
      </c>
      <c r="Z1618" s="349">
        <v>2115.35</v>
      </c>
      <c r="AA1618" s="349">
        <f t="shared" si="109"/>
        <v>0</v>
      </c>
      <c r="AB1618" s="349">
        <v>0</v>
      </c>
      <c r="AC1618" s="345">
        <v>70260</v>
      </c>
      <c r="AD1618" s="349">
        <v>0</v>
      </c>
      <c r="AE1618" s="345" t="s">
        <v>944</v>
      </c>
      <c r="AF1618" s="347">
        <v>0</v>
      </c>
      <c r="AG1618" s="347"/>
      <c r="AH1618" s="347" t="s">
        <v>57</v>
      </c>
      <c r="AI1618" s="347" t="s">
        <v>4442</v>
      </c>
      <c r="AJ1618" s="347" t="s">
        <v>4443</v>
      </c>
      <c r="AK1618" s="347" t="s">
        <v>4437</v>
      </c>
      <c r="AL1618" s="387">
        <v>45574</v>
      </c>
    </row>
    <row r="1619" spans="2:38" ht="15.75" outlineLevel="1">
      <c r="B1619" s="345">
        <v>2111</v>
      </c>
      <c r="C1619" s="346">
        <v>26945</v>
      </c>
      <c r="D1619" s="345" t="s">
        <v>944</v>
      </c>
      <c r="E1619" s="347" t="s">
        <v>4240</v>
      </c>
      <c r="F1619" s="343" t="s">
        <v>3641</v>
      </c>
      <c r="I1619" s="345">
        <v>1</v>
      </c>
      <c r="J1619" s="347"/>
      <c r="K1619" s="345">
        <v>0</v>
      </c>
      <c r="L1619" s="347" t="s">
        <v>3515</v>
      </c>
      <c r="M1619" s="347"/>
      <c r="N1619" s="347" t="s">
        <v>4440</v>
      </c>
      <c r="O1619" s="347" t="s">
        <v>4441</v>
      </c>
      <c r="P1619" s="347"/>
      <c r="Q1619" s="347"/>
      <c r="R1619" s="347"/>
      <c r="S1619" s="348">
        <v>38149</v>
      </c>
      <c r="T1619" s="348">
        <v>38149</v>
      </c>
      <c r="U1619" s="347"/>
      <c r="V1619" s="345">
        <v>300</v>
      </c>
      <c r="W1619" s="345">
        <v>14110</v>
      </c>
      <c r="X1619" s="349">
        <v>4200</v>
      </c>
      <c r="Y1619" s="345">
        <v>14116</v>
      </c>
      <c r="Z1619" s="349">
        <v>4200</v>
      </c>
      <c r="AA1619" s="349">
        <f t="shared" si="109"/>
        <v>0</v>
      </c>
      <c r="AB1619" s="349">
        <v>0</v>
      </c>
      <c r="AC1619" s="345">
        <v>70260</v>
      </c>
      <c r="AD1619" s="349">
        <v>0</v>
      </c>
      <c r="AE1619" s="345" t="s">
        <v>944</v>
      </c>
      <c r="AF1619" s="347">
        <v>0</v>
      </c>
      <c r="AG1619" s="347"/>
      <c r="AH1619" s="347" t="s">
        <v>57</v>
      </c>
      <c r="AI1619" s="347" t="s">
        <v>4442</v>
      </c>
      <c r="AJ1619" s="347" t="s">
        <v>4443</v>
      </c>
      <c r="AK1619" s="347" t="s">
        <v>4437</v>
      </c>
      <c r="AL1619" s="387">
        <v>45574</v>
      </c>
    </row>
    <row r="1620" spans="2:38" ht="15.75" outlineLevel="1">
      <c r="B1620" s="345">
        <v>2111</v>
      </c>
      <c r="C1620" s="346">
        <v>26944</v>
      </c>
      <c r="D1620" s="345" t="s">
        <v>944</v>
      </c>
      <c r="E1620" s="347" t="s">
        <v>4240</v>
      </c>
      <c r="F1620" s="343" t="s">
        <v>3642</v>
      </c>
      <c r="I1620" s="345">
        <v>1</v>
      </c>
      <c r="J1620" s="347"/>
      <c r="K1620" s="345">
        <v>0</v>
      </c>
      <c r="L1620" s="347" t="s">
        <v>3515</v>
      </c>
      <c r="M1620" s="347"/>
      <c r="N1620" s="347" t="s">
        <v>4440</v>
      </c>
      <c r="O1620" s="347" t="s">
        <v>4441</v>
      </c>
      <c r="P1620" s="347"/>
      <c r="Q1620" s="347"/>
      <c r="R1620" s="347"/>
      <c r="S1620" s="348">
        <v>38149</v>
      </c>
      <c r="T1620" s="348">
        <v>38149</v>
      </c>
      <c r="U1620" s="347"/>
      <c r="V1620" s="345">
        <v>300</v>
      </c>
      <c r="W1620" s="345">
        <v>14110</v>
      </c>
      <c r="X1620" s="349">
        <v>4200</v>
      </c>
      <c r="Y1620" s="345">
        <v>14116</v>
      </c>
      <c r="Z1620" s="349">
        <v>4200</v>
      </c>
      <c r="AA1620" s="349">
        <f t="shared" si="109"/>
        <v>0</v>
      </c>
      <c r="AB1620" s="349">
        <v>0</v>
      </c>
      <c r="AC1620" s="345">
        <v>70260</v>
      </c>
      <c r="AD1620" s="349">
        <v>0</v>
      </c>
      <c r="AE1620" s="345" t="s">
        <v>944</v>
      </c>
      <c r="AF1620" s="347">
        <v>0</v>
      </c>
      <c r="AG1620" s="347"/>
      <c r="AH1620" s="347" t="s">
        <v>57</v>
      </c>
      <c r="AI1620" s="347" t="s">
        <v>4442</v>
      </c>
      <c r="AJ1620" s="347" t="s">
        <v>4443</v>
      </c>
      <c r="AK1620" s="347" t="s">
        <v>4437</v>
      </c>
      <c r="AL1620" s="387">
        <v>45574</v>
      </c>
    </row>
    <row r="1621" spans="2:38" ht="15.75" outlineLevel="1">
      <c r="B1621" s="345">
        <v>2111</v>
      </c>
      <c r="C1621" s="346">
        <v>26812</v>
      </c>
      <c r="D1621" s="345" t="s">
        <v>944</v>
      </c>
      <c r="E1621" s="347" t="s">
        <v>4240</v>
      </c>
      <c r="F1621" s="343" t="s">
        <v>3643</v>
      </c>
      <c r="I1621" s="345">
        <v>3</v>
      </c>
      <c r="J1621" s="347"/>
      <c r="K1621" s="345">
        <v>0</v>
      </c>
      <c r="L1621" s="347" t="s">
        <v>3644</v>
      </c>
      <c r="M1621" s="347"/>
      <c r="N1621" s="347" t="s">
        <v>4446</v>
      </c>
      <c r="O1621" s="347" t="s">
        <v>4441</v>
      </c>
      <c r="P1621" s="347"/>
      <c r="Q1621" s="347" t="s">
        <v>4464</v>
      </c>
      <c r="R1621" s="347" t="s">
        <v>4450</v>
      </c>
      <c r="S1621" s="348">
        <v>38196</v>
      </c>
      <c r="T1621" s="348">
        <v>38196</v>
      </c>
      <c r="U1621" s="347">
        <v>42111006</v>
      </c>
      <c r="V1621" s="345">
        <v>1200</v>
      </c>
      <c r="W1621" s="345">
        <v>14050</v>
      </c>
      <c r="X1621" s="349">
        <v>1870.27</v>
      </c>
      <c r="Y1621" s="345">
        <v>14056</v>
      </c>
      <c r="Z1621" s="349">
        <v>1870.27</v>
      </c>
      <c r="AA1621" s="349">
        <f t="shared" si="109"/>
        <v>0</v>
      </c>
      <c r="AB1621" s="349">
        <v>0</v>
      </c>
      <c r="AC1621" s="345">
        <v>54260</v>
      </c>
      <c r="AD1621" s="349">
        <v>0</v>
      </c>
      <c r="AE1621" s="345" t="s">
        <v>944</v>
      </c>
      <c r="AF1621" s="347">
        <v>0</v>
      </c>
      <c r="AG1621" s="347"/>
      <c r="AH1621" s="347" t="s">
        <v>57</v>
      </c>
      <c r="AI1621" s="347" t="s">
        <v>4442</v>
      </c>
      <c r="AJ1621" s="347" t="s">
        <v>4443</v>
      </c>
      <c r="AK1621" s="347" t="s">
        <v>4437</v>
      </c>
      <c r="AL1621" s="387">
        <v>45574</v>
      </c>
    </row>
    <row r="1622" spans="2:38" ht="15.75" outlineLevel="1">
      <c r="B1622" s="345">
        <v>2111</v>
      </c>
      <c r="C1622" s="346">
        <v>26298</v>
      </c>
      <c r="D1622" s="345" t="s">
        <v>944</v>
      </c>
      <c r="E1622" s="347" t="s">
        <v>4240</v>
      </c>
      <c r="F1622" s="343" t="s">
        <v>3645</v>
      </c>
      <c r="I1622" s="345">
        <v>432</v>
      </c>
      <c r="J1622" s="347" t="s">
        <v>3646</v>
      </c>
      <c r="K1622" s="345">
        <v>0</v>
      </c>
      <c r="L1622" s="347" t="s">
        <v>2222</v>
      </c>
      <c r="M1622" s="347"/>
      <c r="N1622" s="347" t="s">
        <v>4446</v>
      </c>
      <c r="O1622" s="347" t="s">
        <v>4441</v>
      </c>
      <c r="P1622" s="347"/>
      <c r="Q1622" s="347"/>
      <c r="R1622" s="347"/>
      <c r="S1622" s="348">
        <v>38170</v>
      </c>
      <c r="T1622" s="348">
        <v>38170</v>
      </c>
      <c r="U1622" s="347">
        <v>42111008</v>
      </c>
      <c r="V1622" s="345">
        <v>700</v>
      </c>
      <c r="W1622" s="345">
        <v>14050</v>
      </c>
      <c r="X1622" s="349">
        <v>18213.12</v>
      </c>
      <c r="Y1622" s="345">
        <v>14056</v>
      </c>
      <c r="Z1622" s="349">
        <v>18213.12</v>
      </c>
      <c r="AA1622" s="349">
        <f t="shared" si="109"/>
        <v>0</v>
      </c>
      <c r="AB1622" s="349">
        <v>0</v>
      </c>
      <c r="AC1622" s="345">
        <v>54260</v>
      </c>
      <c r="AD1622" s="349">
        <v>0</v>
      </c>
      <c r="AE1622" s="345" t="s">
        <v>944</v>
      </c>
      <c r="AF1622" s="347">
        <v>0</v>
      </c>
      <c r="AG1622" s="347"/>
      <c r="AH1622" s="347" t="s">
        <v>57</v>
      </c>
      <c r="AI1622" s="347" t="s">
        <v>4442</v>
      </c>
      <c r="AJ1622" s="347" t="s">
        <v>4443</v>
      </c>
      <c r="AK1622" s="347" t="s">
        <v>4437</v>
      </c>
      <c r="AL1622" s="387">
        <v>45574</v>
      </c>
    </row>
    <row r="1623" spans="2:38" ht="15.75" outlineLevel="1">
      <c r="B1623" s="345">
        <v>2111</v>
      </c>
      <c r="C1623" s="346">
        <v>25766</v>
      </c>
      <c r="D1623" s="345">
        <v>25019</v>
      </c>
      <c r="E1623" s="347" t="s">
        <v>4240</v>
      </c>
      <c r="F1623" s="343" t="s">
        <v>3648</v>
      </c>
      <c r="I1623" s="345">
        <v>1</v>
      </c>
      <c r="J1623" s="347" t="s">
        <v>3649</v>
      </c>
      <c r="K1623" s="345">
        <v>2004</v>
      </c>
      <c r="L1623" s="347"/>
      <c r="M1623" s="347"/>
      <c r="N1623" s="347" t="s">
        <v>4445</v>
      </c>
      <c r="O1623" s="347" t="s">
        <v>4441</v>
      </c>
      <c r="P1623" s="347" t="s">
        <v>1467</v>
      </c>
      <c r="Q1623" s="347"/>
      <c r="R1623" s="347"/>
      <c r="S1623" s="348">
        <v>38107</v>
      </c>
      <c r="T1623" s="348">
        <v>38107</v>
      </c>
      <c r="U1623" s="347">
        <v>42111003</v>
      </c>
      <c r="V1623" s="345">
        <v>1000</v>
      </c>
      <c r="W1623" s="345">
        <v>14040</v>
      </c>
      <c r="X1623" s="349">
        <v>32990.49</v>
      </c>
      <c r="Y1623" s="345">
        <v>14046</v>
      </c>
      <c r="Z1623" s="349">
        <v>32990.49</v>
      </c>
      <c r="AA1623" s="349">
        <f t="shared" si="109"/>
        <v>0</v>
      </c>
      <c r="AB1623" s="349">
        <v>0</v>
      </c>
      <c r="AC1623" s="345">
        <v>51260</v>
      </c>
      <c r="AD1623" s="349">
        <v>0</v>
      </c>
      <c r="AE1623" s="345" t="s">
        <v>944</v>
      </c>
      <c r="AF1623" s="347">
        <v>0</v>
      </c>
      <c r="AG1623" s="347"/>
      <c r="AH1623" s="347" t="s">
        <v>57</v>
      </c>
      <c r="AI1623" s="347" t="s">
        <v>4442</v>
      </c>
      <c r="AJ1623" s="347" t="s">
        <v>4443</v>
      </c>
      <c r="AK1623" s="347" t="s">
        <v>4437</v>
      </c>
      <c r="AL1623" s="387">
        <v>45574</v>
      </c>
    </row>
    <row r="1624" spans="2:38" ht="15.75" outlineLevel="1">
      <c r="B1624" s="345">
        <v>2111</v>
      </c>
      <c r="C1624" s="346">
        <v>25765</v>
      </c>
      <c r="D1624" s="345">
        <v>25020</v>
      </c>
      <c r="E1624" s="347" t="s">
        <v>4240</v>
      </c>
      <c r="F1624" s="343" t="s">
        <v>3648</v>
      </c>
      <c r="I1624" s="345">
        <v>1</v>
      </c>
      <c r="J1624" s="347" t="s">
        <v>3650</v>
      </c>
      <c r="K1624" s="345">
        <v>2004</v>
      </c>
      <c r="L1624" s="347"/>
      <c r="M1624" s="347"/>
      <c r="N1624" s="347" t="s">
        <v>4445</v>
      </c>
      <c r="O1624" s="347" t="s">
        <v>4441</v>
      </c>
      <c r="P1624" s="347" t="s">
        <v>1467</v>
      </c>
      <c r="Q1624" s="347"/>
      <c r="R1624" s="347"/>
      <c r="S1624" s="348">
        <v>38107</v>
      </c>
      <c r="T1624" s="348">
        <v>38107</v>
      </c>
      <c r="U1624" s="347">
        <v>42111003</v>
      </c>
      <c r="V1624" s="345">
        <v>1000</v>
      </c>
      <c r="W1624" s="345">
        <v>14040</v>
      </c>
      <c r="X1624" s="349">
        <v>32990.49</v>
      </c>
      <c r="Y1624" s="345">
        <v>14046</v>
      </c>
      <c r="Z1624" s="349">
        <v>32990.49</v>
      </c>
      <c r="AA1624" s="349">
        <f t="shared" si="109"/>
        <v>0</v>
      </c>
      <c r="AB1624" s="349">
        <v>0</v>
      </c>
      <c r="AC1624" s="345">
        <v>51260</v>
      </c>
      <c r="AD1624" s="349">
        <v>0</v>
      </c>
      <c r="AE1624" s="345" t="s">
        <v>944</v>
      </c>
      <c r="AF1624" s="347">
        <v>0</v>
      </c>
      <c r="AG1624" s="347"/>
      <c r="AH1624" s="347" t="s">
        <v>57</v>
      </c>
      <c r="AI1624" s="347" t="s">
        <v>4442</v>
      </c>
      <c r="AJ1624" s="347" t="s">
        <v>4443</v>
      </c>
      <c r="AK1624" s="347" t="s">
        <v>4437</v>
      </c>
      <c r="AL1624" s="387">
        <v>45574</v>
      </c>
    </row>
    <row r="1625" spans="2:38" ht="15.75" outlineLevel="1">
      <c r="B1625" s="345">
        <v>2111</v>
      </c>
      <c r="C1625" s="346">
        <v>25363</v>
      </c>
      <c r="D1625" s="345" t="s">
        <v>944</v>
      </c>
      <c r="E1625" s="347" t="s">
        <v>4240</v>
      </c>
      <c r="F1625" s="343" t="s">
        <v>3651</v>
      </c>
      <c r="I1625" s="345">
        <v>1</v>
      </c>
      <c r="J1625" s="347" t="s">
        <v>3652</v>
      </c>
      <c r="K1625" s="345">
        <v>2005</v>
      </c>
      <c r="L1625" s="347" t="s">
        <v>2315</v>
      </c>
      <c r="M1625" s="347" t="s">
        <v>2316</v>
      </c>
      <c r="N1625" s="347" t="s">
        <v>4445</v>
      </c>
      <c r="O1625" s="347" t="s">
        <v>4441</v>
      </c>
      <c r="P1625" s="347" t="s">
        <v>1004</v>
      </c>
      <c r="Q1625" s="347"/>
      <c r="R1625" s="347"/>
      <c r="S1625" s="348">
        <v>38133</v>
      </c>
      <c r="T1625" s="348">
        <v>38133</v>
      </c>
      <c r="U1625" s="347">
        <v>42111005</v>
      </c>
      <c r="V1625" s="345">
        <v>1000</v>
      </c>
      <c r="W1625" s="345">
        <v>14040</v>
      </c>
      <c r="X1625" s="349">
        <v>86270.65</v>
      </c>
      <c r="Y1625" s="345">
        <v>14046</v>
      </c>
      <c r="Z1625" s="349">
        <v>86270.65</v>
      </c>
      <c r="AA1625" s="349">
        <f t="shared" si="109"/>
        <v>0</v>
      </c>
      <c r="AB1625" s="349">
        <v>0</v>
      </c>
      <c r="AC1625" s="345">
        <v>51260</v>
      </c>
      <c r="AD1625" s="349">
        <v>0</v>
      </c>
      <c r="AE1625" s="345" t="s">
        <v>944</v>
      </c>
      <c r="AF1625" s="347">
        <v>0</v>
      </c>
      <c r="AG1625" s="347">
        <v>408</v>
      </c>
      <c r="AH1625" s="347" t="s">
        <v>57</v>
      </c>
      <c r="AI1625" s="347" t="s">
        <v>4442</v>
      </c>
      <c r="AJ1625" s="347" t="s">
        <v>4443</v>
      </c>
      <c r="AK1625" s="347" t="s">
        <v>4437</v>
      </c>
      <c r="AL1625" s="387">
        <v>45574</v>
      </c>
    </row>
    <row r="1626" spans="2:38" ht="15.75" outlineLevel="1">
      <c r="B1626" s="345">
        <v>2111</v>
      </c>
      <c r="C1626" s="346">
        <v>25362</v>
      </c>
      <c r="D1626" s="345" t="s">
        <v>944</v>
      </c>
      <c r="E1626" s="347" t="s">
        <v>4240</v>
      </c>
      <c r="F1626" s="343" t="s">
        <v>3653</v>
      </c>
      <c r="I1626" s="345">
        <v>1</v>
      </c>
      <c r="J1626" s="347" t="s">
        <v>3654</v>
      </c>
      <c r="K1626" s="345">
        <v>2004</v>
      </c>
      <c r="L1626" s="347" t="s">
        <v>1483</v>
      </c>
      <c r="M1626" s="347" t="s">
        <v>2316</v>
      </c>
      <c r="N1626" s="347" t="s">
        <v>4445</v>
      </c>
      <c r="O1626" s="347" t="s">
        <v>4441</v>
      </c>
      <c r="P1626" s="347" t="s">
        <v>1467</v>
      </c>
      <c r="Q1626" s="347"/>
      <c r="R1626" s="347"/>
      <c r="S1626" s="348">
        <v>38156</v>
      </c>
      <c r="T1626" s="348">
        <v>38156</v>
      </c>
      <c r="U1626" s="347">
        <v>42111005</v>
      </c>
      <c r="V1626" s="345">
        <v>1000</v>
      </c>
      <c r="W1626" s="345">
        <v>14040</v>
      </c>
      <c r="X1626" s="349">
        <v>32990.49</v>
      </c>
      <c r="Y1626" s="345">
        <v>14046</v>
      </c>
      <c r="Z1626" s="349">
        <v>32990.49</v>
      </c>
      <c r="AA1626" s="349">
        <f t="shared" si="109"/>
        <v>0</v>
      </c>
      <c r="AB1626" s="349">
        <v>0</v>
      </c>
      <c r="AC1626" s="345">
        <v>51260</v>
      </c>
      <c r="AD1626" s="349">
        <v>0</v>
      </c>
      <c r="AE1626" s="345" t="s">
        <v>944</v>
      </c>
      <c r="AF1626" s="347">
        <v>0</v>
      </c>
      <c r="AG1626" s="347"/>
      <c r="AH1626" s="347" t="s">
        <v>57</v>
      </c>
      <c r="AI1626" s="347" t="s">
        <v>4442</v>
      </c>
      <c r="AJ1626" s="347" t="s">
        <v>4443</v>
      </c>
      <c r="AK1626" s="347" t="s">
        <v>4437</v>
      </c>
      <c r="AL1626" s="387">
        <v>45574</v>
      </c>
    </row>
    <row r="1627" spans="2:38" ht="15.75" outlineLevel="1">
      <c r="B1627" s="345">
        <v>2111</v>
      </c>
      <c r="C1627" s="346">
        <v>25020</v>
      </c>
      <c r="D1627" s="345" t="s">
        <v>944</v>
      </c>
      <c r="E1627" s="347" t="s">
        <v>4240</v>
      </c>
      <c r="F1627" s="343" t="s">
        <v>3655</v>
      </c>
      <c r="I1627" s="345">
        <v>1</v>
      </c>
      <c r="J1627" s="347" t="s">
        <v>3650</v>
      </c>
      <c r="K1627" s="345">
        <v>2005</v>
      </c>
      <c r="L1627" s="347" t="s">
        <v>2315</v>
      </c>
      <c r="M1627" s="347" t="s">
        <v>2316</v>
      </c>
      <c r="N1627" s="347" t="s">
        <v>4445</v>
      </c>
      <c r="O1627" s="347" t="s">
        <v>4441</v>
      </c>
      <c r="P1627" s="347" t="s">
        <v>1004</v>
      </c>
      <c r="Q1627" s="347"/>
      <c r="R1627" s="347"/>
      <c r="S1627" s="348">
        <v>38089</v>
      </c>
      <c r="T1627" s="348">
        <v>38089</v>
      </c>
      <c r="U1627" s="347">
        <v>42111003</v>
      </c>
      <c r="V1627" s="345">
        <v>1000</v>
      </c>
      <c r="W1627" s="345">
        <v>14040</v>
      </c>
      <c r="X1627" s="349">
        <v>86998.71</v>
      </c>
      <c r="Y1627" s="345">
        <v>14046</v>
      </c>
      <c r="Z1627" s="349">
        <v>86998.71</v>
      </c>
      <c r="AA1627" s="349">
        <f t="shared" si="109"/>
        <v>0</v>
      </c>
      <c r="AB1627" s="349">
        <v>0</v>
      </c>
      <c r="AC1627" s="345">
        <v>51260</v>
      </c>
      <c r="AD1627" s="349">
        <v>0</v>
      </c>
      <c r="AE1627" s="345" t="s">
        <v>944</v>
      </c>
      <c r="AF1627" s="347">
        <v>0</v>
      </c>
      <c r="AG1627" s="347">
        <v>406</v>
      </c>
      <c r="AH1627" s="347" t="s">
        <v>57</v>
      </c>
      <c r="AI1627" s="347" t="s">
        <v>4442</v>
      </c>
      <c r="AJ1627" s="347" t="s">
        <v>4443</v>
      </c>
      <c r="AK1627" s="347" t="s">
        <v>4437</v>
      </c>
      <c r="AL1627" s="387">
        <v>45574</v>
      </c>
    </row>
    <row r="1628" spans="2:38" ht="15.75" outlineLevel="1">
      <c r="B1628" s="345">
        <v>2111</v>
      </c>
      <c r="C1628" s="346">
        <v>25019</v>
      </c>
      <c r="D1628" s="345" t="s">
        <v>944</v>
      </c>
      <c r="E1628" s="347" t="s">
        <v>4240</v>
      </c>
      <c r="F1628" s="343" t="s">
        <v>3655</v>
      </c>
      <c r="I1628" s="345">
        <v>1</v>
      </c>
      <c r="J1628" s="347" t="s">
        <v>3649</v>
      </c>
      <c r="K1628" s="345">
        <v>2005</v>
      </c>
      <c r="L1628" s="347" t="s">
        <v>2315</v>
      </c>
      <c r="M1628" s="347" t="s">
        <v>2316</v>
      </c>
      <c r="N1628" s="347" t="s">
        <v>4445</v>
      </c>
      <c r="O1628" s="347" t="s">
        <v>4441</v>
      </c>
      <c r="P1628" s="347" t="s">
        <v>1004</v>
      </c>
      <c r="Q1628" s="347"/>
      <c r="R1628" s="347"/>
      <c r="S1628" s="348">
        <v>38089</v>
      </c>
      <c r="T1628" s="348">
        <v>38089</v>
      </c>
      <c r="U1628" s="347">
        <v>42111003</v>
      </c>
      <c r="V1628" s="345">
        <v>1000</v>
      </c>
      <c r="W1628" s="345">
        <v>14040</v>
      </c>
      <c r="X1628" s="349">
        <v>86998.71</v>
      </c>
      <c r="Y1628" s="345">
        <v>14046</v>
      </c>
      <c r="Z1628" s="349">
        <v>86998.71</v>
      </c>
      <c r="AA1628" s="349">
        <f t="shared" si="109"/>
        <v>0</v>
      </c>
      <c r="AB1628" s="349">
        <v>0</v>
      </c>
      <c r="AC1628" s="345">
        <v>51260</v>
      </c>
      <c r="AD1628" s="349">
        <v>0</v>
      </c>
      <c r="AE1628" s="345" t="s">
        <v>944</v>
      </c>
      <c r="AF1628" s="347">
        <v>0</v>
      </c>
      <c r="AG1628" s="347">
        <v>407</v>
      </c>
      <c r="AH1628" s="347" t="s">
        <v>57</v>
      </c>
      <c r="AI1628" s="347" t="s">
        <v>4442</v>
      </c>
      <c r="AJ1628" s="347" t="s">
        <v>4443</v>
      </c>
      <c r="AK1628" s="347" t="s">
        <v>4437</v>
      </c>
      <c r="AL1628" s="387">
        <v>45574</v>
      </c>
    </row>
    <row r="1629" spans="2:38" ht="15.75" outlineLevel="1">
      <c r="B1629" s="345">
        <v>2111</v>
      </c>
      <c r="C1629" s="346">
        <v>24899</v>
      </c>
      <c r="D1629" s="345" t="s">
        <v>944</v>
      </c>
      <c r="E1629" s="347" t="s">
        <v>4240</v>
      </c>
      <c r="F1629" s="343" t="s">
        <v>3656</v>
      </c>
      <c r="I1629" s="345">
        <v>1</v>
      </c>
      <c r="J1629" s="347"/>
      <c r="K1629" s="345">
        <v>0</v>
      </c>
      <c r="L1629" s="347" t="s">
        <v>2550</v>
      </c>
      <c r="M1629" s="347"/>
      <c r="N1629" s="347" t="s">
        <v>4440</v>
      </c>
      <c r="O1629" s="347" t="s">
        <v>4441</v>
      </c>
      <c r="P1629" s="347"/>
      <c r="Q1629" s="347"/>
      <c r="R1629" s="347"/>
      <c r="S1629" s="348">
        <v>38069</v>
      </c>
      <c r="T1629" s="348">
        <v>38069</v>
      </c>
      <c r="U1629" s="347"/>
      <c r="V1629" s="345">
        <v>300</v>
      </c>
      <c r="W1629" s="345">
        <v>14110</v>
      </c>
      <c r="X1629" s="349">
        <v>3701</v>
      </c>
      <c r="Y1629" s="345">
        <v>14116</v>
      </c>
      <c r="Z1629" s="349">
        <v>3701</v>
      </c>
      <c r="AA1629" s="349">
        <f t="shared" si="109"/>
        <v>0</v>
      </c>
      <c r="AB1629" s="349">
        <v>0</v>
      </c>
      <c r="AC1629" s="345">
        <v>70260</v>
      </c>
      <c r="AD1629" s="349">
        <v>0</v>
      </c>
      <c r="AE1629" s="345" t="s">
        <v>944</v>
      </c>
      <c r="AF1629" s="347">
        <v>0</v>
      </c>
      <c r="AG1629" s="347"/>
      <c r="AH1629" s="347" t="s">
        <v>57</v>
      </c>
      <c r="AI1629" s="347" t="s">
        <v>4442</v>
      </c>
      <c r="AJ1629" s="347" t="s">
        <v>4443</v>
      </c>
      <c r="AK1629" s="347" t="s">
        <v>4437</v>
      </c>
      <c r="AL1629" s="387">
        <v>45574</v>
      </c>
    </row>
    <row r="1630" spans="2:38" ht="15.75" outlineLevel="1">
      <c r="B1630" s="345">
        <v>2111</v>
      </c>
      <c r="C1630" s="346">
        <v>24898</v>
      </c>
      <c r="D1630" s="345" t="s">
        <v>944</v>
      </c>
      <c r="E1630" s="347" t="s">
        <v>4240</v>
      </c>
      <c r="F1630" s="343" t="s">
        <v>3657</v>
      </c>
      <c r="I1630" s="345">
        <v>1</v>
      </c>
      <c r="J1630" s="347"/>
      <c r="K1630" s="345">
        <v>0</v>
      </c>
      <c r="L1630" s="347" t="s">
        <v>2550</v>
      </c>
      <c r="M1630" s="347"/>
      <c r="N1630" s="347" t="s">
        <v>4440</v>
      </c>
      <c r="O1630" s="347" t="s">
        <v>4441</v>
      </c>
      <c r="P1630" s="347"/>
      <c r="Q1630" s="347"/>
      <c r="R1630" s="347"/>
      <c r="S1630" s="348">
        <v>38061</v>
      </c>
      <c r="T1630" s="348">
        <v>38061</v>
      </c>
      <c r="U1630" s="347"/>
      <c r="V1630" s="345">
        <v>300</v>
      </c>
      <c r="W1630" s="345">
        <v>14110</v>
      </c>
      <c r="X1630" s="349">
        <v>1709.45</v>
      </c>
      <c r="Y1630" s="345">
        <v>14116</v>
      </c>
      <c r="Z1630" s="349">
        <v>1709.45</v>
      </c>
      <c r="AA1630" s="349">
        <f t="shared" si="109"/>
        <v>0</v>
      </c>
      <c r="AB1630" s="349">
        <v>0</v>
      </c>
      <c r="AC1630" s="345">
        <v>70260</v>
      </c>
      <c r="AD1630" s="349">
        <v>0</v>
      </c>
      <c r="AE1630" s="345" t="s">
        <v>944</v>
      </c>
      <c r="AF1630" s="347">
        <v>0</v>
      </c>
      <c r="AG1630" s="347"/>
      <c r="AH1630" s="347" t="s">
        <v>57</v>
      </c>
      <c r="AI1630" s="347" t="s">
        <v>4442</v>
      </c>
      <c r="AJ1630" s="347" t="s">
        <v>4443</v>
      </c>
      <c r="AK1630" s="347" t="s">
        <v>4437</v>
      </c>
      <c r="AL1630" s="387">
        <v>45574</v>
      </c>
    </row>
    <row r="1631" spans="2:38" ht="15.75" outlineLevel="1">
      <c r="B1631" s="345">
        <v>2111</v>
      </c>
      <c r="C1631" s="346">
        <v>24897</v>
      </c>
      <c r="D1631" s="345" t="s">
        <v>944</v>
      </c>
      <c r="E1631" s="347" t="s">
        <v>4240</v>
      </c>
      <c r="F1631" s="343" t="s">
        <v>3657</v>
      </c>
      <c r="I1631" s="345">
        <v>1</v>
      </c>
      <c r="J1631" s="347"/>
      <c r="K1631" s="345">
        <v>0</v>
      </c>
      <c r="L1631" s="347" t="s">
        <v>2550</v>
      </c>
      <c r="M1631" s="347"/>
      <c r="N1631" s="347" t="s">
        <v>4440</v>
      </c>
      <c r="O1631" s="347" t="s">
        <v>4441</v>
      </c>
      <c r="P1631" s="347"/>
      <c r="Q1631" s="347"/>
      <c r="R1631" s="347"/>
      <c r="S1631" s="348">
        <v>38051</v>
      </c>
      <c r="T1631" s="348">
        <v>38051</v>
      </c>
      <c r="U1631" s="347"/>
      <c r="V1631" s="345">
        <v>300</v>
      </c>
      <c r="W1631" s="345">
        <v>14110</v>
      </c>
      <c r="X1631" s="349">
        <v>1867</v>
      </c>
      <c r="Y1631" s="345">
        <v>14116</v>
      </c>
      <c r="Z1631" s="349">
        <v>1867</v>
      </c>
      <c r="AA1631" s="349">
        <f t="shared" si="109"/>
        <v>0</v>
      </c>
      <c r="AB1631" s="349">
        <v>0</v>
      </c>
      <c r="AC1631" s="345">
        <v>70260</v>
      </c>
      <c r="AD1631" s="349">
        <v>0</v>
      </c>
      <c r="AE1631" s="345" t="s">
        <v>944</v>
      </c>
      <c r="AF1631" s="347">
        <v>0</v>
      </c>
      <c r="AG1631" s="347"/>
      <c r="AH1631" s="347" t="s">
        <v>57</v>
      </c>
      <c r="AI1631" s="347" t="s">
        <v>4442</v>
      </c>
      <c r="AJ1631" s="347" t="s">
        <v>4443</v>
      </c>
      <c r="AK1631" s="347" t="s">
        <v>4437</v>
      </c>
      <c r="AL1631" s="387">
        <v>45574</v>
      </c>
    </row>
    <row r="1632" spans="2:38" ht="15.75" outlineLevel="1">
      <c r="B1632" s="345">
        <v>2111</v>
      </c>
      <c r="C1632" s="346">
        <v>24896</v>
      </c>
      <c r="D1632" s="345" t="s">
        <v>944</v>
      </c>
      <c r="E1632" s="347" t="s">
        <v>4240</v>
      </c>
      <c r="F1632" s="343" t="s">
        <v>3657</v>
      </c>
      <c r="I1632" s="345">
        <v>1</v>
      </c>
      <c r="J1632" s="347"/>
      <c r="K1632" s="345">
        <v>0</v>
      </c>
      <c r="L1632" s="347" t="s">
        <v>2550</v>
      </c>
      <c r="M1632" s="347"/>
      <c r="N1632" s="347" t="s">
        <v>4440</v>
      </c>
      <c r="O1632" s="347" t="s">
        <v>4441</v>
      </c>
      <c r="P1632" s="347"/>
      <c r="Q1632" s="347"/>
      <c r="R1632" s="347"/>
      <c r="S1632" s="348">
        <v>38042</v>
      </c>
      <c r="T1632" s="348">
        <v>38042</v>
      </c>
      <c r="U1632" s="347"/>
      <c r="V1632" s="345">
        <v>300</v>
      </c>
      <c r="W1632" s="345">
        <v>14110</v>
      </c>
      <c r="X1632" s="349">
        <v>3562.41</v>
      </c>
      <c r="Y1632" s="345">
        <v>14116</v>
      </c>
      <c r="Z1632" s="349">
        <v>3562.41</v>
      </c>
      <c r="AA1632" s="349">
        <f t="shared" si="109"/>
        <v>0</v>
      </c>
      <c r="AB1632" s="349">
        <v>0</v>
      </c>
      <c r="AC1632" s="345">
        <v>70260</v>
      </c>
      <c r="AD1632" s="349">
        <v>0</v>
      </c>
      <c r="AE1632" s="345" t="s">
        <v>944</v>
      </c>
      <c r="AF1632" s="347">
        <v>0</v>
      </c>
      <c r="AG1632" s="347"/>
      <c r="AH1632" s="347" t="s">
        <v>57</v>
      </c>
      <c r="AI1632" s="347" t="s">
        <v>4442</v>
      </c>
      <c r="AJ1632" s="347" t="s">
        <v>4443</v>
      </c>
      <c r="AK1632" s="347" t="s">
        <v>4437</v>
      </c>
      <c r="AL1632" s="387">
        <v>45574</v>
      </c>
    </row>
    <row r="1633" spans="2:38" ht="15.75" outlineLevel="1">
      <c r="B1633" s="345">
        <v>2111</v>
      </c>
      <c r="C1633" s="346">
        <v>24895</v>
      </c>
      <c r="D1633" s="345" t="s">
        <v>944</v>
      </c>
      <c r="E1633" s="347" t="s">
        <v>4240</v>
      </c>
      <c r="F1633" s="343" t="s">
        <v>3657</v>
      </c>
      <c r="I1633" s="345">
        <v>1</v>
      </c>
      <c r="J1633" s="347"/>
      <c r="K1633" s="345">
        <v>0</v>
      </c>
      <c r="L1633" s="347" t="s">
        <v>3658</v>
      </c>
      <c r="M1633" s="347"/>
      <c r="N1633" s="347" t="s">
        <v>4440</v>
      </c>
      <c r="O1633" s="347" t="s">
        <v>4441</v>
      </c>
      <c r="P1633" s="347"/>
      <c r="Q1633" s="347"/>
      <c r="R1633" s="347"/>
      <c r="S1633" s="348">
        <v>38068</v>
      </c>
      <c r="T1633" s="348">
        <v>38068</v>
      </c>
      <c r="U1633" s="347"/>
      <c r="V1633" s="345">
        <v>300</v>
      </c>
      <c r="W1633" s="345">
        <v>14110</v>
      </c>
      <c r="X1633" s="349">
        <v>1287.6099999999999</v>
      </c>
      <c r="Y1633" s="345">
        <v>14116</v>
      </c>
      <c r="Z1633" s="349">
        <v>1287.6099999999999</v>
      </c>
      <c r="AA1633" s="349">
        <f t="shared" si="109"/>
        <v>0</v>
      </c>
      <c r="AB1633" s="349">
        <v>0</v>
      </c>
      <c r="AC1633" s="345">
        <v>70260</v>
      </c>
      <c r="AD1633" s="349">
        <v>0</v>
      </c>
      <c r="AE1633" s="345" t="s">
        <v>944</v>
      </c>
      <c r="AF1633" s="347">
        <v>0</v>
      </c>
      <c r="AG1633" s="347"/>
      <c r="AH1633" s="347" t="s">
        <v>57</v>
      </c>
      <c r="AI1633" s="347" t="s">
        <v>4442</v>
      </c>
      <c r="AJ1633" s="347" t="s">
        <v>4443</v>
      </c>
      <c r="AK1633" s="347" t="s">
        <v>4437</v>
      </c>
      <c r="AL1633" s="387">
        <v>45574</v>
      </c>
    </row>
    <row r="1634" spans="2:38" ht="15.75" outlineLevel="1">
      <c r="B1634" s="345">
        <v>2111</v>
      </c>
      <c r="C1634" s="346">
        <v>24894</v>
      </c>
      <c r="D1634" s="345" t="s">
        <v>944</v>
      </c>
      <c r="E1634" s="347" t="s">
        <v>4240</v>
      </c>
      <c r="F1634" s="343" t="s">
        <v>3657</v>
      </c>
      <c r="I1634" s="345">
        <v>1</v>
      </c>
      <c r="J1634" s="347"/>
      <c r="K1634" s="345">
        <v>0</v>
      </c>
      <c r="L1634" s="347" t="s">
        <v>3515</v>
      </c>
      <c r="M1634" s="347"/>
      <c r="N1634" s="347" t="s">
        <v>4440</v>
      </c>
      <c r="O1634" s="347" t="s">
        <v>4441</v>
      </c>
      <c r="P1634" s="347"/>
      <c r="Q1634" s="347"/>
      <c r="R1634" s="347"/>
      <c r="S1634" s="348">
        <v>38077</v>
      </c>
      <c r="T1634" s="348">
        <v>38077</v>
      </c>
      <c r="U1634" s="347"/>
      <c r="V1634" s="345">
        <v>300</v>
      </c>
      <c r="W1634" s="345">
        <v>14110</v>
      </c>
      <c r="X1634" s="349">
        <v>21300</v>
      </c>
      <c r="Y1634" s="345">
        <v>14116</v>
      </c>
      <c r="Z1634" s="349">
        <v>21300</v>
      </c>
      <c r="AA1634" s="349">
        <f t="shared" si="109"/>
        <v>0</v>
      </c>
      <c r="AB1634" s="349">
        <v>0</v>
      </c>
      <c r="AC1634" s="345">
        <v>70260</v>
      </c>
      <c r="AD1634" s="349">
        <v>0</v>
      </c>
      <c r="AE1634" s="345" t="s">
        <v>944</v>
      </c>
      <c r="AF1634" s="347">
        <v>0</v>
      </c>
      <c r="AG1634" s="347"/>
      <c r="AH1634" s="347" t="s">
        <v>57</v>
      </c>
      <c r="AI1634" s="347" t="s">
        <v>4442</v>
      </c>
      <c r="AJ1634" s="347" t="s">
        <v>4443</v>
      </c>
      <c r="AK1634" s="347" t="s">
        <v>4437</v>
      </c>
      <c r="AL1634" s="387">
        <v>45574</v>
      </c>
    </row>
    <row r="1635" spans="2:38" ht="15.75" outlineLevel="1">
      <c r="B1635" s="345">
        <v>2111</v>
      </c>
      <c r="C1635" s="346">
        <v>24185</v>
      </c>
      <c r="D1635" s="345" t="s">
        <v>944</v>
      </c>
      <c r="E1635" s="347" t="s">
        <v>4240</v>
      </c>
      <c r="F1635" s="343" t="s">
        <v>3659</v>
      </c>
      <c r="I1635" s="345">
        <v>1</v>
      </c>
      <c r="J1635" s="347"/>
      <c r="K1635" s="345">
        <v>0</v>
      </c>
      <c r="L1635" s="347" t="s">
        <v>3660</v>
      </c>
      <c r="M1635" s="347"/>
      <c r="N1635" s="347" t="s">
        <v>4452</v>
      </c>
      <c r="O1635" s="347" t="s">
        <v>4441</v>
      </c>
      <c r="P1635" s="347"/>
      <c r="Q1635" s="347"/>
      <c r="R1635" s="347"/>
      <c r="S1635" s="348">
        <v>38019</v>
      </c>
      <c r="T1635" s="348">
        <v>38019</v>
      </c>
      <c r="U1635" s="347"/>
      <c r="V1635" s="345">
        <v>500</v>
      </c>
      <c r="W1635" s="345">
        <v>14080</v>
      </c>
      <c r="X1635" s="349">
        <v>5190.8500000000004</v>
      </c>
      <c r="Y1635" s="345">
        <v>14086</v>
      </c>
      <c r="Z1635" s="349">
        <v>5190.8500000000004</v>
      </c>
      <c r="AA1635" s="349">
        <f t="shared" si="109"/>
        <v>0</v>
      </c>
      <c r="AB1635" s="349">
        <v>0</v>
      </c>
      <c r="AC1635" s="345">
        <v>57260</v>
      </c>
      <c r="AD1635" s="349">
        <v>0</v>
      </c>
      <c r="AE1635" s="345" t="s">
        <v>410</v>
      </c>
      <c r="AF1635" s="347">
        <v>0</v>
      </c>
      <c r="AG1635" s="347" t="s">
        <v>2206</v>
      </c>
      <c r="AH1635" s="347" t="s">
        <v>57</v>
      </c>
      <c r="AI1635" s="347" t="s">
        <v>4442</v>
      </c>
      <c r="AJ1635" s="347" t="s">
        <v>4443</v>
      </c>
      <c r="AK1635" s="347" t="s">
        <v>4437</v>
      </c>
      <c r="AL1635" s="387">
        <v>45574</v>
      </c>
    </row>
    <row r="1636" spans="2:38" ht="15.75" outlineLevel="1">
      <c r="B1636" s="345">
        <v>2111</v>
      </c>
      <c r="C1636" s="346">
        <v>23479</v>
      </c>
      <c r="D1636" s="345" t="s">
        <v>944</v>
      </c>
      <c r="E1636" s="347" t="s">
        <v>4240</v>
      </c>
      <c r="F1636" s="343" t="s">
        <v>3663</v>
      </c>
      <c r="I1636" s="345">
        <v>1</v>
      </c>
      <c r="J1636" s="347"/>
      <c r="K1636" s="345">
        <v>0</v>
      </c>
      <c r="L1636" s="347" t="s">
        <v>3664</v>
      </c>
      <c r="M1636" s="347"/>
      <c r="N1636" s="347" t="s">
        <v>4452</v>
      </c>
      <c r="O1636" s="347" t="s">
        <v>4441</v>
      </c>
      <c r="P1636" s="347"/>
      <c r="Q1636" s="347"/>
      <c r="R1636" s="347"/>
      <c r="S1636" s="348">
        <v>37999</v>
      </c>
      <c r="T1636" s="348">
        <v>37999</v>
      </c>
      <c r="U1636" s="347" t="s">
        <v>3665</v>
      </c>
      <c r="V1636" s="345">
        <v>2000</v>
      </c>
      <c r="W1636" s="345">
        <v>14080</v>
      </c>
      <c r="X1636" s="349">
        <v>5000</v>
      </c>
      <c r="Y1636" s="345">
        <v>14086</v>
      </c>
      <c r="Z1636" s="349">
        <v>5000</v>
      </c>
      <c r="AA1636" s="349">
        <f t="shared" si="109"/>
        <v>0</v>
      </c>
      <c r="AB1636" s="349">
        <v>0</v>
      </c>
      <c r="AC1636" s="345">
        <v>57260</v>
      </c>
      <c r="AD1636" s="349">
        <v>0</v>
      </c>
      <c r="AE1636" s="345" t="s">
        <v>944</v>
      </c>
      <c r="AF1636" s="347"/>
      <c r="AG1636" s="347"/>
      <c r="AH1636" s="347" t="s">
        <v>57</v>
      </c>
      <c r="AI1636" s="347" t="s">
        <v>4442</v>
      </c>
      <c r="AJ1636" s="347" t="s">
        <v>4443</v>
      </c>
      <c r="AK1636" s="347" t="s">
        <v>4437</v>
      </c>
      <c r="AL1636" s="387">
        <v>45574</v>
      </c>
    </row>
    <row r="1637" spans="2:38" ht="15.75" outlineLevel="1">
      <c r="B1637" s="345">
        <v>2111</v>
      </c>
      <c r="C1637" s="346">
        <v>23476</v>
      </c>
      <c r="D1637" s="345" t="s">
        <v>944</v>
      </c>
      <c r="E1637" s="347" t="s">
        <v>4240</v>
      </c>
      <c r="F1637" s="343" t="s">
        <v>3667</v>
      </c>
      <c r="I1637" s="345">
        <v>1</v>
      </c>
      <c r="J1637" s="347"/>
      <c r="K1637" s="345">
        <v>0</v>
      </c>
      <c r="L1637" s="347" t="s">
        <v>3668</v>
      </c>
      <c r="M1637" s="347"/>
      <c r="N1637" s="347" t="s">
        <v>4452</v>
      </c>
      <c r="O1637" s="347" t="s">
        <v>4441</v>
      </c>
      <c r="P1637" s="347"/>
      <c r="Q1637" s="347"/>
      <c r="R1637" s="347"/>
      <c r="S1637" s="348">
        <v>38017</v>
      </c>
      <c r="T1637" s="348">
        <v>38017</v>
      </c>
      <c r="U1637" s="347"/>
      <c r="V1637" s="345">
        <v>2000</v>
      </c>
      <c r="W1637" s="345">
        <v>14080</v>
      </c>
      <c r="X1637" s="349">
        <v>15000</v>
      </c>
      <c r="Y1637" s="345">
        <v>14086</v>
      </c>
      <c r="Z1637" s="349">
        <v>15000</v>
      </c>
      <c r="AA1637" s="349">
        <f t="shared" ref="AA1637:AA1700" si="110">+X1637-Z1637</f>
        <v>0</v>
      </c>
      <c r="AB1637" s="349">
        <v>62.34</v>
      </c>
      <c r="AC1637" s="345">
        <v>57260</v>
      </c>
      <c r="AD1637" s="349">
        <v>62.34</v>
      </c>
      <c r="AE1637" s="345" t="s">
        <v>944</v>
      </c>
      <c r="AF1637" s="347"/>
      <c r="AG1637" s="347"/>
      <c r="AH1637" s="347" t="s">
        <v>57</v>
      </c>
      <c r="AI1637" s="347" t="s">
        <v>4442</v>
      </c>
      <c r="AJ1637" s="347" t="s">
        <v>4443</v>
      </c>
      <c r="AK1637" s="347" t="s">
        <v>4437</v>
      </c>
      <c r="AL1637" s="387">
        <v>45574</v>
      </c>
    </row>
    <row r="1638" spans="2:38" ht="15.75" outlineLevel="1">
      <c r="B1638" s="345">
        <v>2111</v>
      </c>
      <c r="C1638" s="346">
        <v>22937</v>
      </c>
      <c r="D1638" s="345" t="s">
        <v>944</v>
      </c>
      <c r="E1638" s="347" t="s">
        <v>4240</v>
      </c>
      <c r="F1638" s="343" t="s">
        <v>3671</v>
      </c>
      <c r="I1638" s="345">
        <v>10</v>
      </c>
      <c r="J1638" s="347"/>
      <c r="K1638" s="345">
        <v>0</v>
      </c>
      <c r="L1638" s="347" t="s">
        <v>2539</v>
      </c>
      <c r="M1638" s="347"/>
      <c r="N1638" s="347" t="s">
        <v>4446</v>
      </c>
      <c r="O1638" s="347" t="s">
        <v>4441</v>
      </c>
      <c r="P1638" s="347"/>
      <c r="Q1638" s="347" t="s">
        <v>4461</v>
      </c>
      <c r="R1638" s="347" t="s">
        <v>4450</v>
      </c>
      <c r="S1638" s="348">
        <v>37986</v>
      </c>
      <c r="T1638" s="348">
        <v>37986</v>
      </c>
      <c r="U1638" s="347" t="s">
        <v>3672</v>
      </c>
      <c r="V1638" s="345">
        <v>1200</v>
      </c>
      <c r="W1638" s="345">
        <v>14050</v>
      </c>
      <c r="X1638" s="349">
        <v>3452.58</v>
      </c>
      <c r="Y1638" s="345">
        <v>14056</v>
      </c>
      <c r="Z1638" s="349">
        <v>3452.58</v>
      </c>
      <c r="AA1638" s="349">
        <f t="shared" si="110"/>
        <v>0</v>
      </c>
      <c r="AB1638" s="349">
        <v>0</v>
      </c>
      <c r="AC1638" s="345">
        <v>54260</v>
      </c>
      <c r="AD1638" s="349">
        <v>0</v>
      </c>
      <c r="AE1638" s="345" t="s">
        <v>944</v>
      </c>
      <c r="AF1638" s="347"/>
      <c r="AG1638" s="347"/>
      <c r="AH1638" s="347" t="s">
        <v>57</v>
      </c>
      <c r="AI1638" s="347" t="s">
        <v>4442</v>
      </c>
      <c r="AJ1638" s="347" t="s">
        <v>4443</v>
      </c>
      <c r="AK1638" s="347" t="s">
        <v>4437</v>
      </c>
      <c r="AL1638" s="387">
        <v>45574</v>
      </c>
    </row>
    <row r="1639" spans="2:38" ht="15.75" outlineLevel="1">
      <c r="B1639" s="345">
        <v>2111</v>
      </c>
      <c r="C1639" s="346">
        <v>22936</v>
      </c>
      <c r="D1639" s="345" t="s">
        <v>944</v>
      </c>
      <c r="E1639" s="347" t="s">
        <v>4240</v>
      </c>
      <c r="F1639" s="343" t="s">
        <v>3157</v>
      </c>
      <c r="I1639" s="345">
        <v>12</v>
      </c>
      <c r="J1639" s="347"/>
      <c r="K1639" s="345">
        <v>0</v>
      </c>
      <c r="L1639" s="347" t="s">
        <v>2539</v>
      </c>
      <c r="M1639" s="347"/>
      <c r="N1639" s="347" t="s">
        <v>4446</v>
      </c>
      <c r="O1639" s="347" t="s">
        <v>4441</v>
      </c>
      <c r="P1639" s="347"/>
      <c r="Q1639" s="347" t="s">
        <v>4459</v>
      </c>
      <c r="R1639" s="347" t="s">
        <v>4450</v>
      </c>
      <c r="S1639" s="348">
        <v>37986</v>
      </c>
      <c r="T1639" s="348">
        <v>37986</v>
      </c>
      <c r="U1639" s="347" t="s">
        <v>3673</v>
      </c>
      <c r="V1639" s="345">
        <v>1200</v>
      </c>
      <c r="W1639" s="345">
        <v>14050</v>
      </c>
      <c r="X1639" s="349">
        <v>4454.2700000000004</v>
      </c>
      <c r="Y1639" s="345">
        <v>14056</v>
      </c>
      <c r="Z1639" s="349">
        <v>4454.2700000000004</v>
      </c>
      <c r="AA1639" s="349">
        <f t="shared" si="110"/>
        <v>0</v>
      </c>
      <c r="AB1639" s="349">
        <v>0</v>
      </c>
      <c r="AC1639" s="345">
        <v>54260</v>
      </c>
      <c r="AD1639" s="349">
        <v>0</v>
      </c>
      <c r="AE1639" s="345" t="s">
        <v>944</v>
      </c>
      <c r="AF1639" s="347"/>
      <c r="AG1639" s="347"/>
      <c r="AH1639" s="347" t="s">
        <v>57</v>
      </c>
      <c r="AI1639" s="347" t="s">
        <v>4442</v>
      </c>
      <c r="AJ1639" s="347" t="s">
        <v>4443</v>
      </c>
      <c r="AK1639" s="347" t="s">
        <v>4437</v>
      </c>
      <c r="AL1639" s="387">
        <v>45574</v>
      </c>
    </row>
    <row r="1640" spans="2:38" ht="15.75" outlineLevel="1">
      <c r="B1640" s="345">
        <v>2111</v>
      </c>
      <c r="C1640" s="346">
        <v>22935</v>
      </c>
      <c r="D1640" s="345" t="s">
        <v>944</v>
      </c>
      <c r="E1640" s="347" t="s">
        <v>4240</v>
      </c>
      <c r="F1640" s="343" t="s">
        <v>3674</v>
      </c>
      <c r="I1640" s="345">
        <v>10</v>
      </c>
      <c r="J1640" s="347"/>
      <c r="K1640" s="345">
        <v>0</v>
      </c>
      <c r="L1640" s="347" t="s">
        <v>2539</v>
      </c>
      <c r="M1640" s="347"/>
      <c r="N1640" s="347" t="s">
        <v>4446</v>
      </c>
      <c r="O1640" s="347" t="s">
        <v>4441</v>
      </c>
      <c r="P1640" s="347"/>
      <c r="Q1640" s="347" t="s">
        <v>4464</v>
      </c>
      <c r="R1640" s="347" t="s">
        <v>4450</v>
      </c>
      <c r="S1640" s="348">
        <v>37986</v>
      </c>
      <c r="T1640" s="348">
        <v>37986</v>
      </c>
      <c r="U1640" s="347" t="s">
        <v>3675</v>
      </c>
      <c r="V1640" s="345">
        <v>1200</v>
      </c>
      <c r="W1640" s="345">
        <v>14050</v>
      </c>
      <c r="X1640" s="349">
        <v>4769.07</v>
      </c>
      <c r="Y1640" s="345">
        <v>14056</v>
      </c>
      <c r="Z1640" s="349">
        <v>4769.07</v>
      </c>
      <c r="AA1640" s="349">
        <f t="shared" si="110"/>
        <v>0</v>
      </c>
      <c r="AB1640" s="349">
        <v>0</v>
      </c>
      <c r="AC1640" s="345">
        <v>54260</v>
      </c>
      <c r="AD1640" s="349">
        <v>0</v>
      </c>
      <c r="AE1640" s="345" t="s">
        <v>944</v>
      </c>
      <c r="AF1640" s="347"/>
      <c r="AG1640" s="347"/>
      <c r="AH1640" s="347" t="s">
        <v>57</v>
      </c>
      <c r="AI1640" s="347" t="s">
        <v>4442</v>
      </c>
      <c r="AJ1640" s="347" t="s">
        <v>4443</v>
      </c>
      <c r="AK1640" s="347" t="s">
        <v>4437</v>
      </c>
      <c r="AL1640" s="387">
        <v>45574</v>
      </c>
    </row>
    <row r="1641" spans="2:38" ht="15.75" outlineLevel="1">
      <c r="B1641" s="345">
        <v>2111</v>
      </c>
      <c r="C1641" s="346">
        <v>22869</v>
      </c>
      <c r="D1641" s="345" t="s">
        <v>944</v>
      </c>
      <c r="E1641" s="347" t="s">
        <v>4240</v>
      </c>
      <c r="F1641" s="343" t="s">
        <v>3676</v>
      </c>
      <c r="I1641" s="345">
        <v>1</v>
      </c>
      <c r="J1641" s="347"/>
      <c r="K1641" s="345">
        <v>0</v>
      </c>
      <c r="L1641" s="347"/>
      <c r="M1641" s="347"/>
      <c r="N1641" s="347" t="s">
        <v>4452</v>
      </c>
      <c r="O1641" s="347" t="s">
        <v>4441</v>
      </c>
      <c r="P1641" s="347"/>
      <c r="Q1641" s="347"/>
      <c r="R1641" s="347"/>
      <c r="S1641" s="348">
        <v>37986</v>
      </c>
      <c r="T1641" s="348">
        <v>37986</v>
      </c>
      <c r="U1641" s="347"/>
      <c r="V1641" s="345">
        <v>2000</v>
      </c>
      <c r="W1641" s="345">
        <v>14080</v>
      </c>
      <c r="X1641" s="349">
        <v>2768.8</v>
      </c>
      <c r="Y1641" s="345">
        <v>14086</v>
      </c>
      <c r="Z1641" s="349">
        <v>2768.8</v>
      </c>
      <c r="AA1641" s="349">
        <f t="shared" si="110"/>
        <v>0</v>
      </c>
      <c r="AB1641" s="349">
        <v>0</v>
      </c>
      <c r="AC1641" s="345">
        <v>57260</v>
      </c>
      <c r="AD1641" s="349">
        <v>0</v>
      </c>
      <c r="AE1641" s="345" t="s">
        <v>944</v>
      </c>
      <c r="AF1641" s="347"/>
      <c r="AG1641" s="347"/>
      <c r="AH1641" s="347" t="s">
        <v>57</v>
      </c>
      <c r="AI1641" s="347" t="s">
        <v>4442</v>
      </c>
      <c r="AJ1641" s="347" t="s">
        <v>4443</v>
      </c>
      <c r="AK1641" s="347" t="s">
        <v>4437</v>
      </c>
      <c r="AL1641" s="387">
        <v>45574</v>
      </c>
    </row>
    <row r="1642" spans="2:38" ht="15.75" outlineLevel="1">
      <c r="B1642" s="345">
        <v>2111</v>
      </c>
      <c r="C1642" s="346">
        <v>22817</v>
      </c>
      <c r="D1642" s="345" t="s">
        <v>944</v>
      </c>
      <c r="E1642" s="347" t="s">
        <v>4240</v>
      </c>
      <c r="F1642" s="343" t="s">
        <v>3679</v>
      </c>
      <c r="I1642" s="345">
        <v>1</v>
      </c>
      <c r="J1642" s="347"/>
      <c r="K1642" s="345">
        <v>0</v>
      </c>
      <c r="L1642" s="347"/>
      <c r="M1642" s="347"/>
      <c r="N1642" s="347" t="s">
        <v>4452</v>
      </c>
      <c r="O1642" s="347" t="s">
        <v>4441</v>
      </c>
      <c r="P1642" s="347"/>
      <c r="Q1642" s="347"/>
      <c r="R1642" s="347"/>
      <c r="S1642" s="348">
        <v>37986</v>
      </c>
      <c r="T1642" s="348">
        <v>37986</v>
      </c>
      <c r="U1642" s="347" t="s">
        <v>3680</v>
      </c>
      <c r="V1642" s="345">
        <v>2000</v>
      </c>
      <c r="W1642" s="345">
        <v>14080</v>
      </c>
      <c r="X1642" s="349">
        <v>5830</v>
      </c>
      <c r="Y1642" s="345">
        <v>14086</v>
      </c>
      <c r="Z1642" s="349">
        <v>5830</v>
      </c>
      <c r="AA1642" s="349">
        <f t="shared" si="110"/>
        <v>0</v>
      </c>
      <c r="AB1642" s="349">
        <v>0</v>
      </c>
      <c r="AC1642" s="345">
        <v>57260</v>
      </c>
      <c r="AD1642" s="349">
        <v>0</v>
      </c>
      <c r="AE1642" s="345" t="s">
        <v>944</v>
      </c>
      <c r="AF1642" s="347"/>
      <c r="AG1642" s="347"/>
      <c r="AH1642" s="347" t="s">
        <v>57</v>
      </c>
      <c r="AI1642" s="347" t="s">
        <v>4442</v>
      </c>
      <c r="AJ1642" s="347" t="s">
        <v>4443</v>
      </c>
      <c r="AK1642" s="347" t="s">
        <v>4437</v>
      </c>
      <c r="AL1642" s="387">
        <v>45574</v>
      </c>
    </row>
    <row r="1643" spans="2:38" ht="15.75" outlineLevel="1">
      <c r="B1643" s="345">
        <v>2111</v>
      </c>
      <c r="C1643" s="346">
        <v>22540</v>
      </c>
      <c r="D1643" s="345" t="s">
        <v>944</v>
      </c>
      <c r="E1643" s="347" t="s">
        <v>4240</v>
      </c>
      <c r="F1643" s="343" t="s">
        <v>3679</v>
      </c>
      <c r="I1643" s="345">
        <v>1</v>
      </c>
      <c r="J1643" s="347"/>
      <c r="K1643" s="345">
        <v>0</v>
      </c>
      <c r="L1643" s="347"/>
      <c r="M1643" s="347"/>
      <c r="N1643" s="347" t="s">
        <v>4452</v>
      </c>
      <c r="O1643" s="347" t="s">
        <v>4441</v>
      </c>
      <c r="P1643" s="347"/>
      <c r="Q1643" s="347"/>
      <c r="R1643" s="347"/>
      <c r="S1643" s="348">
        <v>37986</v>
      </c>
      <c r="T1643" s="348">
        <v>37986</v>
      </c>
      <c r="U1643" s="347" t="s">
        <v>3681</v>
      </c>
      <c r="V1643" s="345">
        <v>2000</v>
      </c>
      <c r="W1643" s="345">
        <v>14080</v>
      </c>
      <c r="X1643" s="349">
        <v>5830</v>
      </c>
      <c r="Y1643" s="345">
        <v>14086</v>
      </c>
      <c r="Z1643" s="349">
        <v>5830</v>
      </c>
      <c r="AA1643" s="349">
        <f t="shared" si="110"/>
        <v>0</v>
      </c>
      <c r="AB1643" s="349">
        <v>0</v>
      </c>
      <c r="AC1643" s="345">
        <v>57260</v>
      </c>
      <c r="AD1643" s="349">
        <v>0</v>
      </c>
      <c r="AE1643" s="345" t="s">
        <v>944</v>
      </c>
      <c r="AF1643" s="347"/>
      <c r="AG1643" s="347"/>
      <c r="AH1643" s="347" t="s">
        <v>57</v>
      </c>
      <c r="AI1643" s="347" t="s">
        <v>4442</v>
      </c>
      <c r="AJ1643" s="347" t="s">
        <v>4443</v>
      </c>
      <c r="AK1643" s="347" t="s">
        <v>4437</v>
      </c>
      <c r="AL1643" s="387">
        <v>45574</v>
      </c>
    </row>
    <row r="1644" spans="2:38" ht="15.75" outlineLevel="1">
      <c r="B1644" s="345">
        <v>2111</v>
      </c>
      <c r="C1644" s="346">
        <v>22314</v>
      </c>
      <c r="D1644" s="345" t="s">
        <v>944</v>
      </c>
      <c r="E1644" s="347" t="s">
        <v>4240</v>
      </c>
      <c r="F1644" s="343" t="s">
        <v>3679</v>
      </c>
      <c r="I1644" s="345">
        <v>1</v>
      </c>
      <c r="J1644" s="347"/>
      <c r="K1644" s="345">
        <v>0</v>
      </c>
      <c r="L1644" s="347"/>
      <c r="M1644" s="347"/>
      <c r="N1644" s="347" t="s">
        <v>4452</v>
      </c>
      <c r="O1644" s="347" t="s">
        <v>4441</v>
      </c>
      <c r="P1644" s="347"/>
      <c r="Q1644" s="347"/>
      <c r="R1644" s="347"/>
      <c r="S1644" s="348">
        <v>37986</v>
      </c>
      <c r="T1644" s="348">
        <v>37986</v>
      </c>
      <c r="U1644" s="347" t="s">
        <v>3681</v>
      </c>
      <c r="V1644" s="345">
        <v>700</v>
      </c>
      <c r="W1644" s="345">
        <v>14080</v>
      </c>
      <c r="X1644" s="349">
        <v>5830</v>
      </c>
      <c r="Y1644" s="345">
        <v>14086</v>
      </c>
      <c r="Z1644" s="349">
        <v>5830</v>
      </c>
      <c r="AA1644" s="349">
        <f t="shared" si="110"/>
        <v>0</v>
      </c>
      <c r="AB1644" s="349">
        <v>0</v>
      </c>
      <c r="AC1644" s="345">
        <v>57260</v>
      </c>
      <c r="AD1644" s="349">
        <v>0</v>
      </c>
      <c r="AE1644" s="345" t="s">
        <v>944</v>
      </c>
      <c r="AF1644" s="347"/>
      <c r="AG1644" s="347"/>
      <c r="AH1644" s="347" t="s">
        <v>57</v>
      </c>
      <c r="AI1644" s="347" t="s">
        <v>4442</v>
      </c>
      <c r="AJ1644" s="347" t="s">
        <v>4443</v>
      </c>
      <c r="AK1644" s="347" t="s">
        <v>4437</v>
      </c>
      <c r="AL1644" s="387">
        <v>45574</v>
      </c>
    </row>
    <row r="1645" spans="2:38" ht="15.75" outlineLevel="1">
      <c r="B1645" s="345">
        <v>2111</v>
      </c>
      <c r="C1645" s="346">
        <v>21064</v>
      </c>
      <c r="D1645" s="345" t="s">
        <v>944</v>
      </c>
      <c r="E1645" s="347" t="s">
        <v>4240</v>
      </c>
      <c r="F1645" s="343" t="s">
        <v>3679</v>
      </c>
      <c r="I1645" s="345">
        <v>1</v>
      </c>
      <c r="J1645" s="347"/>
      <c r="K1645" s="345">
        <v>0</v>
      </c>
      <c r="L1645" s="347"/>
      <c r="M1645" s="347"/>
      <c r="N1645" s="347" t="s">
        <v>4452</v>
      </c>
      <c r="O1645" s="347" t="s">
        <v>4441</v>
      </c>
      <c r="P1645" s="347"/>
      <c r="Q1645" s="347"/>
      <c r="R1645" s="347"/>
      <c r="S1645" s="348">
        <v>37894</v>
      </c>
      <c r="T1645" s="348">
        <v>37894</v>
      </c>
      <c r="U1645" s="347" t="s">
        <v>3681</v>
      </c>
      <c r="V1645" s="345">
        <v>2000</v>
      </c>
      <c r="W1645" s="345">
        <v>14080</v>
      </c>
      <c r="X1645" s="349">
        <v>5830</v>
      </c>
      <c r="Y1645" s="345">
        <v>14086</v>
      </c>
      <c r="Z1645" s="349">
        <v>5830</v>
      </c>
      <c r="AA1645" s="349">
        <f t="shared" si="110"/>
        <v>0</v>
      </c>
      <c r="AB1645" s="349">
        <v>0</v>
      </c>
      <c r="AC1645" s="345">
        <v>57260</v>
      </c>
      <c r="AD1645" s="349">
        <v>0</v>
      </c>
      <c r="AE1645" s="345" t="s">
        <v>944</v>
      </c>
      <c r="AF1645" s="347"/>
      <c r="AG1645" s="347"/>
      <c r="AH1645" s="347" t="s">
        <v>57</v>
      </c>
      <c r="AI1645" s="347" t="s">
        <v>4442</v>
      </c>
      <c r="AJ1645" s="347" t="s">
        <v>4443</v>
      </c>
      <c r="AK1645" s="347" t="s">
        <v>4437</v>
      </c>
      <c r="AL1645" s="387">
        <v>45574</v>
      </c>
    </row>
    <row r="1646" spans="2:38" ht="15.75" outlineLevel="1">
      <c r="B1646" s="345">
        <v>2111</v>
      </c>
      <c r="C1646" s="346">
        <v>20883</v>
      </c>
      <c r="D1646" s="345" t="s">
        <v>944</v>
      </c>
      <c r="E1646" s="347" t="s">
        <v>4240</v>
      </c>
      <c r="F1646" s="343" t="s">
        <v>3682</v>
      </c>
      <c r="I1646" s="345">
        <v>6</v>
      </c>
      <c r="J1646" s="347"/>
      <c r="K1646" s="345">
        <v>0</v>
      </c>
      <c r="L1646" s="347" t="s">
        <v>2539</v>
      </c>
      <c r="M1646" s="347"/>
      <c r="N1646" s="347" t="s">
        <v>4446</v>
      </c>
      <c r="O1646" s="347" t="s">
        <v>4441</v>
      </c>
      <c r="P1646" s="347"/>
      <c r="Q1646" s="347" t="s">
        <v>4447</v>
      </c>
      <c r="R1646" s="347" t="s">
        <v>4448</v>
      </c>
      <c r="S1646" s="348">
        <v>37864</v>
      </c>
      <c r="T1646" s="348">
        <v>37864</v>
      </c>
      <c r="U1646" s="347" t="s">
        <v>3683</v>
      </c>
      <c r="V1646" s="345">
        <v>1200</v>
      </c>
      <c r="W1646" s="345">
        <v>14050</v>
      </c>
      <c r="X1646" s="349">
        <v>20816.64</v>
      </c>
      <c r="Y1646" s="345">
        <v>14056</v>
      </c>
      <c r="Z1646" s="349">
        <v>20816.64</v>
      </c>
      <c r="AA1646" s="349">
        <f t="shared" si="110"/>
        <v>0</v>
      </c>
      <c r="AB1646" s="349">
        <v>0</v>
      </c>
      <c r="AC1646" s="345">
        <v>54260</v>
      </c>
      <c r="AD1646" s="349">
        <v>0</v>
      </c>
      <c r="AE1646" s="345" t="s">
        <v>944</v>
      </c>
      <c r="AF1646" s="347"/>
      <c r="AG1646" s="347"/>
      <c r="AH1646" s="347" t="s">
        <v>57</v>
      </c>
      <c r="AI1646" s="347" t="s">
        <v>4442</v>
      </c>
      <c r="AJ1646" s="347" t="s">
        <v>4443</v>
      </c>
      <c r="AK1646" s="347" t="s">
        <v>4437</v>
      </c>
      <c r="AL1646" s="387">
        <v>45574</v>
      </c>
    </row>
    <row r="1647" spans="2:38" ht="15.75" outlineLevel="1">
      <c r="B1647" s="345">
        <v>2111</v>
      </c>
      <c r="C1647" s="346">
        <v>20646</v>
      </c>
      <c r="D1647" s="345" t="s">
        <v>944</v>
      </c>
      <c r="E1647" s="347" t="s">
        <v>4240</v>
      </c>
      <c r="F1647" s="343" t="s">
        <v>3684</v>
      </c>
      <c r="I1647" s="345">
        <v>1</v>
      </c>
      <c r="J1647" s="347"/>
      <c r="K1647" s="345">
        <v>0</v>
      </c>
      <c r="L1647" s="347" t="s">
        <v>3685</v>
      </c>
      <c r="M1647" s="347"/>
      <c r="N1647" s="347" t="s">
        <v>4452</v>
      </c>
      <c r="O1647" s="347" t="s">
        <v>4441</v>
      </c>
      <c r="P1647" s="347"/>
      <c r="Q1647" s="347"/>
      <c r="R1647" s="347"/>
      <c r="S1647" s="348">
        <v>37864</v>
      </c>
      <c r="T1647" s="348">
        <v>37864</v>
      </c>
      <c r="U1647" s="347" t="s">
        <v>3681</v>
      </c>
      <c r="V1647" s="345">
        <v>2000</v>
      </c>
      <c r="W1647" s="345">
        <v>14080</v>
      </c>
      <c r="X1647" s="349">
        <v>2810.49</v>
      </c>
      <c r="Y1647" s="345">
        <v>14086</v>
      </c>
      <c r="Z1647" s="349">
        <v>2810.49</v>
      </c>
      <c r="AA1647" s="349">
        <f t="shared" si="110"/>
        <v>0</v>
      </c>
      <c r="AB1647" s="349">
        <v>0</v>
      </c>
      <c r="AC1647" s="345">
        <v>57260</v>
      </c>
      <c r="AD1647" s="349">
        <v>0</v>
      </c>
      <c r="AE1647" s="345" t="s">
        <v>944</v>
      </c>
      <c r="AF1647" s="347"/>
      <c r="AG1647" s="347"/>
      <c r="AH1647" s="347" t="s">
        <v>57</v>
      </c>
      <c r="AI1647" s="347" t="s">
        <v>4442</v>
      </c>
      <c r="AJ1647" s="347" t="s">
        <v>4443</v>
      </c>
      <c r="AK1647" s="347" t="s">
        <v>4437</v>
      </c>
      <c r="AL1647" s="387">
        <v>45574</v>
      </c>
    </row>
    <row r="1648" spans="2:38" ht="15.75" outlineLevel="1">
      <c r="B1648" s="345">
        <v>2111</v>
      </c>
      <c r="C1648" s="346">
        <v>20545</v>
      </c>
      <c r="D1648" s="345" t="s">
        <v>944</v>
      </c>
      <c r="E1648" s="347" t="s">
        <v>4240</v>
      </c>
      <c r="F1648" s="343" t="s">
        <v>3686</v>
      </c>
      <c r="I1648" s="345">
        <v>1</v>
      </c>
      <c r="J1648" s="347"/>
      <c r="K1648" s="345">
        <v>0</v>
      </c>
      <c r="L1648" s="347" t="s">
        <v>3685</v>
      </c>
      <c r="M1648" s="347"/>
      <c r="N1648" s="347" t="s">
        <v>4452</v>
      </c>
      <c r="O1648" s="347" t="s">
        <v>4441</v>
      </c>
      <c r="P1648" s="347"/>
      <c r="Q1648" s="347"/>
      <c r="R1648" s="347"/>
      <c r="S1648" s="348">
        <v>37833</v>
      </c>
      <c r="T1648" s="348">
        <v>37833</v>
      </c>
      <c r="U1648" s="347" t="s">
        <v>3681</v>
      </c>
      <c r="V1648" s="345">
        <v>2000</v>
      </c>
      <c r="W1648" s="345">
        <v>14080</v>
      </c>
      <c r="X1648" s="349">
        <v>5830</v>
      </c>
      <c r="Y1648" s="345">
        <v>14086</v>
      </c>
      <c r="Z1648" s="349">
        <v>5830</v>
      </c>
      <c r="AA1648" s="349">
        <f t="shared" si="110"/>
        <v>0</v>
      </c>
      <c r="AB1648" s="349">
        <v>0</v>
      </c>
      <c r="AC1648" s="345">
        <v>57260</v>
      </c>
      <c r="AD1648" s="349">
        <v>0</v>
      </c>
      <c r="AE1648" s="345" t="s">
        <v>944</v>
      </c>
      <c r="AF1648" s="347"/>
      <c r="AG1648" s="347"/>
      <c r="AH1648" s="347" t="s">
        <v>57</v>
      </c>
      <c r="AI1648" s="347" t="s">
        <v>4442</v>
      </c>
      <c r="AJ1648" s="347" t="s">
        <v>4443</v>
      </c>
      <c r="AK1648" s="347" t="s">
        <v>4437</v>
      </c>
      <c r="AL1648" s="387">
        <v>45574</v>
      </c>
    </row>
    <row r="1649" spans="2:38" ht="15.75" outlineLevel="1">
      <c r="B1649" s="345">
        <v>2111</v>
      </c>
      <c r="C1649" s="346">
        <v>20544</v>
      </c>
      <c r="D1649" s="345" t="s">
        <v>944</v>
      </c>
      <c r="E1649" s="347" t="s">
        <v>4240</v>
      </c>
      <c r="F1649" s="343" t="s">
        <v>3686</v>
      </c>
      <c r="I1649" s="345">
        <v>1</v>
      </c>
      <c r="J1649" s="347"/>
      <c r="K1649" s="345">
        <v>0</v>
      </c>
      <c r="L1649" s="347" t="s">
        <v>3685</v>
      </c>
      <c r="M1649" s="347"/>
      <c r="N1649" s="347" t="s">
        <v>4452</v>
      </c>
      <c r="O1649" s="347" t="s">
        <v>4441</v>
      </c>
      <c r="P1649" s="347"/>
      <c r="Q1649" s="347"/>
      <c r="R1649" s="347"/>
      <c r="S1649" s="348">
        <v>37802</v>
      </c>
      <c r="T1649" s="348">
        <v>37802</v>
      </c>
      <c r="U1649" s="347" t="s">
        <v>3681</v>
      </c>
      <c r="V1649" s="345">
        <v>2000</v>
      </c>
      <c r="W1649" s="345">
        <v>14080</v>
      </c>
      <c r="X1649" s="349">
        <v>5830</v>
      </c>
      <c r="Y1649" s="345">
        <v>14086</v>
      </c>
      <c r="Z1649" s="349">
        <v>5830</v>
      </c>
      <c r="AA1649" s="349">
        <f t="shared" si="110"/>
        <v>0</v>
      </c>
      <c r="AB1649" s="349">
        <v>0</v>
      </c>
      <c r="AC1649" s="345">
        <v>57260</v>
      </c>
      <c r="AD1649" s="349">
        <v>0</v>
      </c>
      <c r="AE1649" s="345" t="s">
        <v>944</v>
      </c>
      <c r="AF1649" s="347"/>
      <c r="AG1649" s="347"/>
      <c r="AH1649" s="347" t="s">
        <v>57</v>
      </c>
      <c r="AI1649" s="347" t="s">
        <v>4442</v>
      </c>
      <c r="AJ1649" s="347" t="s">
        <v>4443</v>
      </c>
      <c r="AK1649" s="347" t="s">
        <v>4437</v>
      </c>
      <c r="AL1649" s="387">
        <v>45574</v>
      </c>
    </row>
    <row r="1650" spans="2:38" ht="15.75" outlineLevel="1">
      <c r="B1650" s="345">
        <v>2111</v>
      </c>
      <c r="C1650" s="346">
        <v>19974</v>
      </c>
      <c r="D1650" s="345" t="s">
        <v>944</v>
      </c>
      <c r="E1650" s="347" t="s">
        <v>4240</v>
      </c>
      <c r="F1650" s="343" t="s">
        <v>3687</v>
      </c>
      <c r="I1650" s="345">
        <v>1</v>
      </c>
      <c r="J1650" s="347"/>
      <c r="K1650" s="345">
        <v>0</v>
      </c>
      <c r="L1650" s="347" t="s">
        <v>3688</v>
      </c>
      <c r="M1650" s="347"/>
      <c r="N1650" s="347" t="s">
        <v>4452</v>
      </c>
      <c r="O1650" s="347" t="s">
        <v>4441</v>
      </c>
      <c r="P1650" s="347"/>
      <c r="Q1650" s="347"/>
      <c r="R1650" s="347"/>
      <c r="S1650" s="348">
        <v>37802</v>
      </c>
      <c r="T1650" s="348">
        <v>37802</v>
      </c>
      <c r="U1650" s="347" t="s">
        <v>3681</v>
      </c>
      <c r="V1650" s="345">
        <v>2000</v>
      </c>
      <c r="W1650" s="345">
        <v>14080</v>
      </c>
      <c r="X1650" s="349">
        <v>3443</v>
      </c>
      <c r="Y1650" s="345">
        <v>14086</v>
      </c>
      <c r="Z1650" s="349">
        <v>3443</v>
      </c>
      <c r="AA1650" s="349">
        <f t="shared" si="110"/>
        <v>0</v>
      </c>
      <c r="AB1650" s="349">
        <v>0</v>
      </c>
      <c r="AC1650" s="345">
        <v>57260</v>
      </c>
      <c r="AD1650" s="349">
        <v>0</v>
      </c>
      <c r="AE1650" s="345" t="s">
        <v>944</v>
      </c>
      <c r="AF1650" s="347"/>
      <c r="AG1650" s="347"/>
      <c r="AH1650" s="347" t="s">
        <v>57</v>
      </c>
      <c r="AI1650" s="347" t="s">
        <v>4442</v>
      </c>
      <c r="AJ1650" s="347" t="s">
        <v>4443</v>
      </c>
      <c r="AK1650" s="347" t="s">
        <v>4437</v>
      </c>
      <c r="AL1650" s="387">
        <v>45574</v>
      </c>
    </row>
    <row r="1651" spans="2:38" ht="15.75" outlineLevel="1">
      <c r="B1651" s="345">
        <v>2111</v>
      </c>
      <c r="C1651" s="346">
        <v>19960</v>
      </c>
      <c r="D1651" s="345" t="s">
        <v>944</v>
      </c>
      <c r="E1651" s="347" t="s">
        <v>4240</v>
      </c>
      <c r="F1651" s="343" t="s">
        <v>3690</v>
      </c>
      <c r="I1651" s="345">
        <v>1296</v>
      </c>
      <c r="J1651" s="347" t="s">
        <v>3691</v>
      </c>
      <c r="K1651" s="345">
        <v>0</v>
      </c>
      <c r="L1651" s="347" t="s">
        <v>2560</v>
      </c>
      <c r="M1651" s="347"/>
      <c r="N1651" s="347" t="s">
        <v>4446</v>
      </c>
      <c r="O1651" s="347" t="s">
        <v>4441</v>
      </c>
      <c r="P1651" s="347"/>
      <c r="Q1651" s="347"/>
      <c r="R1651" s="347"/>
      <c r="S1651" s="348">
        <v>37802</v>
      </c>
      <c r="T1651" s="348">
        <v>37802</v>
      </c>
      <c r="U1651" s="347" t="s">
        <v>3692</v>
      </c>
      <c r="V1651" s="345">
        <v>700</v>
      </c>
      <c r="W1651" s="345">
        <v>14050</v>
      </c>
      <c r="X1651" s="349">
        <v>58417.83</v>
      </c>
      <c r="Y1651" s="345">
        <v>14056</v>
      </c>
      <c r="Z1651" s="349">
        <v>58417.83</v>
      </c>
      <c r="AA1651" s="349">
        <f t="shared" si="110"/>
        <v>0</v>
      </c>
      <c r="AB1651" s="349">
        <v>0</v>
      </c>
      <c r="AC1651" s="345">
        <v>54260</v>
      </c>
      <c r="AD1651" s="349">
        <v>0</v>
      </c>
      <c r="AE1651" s="345" t="s">
        <v>944</v>
      </c>
      <c r="AF1651" s="347"/>
      <c r="AG1651" s="347"/>
      <c r="AH1651" s="347" t="s">
        <v>57</v>
      </c>
      <c r="AI1651" s="347" t="s">
        <v>4442</v>
      </c>
      <c r="AJ1651" s="347" t="s">
        <v>4443</v>
      </c>
      <c r="AK1651" s="347" t="s">
        <v>4437</v>
      </c>
      <c r="AL1651" s="387">
        <v>45574</v>
      </c>
    </row>
    <row r="1652" spans="2:38" ht="15.75" outlineLevel="1">
      <c r="B1652" s="345">
        <v>2111</v>
      </c>
      <c r="C1652" s="346">
        <v>19647</v>
      </c>
      <c r="D1652" s="345" t="s">
        <v>944</v>
      </c>
      <c r="E1652" s="347" t="s">
        <v>4240</v>
      </c>
      <c r="F1652" s="343" t="s">
        <v>1277</v>
      </c>
      <c r="I1652" s="345">
        <v>1</v>
      </c>
      <c r="J1652" s="347" t="s">
        <v>3693</v>
      </c>
      <c r="K1652" s="345">
        <v>2003</v>
      </c>
      <c r="L1652" s="347" t="s">
        <v>2378</v>
      </c>
      <c r="M1652" s="347" t="s">
        <v>1522</v>
      </c>
      <c r="N1652" s="347" t="s">
        <v>4445</v>
      </c>
      <c r="O1652" s="347" t="s">
        <v>4441</v>
      </c>
      <c r="P1652" s="347" t="s">
        <v>4463</v>
      </c>
      <c r="Q1652" s="347"/>
      <c r="R1652" s="347"/>
      <c r="S1652" s="348">
        <v>37712</v>
      </c>
      <c r="T1652" s="348">
        <v>37652</v>
      </c>
      <c r="U1652" s="347" t="s">
        <v>3694</v>
      </c>
      <c r="V1652" s="345">
        <v>1000</v>
      </c>
      <c r="W1652" s="345">
        <v>14040</v>
      </c>
      <c r="X1652" s="349">
        <v>123452.02</v>
      </c>
      <c r="Y1652" s="345">
        <v>14046</v>
      </c>
      <c r="Z1652" s="349">
        <v>123452.02</v>
      </c>
      <c r="AA1652" s="349">
        <f t="shared" si="110"/>
        <v>0</v>
      </c>
      <c r="AB1652" s="349">
        <v>0</v>
      </c>
      <c r="AC1652" s="345">
        <v>51260</v>
      </c>
      <c r="AD1652" s="349">
        <v>0</v>
      </c>
      <c r="AE1652" s="345" t="s">
        <v>944</v>
      </c>
      <c r="AF1652" s="347"/>
      <c r="AG1652" s="347">
        <v>606</v>
      </c>
      <c r="AH1652" s="347" t="s">
        <v>57</v>
      </c>
      <c r="AI1652" s="347" t="s">
        <v>4442</v>
      </c>
      <c r="AJ1652" s="347" t="s">
        <v>4443</v>
      </c>
      <c r="AK1652" s="347" t="s">
        <v>4437</v>
      </c>
      <c r="AL1652" s="387">
        <v>45574</v>
      </c>
    </row>
    <row r="1653" spans="2:38" ht="15.75" outlineLevel="1">
      <c r="B1653" s="345">
        <v>2111</v>
      </c>
      <c r="C1653" s="346">
        <v>19427</v>
      </c>
      <c r="D1653" s="345" t="s">
        <v>944</v>
      </c>
      <c r="E1653" s="347" t="s">
        <v>4240</v>
      </c>
      <c r="F1653" s="343" t="s">
        <v>3695</v>
      </c>
      <c r="I1653" s="345">
        <v>1</v>
      </c>
      <c r="J1653" s="347"/>
      <c r="K1653" s="345">
        <v>0</v>
      </c>
      <c r="L1653" s="347" t="s">
        <v>3696</v>
      </c>
      <c r="M1653" s="347"/>
      <c r="N1653" s="347" t="s">
        <v>4452</v>
      </c>
      <c r="O1653" s="347" t="s">
        <v>4441</v>
      </c>
      <c r="P1653" s="347"/>
      <c r="Q1653" s="347"/>
      <c r="R1653" s="347"/>
      <c r="S1653" s="348">
        <v>37772</v>
      </c>
      <c r="T1653" s="348">
        <v>37772</v>
      </c>
      <c r="U1653" s="347" t="s">
        <v>3681</v>
      </c>
      <c r="V1653" s="345">
        <v>2000</v>
      </c>
      <c r="W1653" s="345">
        <v>14080</v>
      </c>
      <c r="X1653" s="349">
        <v>2955.23</v>
      </c>
      <c r="Y1653" s="345">
        <v>14086</v>
      </c>
      <c r="Z1653" s="349">
        <v>2955.23</v>
      </c>
      <c r="AA1653" s="349">
        <f t="shared" si="110"/>
        <v>0</v>
      </c>
      <c r="AB1653" s="349">
        <v>0</v>
      </c>
      <c r="AC1653" s="345">
        <v>57260</v>
      </c>
      <c r="AD1653" s="349">
        <v>0</v>
      </c>
      <c r="AE1653" s="345" t="s">
        <v>944</v>
      </c>
      <c r="AF1653" s="347"/>
      <c r="AG1653" s="347"/>
      <c r="AH1653" s="347" t="s">
        <v>57</v>
      </c>
      <c r="AI1653" s="347" t="s">
        <v>4442</v>
      </c>
      <c r="AJ1653" s="347" t="s">
        <v>4443</v>
      </c>
      <c r="AK1653" s="347" t="s">
        <v>4437</v>
      </c>
      <c r="AL1653" s="387">
        <v>45574</v>
      </c>
    </row>
    <row r="1654" spans="2:38" ht="15.75" outlineLevel="1">
      <c r="B1654" s="345">
        <v>2111</v>
      </c>
      <c r="C1654" s="346">
        <v>19426</v>
      </c>
      <c r="D1654" s="345" t="s">
        <v>944</v>
      </c>
      <c r="E1654" s="347" t="s">
        <v>4240</v>
      </c>
      <c r="F1654" s="343" t="s">
        <v>3697</v>
      </c>
      <c r="I1654" s="345">
        <v>1</v>
      </c>
      <c r="J1654" s="347"/>
      <c r="K1654" s="345">
        <v>0</v>
      </c>
      <c r="L1654" s="347" t="s">
        <v>3698</v>
      </c>
      <c r="M1654" s="347"/>
      <c r="N1654" s="347" t="s">
        <v>4452</v>
      </c>
      <c r="O1654" s="347" t="s">
        <v>4441</v>
      </c>
      <c r="P1654" s="347"/>
      <c r="Q1654" s="347"/>
      <c r="R1654" s="347"/>
      <c r="S1654" s="348">
        <v>37756</v>
      </c>
      <c r="T1654" s="348">
        <v>37756</v>
      </c>
      <c r="U1654" s="347" t="s">
        <v>3681</v>
      </c>
      <c r="V1654" s="345">
        <v>2000</v>
      </c>
      <c r="W1654" s="345">
        <v>14080</v>
      </c>
      <c r="X1654" s="349">
        <v>40733.519999999997</v>
      </c>
      <c r="Y1654" s="345">
        <v>14086</v>
      </c>
      <c r="Z1654" s="349">
        <v>40733.519999999997</v>
      </c>
      <c r="AA1654" s="349">
        <f t="shared" si="110"/>
        <v>0</v>
      </c>
      <c r="AB1654" s="349">
        <v>0</v>
      </c>
      <c r="AC1654" s="345">
        <v>57260</v>
      </c>
      <c r="AD1654" s="349">
        <v>0</v>
      </c>
      <c r="AE1654" s="345" t="s">
        <v>944</v>
      </c>
      <c r="AF1654" s="347"/>
      <c r="AG1654" s="347"/>
      <c r="AH1654" s="347" t="s">
        <v>57</v>
      </c>
      <c r="AI1654" s="347" t="s">
        <v>4442</v>
      </c>
      <c r="AJ1654" s="347" t="s">
        <v>4443</v>
      </c>
      <c r="AK1654" s="347" t="s">
        <v>4437</v>
      </c>
      <c r="AL1654" s="387">
        <v>45574</v>
      </c>
    </row>
    <row r="1655" spans="2:38" ht="15.75" outlineLevel="1">
      <c r="B1655" s="345">
        <v>2111</v>
      </c>
      <c r="C1655" s="346">
        <v>19280</v>
      </c>
      <c r="D1655" s="345" t="s">
        <v>944</v>
      </c>
      <c r="E1655" s="347" t="s">
        <v>4240</v>
      </c>
      <c r="F1655" s="343" t="s">
        <v>3699</v>
      </c>
      <c r="I1655" s="345">
        <v>1</v>
      </c>
      <c r="J1655" s="347"/>
      <c r="K1655" s="345">
        <v>0</v>
      </c>
      <c r="L1655" s="347" t="s">
        <v>3688</v>
      </c>
      <c r="M1655" s="347"/>
      <c r="N1655" s="347" t="s">
        <v>4452</v>
      </c>
      <c r="O1655" s="347" t="s">
        <v>4441</v>
      </c>
      <c r="P1655" s="347"/>
      <c r="Q1655" s="347"/>
      <c r="R1655" s="347"/>
      <c r="S1655" s="348">
        <v>37741</v>
      </c>
      <c r="T1655" s="348">
        <v>37741</v>
      </c>
      <c r="U1655" s="347" t="s">
        <v>3681</v>
      </c>
      <c r="V1655" s="345">
        <v>2000</v>
      </c>
      <c r="W1655" s="345">
        <v>14080</v>
      </c>
      <c r="X1655" s="349">
        <v>4000</v>
      </c>
      <c r="Y1655" s="345">
        <v>14086</v>
      </c>
      <c r="Z1655" s="349">
        <v>4000</v>
      </c>
      <c r="AA1655" s="349">
        <f t="shared" si="110"/>
        <v>0</v>
      </c>
      <c r="AB1655" s="349">
        <v>0</v>
      </c>
      <c r="AC1655" s="345">
        <v>57260</v>
      </c>
      <c r="AD1655" s="349">
        <v>0</v>
      </c>
      <c r="AE1655" s="345" t="s">
        <v>944</v>
      </c>
      <c r="AF1655" s="347"/>
      <c r="AG1655" s="347"/>
      <c r="AH1655" s="347" t="s">
        <v>57</v>
      </c>
      <c r="AI1655" s="347" t="s">
        <v>4442</v>
      </c>
      <c r="AJ1655" s="347" t="s">
        <v>4443</v>
      </c>
      <c r="AK1655" s="347" t="s">
        <v>4437</v>
      </c>
      <c r="AL1655" s="387">
        <v>45574</v>
      </c>
    </row>
    <row r="1656" spans="2:38" ht="15.75" outlineLevel="1">
      <c r="B1656" s="345">
        <v>2111</v>
      </c>
      <c r="C1656" s="346">
        <v>19270</v>
      </c>
      <c r="D1656" s="345" t="s">
        <v>944</v>
      </c>
      <c r="E1656" s="347" t="s">
        <v>4240</v>
      </c>
      <c r="F1656" s="343" t="s">
        <v>2535</v>
      </c>
      <c r="I1656" s="345">
        <v>768</v>
      </c>
      <c r="J1656" s="347" t="s">
        <v>3701</v>
      </c>
      <c r="K1656" s="345">
        <v>0</v>
      </c>
      <c r="L1656" s="347" t="s">
        <v>2546</v>
      </c>
      <c r="M1656" s="347"/>
      <c r="N1656" s="347" t="s">
        <v>4446</v>
      </c>
      <c r="O1656" s="347" t="s">
        <v>4441</v>
      </c>
      <c r="P1656" s="347"/>
      <c r="Q1656" s="347"/>
      <c r="R1656" s="347"/>
      <c r="S1656" s="348">
        <v>37711</v>
      </c>
      <c r="T1656" s="348">
        <v>37711</v>
      </c>
      <c r="U1656" s="347" t="s">
        <v>3702</v>
      </c>
      <c r="V1656" s="345">
        <v>700</v>
      </c>
      <c r="W1656" s="345">
        <v>14050</v>
      </c>
      <c r="X1656" s="349">
        <v>33423.360000000001</v>
      </c>
      <c r="Y1656" s="345">
        <v>14056</v>
      </c>
      <c r="Z1656" s="349">
        <v>33423.360000000001</v>
      </c>
      <c r="AA1656" s="349">
        <f t="shared" si="110"/>
        <v>0</v>
      </c>
      <c r="AB1656" s="349">
        <v>0</v>
      </c>
      <c r="AC1656" s="345">
        <v>54260</v>
      </c>
      <c r="AD1656" s="349">
        <v>0</v>
      </c>
      <c r="AE1656" s="345" t="s">
        <v>944</v>
      </c>
      <c r="AF1656" s="347"/>
      <c r="AG1656" s="347"/>
      <c r="AH1656" s="347" t="s">
        <v>57</v>
      </c>
      <c r="AI1656" s="347" t="s">
        <v>4442</v>
      </c>
      <c r="AJ1656" s="347" t="s">
        <v>4443</v>
      </c>
      <c r="AK1656" s="347" t="s">
        <v>4437</v>
      </c>
      <c r="AL1656" s="387">
        <v>45574</v>
      </c>
    </row>
    <row r="1657" spans="2:38" ht="15.75" outlineLevel="1">
      <c r="B1657" s="345">
        <v>2111</v>
      </c>
      <c r="C1657" s="346">
        <v>19228</v>
      </c>
      <c r="D1657" s="345" t="s">
        <v>944</v>
      </c>
      <c r="E1657" s="347" t="s">
        <v>4240</v>
      </c>
      <c r="F1657" s="343" t="s">
        <v>3704</v>
      </c>
      <c r="I1657" s="345">
        <v>1</v>
      </c>
      <c r="J1657" s="347"/>
      <c r="K1657" s="345">
        <v>0</v>
      </c>
      <c r="L1657" s="347" t="s">
        <v>3705</v>
      </c>
      <c r="M1657" s="347"/>
      <c r="N1657" s="347" t="s">
        <v>4444</v>
      </c>
      <c r="O1657" s="347" t="s">
        <v>4444</v>
      </c>
      <c r="P1657" s="347"/>
      <c r="Q1657" s="347"/>
      <c r="R1657" s="347"/>
      <c r="S1657" s="348">
        <v>37741</v>
      </c>
      <c r="T1657" s="348">
        <v>37741</v>
      </c>
      <c r="U1657" s="347" t="s">
        <v>3706</v>
      </c>
      <c r="V1657" s="345">
        <v>0</v>
      </c>
      <c r="W1657" s="345">
        <v>14000</v>
      </c>
      <c r="X1657" s="349">
        <v>178988.17</v>
      </c>
      <c r="Y1657" s="345">
        <v>14016</v>
      </c>
      <c r="Z1657" s="349">
        <v>0</v>
      </c>
      <c r="AA1657" s="349">
        <f t="shared" si="110"/>
        <v>178988.17</v>
      </c>
      <c r="AB1657" s="349">
        <v>0</v>
      </c>
      <c r="AC1657" s="345">
        <v>57260</v>
      </c>
      <c r="AD1657" s="349">
        <v>0</v>
      </c>
      <c r="AE1657" s="345" t="s">
        <v>944</v>
      </c>
      <c r="AF1657" s="347"/>
      <c r="AG1657" s="347"/>
      <c r="AH1657" s="347" t="s">
        <v>57</v>
      </c>
      <c r="AI1657" s="347" t="s">
        <v>4442</v>
      </c>
      <c r="AJ1657" s="347" t="s">
        <v>1660</v>
      </c>
      <c r="AK1657" s="347" t="s">
        <v>4437</v>
      </c>
      <c r="AL1657" s="387">
        <v>45574</v>
      </c>
    </row>
    <row r="1658" spans="2:38" ht="15.75" outlineLevel="1">
      <c r="B1658" s="345">
        <v>2111</v>
      </c>
      <c r="C1658" s="346">
        <v>19079</v>
      </c>
      <c r="D1658" s="345" t="s">
        <v>944</v>
      </c>
      <c r="E1658" s="347" t="s">
        <v>4240</v>
      </c>
      <c r="F1658" s="343" t="s">
        <v>3707</v>
      </c>
      <c r="I1658" s="345">
        <v>1</v>
      </c>
      <c r="J1658" s="347"/>
      <c r="K1658" s="345">
        <v>0</v>
      </c>
      <c r="L1658" s="347" t="s">
        <v>3696</v>
      </c>
      <c r="M1658" s="347"/>
      <c r="N1658" s="347" t="s">
        <v>4452</v>
      </c>
      <c r="O1658" s="347" t="s">
        <v>4441</v>
      </c>
      <c r="P1658" s="347"/>
      <c r="Q1658" s="347"/>
      <c r="R1658" s="347"/>
      <c r="S1658" s="348">
        <v>37741</v>
      </c>
      <c r="T1658" s="348">
        <v>37741</v>
      </c>
      <c r="U1658" s="347" t="s">
        <v>3708</v>
      </c>
      <c r="V1658" s="345">
        <v>2000</v>
      </c>
      <c r="W1658" s="345">
        <v>14080</v>
      </c>
      <c r="X1658" s="349">
        <v>3000</v>
      </c>
      <c r="Y1658" s="345">
        <v>14086</v>
      </c>
      <c r="Z1658" s="349">
        <v>3000</v>
      </c>
      <c r="AA1658" s="349">
        <f t="shared" si="110"/>
        <v>0</v>
      </c>
      <c r="AB1658" s="349">
        <v>0</v>
      </c>
      <c r="AC1658" s="345">
        <v>57260</v>
      </c>
      <c r="AD1658" s="349">
        <v>0</v>
      </c>
      <c r="AE1658" s="345" t="s">
        <v>944</v>
      </c>
      <c r="AF1658" s="347"/>
      <c r="AG1658" s="347"/>
      <c r="AH1658" s="347" t="s">
        <v>57</v>
      </c>
      <c r="AI1658" s="347" t="s">
        <v>4442</v>
      </c>
      <c r="AJ1658" s="347" t="s">
        <v>4443</v>
      </c>
      <c r="AK1658" s="347" t="s">
        <v>4437</v>
      </c>
      <c r="AL1658" s="387">
        <v>45574</v>
      </c>
    </row>
    <row r="1659" spans="2:38" ht="15.75" outlineLevel="1">
      <c r="B1659" s="345">
        <v>2111</v>
      </c>
      <c r="C1659" s="346">
        <v>18963</v>
      </c>
      <c r="D1659" s="345" t="s">
        <v>944</v>
      </c>
      <c r="E1659" s="347" t="s">
        <v>4240</v>
      </c>
      <c r="F1659" s="343" t="s">
        <v>3709</v>
      </c>
      <c r="I1659" s="345">
        <v>1</v>
      </c>
      <c r="J1659" s="347"/>
      <c r="K1659" s="345">
        <v>0</v>
      </c>
      <c r="L1659" s="347"/>
      <c r="M1659" s="347"/>
      <c r="N1659" s="347" t="s">
        <v>4452</v>
      </c>
      <c r="O1659" s="347" t="s">
        <v>4441</v>
      </c>
      <c r="P1659" s="347"/>
      <c r="Q1659" s="347"/>
      <c r="R1659" s="347"/>
      <c r="S1659" s="348">
        <v>37681</v>
      </c>
      <c r="T1659" s="348">
        <v>37681</v>
      </c>
      <c r="U1659" s="347" t="s">
        <v>3681</v>
      </c>
      <c r="V1659" s="345">
        <v>2000</v>
      </c>
      <c r="W1659" s="345">
        <v>14080</v>
      </c>
      <c r="X1659" s="349">
        <v>2099.2800000000002</v>
      </c>
      <c r="Y1659" s="345">
        <v>14086</v>
      </c>
      <c r="Z1659" s="349">
        <v>2099.2800000000002</v>
      </c>
      <c r="AA1659" s="349">
        <f t="shared" si="110"/>
        <v>0</v>
      </c>
      <c r="AB1659" s="349">
        <v>0</v>
      </c>
      <c r="AC1659" s="345">
        <v>57260</v>
      </c>
      <c r="AD1659" s="349">
        <v>0</v>
      </c>
      <c r="AE1659" s="345" t="s">
        <v>944</v>
      </c>
      <c r="AF1659" s="347"/>
      <c r="AG1659" s="347"/>
      <c r="AH1659" s="347" t="s">
        <v>57</v>
      </c>
      <c r="AI1659" s="347" t="s">
        <v>4442</v>
      </c>
      <c r="AJ1659" s="347" t="s">
        <v>4443</v>
      </c>
      <c r="AK1659" s="347" t="s">
        <v>4437</v>
      </c>
      <c r="AL1659" s="387">
        <v>45574</v>
      </c>
    </row>
    <row r="1660" spans="2:38" ht="15.75" outlineLevel="1">
      <c r="B1660" s="345">
        <v>2111</v>
      </c>
      <c r="C1660" s="346">
        <v>18953</v>
      </c>
      <c r="D1660" s="345" t="s">
        <v>944</v>
      </c>
      <c r="E1660" s="347" t="s">
        <v>4240</v>
      </c>
      <c r="F1660" s="343" t="s">
        <v>3710</v>
      </c>
      <c r="I1660" s="345">
        <v>384</v>
      </c>
      <c r="J1660" s="347" t="s">
        <v>3711</v>
      </c>
      <c r="K1660" s="345">
        <v>0</v>
      </c>
      <c r="L1660" s="347" t="s">
        <v>2546</v>
      </c>
      <c r="M1660" s="347"/>
      <c r="N1660" s="347" t="s">
        <v>4446</v>
      </c>
      <c r="O1660" s="347" t="s">
        <v>4441</v>
      </c>
      <c r="P1660" s="347"/>
      <c r="Q1660" s="347"/>
      <c r="R1660" s="347"/>
      <c r="S1660" s="348">
        <v>37641</v>
      </c>
      <c r="T1660" s="348">
        <v>37641</v>
      </c>
      <c r="U1660" s="347" t="s">
        <v>3712</v>
      </c>
      <c r="V1660" s="345">
        <v>700</v>
      </c>
      <c r="W1660" s="345">
        <v>14050</v>
      </c>
      <c r="X1660" s="349">
        <v>17146.400000000001</v>
      </c>
      <c r="Y1660" s="345">
        <v>14056</v>
      </c>
      <c r="Z1660" s="349">
        <v>17146.400000000001</v>
      </c>
      <c r="AA1660" s="349">
        <f t="shared" si="110"/>
        <v>0</v>
      </c>
      <c r="AB1660" s="349">
        <v>0</v>
      </c>
      <c r="AC1660" s="345">
        <v>54260</v>
      </c>
      <c r="AD1660" s="349">
        <v>0</v>
      </c>
      <c r="AE1660" s="345" t="s">
        <v>944</v>
      </c>
      <c r="AF1660" s="347"/>
      <c r="AG1660" s="347"/>
      <c r="AH1660" s="347" t="s">
        <v>57</v>
      </c>
      <c r="AI1660" s="347" t="s">
        <v>4442</v>
      </c>
      <c r="AJ1660" s="347" t="s">
        <v>4443</v>
      </c>
      <c r="AK1660" s="347" t="s">
        <v>4437</v>
      </c>
      <c r="AL1660" s="387">
        <v>45574</v>
      </c>
    </row>
    <row r="1661" spans="2:38" ht="15.75" outlineLevel="1">
      <c r="B1661" s="345">
        <v>2111</v>
      </c>
      <c r="C1661" s="346">
        <v>18434</v>
      </c>
      <c r="D1661" s="345" t="s">
        <v>944</v>
      </c>
      <c r="E1661" s="347" t="s">
        <v>4240</v>
      </c>
      <c r="F1661" s="343" t="s">
        <v>3714</v>
      </c>
      <c r="I1661" s="345">
        <v>1</v>
      </c>
      <c r="J1661" s="347"/>
      <c r="K1661" s="345">
        <v>0</v>
      </c>
      <c r="L1661" s="347"/>
      <c r="M1661" s="347"/>
      <c r="N1661" s="347" t="s">
        <v>4462</v>
      </c>
      <c r="O1661" s="347" t="s">
        <v>4441</v>
      </c>
      <c r="P1661" s="347"/>
      <c r="Q1661" s="347"/>
      <c r="R1661" s="347"/>
      <c r="S1661" s="348">
        <v>38260</v>
      </c>
      <c r="T1661" s="348">
        <v>37622</v>
      </c>
      <c r="U1661" s="347"/>
      <c r="V1661" s="345">
        <v>1000</v>
      </c>
      <c r="W1661" s="345">
        <v>14010</v>
      </c>
      <c r="X1661" s="349">
        <v>4548.99</v>
      </c>
      <c r="Y1661" s="345">
        <v>14016</v>
      </c>
      <c r="Z1661" s="349">
        <v>4548.99</v>
      </c>
      <c r="AA1661" s="349">
        <f t="shared" si="110"/>
        <v>0</v>
      </c>
      <c r="AB1661" s="349">
        <v>0</v>
      </c>
      <c r="AC1661" s="345">
        <v>57260</v>
      </c>
      <c r="AD1661" s="349">
        <v>0</v>
      </c>
      <c r="AE1661" s="345" t="s">
        <v>944</v>
      </c>
      <c r="AF1661" s="347"/>
      <c r="AG1661" s="347"/>
      <c r="AH1661" s="347" t="s">
        <v>57</v>
      </c>
      <c r="AI1661" s="347" t="s">
        <v>4442</v>
      </c>
      <c r="AJ1661" s="347" t="s">
        <v>4443</v>
      </c>
      <c r="AK1661" s="347" t="s">
        <v>4437</v>
      </c>
      <c r="AL1661" s="387">
        <v>45574</v>
      </c>
    </row>
    <row r="1662" spans="2:38" ht="15.75" outlineLevel="1">
      <c r="B1662" s="345">
        <v>2111</v>
      </c>
      <c r="C1662" s="346">
        <v>17900</v>
      </c>
      <c r="D1662" s="345" t="s">
        <v>944</v>
      </c>
      <c r="E1662" s="347" t="s">
        <v>4240</v>
      </c>
      <c r="F1662" s="343" t="s">
        <v>3716</v>
      </c>
      <c r="I1662" s="345">
        <v>1</v>
      </c>
      <c r="J1662" s="347"/>
      <c r="K1662" s="345">
        <v>0</v>
      </c>
      <c r="L1662" s="347" t="s">
        <v>2539</v>
      </c>
      <c r="M1662" s="347"/>
      <c r="N1662" s="347" t="s">
        <v>4446</v>
      </c>
      <c r="O1662" s="347" t="s">
        <v>4441</v>
      </c>
      <c r="P1662" s="347"/>
      <c r="Q1662" s="347" t="s">
        <v>4459</v>
      </c>
      <c r="R1662" s="347" t="s">
        <v>4450</v>
      </c>
      <c r="S1662" s="348">
        <v>37621</v>
      </c>
      <c r="T1662" s="348">
        <v>37621</v>
      </c>
      <c r="U1662" s="347" t="s">
        <v>3717</v>
      </c>
      <c r="V1662" s="345">
        <v>1200</v>
      </c>
      <c r="W1662" s="345">
        <v>14050</v>
      </c>
      <c r="X1662" s="349">
        <v>345.03</v>
      </c>
      <c r="Y1662" s="345">
        <v>14056</v>
      </c>
      <c r="Z1662" s="349">
        <v>345.03</v>
      </c>
      <c r="AA1662" s="349">
        <f t="shared" si="110"/>
        <v>0</v>
      </c>
      <c r="AB1662" s="349">
        <v>0</v>
      </c>
      <c r="AC1662" s="345">
        <v>54260</v>
      </c>
      <c r="AD1662" s="349">
        <v>0</v>
      </c>
      <c r="AE1662" s="345" t="s">
        <v>944</v>
      </c>
      <c r="AF1662" s="347"/>
      <c r="AG1662" s="347"/>
      <c r="AH1662" s="347" t="s">
        <v>57</v>
      </c>
      <c r="AI1662" s="347" t="s">
        <v>4442</v>
      </c>
      <c r="AJ1662" s="347" t="s">
        <v>4443</v>
      </c>
      <c r="AK1662" s="347" t="s">
        <v>4437</v>
      </c>
      <c r="AL1662" s="387">
        <v>45574</v>
      </c>
    </row>
    <row r="1663" spans="2:38" ht="15.75" outlineLevel="1">
      <c r="B1663" s="345">
        <v>2111</v>
      </c>
      <c r="C1663" s="346">
        <v>17899</v>
      </c>
      <c r="D1663" s="345" t="s">
        <v>944</v>
      </c>
      <c r="E1663" s="347" t="s">
        <v>4240</v>
      </c>
      <c r="F1663" s="343" t="s">
        <v>3718</v>
      </c>
      <c r="I1663" s="345">
        <v>15</v>
      </c>
      <c r="J1663" s="347"/>
      <c r="K1663" s="345">
        <v>0</v>
      </c>
      <c r="L1663" s="347" t="s">
        <v>2539</v>
      </c>
      <c r="M1663" s="347"/>
      <c r="N1663" s="347" t="s">
        <v>4446</v>
      </c>
      <c r="O1663" s="347" t="s">
        <v>4441</v>
      </c>
      <c r="P1663" s="347"/>
      <c r="Q1663" s="347" t="s">
        <v>4461</v>
      </c>
      <c r="R1663" s="347" t="s">
        <v>4450</v>
      </c>
      <c r="S1663" s="348">
        <v>37621</v>
      </c>
      <c r="T1663" s="348">
        <v>37621</v>
      </c>
      <c r="U1663" s="347" t="s">
        <v>3717</v>
      </c>
      <c r="V1663" s="345">
        <v>1200</v>
      </c>
      <c r="W1663" s="345">
        <v>14050</v>
      </c>
      <c r="X1663" s="349">
        <v>4849.95</v>
      </c>
      <c r="Y1663" s="345">
        <v>14056</v>
      </c>
      <c r="Z1663" s="349">
        <v>4849.95</v>
      </c>
      <c r="AA1663" s="349">
        <f t="shared" si="110"/>
        <v>0</v>
      </c>
      <c r="AB1663" s="349">
        <v>0</v>
      </c>
      <c r="AC1663" s="345">
        <v>54260</v>
      </c>
      <c r="AD1663" s="349">
        <v>0</v>
      </c>
      <c r="AE1663" s="345" t="s">
        <v>944</v>
      </c>
      <c r="AF1663" s="347"/>
      <c r="AG1663" s="347"/>
      <c r="AH1663" s="347" t="s">
        <v>57</v>
      </c>
      <c r="AI1663" s="347" t="s">
        <v>4442</v>
      </c>
      <c r="AJ1663" s="347" t="s">
        <v>4443</v>
      </c>
      <c r="AK1663" s="347" t="s">
        <v>4437</v>
      </c>
      <c r="AL1663" s="387">
        <v>45574</v>
      </c>
    </row>
    <row r="1664" spans="2:38" ht="15.75" outlineLevel="1">
      <c r="B1664" s="345">
        <v>2111</v>
      </c>
      <c r="C1664" s="346">
        <v>17898</v>
      </c>
      <c r="D1664" s="345" t="s">
        <v>944</v>
      </c>
      <c r="E1664" s="347" t="s">
        <v>4240</v>
      </c>
      <c r="F1664" s="343" t="s">
        <v>2574</v>
      </c>
      <c r="I1664" s="345">
        <v>15</v>
      </c>
      <c r="J1664" s="347"/>
      <c r="K1664" s="345">
        <v>0</v>
      </c>
      <c r="L1664" s="347" t="s">
        <v>2539</v>
      </c>
      <c r="M1664" s="347"/>
      <c r="N1664" s="347" t="s">
        <v>4446</v>
      </c>
      <c r="O1664" s="347" t="s">
        <v>4441</v>
      </c>
      <c r="P1664" s="347"/>
      <c r="Q1664" s="347" t="s">
        <v>4449</v>
      </c>
      <c r="R1664" s="347" t="s">
        <v>4450</v>
      </c>
      <c r="S1664" s="348">
        <v>37621</v>
      </c>
      <c r="T1664" s="348">
        <v>37621</v>
      </c>
      <c r="U1664" s="347" t="s">
        <v>3717</v>
      </c>
      <c r="V1664" s="345">
        <v>1200</v>
      </c>
      <c r="W1664" s="345">
        <v>14050</v>
      </c>
      <c r="X1664" s="349">
        <v>4540.7299999999996</v>
      </c>
      <c r="Y1664" s="345">
        <v>14056</v>
      </c>
      <c r="Z1664" s="349">
        <v>4540.7299999999996</v>
      </c>
      <c r="AA1664" s="349">
        <f t="shared" si="110"/>
        <v>0</v>
      </c>
      <c r="AB1664" s="349">
        <v>0</v>
      </c>
      <c r="AC1664" s="345">
        <v>54260</v>
      </c>
      <c r="AD1664" s="349">
        <v>0</v>
      </c>
      <c r="AE1664" s="345" t="s">
        <v>944</v>
      </c>
      <c r="AF1664" s="347"/>
      <c r="AG1664" s="347"/>
      <c r="AH1664" s="347" t="s">
        <v>57</v>
      </c>
      <c r="AI1664" s="347" t="s">
        <v>4442</v>
      </c>
      <c r="AJ1664" s="347" t="s">
        <v>4443</v>
      </c>
      <c r="AK1664" s="347" t="s">
        <v>4437</v>
      </c>
      <c r="AL1664" s="387">
        <v>45574</v>
      </c>
    </row>
    <row r="1665" spans="2:38" ht="15.75" outlineLevel="1">
      <c r="B1665" s="345">
        <v>2111</v>
      </c>
      <c r="C1665" s="346">
        <v>17353</v>
      </c>
      <c r="D1665" s="345" t="s">
        <v>944</v>
      </c>
      <c r="E1665" s="347" t="s">
        <v>4240</v>
      </c>
      <c r="F1665" s="343" t="s">
        <v>3719</v>
      </c>
      <c r="I1665" s="345">
        <v>1</v>
      </c>
      <c r="J1665" s="347" t="s">
        <v>3720</v>
      </c>
      <c r="K1665" s="345">
        <v>0</v>
      </c>
      <c r="L1665" s="347" t="s">
        <v>2550</v>
      </c>
      <c r="M1665" s="347"/>
      <c r="N1665" s="347" t="s">
        <v>4440</v>
      </c>
      <c r="O1665" s="347" t="s">
        <v>4441</v>
      </c>
      <c r="P1665" s="347"/>
      <c r="Q1665" s="347"/>
      <c r="R1665" s="347"/>
      <c r="S1665" s="348">
        <v>37522</v>
      </c>
      <c r="T1665" s="348">
        <v>37522</v>
      </c>
      <c r="U1665" s="347"/>
      <c r="V1665" s="345">
        <v>500</v>
      </c>
      <c r="W1665" s="345">
        <v>14110</v>
      </c>
      <c r="X1665" s="349">
        <v>5173.42</v>
      </c>
      <c r="Y1665" s="345">
        <v>14116</v>
      </c>
      <c r="Z1665" s="349">
        <v>5173.42</v>
      </c>
      <c r="AA1665" s="349">
        <f t="shared" si="110"/>
        <v>0</v>
      </c>
      <c r="AB1665" s="349">
        <v>0</v>
      </c>
      <c r="AC1665" s="345">
        <v>70260</v>
      </c>
      <c r="AD1665" s="349">
        <v>0</v>
      </c>
      <c r="AE1665" s="345" t="s">
        <v>944</v>
      </c>
      <c r="AF1665" s="347"/>
      <c r="AG1665" s="347"/>
      <c r="AH1665" s="347" t="s">
        <v>57</v>
      </c>
      <c r="AI1665" s="347" t="s">
        <v>4442</v>
      </c>
      <c r="AJ1665" s="347" t="s">
        <v>4443</v>
      </c>
      <c r="AK1665" s="347" t="s">
        <v>4437</v>
      </c>
      <c r="AL1665" s="387">
        <v>45574</v>
      </c>
    </row>
    <row r="1666" spans="2:38" ht="15.75" outlineLevel="1">
      <c r="B1666" s="345">
        <v>2111</v>
      </c>
      <c r="C1666" s="346">
        <v>16546</v>
      </c>
      <c r="D1666" s="345" t="s">
        <v>944</v>
      </c>
      <c r="E1666" s="347" t="s">
        <v>4240</v>
      </c>
      <c r="F1666" s="343" t="s">
        <v>3722</v>
      </c>
      <c r="I1666" s="345">
        <v>384</v>
      </c>
      <c r="J1666" s="347" t="s">
        <v>3723</v>
      </c>
      <c r="K1666" s="345">
        <v>0</v>
      </c>
      <c r="L1666" s="347" t="s">
        <v>2589</v>
      </c>
      <c r="M1666" s="347"/>
      <c r="N1666" s="347" t="s">
        <v>4446</v>
      </c>
      <c r="O1666" s="347" t="s">
        <v>4441</v>
      </c>
      <c r="P1666" s="347"/>
      <c r="Q1666" s="347"/>
      <c r="R1666" s="347"/>
      <c r="S1666" s="348">
        <v>37466</v>
      </c>
      <c r="T1666" s="348">
        <v>37466</v>
      </c>
      <c r="U1666" s="347" t="s">
        <v>3724</v>
      </c>
      <c r="V1666" s="345">
        <v>700</v>
      </c>
      <c r="W1666" s="345">
        <v>14050</v>
      </c>
      <c r="X1666" s="349">
        <v>19621.41</v>
      </c>
      <c r="Y1666" s="345">
        <v>14056</v>
      </c>
      <c r="Z1666" s="349">
        <v>19621.41</v>
      </c>
      <c r="AA1666" s="349">
        <f t="shared" si="110"/>
        <v>0</v>
      </c>
      <c r="AB1666" s="349">
        <v>0</v>
      </c>
      <c r="AC1666" s="345">
        <v>54260</v>
      </c>
      <c r="AD1666" s="349">
        <v>0</v>
      </c>
      <c r="AE1666" s="345" t="s">
        <v>944</v>
      </c>
      <c r="AF1666" s="347"/>
      <c r="AG1666" s="347"/>
      <c r="AH1666" s="347" t="s">
        <v>57</v>
      </c>
      <c r="AI1666" s="347" t="s">
        <v>4442</v>
      </c>
      <c r="AJ1666" s="347" t="s">
        <v>4443</v>
      </c>
      <c r="AK1666" s="347" t="s">
        <v>4437</v>
      </c>
      <c r="AL1666" s="387">
        <v>45574</v>
      </c>
    </row>
    <row r="1667" spans="2:38" ht="15.75" outlineLevel="1">
      <c r="B1667" s="345">
        <v>2111</v>
      </c>
      <c r="C1667" s="346">
        <v>16544</v>
      </c>
      <c r="D1667" s="345" t="s">
        <v>944</v>
      </c>
      <c r="E1667" s="347" t="s">
        <v>4240</v>
      </c>
      <c r="F1667" s="343" t="s">
        <v>752</v>
      </c>
      <c r="I1667" s="345">
        <v>3</v>
      </c>
      <c r="J1667" s="347" t="s">
        <v>3726</v>
      </c>
      <c r="K1667" s="345">
        <v>0</v>
      </c>
      <c r="L1667" s="347" t="s">
        <v>2125</v>
      </c>
      <c r="M1667" s="347"/>
      <c r="N1667" s="347" t="s">
        <v>4446</v>
      </c>
      <c r="O1667" s="347" t="s">
        <v>4441</v>
      </c>
      <c r="P1667" s="347"/>
      <c r="Q1667" s="347" t="s">
        <v>4447</v>
      </c>
      <c r="R1667" s="347" t="s">
        <v>4448</v>
      </c>
      <c r="S1667" s="348">
        <v>37452</v>
      </c>
      <c r="T1667" s="348">
        <v>37452</v>
      </c>
      <c r="U1667" s="347" t="s">
        <v>3727</v>
      </c>
      <c r="V1667" s="345">
        <v>1200</v>
      </c>
      <c r="W1667" s="345">
        <v>14050</v>
      </c>
      <c r="X1667" s="349">
        <v>10118.4</v>
      </c>
      <c r="Y1667" s="345">
        <v>14056</v>
      </c>
      <c r="Z1667" s="349">
        <v>10118.4</v>
      </c>
      <c r="AA1667" s="349">
        <f t="shared" si="110"/>
        <v>0</v>
      </c>
      <c r="AB1667" s="349">
        <v>0</v>
      </c>
      <c r="AC1667" s="345">
        <v>54260</v>
      </c>
      <c r="AD1667" s="349">
        <v>0</v>
      </c>
      <c r="AE1667" s="345" t="s">
        <v>944</v>
      </c>
      <c r="AF1667" s="347"/>
      <c r="AG1667" s="347"/>
      <c r="AH1667" s="347" t="s">
        <v>57</v>
      </c>
      <c r="AI1667" s="347" t="s">
        <v>4442</v>
      </c>
      <c r="AJ1667" s="347" t="s">
        <v>4443</v>
      </c>
      <c r="AK1667" s="347" t="s">
        <v>4437</v>
      </c>
      <c r="AL1667" s="387">
        <v>45574</v>
      </c>
    </row>
    <row r="1668" spans="2:38" ht="15.75" outlineLevel="1">
      <c r="B1668" s="345">
        <v>2111</v>
      </c>
      <c r="C1668" s="346">
        <v>16111</v>
      </c>
      <c r="D1668" s="345" t="s">
        <v>944</v>
      </c>
      <c r="E1668" s="347" t="s">
        <v>4240</v>
      </c>
      <c r="F1668" s="343" t="s">
        <v>3728</v>
      </c>
      <c r="I1668" s="345">
        <v>1</v>
      </c>
      <c r="J1668" s="347"/>
      <c r="K1668" s="345">
        <v>0</v>
      </c>
      <c r="L1668" s="347" t="s">
        <v>3729</v>
      </c>
      <c r="M1668" s="347"/>
      <c r="N1668" s="347" t="s">
        <v>4452</v>
      </c>
      <c r="O1668" s="347" t="s">
        <v>4441</v>
      </c>
      <c r="P1668" s="347"/>
      <c r="Q1668" s="347"/>
      <c r="R1668" s="347"/>
      <c r="S1668" s="348">
        <v>37414</v>
      </c>
      <c r="T1668" s="348">
        <v>37414</v>
      </c>
      <c r="U1668" s="347" t="s">
        <v>3730</v>
      </c>
      <c r="V1668" s="345">
        <v>1000</v>
      </c>
      <c r="W1668" s="345">
        <v>14080</v>
      </c>
      <c r="X1668" s="349">
        <v>22862.04</v>
      </c>
      <c r="Y1668" s="345">
        <v>14086</v>
      </c>
      <c r="Z1668" s="349">
        <v>22862.04</v>
      </c>
      <c r="AA1668" s="349">
        <f t="shared" si="110"/>
        <v>0</v>
      </c>
      <c r="AB1668" s="349">
        <v>0</v>
      </c>
      <c r="AC1668" s="345">
        <v>57260</v>
      </c>
      <c r="AD1668" s="349">
        <v>0</v>
      </c>
      <c r="AE1668" s="345" t="s">
        <v>944</v>
      </c>
      <c r="AF1668" s="347"/>
      <c r="AG1668" s="347"/>
      <c r="AH1668" s="347" t="s">
        <v>57</v>
      </c>
      <c r="AI1668" s="347" t="s">
        <v>4442</v>
      </c>
      <c r="AJ1668" s="347" t="s">
        <v>4443</v>
      </c>
      <c r="AK1668" s="347" t="s">
        <v>4437</v>
      </c>
      <c r="AL1668" s="387">
        <v>45574</v>
      </c>
    </row>
    <row r="1669" spans="2:38" ht="15.75" outlineLevel="1">
      <c r="B1669" s="345">
        <v>2111</v>
      </c>
      <c r="C1669" s="346">
        <v>16100</v>
      </c>
      <c r="D1669" s="345" t="s">
        <v>944</v>
      </c>
      <c r="E1669" s="347" t="s">
        <v>4240</v>
      </c>
      <c r="F1669" s="343" t="s">
        <v>3731</v>
      </c>
      <c r="I1669" s="345">
        <v>864</v>
      </c>
      <c r="J1669" s="347" t="s">
        <v>3732</v>
      </c>
      <c r="K1669" s="345">
        <v>0</v>
      </c>
      <c r="L1669" s="347" t="s">
        <v>2560</v>
      </c>
      <c r="M1669" s="347"/>
      <c r="N1669" s="347" t="s">
        <v>4446</v>
      </c>
      <c r="O1669" s="347" t="s">
        <v>4441</v>
      </c>
      <c r="P1669" s="347"/>
      <c r="Q1669" s="347"/>
      <c r="R1669" s="347"/>
      <c r="S1669" s="348">
        <v>37308</v>
      </c>
      <c r="T1669" s="348">
        <v>37308</v>
      </c>
      <c r="U1669" s="347" t="s">
        <v>3733</v>
      </c>
      <c r="V1669" s="345">
        <v>700</v>
      </c>
      <c r="W1669" s="345">
        <v>14050</v>
      </c>
      <c r="X1669" s="349">
        <v>39988.76</v>
      </c>
      <c r="Y1669" s="345">
        <v>14056</v>
      </c>
      <c r="Z1669" s="349">
        <v>39988.76</v>
      </c>
      <c r="AA1669" s="349">
        <f t="shared" si="110"/>
        <v>0</v>
      </c>
      <c r="AB1669" s="349">
        <v>0</v>
      </c>
      <c r="AC1669" s="345">
        <v>54260</v>
      </c>
      <c r="AD1669" s="349">
        <v>0</v>
      </c>
      <c r="AE1669" s="345" t="s">
        <v>944</v>
      </c>
      <c r="AF1669" s="347"/>
      <c r="AG1669" s="347"/>
      <c r="AH1669" s="347" t="s">
        <v>57</v>
      </c>
      <c r="AI1669" s="347" t="s">
        <v>4442</v>
      </c>
      <c r="AJ1669" s="347" t="s">
        <v>4443</v>
      </c>
      <c r="AK1669" s="347" t="s">
        <v>4437</v>
      </c>
      <c r="AL1669" s="387">
        <v>45574</v>
      </c>
    </row>
    <row r="1670" spans="2:38" ht="15.75" outlineLevel="1">
      <c r="B1670" s="345">
        <v>2111</v>
      </c>
      <c r="C1670" s="346">
        <v>16080</v>
      </c>
      <c r="D1670" s="345" t="s">
        <v>944</v>
      </c>
      <c r="E1670" s="347" t="s">
        <v>4240</v>
      </c>
      <c r="F1670" s="343" t="s">
        <v>2557</v>
      </c>
      <c r="I1670" s="345">
        <v>10</v>
      </c>
      <c r="J1670" s="347"/>
      <c r="K1670" s="345">
        <v>0</v>
      </c>
      <c r="L1670" s="347" t="s">
        <v>2125</v>
      </c>
      <c r="M1670" s="347"/>
      <c r="N1670" s="347" t="s">
        <v>4446</v>
      </c>
      <c r="O1670" s="347" t="s">
        <v>4441</v>
      </c>
      <c r="P1670" s="347"/>
      <c r="Q1670" s="347" t="s">
        <v>4449</v>
      </c>
      <c r="R1670" s="347" t="s">
        <v>4450</v>
      </c>
      <c r="S1670" s="348">
        <v>37436</v>
      </c>
      <c r="T1670" s="348">
        <v>37436</v>
      </c>
      <c r="U1670" s="347"/>
      <c r="V1670" s="345">
        <v>1200</v>
      </c>
      <c r="W1670" s="345">
        <v>14050</v>
      </c>
      <c r="X1670" s="349">
        <v>3073.6</v>
      </c>
      <c r="Y1670" s="345">
        <v>14056</v>
      </c>
      <c r="Z1670" s="349">
        <v>3073.6</v>
      </c>
      <c r="AA1670" s="349">
        <f t="shared" si="110"/>
        <v>0</v>
      </c>
      <c r="AB1670" s="349">
        <v>0</v>
      </c>
      <c r="AC1670" s="345">
        <v>54260</v>
      </c>
      <c r="AD1670" s="349">
        <v>0</v>
      </c>
      <c r="AE1670" s="345" t="s">
        <v>944</v>
      </c>
      <c r="AF1670" s="347"/>
      <c r="AG1670" s="347"/>
      <c r="AH1670" s="347" t="s">
        <v>57</v>
      </c>
      <c r="AI1670" s="347" t="s">
        <v>4442</v>
      </c>
      <c r="AJ1670" s="347" t="s">
        <v>4443</v>
      </c>
      <c r="AK1670" s="347" t="s">
        <v>4437</v>
      </c>
      <c r="AL1670" s="387">
        <v>45574</v>
      </c>
    </row>
    <row r="1671" spans="2:38" ht="15.75" outlineLevel="1">
      <c r="B1671" s="345">
        <v>2111</v>
      </c>
      <c r="C1671" s="346">
        <v>15442</v>
      </c>
      <c r="D1671" s="345" t="s">
        <v>944</v>
      </c>
      <c r="E1671" s="347" t="s">
        <v>4240</v>
      </c>
      <c r="F1671" s="343" t="s">
        <v>3736</v>
      </c>
      <c r="I1671" s="345">
        <v>1</v>
      </c>
      <c r="J1671" s="347" t="s">
        <v>3737</v>
      </c>
      <c r="K1671" s="345">
        <v>0</v>
      </c>
      <c r="L1671" s="347" t="s">
        <v>2550</v>
      </c>
      <c r="M1671" s="347"/>
      <c r="N1671" s="347" t="s">
        <v>4440</v>
      </c>
      <c r="O1671" s="347" t="s">
        <v>4441</v>
      </c>
      <c r="P1671" s="347"/>
      <c r="Q1671" s="347"/>
      <c r="R1671" s="347"/>
      <c r="S1671" s="348">
        <v>37434</v>
      </c>
      <c r="T1671" s="348">
        <v>37434</v>
      </c>
      <c r="U1671" s="347"/>
      <c r="V1671" s="345">
        <v>500</v>
      </c>
      <c r="W1671" s="345">
        <v>14110</v>
      </c>
      <c r="X1671" s="349">
        <v>659.75</v>
      </c>
      <c r="Y1671" s="345">
        <v>14116</v>
      </c>
      <c r="Z1671" s="349">
        <v>659.75</v>
      </c>
      <c r="AA1671" s="349">
        <f t="shared" si="110"/>
        <v>0</v>
      </c>
      <c r="AB1671" s="349">
        <v>0</v>
      </c>
      <c r="AC1671" s="345">
        <v>70260</v>
      </c>
      <c r="AD1671" s="349">
        <v>0</v>
      </c>
      <c r="AE1671" s="345" t="s">
        <v>944</v>
      </c>
      <c r="AF1671" s="347"/>
      <c r="AG1671" s="347"/>
      <c r="AH1671" s="347" t="s">
        <v>57</v>
      </c>
      <c r="AI1671" s="347" t="s">
        <v>4442</v>
      </c>
      <c r="AJ1671" s="347" t="s">
        <v>4443</v>
      </c>
      <c r="AK1671" s="347" t="s">
        <v>4437</v>
      </c>
      <c r="AL1671" s="387">
        <v>45574</v>
      </c>
    </row>
    <row r="1672" spans="2:38" ht="15.75" outlineLevel="1">
      <c r="B1672" s="345">
        <v>2111</v>
      </c>
      <c r="C1672" s="346">
        <v>15130</v>
      </c>
      <c r="D1672" s="345" t="s">
        <v>944</v>
      </c>
      <c r="E1672" s="347" t="s">
        <v>4240</v>
      </c>
      <c r="F1672" s="343" t="s">
        <v>3739</v>
      </c>
      <c r="I1672" s="345">
        <v>1</v>
      </c>
      <c r="J1672" s="388">
        <v>200214000000</v>
      </c>
      <c r="K1672" s="345">
        <v>2002</v>
      </c>
      <c r="L1672" s="347" t="s">
        <v>3740</v>
      </c>
      <c r="M1672" s="347" t="s">
        <v>2214</v>
      </c>
      <c r="N1672" s="347" t="s">
        <v>4451</v>
      </c>
      <c r="O1672" s="347" t="s">
        <v>4441</v>
      </c>
      <c r="P1672" s="347"/>
      <c r="Q1672" s="347"/>
      <c r="R1672" s="347"/>
      <c r="S1672" s="348">
        <v>37364</v>
      </c>
      <c r="T1672" s="348">
        <v>37364</v>
      </c>
      <c r="U1672" s="347">
        <v>22140005</v>
      </c>
      <c r="V1672" s="345">
        <v>300</v>
      </c>
      <c r="W1672" s="345">
        <v>14070</v>
      </c>
      <c r="X1672" s="349">
        <v>6348.86</v>
      </c>
      <c r="Y1672" s="345">
        <v>14076</v>
      </c>
      <c r="Z1672" s="349">
        <v>6348.86</v>
      </c>
      <c r="AA1672" s="349">
        <f t="shared" si="110"/>
        <v>0</v>
      </c>
      <c r="AB1672" s="349">
        <v>0</v>
      </c>
      <c r="AC1672" s="345">
        <v>51260</v>
      </c>
      <c r="AD1672" s="349">
        <v>0</v>
      </c>
      <c r="AE1672" s="345" t="s">
        <v>944</v>
      </c>
      <c r="AF1672" s="347"/>
      <c r="AG1672" s="347"/>
      <c r="AH1672" s="347" t="s">
        <v>57</v>
      </c>
      <c r="AI1672" s="347" t="s">
        <v>4442</v>
      </c>
      <c r="AJ1672" s="347" t="s">
        <v>4443</v>
      </c>
      <c r="AK1672" s="347" t="s">
        <v>4437</v>
      </c>
      <c r="AL1672" s="387">
        <v>45574</v>
      </c>
    </row>
    <row r="1673" spans="2:38" ht="15.75" outlineLevel="1">
      <c r="B1673" s="345">
        <v>2111</v>
      </c>
      <c r="C1673" s="346">
        <v>14734</v>
      </c>
      <c r="D1673" s="345" t="s">
        <v>944</v>
      </c>
      <c r="E1673" s="347" t="s">
        <v>4240</v>
      </c>
      <c r="F1673" s="343" t="s">
        <v>3741</v>
      </c>
      <c r="I1673" s="345">
        <v>432</v>
      </c>
      <c r="J1673" s="347" t="s">
        <v>3742</v>
      </c>
      <c r="K1673" s="345">
        <v>0</v>
      </c>
      <c r="L1673" s="347" t="s">
        <v>2560</v>
      </c>
      <c r="M1673" s="347"/>
      <c r="N1673" s="347" t="s">
        <v>4446</v>
      </c>
      <c r="O1673" s="347" t="s">
        <v>4441</v>
      </c>
      <c r="P1673" s="347"/>
      <c r="Q1673" s="347"/>
      <c r="R1673" s="347"/>
      <c r="S1673" s="348">
        <v>37349</v>
      </c>
      <c r="T1673" s="348">
        <v>37349</v>
      </c>
      <c r="U1673" s="347" t="s">
        <v>3743</v>
      </c>
      <c r="V1673" s="345">
        <v>700</v>
      </c>
      <c r="W1673" s="345">
        <v>14050</v>
      </c>
      <c r="X1673" s="349">
        <v>19284.79</v>
      </c>
      <c r="Y1673" s="345">
        <v>14056</v>
      </c>
      <c r="Z1673" s="349">
        <v>19284.79</v>
      </c>
      <c r="AA1673" s="349">
        <f t="shared" si="110"/>
        <v>0</v>
      </c>
      <c r="AB1673" s="349">
        <v>0</v>
      </c>
      <c r="AC1673" s="345">
        <v>54260</v>
      </c>
      <c r="AD1673" s="349">
        <v>0</v>
      </c>
      <c r="AE1673" s="345" t="s">
        <v>944</v>
      </c>
      <c r="AF1673" s="347"/>
      <c r="AG1673" s="347"/>
      <c r="AH1673" s="347" t="s">
        <v>57</v>
      </c>
      <c r="AI1673" s="347" t="s">
        <v>4442</v>
      </c>
      <c r="AJ1673" s="347" t="s">
        <v>4443</v>
      </c>
      <c r="AK1673" s="347" t="s">
        <v>4437</v>
      </c>
      <c r="AL1673" s="387">
        <v>45574</v>
      </c>
    </row>
    <row r="1674" spans="2:38" ht="15.75" outlineLevel="1">
      <c r="B1674" s="345">
        <v>2111</v>
      </c>
      <c r="C1674" s="346">
        <v>14431</v>
      </c>
      <c r="D1674" s="345" t="s">
        <v>944</v>
      </c>
      <c r="E1674" s="347" t="s">
        <v>4240</v>
      </c>
      <c r="F1674" s="343" t="s">
        <v>3745</v>
      </c>
      <c r="I1674" s="345">
        <v>1</v>
      </c>
      <c r="J1674" s="347" t="s">
        <v>3746</v>
      </c>
      <c r="K1674" s="345">
        <v>0</v>
      </c>
      <c r="L1674" s="347" t="s">
        <v>2954</v>
      </c>
      <c r="M1674" s="347"/>
      <c r="N1674" s="347" t="s">
        <v>4440</v>
      </c>
      <c r="O1674" s="347" t="s">
        <v>4441</v>
      </c>
      <c r="P1674" s="347"/>
      <c r="Q1674" s="347"/>
      <c r="R1674" s="347"/>
      <c r="S1674" s="348">
        <v>37312</v>
      </c>
      <c r="T1674" s="348">
        <v>37312</v>
      </c>
      <c r="U1674" s="347" t="s">
        <v>3747</v>
      </c>
      <c r="V1674" s="345">
        <v>300</v>
      </c>
      <c r="W1674" s="345">
        <v>14110</v>
      </c>
      <c r="X1674" s="349">
        <v>449.84</v>
      </c>
      <c r="Y1674" s="345">
        <v>14116</v>
      </c>
      <c r="Z1674" s="349">
        <v>449.84</v>
      </c>
      <c r="AA1674" s="349">
        <f t="shared" si="110"/>
        <v>0</v>
      </c>
      <c r="AB1674" s="349">
        <v>0</v>
      </c>
      <c r="AC1674" s="345">
        <v>70260</v>
      </c>
      <c r="AD1674" s="349">
        <v>0</v>
      </c>
      <c r="AE1674" s="345" t="s">
        <v>944</v>
      </c>
      <c r="AF1674" s="347"/>
      <c r="AG1674" s="347"/>
      <c r="AH1674" s="347" t="s">
        <v>57</v>
      </c>
      <c r="AI1674" s="347" t="s">
        <v>4442</v>
      </c>
      <c r="AJ1674" s="347" t="s">
        <v>4443</v>
      </c>
      <c r="AK1674" s="347" t="s">
        <v>4437</v>
      </c>
      <c r="AL1674" s="387">
        <v>45574</v>
      </c>
    </row>
    <row r="1675" spans="2:38" ht="15.75" outlineLevel="1">
      <c r="B1675" s="345">
        <v>2111</v>
      </c>
      <c r="C1675" s="346">
        <v>14430</v>
      </c>
      <c r="D1675" s="345" t="s">
        <v>944</v>
      </c>
      <c r="E1675" s="347" t="s">
        <v>4240</v>
      </c>
      <c r="F1675" s="343" t="s">
        <v>4460</v>
      </c>
      <c r="I1675" s="345">
        <v>1</v>
      </c>
      <c r="J1675" s="347" t="s">
        <v>3749</v>
      </c>
      <c r="K1675" s="345">
        <v>0</v>
      </c>
      <c r="L1675" s="347" t="s">
        <v>2550</v>
      </c>
      <c r="M1675" s="347"/>
      <c r="N1675" s="347" t="s">
        <v>4440</v>
      </c>
      <c r="O1675" s="347" t="s">
        <v>4441</v>
      </c>
      <c r="P1675" s="347"/>
      <c r="Q1675" s="347"/>
      <c r="R1675" s="347"/>
      <c r="S1675" s="348">
        <v>37357</v>
      </c>
      <c r="T1675" s="348">
        <v>37357</v>
      </c>
      <c r="U1675" s="347" t="s">
        <v>3747</v>
      </c>
      <c r="V1675" s="345">
        <v>300</v>
      </c>
      <c r="W1675" s="345">
        <v>14110</v>
      </c>
      <c r="X1675" s="349">
        <v>195.11</v>
      </c>
      <c r="Y1675" s="345">
        <v>14116</v>
      </c>
      <c r="Z1675" s="349">
        <v>195.11</v>
      </c>
      <c r="AA1675" s="349">
        <f t="shared" si="110"/>
        <v>0</v>
      </c>
      <c r="AB1675" s="349">
        <v>0</v>
      </c>
      <c r="AC1675" s="345">
        <v>70260</v>
      </c>
      <c r="AD1675" s="349">
        <v>0</v>
      </c>
      <c r="AE1675" s="345" t="s">
        <v>944</v>
      </c>
      <c r="AF1675" s="347"/>
      <c r="AG1675" s="347"/>
      <c r="AH1675" s="347" t="s">
        <v>57</v>
      </c>
      <c r="AI1675" s="347" t="s">
        <v>4442</v>
      </c>
      <c r="AJ1675" s="347" t="s">
        <v>4443</v>
      </c>
      <c r="AK1675" s="347" t="s">
        <v>4437</v>
      </c>
      <c r="AL1675" s="387">
        <v>45574</v>
      </c>
    </row>
    <row r="1676" spans="2:38" ht="15.75" outlineLevel="1">
      <c r="B1676" s="345">
        <v>2111</v>
      </c>
      <c r="C1676" s="346">
        <v>13281</v>
      </c>
      <c r="D1676" s="345" t="s">
        <v>944</v>
      </c>
      <c r="E1676" s="347" t="s">
        <v>4240</v>
      </c>
      <c r="F1676" s="343" t="s">
        <v>2574</v>
      </c>
      <c r="I1676" s="345">
        <v>5</v>
      </c>
      <c r="J1676" s="347"/>
      <c r="K1676" s="345">
        <v>0</v>
      </c>
      <c r="L1676" s="347" t="s">
        <v>2125</v>
      </c>
      <c r="M1676" s="347"/>
      <c r="N1676" s="347" t="s">
        <v>4446</v>
      </c>
      <c r="O1676" s="347" t="s">
        <v>4441</v>
      </c>
      <c r="P1676" s="347"/>
      <c r="Q1676" s="347" t="s">
        <v>4449</v>
      </c>
      <c r="R1676" s="347" t="s">
        <v>4450</v>
      </c>
      <c r="S1676" s="348">
        <v>37257</v>
      </c>
      <c r="T1676" s="348">
        <v>37257</v>
      </c>
      <c r="U1676" s="347" t="s">
        <v>3750</v>
      </c>
      <c r="V1676" s="345">
        <v>1200</v>
      </c>
      <c r="W1676" s="345">
        <v>14050</v>
      </c>
      <c r="X1676" s="349">
        <v>1599.36</v>
      </c>
      <c r="Y1676" s="345">
        <v>14056</v>
      </c>
      <c r="Z1676" s="349">
        <v>1599.36</v>
      </c>
      <c r="AA1676" s="349">
        <f t="shared" si="110"/>
        <v>0</v>
      </c>
      <c r="AB1676" s="349">
        <v>0</v>
      </c>
      <c r="AC1676" s="345">
        <v>54260</v>
      </c>
      <c r="AD1676" s="349">
        <v>0</v>
      </c>
      <c r="AE1676" s="345" t="s">
        <v>944</v>
      </c>
      <c r="AF1676" s="347"/>
      <c r="AG1676" s="347"/>
      <c r="AH1676" s="347" t="s">
        <v>57</v>
      </c>
      <c r="AI1676" s="347" t="s">
        <v>4442</v>
      </c>
      <c r="AJ1676" s="347" t="s">
        <v>4443</v>
      </c>
      <c r="AK1676" s="347" t="s">
        <v>4437</v>
      </c>
      <c r="AL1676" s="387">
        <v>45574</v>
      </c>
    </row>
    <row r="1677" spans="2:38" ht="15.75" outlineLevel="1">
      <c r="B1677" s="345">
        <v>2111</v>
      </c>
      <c r="C1677" s="346">
        <v>12580</v>
      </c>
      <c r="D1677" s="345" t="s">
        <v>944</v>
      </c>
      <c r="E1677" s="347" t="s">
        <v>4240</v>
      </c>
      <c r="F1677" s="343" t="s">
        <v>3751</v>
      </c>
      <c r="I1677" s="345">
        <v>1</v>
      </c>
      <c r="J1677" s="347" t="s">
        <v>3752</v>
      </c>
      <c r="K1677" s="345">
        <v>0</v>
      </c>
      <c r="L1677" s="347" t="s">
        <v>3753</v>
      </c>
      <c r="M1677" s="347"/>
      <c r="N1677" s="347" t="s">
        <v>4440</v>
      </c>
      <c r="O1677" s="347" t="s">
        <v>4441</v>
      </c>
      <c r="P1677" s="347"/>
      <c r="Q1677" s="347"/>
      <c r="R1677" s="347"/>
      <c r="S1677" s="348">
        <v>37256</v>
      </c>
      <c r="T1677" s="348">
        <v>37256</v>
      </c>
      <c r="U1677" s="347" t="s">
        <v>3754</v>
      </c>
      <c r="V1677" s="345">
        <v>500</v>
      </c>
      <c r="W1677" s="345">
        <v>14110</v>
      </c>
      <c r="X1677" s="349">
        <v>1224.95</v>
      </c>
      <c r="Y1677" s="345">
        <v>14116</v>
      </c>
      <c r="Z1677" s="349">
        <v>1224.95</v>
      </c>
      <c r="AA1677" s="349">
        <f t="shared" si="110"/>
        <v>0</v>
      </c>
      <c r="AB1677" s="349">
        <v>0</v>
      </c>
      <c r="AC1677" s="345">
        <v>70260</v>
      </c>
      <c r="AD1677" s="349">
        <v>0</v>
      </c>
      <c r="AE1677" s="345" t="s">
        <v>944</v>
      </c>
      <c r="AF1677" s="347"/>
      <c r="AG1677" s="347"/>
      <c r="AH1677" s="347" t="s">
        <v>57</v>
      </c>
      <c r="AI1677" s="347" t="s">
        <v>4442</v>
      </c>
      <c r="AJ1677" s="347" t="s">
        <v>4443</v>
      </c>
      <c r="AK1677" s="347" t="s">
        <v>4437</v>
      </c>
      <c r="AL1677" s="387">
        <v>45574</v>
      </c>
    </row>
    <row r="1678" spans="2:38" ht="15.75" outlineLevel="1">
      <c r="B1678" s="345">
        <v>2111</v>
      </c>
      <c r="C1678" s="346">
        <v>12540</v>
      </c>
      <c r="D1678" s="345" t="s">
        <v>944</v>
      </c>
      <c r="E1678" s="347" t="s">
        <v>4240</v>
      </c>
      <c r="F1678" s="343" t="s">
        <v>3755</v>
      </c>
      <c r="I1678" s="345">
        <v>1</v>
      </c>
      <c r="J1678" s="347" t="s">
        <v>3756</v>
      </c>
      <c r="K1678" s="345">
        <v>0</v>
      </c>
      <c r="L1678" s="347" t="s">
        <v>2954</v>
      </c>
      <c r="M1678" s="347"/>
      <c r="N1678" s="347" t="s">
        <v>4440</v>
      </c>
      <c r="O1678" s="347" t="s">
        <v>4441</v>
      </c>
      <c r="P1678" s="347"/>
      <c r="Q1678" s="347"/>
      <c r="R1678" s="347"/>
      <c r="S1678" s="348">
        <v>37256</v>
      </c>
      <c r="T1678" s="348">
        <v>37256</v>
      </c>
      <c r="U1678" s="347" t="s">
        <v>3754</v>
      </c>
      <c r="V1678" s="345">
        <v>500</v>
      </c>
      <c r="W1678" s="345">
        <v>14110</v>
      </c>
      <c r="X1678" s="349">
        <v>24089.53</v>
      </c>
      <c r="Y1678" s="345">
        <v>14116</v>
      </c>
      <c r="Z1678" s="349">
        <v>24089.53</v>
      </c>
      <c r="AA1678" s="349">
        <f t="shared" si="110"/>
        <v>0</v>
      </c>
      <c r="AB1678" s="349">
        <v>0</v>
      </c>
      <c r="AC1678" s="345">
        <v>70260</v>
      </c>
      <c r="AD1678" s="349">
        <v>0</v>
      </c>
      <c r="AE1678" s="345" t="s">
        <v>944</v>
      </c>
      <c r="AF1678" s="347"/>
      <c r="AG1678" s="347"/>
      <c r="AH1678" s="347" t="s">
        <v>57</v>
      </c>
      <c r="AI1678" s="347" t="s">
        <v>4442</v>
      </c>
      <c r="AJ1678" s="347" t="s">
        <v>4443</v>
      </c>
      <c r="AK1678" s="347" t="s">
        <v>4437</v>
      </c>
      <c r="AL1678" s="387">
        <v>45574</v>
      </c>
    </row>
    <row r="1679" spans="2:38" ht="15.75" outlineLevel="1">
      <c r="B1679" s="345">
        <v>2111</v>
      </c>
      <c r="C1679" s="346">
        <v>12337</v>
      </c>
      <c r="D1679" s="345" t="s">
        <v>944</v>
      </c>
      <c r="E1679" s="347" t="s">
        <v>4240</v>
      </c>
      <c r="F1679" s="343" t="s">
        <v>3757</v>
      </c>
      <c r="I1679" s="345">
        <v>1</v>
      </c>
      <c r="J1679" s="347" t="s">
        <v>3758</v>
      </c>
      <c r="K1679" s="345">
        <v>2001</v>
      </c>
      <c r="L1679" s="347" t="s">
        <v>3759</v>
      </c>
      <c r="M1679" s="347" t="s">
        <v>2214</v>
      </c>
      <c r="N1679" s="347" t="s">
        <v>4445</v>
      </c>
      <c r="O1679" s="347" t="s">
        <v>4441</v>
      </c>
      <c r="P1679" s="347" t="s">
        <v>1467</v>
      </c>
      <c r="Q1679" s="347"/>
      <c r="R1679" s="347"/>
      <c r="S1679" s="348">
        <v>37226</v>
      </c>
      <c r="T1679" s="348">
        <v>37196</v>
      </c>
      <c r="U1679" s="347"/>
      <c r="V1679" s="345">
        <v>300</v>
      </c>
      <c r="W1679" s="345">
        <v>14040</v>
      </c>
      <c r="X1679" s="349">
        <v>9139.2000000000007</v>
      </c>
      <c r="Y1679" s="345">
        <v>14046</v>
      </c>
      <c r="Z1679" s="349">
        <v>9139.2000000000007</v>
      </c>
      <c r="AA1679" s="349">
        <f t="shared" si="110"/>
        <v>0</v>
      </c>
      <c r="AB1679" s="349">
        <v>0</v>
      </c>
      <c r="AC1679" s="345">
        <v>51260</v>
      </c>
      <c r="AD1679" s="349">
        <v>0</v>
      </c>
      <c r="AE1679" s="345" t="s">
        <v>944</v>
      </c>
      <c r="AF1679" s="347"/>
      <c r="AG1679" s="347"/>
      <c r="AH1679" s="347" t="s">
        <v>57</v>
      </c>
      <c r="AI1679" s="347" t="s">
        <v>4442</v>
      </c>
      <c r="AJ1679" s="347" t="s">
        <v>4443</v>
      </c>
      <c r="AK1679" s="347" t="s">
        <v>4437</v>
      </c>
      <c r="AL1679" s="387">
        <v>45574</v>
      </c>
    </row>
    <row r="1680" spans="2:38" ht="15.75" outlineLevel="1">
      <c r="B1680" s="345">
        <v>2111</v>
      </c>
      <c r="C1680" s="346">
        <v>11505</v>
      </c>
      <c r="D1680" s="345" t="s">
        <v>944</v>
      </c>
      <c r="E1680" s="347" t="s">
        <v>4240</v>
      </c>
      <c r="F1680" s="343" t="s">
        <v>3761</v>
      </c>
      <c r="I1680" s="345">
        <v>432</v>
      </c>
      <c r="J1680" s="347" t="s">
        <v>3762</v>
      </c>
      <c r="K1680" s="345">
        <v>0</v>
      </c>
      <c r="L1680" s="347" t="s">
        <v>2582</v>
      </c>
      <c r="M1680" s="347"/>
      <c r="N1680" s="347" t="s">
        <v>4446</v>
      </c>
      <c r="O1680" s="347" t="s">
        <v>4441</v>
      </c>
      <c r="P1680" s="347"/>
      <c r="Q1680" s="347"/>
      <c r="R1680" s="347"/>
      <c r="S1680" s="348">
        <v>37120</v>
      </c>
      <c r="T1680" s="348">
        <v>37120</v>
      </c>
      <c r="U1680" s="347"/>
      <c r="V1680" s="345">
        <v>700</v>
      </c>
      <c r="W1680" s="345">
        <v>14050</v>
      </c>
      <c r="X1680" s="349">
        <v>18514.439999999999</v>
      </c>
      <c r="Y1680" s="345">
        <v>14056</v>
      </c>
      <c r="Z1680" s="349">
        <v>18514.439999999999</v>
      </c>
      <c r="AA1680" s="349">
        <f t="shared" si="110"/>
        <v>0</v>
      </c>
      <c r="AB1680" s="349">
        <v>0</v>
      </c>
      <c r="AC1680" s="345">
        <v>54260</v>
      </c>
      <c r="AD1680" s="349">
        <v>0</v>
      </c>
      <c r="AE1680" s="345" t="s">
        <v>944</v>
      </c>
      <c r="AF1680" s="347"/>
      <c r="AG1680" s="347"/>
      <c r="AH1680" s="347" t="s">
        <v>57</v>
      </c>
      <c r="AI1680" s="347" t="s">
        <v>4442</v>
      </c>
      <c r="AJ1680" s="347" t="s">
        <v>4443</v>
      </c>
      <c r="AK1680" s="347" t="s">
        <v>4437</v>
      </c>
      <c r="AL1680" s="387">
        <v>45574</v>
      </c>
    </row>
    <row r="1681" spans="2:38" ht="15.75" outlineLevel="1">
      <c r="B1681" s="345">
        <v>2111</v>
      </c>
      <c r="C1681" s="346">
        <v>11411</v>
      </c>
      <c r="D1681" s="345" t="s">
        <v>944</v>
      </c>
      <c r="E1681" s="347" t="s">
        <v>4240</v>
      </c>
      <c r="F1681" s="343" t="s">
        <v>3765</v>
      </c>
      <c r="I1681" s="345">
        <v>10</v>
      </c>
      <c r="J1681" s="347"/>
      <c r="K1681" s="345">
        <v>0</v>
      </c>
      <c r="L1681" s="347" t="s">
        <v>2125</v>
      </c>
      <c r="M1681" s="347"/>
      <c r="N1681" s="347" t="s">
        <v>4446</v>
      </c>
      <c r="O1681" s="347" t="s">
        <v>4441</v>
      </c>
      <c r="P1681" s="347"/>
      <c r="Q1681" s="347"/>
      <c r="R1681" s="347"/>
      <c r="S1681" s="348">
        <v>37028</v>
      </c>
      <c r="T1681" s="348">
        <v>37028</v>
      </c>
      <c r="U1681" s="347" t="s">
        <v>3766</v>
      </c>
      <c r="V1681" s="345">
        <v>1200</v>
      </c>
      <c r="W1681" s="345">
        <v>14050</v>
      </c>
      <c r="X1681" s="349">
        <v>464.1</v>
      </c>
      <c r="Y1681" s="345">
        <v>14056</v>
      </c>
      <c r="Z1681" s="349">
        <v>464.1</v>
      </c>
      <c r="AA1681" s="349">
        <f t="shared" si="110"/>
        <v>0</v>
      </c>
      <c r="AB1681" s="349">
        <v>0</v>
      </c>
      <c r="AC1681" s="345">
        <v>54260</v>
      </c>
      <c r="AD1681" s="349">
        <v>0</v>
      </c>
      <c r="AE1681" s="345" t="s">
        <v>944</v>
      </c>
      <c r="AF1681" s="347"/>
      <c r="AG1681" s="347"/>
      <c r="AH1681" s="347" t="s">
        <v>57</v>
      </c>
      <c r="AI1681" s="347" t="s">
        <v>4442</v>
      </c>
      <c r="AJ1681" s="347" t="s">
        <v>4443</v>
      </c>
      <c r="AK1681" s="347" t="s">
        <v>4437</v>
      </c>
      <c r="AL1681" s="387">
        <v>45574</v>
      </c>
    </row>
    <row r="1682" spans="2:38" ht="15.75" outlineLevel="1">
      <c r="B1682" s="345">
        <v>2111</v>
      </c>
      <c r="C1682" s="346">
        <v>11410</v>
      </c>
      <c r="D1682" s="345" t="s">
        <v>944</v>
      </c>
      <c r="E1682" s="347" t="s">
        <v>4240</v>
      </c>
      <c r="F1682" s="343" t="s">
        <v>3767</v>
      </c>
      <c r="I1682" s="345">
        <v>5</v>
      </c>
      <c r="J1682" s="347"/>
      <c r="K1682" s="345">
        <v>0</v>
      </c>
      <c r="L1682" s="347" t="s">
        <v>2125</v>
      </c>
      <c r="M1682" s="347"/>
      <c r="N1682" s="347" t="s">
        <v>4446</v>
      </c>
      <c r="O1682" s="347" t="s">
        <v>4441</v>
      </c>
      <c r="P1682" s="347"/>
      <c r="Q1682" s="347"/>
      <c r="R1682" s="347"/>
      <c r="S1682" s="348">
        <v>37027</v>
      </c>
      <c r="T1682" s="348">
        <v>37027</v>
      </c>
      <c r="U1682" s="347" t="s">
        <v>3768</v>
      </c>
      <c r="V1682" s="345">
        <v>1200</v>
      </c>
      <c r="W1682" s="345">
        <v>14050</v>
      </c>
      <c r="X1682" s="349">
        <v>29.25</v>
      </c>
      <c r="Y1682" s="345">
        <v>14056</v>
      </c>
      <c r="Z1682" s="349">
        <v>29.25</v>
      </c>
      <c r="AA1682" s="349">
        <f t="shared" si="110"/>
        <v>0</v>
      </c>
      <c r="AB1682" s="349">
        <v>0</v>
      </c>
      <c r="AC1682" s="345">
        <v>54260</v>
      </c>
      <c r="AD1682" s="349">
        <v>0</v>
      </c>
      <c r="AE1682" s="345" t="s">
        <v>944</v>
      </c>
      <c r="AF1682" s="347"/>
      <c r="AG1682" s="347"/>
      <c r="AH1682" s="347" t="s">
        <v>57</v>
      </c>
      <c r="AI1682" s="347" t="s">
        <v>4442</v>
      </c>
      <c r="AJ1682" s="347" t="s">
        <v>4443</v>
      </c>
      <c r="AK1682" s="347" t="s">
        <v>4437</v>
      </c>
      <c r="AL1682" s="387">
        <v>45574</v>
      </c>
    </row>
    <row r="1683" spans="2:38" ht="15.75" outlineLevel="1">
      <c r="B1683" s="345">
        <v>2111</v>
      </c>
      <c r="C1683" s="346">
        <v>11409</v>
      </c>
      <c r="D1683" s="345" t="s">
        <v>944</v>
      </c>
      <c r="E1683" s="347" t="s">
        <v>4240</v>
      </c>
      <c r="F1683" s="343" t="s">
        <v>3769</v>
      </c>
      <c r="I1683" s="345">
        <v>12</v>
      </c>
      <c r="J1683" s="347"/>
      <c r="K1683" s="345">
        <v>0</v>
      </c>
      <c r="L1683" s="347" t="s">
        <v>2125</v>
      </c>
      <c r="M1683" s="347"/>
      <c r="N1683" s="347" t="s">
        <v>4446</v>
      </c>
      <c r="O1683" s="347" t="s">
        <v>4441</v>
      </c>
      <c r="P1683" s="347"/>
      <c r="Q1683" s="347"/>
      <c r="R1683" s="347"/>
      <c r="S1683" s="348">
        <v>37026</v>
      </c>
      <c r="T1683" s="348">
        <v>37026</v>
      </c>
      <c r="U1683" s="347" t="s">
        <v>3770</v>
      </c>
      <c r="V1683" s="345">
        <v>1200</v>
      </c>
      <c r="W1683" s="345">
        <v>14050</v>
      </c>
      <c r="X1683" s="349">
        <v>54.91</v>
      </c>
      <c r="Y1683" s="345">
        <v>14056</v>
      </c>
      <c r="Z1683" s="349">
        <v>54.91</v>
      </c>
      <c r="AA1683" s="349">
        <f t="shared" si="110"/>
        <v>0</v>
      </c>
      <c r="AB1683" s="349">
        <v>0</v>
      </c>
      <c r="AC1683" s="345">
        <v>54260</v>
      </c>
      <c r="AD1683" s="349">
        <v>0</v>
      </c>
      <c r="AE1683" s="345" t="s">
        <v>944</v>
      </c>
      <c r="AF1683" s="347"/>
      <c r="AG1683" s="347"/>
      <c r="AH1683" s="347" t="s">
        <v>57</v>
      </c>
      <c r="AI1683" s="347" t="s">
        <v>4442</v>
      </c>
      <c r="AJ1683" s="347" t="s">
        <v>4443</v>
      </c>
      <c r="AK1683" s="347" t="s">
        <v>4437</v>
      </c>
      <c r="AL1683" s="387">
        <v>45574</v>
      </c>
    </row>
    <row r="1684" spans="2:38" ht="15.75" outlineLevel="1">
      <c r="B1684" s="345">
        <v>2111</v>
      </c>
      <c r="C1684" s="346">
        <v>11294</v>
      </c>
      <c r="D1684" s="345" t="s">
        <v>944</v>
      </c>
      <c r="E1684" s="347" t="s">
        <v>4240</v>
      </c>
      <c r="F1684" s="343" t="s">
        <v>3771</v>
      </c>
      <c r="I1684" s="345">
        <v>1</v>
      </c>
      <c r="J1684" s="347" t="s">
        <v>3772</v>
      </c>
      <c r="K1684" s="345">
        <v>0</v>
      </c>
      <c r="L1684" s="347" t="s">
        <v>3753</v>
      </c>
      <c r="M1684" s="347"/>
      <c r="N1684" s="347" t="s">
        <v>4440</v>
      </c>
      <c r="O1684" s="347" t="s">
        <v>4441</v>
      </c>
      <c r="P1684" s="347"/>
      <c r="Q1684" s="347"/>
      <c r="R1684" s="347"/>
      <c r="S1684" s="348">
        <v>37117</v>
      </c>
      <c r="T1684" s="348">
        <v>37117</v>
      </c>
      <c r="U1684" s="347" t="s">
        <v>3754</v>
      </c>
      <c r="V1684" s="345">
        <v>500</v>
      </c>
      <c r="W1684" s="345">
        <v>14110</v>
      </c>
      <c r="X1684" s="349">
        <v>4376.91</v>
      </c>
      <c r="Y1684" s="345">
        <v>14116</v>
      </c>
      <c r="Z1684" s="349">
        <v>4376.91</v>
      </c>
      <c r="AA1684" s="349">
        <f t="shared" si="110"/>
        <v>0</v>
      </c>
      <c r="AB1684" s="349">
        <v>0</v>
      </c>
      <c r="AC1684" s="345">
        <v>70260</v>
      </c>
      <c r="AD1684" s="349">
        <v>0</v>
      </c>
      <c r="AE1684" s="345" t="s">
        <v>944</v>
      </c>
      <c r="AF1684" s="347"/>
      <c r="AG1684" s="347"/>
      <c r="AH1684" s="347" t="s">
        <v>57</v>
      </c>
      <c r="AI1684" s="347" t="s">
        <v>4442</v>
      </c>
      <c r="AJ1684" s="347" t="s">
        <v>4443</v>
      </c>
      <c r="AK1684" s="347" t="s">
        <v>4437</v>
      </c>
      <c r="AL1684" s="387">
        <v>45574</v>
      </c>
    </row>
    <row r="1685" spans="2:38" ht="15.75" outlineLevel="1">
      <c r="B1685" s="345">
        <v>2111</v>
      </c>
      <c r="C1685" s="346">
        <v>11293</v>
      </c>
      <c r="D1685" s="345" t="s">
        <v>944</v>
      </c>
      <c r="E1685" s="347" t="s">
        <v>4240</v>
      </c>
      <c r="F1685" s="343" t="s">
        <v>3773</v>
      </c>
      <c r="I1685" s="345">
        <v>1</v>
      </c>
      <c r="J1685" s="347"/>
      <c r="K1685" s="345">
        <v>0</v>
      </c>
      <c r="L1685" s="347" t="s">
        <v>2954</v>
      </c>
      <c r="M1685" s="347"/>
      <c r="N1685" s="347" t="s">
        <v>4440</v>
      </c>
      <c r="O1685" s="347" t="s">
        <v>4441</v>
      </c>
      <c r="P1685" s="347"/>
      <c r="Q1685" s="347"/>
      <c r="R1685" s="347"/>
      <c r="S1685" s="348">
        <v>37086</v>
      </c>
      <c r="T1685" s="348">
        <v>37086</v>
      </c>
      <c r="U1685" s="347"/>
      <c r="V1685" s="345">
        <v>300</v>
      </c>
      <c r="W1685" s="345">
        <v>14110</v>
      </c>
      <c r="X1685" s="349">
        <v>158.82</v>
      </c>
      <c r="Y1685" s="345">
        <v>14116</v>
      </c>
      <c r="Z1685" s="349">
        <v>158.82</v>
      </c>
      <c r="AA1685" s="349">
        <f t="shared" si="110"/>
        <v>0</v>
      </c>
      <c r="AB1685" s="349">
        <v>0</v>
      </c>
      <c r="AC1685" s="345">
        <v>70260</v>
      </c>
      <c r="AD1685" s="349">
        <v>0</v>
      </c>
      <c r="AE1685" s="345" t="s">
        <v>944</v>
      </c>
      <c r="AF1685" s="347"/>
      <c r="AG1685" s="347"/>
      <c r="AH1685" s="347" t="s">
        <v>57</v>
      </c>
      <c r="AI1685" s="347" t="s">
        <v>4442</v>
      </c>
      <c r="AJ1685" s="347" t="s">
        <v>4443</v>
      </c>
      <c r="AK1685" s="347" t="s">
        <v>4437</v>
      </c>
      <c r="AL1685" s="387">
        <v>45574</v>
      </c>
    </row>
    <row r="1686" spans="2:38" ht="15.75" outlineLevel="1">
      <c r="B1686" s="345">
        <v>2111</v>
      </c>
      <c r="C1686" s="346">
        <v>11280</v>
      </c>
      <c r="D1686" s="345" t="s">
        <v>944</v>
      </c>
      <c r="E1686" s="347" t="s">
        <v>4240</v>
      </c>
      <c r="F1686" s="343" t="s">
        <v>3775</v>
      </c>
      <c r="I1686" s="345">
        <v>1296</v>
      </c>
      <c r="J1686" s="347" t="s">
        <v>3776</v>
      </c>
      <c r="K1686" s="345">
        <v>0</v>
      </c>
      <c r="L1686" s="347" t="s">
        <v>2560</v>
      </c>
      <c r="M1686" s="347"/>
      <c r="N1686" s="347" t="s">
        <v>4446</v>
      </c>
      <c r="O1686" s="347" t="s">
        <v>4441</v>
      </c>
      <c r="P1686" s="347"/>
      <c r="Q1686" s="347"/>
      <c r="R1686" s="347"/>
      <c r="S1686" s="348">
        <v>37057</v>
      </c>
      <c r="T1686" s="348">
        <v>37057</v>
      </c>
      <c r="U1686" s="347" t="s">
        <v>3777</v>
      </c>
      <c r="V1686" s="345">
        <v>700</v>
      </c>
      <c r="W1686" s="345">
        <v>14050</v>
      </c>
      <c r="X1686" s="349">
        <v>55543.32</v>
      </c>
      <c r="Y1686" s="345">
        <v>14056</v>
      </c>
      <c r="Z1686" s="349">
        <v>55543.32</v>
      </c>
      <c r="AA1686" s="349">
        <f t="shared" si="110"/>
        <v>0</v>
      </c>
      <c r="AB1686" s="349">
        <v>0</v>
      </c>
      <c r="AC1686" s="345">
        <v>54260</v>
      </c>
      <c r="AD1686" s="349">
        <v>0</v>
      </c>
      <c r="AE1686" s="345" t="s">
        <v>944</v>
      </c>
      <c r="AF1686" s="347"/>
      <c r="AG1686" s="347"/>
      <c r="AH1686" s="347" t="s">
        <v>57</v>
      </c>
      <c r="AI1686" s="347" t="s">
        <v>4442</v>
      </c>
      <c r="AJ1686" s="347" t="s">
        <v>4443</v>
      </c>
      <c r="AK1686" s="347" t="s">
        <v>4437</v>
      </c>
      <c r="AL1686" s="387">
        <v>45574</v>
      </c>
    </row>
    <row r="1687" spans="2:38" ht="15.75" outlineLevel="1">
      <c r="B1687" s="345">
        <v>2111</v>
      </c>
      <c r="C1687" s="346">
        <v>11258</v>
      </c>
      <c r="D1687" s="345" t="s">
        <v>944</v>
      </c>
      <c r="E1687" s="347" t="s">
        <v>4240</v>
      </c>
      <c r="F1687" s="343" t="s">
        <v>3778</v>
      </c>
      <c r="I1687" s="345">
        <v>1</v>
      </c>
      <c r="J1687" s="347">
        <v>713217</v>
      </c>
      <c r="K1687" s="345">
        <v>2001</v>
      </c>
      <c r="L1687" s="347" t="s">
        <v>3779</v>
      </c>
      <c r="M1687" s="347" t="s">
        <v>2214</v>
      </c>
      <c r="N1687" s="347" t="s">
        <v>4445</v>
      </c>
      <c r="O1687" s="347" t="s">
        <v>4441</v>
      </c>
      <c r="P1687" s="347" t="s">
        <v>1467</v>
      </c>
      <c r="Q1687" s="347"/>
      <c r="R1687" s="347"/>
      <c r="S1687" s="348">
        <v>36972</v>
      </c>
      <c r="T1687" s="348">
        <v>36972</v>
      </c>
      <c r="U1687" s="347"/>
      <c r="V1687" s="345">
        <v>1000</v>
      </c>
      <c r="W1687" s="345">
        <v>14040</v>
      </c>
      <c r="X1687" s="349">
        <v>3209.43</v>
      </c>
      <c r="Y1687" s="345">
        <v>14046</v>
      </c>
      <c r="Z1687" s="349">
        <v>3209.43</v>
      </c>
      <c r="AA1687" s="349">
        <f t="shared" si="110"/>
        <v>0</v>
      </c>
      <c r="AB1687" s="349">
        <v>0</v>
      </c>
      <c r="AC1687" s="345">
        <v>51260</v>
      </c>
      <c r="AD1687" s="349">
        <v>0</v>
      </c>
      <c r="AE1687" s="345" t="s">
        <v>944</v>
      </c>
      <c r="AF1687" s="347"/>
      <c r="AG1687" s="347"/>
      <c r="AH1687" s="347" t="s">
        <v>57</v>
      </c>
      <c r="AI1687" s="347" t="s">
        <v>4442</v>
      </c>
      <c r="AJ1687" s="347" t="s">
        <v>4443</v>
      </c>
      <c r="AK1687" s="347" t="s">
        <v>4437</v>
      </c>
      <c r="AL1687" s="387">
        <v>45574</v>
      </c>
    </row>
    <row r="1688" spans="2:38" ht="15.75" outlineLevel="1">
      <c r="B1688" s="345">
        <v>2111</v>
      </c>
      <c r="C1688" s="346">
        <v>11252</v>
      </c>
      <c r="D1688" s="345" t="s">
        <v>944</v>
      </c>
      <c r="E1688" s="347" t="s">
        <v>4240</v>
      </c>
      <c r="F1688" s="343" t="s">
        <v>3781</v>
      </c>
      <c r="I1688" s="345">
        <v>1</v>
      </c>
      <c r="J1688" s="347"/>
      <c r="K1688" s="345">
        <v>0</v>
      </c>
      <c r="L1688" s="347" t="s">
        <v>3782</v>
      </c>
      <c r="M1688" s="347"/>
      <c r="N1688" s="347" t="s">
        <v>4453</v>
      </c>
      <c r="O1688" s="347" t="s">
        <v>4441</v>
      </c>
      <c r="P1688" s="347"/>
      <c r="Q1688" s="347"/>
      <c r="R1688" s="347"/>
      <c r="S1688" s="348">
        <v>37085</v>
      </c>
      <c r="T1688" s="348">
        <v>37085</v>
      </c>
      <c r="U1688" s="347" t="s">
        <v>3783</v>
      </c>
      <c r="V1688" s="345">
        <v>500</v>
      </c>
      <c r="W1688" s="345">
        <v>14100</v>
      </c>
      <c r="X1688" s="349">
        <v>4232.59</v>
      </c>
      <c r="Y1688" s="345">
        <v>14106</v>
      </c>
      <c r="Z1688" s="349">
        <v>4232.59</v>
      </c>
      <c r="AA1688" s="349">
        <f t="shared" si="110"/>
        <v>0</v>
      </c>
      <c r="AB1688" s="349">
        <v>0</v>
      </c>
      <c r="AC1688" s="345">
        <v>70260</v>
      </c>
      <c r="AD1688" s="349">
        <v>0</v>
      </c>
      <c r="AE1688" s="345" t="s">
        <v>944</v>
      </c>
      <c r="AF1688" s="347"/>
      <c r="AG1688" s="347"/>
      <c r="AH1688" s="347" t="s">
        <v>57</v>
      </c>
      <c r="AI1688" s="347" t="s">
        <v>4442</v>
      </c>
      <c r="AJ1688" s="347" t="s">
        <v>4443</v>
      </c>
      <c r="AK1688" s="347" t="s">
        <v>4437</v>
      </c>
      <c r="AL1688" s="387">
        <v>45574</v>
      </c>
    </row>
    <row r="1689" spans="2:38" ht="15.75" outlineLevel="1">
      <c r="B1689" s="345">
        <v>2111</v>
      </c>
      <c r="C1689" s="346">
        <v>10829</v>
      </c>
      <c r="D1689" s="345" t="s">
        <v>944</v>
      </c>
      <c r="E1689" s="347" t="s">
        <v>4240</v>
      </c>
      <c r="F1689" s="343" t="s">
        <v>2576</v>
      </c>
      <c r="I1689" s="345">
        <v>1</v>
      </c>
      <c r="J1689" s="347" t="s">
        <v>3438</v>
      </c>
      <c r="K1689" s="345">
        <v>2001</v>
      </c>
      <c r="L1689" s="347" t="s">
        <v>2578</v>
      </c>
      <c r="M1689" s="347" t="s">
        <v>2214</v>
      </c>
      <c r="N1689" s="347" t="s">
        <v>4445</v>
      </c>
      <c r="O1689" s="347" t="s">
        <v>4441</v>
      </c>
      <c r="P1689" s="347" t="s">
        <v>1467</v>
      </c>
      <c r="Q1689" s="347"/>
      <c r="R1689" s="347"/>
      <c r="S1689" s="348">
        <v>37072</v>
      </c>
      <c r="T1689" s="348">
        <v>37072</v>
      </c>
      <c r="U1689" s="347"/>
      <c r="V1689" s="345">
        <v>300</v>
      </c>
      <c r="W1689" s="345">
        <v>14040</v>
      </c>
      <c r="X1689" s="349">
        <v>26077</v>
      </c>
      <c r="Y1689" s="345">
        <v>14046</v>
      </c>
      <c r="Z1689" s="349">
        <v>26077</v>
      </c>
      <c r="AA1689" s="349">
        <f t="shared" si="110"/>
        <v>0</v>
      </c>
      <c r="AB1689" s="349">
        <v>0</v>
      </c>
      <c r="AC1689" s="345">
        <v>51260</v>
      </c>
      <c r="AD1689" s="349">
        <v>0</v>
      </c>
      <c r="AE1689" s="345" t="s">
        <v>944</v>
      </c>
      <c r="AF1689" s="347"/>
      <c r="AG1689" s="347"/>
      <c r="AH1689" s="347" t="s">
        <v>57</v>
      </c>
      <c r="AI1689" s="347" t="s">
        <v>4442</v>
      </c>
      <c r="AJ1689" s="347" t="s">
        <v>4443</v>
      </c>
      <c r="AK1689" s="347" t="s">
        <v>4437</v>
      </c>
      <c r="AL1689" s="387">
        <v>45574</v>
      </c>
    </row>
    <row r="1690" spans="2:38" ht="15.75" outlineLevel="1">
      <c r="B1690" s="345">
        <v>2111</v>
      </c>
      <c r="C1690" s="346">
        <v>10766</v>
      </c>
      <c r="D1690" s="345" t="s">
        <v>944</v>
      </c>
      <c r="E1690" s="347" t="s">
        <v>4240</v>
      </c>
      <c r="F1690" s="343" t="s">
        <v>3785</v>
      </c>
      <c r="I1690" s="345">
        <v>1</v>
      </c>
      <c r="J1690" s="347"/>
      <c r="K1690" s="345">
        <v>0</v>
      </c>
      <c r="L1690" s="347" t="s">
        <v>3786</v>
      </c>
      <c r="M1690" s="347"/>
      <c r="N1690" s="347" t="s">
        <v>4440</v>
      </c>
      <c r="O1690" s="347" t="s">
        <v>4441</v>
      </c>
      <c r="P1690" s="347"/>
      <c r="Q1690" s="347"/>
      <c r="R1690" s="347"/>
      <c r="S1690" s="348">
        <v>37060</v>
      </c>
      <c r="T1690" s="348">
        <v>37060</v>
      </c>
      <c r="U1690" s="347"/>
      <c r="V1690" s="345">
        <v>300</v>
      </c>
      <c r="W1690" s="345">
        <v>14110</v>
      </c>
      <c r="X1690" s="349">
        <v>2718.75</v>
      </c>
      <c r="Y1690" s="345">
        <v>14116</v>
      </c>
      <c r="Z1690" s="349">
        <v>2718.75</v>
      </c>
      <c r="AA1690" s="349">
        <f t="shared" si="110"/>
        <v>0</v>
      </c>
      <c r="AB1690" s="349">
        <v>0</v>
      </c>
      <c r="AC1690" s="345">
        <v>70260</v>
      </c>
      <c r="AD1690" s="349">
        <v>0</v>
      </c>
      <c r="AE1690" s="345" t="s">
        <v>944</v>
      </c>
      <c r="AF1690" s="347"/>
      <c r="AG1690" s="347"/>
      <c r="AH1690" s="347" t="s">
        <v>57</v>
      </c>
      <c r="AI1690" s="347" t="s">
        <v>4442</v>
      </c>
      <c r="AJ1690" s="347" t="s">
        <v>4443</v>
      </c>
      <c r="AK1690" s="347" t="s">
        <v>4437</v>
      </c>
      <c r="AL1690" s="387">
        <v>45574</v>
      </c>
    </row>
    <row r="1691" spans="2:38" ht="15.75" outlineLevel="1">
      <c r="B1691" s="345">
        <v>2111</v>
      </c>
      <c r="C1691" s="346">
        <v>10753</v>
      </c>
      <c r="D1691" s="345" t="s">
        <v>944</v>
      </c>
      <c r="E1691" s="347" t="s">
        <v>4240</v>
      </c>
      <c r="F1691" s="343" t="s">
        <v>3787</v>
      </c>
      <c r="I1691" s="345">
        <v>10</v>
      </c>
      <c r="J1691" s="347" t="s">
        <v>3788</v>
      </c>
      <c r="K1691" s="345">
        <v>0</v>
      </c>
      <c r="L1691" s="347" t="s">
        <v>2592</v>
      </c>
      <c r="M1691" s="347"/>
      <c r="N1691" s="347" t="s">
        <v>4446</v>
      </c>
      <c r="O1691" s="347" t="s">
        <v>4441</v>
      </c>
      <c r="P1691" s="347"/>
      <c r="Q1691" s="347" t="s">
        <v>4449</v>
      </c>
      <c r="R1691" s="347" t="s">
        <v>4450</v>
      </c>
      <c r="S1691" s="348">
        <v>37035</v>
      </c>
      <c r="T1691" s="348">
        <v>37035</v>
      </c>
      <c r="U1691" s="347" t="s">
        <v>3789</v>
      </c>
      <c r="V1691" s="345">
        <v>1200</v>
      </c>
      <c r="W1691" s="345">
        <v>14050</v>
      </c>
      <c r="X1691" s="349">
        <v>3078.58</v>
      </c>
      <c r="Y1691" s="345">
        <v>14056</v>
      </c>
      <c r="Z1691" s="349">
        <v>3078.58</v>
      </c>
      <c r="AA1691" s="349">
        <f t="shared" si="110"/>
        <v>0</v>
      </c>
      <c r="AB1691" s="349">
        <v>0</v>
      </c>
      <c r="AC1691" s="345">
        <v>54260</v>
      </c>
      <c r="AD1691" s="349">
        <v>0</v>
      </c>
      <c r="AE1691" s="345" t="s">
        <v>944</v>
      </c>
      <c r="AF1691" s="347"/>
      <c r="AG1691" s="347"/>
      <c r="AH1691" s="347" t="s">
        <v>57</v>
      </c>
      <c r="AI1691" s="347" t="s">
        <v>4442</v>
      </c>
      <c r="AJ1691" s="347" t="s">
        <v>4443</v>
      </c>
      <c r="AK1691" s="347" t="s">
        <v>4437</v>
      </c>
      <c r="AL1691" s="387">
        <v>45574</v>
      </c>
    </row>
    <row r="1692" spans="2:38" ht="15.75" outlineLevel="1">
      <c r="B1692" s="345">
        <v>2111</v>
      </c>
      <c r="C1692" s="346">
        <v>10751</v>
      </c>
      <c r="D1692" s="345" t="s">
        <v>944</v>
      </c>
      <c r="E1692" s="347" t="s">
        <v>4240</v>
      </c>
      <c r="F1692" s="343" t="s">
        <v>3791</v>
      </c>
      <c r="I1692" s="345">
        <v>1</v>
      </c>
      <c r="J1692" s="347"/>
      <c r="K1692" s="345">
        <v>0</v>
      </c>
      <c r="L1692" s="347" t="s">
        <v>2462</v>
      </c>
      <c r="M1692" s="347"/>
      <c r="N1692" s="347" t="s">
        <v>4446</v>
      </c>
      <c r="O1692" s="347" t="s">
        <v>4441</v>
      </c>
      <c r="P1692" s="347"/>
      <c r="Q1692" s="347" t="s">
        <v>4459</v>
      </c>
      <c r="R1692" s="347" t="s">
        <v>4450</v>
      </c>
      <c r="S1692" s="348">
        <v>37026</v>
      </c>
      <c r="T1692" s="348">
        <v>37026</v>
      </c>
      <c r="U1692" s="347" t="s">
        <v>3770</v>
      </c>
      <c r="V1692" s="345">
        <v>1200</v>
      </c>
      <c r="W1692" s="345">
        <v>14050</v>
      </c>
      <c r="X1692" s="349">
        <v>378.4</v>
      </c>
      <c r="Y1692" s="345">
        <v>14056</v>
      </c>
      <c r="Z1692" s="349">
        <v>378.4</v>
      </c>
      <c r="AA1692" s="349">
        <f t="shared" si="110"/>
        <v>0</v>
      </c>
      <c r="AB1692" s="349">
        <v>0</v>
      </c>
      <c r="AC1692" s="345">
        <v>54260</v>
      </c>
      <c r="AD1692" s="349">
        <v>0</v>
      </c>
      <c r="AE1692" s="345" t="s">
        <v>944</v>
      </c>
      <c r="AF1692" s="347"/>
      <c r="AG1692" s="347"/>
      <c r="AH1692" s="347" t="s">
        <v>57</v>
      </c>
      <c r="AI1692" s="347" t="s">
        <v>4442</v>
      </c>
      <c r="AJ1692" s="347" t="s">
        <v>4443</v>
      </c>
      <c r="AK1692" s="347" t="s">
        <v>4437</v>
      </c>
      <c r="AL1692" s="387">
        <v>45574</v>
      </c>
    </row>
    <row r="1693" spans="2:38" ht="15.75" outlineLevel="1">
      <c r="B1693" s="345">
        <v>2111</v>
      </c>
      <c r="C1693" s="346">
        <v>10750</v>
      </c>
      <c r="D1693" s="345" t="s">
        <v>944</v>
      </c>
      <c r="E1693" s="347" t="s">
        <v>4240</v>
      </c>
      <c r="F1693" s="343" t="s">
        <v>3792</v>
      </c>
      <c r="I1693" s="345">
        <v>10</v>
      </c>
      <c r="J1693" s="347"/>
      <c r="K1693" s="345">
        <v>0</v>
      </c>
      <c r="L1693" s="347" t="s">
        <v>2462</v>
      </c>
      <c r="M1693" s="347"/>
      <c r="N1693" s="347" t="s">
        <v>4446</v>
      </c>
      <c r="O1693" s="347" t="s">
        <v>4441</v>
      </c>
      <c r="P1693" s="347"/>
      <c r="Q1693" s="347" t="s">
        <v>4447</v>
      </c>
      <c r="R1693" s="347" t="s">
        <v>4448</v>
      </c>
      <c r="S1693" s="348">
        <v>37028</v>
      </c>
      <c r="T1693" s="348">
        <v>37028</v>
      </c>
      <c r="U1693" s="347" t="s">
        <v>3766</v>
      </c>
      <c r="V1693" s="345">
        <v>1200</v>
      </c>
      <c r="W1693" s="345">
        <v>14050</v>
      </c>
      <c r="X1693" s="349">
        <v>38377.5</v>
      </c>
      <c r="Y1693" s="345">
        <v>14056</v>
      </c>
      <c r="Z1693" s="349">
        <v>38377.5</v>
      </c>
      <c r="AA1693" s="349">
        <f t="shared" si="110"/>
        <v>0</v>
      </c>
      <c r="AB1693" s="349">
        <v>0</v>
      </c>
      <c r="AC1693" s="345">
        <v>54260</v>
      </c>
      <c r="AD1693" s="349">
        <v>0</v>
      </c>
      <c r="AE1693" s="345" t="s">
        <v>944</v>
      </c>
      <c r="AF1693" s="347"/>
      <c r="AG1693" s="347"/>
      <c r="AH1693" s="347" t="s">
        <v>57</v>
      </c>
      <c r="AI1693" s="347" t="s">
        <v>4442</v>
      </c>
      <c r="AJ1693" s="347" t="s">
        <v>4443</v>
      </c>
      <c r="AK1693" s="347" t="s">
        <v>4437</v>
      </c>
      <c r="AL1693" s="387">
        <v>45574</v>
      </c>
    </row>
    <row r="1694" spans="2:38" ht="15.75" outlineLevel="1">
      <c r="B1694" s="345">
        <v>2111</v>
      </c>
      <c r="C1694" s="346">
        <v>10322</v>
      </c>
      <c r="D1694" s="345" t="s">
        <v>944</v>
      </c>
      <c r="E1694" s="347" t="s">
        <v>4240</v>
      </c>
      <c r="F1694" s="343" t="s">
        <v>3796</v>
      </c>
      <c r="I1694" s="345">
        <v>10</v>
      </c>
      <c r="J1694" s="347" t="s">
        <v>3797</v>
      </c>
      <c r="K1694" s="345">
        <v>0</v>
      </c>
      <c r="L1694" s="347" t="s">
        <v>2592</v>
      </c>
      <c r="M1694" s="347"/>
      <c r="N1694" s="347" t="s">
        <v>4446</v>
      </c>
      <c r="O1694" s="347" t="s">
        <v>4441</v>
      </c>
      <c r="P1694" s="347"/>
      <c r="Q1694" s="347" t="s">
        <v>4449</v>
      </c>
      <c r="R1694" s="347" t="s">
        <v>4450</v>
      </c>
      <c r="S1694" s="348">
        <v>36943</v>
      </c>
      <c r="T1694" s="348">
        <v>36948</v>
      </c>
      <c r="U1694" s="347">
        <v>12132001</v>
      </c>
      <c r="V1694" s="345">
        <v>1200</v>
      </c>
      <c r="W1694" s="345">
        <v>14050</v>
      </c>
      <c r="X1694" s="349">
        <v>3003.33</v>
      </c>
      <c r="Y1694" s="345">
        <v>14056</v>
      </c>
      <c r="Z1694" s="349">
        <v>3003.33</v>
      </c>
      <c r="AA1694" s="349">
        <f t="shared" si="110"/>
        <v>0</v>
      </c>
      <c r="AB1694" s="349">
        <v>0</v>
      </c>
      <c r="AC1694" s="345">
        <v>54260</v>
      </c>
      <c r="AD1694" s="349">
        <v>0</v>
      </c>
      <c r="AE1694" s="345" t="s">
        <v>944</v>
      </c>
      <c r="AF1694" s="347"/>
      <c r="AG1694" s="347"/>
      <c r="AH1694" s="347" t="s">
        <v>57</v>
      </c>
      <c r="AI1694" s="347" t="s">
        <v>4442</v>
      </c>
      <c r="AJ1694" s="347" t="s">
        <v>4443</v>
      </c>
      <c r="AK1694" s="347" t="s">
        <v>4437</v>
      </c>
      <c r="AL1694" s="387">
        <v>45574</v>
      </c>
    </row>
    <row r="1695" spans="2:38" ht="15.75" outlineLevel="1">
      <c r="B1695" s="345">
        <v>2111</v>
      </c>
      <c r="C1695" s="346">
        <v>9971</v>
      </c>
      <c r="D1695" s="345" t="s">
        <v>944</v>
      </c>
      <c r="E1695" s="347" t="s">
        <v>4240</v>
      </c>
      <c r="F1695" s="343" t="s">
        <v>3798</v>
      </c>
      <c r="I1695" s="345">
        <v>1</v>
      </c>
      <c r="J1695" s="347"/>
      <c r="K1695" s="345">
        <v>0</v>
      </c>
      <c r="L1695" s="347" t="s">
        <v>3799</v>
      </c>
      <c r="M1695" s="347"/>
      <c r="N1695" s="347" t="s">
        <v>4452</v>
      </c>
      <c r="O1695" s="347" t="s">
        <v>4441</v>
      </c>
      <c r="P1695" s="347"/>
      <c r="Q1695" s="347"/>
      <c r="R1695" s="347"/>
      <c r="S1695" s="348">
        <v>36916</v>
      </c>
      <c r="T1695" s="348">
        <v>36916</v>
      </c>
      <c r="U1695" s="347" t="s">
        <v>3800</v>
      </c>
      <c r="V1695" s="345">
        <v>1500</v>
      </c>
      <c r="W1695" s="345">
        <v>14080</v>
      </c>
      <c r="X1695" s="349">
        <v>8108.27</v>
      </c>
      <c r="Y1695" s="345">
        <v>14086</v>
      </c>
      <c r="Z1695" s="349">
        <v>8108.27</v>
      </c>
      <c r="AA1695" s="349">
        <f t="shared" si="110"/>
        <v>0</v>
      </c>
      <c r="AB1695" s="349">
        <v>0</v>
      </c>
      <c r="AC1695" s="345">
        <v>57260</v>
      </c>
      <c r="AD1695" s="349">
        <v>0</v>
      </c>
      <c r="AE1695" s="345" t="s">
        <v>944</v>
      </c>
      <c r="AF1695" s="347"/>
      <c r="AG1695" s="347"/>
      <c r="AH1695" s="347" t="s">
        <v>57</v>
      </c>
      <c r="AI1695" s="347" t="s">
        <v>4442</v>
      </c>
      <c r="AJ1695" s="347" t="s">
        <v>4443</v>
      </c>
      <c r="AK1695" s="347" t="s">
        <v>4437</v>
      </c>
      <c r="AL1695" s="387">
        <v>45574</v>
      </c>
    </row>
    <row r="1696" spans="2:38" ht="15.75" outlineLevel="1">
      <c r="B1696" s="345">
        <v>2111</v>
      </c>
      <c r="C1696" s="346">
        <v>9537</v>
      </c>
      <c r="D1696" s="345" t="s">
        <v>944</v>
      </c>
      <c r="E1696" s="347" t="s">
        <v>4240</v>
      </c>
      <c r="F1696" s="343" t="s">
        <v>3048</v>
      </c>
      <c r="I1696" s="345">
        <v>1</v>
      </c>
      <c r="J1696" s="347" t="s">
        <v>3801</v>
      </c>
      <c r="K1696" s="345">
        <v>1996</v>
      </c>
      <c r="L1696" s="347" t="s">
        <v>3802</v>
      </c>
      <c r="M1696" s="347" t="s">
        <v>2214</v>
      </c>
      <c r="N1696" s="347" t="s">
        <v>4458</v>
      </c>
      <c r="O1696" s="347" t="s">
        <v>4441</v>
      </c>
      <c r="P1696" s="347" t="s">
        <v>1591</v>
      </c>
      <c r="Q1696" s="347"/>
      <c r="R1696" s="347"/>
      <c r="S1696" s="348">
        <v>36100</v>
      </c>
      <c r="T1696" s="348">
        <v>36100</v>
      </c>
      <c r="U1696" s="347"/>
      <c r="V1696" s="345">
        <v>800</v>
      </c>
      <c r="W1696" s="345">
        <v>14030</v>
      </c>
      <c r="X1696" s="349">
        <v>52500</v>
      </c>
      <c r="Y1696" s="345">
        <v>14036</v>
      </c>
      <c r="Z1696" s="349">
        <v>52500</v>
      </c>
      <c r="AA1696" s="349">
        <f t="shared" si="110"/>
        <v>0</v>
      </c>
      <c r="AB1696" s="349">
        <v>0</v>
      </c>
      <c r="AC1696" s="345">
        <v>51260</v>
      </c>
      <c r="AD1696" s="349">
        <v>0</v>
      </c>
      <c r="AE1696" s="345" t="s">
        <v>410</v>
      </c>
      <c r="AF1696" s="347" t="s">
        <v>3803</v>
      </c>
      <c r="AG1696" s="347">
        <v>168</v>
      </c>
      <c r="AH1696" s="347" t="s">
        <v>57</v>
      </c>
      <c r="AI1696" s="347" t="s">
        <v>4442</v>
      </c>
      <c r="AJ1696" s="347" t="s">
        <v>4443</v>
      </c>
      <c r="AK1696" s="347" t="s">
        <v>4437</v>
      </c>
      <c r="AL1696" s="387">
        <v>45574</v>
      </c>
    </row>
    <row r="1697" spans="2:38" ht="15.75" outlineLevel="1">
      <c r="B1697" s="345">
        <v>2111</v>
      </c>
      <c r="C1697" s="346">
        <v>9536</v>
      </c>
      <c r="D1697" s="345" t="s">
        <v>944</v>
      </c>
      <c r="E1697" s="347" t="s">
        <v>4240</v>
      </c>
      <c r="F1697" s="343" t="s">
        <v>3048</v>
      </c>
      <c r="I1697" s="345">
        <v>1</v>
      </c>
      <c r="J1697" s="347" t="s">
        <v>3804</v>
      </c>
      <c r="K1697" s="345">
        <v>1996</v>
      </c>
      <c r="L1697" s="347" t="s">
        <v>3805</v>
      </c>
      <c r="M1697" s="347" t="s">
        <v>2214</v>
      </c>
      <c r="N1697" s="347" t="s">
        <v>4458</v>
      </c>
      <c r="O1697" s="347" t="s">
        <v>4441</v>
      </c>
      <c r="P1697" s="347" t="s">
        <v>1591</v>
      </c>
      <c r="Q1697" s="347"/>
      <c r="R1697" s="347"/>
      <c r="S1697" s="348">
        <v>36100</v>
      </c>
      <c r="T1697" s="348">
        <v>36100</v>
      </c>
      <c r="U1697" s="347"/>
      <c r="V1697" s="345">
        <v>800</v>
      </c>
      <c r="W1697" s="345">
        <v>14030</v>
      </c>
      <c r="X1697" s="349">
        <v>52500</v>
      </c>
      <c r="Y1697" s="345">
        <v>14036</v>
      </c>
      <c r="Z1697" s="349">
        <v>52500</v>
      </c>
      <c r="AA1697" s="349">
        <f t="shared" si="110"/>
        <v>0</v>
      </c>
      <c r="AB1697" s="349">
        <v>0</v>
      </c>
      <c r="AC1697" s="345">
        <v>51260</v>
      </c>
      <c r="AD1697" s="349">
        <v>0</v>
      </c>
      <c r="AE1697" s="345" t="s">
        <v>410</v>
      </c>
      <c r="AF1697" s="347" t="s">
        <v>3803</v>
      </c>
      <c r="AG1697" s="347">
        <v>169</v>
      </c>
      <c r="AH1697" s="347" t="s">
        <v>57</v>
      </c>
      <c r="AI1697" s="347" t="s">
        <v>4442</v>
      </c>
      <c r="AJ1697" s="347" t="s">
        <v>4443</v>
      </c>
      <c r="AK1697" s="347" t="s">
        <v>4437</v>
      </c>
      <c r="AL1697" s="387">
        <v>45574</v>
      </c>
    </row>
    <row r="1698" spans="2:38" ht="15.75" outlineLevel="1">
      <c r="B1698" s="345">
        <v>2111</v>
      </c>
      <c r="C1698" s="346">
        <v>9464</v>
      </c>
      <c r="D1698" s="345" t="s">
        <v>944</v>
      </c>
      <c r="E1698" s="347" t="s">
        <v>4240</v>
      </c>
      <c r="F1698" s="343" t="s">
        <v>3806</v>
      </c>
      <c r="I1698" s="345">
        <v>1</v>
      </c>
      <c r="J1698" s="347"/>
      <c r="K1698" s="345">
        <v>0</v>
      </c>
      <c r="L1698" s="347"/>
      <c r="M1698" s="347"/>
      <c r="N1698" s="347" t="s">
        <v>4444</v>
      </c>
      <c r="O1698" s="347" t="s">
        <v>4444</v>
      </c>
      <c r="P1698" s="347"/>
      <c r="Q1698" s="347"/>
      <c r="R1698" s="347"/>
      <c r="S1698" s="348">
        <v>36831</v>
      </c>
      <c r="T1698" s="348">
        <v>36831</v>
      </c>
      <c r="U1698" s="347"/>
      <c r="V1698" s="345">
        <v>0</v>
      </c>
      <c r="W1698" s="345">
        <v>14000</v>
      </c>
      <c r="X1698" s="349">
        <v>2855.89</v>
      </c>
      <c r="Y1698" s="345">
        <v>14016</v>
      </c>
      <c r="Z1698" s="349">
        <v>0</v>
      </c>
      <c r="AA1698" s="349">
        <f t="shared" si="110"/>
        <v>2855.89</v>
      </c>
      <c r="AB1698" s="349">
        <v>0</v>
      </c>
      <c r="AC1698" s="345">
        <v>57260</v>
      </c>
      <c r="AD1698" s="349">
        <v>0</v>
      </c>
      <c r="AE1698" s="345" t="s">
        <v>944</v>
      </c>
      <c r="AF1698" s="347"/>
      <c r="AG1698" s="347"/>
      <c r="AH1698" s="347" t="s">
        <v>57</v>
      </c>
      <c r="AI1698" s="347" t="s">
        <v>4442</v>
      </c>
      <c r="AJ1698" s="347" t="s">
        <v>1660</v>
      </c>
      <c r="AK1698" s="347" t="s">
        <v>4437</v>
      </c>
      <c r="AL1698" s="387">
        <v>45574</v>
      </c>
    </row>
    <row r="1699" spans="2:38" ht="15.75" outlineLevel="1">
      <c r="B1699" s="345">
        <v>2111</v>
      </c>
      <c r="C1699" s="346">
        <v>9326</v>
      </c>
      <c r="D1699" s="345" t="s">
        <v>944</v>
      </c>
      <c r="E1699" s="347" t="s">
        <v>4240</v>
      </c>
      <c r="F1699" s="343" t="s">
        <v>3807</v>
      </c>
      <c r="I1699" s="345">
        <v>1</v>
      </c>
      <c r="J1699" s="347"/>
      <c r="K1699" s="345">
        <v>0</v>
      </c>
      <c r="L1699" s="347"/>
      <c r="M1699" s="347"/>
      <c r="N1699" s="347" t="s">
        <v>4444</v>
      </c>
      <c r="O1699" s="347" t="s">
        <v>4444</v>
      </c>
      <c r="P1699" s="347"/>
      <c r="Q1699" s="347"/>
      <c r="R1699" s="347"/>
      <c r="S1699" s="348">
        <v>36800</v>
      </c>
      <c r="T1699" s="348">
        <v>36800</v>
      </c>
      <c r="U1699" s="347"/>
      <c r="V1699" s="345">
        <v>0</v>
      </c>
      <c r="W1699" s="345">
        <v>14000</v>
      </c>
      <c r="X1699" s="349">
        <v>5696.8</v>
      </c>
      <c r="Y1699" s="345">
        <v>14016</v>
      </c>
      <c r="Z1699" s="349">
        <v>0</v>
      </c>
      <c r="AA1699" s="349">
        <f t="shared" si="110"/>
        <v>5696.8</v>
      </c>
      <c r="AB1699" s="349">
        <v>0</v>
      </c>
      <c r="AC1699" s="345">
        <v>57260</v>
      </c>
      <c r="AD1699" s="349">
        <v>0</v>
      </c>
      <c r="AE1699" s="345" t="s">
        <v>944</v>
      </c>
      <c r="AF1699" s="347"/>
      <c r="AG1699" s="347"/>
      <c r="AH1699" s="347" t="s">
        <v>57</v>
      </c>
      <c r="AI1699" s="347" t="s">
        <v>4442</v>
      </c>
      <c r="AJ1699" s="347" t="s">
        <v>1660</v>
      </c>
      <c r="AK1699" s="347" t="s">
        <v>4437</v>
      </c>
      <c r="AL1699" s="387">
        <v>45574</v>
      </c>
    </row>
    <row r="1700" spans="2:38" ht="15.75" outlineLevel="1">
      <c r="B1700" s="345">
        <v>2111</v>
      </c>
      <c r="C1700" s="346">
        <v>8868</v>
      </c>
      <c r="D1700" s="345" t="s">
        <v>944</v>
      </c>
      <c r="E1700" s="347" t="s">
        <v>4240</v>
      </c>
      <c r="F1700" s="343" t="s">
        <v>3808</v>
      </c>
      <c r="I1700" s="345">
        <v>1</v>
      </c>
      <c r="J1700" s="347"/>
      <c r="K1700" s="345">
        <v>0</v>
      </c>
      <c r="L1700" s="347"/>
      <c r="M1700" s="347"/>
      <c r="N1700" s="347" t="s">
        <v>4444</v>
      </c>
      <c r="O1700" s="347" t="s">
        <v>4444</v>
      </c>
      <c r="P1700" s="347"/>
      <c r="Q1700" s="347"/>
      <c r="R1700" s="347"/>
      <c r="S1700" s="348">
        <v>36770</v>
      </c>
      <c r="T1700" s="348">
        <v>36770</v>
      </c>
      <c r="U1700" s="347"/>
      <c r="V1700" s="345">
        <v>0</v>
      </c>
      <c r="W1700" s="345">
        <v>14000</v>
      </c>
      <c r="X1700" s="349">
        <v>16450</v>
      </c>
      <c r="Y1700" s="345">
        <v>14016</v>
      </c>
      <c r="Z1700" s="349">
        <v>0</v>
      </c>
      <c r="AA1700" s="349">
        <f t="shared" si="110"/>
        <v>16450</v>
      </c>
      <c r="AB1700" s="349">
        <v>0</v>
      </c>
      <c r="AC1700" s="345">
        <v>57260</v>
      </c>
      <c r="AD1700" s="349">
        <v>0</v>
      </c>
      <c r="AE1700" s="345" t="s">
        <v>944</v>
      </c>
      <c r="AF1700" s="347"/>
      <c r="AG1700" s="347"/>
      <c r="AH1700" s="347" t="s">
        <v>57</v>
      </c>
      <c r="AI1700" s="347" t="s">
        <v>4442</v>
      </c>
      <c r="AJ1700" s="347" t="s">
        <v>1660</v>
      </c>
      <c r="AK1700" s="347" t="s">
        <v>4437</v>
      </c>
      <c r="AL1700" s="387">
        <v>45574</v>
      </c>
    </row>
    <row r="1701" spans="2:38" ht="15.75" outlineLevel="1">
      <c r="B1701" s="345">
        <v>2111</v>
      </c>
      <c r="C1701" s="346">
        <v>8788</v>
      </c>
      <c r="D1701" s="345" t="s">
        <v>944</v>
      </c>
      <c r="E1701" s="347" t="s">
        <v>4240</v>
      </c>
      <c r="F1701" s="343" t="s">
        <v>2580</v>
      </c>
      <c r="I1701" s="345">
        <v>432</v>
      </c>
      <c r="J1701" s="347" t="s">
        <v>3809</v>
      </c>
      <c r="K1701" s="345">
        <v>0</v>
      </c>
      <c r="L1701" s="347" t="s">
        <v>2560</v>
      </c>
      <c r="M1701" s="347"/>
      <c r="N1701" s="347" t="s">
        <v>4446</v>
      </c>
      <c r="O1701" s="347" t="s">
        <v>4441</v>
      </c>
      <c r="P1701" s="347"/>
      <c r="Q1701" s="347"/>
      <c r="R1701" s="347"/>
      <c r="S1701" s="348">
        <v>36794</v>
      </c>
      <c r="T1701" s="348">
        <v>36794</v>
      </c>
      <c r="U1701" s="347" t="s">
        <v>3810</v>
      </c>
      <c r="V1701" s="345">
        <v>700</v>
      </c>
      <c r="W1701" s="345">
        <v>14050</v>
      </c>
      <c r="X1701" s="349">
        <v>19902.240000000002</v>
      </c>
      <c r="Y1701" s="345">
        <v>14056</v>
      </c>
      <c r="Z1701" s="349">
        <v>19902.240000000002</v>
      </c>
      <c r="AA1701" s="349">
        <f t="shared" ref="AA1701:AA1764" si="111">+X1701-Z1701</f>
        <v>0</v>
      </c>
      <c r="AB1701" s="349">
        <v>0</v>
      </c>
      <c r="AC1701" s="345">
        <v>54260</v>
      </c>
      <c r="AD1701" s="349">
        <v>0</v>
      </c>
      <c r="AE1701" s="345" t="s">
        <v>944</v>
      </c>
      <c r="AF1701" s="347"/>
      <c r="AG1701" s="347"/>
      <c r="AH1701" s="347" t="s">
        <v>57</v>
      </c>
      <c r="AI1701" s="347" t="s">
        <v>4442</v>
      </c>
      <c r="AJ1701" s="347" t="s">
        <v>4443</v>
      </c>
      <c r="AK1701" s="347" t="s">
        <v>4437</v>
      </c>
      <c r="AL1701" s="387">
        <v>45574</v>
      </c>
    </row>
    <row r="1702" spans="2:38" ht="15.75" outlineLevel="1">
      <c r="B1702" s="345">
        <v>2111</v>
      </c>
      <c r="C1702" s="346">
        <v>8262</v>
      </c>
      <c r="D1702" s="345" t="s">
        <v>944</v>
      </c>
      <c r="E1702" s="347" t="s">
        <v>4240</v>
      </c>
      <c r="F1702" s="343" t="s">
        <v>3811</v>
      </c>
      <c r="I1702" s="345">
        <v>1</v>
      </c>
      <c r="J1702" s="347"/>
      <c r="K1702" s="345">
        <v>0</v>
      </c>
      <c r="L1702" s="347" t="s">
        <v>3070</v>
      </c>
      <c r="M1702" s="347"/>
      <c r="N1702" s="347" t="s">
        <v>4452</v>
      </c>
      <c r="O1702" s="347" t="s">
        <v>4441</v>
      </c>
      <c r="P1702" s="347"/>
      <c r="Q1702" s="347"/>
      <c r="R1702" s="347"/>
      <c r="S1702" s="348">
        <v>36714</v>
      </c>
      <c r="T1702" s="348">
        <v>36714</v>
      </c>
      <c r="U1702" s="347" t="s">
        <v>3812</v>
      </c>
      <c r="V1702" s="345">
        <v>2000</v>
      </c>
      <c r="W1702" s="345">
        <v>14080</v>
      </c>
      <c r="X1702" s="349">
        <v>5273.66</v>
      </c>
      <c r="Y1702" s="345">
        <v>14086</v>
      </c>
      <c r="Z1702" s="349">
        <v>5273.66</v>
      </c>
      <c r="AA1702" s="349">
        <f t="shared" si="111"/>
        <v>0</v>
      </c>
      <c r="AB1702" s="349">
        <v>0</v>
      </c>
      <c r="AC1702" s="345">
        <v>57260</v>
      </c>
      <c r="AD1702" s="349">
        <v>0</v>
      </c>
      <c r="AE1702" s="345" t="s">
        <v>944</v>
      </c>
      <c r="AF1702" s="347"/>
      <c r="AG1702" s="347"/>
      <c r="AH1702" s="347" t="s">
        <v>57</v>
      </c>
      <c r="AI1702" s="347" t="s">
        <v>4442</v>
      </c>
      <c r="AJ1702" s="347" t="s">
        <v>4443</v>
      </c>
      <c r="AK1702" s="347" t="s">
        <v>4437</v>
      </c>
      <c r="AL1702" s="387">
        <v>45574</v>
      </c>
    </row>
    <row r="1703" spans="2:38" ht="15.75" outlineLevel="1">
      <c r="B1703" s="345">
        <v>2111</v>
      </c>
      <c r="C1703" s="346">
        <v>8170</v>
      </c>
      <c r="D1703" s="345" t="s">
        <v>944</v>
      </c>
      <c r="E1703" s="347" t="s">
        <v>4240</v>
      </c>
      <c r="F1703" s="343" t="s">
        <v>3813</v>
      </c>
      <c r="I1703" s="345">
        <v>1</v>
      </c>
      <c r="J1703" s="347" t="s">
        <v>3814</v>
      </c>
      <c r="K1703" s="345">
        <v>0</v>
      </c>
      <c r="L1703" s="347" t="s">
        <v>3815</v>
      </c>
      <c r="M1703" s="347"/>
      <c r="N1703" s="347" t="s">
        <v>4453</v>
      </c>
      <c r="O1703" s="347" t="s">
        <v>4441</v>
      </c>
      <c r="P1703" s="347"/>
      <c r="Q1703" s="347"/>
      <c r="R1703" s="347"/>
      <c r="S1703" s="348">
        <v>36342</v>
      </c>
      <c r="T1703" s="348">
        <v>36342</v>
      </c>
      <c r="U1703" s="347" t="s">
        <v>3816</v>
      </c>
      <c r="V1703" s="345">
        <v>700</v>
      </c>
      <c r="W1703" s="345">
        <v>14100</v>
      </c>
      <c r="X1703" s="349">
        <v>1007.04</v>
      </c>
      <c r="Y1703" s="345">
        <v>14106</v>
      </c>
      <c r="Z1703" s="349">
        <v>1007.04</v>
      </c>
      <c r="AA1703" s="349">
        <f t="shared" si="111"/>
        <v>0</v>
      </c>
      <c r="AB1703" s="349">
        <v>0</v>
      </c>
      <c r="AC1703" s="345">
        <v>70260</v>
      </c>
      <c r="AD1703" s="349">
        <v>0</v>
      </c>
      <c r="AE1703" s="345" t="s">
        <v>944</v>
      </c>
      <c r="AF1703" s="347"/>
      <c r="AG1703" s="347"/>
      <c r="AH1703" s="347" t="s">
        <v>57</v>
      </c>
      <c r="AI1703" s="347" t="s">
        <v>4442</v>
      </c>
      <c r="AJ1703" s="347" t="s">
        <v>4443</v>
      </c>
      <c r="AK1703" s="347" t="s">
        <v>4437</v>
      </c>
      <c r="AL1703" s="387">
        <v>45574</v>
      </c>
    </row>
    <row r="1704" spans="2:38" ht="15.75" outlineLevel="1">
      <c r="B1704" s="345">
        <v>2111</v>
      </c>
      <c r="C1704" s="346">
        <v>8141</v>
      </c>
      <c r="D1704" s="345" t="s">
        <v>944</v>
      </c>
      <c r="E1704" s="347" t="s">
        <v>4240</v>
      </c>
      <c r="F1704" s="343" t="s">
        <v>2535</v>
      </c>
      <c r="I1704" s="345">
        <v>431</v>
      </c>
      <c r="J1704" s="347"/>
      <c r="K1704" s="345">
        <v>0</v>
      </c>
      <c r="L1704" s="347" t="s">
        <v>2222</v>
      </c>
      <c r="M1704" s="347"/>
      <c r="N1704" s="347" t="s">
        <v>4446</v>
      </c>
      <c r="O1704" s="347" t="s">
        <v>4441</v>
      </c>
      <c r="P1704" s="347"/>
      <c r="Q1704" s="347"/>
      <c r="R1704" s="347"/>
      <c r="S1704" s="348">
        <v>36673</v>
      </c>
      <c r="T1704" s="348">
        <v>36673</v>
      </c>
      <c r="U1704" s="347" t="s">
        <v>3817</v>
      </c>
      <c r="V1704" s="345">
        <v>1000</v>
      </c>
      <c r="W1704" s="345">
        <v>14050</v>
      </c>
      <c r="X1704" s="349">
        <v>20412.259999999998</v>
      </c>
      <c r="Y1704" s="345">
        <v>14056</v>
      </c>
      <c r="Z1704" s="349">
        <v>20412.259999999998</v>
      </c>
      <c r="AA1704" s="349">
        <f t="shared" si="111"/>
        <v>0</v>
      </c>
      <c r="AB1704" s="349">
        <v>0</v>
      </c>
      <c r="AC1704" s="345">
        <v>54260</v>
      </c>
      <c r="AD1704" s="349">
        <v>0</v>
      </c>
      <c r="AE1704" s="345" t="s">
        <v>944</v>
      </c>
      <c r="AF1704" s="347"/>
      <c r="AG1704" s="347"/>
      <c r="AH1704" s="347" t="s">
        <v>57</v>
      </c>
      <c r="AI1704" s="347" t="s">
        <v>4442</v>
      </c>
      <c r="AJ1704" s="347" t="s">
        <v>4443</v>
      </c>
      <c r="AK1704" s="347" t="s">
        <v>4437</v>
      </c>
      <c r="AL1704" s="387">
        <v>45574</v>
      </c>
    </row>
    <row r="1705" spans="2:38" ht="15.75" outlineLevel="1">
      <c r="B1705" s="345">
        <v>2111</v>
      </c>
      <c r="C1705" s="346">
        <v>8015</v>
      </c>
      <c r="D1705" s="345" t="s">
        <v>944</v>
      </c>
      <c r="E1705" s="347" t="s">
        <v>4240</v>
      </c>
      <c r="F1705" s="343" t="s">
        <v>3821</v>
      </c>
      <c r="I1705" s="345">
        <v>10</v>
      </c>
      <c r="J1705" s="347" t="s">
        <v>3822</v>
      </c>
      <c r="K1705" s="345">
        <v>0</v>
      </c>
      <c r="L1705" s="347" t="s">
        <v>3819</v>
      </c>
      <c r="M1705" s="347"/>
      <c r="N1705" s="347" t="s">
        <v>4446</v>
      </c>
      <c r="O1705" s="347" t="s">
        <v>4441</v>
      </c>
      <c r="P1705" s="347"/>
      <c r="Q1705" s="347" t="s">
        <v>4447</v>
      </c>
      <c r="R1705" s="347" t="s">
        <v>4448</v>
      </c>
      <c r="S1705" s="348">
        <v>36685</v>
      </c>
      <c r="T1705" s="348">
        <v>36685</v>
      </c>
      <c r="U1705" s="347" t="s">
        <v>3820</v>
      </c>
      <c r="V1705" s="345">
        <v>1200</v>
      </c>
      <c r="W1705" s="345">
        <v>14050</v>
      </c>
      <c r="X1705" s="349">
        <v>40685.279999999999</v>
      </c>
      <c r="Y1705" s="345">
        <v>14056</v>
      </c>
      <c r="Z1705" s="349">
        <v>40685.279999999999</v>
      </c>
      <c r="AA1705" s="349">
        <f t="shared" si="111"/>
        <v>0</v>
      </c>
      <c r="AB1705" s="349">
        <v>0</v>
      </c>
      <c r="AC1705" s="345">
        <v>54260</v>
      </c>
      <c r="AD1705" s="349">
        <v>0</v>
      </c>
      <c r="AE1705" s="345" t="s">
        <v>944</v>
      </c>
      <c r="AF1705" s="347"/>
      <c r="AG1705" s="347"/>
      <c r="AH1705" s="347" t="s">
        <v>57</v>
      </c>
      <c r="AI1705" s="347" t="s">
        <v>4442</v>
      </c>
      <c r="AJ1705" s="347" t="s">
        <v>4443</v>
      </c>
      <c r="AK1705" s="347" t="s">
        <v>4437</v>
      </c>
      <c r="AL1705" s="387">
        <v>45574</v>
      </c>
    </row>
    <row r="1706" spans="2:38" ht="15.75" outlineLevel="1">
      <c r="B1706" s="345">
        <v>2111</v>
      </c>
      <c r="C1706" s="346">
        <v>6771</v>
      </c>
      <c r="D1706" s="345" t="s">
        <v>944</v>
      </c>
      <c r="E1706" s="347" t="s">
        <v>4240</v>
      </c>
      <c r="F1706" s="343" t="s">
        <v>4457</v>
      </c>
      <c r="I1706" s="345">
        <v>1</v>
      </c>
      <c r="J1706" s="347"/>
      <c r="K1706" s="345">
        <v>0</v>
      </c>
      <c r="L1706" s="347" t="s">
        <v>2954</v>
      </c>
      <c r="M1706" s="347"/>
      <c r="N1706" s="347" t="s">
        <v>4440</v>
      </c>
      <c r="O1706" s="347" t="s">
        <v>4441</v>
      </c>
      <c r="P1706" s="347"/>
      <c r="Q1706" s="347"/>
      <c r="R1706" s="347"/>
      <c r="S1706" s="348">
        <v>36526</v>
      </c>
      <c r="T1706" s="348">
        <v>36526</v>
      </c>
      <c r="U1706" s="347"/>
      <c r="V1706" s="345">
        <v>500</v>
      </c>
      <c r="W1706" s="345">
        <v>14110</v>
      </c>
      <c r="X1706" s="349">
        <v>1372.02</v>
      </c>
      <c r="Y1706" s="345">
        <v>14116</v>
      </c>
      <c r="Z1706" s="349">
        <v>1372.02</v>
      </c>
      <c r="AA1706" s="349">
        <f t="shared" si="111"/>
        <v>0</v>
      </c>
      <c r="AB1706" s="349">
        <v>0</v>
      </c>
      <c r="AC1706" s="345">
        <v>70260</v>
      </c>
      <c r="AD1706" s="349">
        <v>0</v>
      </c>
      <c r="AE1706" s="345" t="s">
        <v>944</v>
      </c>
      <c r="AF1706" s="347" t="s">
        <v>3044</v>
      </c>
      <c r="AG1706" s="347"/>
      <c r="AH1706" s="347" t="s">
        <v>57</v>
      </c>
      <c r="AI1706" s="347" t="s">
        <v>4442</v>
      </c>
      <c r="AJ1706" s="347" t="s">
        <v>4443</v>
      </c>
      <c r="AK1706" s="347" t="s">
        <v>4437</v>
      </c>
      <c r="AL1706" s="387">
        <v>45574</v>
      </c>
    </row>
    <row r="1707" spans="2:38" ht="15.75" outlineLevel="1">
      <c r="B1707" s="345">
        <v>2111</v>
      </c>
      <c r="C1707" s="346">
        <v>6768</v>
      </c>
      <c r="D1707" s="345" t="s">
        <v>944</v>
      </c>
      <c r="E1707" s="347" t="s">
        <v>4240</v>
      </c>
      <c r="F1707" s="343" t="s">
        <v>3824</v>
      </c>
      <c r="I1707" s="345">
        <v>1</v>
      </c>
      <c r="J1707" s="347"/>
      <c r="K1707" s="345">
        <v>0</v>
      </c>
      <c r="L1707" s="347" t="s">
        <v>2954</v>
      </c>
      <c r="M1707" s="347"/>
      <c r="N1707" s="347" t="s">
        <v>4440</v>
      </c>
      <c r="O1707" s="347" t="s">
        <v>4441</v>
      </c>
      <c r="P1707" s="347"/>
      <c r="Q1707" s="347"/>
      <c r="R1707" s="347"/>
      <c r="S1707" s="348">
        <v>36326</v>
      </c>
      <c r="T1707" s="348">
        <v>36326</v>
      </c>
      <c r="U1707" s="347"/>
      <c r="V1707" s="345">
        <v>300</v>
      </c>
      <c r="W1707" s="345">
        <v>14110</v>
      </c>
      <c r="X1707" s="349">
        <v>552.84</v>
      </c>
      <c r="Y1707" s="345">
        <v>14116</v>
      </c>
      <c r="Z1707" s="349">
        <v>552.84</v>
      </c>
      <c r="AA1707" s="349">
        <f t="shared" si="111"/>
        <v>0</v>
      </c>
      <c r="AB1707" s="349">
        <v>0</v>
      </c>
      <c r="AC1707" s="345">
        <v>70260</v>
      </c>
      <c r="AD1707" s="349">
        <v>0</v>
      </c>
      <c r="AE1707" s="345" t="s">
        <v>944</v>
      </c>
      <c r="AF1707" s="347" t="s">
        <v>3044</v>
      </c>
      <c r="AG1707" s="347"/>
      <c r="AH1707" s="347" t="s">
        <v>57</v>
      </c>
      <c r="AI1707" s="347" t="s">
        <v>4442</v>
      </c>
      <c r="AJ1707" s="347" t="s">
        <v>4443</v>
      </c>
      <c r="AK1707" s="347" t="s">
        <v>4437</v>
      </c>
      <c r="AL1707" s="387">
        <v>45574</v>
      </c>
    </row>
    <row r="1708" spans="2:38" ht="15.75" outlineLevel="1">
      <c r="B1708" s="345">
        <v>2111</v>
      </c>
      <c r="C1708" s="346">
        <v>6765</v>
      </c>
      <c r="D1708" s="345" t="s">
        <v>944</v>
      </c>
      <c r="E1708" s="347" t="s">
        <v>4240</v>
      </c>
      <c r="F1708" s="343" t="s">
        <v>4456</v>
      </c>
      <c r="I1708" s="345">
        <v>1</v>
      </c>
      <c r="J1708" s="347"/>
      <c r="K1708" s="345">
        <v>0</v>
      </c>
      <c r="L1708" s="347" t="s">
        <v>2954</v>
      </c>
      <c r="M1708" s="347"/>
      <c r="N1708" s="347" t="s">
        <v>4440</v>
      </c>
      <c r="O1708" s="347" t="s">
        <v>4441</v>
      </c>
      <c r="P1708" s="347"/>
      <c r="Q1708" s="347"/>
      <c r="R1708" s="347"/>
      <c r="S1708" s="348">
        <v>36321</v>
      </c>
      <c r="T1708" s="348">
        <v>36321</v>
      </c>
      <c r="U1708" s="347" t="s">
        <v>3826</v>
      </c>
      <c r="V1708" s="345">
        <v>300</v>
      </c>
      <c r="W1708" s="345">
        <v>14110</v>
      </c>
      <c r="X1708" s="349">
        <v>864.05</v>
      </c>
      <c r="Y1708" s="345">
        <v>14116</v>
      </c>
      <c r="Z1708" s="349">
        <v>864.05</v>
      </c>
      <c r="AA1708" s="349">
        <f t="shared" si="111"/>
        <v>0</v>
      </c>
      <c r="AB1708" s="349">
        <v>0</v>
      </c>
      <c r="AC1708" s="345">
        <v>70260</v>
      </c>
      <c r="AD1708" s="349">
        <v>0</v>
      </c>
      <c r="AE1708" s="345" t="s">
        <v>944</v>
      </c>
      <c r="AF1708" s="347" t="s">
        <v>3044</v>
      </c>
      <c r="AG1708" s="347"/>
      <c r="AH1708" s="347" t="s">
        <v>57</v>
      </c>
      <c r="AI1708" s="347" t="s">
        <v>4442</v>
      </c>
      <c r="AJ1708" s="347" t="s">
        <v>4443</v>
      </c>
      <c r="AK1708" s="347" t="s">
        <v>4437</v>
      </c>
      <c r="AL1708" s="387">
        <v>45574</v>
      </c>
    </row>
    <row r="1709" spans="2:38" ht="15.75" outlineLevel="1">
      <c r="B1709" s="345">
        <v>2111</v>
      </c>
      <c r="C1709" s="346">
        <v>6762</v>
      </c>
      <c r="D1709" s="345" t="s">
        <v>944</v>
      </c>
      <c r="E1709" s="347" t="s">
        <v>4240</v>
      </c>
      <c r="F1709" s="343" t="s">
        <v>3827</v>
      </c>
      <c r="I1709" s="345">
        <v>1</v>
      </c>
      <c r="J1709" s="347"/>
      <c r="K1709" s="345">
        <v>0</v>
      </c>
      <c r="L1709" s="347" t="s">
        <v>2954</v>
      </c>
      <c r="M1709" s="347"/>
      <c r="N1709" s="347" t="s">
        <v>4440</v>
      </c>
      <c r="O1709" s="347" t="s">
        <v>4441</v>
      </c>
      <c r="P1709" s="347"/>
      <c r="Q1709" s="347"/>
      <c r="R1709" s="347"/>
      <c r="S1709" s="348">
        <v>36299</v>
      </c>
      <c r="T1709" s="348">
        <v>36299</v>
      </c>
      <c r="U1709" s="347" t="s">
        <v>3828</v>
      </c>
      <c r="V1709" s="345">
        <v>300</v>
      </c>
      <c r="W1709" s="345">
        <v>14110</v>
      </c>
      <c r="X1709" s="349">
        <v>413.56</v>
      </c>
      <c r="Y1709" s="345">
        <v>14116</v>
      </c>
      <c r="Z1709" s="349">
        <v>413.56</v>
      </c>
      <c r="AA1709" s="349">
        <f t="shared" si="111"/>
        <v>0</v>
      </c>
      <c r="AB1709" s="349">
        <v>0</v>
      </c>
      <c r="AC1709" s="345">
        <v>70260</v>
      </c>
      <c r="AD1709" s="349">
        <v>0</v>
      </c>
      <c r="AE1709" s="345" t="s">
        <v>944</v>
      </c>
      <c r="AF1709" s="347" t="s">
        <v>3044</v>
      </c>
      <c r="AG1709" s="347"/>
      <c r="AH1709" s="347" t="s">
        <v>57</v>
      </c>
      <c r="AI1709" s="347" t="s">
        <v>4442</v>
      </c>
      <c r="AJ1709" s="347" t="s">
        <v>4443</v>
      </c>
      <c r="AK1709" s="347" t="s">
        <v>4437</v>
      </c>
      <c r="AL1709" s="387">
        <v>45574</v>
      </c>
    </row>
    <row r="1710" spans="2:38" ht="15.75" outlineLevel="1">
      <c r="B1710" s="345">
        <v>2111</v>
      </c>
      <c r="C1710" s="346">
        <v>6761</v>
      </c>
      <c r="D1710" s="345" t="s">
        <v>944</v>
      </c>
      <c r="E1710" s="347" t="s">
        <v>4240</v>
      </c>
      <c r="F1710" s="343" t="s">
        <v>3829</v>
      </c>
      <c r="I1710" s="345">
        <v>1</v>
      </c>
      <c r="J1710" s="347" t="s">
        <v>3830</v>
      </c>
      <c r="K1710" s="345">
        <v>0</v>
      </c>
      <c r="L1710" s="347" t="s">
        <v>2954</v>
      </c>
      <c r="M1710" s="347"/>
      <c r="N1710" s="347" t="s">
        <v>4440</v>
      </c>
      <c r="O1710" s="347" t="s">
        <v>4441</v>
      </c>
      <c r="P1710" s="347"/>
      <c r="Q1710" s="347"/>
      <c r="R1710" s="347"/>
      <c r="S1710" s="348">
        <v>36299</v>
      </c>
      <c r="T1710" s="348">
        <v>36299</v>
      </c>
      <c r="U1710" s="347" t="s">
        <v>3828</v>
      </c>
      <c r="V1710" s="345">
        <v>500</v>
      </c>
      <c r="W1710" s="345">
        <v>14110</v>
      </c>
      <c r="X1710" s="349">
        <v>1572.89</v>
      </c>
      <c r="Y1710" s="345">
        <v>14116</v>
      </c>
      <c r="Z1710" s="349">
        <v>1572.89</v>
      </c>
      <c r="AA1710" s="349">
        <f t="shared" si="111"/>
        <v>0</v>
      </c>
      <c r="AB1710" s="349">
        <v>0</v>
      </c>
      <c r="AC1710" s="345">
        <v>70260</v>
      </c>
      <c r="AD1710" s="349">
        <v>0</v>
      </c>
      <c r="AE1710" s="345" t="s">
        <v>944</v>
      </c>
      <c r="AF1710" s="347" t="s">
        <v>3044</v>
      </c>
      <c r="AG1710" s="347"/>
      <c r="AH1710" s="347" t="s">
        <v>57</v>
      </c>
      <c r="AI1710" s="347" t="s">
        <v>4442</v>
      </c>
      <c r="AJ1710" s="347" t="s">
        <v>4443</v>
      </c>
      <c r="AK1710" s="347" t="s">
        <v>4437</v>
      </c>
      <c r="AL1710" s="387">
        <v>45574</v>
      </c>
    </row>
    <row r="1711" spans="2:38" ht="15.75" outlineLevel="1">
      <c r="B1711" s="345">
        <v>2111</v>
      </c>
      <c r="C1711" s="346">
        <v>6759</v>
      </c>
      <c r="D1711" s="345" t="s">
        <v>944</v>
      </c>
      <c r="E1711" s="347" t="s">
        <v>4240</v>
      </c>
      <c r="F1711" s="343" t="s">
        <v>3831</v>
      </c>
      <c r="I1711" s="345">
        <v>1</v>
      </c>
      <c r="J1711" s="347"/>
      <c r="K1711" s="345">
        <v>0</v>
      </c>
      <c r="L1711" s="347" t="s">
        <v>2954</v>
      </c>
      <c r="M1711" s="347"/>
      <c r="N1711" s="347" t="s">
        <v>4440</v>
      </c>
      <c r="O1711" s="347" t="s">
        <v>4441</v>
      </c>
      <c r="P1711" s="347"/>
      <c r="Q1711" s="347"/>
      <c r="R1711" s="347"/>
      <c r="S1711" s="348">
        <v>36299</v>
      </c>
      <c r="T1711" s="348">
        <v>36299</v>
      </c>
      <c r="U1711" s="347" t="s">
        <v>3828</v>
      </c>
      <c r="V1711" s="345">
        <v>500</v>
      </c>
      <c r="W1711" s="345">
        <v>14110</v>
      </c>
      <c r="X1711" s="349">
        <v>455.27</v>
      </c>
      <c r="Y1711" s="345">
        <v>14116</v>
      </c>
      <c r="Z1711" s="349">
        <v>455.27</v>
      </c>
      <c r="AA1711" s="349">
        <f t="shared" si="111"/>
        <v>0</v>
      </c>
      <c r="AB1711" s="349">
        <v>0</v>
      </c>
      <c r="AC1711" s="345">
        <v>70260</v>
      </c>
      <c r="AD1711" s="349">
        <v>0</v>
      </c>
      <c r="AE1711" s="345" t="s">
        <v>944</v>
      </c>
      <c r="AF1711" s="347" t="s">
        <v>3044</v>
      </c>
      <c r="AG1711" s="347"/>
      <c r="AH1711" s="347" t="s">
        <v>57</v>
      </c>
      <c r="AI1711" s="347" t="s">
        <v>4442</v>
      </c>
      <c r="AJ1711" s="347" t="s">
        <v>4443</v>
      </c>
      <c r="AK1711" s="347" t="s">
        <v>4437</v>
      </c>
      <c r="AL1711" s="387">
        <v>45574</v>
      </c>
    </row>
    <row r="1712" spans="2:38" ht="15.75" outlineLevel="1">
      <c r="B1712" s="345">
        <v>2111</v>
      </c>
      <c r="C1712" s="346">
        <v>6758</v>
      </c>
      <c r="D1712" s="345" t="s">
        <v>944</v>
      </c>
      <c r="E1712" s="347" t="s">
        <v>4240</v>
      </c>
      <c r="F1712" s="343" t="s">
        <v>3832</v>
      </c>
      <c r="I1712" s="345">
        <v>1</v>
      </c>
      <c r="J1712" s="347"/>
      <c r="K1712" s="345">
        <v>0</v>
      </c>
      <c r="L1712" s="347" t="s">
        <v>2954</v>
      </c>
      <c r="M1712" s="347"/>
      <c r="N1712" s="347" t="s">
        <v>4440</v>
      </c>
      <c r="O1712" s="347" t="s">
        <v>4441</v>
      </c>
      <c r="P1712" s="347"/>
      <c r="Q1712" s="347"/>
      <c r="R1712" s="347"/>
      <c r="S1712" s="348">
        <v>36299</v>
      </c>
      <c r="T1712" s="348">
        <v>36299</v>
      </c>
      <c r="U1712" s="347" t="s">
        <v>3828</v>
      </c>
      <c r="V1712" s="345">
        <v>500</v>
      </c>
      <c r="W1712" s="345">
        <v>14110</v>
      </c>
      <c r="X1712" s="349">
        <v>2260.63</v>
      </c>
      <c r="Y1712" s="345">
        <v>14116</v>
      </c>
      <c r="Z1712" s="349">
        <v>2260.63</v>
      </c>
      <c r="AA1712" s="349">
        <f t="shared" si="111"/>
        <v>0</v>
      </c>
      <c r="AB1712" s="349">
        <v>0</v>
      </c>
      <c r="AC1712" s="345">
        <v>70260</v>
      </c>
      <c r="AD1712" s="349">
        <v>0</v>
      </c>
      <c r="AE1712" s="345" t="s">
        <v>944</v>
      </c>
      <c r="AF1712" s="347" t="s">
        <v>3044</v>
      </c>
      <c r="AG1712" s="347"/>
      <c r="AH1712" s="347" t="s">
        <v>57</v>
      </c>
      <c r="AI1712" s="347" t="s">
        <v>4442</v>
      </c>
      <c r="AJ1712" s="347" t="s">
        <v>4443</v>
      </c>
      <c r="AK1712" s="347" t="s">
        <v>4437</v>
      </c>
      <c r="AL1712" s="387">
        <v>45574</v>
      </c>
    </row>
    <row r="1713" spans="2:38" ht="15.75" outlineLevel="1">
      <c r="B1713" s="345">
        <v>2111</v>
      </c>
      <c r="C1713" s="346">
        <v>6751</v>
      </c>
      <c r="D1713" s="345" t="s">
        <v>944</v>
      </c>
      <c r="E1713" s="347" t="s">
        <v>4240</v>
      </c>
      <c r="F1713" s="343" t="s">
        <v>3833</v>
      </c>
      <c r="I1713" s="345">
        <v>1</v>
      </c>
      <c r="J1713" s="347"/>
      <c r="K1713" s="345">
        <v>0</v>
      </c>
      <c r="L1713" s="347" t="s">
        <v>2954</v>
      </c>
      <c r="M1713" s="347"/>
      <c r="N1713" s="347" t="s">
        <v>4440</v>
      </c>
      <c r="O1713" s="347" t="s">
        <v>4441</v>
      </c>
      <c r="P1713" s="347"/>
      <c r="Q1713" s="347"/>
      <c r="R1713" s="347"/>
      <c r="S1713" s="348">
        <v>36296</v>
      </c>
      <c r="T1713" s="348">
        <v>36296</v>
      </c>
      <c r="U1713" s="347" t="s">
        <v>3828</v>
      </c>
      <c r="V1713" s="345">
        <v>300</v>
      </c>
      <c r="W1713" s="345">
        <v>14110</v>
      </c>
      <c r="X1713" s="349">
        <v>789.64</v>
      </c>
      <c r="Y1713" s="345">
        <v>14116</v>
      </c>
      <c r="Z1713" s="349">
        <v>789.64</v>
      </c>
      <c r="AA1713" s="349">
        <f t="shared" si="111"/>
        <v>0</v>
      </c>
      <c r="AB1713" s="349">
        <v>0</v>
      </c>
      <c r="AC1713" s="345">
        <v>70260</v>
      </c>
      <c r="AD1713" s="349">
        <v>0</v>
      </c>
      <c r="AE1713" s="345" t="s">
        <v>944</v>
      </c>
      <c r="AF1713" s="347" t="s">
        <v>3044</v>
      </c>
      <c r="AG1713" s="347"/>
      <c r="AH1713" s="347" t="s">
        <v>57</v>
      </c>
      <c r="AI1713" s="347" t="s">
        <v>4442</v>
      </c>
      <c r="AJ1713" s="347" t="s">
        <v>4443</v>
      </c>
      <c r="AK1713" s="347" t="s">
        <v>4437</v>
      </c>
      <c r="AL1713" s="387">
        <v>45574</v>
      </c>
    </row>
    <row r="1714" spans="2:38" ht="15.75" outlineLevel="1">
      <c r="B1714" s="345">
        <v>2111</v>
      </c>
      <c r="C1714" s="346">
        <v>6750</v>
      </c>
      <c r="D1714" s="345" t="s">
        <v>944</v>
      </c>
      <c r="E1714" s="347" t="s">
        <v>4240</v>
      </c>
      <c r="F1714" s="343" t="s">
        <v>3834</v>
      </c>
      <c r="I1714" s="345">
        <v>1</v>
      </c>
      <c r="J1714" s="347" t="s">
        <v>3835</v>
      </c>
      <c r="K1714" s="345">
        <v>0</v>
      </c>
      <c r="L1714" s="347" t="s">
        <v>2954</v>
      </c>
      <c r="M1714" s="347"/>
      <c r="N1714" s="347" t="s">
        <v>4440</v>
      </c>
      <c r="O1714" s="347" t="s">
        <v>4441</v>
      </c>
      <c r="P1714" s="347"/>
      <c r="Q1714" s="347"/>
      <c r="R1714" s="347"/>
      <c r="S1714" s="348">
        <v>36296</v>
      </c>
      <c r="T1714" s="348">
        <v>36296</v>
      </c>
      <c r="U1714" s="347" t="s">
        <v>3828</v>
      </c>
      <c r="V1714" s="345">
        <v>500</v>
      </c>
      <c r="W1714" s="345">
        <v>14110</v>
      </c>
      <c r="X1714" s="349">
        <v>1779.93</v>
      </c>
      <c r="Y1714" s="345">
        <v>14116</v>
      </c>
      <c r="Z1714" s="349">
        <v>1779.93</v>
      </c>
      <c r="AA1714" s="349">
        <f t="shared" si="111"/>
        <v>0</v>
      </c>
      <c r="AB1714" s="349">
        <v>0</v>
      </c>
      <c r="AC1714" s="345">
        <v>70260</v>
      </c>
      <c r="AD1714" s="349">
        <v>0</v>
      </c>
      <c r="AE1714" s="345" t="s">
        <v>944</v>
      </c>
      <c r="AF1714" s="347" t="s">
        <v>3044</v>
      </c>
      <c r="AG1714" s="347"/>
      <c r="AH1714" s="347" t="s">
        <v>57</v>
      </c>
      <c r="AI1714" s="347" t="s">
        <v>4442</v>
      </c>
      <c r="AJ1714" s="347" t="s">
        <v>4443</v>
      </c>
      <c r="AK1714" s="347" t="s">
        <v>4437</v>
      </c>
      <c r="AL1714" s="387">
        <v>45574</v>
      </c>
    </row>
    <row r="1715" spans="2:38" ht="15.75" outlineLevel="1">
      <c r="B1715" s="345">
        <v>2111</v>
      </c>
      <c r="C1715" s="346">
        <v>6749</v>
      </c>
      <c r="D1715" s="345" t="s">
        <v>944</v>
      </c>
      <c r="E1715" s="347" t="s">
        <v>4240</v>
      </c>
      <c r="F1715" s="343" t="s">
        <v>3836</v>
      </c>
      <c r="I1715" s="345">
        <v>1</v>
      </c>
      <c r="J1715" s="347" t="s">
        <v>3837</v>
      </c>
      <c r="K1715" s="345">
        <v>0</v>
      </c>
      <c r="L1715" s="347" t="s">
        <v>3815</v>
      </c>
      <c r="M1715" s="347"/>
      <c r="N1715" s="347" t="s">
        <v>4453</v>
      </c>
      <c r="O1715" s="347" t="s">
        <v>4441</v>
      </c>
      <c r="P1715" s="347"/>
      <c r="Q1715" s="347"/>
      <c r="R1715" s="347"/>
      <c r="S1715" s="348">
        <v>36342</v>
      </c>
      <c r="T1715" s="348">
        <v>36342</v>
      </c>
      <c r="U1715" s="347" t="s">
        <v>3816</v>
      </c>
      <c r="V1715" s="345">
        <v>700</v>
      </c>
      <c r="W1715" s="345">
        <v>14100</v>
      </c>
      <c r="X1715" s="349">
        <v>2329.52</v>
      </c>
      <c r="Y1715" s="345">
        <v>14106</v>
      </c>
      <c r="Z1715" s="349">
        <v>2329.52</v>
      </c>
      <c r="AA1715" s="349">
        <f t="shared" si="111"/>
        <v>0</v>
      </c>
      <c r="AB1715" s="349">
        <v>0</v>
      </c>
      <c r="AC1715" s="345">
        <v>70260</v>
      </c>
      <c r="AD1715" s="349">
        <v>0</v>
      </c>
      <c r="AE1715" s="345" t="s">
        <v>944</v>
      </c>
      <c r="AF1715" s="347" t="s">
        <v>3044</v>
      </c>
      <c r="AG1715" s="347"/>
      <c r="AH1715" s="347" t="s">
        <v>57</v>
      </c>
      <c r="AI1715" s="347" t="s">
        <v>4442</v>
      </c>
      <c r="AJ1715" s="347" t="s">
        <v>4443</v>
      </c>
      <c r="AK1715" s="347" t="s">
        <v>4437</v>
      </c>
      <c r="AL1715" s="387">
        <v>45574</v>
      </c>
    </row>
    <row r="1716" spans="2:38" ht="15.75" outlineLevel="1">
      <c r="B1716" s="345">
        <v>2111</v>
      </c>
      <c r="C1716" s="346">
        <v>6748</v>
      </c>
      <c r="D1716" s="345" t="s">
        <v>944</v>
      </c>
      <c r="E1716" s="347" t="s">
        <v>4240</v>
      </c>
      <c r="F1716" s="343" t="s">
        <v>3838</v>
      </c>
      <c r="I1716" s="345">
        <v>1</v>
      </c>
      <c r="J1716" s="347" t="s">
        <v>3839</v>
      </c>
      <c r="K1716" s="345">
        <v>0</v>
      </c>
      <c r="L1716" s="347" t="s">
        <v>3815</v>
      </c>
      <c r="M1716" s="347"/>
      <c r="N1716" s="347" t="s">
        <v>4453</v>
      </c>
      <c r="O1716" s="347" t="s">
        <v>4441</v>
      </c>
      <c r="P1716" s="347"/>
      <c r="Q1716" s="347"/>
      <c r="R1716" s="347"/>
      <c r="S1716" s="348">
        <v>36342</v>
      </c>
      <c r="T1716" s="348">
        <v>36342</v>
      </c>
      <c r="U1716" s="347" t="s">
        <v>3816</v>
      </c>
      <c r="V1716" s="345">
        <v>700</v>
      </c>
      <c r="W1716" s="345">
        <v>14100</v>
      </c>
      <c r="X1716" s="349">
        <v>7544.64</v>
      </c>
      <c r="Y1716" s="345">
        <v>14106</v>
      </c>
      <c r="Z1716" s="349">
        <v>7544.64</v>
      </c>
      <c r="AA1716" s="349">
        <f t="shared" si="111"/>
        <v>0</v>
      </c>
      <c r="AB1716" s="349">
        <v>0</v>
      </c>
      <c r="AC1716" s="345">
        <v>70260</v>
      </c>
      <c r="AD1716" s="349">
        <v>0</v>
      </c>
      <c r="AE1716" s="345" t="s">
        <v>944</v>
      </c>
      <c r="AF1716" s="347" t="s">
        <v>3044</v>
      </c>
      <c r="AG1716" s="347"/>
      <c r="AH1716" s="347" t="s">
        <v>57</v>
      </c>
      <c r="AI1716" s="347" t="s">
        <v>4442</v>
      </c>
      <c r="AJ1716" s="347" t="s">
        <v>4443</v>
      </c>
      <c r="AK1716" s="347" t="s">
        <v>4437</v>
      </c>
      <c r="AL1716" s="387">
        <v>45574</v>
      </c>
    </row>
    <row r="1717" spans="2:38" ht="15.75" outlineLevel="1">
      <c r="B1717" s="345">
        <v>2111</v>
      </c>
      <c r="C1717" s="346">
        <v>6747</v>
      </c>
      <c r="D1717" s="345" t="s">
        <v>944</v>
      </c>
      <c r="E1717" s="347" t="s">
        <v>4240</v>
      </c>
      <c r="F1717" s="343" t="s">
        <v>3840</v>
      </c>
      <c r="I1717" s="345">
        <v>1</v>
      </c>
      <c r="J1717" s="347" t="s">
        <v>3841</v>
      </c>
      <c r="K1717" s="345">
        <v>0</v>
      </c>
      <c r="L1717" s="347" t="s">
        <v>3815</v>
      </c>
      <c r="M1717" s="347"/>
      <c r="N1717" s="347" t="s">
        <v>4453</v>
      </c>
      <c r="O1717" s="347" t="s">
        <v>4441</v>
      </c>
      <c r="P1717" s="347"/>
      <c r="Q1717" s="347"/>
      <c r="R1717" s="347"/>
      <c r="S1717" s="348">
        <v>36342</v>
      </c>
      <c r="T1717" s="348">
        <v>36342</v>
      </c>
      <c r="U1717" s="347" t="s">
        <v>3816</v>
      </c>
      <c r="V1717" s="345">
        <v>700</v>
      </c>
      <c r="W1717" s="345">
        <v>14100</v>
      </c>
      <c r="X1717" s="349">
        <v>2439</v>
      </c>
      <c r="Y1717" s="345">
        <v>14106</v>
      </c>
      <c r="Z1717" s="349">
        <v>2439</v>
      </c>
      <c r="AA1717" s="349">
        <f t="shared" si="111"/>
        <v>0</v>
      </c>
      <c r="AB1717" s="349">
        <v>0</v>
      </c>
      <c r="AC1717" s="345">
        <v>70260</v>
      </c>
      <c r="AD1717" s="349">
        <v>0</v>
      </c>
      <c r="AE1717" s="345" t="s">
        <v>944</v>
      </c>
      <c r="AF1717" s="347" t="s">
        <v>3044</v>
      </c>
      <c r="AG1717" s="347"/>
      <c r="AH1717" s="347" t="s">
        <v>57</v>
      </c>
      <c r="AI1717" s="347" t="s">
        <v>4442</v>
      </c>
      <c r="AJ1717" s="347" t="s">
        <v>4443</v>
      </c>
      <c r="AK1717" s="347" t="s">
        <v>4437</v>
      </c>
      <c r="AL1717" s="387">
        <v>45574</v>
      </c>
    </row>
    <row r="1718" spans="2:38" ht="15.75" outlineLevel="1">
      <c r="B1718" s="345">
        <v>2111</v>
      </c>
      <c r="C1718" s="346">
        <v>6746</v>
      </c>
      <c r="D1718" s="345" t="s">
        <v>944</v>
      </c>
      <c r="E1718" s="347" t="s">
        <v>4240</v>
      </c>
      <c r="F1718" s="343" t="s">
        <v>3842</v>
      </c>
      <c r="I1718" s="345">
        <v>1</v>
      </c>
      <c r="J1718" s="347" t="s">
        <v>3843</v>
      </c>
      <c r="K1718" s="345">
        <v>0</v>
      </c>
      <c r="L1718" s="347" t="s">
        <v>3815</v>
      </c>
      <c r="M1718" s="347"/>
      <c r="N1718" s="347" t="s">
        <v>4453</v>
      </c>
      <c r="O1718" s="347" t="s">
        <v>4441</v>
      </c>
      <c r="P1718" s="347"/>
      <c r="Q1718" s="347"/>
      <c r="R1718" s="347"/>
      <c r="S1718" s="348">
        <v>36342</v>
      </c>
      <c r="T1718" s="348">
        <v>36342</v>
      </c>
      <c r="U1718" s="347" t="s">
        <v>3816</v>
      </c>
      <c r="V1718" s="345">
        <v>700</v>
      </c>
      <c r="W1718" s="345">
        <v>14100</v>
      </c>
      <c r="X1718" s="349">
        <v>1007.04</v>
      </c>
      <c r="Y1718" s="345">
        <v>14106</v>
      </c>
      <c r="Z1718" s="349">
        <v>1007.04</v>
      </c>
      <c r="AA1718" s="349">
        <f t="shared" si="111"/>
        <v>0</v>
      </c>
      <c r="AB1718" s="349">
        <v>0</v>
      </c>
      <c r="AC1718" s="345">
        <v>70260</v>
      </c>
      <c r="AD1718" s="349">
        <v>0</v>
      </c>
      <c r="AE1718" s="345" t="s">
        <v>944</v>
      </c>
      <c r="AF1718" s="347"/>
      <c r="AG1718" s="347"/>
      <c r="AH1718" s="347" t="s">
        <v>57</v>
      </c>
      <c r="AI1718" s="347" t="s">
        <v>4442</v>
      </c>
      <c r="AJ1718" s="347" t="s">
        <v>4443</v>
      </c>
      <c r="AK1718" s="347" t="s">
        <v>4437</v>
      </c>
      <c r="AL1718" s="387">
        <v>45574</v>
      </c>
    </row>
    <row r="1719" spans="2:38" ht="15.75" outlineLevel="1">
      <c r="B1719" s="345">
        <v>2111</v>
      </c>
      <c r="C1719" s="346">
        <v>6744</v>
      </c>
      <c r="D1719" s="345" t="s">
        <v>944</v>
      </c>
      <c r="E1719" s="347" t="s">
        <v>4240</v>
      </c>
      <c r="F1719" s="343" t="s">
        <v>3844</v>
      </c>
      <c r="I1719" s="345">
        <v>1</v>
      </c>
      <c r="J1719" s="347" t="s">
        <v>3845</v>
      </c>
      <c r="K1719" s="345">
        <v>0</v>
      </c>
      <c r="L1719" s="347" t="s">
        <v>3815</v>
      </c>
      <c r="M1719" s="347"/>
      <c r="N1719" s="347" t="s">
        <v>4453</v>
      </c>
      <c r="O1719" s="347" t="s">
        <v>4441</v>
      </c>
      <c r="P1719" s="347"/>
      <c r="Q1719" s="347"/>
      <c r="R1719" s="347"/>
      <c r="S1719" s="348">
        <v>36342</v>
      </c>
      <c r="T1719" s="348">
        <v>36342</v>
      </c>
      <c r="U1719" s="347" t="s">
        <v>3816</v>
      </c>
      <c r="V1719" s="345">
        <v>700</v>
      </c>
      <c r="W1719" s="345">
        <v>14100</v>
      </c>
      <c r="X1719" s="349">
        <v>2190.77</v>
      </c>
      <c r="Y1719" s="345">
        <v>14106</v>
      </c>
      <c r="Z1719" s="349">
        <v>2190.77</v>
      </c>
      <c r="AA1719" s="349">
        <f t="shared" si="111"/>
        <v>0</v>
      </c>
      <c r="AB1719" s="349">
        <v>0</v>
      </c>
      <c r="AC1719" s="345">
        <v>70260</v>
      </c>
      <c r="AD1719" s="349">
        <v>0</v>
      </c>
      <c r="AE1719" s="345" t="s">
        <v>944</v>
      </c>
      <c r="AF1719" s="347"/>
      <c r="AG1719" s="347"/>
      <c r="AH1719" s="347" t="s">
        <v>57</v>
      </c>
      <c r="AI1719" s="347" t="s">
        <v>4442</v>
      </c>
      <c r="AJ1719" s="347" t="s">
        <v>4443</v>
      </c>
      <c r="AK1719" s="347" t="s">
        <v>4437</v>
      </c>
      <c r="AL1719" s="387">
        <v>45574</v>
      </c>
    </row>
    <row r="1720" spans="2:38" ht="15.75" outlineLevel="1">
      <c r="B1720" s="345">
        <v>2111</v>
      </c>
      <c r="C1720" s="346">
        <v>6743</v>
      </c>
      <c r="D1720" s="345" t="s">
        <v>944</v>
      </c>
      <c r="E1720" s="347" t="s">
        <v>4240</v>
      </c>
      <c r="F1720" s="343" t="s">
        <v>3846</v>
      </c>
      <c r="I1720" s="345">
        <v>1</v>
      </c>
      <c r="J1720" s="347"/>
      <c r="K1720" s="345">
        <v>0</v>
      </c>
      <c r="L1720" s="347" t="s">
        <v>3847</v>
      </c>
      <c r="M1720" s="347"/>
      <c r="N1720" s="347" t="s">
        <v>4453</v>
      </c>
      <c r="O1720" s="347" t="s">
        <v>4441</v>
      </c>
      <c r="P1720" s="347"/>
      <c r="Q1720" s="347"/>
      <c r="R1720" s="347"/>
      <c r="S1720" s="348">
        <v>36315</v>
      </c>
      <c r="T1720" s="348">
        <v>36315</v>
      </c>
      <c r="U1720" s="347" t="s">
        <v>3848</v>
      </c>
      <c r="V1720" s="345">
        <v>500</v>
      </c>
      <c r="W1720" s="345">
        <v>14100</v>
      </c>
      <c r="X1720" s="349">
        <v>4598.5</v>
      </c>
      <c r="Y1720" s="345">
        <v>14106</v>
      </c>
      <c r="Z1720" s="349">
        <v>4598.5</v>
      </c>
      <c r="AA1720" s="349">
        <f t="shared" si="111"/>
        <v>0</v>
      </c>
      <c r="AB1720" s="349">
        <v>0</v>
      </c>
      <c r="AC1720" s="345">
        <v>70260</v>
      </c>
      <c r="AD1720" s="349">
        <v>0</v>
      </c>
      <c r="AE1720" s="345" t="s">
        <v>944</v>
      </c>
      <c r="AF1720" s="347"/>
      <c r="AG1720" s="347"/>
      <c r="AH1720" s="347" t="s">
        <v>57</v>
      </c>
      <c r="AI1720" s="347" t="s">
        <v>4442</v>
      </c>
      <c r="AJ1720" s="347" t="s">
        <v>4443</v>
      </c>
      <c r="AK1720" s="347" t="s">
        <v>4437</v>
      </c>
      <c r="AL1720" s="387">
        <v>45574</v>
      </c>
    </row>
    <row r="1721" spans="2:38" ht="15.75" outlineLevel="1">
      <c r="B1721" s="345">
        <v>2111</v>
      </c>
      <c r="C1721" s="346">
        <v>6742</v>
      </c>
      <c r="D1721" s="345" t="s">
        <v>944</v>
      </c>
      <c r="E1721" s="347" t="s">
        <v>4240</v>
      </c>
      <c r="F1721" s="343" t="s">
        <v>3849</v>
      </c>
      <c r="I1721" s="345">
        <v>1</v>
      </c>
      <c r="J1721" s="347"/>
      <c r="K1721" s="345">
        <v>0</v>
      </c>
      <c r="L1721" s="347" t="s">
        <v>3850</v>
      </c>
      <c r="M1721" s="347"/>
      <c r="N1721" s="347" t="s">
        <v>4453</v>
      </c>
      <c r="O1721" s="347" t="s">
        <v>4441</v>
      </c>
      <c r="P1721" s="347"/>
      <c r="Q1721" s="347"/>
      <c r="R1721" s="347"/>
      <c r="S1721" s="348">
        <v>36341</v>
      </c>
      <c r="T1721" s="348">
        <v>36341</v>
      </c>
      <c r="U1721" s="347"/>
      <c r="V1721" s="345">
        <v>700</v>
      </c>
      <c r="W1721" s="345">
        <v>14100</v>
      </c>
      <c r="X1721" s="349">
        <v>18132.259999999998</v>
      </c>
      <c r="Y1721" s="345">
        <v>14106</v>
      </c>
      <c r="Z1721" s="349">
        <v>18132.259999999998</v>
      </c>
      <c r="AA1721" s="349">
        <f t="shared" si="111"/>
        <v>0</v>
      </c>
      <c r="AB1721" s="349">
        <v>0</v>
      </c>
      <c r="AC1721" s="345">
        <v>70260</v>
      </c>
      <c r="AD1721" s="349">
        <v>0</v>
      </c>
      <c r="AE1721" s="345" t="s">
        <v>944</v>
      </c>
      <c r="AF1721" s="347" t="s">
        <v>3044</v>
      </c>
      <c r="AG1721" s="347"/>
      <c r="AH1721" s="347" t="s">
        <v>57</v>
      </c>
      <c r="AI1721" s="347" t="s">
        <v>4442</v>
      </c>
      <c r="AJ1721" s="347" t="s">
        <v>4443</v>
      </c>
      <c r="AK1721" s="347" t="s">
        <v>4437</v>
      </c>
      <c r="AL1721" s="387">
        <v>45574</v>
      </c>
    </row>
    <row r="1722" spans="2:38" ht="15.75" outlineLevel="1">
      <c r="B1722" s="345">
        <v>2111</v>
      </c>
      <c r="C1722" s="346">
        <v>6741</v>
      </c>
      <c r="D1722" s="345" t="s">
        <v>944</v>
      </c>
      <c r="E1722" s="347" t="s">
        <v>4240</v>
      </c>
      <c r="F1722" s="343" t="s">
        <v>3851</v>
      </c>
      <c r="I1722" s="345">
        <v>1</v>
      </c>
      <c r="J1722" s="347"/>
      <c r="K1722" s="345">
        <v>0</v>
      </c>
      <c r="L1722" s="347"/>
      <c r="M1722" s="347"/>
      <c r="N1722" s="347" t="s">
        <v>4453</v>
      </c>
      <c r="O1722" s="347" t="s">
        <v>4441</v>
      </c>
      <c r="P1722" s="347"/>
      <c r="Q1722" s="347"/>
      <c r="R1722" s="347"/>
      <c r="S1722" s="348">
        <v>36222</v>
      </c>
      <c r="T1722" s="348">
        <v>36222</v>
      </c>
      <c r="U1722" s="347"/>
      <c r="V1722" s="345">
        <v>500</v>
      </c>
      <c r="W1722" s="345">
        <v>14100</v>
      </c>
      <c r="X1722" s="349">
        <v>5201.67</v>
      </c>
      <c r="Y1722" s="345">
        <v>14106</v>
      </c>
      <c r="Z1722" s="349">
        <v>5201.67</v>
      </c>
      <c r="AA1722" s="349">
        <f t="shared" si="111"/>
        <v>0</v>
      </c>
      <c r="AB1722" s="349">
        <v>0</v>
      </c>
      <c r="AC1722" s="345">
        <v>70260</v>
      </c>
      <c r="AD1722" s="349">
        <v>0</v>
      </c>
      <c r="AE1722" s="345" t="s">
        <v>944</v>
      </c>
      <c r="AF1722" s="347" t="s">
        <v>3044</v>
      </c>
      <c r="AG1722" s="347"/>
      <c r="AH1722" s="347" t="s">
        <v>57</v>
      </c>
      <c r="AI1722" s="347" t="s">
        <v>4442</v>
      </c>
      <c r="AJ1722" s="347" t="s">
        <v>4443</v>
      </c>
      <c r="AK1722" s="347" t="s">
        <v>4437</v>
      </c>
      <c r="AL1722" s="387">
        <v>45574</v>
      </c>
    </row>
    <row r="1723" spans="2:38" ht="15.75" outlineLevel="1">
      <c r="B1723" s="345">
        <v>2111</v>
      </c>
      <c r="C1723" s="346">
        <v>6739</v>
      </c>
      <c r="D1723" s="345" t="s">
        <v>944</v>
      </c>
      <c r="E1723" s="347" t="s">
        <v>4240</v>
      </c>
      <c r="F1723" s="343" t="s">
        <v>218</v>
      </c>
      <c r="I1723" s="345">
        <v>1</v>
      </c>
      <c r="J1723" s="347"/>
      <c r="K1723" s="345">
        <v>0</v>
      </c>
      <c r="L1723" s="347"/>
      <c r="M1723" s="347"/>
      <c r="N1723" s="347" t="s">
        <v>4452</v>
      </c>
      <c r="O1723" s="347" t="s">
        <v>4441</v>
      </c>
      <c r="P1723" s="347"/>
      <c r="Q1723" s="347"/>
      <c r="R1723" s="347"/>
      <c r="S1723" s="348">
        <v>36526</v>
      </c>
      <c r="T1723" s="348">
        <v>36526</v>
      </c>
      <c r="U1723" s="347"/>
      <c r="V1723" s="345">
        <v>2000</v>
      </c>
      <c r="W1723" s="345">
        <v>14080</v>
      </c>
      <c r="X1723" s="349">
        <v>16198.88</v>
      </c>
      <c r="Y1723" s="345">
        <v>14086</v>
      </c>
      <c r="Z1723" s="349">
        <v>16198.88</v>
      </c>
      <c r="AA1723" s="349">
        <f t="shared" si="111"/>
        <v>0</v>
      </c>
      <c r="AB1723" s="349">
        <v>0</v>
      </c>
      <c r="AC1723" s="345">
        <v>57260</v>
      </c>
      <c r="AD1723" s="349">
        <v>0</v>
      </c>
      <c r="AE1723" s="345" t="s">
        <v>944</v>
      </c>
      <c r="AF1723" s="347" t="s">
        <v>3044</v>
      </c>
      <c r="AG1723" s="347"/>
      <c r="AH1723" s="347" t="s">
        <v>57</v>
      </c>
      <c r="AI1723" s="347" t="s">
        <v>4442</v>
      </c>
      <c r="AJ1723" s="347" t="s">
        <v>4443</v>
      </c>
      <c r="AK1723" s="347" t="s">
        <v>4437</v>
      </c>
      <c r="AL1723" s="387">
        <v>45574</v>
      </c>
    </row>
    <row r="1724" spans="2:38" ht="15.75" outlineLevel="1">
      <c r="B1724" s="345">
        <v>2111</v>
      </c>
      <c r="C1724" s="346">
        <v>6737</v>
      </c>
      <c r="D1724" s="345" t="s">
        <v>944</v>
      </c>
      <c r="E1724" s="347" t="s">
        <v>4240</v>
      </c>
      <c r="F1724" s="343" t="s">
        <v>3852</v>
      </c>
      <c r="I1724" s="345">
        <v>1</v>
      </c>
      <c r="J1724" s="347"/>
      <c r="K1724" s="345">
        <v>1999</v>
      </c>
      <c r="L1724" s="347" t="s">
        <v>2578</v>
      </c>
      <c r="M1724" s="347" t="s">
        <v>2214</v>
      </c>
      <c r="N1724" s="347" t="s">
        <v>4451</v>
      </c>
      <c r="O1724" s="347" t="s">
        <v>4441</v>
      </c>
      <c r="P1724" s="347"/>
      <c r="Q1724" s="347"/>
      <c r="R1724" s="347"/>
      <c r="S1724" s="348">
        <v>36525</v>
      </c>
      <c r="T1724" s="348">
        <v>36525</v>
      </c>
      <c r="U1724" s="347"/>
      <c r="V1724" s="345">
        <v>700</v>
      </c>
      <c r="W1724" s="345">
        <v>14070</v>
      </c>
      <c r="X1724" s="349">
        <v>2618.94</v>
      </c>
      <c r="Y1724" s="345">
        <v>14076</v>
      </c>
      <c r="Z1724" s="349">
        <v>2618.94</v>
      </c>
      <c r="AA1724" s="349">
        <f t="shared" si="111"/>
        <v>0</v>
      </c>
      <c r="AB1724" s="349">
        <v>0</v>
      </c>
      <c r="AC1724" s="345">
        <v>51260</v>
      </c>
      <c r="AD1724" s="349">
        <v>0</v>
      </c>
      <c r="AE1724" s="345" t="s">
        <v>944</v>
      </c>
      <c r="AF1724" s="347" t="s">
        <v>3044</v>
      </c>
      <c r="AG1724" s="347"/>
      <c r="AH1724" s="347" t="s">
        <v>57</v>
      </c>
      <c r="AI1724" s="347" t="s">
        <v>4442</v>
      </c>
      <c r="AJ1724" s="347" t="s">
        <v>4443</v>
      </c>
      <c r="AK1724" s="347" t="s">
        <v>4437</v>
      </c>
      <c r="AL1724" s="387">
        <v>45574</v>
      </c>
    </row>
    <row r="1725" spans="2:38" ht="15.75" outlineLevel="1">
      <c r="B1725" s="345">
        <v>2111</v>
      </c>
      <c r="C1725" s="346">
        <v>6736</v>
      </c>
      <c r="D1725" s="345" t="s">
        <v>944</v>
      </c>
      <c r="E1725" s="347" t="s">
        <v>4240</v>
      </c>
      <c r="F1725" s="343" t="s">
        <v>2622</v>
      </c>
      <c r="I1725" s="345">
        <v>432</v>
      </c>
      <c r="J1725" s="347" t="s">
        <v>3853</v>
      </c>
      <c r="K1725" s="345">
        <v>0</v>
      </c>
      <c r="L1725" s="347" t="s">
        <v>2225</v>
      </c>
      <c r="M1725" s="347"/>
      <c r="N1725" s="347" t="s">
        <v>4446</v>
      </c>
      <c r="O1725" s="347" t="s">
        <v>4441</v>
      </c>
      <c r="P1725" s="347"/>
      <c r="Q1725" s="347"/>
      <c r="R1725" s="347"/>
      <c r="S1725" s="348">
        <v>36642</v>
      </c>
      <c r="T1725" s="348">
        <v>36642</v>
      </c>
      <c r="U1725" s="347" t="s">
        <v>3817</v>
      </c>
      <c r="V1725" s="345">
        <v>700</v>
      </c>
      <c r="W1725" s="345">
        <v>14050</v>
      </c>
      <c r="X1725" s="349">
        <v>21392.74</v>
      </c>
      <c r="Y1725" s="345">
        <v>14056</v>
      </c>
      <c r="Z1725" s="349">
        <v>21392.74</v>
      </c>
      <c r="AA1725" s="349">
        <f t="shared" si="111"/>
        <v>0</v>
      </c>
      <c r="AB1725" s="349">
        <v>0</v>
      </c>
      <c r="AC1725" s="345">
        <v>54260</v>
      </c>
      <c r="AD1725" s="349">
        <v>0</v>
      </c>
      <c r="AE1725" s="345" t="s">
        <v>944</v>
      </c>
      <c r="AF1725" s="347" t="s">
        <v>3044</v>
      </c>
      <c r="AG1725" s="347"/>
      <c r="AH1725" s="347" t="s">
        <v>57</v>
      </c>
      <c r="AI1725" s="347" t="s">
        <v>4442</v>
      </c>
      <c r="AJ1725" s="347" t="s">
        <v>4443</v>
      </c>
      <c r="AK1725" s="347" t="s">
        <v>4437</v>
      </c>
      <c r="AL1725" s="387">
        <v>45574</v>
      </c>
    </row>
    <row r="1726" spans="2:38" ht="15.75" outlineLevel="1">
      <c r="B1726" s="345">
        <v>2111</v>
      </c>
      <c r="C1726" s="346">
        <v>6734</v>
      </c>
      <c r="D1726" s="345" t="s">
        <v>944</v>
      </c>
      <c r="E1726" s="347" t="s">
        <v>4240</v>
      </c>
      <c r="F1726" s="343" t="s">
        <v>3854</v>
      </c>
      <c r="I1726" s="345">
        <v>432</v>
      </c>
      <c r="J1726" s="347" t="s">
        <v>3853</v>
      </c>
      <c r="K1726" s="345">
        <v>0</v>
      </c>
      <c r="L1726" s="347" t="s">
        <v>2560</v>
      </c>
      <c r="M1726" s="347"/>
      <c r="N1726" s="347" t="s">
        <v>4446</v>
      </c>
      <c r="O1726" s="347" t="s">
        <v>4441</v>
      </c>
      <c r="P1726" s="347"/>
      <c r="Q1726" s="347"/>
      <c r="R1726" s="347"/>
      <c r="S1726" s="348">
        <v>36581</v>
      </c>
      <c r="T1726" s="348">
        <v>36581</v>
      </c>
      <c r="U1726" s="347" t="s">
        <v>3855</v>
      </c>
      <c r="V1726" s="345">
        <v>700</v>
      </c>
      <c r="W1726" s="345">
        <v>14050</v>
      </c>
      <c r="X1726" s="349">
        <v>19902.240000000002</v>
      </c>
      <c r="Y1726" s="345">
        <v>14056</v>
      </c>
      <c r="Z1726" s="349">
        <v>19902.240000000002</v>
      </c>
      <c r="AA1726" s="349">
        <f t="shared" si="111"/>
        <v>0</v>
      </c>
      <c r="AB1726" s="349">
        <v>0</v>
      </c>
      <c r="AC1726" s="345">
        <v>54260</v>
      </c>
      <c r="AD1726" s="349">
        <v>0</v>
      </c>
      <c r="AE1726" s="345" t="s">
        <v>944</v>
      </c>
      <c r="AF1726" s="347" t="s">
        <v>3044</v>
      </c>
      <c r="AG1726" s="347"/>
      <c r="AH1726" s="347" t="s">
        <v>57</v>
      </c>
      <c r="AI1726" s="347" t="s">
        <v>4442</v>
      </c>
      <c r="AJ1726" s="347" t="s">
        <v>4443</v>
      </c>
      <c r="AK1726" s="347" t="s">
        <v>4437</v>
      </c>
      <c r="AL1726" s="387">
        <v>45574</v>
      </c>
    </row>
    <row r="1727" spans="2:38" ht="15.75" outlineLevel="1">
      <c r="B1727" s="345">
        <v>2111</v>
      </c>
      <c r="C1727" s="346">
        <v>6733</v>
      </c>
      <c r="D1727" s="345" t="s">
        <v>944</v>
      </c>
      <c r="E1727" s="347" t="s">
        <v>4240</v>
      </c>
      <c r="F1727" s="343" t="s">
        <v>3856</v>
      </c>
      <c r="I1727" s="345">
        <v>1</v>
      </c>
      <c r="J1727" s="347"/>
      <c r="K1727" s="345">
        <v>0</v>
      </c>
      <c r="L1727" s="347" t="s">
        <v>3857</v>
      </c>
      <c r="M1727" s="347"/>
      <c r="N1727" s="347" t="s">
        <v>4446</v>
      </c>
      <c r="O1727" s="347" t="s">
        <v>4441</v>
      </c>
      <c r="P1727" s="347"/>
      <c r="Q1727" s="347"/>
      <c r="R1727" s="347"/>
      <c r="S1727" s="348">
        <v>36587</v>
      </c>
      <c r="T1727" s="348">
        <v>36587</v>
      </c>
      <c r="U1727" s="347">
        <v>219</v>
      </c>
      <c r="V1727" s="345">
        <v>1200</v>
      </c>
      <c r="W1727" s="345">
        <v>14050</v>
      </c>
      <c r="X1727" s="349">
        <v>1903.5</v>
      </c>
      <c r="Y1727" s="345">
        <v>14056</v>
      </c>
      <c r="Z1727" s="349">
        <v>1903.5</v>
      </c>
      <c r="AA1727" s="349">
        <f t="shared" si="111"/>
        <v>0</v>
      </c>
      <c r="AB1727" s="349">
        <v>0</v>
      </c>
      <c r="AC1727" s="345">
        <v>54260</v>
      </c>
      <c r="AD1727" s="349">
        <v>0</v>
      </c>
      <c r="AE1727" s="345" t="s">
        <v>944</v>
      </c>
      <c r="AF1727" s="347" t="s">
        <v>3044</v>
      </c>
      <c r="AG1727" s="347"/>
      <c r="AH1727" s="347" t="s">
        <v>57</v>
      </c>
      <c r="AI1727" s="347" t="s">
        <v>4442</v>
      </c>
      <c r="AJ1727" s="347" t="s">
        <v>4443</v>
      </c>
      <c r="AK1727" s="347" t="s">
        <v>4437</v>
      </c>
      <c r="AL1727" s="387">
        <v>45574</v>
      </c>
    </row>
    <row r="1728" spans="2:38" ht="15.75" outlineLevel="1">
      <c r="B1728" s="345">
        <v>2111</v>
      </c>
      <c r="C1728" s="346">
        <v>6732</v>
      </c>
      <c r="D1728" s="345" t="s">
        <v>944</v>
      </c>
      <c r="E1728" s="347" t="s">
        <v>4240</v>
      </c>
      <c r="F1728" s="343" t="s">
        <v>3858</v>
      </c>
      <c r="I1728" s="345">
        <v>10</v>
      </c>
      <c r="J1728" s="347" t="s">
        <v>3859</v>
      </c>
      <c r="K1728" s="345">
        <v>0</v>
      </c>
      <c r="L1728" s="347" t="s">
        <v>3857</v>
      </c>
      <c r="M1728" s="347"/>
      <c r="N1728" s="347" t="s">
        <v>4446</v>
      </c>
      <c r="O1728" s="347" t="s">
        <v>4441</v>
      </c>
      <c r="P1728" s="347"/>
      <c r="Q1728" s="347" t="s">
        <v>4447</v>
      </c>
      <c r="R1728" s="347" t="s">
        <v>4448</v>
      </c>
      <c r="S1728" s="348">
        <v>36570</v>
      </c>
      <c r="T1728" s="348">
        <v>36570</v>
      </c>
      <c r="U1728" s="347">
        <v>219</v>
      </c>
      <c r="V1728" s="345">
        <v>1200</v>
      </c>
      <c r="W1728" s="345">
        <v>14050</v>
      </c>
      <c r="X1728" s="349">
        <v>39024</v>
      </c>
      <c r="Y1728" s="345">
        <v>14056</v>
      </c>
      <c r="Z1728" s="349">
        <v>39024</v>
      </c>
      <c r="AA1728" s="349">
        <f t="shared" si="111"/>
        <v>0</v>
      </c>
      <c r="AB1728" s="349">
        <v>0</v>
      </c>
      <c r="AC1728" s="345">
        <v>54260</v>
      </c>
      <c r="AD1728" s="349">
        <v>0</v>
      </c>
      <c r="AE1728" s="345" t="s">
        <v>944</v>
      </c>
      <c r="AF1728" s="347" t="s">
        <v>3044</v>
      </c>
      <c r="AG1728" s="347"/>
      <c r="AH1728" s="347" t="s">
        <v>57</v>
      </c>
      <c r="AI1728" s="347" t="s">
        <v>4442</v>
      </c>
      <c r="AJ1728" s="347" t="s">
        <v>4443</v>
      </c>
      <c r="AK1728" s="347" t="s">
        <v>4437</v>
      </c>
      <c r="AL1728" s="387">
        <v>45574</v>
      </c>
    </row>
    <row r="1729" spans="2:38" ht="15.75" outlineLevel="1">
      <c r="B1729" s="345">
        <v>2111</v>
      </c>
      <c r="C1729" s="346">
        <v>6730</v>
      </c>
      <c r="D1729" s="345" t="s">
        <v>944</v>
      </c>
      <c r="E1729" s="347" t="s">
        <v>4240</v>
      </c>
      <c r="F1729" s="343" t="s">
        <v>3860</v>
      </c>
      <c r="I1729" s="345">
        <v>12</v>
      </c>
      <c r="J1729" s="347" t="s">
        <v>3861</v>
      </c>
      <c r="K1729" s="345">
        <v>0</v>
      </c>
      <c r="L1729" s="347" t="s">
        <v>2609</v>
      </c>
      <c r="M1729" s="347"/>
      <c r="N1729" s="347" t="s">
        <v>4446</v>
      </c>
      <c r="O1729" s="347" t="s">
        <v>4441</v>
      </c>
      <c r="P1729" s="347"/>
      <c r="Q1729" s="347" t="s">
        <v>4449</v>
      </c>
      <c r="R1729" s="347" t="s">
        <v>4450</v>
      </c>
      <c r="S1729" s="348">
        <v>36587</v>
      </c>
      <c r="T1729" s="348">
        <v>36587</v>
      </c>
      <c r="U1729" s="347">
        <v>219</v>
      </c>
      <c r="V1729" s="345">
        <v>1200</v>
      </c>
      <c r="W1729" s="345">
        <v>14050</v>
      </c>
      <c r="X1729" s="349">
        <v>3215.83</v>
      </c>
      <c r="Y1729" s="345">
        <v>14056</v>
      </c>
      <c r="Z1729" s="349">
        <v>3215.83</v>
      </c>
      <c r="AA1729" s="349">
        <f t="shared" si="111"/>
        <v>0</v>
      </c>
      <c r="AB1729" s="349">
        <v>0</v>
      </c>
      <c r="AC1729" s="345">
        <v>54260</v>
      </c>
      <c r="AD1729" s="349">
        <v>0</v>
      </c>
      <c r="AE1729" s="345" t="s">
        <v>944</v>
      </c>
      <c r="AF1729" s="347" t="s">
        <v>3044</v>
      </c>
      <c r="AG1729" s="347"/>
      <c r="AH1729" s="347" t="s">
        <v>57</v>
      </c>
      <c r="AI1729" s="347" t="s">
        <v>4442</v>
      </c>
      <c r="AJ1729" s="347" t="s">
        <v>4443</v>
      </c>
      <c r="AK1729" s="347" t="s">
        <v>4437</v>
      </c>
      <c r="AL1729" s="387">
        <v>45574</v>
      </c>
    </row>
    <row r="1730" spans="2:38" ht="15.75" outlineLevel="1">
      <c r="B1730" s="345">
        <v>2111</v>
      </c>
      <c r="C1730" s="346">
        <v>6728</v>
      </c>
      <c r="D1730" s="345" t="s">
        <v>944</v>
      </c>
      <c r="E1730" s="347" t="s">
        <v>4240</v>
      </c>
      <c r="F1730" s="343" t="s">
        <v>3862</v>
      </c>
      <c r="I1730" s="345">
        <v>272</v>
      </c>
      <c r="J1730" s="347"/>
      <c r="K1730" s="345">
        <v>0</v>
      </c>
      <c r="L1730" s="347" t="s">
        <v>3863</v>
      </c>
      <c r="M1730" s="347"/>
      <c r="N1730" s="347" t="s">
        <v>4446</v>
      </c>
      <c r="O1730" s="347" t="s">
        <v>4441</v>
      </c>
      <c r="P1730" s="347"/>
      <c r="Q1730" s="347"/>
      <c r="R1730" s="347"/>
      <c r="S1730" s="348">
        <v>36525</v>
      </c>
      <c r="T1730" s="348">
        <v>36525</v>
      </c>
      <c r="U1730" s="347" t="s">
        <v>3864</v>
      </c>
      <c r="V1730" s="345">
        <v>700</v>
      </c>
      <c r="W1730" s="345">
        <v>14050</v>
      </c>
      <c r="X1730" s="349">
        <v>10866.4</v>
      </c>
      <c r="Y1730" s="345">
        <v>14056</v>
      </c>
      <c r="Z1730" s="349">
        <v>10866.4</v>
      </c>
      <c r="AA1730" s="349">
        <f t="shared" si="111"/>
        <v>0</v>
      </c>
      <c r="AB1730" s="349">
        <v>0</v>
      </c>
      <c r="AC1730" s="345">
        <v>54260</v>
      </c>
      <c r="AD1730" s="349">
        <v>0</v>
      </c>
      <c r="AE1730" s="345" t="s">
        <v>944</v>
      </c>
      <c r="AF1730" s="347" t="s">
        <v>3044</v>
      </c>
      <c r="AG1730" s="347"/>
      <c r="AH1730" s="347" t="s">
        <v>57</v>
      </c>
      <c r="AI1730" s="347" t="s">
        <v>4442</v>
      </c>
      <c r="AJ1730" s="347" t="s">
        <v>4443</v>
      </c>
      <c r="AK1730" s="347" t="s">
        <v>4437</v>
      </c>
      <c r="AL1730" s="387">
        <v>45574</v>
      </c>
    </row>
    <row r="1731" spans="2:38" ht="15.75" outlineLevel="1">
      <c r="B1731" s="345">
        <v>2111</v>
      </c>
      <c r="C1731" s="346">
        <v>6726</v>
      </c>
      <c r="D1731" s="345" t="s">
        <v>944</v>
      </c>
      <c r="E1731" s="347" t="s">
        <v>4240</v>
      </c>
      <c r="F1731" s="343" t="s">
        <v>3865</v>
      </c>
      <c r="I1731" s="345">
        <v>432</v>
      </c>
      <c r="J1731" s="347"/>
      <c r="K1731" s="345">
        <v>0</v>
      </c>
      <c r="L1731" s="347" t="s">
        <v>2560</v>
      </c>
      <c r="M1731" s="347"/>
      <c r="N1731" s="347" t="s">
        <v>4446</v>
      </c>
      <c r="O1731" s="347" t="s">
        <v>4441</v>
      </c>
      <c r="P1731" s="347"/>
      <c r="Q1731" s="347"/>
      <c r="R1731" s="347"/>
      <c r="S1731" s="348">
        <v>36373</v>
      </c>
      <c r="T1731" s="348">
        <v>36373</v>
      </c>
      <c r="U1731" s="347" t="s">
        <v>3866</v>
      </c>
      <c r="V1731" s="345">
        <v>700</v>
      </c>
      <c r="W1731" s="345">
        <v>14050</v>
      </c>
      <c r="X1731" s="349">
        <v>19902.240000000002</v>
      </c>
      <c r="Y1731" s="345">
        <v>14056</v>
      </c>
      <c r="Z1731" s="349">
        <v>19902.240000000002</v>
      </c>
      <c r="AA1731" s="349">
        <f t="shared" si="111"/>
        <v>0</v>
      </c>
      <c r="AB1731" s="349">
        <v>0</v>
      </c>
      <c r="AC1731" s="345">
        <v>54260</v>
      </c>
      <c r="AD1731" s="349">
        <v>0</v>
      </c>
      <c r="AE1731" s="345" t="s">
        <v>944</v>
      </c>
      <c r="AF1731" s="347" t="s">
        <v>3044</v>
      </c>
      <c r="AG1731" s="347"/>
      <c r="AH1731" s="347" t="s">
        <v>57</v>
      </c>
      <c r="AI1731" s="347" t="s">
        <v>4442</v>
      </c>
      <c r="AJ1731" s="347" t="s">
        <v>4443</v>
      </c>
      <c r="AK1731" s="347" t="s">
        <v>4437</v>
      </c>
      <c r="AL1731" s="387">
        <v>45574</v>
      </c>
    </row>
    <row r="1732" spans="2:38" ht="15.75" outlineLevel="1">
      <c r="B1732" s="345">
        <v>2111</v>
      </c>
      <c r="C1732" s="346">
        <v>6725</v>
      </c>
      <c r="D1732" s="345" t="s">
        <v>944</v>
      </c>
      <c r="E1732" s="347" t="s">
        <v>4240</v>
      </c>
      <c r="F1732" s="343" t="s">
        <v>3867</v>
      </c>
      <c r="I1732" s="345">
        <v>432</v>
      </c>
      <c r="J1732" s="347" t="s">
        <v>3868</v>
      </c>
      <c r="K1732" s="345">
        <v>0</v>
      </c>
      <c r="L1732" s="347" t="s">
        <v>2560</v>
      </c>
      <c r="M1732" s="347"/>
      <c r="N1732" s="347" t="s">
        <v>4446</v>
      </c>
      <c r="O1732" s="347" t="s">
        <v>4441</v>
      </c>
      <c r="P1732" s="347"/>
      <c r="Q1732" s="347"/>
      <c r="R1732" s="347"/>
      <c r="S1732" s="348">
        <v>36340</v>
      </c>
      <c r="T1732" s="348">
        <v>36340</v>
      </c>
      <c r="U1732" s="347"/>
      <c r="V1732" s="345">
        <v>700</v>
      </c>
      <c r="W1732" s="345">
        <v>14050</v>
      </c>
      <c r="X1732" s="349">
        <v>20370.53</v>
      </c>
      <c r="Y1732" s="345">
        <v>14056</v>
      </c>
      <c r="Z1732" s="349">
        <v>20370.53</v>
      </c>
      <c r="AA1732" s="349">
        <f t="shared" si="111"/>
        <v>0</v>
      </c>
      <c r="AB1732" s="349">
        <v>0</v>
      </c>
      <c r="AC1732" s="345">
        <v>54260</v>
      </c>
      <c r="AD1732" s="349">
        <v>0</v>
      </c>
      <c r="AE1732" s="345" t="s">
        <v>944</v>
      </c>
      <c r="AF1732" s="347" t="s">
        <v>3044</v>
      </c>
      <c r="AG1732" s="347"/>
      <c r="AH1732" s="347" t="s">
        <v>57</v>
      </c>
      <c r="AI1732" s="347" t="s">
        <v>4442</v>
      </c>
      <c r="AJ1732" s="347" t="s">
        <v>4443</v>
      </c>
      <c r="AK1732" s="347" t="s">
        <v>4437</v>
      </c>
      <c r="AL1732" s="387">
        <v>45574</v>
      </c>
    </row>
    <row r="1733" spans="2:38" ht="15.75" outlineLevel="1">
      <c r="B1733" s="345">
        <v>2111</v>
      </c>
      <c r="C1733" s="346">
        <v>6724</v>
      </c>
      <c r="D1733" s="345" t="s">
        <v>944</v>
      </c>
      <c r="E1733" s="347" t="s">
        <v>4240</v>
      </c>
      <c r="F1733" s="343" t="s">
        <v>3869</v>
      </c>
      <c r="I1733" s="345">
        <v>76</v>
      </c>
      <c r="J1733" s="347" t="s">
        <v>3870</v>
      </c>
      <c r="K1733" s="345">
        <v>0</v>
      </c>
      <c r="L1733" s="347" t="s">
        <v>2560</v>
      </c>
      <c r="M1733" s="347"/>
      <c r="N1733" s="347" t="s">
        <v>4446</v>
      </c>
      <c r="O1733" s="347" t="s">
        <v>4441</v>
      </c>
      <c r="P1733" s="347"/>
      <c r="Q1733" s="347"/>
      <c r="R1733" s="347"/>
      <c r="S1733" s="348">
        <v>36291</v>
      </c>
      <c r="T1733" s="348">
        <v>36291</v>
      </c>
      <c r="U1733" s="347" t="s">
        <v>3871</v>
      </c>
      <c r="V1733" s="345">
        <v>700</v>
      </c>
      <c r="W1733" s="345">
        <v>14050</v>
      </c>
      <c r="X1733" s="349">
        <v>3583.18</v>
      </c>
      <c r="Y1733" s="345">
        <v>14056</v>
      </c>
      <c r="Z1733" s="349">
        <v>3583.18</v>
      </c>
      <c r="AA1733" s="349">
        <f t="shared" si="111"/>
        <v>0</v>
      </c>
      <c r="AB1733" s="349">
        <v>0</v>
      </c>
      <c r="AC1733" s="345">
        <v>54260</v>
      </c>
      <c r="AD1733" s="349">
        <v>0</v>
      </c>
      <c r="AE1733" s="345" t="s">
        <v>944</v>
      </c>
      <c r="AF1733" s="347" t="s">
        <v>3044</v>
      </c>
      <c r="AG1733" s="347"/>
      <c r="AH1733" s="347" t="s">
        <v>57</v>
      </c>
      <c r="AI1733" s="347" t="s">
        <v>4442</v>
      </c>
      <c r="AJ1733" s="347" t="s">
        <v>4443</v>
      </c>
      <c r="AK1733" s="347" t="s">
        <v>4437</v>
      </c>
      <c r="AL1733" s="387">
        <v>45574</v>
      </c>
    </row>
    <row r="1734" spans="2:38" ht="15.75" outlineLevel="1">
      <c r="B1734" s="345">
        <v>2111</v>
      </c>
      <c r="C1734" s="346">
        <v>6723</v>
      </c>
      <c r="D1734" s="345" t="s">
        <v>944</v>
      </c>
      <c r="E1734" s="347" t="s">
        <v>4240</v>
      </c>
      <c r="F1734" s="343" t="s">
        <v>3869</v>
      </c>
      <c r="I1734" s="345">
        <v>864</v>
      </c>
      <c r="J1734" s="347" t="s">
        <v>3872</v>
      </c>
      <c r="K1734" s="345">
        <v>0</v>
      </c>
      <c r="L1734" s="347" t="s">
        <v>2560</v>
      </c>
      <c r="M1734" s="347"/>
      <c r="N1734" s="347" t="s">
        <v>4446</v>
      </c>
      <c r="O1734" s="347" t="s">
        <v>4441</v>
      </c>
      <c r="P1734" s="347"/>
      <c r="Q1734" s="347"/>
      <c r="R1734" s="347"/>
      <c r="S1734" s="348">
        <v>36279</v>
      </c>
      <c r="T1734" s="348">
        <v>36279</v>
      </c>
      <c r="U1734" s="347" t="s">
        <v>3871</v>
      </c>
      <c r="V1734" s="345">
        <v>700</v>
      </c>
      <c r="W1734" s="345">
        <v>14050</v>
      </c>
      <c r="X1734" s="349">
        <v>40741.06</v>
      </c>
      <c r="Y1734" s="345">
        <v>14056</v>
      </c>
      <c r="Z1734" s="349">
        <v>40741.06</v>
      </c>
      <c r="AA1734" s="349">
        <f t="shared" si="111"/>
        <v>0</v>
      </c>
      <c r="AB1734" s="349">
        <v>0</v>
      </c>
      <c r="AC1734" s="345">
        <v>54260</v>
      </c>
      <c r="AD1734" s="349">
        <v>0</v>
      </c>
      <c r="AE1734" s="345" t="s">
        <v>944</v>
      </c>
      <c r="AF1734" s="347" t="s">
        <v>3044</v>
      </c>
      <c r="AG1734" s="347"/>
      <c r="AH1734" s="347" t="s">
        <v>57</v>
      </c>
      <c r="AI1734" s="347" t="s">
        <v>4442</v>
      </c>
      <c r="AJ1734" s="347" t="s">
        <v>4443</v>
      </c>
      <c r="AK1734" s="347" t="s">
        <v>4437</v>
      </c>
      <c r="AL1734" s="387">
        <v>45574</v>
      </c>
    </row>
    <row r="1735" spans="2:38" ht="15.75" outlineLevel="1">
      <c r="B1735" s="345">
        <v>2111</v>
      </c>
      <c r="C1735" s="346">
        <v>6719</v>
      </c>
      <c r="D1735" s="345">
        <v>9536</v>
      </c>
      <c r="E1735" s="347" t="s">
        <v>4240</v>
      </c>
      <c r="F1735" s="343" t="s">
        <v>3873</v>
      </c>
      <c r="I1735" s="345">
        <v>1</v>
      </c>
      <c r="J1735" s="347" t="s">
        <v>3874</v>
      </c>
      <c r="K1735" s="345">
        <v>1999</v>
      </c>
      <c r="L1735" s="347"/>
      <c r="M1735" s="347"/>
      <c r="N1735" s="347" t="s">
        <v>4445</v>
      </c>
      <c r="O1735" s="347" t="s">
        <v>4441</v>
      </c>
      <c r="P1735" s="347" t="s">
        <v>1467</v>
      </c>
      <c r="Q1735" s="347"/>
      <c r="R1735" s="347"/>
      <c r="S1735" s="348">
        <v>36556</v>
      </c>
      <c r="T1735" s="348">
        <v>36556</v>
      </c>
      <c r="U1735" s="347" t="s">
        <v>3876</v>
      </c>
      <c r="V1735" s="345">
        <v>500</v>
      </c>
      <c r="W1735" s="345">
        <v>14040</v>
      </c>
      <c r="X1735" s="349">
        <v>7094.84</v>
      </c>
      <c r="Y1735" s="345">
        <v>14046</v>
      </c>
      <c r="Z1735" s="349">
        <v>7094.84</v>
      </c>
      <c r="AA1735" s="349">
        <f t="shared" si="111"/>
        <v>0</v>
      </c>
      <c r="AB1735" s="349">
        <v>0</v>
      </c>
      <c r="AC1735" s="345">
        <v>51260</v>
      </c>
      <c r="AD1735" s="349">
        <v>0</v>
      </c>
      <c r="AE1735" s="345" t="s">
        <v>944</v>
      </c>
      <c r="AF1735" s="347" t="s">
        <v>3044</v>
      </c>
      <c r="AG1735" s="347"/>
      <c r="AH1735" s="347" t="s">
        <v>57</v>
      </c>
      <c r="AI1735" s="347" t="s">
        <v>4442</v>
      </c>
      <c r="AJ1735" s="347" t="s">
        <v>4443</v>
      </c>
      <c r="AK1735" s="347" t="s">
        <v>4437</v>
      </c>
      <c r="AL1735" s="387">
        <v>45574</v>
      </c>
    </row>
    <row r="1736" spans="2:38" ht="15.75" outlineLevel="1">
      <c r="B1736" s="345">
        <v>2111</v>
      </c>
      <c r="C1736" s="346">
        <v>6718</v>
      </c>
      <c r="D1736" s="345">
        <v>9537</v>
      </c>
      <c r="E1736" s="347" t="s">
        <v>4240</v>
      </c>
      <c r="F1736" s="343" t="s">
        <v>3877</v>
      </c>
      <c r="I1736" s="345">
        <v>1</v>
      </c>
      <c r="J1736" s="347" t="s">
        <v>3878</v>
      </c>
      <c r="K1736" s="345">
        <v>1999</v>
      </c>
      <c r="L1736" s="347"/>
      <c r="M1736" s="347"/>
      <c r="N1736" s="347" t="s">
        <v>4445</v>
      </c>
      <c r="O1736" s="347" t="s">
        <v>4441</v>
      </c>
      <c r="P1736" s="347" t="s">
        <v>1591</v>
      </c>
      <c r="Q1736" s="347"/>
      <c r="R1736" s="347"/>
      <c r="S1736" s="348">
        <v>36556</v>
      </c>
      <c r="T1736" s="348">
        <v>36556</v>
      </c>
      <c r="U1736" s="347" t="s">
        <v>3876</v>
      </c>
      <c r="V1736" s="345">
        <v>500</v>
      </c>
      <c r="W1736" s="345">
        <v>14040</v>
      </c>
      <c r="X1736" s="349">
        <v>7094.84</v>
      </c>
      <c r="Y1736" s="345">
        <v>14046</v>
      </c>
      <c r="Z1736" s="349">
        <v>7094.84</v>
      </c>
      <c r="AA1736" s="349">
        <f t="shared" si="111"/>
        <v>0</v>
      </c>
      <c r="AB1736" s="349">
        <v>0</v>
      </c>
      <c r="AC1736" s="345">
        <v>51260</v>
      </c>
      <c r="AD1736" s="349">
        <v>0</v>
      </c>
      <c r="AE1736" s="345" t="s">
        <v>944</v>
      </c>
      <c r="AF1736" s="347" t="s">
        <v>3044</v>
      </c>
      <c r="AG1736" s="347"/>
      <c r="AH1736" s="347" t="s">
        <v>57</v>
      </c>
      <c r="AI1736" s="347" t="s">
        <v>4442</v>
      </c>
      <c r="AJ1736" s="347" t="s">
        <v>4443</v>
      </c>
      <c r="AK1736" s="347" t="s">
        <v>4437</v>
      </c>
      <c r="AL1736" s="387">
        <v>45574</v>
      </c>
    </row>
    <row r="1737" spans="2:38" ht="15.75" outlineLevel="1">
      <c r="B1737" s="345">
        <v>2111</v>
      </c>
      <c r="C1737" s="346">
        <v>6717</v>
      </c>
      <c r="D1737" s="345" t="s">
        <v>944</v>
      </c>
      <c r="E1737" s="347" t="s">
        <v>4240</v>
      </c>
      <c r="F1737" s="343" t="s">
        <v>3879</v>
      </c>
      <c r="I1737" s="345">
        <v>1</v>
      </c>
      <c r="J1737" s="347" t="s">
        <v>3438</v>
      </c>
      <c r="K1737" s="345">
        <v>1981</v>
      </c>
      <c r="L1737" s="347" t="s">
        <v>3880</v>
      </c>
      <c r="M1737" s="347" t="s">
        <v>2214</v>
      </c>
      <c r="N1737" s="347" t="s">
        <v>4445</v>
      </c>
      <c r="O1737" s="347" t="s">
        <v>4441</v>
      </c>
      <c r="P1737" s="347" t="s">
        <v>1467</v>
      </c>
      <c r="Q1737" s="347"/>
      <c r="R1737" s="347"/>
      <c r="S1737" s="348">
        <v>36342</v>
      </c>
      <c r="T1737" s="348">
        <v>36342</v>
      </c>
      <c r="U1737" s="347" t="s">
        <v>3881</v>
      </c>
      <c r="V1737" s="345">
        <v>500</v>
      </c>
      <c r="W1737" s="345">
        <v>14040</v>
      </c>
      <c r="X1737" s="349">
        <v>11910.19</v>
      </c>
      <c r="Y1737" s="345">
        <v>14046</v>
      </c>
      <c r="Z1737" s="349">
        <v>11910.19</v>
      </c>
      <c r="AA1737" s="349">
        <f t="shared" si="111"/>
        <v>0</v>
      </c>
      <c r="AB1737" s="349">
        <v>0</v>
      </c>
      <c r="AC1737" s="345">
        <v>51260</v>
      </c>
      <c r="AD1737" s="349">
        <v>0</v>
      </c>
      <c r="AE1737" s="345" t="s">
        <v>944</v>
      </c>
      <c r="AF1737" s="347" t="s">
        <v>3044</v>
      </c>
      <c r="AG1737" s="347">
        <v>64</v>
      </c>
      <c r="AH1737" s="347" t="s">
        <v>57</v>
      </c>
      <c r="AI1737" s="347" t="s">
        <v>4442</v>
      </c>
      <c r="AJ1737" s="347" t="s">
        <v>4443</v>
      </c>
      <c r="AK1737" s="347" t="s">
        <v>4437</v>
      </c>
      <c r="AL1737" s="387">
        <v>45574</v>
      </c>
    </row>
    <row r="1738" spans="2:38" ht="15.75" outlineLevel="1">
      <c r="B1738" s="345">
        <v>2111</v>
      </c>
      <c r="C1738" s="346">
        <v>6714</v>
      </c>
      <c r="D1738" s="345" t="s">
        <v>944</v>
      </c>
      <c r="E1738" s="347" t="s">
        <v>4240</v>
      </c>
      <c r="F1738" s="343" t="s">
        <v>3882</v>
      </c>
      <c r="I1738" s="345">
        <v>1</v>
      </c>
      <c r="J1738" s="347"/>
      <c r="K1738" s="345">
        <v>0</v>
      </c>
      <c r="L1738" s="347"/>
      <c r="M1738" s="347"/>
      <c r="N1738" s="347" t="s">
        <v>4455</v>
      </c>
      <c r="O1738" s="347" t="s">
        <v>4455</v>
      </c>
      <c r="P1738" s="347"/>
      <c r="Q1738" s="347"/>
      <c r="R1738" s="347"/>
      <c r="S1738" s="348">
        <v>25964</v>
      </c>
      <c r="T1738" s="348">
        <v>25964</v>
      </c>
      <c r="U1738" s="347"/>
      <c r="V1738" s="345">
        <v>4000</v>
      </c>
      <c r="W1738" s="345">
        <v>15260</v>
      </c>
      <c r="X1738" s="349">
        <v>61091</v>
      </c>
      <c r="Y1738" s="345">
        <v>15266</v>
      </c>
      <c r="Z1738" s="349">
        <v>48745.68</v>
      </c>
      <c r="AA1738" s="349">
        <f t="shared" si="111"/>
        <v>12345.32</v>
      </c>
      <c r="AB1738" s="349">
        <v>0</v>
      </c>
      <c r="AC1738" s="345">
        <v>70264</v>
      </c>
      <c r="AD1738" s="349">
        <v>0</v>
      </c>
      <c r="AE1738" s="345" t="s">
        <v>410</v>
      </c>
      <c r="AF1738" s="347" t="s">
        <v>3044</v>
      </c>
      <c r="AG1738" s="347" t="s">
        <v>2206</v>
      </c>
      <c r="AH1738" s="347" t="s">
        <v>57</v>
      </c>
      <c r="AI1738" s="347" t="s">
        <v>4442</v>
      </c>
      <c r="AJ1738" s="347" t="s">
        <v>1660</v>
      </c>
      <c r="AK1738" s="347" t="s">
        <v>4437</v>
      </c>
      <c r="AL1738" s="387">
        <v>45574</v>
      </c>
    </row>
    <row r="1739" spans="2:38" ht="15.75" outlineLevel="1">
      <c r="B1739" s="345">
        <v>2111</v>
      </c>
      <c r="C1739" s="346">
        <v>6713</v>
      </c>
      <c r="D1739" s="345" t="s">
        <v>944</v>
      </c>
      <c r="E1739" s="347" t="s">
        <v>4240</v>
      </c>
      <c r="F1739" s="343" t="s">
        <v>3884</v>
      </c>
      <c r="I1739" s="345">
        <v>1</v>
      </c>
      <c r="J1739" s="347"/>
      <c r="K1739" s="345">
        <v>0</v>
      </c>
      <c r="L1739" s="347"/>
      <c r="M1739" s="347"/>
      <c r="N1739" s="347" t="s">
        <v>4454</v>
      </c>
      <c r="O1739" s="347" t="s">
        <v>4454</v>
      </c>
      <c r="P1739" s="347"/>
      <c r="Q1739" s="347"/>
      <c r="R1739" s="347"/>
      <c r="S1739" s="348">
        <v>25964</v>
      </c>
      <c r="T1739" s="348">
        <v>25964</v>
      </c>
      <c r="U1739" s="347"/>
      <c r="V1739" s="345">
        <v>0</v>
      </c>
      <c r="W1739" s="345">
        <v>15110</v>
      </c>
      <c r="X1739" s="349">
        <v>7860</v>
      </c>
      <c r="Y1739" s="345">
        <v>15115</v>
      </c>
      <c r="Z1739" s="349">
        <v>6075.13</v>
      </c>
      <c r="AA1739" s="349">
        <f t="shared" si="111"/>
        <v>1784.87</v>
      </c>
      <c r="AB1739" s="349">
        <v>0</v>
      </c>
      <c r="AC1739" s="345">
        <v>70264</v>
      </c>
      <c r="AD1739" s="349">
        <v>0</v>
      </c>
      <c r="AE1739" s="345" t="s">
        <v>410</v>
      </c>
      <c r="AF1739" s="347" t="s">
        <v>3044</v>
      </c>
      <c r="AG1739" s="347" t="s">
        <v>2206</v>
      </c>
      <c r="AH1739" s="347" t="s">
        <v>57</v>
      </c>
      <c r="AI1739" s="347" t="s">
        <v>4442</v>
      </c>
      <c r="AJ1739" s="347" t="s">
        <v>1660</v>
      </c>
      <c r="AK1739" s="347" t="s">
        <v>4437</v>
      </c>
      <c r="AL1739" s="387">
        <v>45574</v>
      </c>
    </row>
    <row r="1740" spans="2:38" ht="15.75" outlineLevel="1">
      <c r="B1740" s="345">
        <v>2111</v>
      </c>
      <c r="C1740" s="346">
        <v>6708</v>
      </c>
      <c r="D1740" s="345" t="s">
        <v>944</v>
      </c>
      <c r="E1740" s="347" t="s">
        <v>4240</v>
      </c>
      <c r="F1740" s="343" t="s">
        <v>3885</v>
      </c>
      <c r="I1740" s="345">
        <v>1</v>
      </c>
      <c r="J1740" s="347"/>
      <c r="K1740" s="345">
        <v>0</v>
      </c>
      <c r="L1740" s="347"/>
      <c r="M1740" s="347"/>
      <c r="N1740" s="347" t="s">
        <v>4453</v>
      </c>
      <c r="O1740" s="347" t="s">
        <v>4441</v>
      </c>
      <c r="P1740" s="347"/>
      <c r="Q1740" s="347"/>
      <c r="R1740" s="347"/>
      <c r="S1740" s="348">
        <v>34236</v>
      </c>
      <c r="T1740" s="348">
        <v>34236</v>
      </c>
      <c r="U1740" s="347"/>
      <c r="V1740" s="345">
        <v>300</v>
      </c>
      <c r="W1740" s="345">
        <v>14100</v>
      </c>
      <c r="X1740" s="349">
        <v>1389.22</v>
      </c>
      <c r="Y1740" s="345">
        <v>14106</v>
      </c>
      <c r="Z1740" s="349">
        <v>1389.22</v>
      </c>
      <c r="AA1740" s="349">
        <f t="shared" si="111"/>
        <v>0</v>
      </c>
      <c r="AB1740" s="349">
        <v>0</v>
      </c>
      <c r="AC1740" s="345">
        <v>70260</v>
      </c>
      <c r="AD1740" s="349">
        <v>0</v>
      </c>
      <c r="AE1740" s="345" t="s">
        <v>410</v>
      </c>
      <c r="AF1740" s="347" t="s">
        <v>3044</v>
      </c>
      <c r="AG1740" s="347" t="s">
        <v>2206</v>
      </c>
      <c r="AH1740" s="347" t="s">
        <v>57</v>
      </c>
      <c r="AI1740" s="347" t="s">
        <v>4442</v>
      </c>
      <c r="AJ1740" s="347" t="s">
        <v>4443</v>
      </c>
      <c r="AK1740" s="347" t="s">
        <v>4437</v>
      </c>
      <c r="AL1740" s="387">
        <v>45574</v>
      </c>
    </row>
    <row r="1741" spans="2:38" ht="15.75" outlineLevel="1">
      <c r="B1741" s="345">
        <v>2111</v>
      </c>
      <c r="C1741" s="346">
        <v>6705</v>
      </c>
      <c r="D1741" s="345" t="s">
        <v>944</v>
      </c>
      <c r="E1741" s="347" t="s">
        <v>4240</v>
      </c>
      <c r="F1741" s="343" t="s">
        <v>3886</v>
      </c>
      <c r="I1741" s="345">
        <v>1</v>
      </c>
      <c r="J1741" s="347"/>
      <c r="K1741" s="345">
        <v>0</v>
      </c>
      <c r="L1741" s="347"/>
      <c r="M1741" s="347"/>
      <c r="N1741" s="347" t="s">
        <v>4453</v>
      </c>
      <c r="O1741" s="347" t="s">
        <v>4441</v>
      </c>
      <c r="P1741" s="347"/>
      <c r="Q1741" s="347"/>
      <c r="R1741" s="347"/>
      <c r="S1741" s="348">
        <v>33035</v>
      </c>
      <c r="T1741" s="348">
        <v>33035</v>
      </c>
      <c r="U1741" s="347"/>
      <c r="V1741" s="345">
        <v>500</v>
      </c>
      <c r="W1741" s="345">
        <v>14100</v>
      </c>
      <c r="X1741" s="349">
        <v>1057.6500000000001</v>
      </c>
      <c r="Y1741" s="345">
        <v>14106</v>
      </c>
      <c r="Z1741" s="349">
        <v>1057.6500000000001</v>
      </c>
      <c r="AA1741" s="349">
        <f t="shared" si="111"/>
        <v>0</v>
      </c>
      <c r="AB1741" s="349">
        <v>0</v>
      </c>
      <c r="AC1741" s="345">
        <v>70260</v>
      </c>
      <c r="AD1741" s="349">
        <v>0</v>
      </c>
      <c r="AE1741" s="345" t="s">
        <v>410</v>
      </c>
      <c r="AF1741" s="347" t="s">
        <v>3044</v>
      </c>
      <c r="AG1741" s="347" t="s">
        <v>2206</v>
      </c>
      <c r="AH1741" s="347" t="s">
        <v>57</v>
      </c>
      <c r="AI1741" s="347" t="s">
        <v>4442</v>
      </c>
      <c r="AJ1741" s="347" t="s">
        <v>4443</v>
      </c>
      <c r="AK1741" s="347" t="s">
        <v>4437</v>
      </c>
      <c r="AL1741" s="387">
        <v>45574</v>
      </c>
    </row>
    <row r="1742" spans="2:38" ht="15.75" outlineLevel="1">
      <c r="B1742" s="345">
        <v>2111</v>
      </c>
      <c r="C1742" s="346">
        <v>6704</v>
      </c>
      <c r="D1742" s="345" t="s">
        <v>944</v>
      </c>
      <c r="E1742" s="347" t="s">
        <v>4240</v>
      </c>
      <c r="F1742" s="343" t="s">
        <v>3887</v>
      </c>
      <c r="I1742" s="345">
        <v>1</v>
      </c>
      <c r="J1742" s="347"/>
      <c r="K1742" s="345">
        <v>0</v>
      </c>
      <c r="L1742" s="347"/>
      <c r="M1742" s="347"/>
      <c r="N1742" s="347" t="s">
        <v>4453</v>
      </c>
      <c r="O1742" s="347" t="s">
        <v>4441</v>
      </c>
      <c r="P1742" s="347"/>
      <c r="Q1742" s="347"/>
      <c r="R1742" s="347"/>
      <c r="S1742" s="348">
        <v>32972</v>
      </c>
      <c r="T1742" s="348">
        <v>32972</v>
      </c>
      <c r="U1742" s="347"/>
      <c r="V1742" s="345">
        <v>500</v>
      </c>
      <c r="W1742" s="345">
        <v>14100</v>
      </c>
      <c r="X1742" s="349">
        <v>1250</v>
      </c>
      <c r="Y1742" s="345">
        <v>14106</v>
      </c>
      <c r="Z1742" s="349">
        <v>1250</v>
      </c>
      <c r="AA1742" s="349">
        <f t="shared" si="111"/>
        <v>0</v>
      </c>
      <c r="AB1742" s="349">
        <v>0</v>
      </c>
      <c r="AC1742" s="345">
        <v>70260</v>
      </c>
      <c r="AD1742" s="349">
        <v>0</v>
      </c>
      <c r="AE1742" s="345" t="s">
        <v>410</v>
      </c>
      <c r="AF1742" s="347" t="s">
        <v>3044</v>
      </c>
      <c r="AG1742" s="347" t="s">
        <v>2206</v>
      </c>
      <c r="AH1742" s="347" t="s">
        <v>57</v>
      </c>
      <c r="AI1742" s="347" t="s">
        <v>4442</v>
      </c>
      <c r="AJ1742" s="347" t="s">
        <v>4443</v>
      </c>
      <c r="AK1742" s="347" t="s">
        <v>4437</v>
      </c>
      <c r="AL1742" s="387">
        <v>45574</v>
      </c>
    </row>
    <row r="1743" spans="2:38" ht="15.75" outlineLevel="1">
      <c r="B1743" s="345">
        <v>2111</v>
      </c>
      <c r="C1743" s="346">
        <v>6699</v>
      </c>
      <c r="D1743" s="345" t="s">
        <v>944</v>
      </c>
      <c r="E1743" s="347" t="s">
        <v>4240</v>
      </c>
      <c r="F1743" s="343" t="s">
        <v>3888</v>
      </c>
      <c r="I1743" s="345">
        <v>1</v>
      </c>
      <c r="J1743" s="347"/>
      <c r="K1743" s="345">
        <v>0</v>
      </c>
      <c r="L1743" s="347"/>
      <c r="M1743" s="347"/>
      <c r="N1743" s="347" t="s">
        <v>4453</v>
      </c>
      <c r="O1743" s="347" t="s">
        <v>4441</v>
      </c>
      <c r="P1743" s="347"/>
      <c r="Q1743" s="347"/>
      <c r="R1743" s="347"/>
      <c r="S1743" s="348">
        <v>32072</v>
      </c>
      <c r="T1743" s="348">
        <v>32072</v>
      </c>
      <c r="U1743" s="347"/>
      <c r="V1743" s="345">
        <v>500</v>
      </c>
      <c r="W1743" s="345">
        <v>14100</v>
      </c>
      <c r="X1743" s="349">
        <v>333.92</v>
      </c>
      <c r="Y1743" s="345">
        <v>14106</v>
      </c>
      <c r="Z1743" s="349">
        <v>333.92</v>
      </c>
      <c r="AA1743" s="349">
        <f t="shared" si="111"/>
        <v>0</v>
      </c>
      <c r="AB1743" s="349">
        <v>0</v>
      </c>
      <c r="AC1743" s="345">
        <v>70260</v>
      </c>
      <c r="AD1743" s="349">
        <v>0</v>
      </c>
      <c r="AE1743" s="345" t="s">
        <v>410</v>
      </c>
      <c r="AF1743" s="347" t="s">
        <v>3044</v>
      </c>
      <c r="AG1743" s="347" t="s">
        <v>2206</v>
      </c>
      <c r="AH1743" s="347" t="s">
        <v>57</v>
      </c>
      <c r="AI1743" s="347" t="s">
        <v>4442</v>
      </c>
      <c r="AJ1743" s="347" t="s">
        <v>4443</v>
      </c>
      <c r="AK1743" s="347" t="s">
        <v>4437</v>
      </c>
      <c r="AL1743" s="387">
        <v>45574</v>
      </c>
    </row>
    <row r="1744" spans="2:38" ht="15.75" outlineLevel="1">
      <c r="B1744" s="345">
        <v>2111</v>
      </c>
      <c r="C1744" s="346">
        <v>6698</v>
      </c>
      <c r="D1744" s="345" t="s">
        <v>944</v>
      </c>
      <c r="E1744" s="347" t="s">
        <v>4240</v>
      </c>
      <c r="F1744" s="343" t="s">
        <v>3889</v>
      </c>
      <c r="I1744" s="345">
        <v>1</v>
      </c>
      <c r="J1744" s="347"/>
      <c r="K1744" s="345">
        <v>0</v>
      </c>
      <c r="L1744" s="347"/>
      <c r="M1744" s="347"/>
      <c r="N1744" s="347" t="s">
        <v>4453</v>
      </c>
      <c r="O1744" s="347" t="s">
        <v>4441</v>
      </c>
      <c r="P1744" s="347"/>
      <c r="Q1744" s="347"/>
      <c r="R1744" s="347"/>
      <c r="S1744" s="348">
        <v>31848</v>
      </c>
      <c r="T1744" s="348">
        <v>31848</v>
      </c>
      <c r="U1744" s="347"/>
      <c r="V1744" s="345">
        <v>500</v>
      </c>
      <c r="W1744" s="345">
        <v>14100</v>
      </c>
      <c r="X1744" s="349">
        <v>473.8</v>
      </c>
      <c r="Y1744" s="345">
        <v>14106</v>
      </c>
      <c r="Z1744" s="349">
        <v>473.8</v>
      </c>
      <c r="AA1744" s="349">
        <f t="shared" si="111"/>
        <v>0</v>
      </c>
      <c r="AB1744" s="349">
        <v>0</v>
      </c>
      <c r="AC1744" s="345">
        <v>70260</v>
      </c>
      <c r="AD1744" s="349">
        <v>0</v>
      </c>
      <c r="AE1744" s="345" t="s">
        <v>410</v>
      </c>
      <c r="AF1744" s="347" t="s">
        <v>3044</v>
      </c>
      <c r="AG1744" s="347" t="s">
        <v>2206</v>
      </c>
      <c r="AH1744" s="347" t="s">
        <v>57</v>
      </c>
      <c r="AI1744" s="347" t="s">
        <v>4442</v>
      </c>
      <c r="AJ1744" s="347" t="s">
        <v>4443</v>
      </c>
      <c r="AK1744" s="347" t="s">
        <v>4437</v>
      </c>
      <c r="AL1744" s="387">
        <v>45574</v>
      </c>
    </row>
    <row r="1745" spans="2:38" ht="15.75" outlineLevel="1">
      <c r="B1745" s="345">
        <v>2111</v>
      </c>
      <c r="C1745" s="346">
        <v>6696</v>
      </c>
      <c r="D1745" s="345" t="s">
        <v>944</v>
      </c>
      <c r="E1745" s="347" t="s">
        <v>4240</v>
      </c>
      <c r="F1745" s="343" t="s">
        <v>3890</v>
      </c>
      <c r="I1745" s="345">
        <v>1</v>
      </c>
      <c r="J1745" s="347"/>
      <c r="K1745" s="345">
        <v>0</v>
      </c>
      <c r="L1745" s="347"/>
      <c r="M1745" s="347"/>
      <c r="N1745" s="347" t="s">
        <v>4453</v>
      </c>
      <c r="O1745" s="347" t="s">
        <v>4441</v>
      </c>
      <c r="P1745" s="347"/>
      <c r="Q1745" s="347"/>
      <c r="R1745" s="347"/>
      <c r="S1745" s="348">
        <v>31433</v>
      </c>
      <c r="T1745" s="348">
        <v>31433</v>
      </c>
      <c r="U1745" s="347"/>
      <c r="V1745" s="345">
        <v>500</v>
      </c>
      <c r="W1745" s="345">
        <v>14100</v>
      </c>
      <c r="X1745" s="349">
        <v>1762</v>
      </c>
      <c r="Y1745" s="345">
        <v>14106</v>
      </c>
      <c r="Z1745" s="349">
        <v>1762</v>
      </c>
      <c r="AA1745" s="349">
        <f t="shared" si="111"/>
        <v>0</v>
      </c>
      <c r="AB1745" s="349">
        <v>0</v>
      </c>
      <c r="AC1745" s="345">
        <v>70260</v>
      </c>
      <c r="AD1745" s="349">
        <v>0</v>
      </c>
      <c r="AE1745" s="345" t="s">
        <v>410</v>
      </c>
      <c r="AF1745" s="347" t="s">
        <v>3044</v>
      </c>
      <c r="AG1745" s="347" t="s">
        <v>2206</v>
      </c>
      <c r="AH1745" s="347" t="s">
        <v>57</v>
      </c>
      <c r="AI1745" s="347" t="s">
        <v>4442</v>
      </c>
      <c r="AJ1745" s="347" t="s">
        <v>4443</v>
      </c>
      <c r="AK1745" s="347" t="s">
        <v>4437</v>
      </c>
      <c r="AL1745" s="387">
        <v>45574</v>
      </c>
    </row>
    <row r="1746" spans="2:38" ht="15.75" outlineLevel="1">
      <c r="B1746" s="345">
        <v>2111</v>
      </c>
      <c r="C1746" s="346">
        <v>6695</v>
      </c>
      <c r="D1746" s="345" t="s">
        <v>944</v>
      </c>
      <c r="E1746" s="347" t="s">
        <v>4240</v>
      </c>
      <c r="F1746" s="343" t="s">
        <v>3891</v>
      </c>
      <c r="I1746" s="345">
        <v>1</v>
      </c>
      <c r="J1746" s="347"/>
      <c r="K1746" s="345">
        <v>0</v>
      </c>
      <c r="L1746" s="347"/>
      <c r="M1746" s="347"/>
      <c r="N1746" s="347" t="s">
        <v>4453</v>
      </c>
      <c r="O1746" s="347" t="s">
        <v>4441</v>
      </c>
      <c r="P1746" s="347"/>
      <c r="Q1746" s="347"/>
      <c r="R1746" s="347"/>
      <c r="S1746" s="348">
        <v>29799</v>
      </c>
      <c r="T1746" s="348">
        <v>29799</v>
      </c>
      <c r="U1746" s="347"/>
      <c r="V1746" s="345">
        <v>300</v>
      </c>
      <c r="W1746" s="345">
        <v>14100</v>
      </c>
      <c r="X1746" s="349">
        <v>6828</v>
      </c>
      <c r="Y1746" s="345">
        <v>14106</v>
      </c>
      <c r="Z1746" s="349">
        <v>6828</v>
      </c>
      <c r="AA1746" s="349">
        <f t="shared" si="111"/>
        <v>0</v>
      </c>
      <c r="AB1746" s="349">
        <v>0</v>
      </c>
      <c r="AC1746" s="345">
        <v>70260</v>
      </c>
      <c r="AD1746" s="349">
        <v>0</v>
      </c>
      <c r="AE1746" s="345" t="s">
        <v>410</v>
      </c>
      <c r="AF1746" s="347" t="s">
        <v>3044</v>
      </c>
      <c r="AG1746" s="347" t="s">
        <v>2206</v>
      </c>
      <c r="AH1746" s="347" t="s">
        <v>57</v>
      </c>
      <c r="AI1746" s="347" t="s">
        <v>4442</v>
      </c>
      <c r="AJ1746" s="347" t="s">
        <v>4443</v>
      </c>
      <c r="AK1746" s="347" t="s">
        <v>4437</v>
      </c>
      <c r="AL1746" s="387">
        <v>45574</v>
      </c>
    </row>
    <row r="1747" spans="2:38" ht="15.75" outlineLevel="1">
      <c r="B1747" s="345">
        <v>2111</v>
      </c>
      <c r="C1747" s="346">
        <v>6692</v>
      </c>
      <c r="D1747" s="345" t="s">
        <v>944</v>
      </c>
      <c r="E1747" s="347" t="s">
        <v>4240</v>
      </c>
      <c r="F1747" s="343" t="s">
        <v>3892</v>
      </c>
      <c r="I1747" s="345">
        <v>1</v>
      </c>
      <c r="J1747" s="347"/>
      <c r="K1747" s="345">
        <v>0</v>
      </c>
      <c r="L1747" s="347"/>
      <c r="M1747" s="347"/>
      <c r="N1747" s="347" t="s">
        <v>4453</v>
      </c>
      <c r="O1747" s="347" t="s">
        <v>4441</v>
      </c>
      <c r="P1747" s="347"/>
      <c r="Q1747" s="347"/>
      <c r="R1747" s="347"/>
      <c r="S1747" s="348">
        <v>30603</v>
      </c>
      <c r="T1747" s="348">
        <v>30603</v>
      </c>
      <c r="U1747" s="347"/>
      <c r="V1747" s="345">
        <v>500</v>
      </c>
      <c r="W1747" s="345">
        <v>14100</v>
      </c>
      <c r="X1747" s="349">
        <v>919</v>
      </c>
      <c r="Y1747" s="345">
        <v>14106</v>
      </c>
      <c r="Z1747" s="349">
        <v>919</v>
      </c>
      <c r="AA1747" s="349">
        <f t="shared" si="111"/>
        <v>0</v>
      </c>
      <c r="AB1747" s="349">
        <v>0</v>
      </c>
      <c r="AC1747" s="345">
        <v>70260</v>
      </c>
      <c r="AD1747" s="349">
        <v>0</v>
      </c>
      <c r="AE1747" s="345" t="s">
        <v>410</v>
      </c>
      <c r="AF1747" s="347" t="s">
        <v>3044</v>
      </c>
      <c r="AG1747" s="347" t="s">
        <v>2206</v>
      </c>
      <c r="AH1747" s="347" t="s">
        <v>57</v>
      </c>
      <c r="AI1747" s="347" t="s">
        <v>4442</v>
      </c>
      <c r="AJ1747" s="347" t="s">
        <v>4443</v>
      </c>
      <c r="AK1747" s="347" t="s">
        <v>4437</v>
      </c>
      <c r="AL1747" s="387">
        <v>45574</v>
      </c>
    </row>
    <row r="1748" spans="2:38" ht="15.75" outlineLevel="1">
      <c r="B1748" s="345">
        <v>2111</v>
      </c>
      <c r="C1748" s="346">
        <v>6691</v>
      </c>
      <c r="D1748" s="345" t="s">
        <v>944</v>
      </c>
      <c r="E1748" s="347" t="s">
        <v>4240</v>
      </c>
      <c r="F1748" s="343" t="s">
        <v>3889</v>
      </c>
      <c r="I1748" s="345">
        <v>1</v>
      </c>
      <c r="J1748" s="347"/>
      <c r="K1748" s="345">
        <v>0</v>
      </c>
      <c r="L1748" s="347"/>
      <c r="M1748" s="347"/>
      <c r="N1748" s="347" t="s">
        <v>4453</v>
      </c>
      <c r="O1748" s="347" t="s">
        <v>4441</v>
      </c>
      <c r="P1748" s="347"/>
      <c r="Q1748" s="347"/>
      <c r="R1748" s="347"/>
      <c r="S1748" s="348">
        <v>30335</v>
      </c>
      <c r="T1748" s="348">
        <v>30335</v>
      </c>
      <c r="U1748" s="347"/>
      <c r="V1748" s="345">
        <v>500</v>
      </c>
      <c r="W1748" s="345">
        <v>14100</v>
      </c>
      <c r="X1748" s="349">
        <v>507</v>
      </c>
      <c r="Y1748" s="345">
        <v>14106</v>
      </c>
      <c r="Z1748" s="349">
        <v>507</v>
      </c>
      <c r="AA1748" s="349">
        <f t="shared" si="111"/>
        <v>0</v>
      </c>
      <c r="AB1748" s="349">
        <v>0</v>
      </c>
      <c r="AC1748" s="345">
        <v>70260</v>
      </c>
      <c r="AD1748" s="349">
        <v>0</v>
      </c>
      <c r="AE1748" s="345" t="s">
        <v>410</v>
      </c>
      <c r="AF1748" s="347" t="s">
        <v>3044</v>
      </c>
      <c r="AG1748" s="347" t="s">
        <v>2206</v>
      </c>
      <c r="AH1748" s="347" t="s">
        <v>57</v>
      </c>
      <c r="AI1748" s="347" t="s">
        <v>4442</v>
      </c>
      <c r="AJ1748" s="347" t="s">
        <v>4443</v>
      </c>
      <c r="AK1748" s="347" t="s">
        <v>4437</v>
      </c>
      <c r="AL1748" s="387">
        <v>45574</v>
      </c>
    </row>
    <row r="1749" spans="2:38" ht="15.75" outlineLevel="1">
      <c r="B1749" s="345">
        <v>2111</v>
      </c>
      <c r="C1749" s="346">
        <v>6690</v>
      </c>
      <c r="D1749" s="345" t="s">
        <v>944</v>
      </c>
      <c r="E1749" s="347" t="s">
        <v>4240</v>
      </c>
      <c r="F1749" s="343" t="s">
        <v>3893</v>
      </c>
      <c r="I1749" s="345">
        <v>1</v>
      </c>
      <c r="J1749" s="347"/>
      <c r="K1749" s="345">
        <v>0</v>
      </c>
      <c r="L1749" s="347"/>
      <c r="M1749" s="347"/>
      <c r="N1749" s="347" t="s">
        <v>4453</v>
      </c>
      <c r="O1749" s="347" t="s">
        <v>4441</v>
      </c>
      <c r="P1749" s="347"/>
      <c r="Q1749" s="347"/>
      <c r="R1749" s="347"/>
      <c r="S1749" s="348">
        <v>30220</v>
      </c>
      <c r="T1749" s="348">
        <v>30220</v>
      </c>
      <c r="U1749" s="347"/>
      <c r="V1749" s="345">
        <v>500</v>
      </c>
      <c r="W1749" s="345">
        <v>14100</v>
      </c>
      <c r="X1749" s="349">
        <v>1785</v>
      </c>
      <c r="Y1749" s="345">
        <v>14106</v>
      </c>
      <c r="Z1749" s="349">
        <v>1785</v>
      </c>
      <c r="AA1749" s="349">
        <f t="shared" si="111"/>
        <v>0</v>
      </c>
      <c r="AB1749" s="349">
        <v>0</v>
      </c>
      <c r="AC1749" s="345">
        <v>70260</v>
      </c>
      <c r="AD1749" s="349">
        <v>0</v>
      </c>
      <c r="AE1749" s="345" t="s">
        <v>410</v>
      </c>
      <c r="AF1749" s="347" t="s">
        <v>3044</v>
      </c>
      <c r="AG1749" s="347" t="s">
        <v>2206</v>
      </c>
      <c r="AH1749" s="347" t="s">
        <v>57</v>
      </c>
      <c r="AI1749" s="347" t="s">
        <v>4442</v>
      </c>
      <c r="AJ1749" s="347" t="s">
        <v>4443</v>
      </c>
      <c r="AK1749" s="347" t="s">
        <v>4437</v>
      </c>
      <c r="AL1749" s="387">
        <v>45574</v>
      </c>
    </row>
    <row r="1750" spans="2:38" ht="15.75" outlineLevel="1">
      <c r="B1750" s="345">
        <v>2111</v>
      </c>
      <c r="C1750" s="346">
        <v>6689</v>
      </c>
      <c r="D1750" s="345" t="s">
        <v>944</v>
      </c>
      <c r="E1750" s="347" t="s">
        <v>4240</v>
      </c>
      <c r="F1750" s="343" t="s">
        <v>3894</v>
      </c>
      <c r="I1750" s="345">
        <v>1</v>
      </c>
      <c r="J1750" s="347"/>
      <c r="K1750" s="345">
        <v>0</v>
      </c>
      <c r="L1750" s="347"/>
      <c r="M1750" s="347"/>
      <c r="N1750" s="347" t="s">
        <v>4453</v>
      </c>
      <c r="O1750" s="347" t="s">
        <v>4441</v>
      </c>
      <c r="P1750" s="347"/>
      <c r="Q1750" s="347"/>
      <c r="R1750" s="347"/>
      <c r="S1750" s="348">
        <v>29768</v>
      </c>
      <c r="T1750" s="348">
        <v>29768</v>
      </c>
      <c r="U1750" s="347"/>
      <c r="V1750" s="345">
        <v>500</v>
      </c>
      <c r="W1750" s="345">
        <v>14100</v>
      </c>
      <c r="X1750" s="349">
        <v>485</v>
      </c>
      <c r="Y1750" s="345">
        <v>14106</v>
      </c>
      <c r="Z1750" s="349">
        <v>485</v>
      </c>
      <c r="AA1750" s="349">
        <f t="shared" si="111"/>
        <v>0</v>
      </c>
      <c r="AB1750" s="349">
        <v>0</v>
      </c>
      <c r="AC1750" s="345">
        <v>70260</v>
      </c>
      <c r="AD1750" s="349">
        <v>0</v>
      </c>
      <c r="AE1750" s="345" t="s">
        <v>410</v>
      </c>
      <c r="AF1750" s="347" t="s">
        <v>3044</v>
      </c>
      <c r="AG1750" s="347" t="s">
        <v>2206</v>
      </c>
      <c r="AH1750" s="347" t="s">
        <v>57</v>
      </c>
      <c r="AI1750" s="347" t="s">
        <v>4442</v>
      </c>
      <c r="AJ1750" s="347" t="s">
        <v>4443</v>
      </c>
      <c r="AK1750" s="347" t="s">
        <v>4437</v>
      </c>
      <c r="AL1750" s="387">
        <v>45574</v>
      </c>
    </row>
    <row r="1751" spans="2:38" ht="15.75" outlineLevel="1">
      <c r="B1751" s="345">
        <v>2111</v>
      </c>
      <c r="C1751" s="346">
        <v>6688</v>
      </c>
      <c r="D1751" s="345" t="s">
        <v>944</v>
      </c>
      <c r="E1751" s="347" t="s">
        <v>4240</v>
      </c>
      <c r="F1751" s="343" t="s">
        <v>3895</v>
      </c>
      <c r="I1751" s="345">
        <v>1</v>
      </c>
      <c r="J1751" s="347"/>
      <c r="K1751" s="345">
        <v>0</v>
      </c>
      <c r="L1751" s="347"/>
      <c r="M1751" s="347"/>
      <c r="N1751" s="347" t="s">
        <v>4453</v>
      </c>
      <c r="O1751" s="347" t="s">
        <v>4441</v>
      </c>
      <c r="P1751" s="347"/>
      <c r="Q1751" s="347"/>
      <c r="R1751" s="347"/>
      <c r="S1751" s="348">
        <v>29587</v>
      </c>
      <c r="T1751" s="348">
        <v>29587</v>
      </c>
      <c r="U1751" s="347"/>
      <c r="V1751" s="345">
        <v>100</v>
      </c>
      <c r="W1751" s="345">
        <v>14100</v>
      </c>
      <c r="X1751" s="349">
        <v>3190.25</v>
      </c>
      <c r="Y1751" s="345">
        <v>14106</v>
      </c>
      <c r="Z1751" s="349">
        <v>3190.25</v>
      </c>
      <c r="AA1751" s="349">
        <f t="shared" si="111"/>
        <v>0</v>
      </c>
      <c r="AB1751" s="349">
        <v>0</v>
      </c>
      <c r="AC1751" s="345">
        <v>70260</v>
      </c>
      <c r="AD1751" s="349">
        <v>0</v>
      </c>
      <c r="AE1751" s="345" t="s">
        <v>410</v>
      </c>
      <c r="AF1751" s="347" t="s">
        <v>3044</v>
      </c>
      <c r="AG1751" s="347" t="s">
        <v>2206</v>
      </c>
      <c r="AH1751" s="347" t="s">
        <v>57</v>
      </c>
      <c r="AI1751" s="347" t="s">
        <v>4442</v>
      </c>
      <c r="AJ1751" s="347" t="s">
        <v>4443</v>
      </c>
      <c r="AK1751" s="347" t="s">
        <v>4437</v>
      </c>
      <c r="AL1751" s="387">
        <v>45574</v>
      </c>
    </row>
    <row r="1752" spans="2:38" ht="15.75" outlineLevel="1">
      <c r="B1752" s="345">
        <v>2111</v>
      </c>
      <c r="C1752" s="346">
        <v>6687</v>
      </c>
      <c r="D1752" s="345" t="s">
        <v>944</v>
      </c>
      <c r="E1752" s="347" t="s">
        <v>4240</v>
      </c>
      <c r="F1752" s="343" t="s">
        <v>3896</v>
      </c>
      <c r="I1752" s="345">
        <v>1</v>
      </c>
      <c r="J1752" s="347"/>
      <c r="K1752" s="345">
        <v>0</v>
      </c>
      <c r="L1752" s="347"/>
      <c r="M1752" s="347"/>
      <c r="N1752" s="347" t="s">
        <v>4452</v>
      </c>
      <c r="O1752" s="347" t="s">
        <v>4441</v>
      </c>
      <c r="P1752" s="347"/>
      <c r="Q1752" s="347"/>
      <c r="R1752" s="347"/>
      <c r="S1752" s="348">
        <v>31777</v>
      </c>
      <c r="T1752" s="348">
        <v>31777</v>
      </c>
      <c r="U1752" s="347"/>
      <c r="V1752" s="345">
        <v>2000</v>
      </c>
      <c r="W1752" s="345">
        <v>14080</v>
      </c>
      <c r="X1752" s="349">
        <v>2888.33</v>
      </c>
      <c r="Y1752" s="345">
        <v>14086</v>
      </c>
      <c r="Z1752" s="349">
        <v>2888.33</v>
      </c>
      <c r="AA1752" s="349">
        <f t="shared" si="111"/>
        <v>0</v>
      </c>
      <c r="AB1752" s="349">
        <v>0</v>
      </c>
      <c r="AC1752" s="345">
        <v>57260</v>
      </c>
      <c r="AD1752" s="349">
        <v>0</v>
      </c>
      <c r="AE1752" s="345" t="s">
        <v>410</v>
      </c>
      <c r="AF1752" s="347" t="s">
        <v>3044</v>
      </c>
      <c r="AG1752" s="347" t="s">
        <v>2206</v>
      </c>
      <c r="AH1752" s="347" t="s">
        <v>57</v>
      </c>
      <c r="AI1752" s="347" t="s">
        <v>4442</v>
      </c>
      <c r="AJ1752" s="347" t="s">
        <v>4443</v>
      </c>
      <c r="AK1752" s="347" t="s">
        <v>4437</v>
      </c>
      <c r="AL1752" s="387">
        <v>45574</v>
      </c>
    </row>
    <row r="1753" spans="2:38" ht="15.75" outlineLevel="1">
      <c r="B1753" s="345">
        <v>2111</v>
      </c>
      <c r="C1753" s="346">
        <v>6685</v>
      </c>
      <c r="D1753" s="345" t="s">
        <v>944</v>
      </c>
      <c r="E1753" s="347" t="s">
        <v>4240</v>
      </c>
      <c r="F1753" s="343" t="s">
        <v>3897</v>
      </c>
      <c r="I1753" s="345">
        <v>1</v>
      </c>
      <c r="J1753" s="347"/>
      <c r="K1753" s="345">
        <v>0</v>
      </c>
      <c r="L1753" s="347"/>
      <c r="M1753" s="347"/>
      <c r="N1753" s="347" t="s">
        <v>4452</v>
      </c>
      <c r="O1753" s="347" t="s">
        <v>4441</v>
      </c>
      <c r="P1753" s="347"/>
      <c r="Q1753" s="347"/>
      <c r="R1753" s="347"/>
      <c r="S1753" s="348">
        <v>34968</v>
      </c>
      <c r="T1753" s="348">
        <v>34968</v>
      </c>
      <c r="U1753" s="347"/>
      <c r="V1753" s="345">
        <v>2000</v>
      </c>
      <c r="W1753" s="345">
        <v>14080</v>
      </c>
      <c r="X1753" s="349">
        <v>107850</v>
      </c>
      <c r="Y1753" s="345">
        <v>14086</v>
      </c>
      <c r="Z1753" s="349">
        <v>107850</v>
      </c>
      <c r="AA1753" s="349">
        <f t="shared" si="111"/>
        <v>0</v>
      </c>
      <c r="AB1753" s="349">
        <v>0</v>
      </c>
      <c r="AC1753" s="345">
        <v>57260</v>
      </c>
      <c r="AD1753" s="349">
        <v>0</v>
      </c>
      <c r="AE1753" s="345" t="s">
        <v>410</v>
      </c>
      <c r="AF1753" s="347" t="s">
        <v>3044</v>
      </c>
      <c r="AG1753" s="347" t="s">
        <v>2206</v>
      </c>
      <c r="AH1753" s="347" t="s">
        <v>57</v>
      </c>
      <c r="AI1753" s="347" t="s">
        <v>4442</v>
      </c>
      <c r="AJ1753" s="347" t="s">
        <v>4443</v>
      </c>
      <c r="AK1753" s="347" t="s">
        <v>4437</v>
      </c>
      <c r="AL1753" s="387">
        <v>45574</v>
      </c>
    </row>
    <row r="1754" spans="2:38" ht="15.75" outlineLevel="1">
      <c r="B1754" s="345">
        <v>2111</v>
      </c>
      <c r="C1754" s="346">
        <v>6684</v>
      </c>
      <c r="D1754" s="345" t="s">
        <v>944</v>
      </c>
      <c r="E1754" s="347" t="s">
        <v>4240</v>
      </c>
      <c r="F1754" s="343" t="s">
        <v>3898</v>
      </c>
      <c r="I1754" s="345">
        <v>1</v>
      </c>
      <c r="J1754" s="347"/>
      <c r="K1754" s="345">
        <v>0</v>
      </c>
      <c r="L1754" s="347"/>
      <c r="M1754" s="347"/>
      <c r="N1754" s="347" t="s">
        <v>4452</v>
      </c>
      <c r="O1754" s="347" t="s">
        <v>4441</v>
      </c>
      <c r="P1754" s="347"/>
      <c r="Q1754" s="347"/>
      <c r="R1754" s="347"/>
      <c r="S1754" s="348">
        <v>34403</v>
      </c>
      <c r="T1754" s="348">
        <v>34403</v>
      </c>
      <c r="U1754" s="347"/>
      <c r="V1754" s="345">
        <v>2000</v>
      </c>
      <c r="W1754" s="345">
        <v>14080</v>
      </c>
      <c r="X1754" s="349">
        <v>76426.509999999995</v>
      </c>
      <c r="Y1754" s="345">
        <v>14086</v>
      </c>
      <c r="Z1754" s="349">
        <v>76426.509999999995</v>
      </c>
      <c r="AA1754" s="349">
        <f t="shared" si="111"/>
        <v>0</v>
      </c>
      <c r="AB1754" s="349">
        <v>0</v>
      </c>
      <c r="AC1754" s="345">
        <v>57260</v>
      </c>
      <c r="AD1754" s="349">
        <v>0</v>
      </c>
      <c r="AE1754" s="345" t="s">
        <v>410</v>
      </c>
      <c r="AF1754" s="347" t="s">
        <v>3044</v>
      </c>
      <c r="AG1754" s="347" t="s">
        <v>2206</v>
      </c>
      <c r="AH1754" s="347" t="s">
        <v>57</v>
      </c>
      <c r="AI1754" s="347" t="s">
        <v>4442</v>
      </c>
      <c r="AJ1754" s="347" t="s">
        <v>4443</v>
      </c>
      <c r="AK1754" s="347" t="s">
        <v>4437</v>
      </c>
      <c r="AL1754" s="387">
        <v>45574</v>
      </c>
    </row>
    <row r="1755" spans="2:38" ht="15.75" outlineLevel="1">
      <c r="B1755" s="345">
        <v>2111</v>
      </c>
      <c r="C1755" s="346">
        <v>6683</v>
      </c>
      <c r="D1755" s="345" t="s">
        <v>944</v>
      </c>
      <c r="E1755" s="347" t="s">
        <v>4240</v>
      </c>
      <c r="F1755" s="343" t="s">
        <v>3898</v>
      </c>
      <c r="I1755" s="345">
        <v>1</v>
      </c>
      <c r="J1755" s="347"/>
      <c r="K1755" s="345">
        <v>0</v>
      </c>
      <c r="L1755" s="347"/>
      <c r="M1755" s="347"/>
      <c r="N1755" s="347" t="s">
        <v>4452</v>
      </c>
      <c r="O1755" s="347" t="s">
        <v>4441</v>
      </c>
      <c r="P1755" s="347"/>
      <c r="Q1755" s="347"/>
      <c r="R1755" s="347"/>
      <c r="S1755" s="348">
        <v>34323</v>
      </c>
      <c r="T1755" s="348">
        <v>34323</v>
      </c>
      <c r="U1755" s="347"/>
      <c r="V1755" s="345">
        <v>2000</v>
      </c>
      <c r="W1755" s="345">
        <v>14080</v>
      </c>
      <c r="X1755" s="349">
        <v>67459.83</v>
      </c>
      <c r="Y1755" s="345">
        <v>14086</v>
      </c>
      <c r="Z1755" s="349">
        <v>67459.83</v>
      </c>
      <c r="AA1755" s="349">
        <f t="shared" si="111"/>
        <v>0</v>
      </c>
      <c r="AB1755" s="349">
        <v>0</v>
      </c>
      <c r="AC1755" s="345">
        <v>57260</v>
      </c>
      <c r="AD1755" s="349">
        <v>0</v>
      </c>
      <c r="AE1755" s="345" t="s">
        <v>410</v>
      </c>
      <c r="AF1755" s="347" t="s">
        <v>3044</v>
      </c>
      <c r="AG1755" s="347" t="s">
        <v>2206</v>
      </c>
      <c r="AH1755" s="347" t="s">
        <v>57</v>
      </c>
      <c r="AI1755" s="347" t="s">
        <v>4442</v>
      </c>
      <c r="AJ1755" s="347" t="s">
        <v>4443</v>
      </c>
      <c r="AK1755" s="347" t="s">
        <v>4437</v>
      </c>
      <c r="AL1755" s="387">
        <v>45574</v>
      </c>
    </row>
    <row r="1756" spans="2:38" ht="15.75" outlineLevel="1">
      <c r="B1756" s="345">
        <v>2111</v>
      </c>
      <c r="C1756" s="346">
        <v>6682</v>
      </c>
      <c r="D1756" s="345" t="s">
        <v>944</v>
      </c>
      <c r="E1756" s="347" t="s">
        <v>4240</v>
      </c>
      <c r="F1756" s="343" t="s">
        <v>3899</v>
      </c>
      <c r="I1756" s="345">
        <v>1</v>
      </c>
      <c r="J1756" s="347"/>
      <c r="K1756" s="345">
        <v>0</v>
      </c>
      <c r="L1756" s="347"/>
      <c r="M1756" s="347"/>
      <c r="N1756" s="347" t="s">
        <v>4452</v>
      </c>
      <c r="O1756" s="347" t="s">
        <v>4441</v>
      </c>
      <c r="P1756" s="347"/>
      <c r="Q1756" s="347"/>
      <c r="R1756" s="347"/>
      <c r="S1756" s="348">
        <v>34288</v>
      </c>
      <c r="T1756" s="348">
        <v>34288</v>
      </c>
      <c r="U1756" s="347"/>
      <c r="V1756" s="345">
        <v>2000</v>
      </c>
      <c r="W1756" s="345">
        <v>14080</v>
      </c>
      <c r="X1756" s="349">
        <v>26211.87</v>
      </c>
      <c r="Y1756" s="345">
        <v>14086</v>
      </c>
      <c r="Z1756" s="349">
        <v>26211.87</v>
      </c>
      <c r="AA1756" s="349">
        <f t="shared" si="111"/>
        <v>0</v>
      </c>
      <c r="AB1756" s="349">
        <v>0</v>
      </c>
      <c r="AC1756" s="345">
        <v>57260</v>
      </c>
      <c r="AD1756" s="349">
        <v>0</v>
      </c>
      <c r="AE1756" s="345" t="s">
        <v>410</v>
      </c>
      <c r="AF1756" s="347" t="s">
        <v>3044</v>
      </c>
      <c r="AG1756" s="347" t="s">
        <v>2206</v>
      </c>
      <c r="AH1756" s="347" t="s">
        <v>57</v>
      </c>
      <c r="AI1756" s="347" t="s">
        <v>4442</v>
      </c>
      <c r="AJ1756" s="347" t="s">
        <v>4443</v>
      </c>
      <c r="AK1756" s="347" t="s">
        <v>4437</v>
      </c>
      <c r="AL1756" s="387">
        <v>45574</v>
      </c>
    </row>
    <row r="1757" spans="2:38" ht="15.75" outlineLevel="1">
      <c r="B1757" s="345">
        <v>2111</v>
      </c>
      <c r="C1757" s="346">
        <v>6681</v>
      </c>
      <c r="D1757" s="345" t="s">
        <v>944</v>
      </c>
      <c r="E1757" s="347" t="s">
        <v>4240</v>
      </c>
      <c r="F1757" s="343" t="s">
        <v>3900</v>
      </c>
      <c r="I1757" s="345">
        <v>1</v>
      </c>
      <c r="J1757" s="347"/>
      <c r="K1757" s="345">
        <v>0</v>
      </c>
      <c r="L1757" s="347"/>
      <c r="M1757" s="347"/>
      <c r="N1757" s="347" t="s">
        <v>4452</v>
      </c>
      <c r="O1757" s="347" t="s">
        <v>4441</v>
      </c>
      <c r="P1757" s="347"/>
      <c r="Q1757" s="347"/>
      <c r="R1757" s="347"/>
      <c r="S1757" s="348">
        <v>34257</v>
      </c>
      <c r="T1757" s="348">
        <v>34257</v>
      </c>
      <c r="U1757" s="347"/>
      <c r="V1757" s="345">
        <v>2000</v>
      </c>
      <c r="W1757" s="345">
        <v>14080</v>
      </c>
      <c r="X1757" s="349">
        <v>20700</v>
      </c>
      <c r="Y1757" s="345">
        <v>14086</v>
      </c>
      <c r="Z1757" s="349">
        <v>20700</v>
      </c>
      <c r="AA1757" s="349">
        <f t="shared" si="111"/>
        <v>0</v>
      </c>
      <c r="AB1757" s="349">
        <v>0</v>
      </c>
      <c r="AC1757" s="345">
        <v>57260</v>
      </c>
      <c r="AD1757" s="349">
        <v>0</v>
      </c>
      <c r="AE1757" s="345" t="s">
        <v>410</v>
      </c>
      <c r="AF1757" s="347" t="s">
        <v>3044</v>
      </c>
      <c r="AG1757" s="347" t="s">
        <v>2206</v>
      </c>
      <c r="AH1757" s="347" t="s">
        <v>57</v>
      </c>
      <c r="AI1757" s="347" t="s">
        <v>4442</v>
      </c>
      <c r="AJ1757" s="347" t="s">
        <v>4443</v>
      </c>
      <c r="AK1757" s="347" t="s">
        <v>4437</v>
      </c>
      <c r="AL1757" s="387">
        <v>45574</v>
      </c>
    </row>
    <row r="1758" spans="2:38" ht="15.75" outlineLevel="1">
      <c r="B1758" s="345">
        <v>2111</v>
      </c>
      <c r="C1758" s="346">
        <v>6680</v>
      </c>
      <c r="D1758" s="345" t="s">
        <v>944</v>
      </c>
      <c r="E1758" s="347" t="s">
        <v>4240</v>
      </c>
      <c r="F1758" s="343" t="s">
        <v>3901</v>
      </c>
      <c r="I1758" s="345">
        <v>1</v>
      </c>
      <c r="J1758" s="347"/>
      <c r="K1758" s="345">
        <v>0</v>
      </c>
      <c r="L1758" s="347"/>
      <c r="M1758" s="347"/>
      <c r="N1758" s="347" t="s">
        <v>4452</v>
      </c>
      <c r="O1758" s="347" t="s">
        <v>4441</v>
      </c>
      <c r="P1758" s="347"/>
      <c r="Q1758" s="347"/>
      <c r="R1758" s="347"/>
      <c r="S1758" s="348">
        <v>33979</v>
      </c>
      <c r="T1758" s="348">
        <v>33979</v>
      </c>
      <c r="U1758" s="347"/>
      <c r="V1758" s="345">
        <v>2000</v>
      </c>
      <c r="W1758" s="345">
        <v>14080</v>
      </c>
      <c r="X1758" s="349">
        <v>45000</v>
      </c>
      <c r="Y1758" s="345">
        <v>14086</v>
      </c>
      <c r="Z1758" s="349">
        <v>45000</v>
      </c>
      <c r="AA1758" s="349">
        <f t="shared" si="111"/>
        <v>0</v>
      </c>
      <c r="AB1758" s="349">
        <v>0</v>
      </c>
      <c r="AC1758" s="345">
        <v>57260</v>
      </c>
      <c r="AD1758" s="349">
        <v>0</v>
      </c>
      <c r="AE1758" s="345" t="s">
        <v>410</v>
      </c>
      <c r="AF1758" s="347" t="s">
        <v>3044</v>
      </c>
      <c r="AG1758" s="347" t="s">
        <v>2206</v>
      </c>
      <c r="AH1758" s="347" t="s">
        <v>57</v>
      </c>
      <c r="AI1758" s="347" t="s">
        <v>4442</v>
      </c>
      <c r="AJ1758" s="347" t="s">
        <v>4443</v>
      </c>
      <c r="AK1758" s="347" t="s">
        <v>4437</v>
      </c>
      <c r="AL1758" s="387">
        <v>45574</v>
      </c>
    </row>
    <row r="1759" spans="2:38" ht="15.75" outlineLevel="1">
      <c r="B1759" s="345">
        <v>2111</v>
      </c>
      <c r="C1759" s="346">
        <v>6679</v>
      </c>
      <c r="D1759" s="345" t="s">
        <v>944</v>
      </c>
      <c r="E1759" s="347" t="s">
        <v>4240</v>
      </c>
      <c r="F1759" s="343" t="s">
        <v>3902</v>
      </c>
      <c r="I1759" s="345">
        <v>1</v>
      </c>
      <c r="J1759" s="347"/>
      <c r="K1759" s="345">
        <v>0</v>
      </c>
      <c r="L1759" s="347"/>
      <c r="M1759" s="347"/>
      <c r="N1759" s="347" t="s">
        <v>4452</v>
      </c>
      <c r="O1759" s="347" t="s">
        <v>4441</v>
      </c>
      <c r="P1759" s="347"/>
      <c r="Q1759" s="347"/>
      <c r="R1759" s="347"/>
      <c r="S1759" s="348">
        <v>32852</v>
      </c>
      <c r="T1759" s="348">
        <v>32852</v>
      </c>
      <c r="U1759" s="347"/>
      <c r="V1759" s="345">
        <v>2000</v>
      </c>
      <c r="W1759" s="345">
        <v>14080</v>
      </c>
      <c r="X1759" s="349">
        <v>85260</v>
      </c>
      <c r="Y1759" s="345">
        <v>14086</v>
      </c>
      <c r="Z1759" s="349">
        <v>85260</v>
      </c>
      <c r="AA1759" s="349">
        <f t="shared" si="111"/>
        <v>0</v>
      </c>
      <c r="AB1759" s="349">
        <v>0</v>
      </c>
      <c r="AC1759" s="345">
        <v>57260</v>
      </c>
      <c r="AD1759" s="349">
        <v>0</v>
      </c>
      <c r="AE1759" s="345" t="s">
        <v>410</v>
      </c>
      <c r="AF1759" s="347" t="s">
        <v>3044</v>
      </c>
      <c r="AG1759" s="347" t="s">
        <v>2206</v>
      </c>
      <c r="AH1759" s="347" t="s">
        <v>57</v>
      </c>
      <c r="AI1759" s="347" t="s">
        <v>4442</v>
      </c>
      <c r="AJ1759" s="347" t="s">
        <v>4443</v>
      </c>
      <c r="AK1759" s="347" t="s">
        <v>4437</v>
      </c>
      <c r="AL1759" s="387">
        <v>45574</v>
      </c>
    </row>
    <row r="1760" spans="2:38" ht="15.75" outlineLevel="1">
      <c r="B1760" s="345">
        <v>2111</v>
      </c>
      <c r="C1760" s="346">
        <v>6678</v>
      </c>
      <c r="D1760" s="345" t="s">
        <v>944</v>
      </c>
      <c r="E1760" s="347" t="s">
        <v>4240</v>
      </c>
      <c r="F1760" s="343" t="s">
        <v>3900</v>
      </c>
      <c r="I1760" s="345">
        <v>1</v>
      </c>
      <c r="J1760" s="347"/>
      <c r="K1760" s="345">
        <v>0</v>
      </c>
      <c r="L1760" s="347"/>
      <c r="M1760" s="347"/>
      <c r="N1760" s="347" t="s">
        <v>4452</v>
      </c>
      <c r="O1760" s="347" t="s">
        <v>4441</v>
      </c>
      <c r="P1760" s="347"/>
      <c r="Q1760" s="347"/>
      <c r="R1760" s="347"/>
      <c r="S1760" s="348">
        <v>30318</v>
      </c>
      <c r="T1760" s="348">
        <v>30318</v>
      </c>
      <c r="U1760" s="347"/>
      <c r="V1760" s="345">
        <v>2000</v>
      </c>
      <c r="W1760" s="345">
        <v>14080</v>
      </c>
      <c r="X1760" s="349">
        <v>13821.47</v>
      </c>
      <c r="Y1760" s="345">
        <v>14086</v>
      </c>
      <c r="Z1760" s="349">
        <v>13821.47</v>
      </c>
      <c r="AA1760" s="349">
        <f t="shared" si="111"/>
        <v>0</v>
      </c>
      <c r="AB1760" s="349">
        <v>0</v>
      </c>
      <c r="AC1760" s="345">
        <v>57260</v>
      </c>
      <c r="AD1760" s="349">
        <v>0</v>
      </c>
      <c r="AE1760" s="345" t="s">
        <v>410</v>
      </c>
      <c r="AF1760" s="347" t="s">
        <v>3044</v>
      </c>
      <c r="AG1760" s="347" t="s">
        <v>2206</v>
      </c>
      <c r="AH1760" s="347" t="s">
        <v>57</v>
      </c>
      <c r="AI1760" s="347" t="s">
        <v>4442</v>
      </c>
      <c r="AJ1760" s="347" t="s">
        <v>4443</v>
      </c>
      <c r="AK1760" s="347" t="s">
        <v>4437</v>
      </c>
      <c r="AL1760" s="387">
        <v>45574</v>
      </c>
    </row>
    <row r="1761" spans="2:38" ht="15.75" outlineLevel="1">
      <c r="B1761" s="345">
        <v>2111</v>
      </c>
      <c r="C1761" s="346">
        <v>6677</v>
      </c>
      <c r="D1761" s="345" t="s">
        <v>944</v>
      </c>
      <c r="E1761" s="347" t="s">
        <v>4240</v>
      </c>
      <c r="F1761" s="343" t="s">
        <v>2603</v>
      </c>
      <c r="I1761" s="345">
        <v>1</v>
      </c>
      <c r="J1761" s="347"/>
      <c r="K1761" s="345">
        <v>0</v>
      </c>
      <c r="L1761" s="347"/>
      <c r="M1761" s="347"/>
      <c r="N1761" s="347" t="s">
        <v>4452</v>
      </c>
      <c r="O1761" s="347" t="s">
        <v>4441</v>
      </c>
      <c r="P1761" s="347"/>
      <c r="Q1761" s="347"/>
      <c r="R1761" s="347"/>
      <c r="S1761" s="348">
        <v>29373</v>
      </c>
      <c r="T1761" s="348">
        <v>29373</v>
      </c>
      <c r="U1761" s="347"/>
      <c r="V1761" s="345">
        <v>2000</v>
      </c>
      <c r="W1761" s="345">
        <v>14080</v>
      </c>
      <c r="X1761" s="349">
        <v>20500</v>
      </c>
      <c r="Y1761" s="345">
        <v>14086</v>
      </c>
      <c r="Z1761" s="349">
        <v>20500</v>
      </c>
      <c r="AA1761" s="349">
        <f t="shared" si="111"/>
        <v>0</v>
      </c>
      <c r="AB1761" s="349">
        <v>0</v>
      </c>
      <c r="AC1761" s="345">
        <v>57260</v>
      </c>
      <c r="AD1761" s="349">
        <v>0</v>
      </c>
      <c r="AE1761" s="345" t="s">
        <v>410</v>
      </c>
      <c r="AF1761" s="347" t="s">
        <v>3044</v>
      </c>
      <c r="AG1761" s="347" t="s">
        <v>2206</v>
      </c>
      <c r="AH1761" s="347" t="s">
        <v>57</v>
      </c>
      <c r="AI1761" s="347" t="s">
        <v>4442</v>
      </c>
      <c r="AJ1761" s="347" t="s">
        <v>4443</v>
      </c>
      <c r="AK1761" s="347" t="s">
        <v>4437</v>
      </c>
      <c r="AL1761" s="387">
        <v>45574</v>
      </c>
    </row>
    <row r="1762" spans="2:38" ht="15.75" outlineLevel="1">
      <c r="B1762" s="345">
        <v>2111</v>
      </c>
      <c r="C1762" s="346">
        <v>6676</v>
      </c>
      <c r="D1762" s="345" t="s">
        <v>944</v>
      </c>
      <c r="E1762" s="347" t="s">
        <v>4240</v>
      </c>
      <c r="F1762" s="343" t="s">
        <v>2603</v>
      </c>
      <c r="I1762" s="345">
        <v>1</v>
      </c>
      <c r="J1762" s="347"/>
      <c r="K1762" s="345">
        <v>0</v>
      </c>
      <c r="L1762" s="347"/>
      <c r="M1762" s="347"/>
      <c r="N1762" s="347" t="s">
        <v>4452</v>
      </c>
      <c r="O1762" s="347" t="s">
        <v>4441</v>
      </c>
      <c r="P1762" s="347"/>
      <c r="Q1762" s="347"/>
      <c r="R1762" s="347"/>
      <c r="S1762" s="348">
        <v>29007</v>
      </c>
      <c r="T1762" s="348">
        <v>29007</v>
      </c>
      <c r="U1762" s="347"/>
      <c r="V1762" s="345">
        <v>2000</v>
      </c>
      <c r="W1762" s="345">
        <v>14080</v>
      </c>
      <c r="X1762" s="349">
        <v>4470.2</v>
      </c>
      <c r="Y1762" s="345">
        <v>14086</v>
      </c>
      <c r="Z1762" s="349">
        <v>4470.2</v>
      </c>
      <c r="AA1762" s="349">
        <f t="shared" si="111"/>
        <v>0</v>
      </c>
      <c r="AB1762" s="349">
        <v>0</v>
      </c>
      <c r="AC1762" s="345">
        <v>57260</v>
      </c>
      <c r="AD1762" s="349">
        <v>0</v>
      </c>
      <c r="AE1762" s="345" t="s">
        <v>410</v>
      </c>
      <c r="AF1762" s="347" t="s">
        <v>3044</v>
      </c>
      <c r="AG1762" s="347" t="s">
        <v>2206</v>
      </c>
      <c r="AH1762" s="347" t="s">
        <v>57</v>
      </c>
      <c r="AI1762" s="347" t="s">
        <v>4442</v>
      </c>
      <c r="AJ1762" s="347" t="s">
        <v>4443</v>
      </c>
      <c r="AK1762" s="347" t="s">
        <v>4437</v>
      </c>
      <c r="AL1762" s="387">
        <v>45574</v>
      </c>
    </row>
    <row r="1763" spans="2:38" ht="15.75" outlineLevel="1">
      <c r="B1763" s="345">
        <v>2111</v>
      </c>
      <c r="C1763" s="346">
        <v>6675</v>
      </c>
      <c r="D1763" s="345" t="s">
        <v>944</v>
      </c>
      <c r="E1763" s="347" t="s">
        <v>4240</v>
      </c>
      <c r="F1763" s="343" t="s">
        <v>3903</v>
      </c>
      <c r="I1763" s="345">
        <v>1</v>
      </c>
      <c r="J1763" s="347"/>
      <c r="K1763" s="345">
        <v>0</v>
      </c>
      <c r="L1763" s="347"/>
      <c r="M1763" s="347"/>
      <c r="N1763" s="347" t="s">
        <v>4452</v>
      </c>
      <c r="O1763" s="347" t="s">
        <v>4441</v>
      </c>
      <c r="P1763" s="347"/>
      <c r="Q1763" s="347"/>
      <c r="R1763" s="347"/>
      <c r="S1763" s="348">
        <v>28522</v>
      </c>
      <c r="T1763" s="348">
        <v>28522</v>
      </c>
      <c r="U1763" s="347"/>
      <c r="V1763" s="345">
        <v>2000</v>
      </c>
      <c r="W1763" s="345">
        <v>14080</v>
      </c>
      <c r="X1763" s="349">
        <v>6173.91</v>
      </c>
      <c r="Y1763" s="345">
        <v>14086</v>
      </c>
      <c r="Z1763" s="349">
        <v>6173.91</v>
      </c>
      <c r="AA1763" s="349">
        <f t="shared" si="111"/>
        <v>0</v>
      </c>
      <c r="AB1763" s="349">
        <v>0</v>
      </c>
      <c r="AC1763" s="345">
        <v>57260</v>
      </c>
      <c r="AD1763" s="349">
        <v>0</v>
      </c>
      <c r="AE1763" s="345" t="s">
        <v>410</v>
      </c>
      <c r="AF1763" s="347" t="s">
        <v>3044</v>
      </c>
      <c r="AG1763" s="347" t="s">
        <v>2206</v>
      </c>
      <c r="AH1763" s="347" t="s">
        <v>57</v>
      </c>
      <c r="AI1763" s="347" t="s">
        <v>4442</v>
      </c>
      <c r="AJ1763" s="347" t="s">
        <v>4443</v>
      </c>
      <c r="AK1763" s="347" t="s">
        <v>4437</v>
      </c>
      <c r="AL1763" s="387">
        <v>45574</v>
      </c>
    </row>
    <row r="1764" spans="2:38" ht="15.75" outlineLevel="1">
      <c r="B1764" s="345">
        <v>2111</v>
      </c>
      <c r="C1764" s="346">
        <v>6674</v>
      </c>
      <c r="D1764" s="345" t="s">
        <v>944</v>
      </c>
      <c r="E1764" s="347" t="s">
        <v>4240</v>
      </c>
      <c r="F1764" s="343" t="s">
        <v>2604</v>
      </c>
      <c r="I1764" s="345">
        <v>1</v>
      </c>
      <c r="J1764" s="347"/>
      <c r="K1764" s="345">
        <v>0</v>
      </c>
      <c r="L1764" s="347"/>
      <c r="M1764" s="347"/>
      <c r="N1764" s="347" t="s">
        <v>4452</v>
      </c>
      <c r="O1764" s="347" t="s">
        <v>4441</v>
      </c>
      <c r="P1764" s="347"/>
      <c r="Q1764" s="347"/>
      <c r="R1764" s="347"/>
      <c r="S1764" s="348">
        <v>28399</v>
      </c>
      <c r="T1764" s="348">
        <v>28399</v>
      </c>
      <c r="U1764" s="347"/>
      <c r="V1764" s="345">
        <v>2000</v>
      </c>
      <c r="W1764" s="345">
        <v>14080</v>
      </c>
      <c r="X1764" s="349">
        <v>1010.54</v>
      </c>
      <c r="Y1764" s="345">
        <v>14086</v>
      </c>
      <c r="Z1764" s="349">
        <v>1010.54</v>
      </c>
      <c r="AA1764" s="349">
        <f t="shared" si="111"/>
        <v>0</v>
      </c>
      <c r="AB1764" s="349">
        <v>0</v>
      </c>
      <c r="AC1764" s="345">
        <v>57260</v>
      </c>
      <c r="AD1764" s="349">
        <v>0</v>
      </c>
      <c r="AE1764" s="345" t="s">
        <v>410</v>
      </c>
      <c r="AF1764" s="347" t="s">
        <v>3044</v>
      </c>
      <c r="AG1764" s="347" t="s">
        <v>2206</v>
      </c>
      <c r="AH1764" s="347" t="s">
        <v>57</v>
      </c>
      <c r="AI1764" s="347" t="s">
        <v>4442</v>
      </c>
      <c r="AJ1764" s="347" t="s">
        <v>4443</v>
      </c>
      <c r="AK1764" s="347" t="s">
        <v>4437</v>
      </c>
      <c r="AL1764" s="387">
        <v>45574</v>
      </c>
    </row>
    <row r="1765" spans="2:38" ht="15.75" outlineLevel="1">
      <c r="B1765" s="345">
        <v>2111</v>
      </c>
      <c r="C1765" s="346">
        <v>6673</v>
      </c>
      <c r="D1765" s="345" t="s">
        <v>944</v>
      </c>
      <c r="E1765" s="347" t="s">
        <v>4240</v>
      </c>
      <c r="F1765" s="343" t="s">
        <v>2603</v>
      </c>
      <c r="I1765" s="345">
        <v>1</v>
      </c>
      <c r="J1765" s="347"/>
      <c r="K1765" s="345">
        <v>0</v>
      </c>
      <c r="L1765" s="347"/>
      <c r="M1765" s="347"/>
      <c r="N1765" s="347" t="s">
        <v>4452</v>
      </c>
      <c r="O1765" s="347" t="s">
        <v>4441</v>
      </c>
      <c r="P1765" s="347"/>
      <c r="Q1765" s="347"/>
      <c r="R1765" s="347"/>
      <c r="S1765" s="348">
        <v>27242</v>
      </c>
      <c r="T1765" s="348">
        <v>27242</v>
      </c>
      <c r="U1765" s="347"/>
      <c r="V1765" s="345">
        <v>2000</v>
      </c>
      <c r="W1765" s="345">
        <v>14080</v>
      </c>
      <c r="X1765" s="349">
        <v>4145.8900000000003</v>
      </c>
      <c r="Y1765" s="345">
        <v>14086</v>
      </c>
      <c r="Z1765" s="349">
        <v>4145.8900000000003</v>
      </c>
      <c r="AA1765" s="349">
        <f t="shared" ref="AA1765:AA1809" si="112">+X1765-Z1765</f>
        <v>0</v>
      </c>
      <c r="AB1765" s="349">
        <v>0</v>
      </c>
      <c r="AC1765" s="345">
        <v>57260</v>
      </c>
      <c r="AD1765" s="349">
        <v>0</v>
      </c>
      <c r="AE1765" s="345" t="s">
        <v>410</v>
      </c>
      <c r="AF1765" s="347" t="s">
        <v>3044</v>
      </c>
      <c r="AG1765" s="347" t="s">
        <v>2206</v>
      </c>
      <c r="AH1765" s="347" t="s">
        <v>57</v>
      </c>
      <c r="AI1765" s="347" t="s">
        <v>4442</v>
      </c>
      <c r="AJ1765" s="347" t="s">
        <v>4443</v>
      </c>
      <c r="AK1765" s="347" t="s">
        <v>4437</v>
      </c>
      <c r="AL1765" s="387">
        <v>45574</v>
      </c>
    </row>
    <row r="1766" spans="2:38" ht="15.75" outlineLevel="1">
      <c r="B1766" s="345">
        <v>2111</v>
      </c>
      <c r="C1766" s="346">
        <v>6672</v>
      </c>
      <c r="D1766" s="345" t="s">
        <v>944</v>
      </c>
      <c r="E1766" s="347" t="s">
        <v>4240</v>
      </c>
      <c r="F1766" s="343" t="s">
        <v>2603</v>
      </c>
      <c r="I1766" s="345">
        <v>1</v>
      </c>
      <c r="J1766" s="347"/>
      <c r="K1766" s="345">
        <v>0</v>
      </c>
      <c r="L1766" s="347"/>
      <c r="M1766" s="347"/>
      <c r="N1766" s="347" t="s">
        <v>4452</v>
      </c>
      <c r="O1766" s="347" t="s">
        <v>4441</v>
      </c>
      <c r="P1766" s="347"/>
      <c r="Q1766" s="347"/>
      <c r="R1766" s="347"/>
      <c r="S1766" s="348">
        <v>26724</v>
      </c>
      <c r="T1766" s="348">
        <v>26724</v>
      </c>
      <c r="U1766" s="347"/>
      <c r="V1766" s="345">
        <v>2000</v>
      </c>
      <c r="W1766" s="345">
        <v>14080</v>
      </c>
      <c r="X1766" s="349">
        <v>1251.5999999999999</v>
      </c>
      <c r="Y1766" s="345">
        <v>14086</v>
      </c>
      <c r="Z1766" s="349">
        <v>1251.5999999999999</v>
      </c>
      <c r="AA1766" s="349">
        <f t="shared" si="112"/>
        <v>0</v>
      </c>
      <c r="AB1766" s="349">
        <v>0</v>
      </c>
      <c r="AC1766" s="345">
        <v>57260</v>
      </c>
      <c r="AD1766" s="349">
        <v>0</v>
      </c>
      <c r="AE1766" s="345" t="s">
        <v>410</v>
      </c>
      <c r="AF1766" s="347" t="s">
        <v>3044</v>
      </c>
      <c r="AG1766" s="347" t="s">
        <v>2206</v>
      </c>
      <c r="AH1766" s="347" t="s">
        <v>57</v>
      </c>
      <c r="AI1766" s="347" t="s">
        <v>4442</v>
      </c>
      <c r="AJ1766" s="347" t="s">
        <v>4443</v>
      </c>
      <c r="AK1766" s="347" t="s">
        <v>4437</v>
      </c>
      <c r="AL1766" s="387">
        <v>45574</v>
      </c>
    </row>
    <row r="1767" spans="2:38" ht="15.75" outlineLevel="1">
      <c r="B1767" s="345">
        <v>2111</v>
      </c>
      <c r="C1767" s="346">
        <v>6671</v>
      </c>
      <c r="D1767" s="345" t="s">
        <v>944</v>
      </c>
      <c r="E1767" s="347" t="s">
        <v>4240</v>
      </c>
      <c r="F1767" s="343" t="s">
        <v>3904</v>
      </c>
      <c r="I1767" s="345">
        <v>1</v>
      </c>
      <c r="J1767" s="347"/>
      <c r="K1767" s="345">
        <v>0</v>
      </c>
      <c r="L1767" s="347"/>
      <c r="M1767" s="347"/>
      <c r="N1767" s="347" t="s">
        <v>4452</v>
      </c>
      <c r="O1767" s="347" t="s">
        <v>4441</v>
      </c>
      <c r="P1767" s="347"/>
      <c r="Q1767" s="347"/>
      <c r="R1767" s="347"/>
      <c r="S1767" s="348">
        <v>24838</v>
      </c>
      <c r="T1767" s="348">
        <v>24838</v>
      </c>
      <c r="U1767" s="347"/>
      <c r="V1767" s="345">
        <v>2000</v>
      </c>
      <c r="W1767" s="345">
        <v>14080</v>
      </c>
      <c r="X1767" s="349">
        <v>2398.25</v>
      </c>
      <c r="Y1767" s="345">
        <v>14086</v>
      </c>
      <c r="Z1767" s="349">
        <v>2398.25</v>
      </c>
      <c r="AA1767" s="349">
        <f t="shared" si="112"/>
        <v>0</v>
      </c>
      <c r="AB1767" s="349">
        <v>0</v>
      </c>
      <c r="AC1767" s="345">
        <v>57260</v>
      </c>
      <c r="AD1767" s="349">
        <v>0</v>
      </c>
      <c r="AE1767" s="345" t="s">
        <v>410</v>
      </c>
      <c r="AF1767" s="347" t="s">
        <v>3044</v>
      </c>
      <c r="AG1767" s="347" t="s">
        <v>2206</v>
      </c>
      <c r="AH1767" s="347" t="s">
        <v>57</v>
      </c>
      <c r="AI1767" s="347" t="s">
        <v>4442</v>
      </c>
      <c r="AJ1767" s="347" t="s">
        <v>4443</v>
      </c>
      <c r="AK1767" s="347" t="s">
        <v>4437</v>
      </c>
      <c r="AL1767" s="387">
        <v>45574</v>
      </c>
    </row>
    <row r="1768" spans="2:38" ht="15.75" outlineLevel="1">
      <c r="B1768" s="345">
        <v>2111</v>
      </c>
      <c r="C1768" s="346">
        <v>6669</v>
      </c>
      <c r="D1768" s="345" t="s">
        <v>944</v>
      </c>
      <c r="E1768" s="347" t="s">
        <v>4240</v>
      </c>
      <c r="F1768" s="343" t="s">
        <v>3905</v>
      </c>
      <c r="I1768" s="345">
        <v>1</v>
      </c>
      <c r="J1768" s="347"/>
      <c r="K1768" s="345">
        <v>1997</v>
      </c>
      <c r="L1768" s="347" t="s">
        <v>2578</v>
      </c>
      <c r="M1768" s="347" t="s">
        <v>2214</v>
      </c>
      <c r="N1768" s="347" t="s">
        <v>4451</v>
      </c>
      <c r="O1768" s="347" t="s">
        <v>4441</v>
      </c>
      <c r="P1768" s="347"/>
      <c r="Q1768" s="347"/>
      <c r="R1768" s="347"/>
      <c r="S1768" s="348">
        <v>35502</v>
      </c>
      <c r="T1768" s="348">
        <v>35502</v>
      </c>
      <c r="U1768" s="347"/>
      <c r="V1768" s="345">
        <v>500</v>
      </c>
      <c r="W1768" s="345">
        <v>14070</v>
      </c>
      <c r="X1768" s="349">
        <v>3078</v>
      </c>
      <c r="Y1768" s="345">
        <v>14076</v>
      </c>
      <c r="Z1768" s="349">
        <v>3078</v>
      </c>
      <c r="AA1768" s="349">
        <f t="shared" si="112"/>
        <v>0</v>
      </c>
      <c r="AB1768" s="349">
        <v>0</v>
      </c>
      <c r="AC1768" s="345">
        <v>51260</v>
      </c>
      <c r="AD1768" s="349">
        <v>0</v>
      </c>
      <c r="AE1768" s="345" t="s">
        <v>410</v>
      </c>
      <c r="AF1768" s="347" t="s">
        <v>3044</v>
      </c>
      <c r="AG1768" s="347" t="s">
        <v>2206</v>
      </c>
      <c r="AH1768" s="347" t="s">
        <v>57</v>
      </c>
      <c r="AI1768" s="347" t="s">
        <v>4442</v>
      </c>
      <c r="AJ1768" s="347" t="s">
        <v>4443</v>
      </c>
      <c r="AK1768" s="347" t="s">
        <v>4437</v>
      </c>
      <c r="AL1768" s="387">
        <v>45574</v>
      </c>
    </row>
    <row r="1769" spans="2:38" ht="15.75" outlineLevel="1">
      <c r="B1769" s="345">
        <v>2111</v>
      </c>
      <c r="C1769" s="346">
        <v>6666</v>
      </c>
      <c r="D1769" s="345" t="s">
        <v>944</v>
      </c>
      <c r="E1769" s="347" t="s">
        <v>4240</v>
      </c>
      <c r="F1769" s="343" t="s">
        <v>3906</v>
      </c>
      <c r="I1769" s="345">
        <v>1</v>
      </c>
      <c r="J1769" s="347"/>
      <c r="K1769" s="345">
        <v>1993</v>
      </c>
      <c r="L1769" s="347" t="s">
        <v>2578</v>
      </c>
      <c r="M1769" s="347" t="s">
        <v>2214</v>
      </c>
      <c r="N1769" s="347" t="s">
        <v>4451</v>
      </c>
      <c r="O1769" s="347" t="s">
        <v>4441</v>
      </c>
      <c r="P1769" s="347"/>
      <c r="Q1769" s="347"/>
      <c r="R1769" s="347"/>
      <c r="S1769" s="348">
        <v>34159</v>
      </c>
      <c r="T1769" s="348">
        <v>34159</v>
      </c>
      <c r="U1769" s="347"/>
      <c r="V1769" s="345">
        <v>500</v>
      </c>
      <c r="W1769" s="345">
        <v>14070</v>
      </c>
      <c r="X1769" s="349">
        <v>3470.79</v>
      </c>
      <c r="Y1769" s="345">
        <v>14076</v>
      </c>
      <c r="Z1769" s="349">
        <v>3470.79</v>
      </c>
      <c r="AA1769" s="349">
        <f t="shared" si="112"/>
        <v>0</v>
      </c>
      <c r="AB1769" s="349">
        <v>0</v>
      </c>
      <c r="AC1769" s="345">
        <v>51260</v>
      </c>
      <c r="AD1769" s="349">
        <v>0</v>
      </c>
      <c r="AE1769" s="345" t="s">
        <v>410</v>
      </c>
      <c r="AF1769" s="347" t="s">
        <v>3044</v>
      </c>
      <c r="AG1769" s="347" t="s">
        <v>2206</v>
      </c>
      <c r="AH1769" s="347" t="s">
        <v>57</v>
      </c>
      <c r="AI1769" s="347" t="s">
        <v>4442</v>
      </c>
      <c r="AJ1769" s="347" t="s">
        <v>4443</v>
      </c>
      <c r="AK1769" s="347" t="s">
        <v>4437</v>
      </c>
      <c r="AL1769" s="387">
        <v>45574</v>
      </c>
    </row>
    <row r="1770" spans="2:38" ht="15.75" outlineLevel="1">
      <c r="B1770" s="345">
        <v>2111</v>
      </c>
      <c r="C1770" s="346">
        <v>6665</v>
      </c>
      <c r="D1770" s="345" t="s">
        <v>944</v>
      </c>
      <c r="E1770" s="347" t="s">
        <v>4240</v>
      </c>
      <c r="F1770" s="343" t="s">
        <v>3907</v>
      </c>
      <c r="I1770" s="345">
        <v>1</v>
      </c>
      <c r="J1770" s="347" t="s">
        <v>3438</v>
      </c>
      <c r="K1770" s="345">
        <v>1996</v>
      </c>
      <c r="L1770" s="347" t="s">
        <v>2578</v>
      </c>
      <c r="M1770" s="347" t="s">
        <v>2214</v>
      </c>
      <c r="N1770" s="347" t="s">
        <v>4451</v>
      </c>
      <c r="O1770" s="347" t="s">
        <v>4441</v>
      </c>
      <c r="P1770" s="347"/>
      <c r="Q1770" s="347"/>
      <c r="R1770" s="347"/>
      <c r="S1770" s="348">
        <v>35245</v>
      </c>
      <c r="T1770" s="348">
        <v>35245</v>
      </c>
      <c r="U1770" s="347"/>
      <c r="V1770" s="345">
        <v>500</v>
      </c>
      <c r="W1770" s="345">
        <v>14070</v>
      </c>
      <c r="X1770" s="349">
        <v>3480.97</v>
      </c>
      <c r="Y1770" s="345">
        <v>14076</v>
      </c>
      <c r="Z1770" s="349">
        <v>3480.97</v>
      </c>
      <c r="AA1770" s="349">
        <f t="shared" si="112"/>
        <v>0</v>
      </c>
      <c r="AB1770" s="349">
        <v>0</v>
      </c>
      <c r="AC1770" s="345">
        <v>51260</v>
      </c>
      <c r="AD1770" s="349">
        <v>0</v>
      </c>
      <c r="AE1770" s="345" t="s">
        <v>410</v>
      </c>
      <c r="AF1770" s="347" t="s">
        <v>3044</v>
      </c>
      <c r="AG1770" s="347" t="s">
        <v>2206</v>
      </c>
      <c r="AH1770" s="347" t="s">
        <v>57</v>
      </c>
      <c r="AI1770" s="347" t="s">
        <v>4442</v>
      </c>
      <c r="AJ1770" s="347" t="s">
        <v>4443</v>
      </c>
      <c r="AK1770" s="347" t="s">
        <v>4437</v>
      </c>
      <c r="AL1770" s="387">
        <v>45574</v>
      </c>
    </row>
    <row r="1771" spans="2:38" ht="15.75" outlineLevel="1">
      <c r="B1771" s="345">
        <v>2111</v>
      </c>
      <c r="C1771" s="346">
        <v>6664</v>
      </c>
      <c r="D1771" s="345" t="s">
        <v>944</v>
      </c>
      <c r="E1771" s="347" t="s">
        <v>4240</v>
      </c>
      <c r="F1771" s="343" t="s">
        <v>3908</v>
      </c>
      <c r="I1771" s="345">
        <v>1</v>
      </c>
      <c r="J1771" s="347">
        <v>1</v>
      </c>
      <c r="K1771" s="345">
        <v>1991</v>
      </c>
      <c r="L1771" s="347" t="s">
        <v>2214</v>
      </c>
      <c r="M1771" s="347" t="s">
        <v>2214</v>
      </c>
      <c r="N1771" s="347" t="s">
        <v>4451</v>
      </c>
      <c r="O1771" s="347" t="s">
        <v>4441</v>
      </c>
      <c r="P1771" s="347"/>
      <c r="Q1771" s="347"/>
      <c r="R1771" s="347"/>
      <c r="S1771" s="348">
        <v>33287</v>
      </c>
      <c r="T1771" s="348">
        <v>33287</v>
      </c>
      <c r="U1771" s="347"/>
      <c r="V1771" s="345">
        <v>500</v>
      </c>
      <c r="W1771" s="345">
        <v>14070</v>
      </c>
      <c r="X1771" s="349">
        <v>5235.83</v>
      </c>
      <c r="Y1771" s="345">
        <v>14076</v>
      </c>
      <c r="Z1771" s="349">
        <v>5235.83</v>
      </c>
      <c r="AA1771" s="349">
        <f t="shared" si="112"/>
        <v>0</v>
      </c>
      <c r="AB1771" s="349">
        <v>0</v>
      </c>
      <c r="AC1771" s="345">
        <v>51260</v>
      </c>
      <c r="AD1771" s="349">
        <v>0</v>
      </c>
      <c r="AE1771" s="345" t="s">
        <v>410</v>
      </c>
      <c r="AF1771" s="347" t="s">
        <v>3044</v>
      </c>
      <c r="AG1771" s="347" t="s">
        <v>2206</v>
      </c>
      <c r="AH1771" s="347" t="s">
        <v>57</v>
      </c>
      <c r="AI1771" s="347" t="s">
        <v>4442</v>
      </c>
      <c r="AJ1771" s="347" t="s">
        <v>4443</v>
      </c>
      <c r="AK1771" s="347" t="s">
        <v>4437</v>
      </c>
      <c r="AL1771" s="387">
        <v>45574</v>
      </c>
    </row>
    <row r="1772" spans="2:38" ht="15.75" outlineLevel="1">
      <c r="B1772" s="345">
        <v>2111</v>
      </c>
      <c r="C1772" s="346">
        <v>6663</v>
      </c>
      <c r="D1772" s="345" t="s">
        <v>944</v>
      </c>
      <c r="E1772" s="347" t="s">
        <v>4240</v>
      </c>
      <c r="F1772" s="343" t="s">
        <v>3909</v>
      </c>
      <c r="I1772" s="345">
        <v>1</v>
      </c>
      <c r="J1772" s="347"/>
      <c r="K1772" s="345">
        <v>1990</v>
      </c>
      <c r="L1772" s="347" t="s">
        <v>2578</v>
      </c>
      <c r="M1772" s="347" t="s">
        <v>2214</v>
      </c>
      <c r="N1772" s="347" t="s">
        <v>4451</v>
      </c>
      <c r="O1772" s="347" t="s">
        <v>4441</v>
      </c>
      <c r="P1772" s="347"/>
      <c r="Q1772" s="347"/>
      <c r="R1772" s="347"/>
      <c r="S1772" s="348">
        <v>32884</v>
      </c>
      <c r="T1772" s="348">
        <v>32884</v>
      </c>
      <c r="U1772" s="347"/>
      <c r="V1772" s="345">
        <v>500</v>
      </c>
      <c r="W1772" s="345">
        <v>14070</v>
      </c>
      <c r="X1772" s="349">
        <v>1750</v>
      </c>
      <c r="Y1772" s="345">
        <v>14076</v>
      </c>
      <c r="Z1772" s="349">
        <v>1750</v>
      </c>
      <c r="AA1772" s="349">
        <f t="shared" si="112"/>
        <v>0</v>
      </c>
      <c r="AB1772" s="349">
        <v>0</v>
      </c>
      <c r="AC1772" s="345">
        <v>51260</v>
      </c>
      <c r="AD1772" s="349">
        <v>0</v>
      </c>
      <c r="AE1772" s="345" t="s">
        <v>410</v>
      </c>
      <c r="AF1772" s="347" t="s">
        <v>3044</v>
      </c>
      <c r="AG1772" s="347" t="s">
        <v>2206</v>
      </c>
      <c r="AH1772" s="347" t="s">
        <v>57</v>
      </c>
      <c r="AI1772" s="347" t="s">
        <v>4442</v>
      </c>
      <c r="AJ1772" s="347" t="s">
        <v>4443</v>
      </c>
      <c r="AK1772" s="347" t="s">
        <v>4437</v>
      </c>
      <c r="AL1772" s="387">
        <v>45574</v>
      </c>
    </row>
    <row r="1773" spans="2:38" ht="15.75" outlineLevel="1">
      <c r="B1773" s="345">
        <v>2111</v>
      </c>
      <c r="C1773" s="346">
        <v>6659</v>
      </c>
      <c r="D1773" s="345" t="s">
        <v>944</v>
      </c>
      <c r="E1773" s="347" t="s">
        <v>4240</v>
      </c>
      <c r="F1773" s="343" t="s">
        <v>3910</v>
      </c>
      <c r="I1773" s="345">
        <v>1</v>
      </c>
      <c r="J1773" s="347"/>
      <c r="K1773" s="345">
        <v>1986</v>
      </c>
      <c r="L1773" s="347" t="s">
        <v>2578</v>
      </c>
      <c r="M1773" s="347" t="s">
        <v>2214</v>
      </c>
      <c r="N1773" s="347" t="s">
        <v>4451</v>
      </c>
      <c r="O1773" s="347" t="s">
        <v>4441</v>
      </c>
      <c r="P1773" s="347"/>
      <c r="Q1773" s="347"/>
      <c r="R1773" s="347"/>
      <c r="S1773" s="348">
        <v>31589</v>
      </c>
      <c r="T1773" s="348">
        <v>31589</v>
      </c>
      <c r="U1773" s="347"/>
      <c r="V1773" s="345">
        <v>500</v>
      </c>
      <c r="W1773" s="345">
        <v>14070</v>
      </c>
      <c r="X1773" s="349">
        <v>989</v>
      </c>
      <c r="Y1773" s="345">
        <v>14076</v>
      </c>
      <c r="Z1773" s="349">
        <v>989</v>
      </c>
      <c r="AA1773" s="349">
        <f t="shared" si="112"/>
        <v>0</v>
      </c>
      <c r="AB1773" s="349">
        <v>0</v>
      </c>
      <c r="AC1773" s="345">
        <v>51260</v>
      </c>
      <c r="AD1773" s="349">
        <v>0</v>
      </c>
      <c r="AE1773" s="345" t="s">
        <v>410</v>
      </c>
      <c r="AF1773" s="347" t="s">
        <v>3044</v>
      </c>
      <c r="AG1773" s="347" t="s">
        <v>2206</v>
      </c>
      <c r="AH1773" s="347" t="s">
        <v>57</v>
      </c>
      <c r="AI1773" s="347" t="s">
        <v>4442</v>
      </c>
      <c r="AJ1773" s="347" t="s">
        <v>4443</v>
      </c>
      <c r="AK1773" s="347" t="s">
        <v>4437</v>
      </c>
      <c r="AL1773" s="387">
        <v>45574</v>
      </c>
    </row>
    <row r="1774" spans="2:38" ht="15.75" outlineLevel="1">
      <c r="B1774" s="345">
        <v>2111</v>
      </c>
      <c r="C1774" s="346">
        <v>6656</v>
      </c>
      <c r="D1774" s="345" t="s">
        <v>944</v>
      </c>
      <c r="E1774" s="347" t="s">
        <v>4240</v>
      </c>
      <c r="F1774" s="343" t="s">
        <v>184</v>
      </c>
      <c r="I1774" s="345">
        <v>1</v>
      </c>
      <c r="J1774" s="347"/>
      <c r="K1774" s="345">
        <v>1985</v>
      </c>
      <c r="L1774" s="347" t="s">
        <v>2578</v>
      </c>
      <c r="M1774" s="347" t="s">
        <v>2214</v>
      </c>
      <c r="N1774" s="347" t="s">
        <v>4451</v>
      </c>
      <c r="O1774" s="347" t="s">
        <v>4441</v>
      </c>
      <c r="P1774" s="347"/>
      <c r="Q1774" s="347"/>
      <c r="R1774" s="347"/>
      <c r="S1774" s="348">
        <v>31260</v>
      </c>
      <c r="T1774" s="348">
        <v>31260</v>
      </c>
      <c r="U1774" s="347"/>
      <c r="V1774" s="345">
        <v>500</v>
      </c>
      <c r="W1774" s="345">
        <v>14070</v>
      </c>
      <c r="X1774" s="349">
        <v>2430.9499999999998</v>
      </c>
      <c r="Y1774" s="345">
        <v>14076</v>
      </c>
      <c r="Z1774" s="349">
        <v>2430.9499999999998</v>
      </c>
      <c r="AA1774" s="349">
        <f t="shared" si="112"/>
        <v>0</v>
      </c>
      <c r="AB1774" s="349">
        <v>0</v>
      </c>
      <c r="AC1774" s="345">
        <v>51260</v>
      </c>
      <c r="AD1774" s="349">
        <v>0</v>
      </c>
      <c r="AE1774" s="345" t="s">
        <v>410</v>
      </c>
      <c r="AF1774" s="347" t="s">
        <v>3044</v>
      </c>
      <c r="AG1774" s="347" t="s">
        <v>2206</v>
      </c>
      <c r="AH1774" s="347" t="s">
        <v>57</v>
      </c>
      <c r="AI1774" s="347" t="s">
        <v>4442</v>
      </c>
      <c r="AJ1774" s="347" t="s">
        <v>4443</v>
      </c>
      <c r="AK1774" s="347" t="s">
        <v>4437</v>
      </c>
      <c r="AL1774" s="387">
        <v>45574</v>
      </c>
    </row>
    <row r="1775" spans="2:38" ht="15.75" outlineLevel="1">
      <c r="B1775" s="345">
        <v>2111</v>
      </c>
      <c r="C1775" s="346">
        <v>6654</v>
      </c>
      <c r="D1775" s="345" t="s">
        <v>944</v>
      </c>
      <c r="E1775" s="347" t="s">
        <v>4240</v>
      </c>
      <c r="F1775" s="343" t="s">
        <v>3911</v>
      </c>
      <c r="I1775" s="345">
        <v>1</v>
      </c>
      <c r="J1775" s="347"/>
      <c r="K1775" s="345">
        <v>1987</v>
      </c>
      <c r="L1775" s="347" t="s">
        <v>2578</v>
      </c>
      <c r="M1775" s="347" t="s">
        <v>2214</v>
      </c>
      <c r="N1775" s="347" t="s">
        <v>4451</v>
      </c>
      <c r="O1775" s="347" t="s">
        <v>4441</v>
      </c>
      <c r="P1775" s="347"/>
      <c r="Q1775" s="347"/>
      <c r="R1775" s="347"/>
      <c r="S1775" s="348">
        <v>31954</v>
      </c>
      <c r="T1775" s="348">
        <v>31954</v>
      </c>
      <c r="U1775" s="347"/>
      <c r="V1775" s="345">
        <v>2000</v>
      </c>
      <c r="W1775" s="345">
        <v>14070</v>
      </c>
      <c r="X1775" s="349">
        <v>2721.95</v>
      </c>
      <c r="Y1775" s="345">
        <v>14076</v>
      </c>
      <c r="Z1775" s="349">
        <v>2721.95</v>
      </c>
      <c r="AA1775" s="349">
        <f t="shared" si="112"/>
        <v>0</v>
      </c>
      <c r="AB1775" s="349">
        <v>0</v>
      </c>
      <c r="AC1775" s="345">
        <v>51260</v>
      </c>
      <c r="AD1775" s="349">
        <v>0</v>
      </c>
      <c r="AE1775" s="345" t="s">
        <v>410</v>
      </c>
      <c r="AF1775" s="347" t="s">
        <v>3044</v>
      </c>
      <c r="AG1775" s="347" t="s">
        <v>2206</v>
      </c>
      <c r="AH1775" s="347" t="s">
        <v>57</v>
      </c>
      <c r="AI1775" s="347" t="s">
        <v>4442</v>
      </c>
      <c r="AJ1775" s="347" t="s">
        <v>4443</v>
      </c>
      <c r="AK1775" s="347" t="s">
        <v>4437</v>
      </c>
      <c r="AL1775" s="387">
        <v>45574</v>
      </c>
    </row>
    <row r="1776" spans="2:38" ht="15.75" outlineLevel="1">
      <c r="B1776" s="345">
        <v>2111</v>
      </c>
      <c r="C1776" s="346">
        <v>6653</v>
      </c>
      <c r="D1776" s="345" t="s">
        <v>944</v>
      </c>
      <c r="E1776" s="347" t="s">
        <v>4240</v>
      </c>
      <c r="F1776" s="343" t="s">
        <v>3911</v>
      </c>
      <c r="I1776" s="345">
        <v>1</v>
      </c>
      <c r="J1776" s="347"/>
      <c r="K1776" s="345">
        <v>1987</v>
      </c>
      <c r="L1776" s="347" t="s">
        <v>2578</v>
      </c>
      <c r="M1776" s="347" t="s">
        <v>2214</v>
      </c>
      <c r="N1776" s="347" t="s">
        <v>4451</v>
      </c>
      <c r="O1776" s="347" t="s">
        <v>4441</v>
      </c>
      <c r="P1776" s="347"/>
      <c r="Q1776" s="347"/>
      <c r="R1776" s="347"/>
      <c r="S1776" s="348">
        <v>31817</v>
      </c>
      <c r="T1776" s="348">
        <v>31817</v>
      </c>
      <c r="U1776" s="347"/>
      <c r="V1776" s="345">
        <v>2000</v>
      </c>
      <c r="W1776" s="345">
        <v>14070</v>
      </c>
      <c r="X1776" s="349">
        <v>1697.31</v>
      </c>
      <c r="Y1776" s="345">
        <v>14076</v>
      </c>
      <c r="Z1776" s="349">
        <v>1697.31</v>
      </c>
      <c r="AA1776" s="349">
        <f t="shared" si="112"/>
        <v>0</v>
      </c>
      <c r="AB1776" s="349">
        <v>0</v>
      </c>
      <c r="AC1776" s="345">
        <v>51260</v>
      </c>
      <c r="AD1776" s="349">
        <v>0</v>
      </c>
      <c r="AE1776" s="345" t="s">
        <v>410</v>
      </c>
      <c r="AF1776" s="347" t="s">
        <v>3044</v>
      </c>
      <c r="AG1776" s="347" t="s">
        <v>2206</v>
      </c>
      <c r="AH1776" s="347" t="s">
        <v>57</v>
      </c>
      <c r="AI1776" s="347" t="s">
        <v>4442</v>
      </c>
      <c r="AJ1776" s="347" t="s">
        <v>4443</v>
      </c>
      <c r="AK1776" s="347" t="s">
        <v>4437</v>
      </c>
      <c r="AL1776" s="387">
        <v>45574</v>
      </c>
    </row>
    <row r="1777" spans="2:38" ht="15.75" outlineLevel="1">
      <c r="B1777" s="345">
        <v>2111</v>
      </c>
      <c r="C1777" s="346">
        <v>6651</v>
      </c>
      <c r="D1777" s="345" t="s">
        <v>944</v>
      </c>
      <c r="E1777" s="347" t="s">
        <v>4240</v>
      </c>
      <c r="F1777" s="343" t="s">
        <v>3912</v>
      </c>
      <c r="I1777" s="345">
        <v>1</v>
      </c>
      <c r="J1777" s="347">
        <v>1</v>
      </c>
      <c r="K1777" s="345">
        <v>1985</v>
      </c>
      <c r="L1777" s="347" t="s">
        <v>3913</v>
      </c>
      <c r="M1777" s="347" t="s">
        <v>2214</v>
      </c>
      <c r="N1777" s="347" t="s">
        <v>4451</v>
      </c>
      <c r="O1777" s="347" t="s">
        <v>4441</v>
      </c>
      <c r="P1777" s="347"/>
      <c r="Q1777" s="347"/>
      <c r="R1777" s="347"/>
      <c r="S1777" s="348">
        <v>31274</v>
      </c>
      <c r="T1777" s="348">
        <v>31274</v>
      </c>
      <c r="U1777" s="347"/>
      <c r="V1777" s="345">
        <v>500</v>
      </c>
      <c r="W1777" s="345">
        <v>14070</v>
      </c>
      <c r="X1777" s="349">
        <v>1392.3</v>
      </c>
      <c r="Y1777" s="345">
        <v>14076</v>
      </c>
      <c r="Z1777" s="349">
        <v>1392.3</v>
      </c>
      <c r="AA1777" s="349">
        <f t="shared" si="112"/>
        <v>0</v>
      </c>
      <c r="AB1777" s="349">
        <v>0</v>
      </c>
      <c r="AC1777" s="345">
        <v>51260</v>
      </c>
      <c r="AD1777" s="349">
        <v>0</v>
      </c>
      <c r="AE1777" s="345" t="s">
        <v>410</v>
      </c>
      <c r="AF1777" s="347" t="s">
        <v>3044</v>
      </c>
      <c r="AG1777" s="347" t="s">
        <v>2206</v>
      </c>
      <c r="AH1777" s="347" t="s">
        <v>57</v>
      </c>
      <c r="AI1777" s="347" t="s">
        <v>4442</v>
      </c>
      <c r="AJ1777" s="347" t="s">
        <v>4443</v>
      </c>
      <c r="AK1777" s="347" t="s">
        <v>4437</v>
      </c>
      <c r="AL1777" s="387">
        <v>45574</v>
      </c>
    </row>
    <row r="1778" spans="2:38" ht="15.75" outlineLevel="1">
      <c r="B1778" s="345">
        <v>2111</v>
      </c>
      <c r="C1778" s="346">
        <v>6649</v>
      </c>
      <c r="D1778" s="345" t="s">
        <v>944</v>
      </c>
      <c r="E1778" s="347" t="s">
        <v>4240</v>
      </c>
      <c r="F1778" s="343" t="s">
        <v>3914</v>
      </c>
      <c r="I1778" s="345">
        <v>1</v>
      </c>
      <c r="J1778" s="347"/>
      <c r="K1778" s="345">
        <v>1987</v>
      </c>
      <c r="L1778" s="347" t="s">
        <v>2578</v>
      </c>
      <c r="M1778" s="347" t="s">
        <v>2214</v>
      </c>
      <c r="N1778" s="347" t="s">
        <v>4451</v>
      </c>
      <c r="O1778" s="347" t="s">
        <v>4441</v>
      </c>
      <c r="P1778" s="347"/>
      <c r="Q1778" s="347"/>
      <c r="R1778" s="347"/>
      <c r="S1778" s="348">
        <v>31898</v>
      </c>
      <c r="T1778" s="348">
        <v>31898</v>
      </c>
      <c r="U1778" s="347"/>
      <c r="V1778" s="345">
        <v>1500</v>
      </c>
      <c r="W1778" s="345">
        <v>14070</v>
      </c>
      <c r="X1778" s="349">
        <v>61406.18</v>
      </c>
      <c r="Y1778" s="345">
        <v>14076</v>
      </c>
      <c r="Z1778" s="349">
        <v>61406.18</v>
      </c>
      <c r="AA1778" s="349">
        <f t="shared" si="112"/>
        <v>0</v>
      </c>
      <c r="AB1778" s="349">
        <v>0</v>
      </c>
      <c r="AC1778" s="345">
        <v>51260</v>
      </c>
      <c r="AD1778" s="349">
        <v>0</v>
      </c>
      <c r="AE1778" s="345" t="s">
        <v>410</v>
      </c>
      <c r="AF1778" s="347" t="s">
        <v>3044</v>
      </c>
      <c r="AG1778" s="347" t="s">
        <v>2206</v>
      </c>
      <c r="AH1778" s="347" t="s">
        <v>57</v>
      </c>
      <c r="AI1778" s="347" t="s">
        <v>4442</v>
      </c>
      <c r="AJ1778" s="347" t="s">
        <v>4443</v>
      </c>
      <c r="AK1778" s="347" t="s">
        <v>4437</v>
      </c>
      <c r="AL1778" s="387">
        <v>45574</v>
      </c>
    </row>
    <row r="1779" spans="2:38" ht="15.75" outlineLevel="1">
      <c r="B1779" s="345">
        <v>2111</v>
      </c>
      <c r="C1779" s="346">
        <v>6648</v>
      </c>
      <c r="D1779" s="345" t="s">
        <v>944</v>
      </c>
      <c r="E1779" s="347" t="s">
        <v>4240</v>
      </c>
      <c r="F1779" s="343" t="s">
        <v>3915</v>
      </c>
      <c r="I1779" s="345">
        <v>1</v>
      </c>
      <c r="J1779" s="347"/>
      <c r="K1779" s="345">
        <v>1987</v>
      </c>
      <c r="L1779" s="347" t="s">
        <v>2578</v>
      </c>
      <c r="M1779" s="347" t="s">
        <v>2214</v>
      </c>
      <c r="N1779" s="347" t="s">
        <v>4451</v>
      </c>
      <c r="O1779" s="347" t="s">
        <v>4441</v>
      </c>
      <c r="P1779" s="347"/>
      <c r="Q1779" s="347"/>
      <c r="R1779" s="347"/>
      <c r="S1779" s="348">
        <v>31868</v>
      </c>
      <c r="T1779" s="348">
        <v>31868</v>
      </c>
      <c r="U1779" s="347"/>
      <c r="V1779" s="345">
        <v>1500</v>
      </c>
      <c r="W1779" s="345">
        <v>14070</v>
      </c>
      <c r="X1779" s="349">
        <v>100211.75</v>
      </c>
      <c r="Y1779" s="345">
        <v>14076</v>
      </c>
      <c r="Z1779" s="349">
        <v>100211.75</v>
      </c>
      <c r="AA1779" s="349">
        <f t="shared" si="112"/>
        <v>0</v>
      </c>
      <c r="AB1779" s="349">
        <v>0</v>
      </c>
      <c r="AC1779" s="345">
        <v>51260</v>
      </c>
      <c r="AD1779" s="349">
        <v>0</v>
      </c>
      <c r="AE1779" s="345" t="s">
        <v>410</v>
      </c>
      <c r="AF1779" s="347" t="s">
        <v>3044</v>
      </c>
      <c r="AG1779" s="347" t="s">
        <v>2206</v>
      </c>
      <c r="AH1779" s="347" t="s">
        <v>57</v>
      </c>
      <c r="AI1779" s="347" t="s">
        <v>4442</v>
      </c>
      <c r="AJ1779" s="347" t="s">
        <v>4443</v>
      </c>
      <c r="AK1779" s="347" t="s">
        <v>4437</v>
      </c>
      <c r="AL1779" s="387">
        <v>45574</v>
      </c>
    </row>
    <row r="1780" spans="2:38" ht="15.75" outlineLevel="1">
      <c r="B1780" s="345">
        <v>2111</v>
      </c>
      <c r="C1780" s="346">
        <v>6647</v>
      </c>
      <c r="D1780" s="345" t="s">
        <v>944</v>
      </c>
      <c r="E1780" s="347" t="s">
        <v>4240</v>
      </c>
      <c r="F1780" s="343" t="s">
        <v>2621</v>
      </c>
      <c r="I1780" s="345">
        <v>864</v>
      </c>
      <c r="J1780" s="347"/>
      <c r="K1780" s="345">
        <v>0</v>
      </c>
      <c r="L1780" s="347"/>
      <c r="M1780" s="347"/>
      <c r="N1780" s="347" t="s">
        <v>4446</v>
      </c>
      <c r="O1780" s="347" t="s">
        <v>4441</v>
      </c>
      <c r="P1780" s="347"/>
      <c r="Q1780" s="347"/>
      <c r="R1780" s="347"/>
      <c r="S1780" s="348">
        <v>36003</v>
      </c>
      <c r="T1780" s="348">
        <v>36003</v>
      </c>
      <c r="U1780" s="347"/>
      <c r="V1780" s="345">
        <v>500</v>
      </c>
      <c r="W1780" s="345">
        <v>14050</v>
      </c>
      <c r="X1780" s="349">
        <v>45423.94</v>
      </c>
      <c r="Y1780" s="345">
        <v>14056</v>
      </c>
      <c r="Z1780" s="349">
        <v>45423.94</v>
      </c>
      <c r="AA1780" s="349">
        <f t="shared" si="112"/>
        <v>0</v>
      </c>
      <c r="AB1780" s="349">
        <v>0</v>
      </c>
      <c r="AC1780" s="345">
        <v>54260</v>
      </c>
      <c r="AD1780" s="349">
        <v>0</v>
      </c>
      <c r="AE1780" s="345" t="s">
        <v>410</v>
      </c>
      <c r="AF1780" s="347" t="s">
        <v>3044</v>
      </c>
      <c r="AG1780" s="347" t="s">
        <v>2206</v>
      </c>
      <c r="AH1780" s="347" t="s">
        <v>57</v>
      </c>
      <c r="AI1780" s="347" t="s">
        <v>4442</v>
      </c>
      <c r="AJ1780" s="347" t="s">
        <v>4443</v>
      </c>
      <c r="AK1780" s="347" t="s">
        <v>4437</v>
      </c>
      <c r="AL1780" s="387">
        <v>45574</v>
      </c>
    </row>
    <row r="1781" spans="2:38" ht="15.75" outlineLevel="1">
      <c r="B1781" s="345">
        <v>2111</v>
      </c>
      <c r="C1781" s="346">
        <v>6644</v>
      </c>
      <c r="D1781" s="345" t="s">
        <v>944</v>
      </c>
      <c r="E1781" s="347" t="s">
        <v>4240</v>
      </c>
      <c r="F1781" s="343" t="s">
        <v>3916</v>
      </c>
      <c r="I1781" s="345">
        <v>30</v>
      </c>
      <c r="J1781" s="347"/>
      <c r="K1781" s="345">
        <v>0</v>
      </c>
      <c r="L1781" s="347"/>
      <c r="M1781" s="347"/>
      <c r="N1781" s="347" t="s">
        <v>4446</v>
      </c>
      <c r="O1781" s="347" t="s">
        <v>4441</v>
      </c>
      <c r="P1781" s="347"/>
      <c r="Q1781" s="347" t="s">
        <v>4449</v>
      </c>
      <c r="R1781" s="347" t="s">
        <v>4450</v>
      </c>
      <c r="S1781" s="348">
        <v>35927</v>
      </c>
      <c r="T1781" s="348">
        <v>35927</v>
      </c>
      <c r="U1781" s="347"/>
      <c r="V1781" s="345">
        <v>1200</v>
      </c>
      <c r="W1781" s="345">
        <v>14050</v>
      </c>
      <c r="X1781" s="349">
        <v>9452.48</v>
      </c>
      <c r="Y1781" s="345">
        <v>14056</v>
      </c>
      <c r="Z1781" s="349">
        <v>9452.48</v>
      </c>
      <c r="AA1781" s="349">
        <f t="shared" si="112"/>
        <v>0</v>
      </c>
      <c r="AB1781" s="349">
        <v>0</v>
      </c>
      <c r="AC1781" s="345">
        <v>54260</v>
      </c>
      <c r="AD1781" s="349">
        <v>0</v>
      </c>
      <c r="AE1781" s="345" t="s">
        <v>410</v>
      </c>
      <c r="AF1781" s="347" t="s">
        <v>3044</v>
      </c>
      <c r="AG1781" s="347" t="s">
        <v>2206</v>
      </c>
      <c r="AH1781" s="347" t="s">
        <v>57</v>
      </c>
      <c r="AI1781" s="347" t="s">
        <v>4442</v>
      </c>
      <c r="AJ1781" s="347" t="s">
        <v>4443</v>
      </c>
      <c r="AK1781" s="347" t="s">
        <v>4437</v>
      </c>
      <c r="AL1781" s="387">
        <v>45574</v>
      </c>
    </row>
    <row r="1782" spans="2:38" ht="15.75" outlineLevel="1">
      <c r="B1782" s="345">
        <v>2111</v>
      </c>
      <c r="C1782" s="346">
        <v>6642</v>
      </c>
      <c r="D1782" s="345" t="s">
        <v>944</v>
      </c>
      <c r="E1782" s="347" t="s">
        <v>4240</v>
      </c>
      <c r="F1782" s="343" t="s">
        <v>2621</v>
      </c>
      <c r="I1782" s="345">
        <v>432</v>
      </c>
      <c r="J1782" s="347"/>
      <c r="K1782" s="345">
        <v>0</v>
      </c>
      <c r="L1782" s="347"/>
      <c r="M1782" s="347"/>
      <c r="N1782" s="347" t="s">
        <v>4446</v>
      </c>
      <c r="O1782" s="347" t="s">
        <v>4441</v>
      </c>
      <c r="P1782" s="347"/>
      <c r="Q1782" s="347"/>
      <c r="R1782" s="347"/>
      <c r="S1782" s="348">
        <v>35856</v>
      </c>
      <c r="T1782" s="348">
        <v>35856</v>
      </c>
      <c r="U1782" s="347"/>
      <c r="V1782" s="345">
        <v>500</v>
      </c>
      <c r="W1782" s="345">
        <v>14050</v>
      </c>
      <c r="X1782" s="349">
        <v>22711.97</v>
      </c>
      <c r="Y1782" s="345">
        <v>14056</v>
      </c>
      <c r="Z1782" s="349">
        <v>22711.97</v>
      </c>
      <c r="AA1782" s="349">
        <f t="shared" si="112"/>
        <v>0</v>
      </c>
      <c r="AB1782" s="349">
        <v>0</v>
      </c>
      <c r="AC1782" s="345">
        <v>54260</v>
      </c>
      <c r="AD1782" s="349">
        <v>0</v>
      </c>
      <c r="AE1782" s="345" t="s">
        <v>410</v>
      </c>
      <c r="AF1782" s="347" t="s">
        <v>3044</v>
      </c>
      <c r="AG1782" s="347" t="s">
        <v>2206</v>
      </c>
      <c r="AH1782" s="347" t="s">
        <v>57</v>
      </c>
      <c r="AI1782" s="347" t="s">
        <v>4442</v>
      </c>
      <c r="AJ1782" s="347" t="s">
        <v>4443</v>
      </c>
      <c r="AK1782" s="347" t="s">
        <v>4437</v>
      </c>
      <c r="AL1782" s="387">
        <v>45574</v>
      </c>
    </row>
    <row r="1783" spans="2:38" ht="15.75" outlineLevel="1">
      <c r="B1783" s="345">
        <v>2111</v>
      </c>
      <c r="C1783" s="346">
        <v>6640</v>
      </c>
      <c r="D1783" s="345" t="s">
        <v>944</v>
      </c>
      <c r="E1783" s="347" t="s">
        <v>4240</v>
      </c>
      <c r="F1783" s="343" t="s">
        <v>3917</v>
      </c>
      <c r="I1783" s="345">
        <v>4</v>
      </c>
      <c r="J1783" s="347"/>
      <c r="K1783" s="345">
        <v>0</v>
      </c>
      <c r="L1783" s="347"/>
      <c r="M1783" s="347"/>
      <c r="N1783" s="347" t="s">
        <v>4446</v>
      </c>
      <c r="O1783" s="347" t="s">
        <v>4441</v>
      </c>
      <c r="P1783" s="347"/>
      <c r="Q1783" s="347" t="s">
        <v>4447</v>
      </c>
      <c r="R1783" s="347" t="s">
        <v>4448</v>
      </c>
      <c r="S1783" s="348">
        <v>35662</v>
      </c>
      <c r="T1783" s="348">
        <v>35662</v>
      </c>
      <c r="U1783" s="347"/>
      <c r="V1783" s="345">
        <v>1200</v>
      </c>
      <c r="W1783" s="345">
        <v>14050</v>
      </c>
      <c r="X1783" s="349">
        <v>16728.29</v>
      </c>
      <c r="Y1783" s="345">
        <v>14056</v>
      </c>
      <c r="Z1783" s="349">
        <v>16728.29</v>
      </c>
      <c r="AA1783" s="349">
        <f t="shared" si="112"/>
        <v>0</v>
      </c>
      <c r="AB1783" s="349">
        <v>0</v>
      </c>
      <c r="AC1783" s="345">
        <v>54260</v>
      </c>
      <c r="AD1783" s="349">
        <v>0</v>
      </c>
      <c r="AE1783" s="345" t="s">
        <v>410</v>
      </c>
      <c r="AF1783" s="347" t="s">
        <v>3044</v>
      </c>
      <c r="AG1783" s="347" t="s">
        <v>2206</v>
      </c>
      <c r="AH1783" s="347" t="s">
        <v>57</v>
      </c>
      <c r="AI1783" s="347" t="s">
        <v>4442</v>
      </c>
      <c r="AJ1783" s="347" t="s">
        <v>4443</v>
      </c>
      <c r="AK1783" s="347" t="s">
        <v>4437</v>
      </c>
      <c r="AL1783" s="387">
        <v>45574</v>
      </c>
    </row>
    <row r="1784" spans="2:38" ht="15.75" outlineLevel="1">
      <c r="B1784" s="345">
        <v>2111</v>
      </c>
      <c r="C1784" s="346">
        <v>6639</v>
      </c>
      <c r="D1784" s="345" t="s">
        <v>944</v>
      </c>
      <c r="E1784" s="347" t="s">
        <v>4240</v>
      </c>
      <c r="F1784" s="343" t="s">
        <v>2618</v>
      </c>
      <c r="I1784" s="345">
        <v>6</v>
      </c>
      <c r="J1784" s="347"/>
      <c r="K1784" s="345">
        <v>0</v>
      </c>
      <c r="L1784" s="347"/>
      <c r="M1784" s="347"/>
      <c r="N1784" s="347" t="s">
        <v>4446</v>
      </c>
      <c r="O1784" s="347" t="s">
        <v>4441</v>
      </c>
      <c r="P1784" s="347"/>
      <c r="Q1784" s="347" t="s">
        <v>4447</v>
      </c>
      <c r="R1784" s="347" t="s">
        <v>4448</v>
      </c>
      <c r="S1784" s="348">
        <v>35643</v>
      </c>
      <c r="T1784" s="348">
        <v>35643</v>
      </c>
      <c r="U1784" s="347"/>
      <c r="V1784" s="345">
        <v>1200</v>
      </c>
      <c r="W1784" s="345">
        <v>14050</v>
      </c>
      <c r="X1784" s="349">
        <v>25092.42</v>
      </c>
      <c r="Y1784" s="345">
        <v>14056</v>
      </c>
      <c r="Z1784" s="349">
        <v>25092.42</v>
      </c>
      <c r="AA1784" s="349">
        <f t="shared" si="112"/>
        <v>0</v>
      </c>
      <c r="AB1784" s="349">
        <v>0</v>
      </c>
      <c r="AC1784" s="345">
        <v>54260</v>
      </c>
      <c r="AD1784" s="349">
        <v>0</v>
      </c>
      <c r="AE1784" s="345" t="s">
        <v>410</v>
      </c>
      <c r="AF1784" s="347" t="s">
        <v>3044</v>
      </c>
      <c r="AG1784" s="347" t="s">
        <v>2206</v>
      </c>
      <c r="AH1784" s="347" t="s">
        <v>57</v>
      </c>
      <c r="AI1784" s="347" t="s">
        <v>4442</v>
      </c>
      <c r="AJ1784" s="347" t="s">
        <v>4443</v>
      </c>
      <c r="AK1784" s="347" t="s">
        <v>4437</v>
      </c>
      <c r="AL1784" s="387">
        <v>45574</v>
      </c>
    </row>
    <row r="1785" spans="2:38" ht="15.75" outlineLevel="1">
      <c r="B1785" s="345">
        <v>2111</v>
      </c>
      <c r="C1785" s="346">
        <v>6637</v>
      </c>
      <c r="D1785" s="345" t="s">
        <v>944</v>
      </c>
      <c r="E1785" s="347" t="s">
        <v>4240</v>
      </c>
      <c r="F1785" s="343" t="s">
        <v>3916</v>
      </c>
      <c r="I1785" s="345">
        <v>12</v>
      </c>
      <c r="J1785" s="347"/>
      <c r="K1785" s="345">
        <v>0</v>
      </c>
      <c r="L1785" s="347"/>
      <c r="M1785" s="347"/>
      <c r="N1785" s="347" t="s">
        <v>4446</v>
      </c>
      <c r="O1785" s="347" t="s">
        <v>4441</v>
      </c>
      <c r="P1785" s="347"/>
      <c r="Q1785" s="347" t="s">
        <v>4449</v>
      </c>
      <c r="R1785" s="347" t="s">
        <v>4450</v>
      </c>
      <c r="S1785" s="348">
        <v>35642</v>
      </c>
      <c r="T1785" s="348">
        <v>35642</v>
      </c>
      <c r="U1785" s="347"/>
      <c r="V1785" s="345">
        <v>1200</v>
      </c>
      <c r="W1785" s="345">
        <v>14050</v>
      </c>
      <c r="X1785" s="349">
        <v>3350.34</v>
      </c>
      <c r="Y1785" s="345">
        <v>14056</v>
      </c>
      <c r="Z1785" s="349">
        <v>3350.34</v>
      </c>
      <c r="AA1785" s="349">
        <f t="shared" si="112"/>
        <v>0</v>
      </c>
      <c r="AB1785" s="349">
        <v>0</v>
      </c>
      <c r="AC1785" s="345">
        <v>54260</v>
      </c>
      <c r="AD1785" s="349">
        <v>0</v>
      </c>
      <c r="AE1785" s="345" t="s">
        <v>410</v>
      </c>
      <c r="AF1785" s="347" t="s">
        <v>3044</v>
      </c>
      <c r="AG1785" s="347" t="s">
        <v>2206</v>
      </c>
      <c r="AH1785" s="347" t="s">
        <v>57</v>
      </c>
      <c r="AI1785" s="347" t="s">
        <v>4442</v>
      </c>
      <c r="AJ1785" s="347" t="s">
        <v>4443</v>
      </c>
      <c r="AK1785" s="347" t="s">
        <v>4437</v>
      </c>
      <c r="AL1785" s="387">
        <v>45574</v>
      </c>
    </row>
    <row r="1786" spans="2:38" ht="15.75" outlineLevel="1">
      <c r="B1786" s="345">
        <v>2111</v>
      </c>
      <c r="C1786" s="346">
        <v>6635</v>
      </c>
      <c r="D1786" s="345" t="s">
        <v>944</v>
      </c>
      <c r="E1786" s="347" t="s">
        <v>4240</v>
      </c>
      <c r="F1786" s="343" t="s">
        <v>2621</v>
      </c>
      <c r="I1786" s="345">
        <v>720</v>
      </c>
      <c r="J1786" s="347"/>
      <c r="K1786" s="345">
        <v>0</v>
      </c>
      <c r="L1786" s="347"/>
      <c r="M1786" s="347"/>
      <c r="N1786" s="347" t="s">
        <v>4446</v>
      </c>
      <c r="O1786" s="347" t="s">
        <v>4441</v>
      </c>
      <c r="P1786" s="347"/>
      <c r="Q1786" s="347"/>
      <c r="R1786" s="347"/>
      <c r="S1786" s="348">
        <v>35606</v>
      </c>
      <c r="T1786" s="348">
        <v>35606</v>
      </c>
      <c r="U1786" s="347"/>
      <c r="V1786" s="345">
        <v>500</v>
      </c>
      <c r="W1786" s="345">
        <v>14050</v>
      </c>
      <c r="X1786" s="349">
        <v>17653.05</v>
      </c>
      <c r="Y1786" s="345">
        <v>14056</v>
      </c>
      <c r="Z1786" s="349">
        <v>17653.05</v>
      </c>
      <c r="AA1786" s="349">
        <f t="shared" si="112"/>
        <v>0</v>
      </c>
      <c r="AB1786" s="349">
        <v>0</v>
      </c>
      <c r="AC1786" s="345">
        <v>54260</v>
      </c>
      <c r="AD1786" s="349">
        <v>0</v>
      </c>
      <c r="AE1786" s="345" t="s">
        <v>410</v>
      </c>
      <c r="AF1786" s="347" t="s">
        <v>3044</v>
      </c>
      <c r="AG1786" s="347" t="s">
        <v>2206</v>
      </c>
      <c r="AH1786" s="347" t="s">
        <v>57</v>
      </c>
      <c r="AI1786" s="347" t="s">
        <v>4442</v>
      </c>
      <c r="AJ1786" s="347" t="s">
        <v>4443</v>
      </c>
      <c r="AK1786" s="347" t="s">
        <v>4437</v>
      </c>
      <c r="AL1786" s="387">
        <v>45574</v>
      </c>
    </row>
    <row r="1787" spans="2:38" ht="15.75" outlineLevel="1">
      <c r="B1787" s="345">
        <v>2111</v>
      </c>
      <c r="C1787" s="346">
        <v>6628</v>
      </c>
      <c r="D1787" s="345" t="s">
        <v>944</v>
      </c>
      <c r="E1787" s="347" t="s">
        <v>4240</v>
      </c>
      <c r="F1787" s="343" t="s">
        <v>2621</v>
      </c>
      <c r="I1787" s="345">
        <v>720</v>
      </c>
      <c r="J1787" s="347"/>
      <c r="K1787" s="345">
        <v>0</v>
      </c>
      <c r="L1787" s="347"/>
      <c r="M1787" s="347"/>
      <c r="N1787" s="347" t="s">
        <v>4446</v>
      </c>
      <c r="O1787" s="347" t="s">
        <v>4441</v>
      </c>
      <c r="P1787" s="347"/>
      <c r="Q1787" s="347"/>
      <c r="R1787" s="347"/>
      <c r="S1787" s="348">
        <v>35480</v>
      </c>
      <c r="T1787" s="348">
        <v>35480</v>
      </c>
      <c r="U1787" s="347"/>
      <c r="V1787" s="345">
        <v>500</v>
      </c>
      <c r="W1787" s="345">
        <v>14050</v>
      </c>
      <c r="X1787" s="349">
        <v>40397.760000000002</v>
      </c>
      <c r="Y1787" s="345">
        <v>14056</v>
      </c>
      <c r="Z1787" s="349">
        <v>40397.760000000002</v>
      </c>
      <c r="AA1787" s="349">
        <f t="shared" si="112"/>
        <v>0</v>
      </c>
      <c r="AB1787" s="349">
        <v>0</v>
      </c>
      <c r="AC1787" s="345">
        <v>54260</v>
      </c>
      <c r="AD1787" s="349">
        <v>0</v>
      </c>
      <c r="AE1787" s="345" t="s">
        <v>410</v>
      </c>
      <c r="AF1787" s="347" t="s">
        <v>3044</v>
      </c>
      <c r="AG1787" s="347" t="s">
        <v>2206</v>
      </c>
      <c r="AH1787" s="347" t="s">
        <v>57</v>
      </c>
      <c r="AI1787" s="347" t="s">
        <v>4442</v>
      </c>
      <c r="AJ1787" s="347" t="s">
        <v>4443</v>
      </c>
      <c r="AK1787" s="347" t="s">
        <v>4437</v>
      </c>
      <c r="AL1787" s="387">
        <v>45574</v>
      </c>
    </row>
    <row r="1788" spans="2:38" ht="15.75" outlineLevel="1">
      <c r="B1788" s="345">
        <v>2111</v>
      </c>
      <c r="C1788" s="346">
        <v>6623</v>
      </c>
      <c r="D1788" s="345" t="s">
        <v>944</v>
      </c>
      <c r="E1788" s="347" t="s">
        <v>4240</v>
      </c>
      <c r="F1788" s="343" t="s">
        <v>2625</v>
      </c>
      <c r="I1788" s="345">
        <v>24</v>
      </c>
      <c r="J1788" s="347"/>
      <c r="K1788" s="345">
        <v>0</v>
      </c>
      <c r="L1788" s="347"/>
      <c r="M1788" s="347"/>
      <c r="N1788" s="347" t="s">
        <v>4446</v>
      </c>
      <c r="O1788" s="347" t="s">
        <v>4441</v>
      </c>
      <c r="P1788" s="347"/>
      <c r="Q1788" s="347" t="s">
        <v>4449</v>
      </c>
      <c r="R1788" s="347" t="s">
        <v>4450</v>
      </c>
      <c r="S1788" s="348">
        <v>35299</v>
      </c>
      <c r="T1788" s="348">
        <v>35299</v>
      </c>
      <c r="U1788" s="347"/>
      <c r="V1788" s="345">
        <v>1200</v>
      </c>
      <c r="W1788" s="345">
        <v>14050</v>
      </c>
      <c r="X1788" s="349">
        <v>5988.99</v>
      </c>
      <c r="Y1788" s="345">
        <v>14056</v>
      </c>
      <c r="Z1788" s="349">
        <v>5988.99</v>
      </c>
      <c r="AA1788" s="349">
        <f t="shared" si="112"/>
        <v>0</v>
      </c>
      <c r="AB1788" s="349">
        <v>0</v>
      </c>
      <c r="AC1788" s="345">
        <v>54260</v>
      </c>
      <c r="AD1788" s="349">
        <v>0</v>
      </c>
      <c r="AE1788" s="345" t="s">
        <v>410</v>
      </c>
      <c r="AF1788" s="347" t="s">
        <v>3044</v>
      </c>
      <c r="AG1788" s="347" t="s">
        <v>2206</v>
      </c>
      <c r="AH1788" s="347" t="s">
        <v>57</v>
      </c>
      <c r="AI1788" s="347" t="s">
        <v>4442</v>
      </c>
      <c r="AJ1788" s="347" t="s">
        <v>4443</v>
      </c>
      <c r="AK1788" s="347" t="s">
        <v>4437</v>
      </c>
      <c r="AL1788" s="387">
        <v>45574</v>
      </c>
    </row>
    <row r="1789" spans="2:38" ht="15.75" outlineLevel="1">
      <c r="B1789" s="345">
        <v>2111</v>
      </c>
      <c r="C1789" s="346">
        <v>6622</v>
      </c>
      <c r="D1789" s="345" t="s">
        <v>944</v>
      </c>
      <c r="E1789" s="347" t="s">
        <v>4240</v>
      </c>
      <c r="F1789" s="343" t="s">
        <v>2621</v>
      </c>
      <c r="I1789" s="345">
        <v>360</v>
      </c>
      <c r="J1789" s="347"/>
      <c r="K1789" s="345">
        <v>0</v>
      </c>
      <c r="L1789" s="347"/>
      <c r="M1789" s="347"/>
      <c r="N1789" s="347" t="s">
        <v>4446</v>
      </c>
      <c r="O1789" s="347" t="s">
        <v>4441</v>
      </c>
      <c r="P1789" s="347"/>
      <c r="Q1789" s="347"/>
      <c r="R1789" s="347"/>
      <c r="S1789" s="348">
        <v>35202</v>
      </c>
      <c r="T1789" s="348">
        <v>35202</v>
      </c>
      <c r="U1789" s="347"/>
      <c r="V1789" s="345">
        <v>500</v>
      </c>
      <c r="W1789" s="345">
        <v>14050</v>
      </c>
      <c r="X1789" s="349">
        <v>20041.740000000002</v>
      </c>
      <c r="Y1789" s="345">
        <v>14056</v>
      </c>
      <c r="Z1789" s="349">
        <v>20041.740000000002</v>
      </c>
      <c r="AA1789" s="349">
        <f t="shared" si="112"/>
        <v>0</v>
      </c>
      <c r="AB1789" s="349">
        <v>0</v>
      </c>
      <c r="AC1789" s="345">
        <v>54260</v>
      </c>
      <c r="AD1789" s="349">
        <v>0</v>
      </c>
      <c r="AE1789" s="345" t="s">
        <v>410</v>
      </c>
      <c r="AF1789" s="347" t="s">
        <v>3044</v>
      </c>
      <c r="AG1789" s="347" t="s">
        <v>2206</v>
      </c>
      <c r="AH1789" s="347" t="s">
        <v>57</v>
      </c>
      <c r="AI1789" s="347" t="s">
        <v>4442</v>
      </c>
      <c r="AJ1789" s="347" t="s">
        <v>4443</v>
      </c>
      <c r="AK1789" s="347" t="s">
        <v>4437</v>
      </c>
      <c r="AL1789" s="387">
        <v>45574</v>
      </c>
    </row>
    <row r="1790" spans="2:38" ht="15.75" outlineLevel="1">
      <c r="B1790" s="345">
        <v>2111</v>
      </c>
      <c r="C1790" s="346">
        <v>6620</v>
      </c>
      <c r="D1790" s="345" t="s">
        <v>944</v>
      </c>
      <c r="E1790" s="347" t="s">
        <v>4240</v>
      </c>
      <c r="F1790" s="343" t="s">
        <v>2621</v>
      </c>
      <c r="I1790" s="345">
        <v>360</v>
      </c>
      <c r="J1790" s="347"/>
      <c r="K1790" s="345">
        <v>0</v>
      </c>
      <c r="L1790" s="347"/>
      <c r="M1790" s="347"/>
      <c r="N1790" s="347" t="s">
        <v>4446</v>
      </c>
      <c r="O1790" s="347" t="s">
        <v>4441</v>
      </c>
      <c r="P1790" s="347"/>
      <c r="Q1790" s="347"/>
      <c r="R1790" s="347"/>
      <c r="S1790" s="348">
        <v>35188</v>
      </c>
      <c r="T1790" s="348">
        <v>35188</v>
      </c>
      <c r="U1790" s="347"/>
      <c r="V1790" s="345">
        <v>500</v>
      </c>
      <c r="W1790" s="345">
        <v>14050</v>
      </c>
      <c r="X1790" s="349">
        <v>20004.66</v>
      </c>
      <c r="Y1790" s="345">
        <v>14056</v>
      </c>
      <c r="Z1790" s="349">
        <v>20004.66</v>
      </c>
      <c r="AA1790" s="349">
        <f t="shared" si="112"/>
        <v>0</v>
      </c>
      <c r="AB1790" s="349">
        <v>0</v>
      </c>
      <c r="AC1790" s="345">
        <v>54260</v>
      </c>
      <c r="AD1790" s="349">
        <v>0</v>
      </c>
      <c r="AE1790" s="345" t="s">
        <v>410</v>
      </c>
      <c r="AF1790" s="347" t="s">
        <v>3044</v>
      </c>
      <c r="AG1790" s="347" t="s">
        <v>2206</v>
      </c>
      <c r="AH1790" s="347" t="s">
        <v>57</v>
      </c>
      <c r="AI1790" s="347" t="s">
        <v>4442</v>
      </c>
      <c r="AJ1790" s="347" t="s">
        <v>4443</v>
      </c>
      <c r="AK1790" s="347" t="s">
        <v>4437</v>
      </c>
      <c r="AL1790" s="387">
        <v>45574</v>
      </c>
    </row>
    <row r="1791" spans="2:38" ht="15.75" outlineLevel="1">
      <c r="B1791" s="345">
        <v>2111</v>
      </c>
      <c r="C1791" s="346">
        <v>6619</v>
      </c>
      <c r="D1791" s="345" t="s">
        <v>944</v>
      </c>
      <c r="E1791" s="347" t="s">
        <v>4240</v>
      </c>
      <c r="F1791" s="343" t="s">
        <v>2621</v>
      </c>
      <c r="I1791" s="345">
        <v>360</v>
      </c>
      <c r="J1791" s="347"/>
      <c r="K1791" s="345">
        <v>0</v>
      </c>
      <c r="L1791" s="347"/>
      <c r="M1791" s="347"/>
      <c r="N1791" s="347" t="s">
        <v>4446</v>
      </c>
      <c r="O1791" s="347" t="s">
        <v>4441</v>
      </c>
      <c r="P1791" s="347"/>
      <c r="Q1791" s="347"/>
      <c r="R1791" s="347"/>
      <c r="S1791" s="348">
        <v>35167</v>
      </c>
      <c r="T1791" s="348">
        <v>35167</v>
      </c>
      <c r="U1791" s="347"/>
      <c r="V1791" s="345">
        <v>500</v>
      </c>
      <c r="W1791" s="345">
        <v>14050</v>
      </c>
      <c r="X1791" s="349">
        <v>20004.66</v>
      </c>
      <c r="Y1791" s="345">
        <v>14056</v>
      </c>
      <c r="Z1791" s="349">
        <v>20004.66</v>
      </c>
      <c r="AA1791" s="349">
        <f t="shared" si="112"/>
        <v>0</v>
      </c>
      <c r="AB1791" s="349">
        <v>0</v>
      </c>
      <c r="AC1791" s="345">
        <v>54260</v>
      </c>
      <c r="AD1791" s="349">
        <v>0</v>
      </c>
      <c r="AE1791" s="345" t="s">
        <v>410</v>
      </c>
      <c r="AF1791" s="347" t="s">
        <v>3044</v>
      </c>
      <c r="AG1791" s="347" t="s">
        <v>2206</v>
      </c>
      <c r="AH1791" s="347" t="s">
        <v>57</v>
      </c>
      <c r="AI1791" s="347" t="s">
        <v>4442</v>
      </c>
      <c r="AJ1791" s="347" t="s">
        <v>4443</v>
      </c>
      <c r="AK1791" s="347" t="s">
        <v>4437</v>
      </c>
      <c r="AL1791" s="387">
        <v>45574</v>
      </c>
    </row>
    <row r="1792" spans="2:38" ht="15.75" outlineLevel="1">
      <c r="B1792" s="345">
        <v>2111</v>
      </c>
      <c r="C1792" s="346">
        <v>6618</v>
      </c>
      <c r="D1792" s="345" t="s">
        <v>944</v>
      </c>
      <c r="E1792" s="347" t="s">
        <v>4240</v>
      </c>
      <c r="F1792" s="343" t="s">
        <v>2621</v>
      </c>
      <c r="I1792" s="345">
        <v>360</v>
      </c>
      <c r="J1792" s="347"/>
      <c r="K1792" s="345">
        <v>0</v>
      </c>
      <c r="L1792" s="347"/>
      <c r="M1792" s="347"/>
      <c r="N1792" s="347" t="s">
        <v>4446</v>
      </c>
      <c r="O1792" s="347" t="s">
        <v>4441</v>
      </c>
      <c r="P1792" s="347"/>
      <c r="Q1792" s="347"/>
      <c r="R1792" s="347"/>
      <c r="S1792" s="348">
        <v>35152</v>
      </c>
      <c r="T1792" s="348">
        <v>35152</v>
      </c>
      <c r="U1792" s="347"/>
      <c r="V1792" s="345">
        <v>500</v>
      </c>
      <c r="W1792" s="345">
        <v>14050</v>
      </c>
      <c r="X1792" s="349">
        <v>20004.66</v>
      </c>
      <c r="Y1792" s="345">
        <v>14056</v>
      </c>
      <c r="Z1792" s="349">
        <v>20004.66</v>
      </c>
      <c r="AA1792" s="349">
        <f t="shared" si="112"/>
        <v>0</v>
      </c>
      <c r="AB1792" s="349">
        <v>0</v>
      </c>
      <c r="AC1792" s="345">
        <v>54260</v>
      </c>
      <c r="AD1792" s="349">
        <v>0</v>
      </c>
      <c r="AE1792" s="345" t="s">
        <v>410</v>
      </c>
      <c r="AF1792" s="347" t="s">
        <v>3044</v>
      </c>
      <c r="AG1792" s="347" t="s">
        <v>2206</v>
      </c>
      <c r="AH1792" s="347" t="s">
        <v>57</v>
      </c>
      <c r="AI1792" s="347" t="s">
        <v>4442</v>
      </c>
      <c r="AJ1792" s="347" t="s">
        <v>4443</v>
      </c>
      <c r="AK1792" s="347" t="s">
        <v>4437</v>
      </c>
      <c r="AL1792" s="387">
        <v>45574</v>
      </c>
    </row>
    <row r="1793" spans="2:38" ht="15.75" outlineLevel="1">
      <c r="B1793" s="345">
        <v>2111</v>
      </c>
      <c r="C1793" s="346">
        <v>6617</v>
      </c>
      <c r="D1793" s="345" t="s">
        <v>944</v>
      </c>
      <c r="E1793" s="347" t="s">
        <v>4240</v>
      </c>
      <c r="F1793" s="343" t="s">
        <v>2621</v>
      </c>
      <c r="I1793" s="345">
        <v>360</v>
      </c>
      <c r="J1793" s="347"/>
      <c r="K1793" s="345">
        <v>0</v>
      </c>
      <c r="L1793" s="347"/>
      <c r="M1793" s="347"/>
      <c r="N1793" s="347" t="s">
        <v>4446</v>
      </c>
      <c r="O1793" s="347" t="s">
        <v>4441</v>
      </c>
      <c r="P1793" s="347"/>
      <c r="Q1793" s="347"/>
      <c r="R1793" s="347"/>
      <c r="S1793" s="348">
        <v>35150</v>
      </c>
      <c r="T1793" s="348">
        <v>35150</v>
      </c>
      <c r="U1793" s="347"/>
      <c r="V1793" s="345">
        <v>500</v>
      </c>
      <c r="W1793" s="345">
        <v>14050</v>
      </c>
      <c r="X1793" s="349">
        <v>20004.66</v>
      </c>
      <c r="Y1793" s="345">
        <v>14056</v>
      </c>
      <c r="Z1793" s="349">
        <v>20004.66</v>
      </c>
      <c r="AA1793" s="349">
        <f t="shared" si="112"/>
        <v>0</v>
      </c>
      <c r="AB1793" s="349">
        <v>0</v>
      </c>
      <c r="AC1793" s="345">
        <v>54260</v>
      </c>
      <c r="AD1793" s="349">
        <v>0</v>
      </c>
      <c r="AE1793" s="345" t="s">
        <v>410</v>
      </c>
      <c r="AF1793" s="347" t="s">
        <v>3044</v>
      </c>
      <c r="AG1793" s="347" t="s">
        <v>2206</v>
      </c>
      <c r="AH1793" s="347" t="s">
        <v>57</v>
      </c>
      <c r="AI1793" s="347" t="s">
        <v>4442</v>
      </c>
      <c r="AJ1793" s="347" t="s">
        <v>4443</v>
      </c>
      <c r="AK1793" s="347" t="s">
        <v>4437</v>
      </c>
      <c r="AL1793" s="387">
        <v>45574</v>
      </c>
    </row>
    <row r="1794" spans="2:38" ht="15.75" outlineLevel="1">
      <c r="B1794" s="345">
        <v>2111</v>
      </c>
      <c r="C1794" s="346">
        <v>6616</v>
      </c>
      <c r="D1794" s="345" t="s">
        <v>944</v>
      </c>
      <c r="E1794" s="347" t="s">
        <v>4240</v>
      </c>
      <c r="F1794" s="343" t="s">
        <v>3920</v>
      </c>
      <c r="I1794" s="345">
        <v>3</v>
      </c>
      <c r="J1794" s="347"/>
      <c r="K1794" s="345">
        <v>0</v>
      </c>
      <c r="L1794" s="347"/>
      <c r="M1794" s="347"/>
      <c r="N1794" s="347" t="s">
        <v>4446</v>
      </c>
      <c r="O1794" s="347" t="s">
        <v>4441</v>
      </c>
      <c r="P1794" s="347"/>
      <c r="Q1794" s="347" t="s">
        <v>4447</v>
      </c>
      <c r="R1794" s="347" t="s">
        <v>4448</v>
      </c>
      <c r="S1794" s="348">
        <v>35108</v>
      </c>
      <c r="T1794" s="348">
        <v>35108</v>
      </c>
      <c r="U1794" s="347"/>
      <c r="V1794" s="345">
        <v>1200</v>
      </c>
      <c r="W1794" s="345">
        <v>14050</v>
      </c>
      <c r="X1794" s="349">
        <v>11838.92</v>
      </c>
      <c r="Y1794" s="345">
        <v>14056</v>
      </c>
      <c r="Z1794" s="349">
        <v>11838.92</v>
      </c>
      <c r="AA1794" s="349">
        <f t="shared" si="112"/>
        <v>0</v>
      </c>
      <c r="AB1794" s="349">
        <v>0</v>
      </c>
      <c r="AC1794" s="345">
        <v>54260</v>
      </c>
      <c r="AD1794" s="349">
        <v>0</v>
      </c>
      <c r="AE1794" s="345" t="s">
        <v>410</v>
      </c>
      <c r="AF1794" s="347" t="s">
        <v>3044</v>
      </c>
      <c r="AG1794" s="347" t="s">
        <v>2206</v>
      </c>
      <c r="AH1794" s="347" t="s">
        <v>57</v>
      </c>
      <c r="AI1794" s="347" t="s">
        <v>4442</v>
      </c>
      <c r="AJ1794" s="347" t="s">
        <v>4443</v>
      </c>
      <c r="AK1794" s="347" t="s">
        <v>4437</v>
      </c>
      <c r="AL1794" s="387">
        <v>45574</v>
      </c>
    </row>
    <row r="1795" spans="2:38" ht="15.75" outlineLevel="1">
      <c r="B1795" s="345">
        <v>2111</v>
      </c>
      <c r="C1795" s="346">
        <v>6615</v>
      </c>
      <c r="D1795" s="345" t="s">
        <v>944</v>
      </c>
      <c r="E1795" s="347" t="s">
        <v>4240</v>
      </c>
      <c r="F1795" s="343" t="s">
        <v>2621</v>
      </c>
      <c r="I1795" s="345">
        <v>436</v>
      </c>
      <c r="J1795" s="347"/>
      <c r="K1795" s="345">
        <v>0</v>
      </c>
      <c r="L1795" s="347"/>
      <c r="M1795" s="347"/>
      <c r="N1795" s="347" t="s">
        <v>4446</v>
      </c>
      <c r="O1795" s="347" t="s">
        <v>4441</v>
      </c>
      <c r="P1795" s="347"/>
      <c r="Q1795" s="347"/>
      <c r="R1795" s="347"/>
      <c r="S1795" s="348">
        <v>34981</v>
      </c>
      <c r="T1795" s="348">
        <v>34981</v>
      </c>
      <c r="U1795" s="347"/>
      <c r="V1795" s="345">
        <v>500</v>
      </c>
      <c r="W1795" s="345">
        <v>14050</v>
      </c>
      <c r="X1795" s="349">
        <v>24933.53</v>
      </c>
      <c r="Y1795" s="345">
        <v>14056</v>
      </c>
      <c r="Z1795" s="349">
        <v>24933.53</v>
      </c>
      <c r="AA1795" s="349">
        <f t="shared" si="112"/>
        <v>0</v>
      </c>
      <c r="AB1795" s="349">
        <v>0</v>
      </c>
      <c r="AC1795" s="345">
        <v>54260</v>
      </c>
      <c r="AD1795" s="349">
        <v>0</v>
      </c>
      <c r="AE1795" s="345" t="s">
        <v>410</v>
      </c>
      <c r="AF1795" s="347" t="s">
        <v>3044</v>
      </c>
      <c r="AG1795" s="347" t="s">
        <v>2206</v>
      </c>
      <c r="AH1795" s="347" t="s">
        <v>57</v>
      </c>
      <c r="AI1795" s="347" t="s">
        <v>4442</v>
      </c>
      <c r="AJ1795" s="347" t="s">
        <v>4443</v>
      </c>
      <c r="AK1795" s="347" t="s">
        <v>4437</v>
      </c>
      <c r="AL1795" s="387">
        <v>45574</v>
      </c>
    </row>
    <row r="1796" spans="2:38" ht="15.75" outlineLevel="1">
      <c r="B1796" s="345">
        <v>2111</v>
      </c>
      <c r="C1796" s="346">
        <v>6614</v>
      </c>
      <c r="D1796" s="345" t="s">
        <v>944</v>
      </c>
      <c r="E1796" s="347" t="s">
        <v>4240</v>
      </c>
      <c r="F1796" s="343" t="s">
        <v>3921</v>
      </c>
      <c r="I1796" s="345">
        <v>4106</v>
      </c>
      <c r="J1796" s="347"/>
      <c r="K1796" s="345">
        <v>0</v>
      </c>
      <c r="L1796" s="347"/>
      <c r="M1796" s="347"/>
      <c r="N1796" s="347" t="s">
        <v>4446</v>
      </c>
      <c r="O1796" s="347" t="s">
        <v>4441</v>
      </c>
      <c r="P1796" s="347"/>
      <c r="Q1796" s="347"/>
      <c r="R1796" s="347"/>
      <c r="S1796" s="348">
        <v>34875</v>
      </c>
      <c r="T1796" s="348">
        <v>34875</v>
      </c>
      <c r="U1796" s="347"/>
      <c r="V1796" s="345">
        <v>500</v>
      </c>
      <c r="W1796" s="345">
        <v>14050</v>
      </c>
      <c r="X1796" s="349">
        <v>28204.3</v>
      </c>
      <c r="Y1796" s="345">
        <v>14056</v>
      </c>
      <c r="Z1796" s="349">
        <v>28204.3</v>
      </c>
      <c r="AA1796" s="349">
        <f t="shared" si="112"/>
        <v>0</v>
      </c>
      <c r="AB1796" s="349">
        <v>0</v>
      </c>
      <c r="AC1796" s="345">
        <v>54260</v>
      </c>
      <c r="AD1796" s="349">
        <v>0</v>
      </c>
      <c r="AE1796" s="345" t="s">
        <v>410</v>
      </c>
      <c r="AF1796" s="347" t="s">
        <v>3044</v>
      </c>
      <c r="AG1796" s="347" t="s">
        <v>2206</v>
      </c>
      <c r="AH1796" s="347" t="s">
        <v>57</v>
      </c>
      <c r="AI1796" s="347" t="s">
        <v>4442</v>
      </c>
      <c r="AJ1796" s="347" t="s">
        <v>4443</v>
      </c>
      <c r="AK1796" s="347" t="s">
        <v>4437</v>
      </c>
      <c r="AL1796" s="387">
        <v>45574</v>
      </c>
    </row>
    <row r="1797" spans="2:38" ht="15.75" outlineLevel="1">
      <c r="B1797" s="345">
        <v>2111</v>
      </c>
      <c r="C1797" s="346">
        <v>6611</v>
      </c>
      <c r="D1797" s="345" t="s">
        <v>944</v>
      </c>
      <c r="E1797" s="347" t="s">
        <v>4240</v>
      </c>
      <c r="F1797" s="343" t="s">
        <v>3916</v>
      </c>
      <c r="I1797" s="345">
        <v>9</v>
      </c>
      <c r="J1797" s="347"/>
      <c r="K1797" s="345">
        <v>0</v>
      </c>
      <c r="L1797" s="347"/>
      <c r="M1797" s="347"/>
      <c r="N1797" s="347" t="s">
        <v>4446</v>
      </c>
      <c r="O1797" s="347" t="s">
        <v>4441</v>
      </c>
      <c r="P1797" s="347"/>
      <c r="Q1797" s="347" t="s">
        <v>4449</v>
      </c>
      <c r="R1797" s="347" t="s">
        <v>4450</v>
      </c>
      <c r="S1797" s="348">
        <v>34853</v>
      </c>
      <c r="T1797" s="348">
        <v>34853</v>
      </c>
      <c r="U1797" s="347"/>
      <c r="V1797" s="345">
        <v>1200</v>
      </c>
      <c r="W1797" s="345">
        <v>14050</v>
      </c>
      <c r="X1797" s="349">
        <v>2330.64</v>
      </c>
      <c r="Y1797" s="345">
        <v>14056</v>
      </c>
      <c r="Z1797" s="349">
        <v>2330.64</v>
      </c>
      <c r="AA1797" s="349">
        <f t="shared" si="112"/>
        <v>0</v>
      </c>
      <c r="AB1797" s="349">
        <v>0</v>
      </c>
      <c r="AC1797" s="345">
        <v>54260</v>
      </c>
      <c r="AD1797" s="349">
        <v>0</v>
      </c>
      <c r="AE1797" s="345" t="s">
        <v>410</v>
      </c>
      <c r="AF1797" s="347" t="s">
        <v>3044</v>
      </c>
      <c r="AG1797" s="347" t="s">
        <v>2206</v>
      </c>
      <c r="AH1797" s="347" t="s">
        <v>57</v>
      </c>
      <c r="AI1797" s="347" t="s">
        <v>4442</v>
      </c>
      <c r="AJ1797" s="347" t="s">
        <v>4443</v>
      </c>
      <c r="AK1797" s="347" t="s">
        <v>4437</v>
      </c>
      <c r="AL1797" s="387">
        <v>45574</v>
      </c>
    </row>
    <row r="1798" spans="2:38" ht="15.75" outlineLevel="1">
      <c r="B1798" s="345">
        <v>2111</v>
      </c>
      <c r="C1798" s="346">
        <v>6609</v>
      </c>
      <c r="D1798" s="345" t="s">
        <v>944</v>
      </c>
      <c r="E1798" s="347" t="s">
        <v>4240</v>
      </c>
      <c r="F1798" s="343" t="s">
        <v>2621</v>
      </c>
      <c r="I1798" s="345">
        <v>40</v>
      </c>
      <c r="J1798" s="347"/>
      <c r="K1798" s="345">
        <v>0</v>
      </c>
      <c r="L1798" s="347"/>
      <c r="M1798" s="347"/>
      <c r="N1798" s="347" t="s">
        <v>4446</v>
      </c>
      <c r="O1798" s="347" t="s">
        <v>4441</v>
      </c>
      <c r="P1798" s="347"/>
      <c r="Q1798" s="347"/>
      <c r="R1798" s="347"/>
      <c r="S1798" s="348">
        <v>34785</v>
      </c>
      <c r="T1798" s="348">
        <v>34785</v>
      </c>
      <c r="U1798" s="347"/>
      <c r="V1798" s="345">
        <v>500</v>
      </c>
      <c r="W1798" s="345">
        <v>14050</v>
      </c>
      <c r="X1798" s="349">
        <v>2287.48</v>
      </c>
      <c r="Y1798" s="345">
        <v>14056</v>
      </c>
      <c r="Z1798" s="349">
        <v>2287.48</v>
      </c>
      <c r="AA1798" s="349">
        <f t="shared" si="112"/>
        <v>0</v>
      </c>
      <c r="AB1798" s="349">
        <v>0</v>
      </c>
      <c r="AC1798" s="345">
        <v>54260</v>
      </c>
      <c r="AD1798" s="349">
        <v>0</v>
      </c>
      <c r="AE1798" s="345" t="s">
        <v>410</v>
      </c>
      <c r="AF1798" s="347" t="s">
        <v>3044</v>
      </c>
      <c r="AG1798" s="347" t="s">
        <v>2206</v>
      </c>
      <c r="AH1798" s="347" t="s">
        <v>57</v>
      </c>
      <c r="AI1798" s="347" t="s">
        <v>4442</v>
      </c>
      <c r="AJ1798" s="347" t="s">
        <v>4443</v>
      </c>
      <c r="AK1798" s="347" t="s">
        <v>4437</v>
      </c>
      <c r="AL1798" s="387">
        <v>45574</v>
      </c>
    </row>
    <row r="1799" spans="2:38" ht="15.75" outlineLevel="1">
      <c r="B1799" s="345">
        <v>2111</v>
      </c>
      <c r="C1799" s="346">
        <v>6608</v>
      </c>
      <c r="D1799" s="345" t="s">
        <v>944</v>
      </c>
      <c r="E1799" s="347" t="s">
        <v>4240</v>
      </c>
      <c r="F1799" s="343" t="s">
        <v>2621</v>
      </c>
      <c r="I1799" s="345">
        <v>170</v>
      </c>
      <c r="J1799" s="347"/>
      <c r="K1799" s="345">
        <v>0</v>
      </c>
      <c r="L1799" s="347"/>
      <c r="M1799" s="347"/>
      <c r="N1799" s="347" t="s">
        <v>4446</v>
      </c>
      <c r="O1799" s="347" t="s">
        <v>4441</v>
      </c>
      <c r="P1799" s="347"/>
      <c r="Q1799" s="347"/>
      <c r="R1799" s="347"/>
      <c r="S1799" s="348">
        <v>34761</v>
      </c>
      <c r="T1799" s="348">
        <v>34761</v>
      </c>
      <c r="U1799" s="347"/>
      <c r="V1799" s="345">
        <v>500</v>
      </c>
      <c r="W1799" s="345">
        <v>14050</v>
      </c>
      <c r="X1799" s="349">
        <v>9721.7900000000009</v>
      </c>
      <c r="Y1799" s="345">
        <v>14056</v>
      </c>
      <c r="Z1799" s="349">
        <v>9721.7900000000009</v>
      </c>
      <c r="AA1799" s="349">
        <f t="shared" si="112"/>
        <v>0</v>
      </c>
      <c r="AB1799" s="349">
        <v>0</v>
      </c>
      <c r="AC1799" s="345">
        <v>54260</v>
      </c>
      <c r="AD1799" s="349">
        <v>0</v>
      </c>
      <c r="AE1799" s="345" t="s">
        <v>410</v>
      </c>
      <c r="AF1799" s="347" t="s">
        <v>3044</v>
      </c>
      <c r="AG1799" s="347" t="s">
        <v>2206</v>
      </c>
      <c r="AH1799" s="347" t="s">
        <v>57</v>
      </c>
      <c r="AI1799" s="347" t="s">
        <v>4442</v>
      </c>
      <c r="AJ1799" s="347" t="s">
        <v>4443</v>
      </c>
      <c r="AK1799" s="347" t="s">
        <v>4437</v>
      </c>
      <c r="AL1799" s="387">
        <v>45574</v>
      </c>
    </row>
    <row r="1800" spans="2:38" ht="15.75" outlineLevel="1">
      <c r="B1800" s="345">
        <v>2111</v>
      </c>
      <c r="C1800" s="346">
        <v>6598</v>
      </c>
      <c r="D1800" s="345" t="s">
        <v>944</v>
      </c>
      <c r="E1800" s="347" t="s">
        <v>4240</v>
      </c>
      <c r="F1800" s="343" t="s">
        <v>3924</v>
      </c>
      <c r="I1800" s="345">
        <v>100</v>
      </c>
      <c r="J1800" s="347"/>
      <c r="K1800" s="345">
        <v>0</v>
      </c>
      <c r="L1800" s="347"/>
      <c r="M1800" s="347"/>
      <c r="N1800" s="347" t="s">
        <v>4446</v>
      </c>
      <c r="O1800" s="347" t="s">
        <v>4441</v>
      </c>
      <c r="P1800" s="347"/>
      <c r="Q1800" s="347"/>
      <c r="R1800" s="347"/>
      <c r="S1800" s="348">
        <v>34324</v>
      </c>
      <c r="T1800" s="348">
        <v>34324</v>
      </c>
      <c r="U1800" s="347"/>
      <c r="V1800" s="345">
        <v>500</v>
      </c>
      <c r="W1800" s="345">
        <v>14050</v>
      </c>
      <c r="X1800" s="349">
        <v>5497.8</v>
      </c>
      <c r="Y1800" s="345">
        <v>14056</v>
      </c>
      <c r="Z1800" s="349">
        <v>5497.8</v>
      </c>
      <c r="AA1800" s="349">
        <f t="shared" si="112"/>
        <v>0</v>
      </c>
      <c r="AB1800" s="349">
        <v>0</v>
      </c>
      <c r="AC1800" s="345">
        <v>54260</v>
      </c>
      <c r="AD1800" s="349">
        <v>0</v>
      </c>
      <c r="AE1800" s="345" t="s">
        <v>410</v>
      </c>
      <c r="AF1800" s="347" t="s">
        <v>3044</v>
      </c>
      <c r="AG1800" s="347" t="s">
        <v>2206</v>
      </c>
      <c r="AH1800" s="347" t="s">
        <v>57</v>
      </c>
      <c r="AI1800" s="347" t="s">
        <v>4442</v>
      </c>
      <c r="AJ1800" s="347" t="s">
        <v>4443</v>
      </c>
      <c r="AK1800" s="347" t="s">
        <v>4437</v>
      </c>
      <c r="AL1800" s="387">
        <v>45574</v>
      </c>
    </row>
    <row r="1801" spans="2:38" ht="15.75" outlineLevel="1">
      <c r="B1801" s="345">
        <v>2111</v>
      </c>
      <c r="C1801" s="346">
        <v>6595</v>
      </c>
      <c r="D1801" s="345" t="s">
        <v>944</v>
      </c>
      <c r="E1801" s="347" t="s">
        <v>4240</v>
      </c>
      <c r="F1801" s="343" t="s">
        <v>3925</v>
      </c>
      <c r="I1801" s="345">
        <v>25</v>
      </c>
      <c r="J1801" s="347"/>
      <c r="K1801" s="345">
        <v>0</v>
      </c>
      <c r="L1801" s="347"/>
      <c r="M1801" s="347"/>
      <c r="N1801" s="347" t="s">
        <v>4446</v>
      </c>
      <c r="O1801" s="347" t="s">
        <v>4441</v>
      </c>
      <c r="P1801" s="347"/>
      <c r="Q1801" s="347"/>
      <c r="R1801" s="347"/>
      <c r="S1801" s="348">
        <v>34178</v>
      </c>
      <c r="T1801" s="348">
        <v>34178</v>
      </c>
      <c r="U1801" s="347"/>
      <c r="V1801" s="345">
        <v>500</v>
      </c>
      <c r="W1801" s="345">
        <v>14050</v>
      </c>
      <c r="X1801" s="349">
        <v>1391.75</v>
      </c>
      <c r="Y1801" s="345">
        <v>14056</v>
      </c>
      <c r="Z1801" s="349">
        <v>1391.75</v>
      </c>
      <c r="AA1801" s="349">
        <f t="shared" si="112"/>
        <v>0</v>
      </c>
      <c r="AB1801" s="349">
        <v>0</v>
      </c>
      <c r="AC1801" s="345">
        <v>54260</v>
      </c>
      <c r="AD1801" s="349">
        <v>0</v>
      </c>
      <c r="AE1801" s="345" t="s">
        <v>410</v>
      </c>
      <c r="AF1801" s="347" t="s">
        <v>3044</v>
      </c>
      <c r="AG1801" s="347" t="s">
        <v>2206</v>
      </c>
      <c r="AH1801" s="347" t="s">
        <v>57</v>
      </c>
      <c r="AI1801" s="347" t="s">
        <v>4442</v>
      </c>
      <c r="AJ1801" s="347" t="s">
        <v>4443</v>
      </c>
      <c r="AK1801" s="347" t="s">
        <v>4437</v>
      </c>
      <c r="AL1801" s="387">
        <v>45574</v>
      </c>
    </row>
    <row r="1802" spans="2:38" ht="15.75" outlineLevel="1">
      <c r="B1802" s="345">
        <v>2111</v>
      </c>
      <c r="C1802" s="346">
        <v>6561</v>
      </c>
      <c r="D1802" s="345" t="s">
        <v>944</v>
      </c>
      <c r="E1802" s="347" t="s">
        <v>4240</v>
      </c>
      <c r="F1802" s="343" t="s">
        <v>3926</v>
      </c>
      <c r="I1802" s="345">
        <v>1</v>
      </c>
      <c r="J1802" s="347" t="s">
        <v>3438</v>
      </c>
      <c r="K1802" s="345">
        <v>1999</v>
      </c>
      <c r="L1802" s="347" t="s">
        <v>2578</v>
      </c>
      <c r="M1802" s="347" t="s">
        <v>2214</v>
      </c>
      <c r="N1802" s="347" t="s">
        <v>4445</v>
      </c>
      <c r="O1802" s="347" t="s">
        <v>4441</v>
      </c>
      <c r="P1802" s="347" t="s">
        <v>1467</v>
      </c>
      <c r="Q1802" s="347"/>
      <c r="R1802" s="347"/>
      <c r="S1802" s="348">
        <v>36188</v>
      </c>
      <c r="T1802" s="348">
        <v>36188</v>
      </c>
      <c r="U1802" s="347"/>
      <c r="V1802" s="345">
        <v>500</v>
      </c>
      <c r="W1802" s="345">
        <v>14040</v>
      </c>
      <c r="X1802" s="349">
        <v>12192.54</v>
      </c>
      <c r="Y1802" s="345">
        <v>14046</v>
      </c>
      <c r="Z1802" s="349">
        <v>12192.54</v>
      </c>
      <c r="AA1802" s="349">
        <f t="shared" si="112"/>
        <v>0</v>
      </c>
      <c r="AB1802" s="349">
        <v>0</v>
      </c>
      <c r="AC1802" s="345">
        <v>51260</v>
      </c>
      <c r="AD1802" s="349">
        <v>0</v>
      </c>
      <c r="AE1802" s="345" t="s">
        <v>410</v>
      </c>
      <c r="AF1802" s="347" t="s">
        <v>3044</v>
      </c>
      <c r="AG1802" s="347" t="s">
        <v>2206</v>
      </c>
      <c r="AH1802" s="347" t="s">
        <v>57</v>
      </c>
      <c r="AI1802" s="347" t="s">
        <v>4442</v>
      </c>
      <c r="AJ1802" s="347" t="s">
        <v>4443</v>
      </c>
      <c r="AK1802" s="347" t="s">
        <v>4437</v>
      </c>
      <c r="AL1802" s="387">
        <v>45574</v>
      </c>
    </row>
    <row r="1803" spans="2:38" ht="15.75" outlineLevel="1">
      <c r="B1803" s="345">
        <v>2111</v>
      </c>
      <c r="C1803" s="346">
        <v>6547</v>
      </c>
      <c r="D1803" s="345" t="s">
        <v>944</v>
      </c>
      <c r="E1803" s="347" t="s">
        <v>4240</v>
      </c>
      <c r="F1803" s="343" t="s">
        <v>3927</v>
      </c>
      <c r="I1803" s="345">
        <v>1</v>
      </c>
      <c r="J1803" s="347"/>
      <c r="K1803" s="345">
        <v>0</v>
      </c>
      <c r="L1803" s="347"/>
      <c r="M1803" s="347"/>
      <c r="N1803" s="347" t="s">
        <v>4446</v>
      </c>
      <c r="O1803" s="347" t="s">
        <v>4441</v>
      </c>
      <c r="P1803" s="347"/>
      <c r="Q1803" s="347"/>
      <c r="R1803" s="347"/>
      <c r="S1803" s="348">
        <v>33836</v>
      </c>
      <c r="T1803" s="348">
        <v>33836</v>
      </c>
      <c r="U1803" s="347"/>
      <c r="V1803" s="345">
        <v>1200</v>
      </c>
      <c r="W1803" s="345">
        <v>14050</v>
      </c>
      <c r="X1803" s="349">
        <v>1112.17</v>
      </c>
      <c r="Y1803" s="345">
        <v>14056</v>
      </c>
      <c r="Z1803" s="349">
        <v>1112.17</v>
      </c>
      <c r="AA1803" s="349">
        <f t="shared" si="112"/>
        <v>0</v>
      </c>
      <c r="AB1803" s="349">
        <v>0</v>
      </c>
      <c r="AC1803" s="345">
        <v>54260</v>
      </c>
      <c r="AD1803" s="349">
        <v>0</v>
      </c>
      <c r="AE1803" s="345" t="s">
        <v>410</v>
      </c>
      <c r="AF1803" s="347" t="s">
        <v>3044</v>
      </c>
      <c r="AG1803" s="347" t="s">
        <v>2206</v>
      </c>
      <c r="AH1803" s="347" t="s">
        <v>57</v>
      </c>
      <c r="AI1803" s="347" t="s">
        <v>4442</v>
      </c>
      <c r="AJ1803" s="347" t="s">
        <v>4443</v>
      </c>
      <c r="AK1803" s="347" t="s">
        <v>4437</v>
      </c>
      <c r="AL1803" s="387">
        <v>45574</v>
      </c>
    </row>
    <row r="1804" spans="2:38" ht="15.75" outlineLevel="1">
      <c r="B1804" s="345">
        <v>2111</v>
      </c>
      <c r="C1804" s="346">
        <v>6546</v>
      </c>
      <c r="D1804" s="345" t="s">
        <v>944</v>
      </c>
      <c r="E1804" s="347" t="s">
        <v>4240</v>
      </c>
      <c r="F1804" s="343" t="s">
        <v>3928</v>
      </c>
      <c r="I1804" s="345">
        <v>3</v>
      </c>
      <c r="J1804" s="347"/>
      <c r="K1804" s="345">
        <v>0</v>
      </c>
      <c r="L1804" s="347"/>
      <c r="M1804" s="347"/>
      <c r="N1804" s="347" t="s">
        <v>4446</v>
      </c>
      <c r="O1804" s="347" t="s">
        <v>4441</v>
      </c>
      <c r="P1804" s="347"/>
      <c r="Q1804" s="347" t="s">
        <v>4447</v>
      </c>
      <c r="R1804" s="347" t="s">
        <v>4448</v>
      </c>
      <c r="S1804" s="348">
        <v>33822</v>
      </c>
      <c r="T1804" s="348">
        <v>33822</v>
      </c>
      <c r="U1804" s="347"/>
      <c r="V1804" s="345">
        <v>1200</v>
      </c>
      <c r="W1804" s="345">
        <v>14050</v>
      </c>
      <c r="X1804" s="349">
        <v>13129.82</v>
      </c>
      <c r="Y1804" s="345">
        <v>14056</v>
      </c>
      <c r="Z1804" s="349">
        <v>13129.82</v>
      </c>
      <c r="AA1804" s="349">
        <f t="shared" si="112"/>
        <v>0</v>
      </c>
      <c r="AB1804" s="349">
        <v>0</v>
      </c>
      <c r="AC1804" s="345">
        <v>54260</v>
      </c>
      <c r="AD1804" s="349">
        <v>0</v>
      </c>
      <c r="AE1804" s="345" t="s">
        <v>410</v>
      </c>
      <c r="AF1804" s="347" t="s">
        <v>3044</v>
      </c>
      <c r="AG1804" s="347" t="s">
        <v>2206</v>
      </c>
      <c r="AH1804" s="347" t="s">
        <v>57</v>
      </c>
      <c r="AI1804" s="347" t="s">
        <v>4442</v>
      </c>
      <c r="AJ1804" s="347" t="s">
        <v>4443</v>
      </c>
      <c r="AK1804" s="347" t="s">
        <v>4437</v>
      </c>
      <c r="AL1804" s="387">
        <v>45574</v>
      </c>
    </row>
    <row r="1805" spans="2:38" ht="15.75" outlineLevel="1">
      <c r="B1805" s="345">
        <v>2111</v>
      </c>
      <c r="C1805" s="346">
        <v>6534</v>
      </c>
      <c r="D1805" s="345" t="s">
        <v>944</v>
      </c>
      <c r="E1805" s="347" t="s">
        <v>4240</v>
      </c>
      <c r="F1805" s="343" t="s">
        <v>3929</v>
      </c>
      <c r="I1805" s="345">
        <v>1</v>
      </c>
      <c r="J1805" s="347"/>
      <c r="K1805" s="345">
        <v>0</v>
      </c>
      <c r="L1805" s="347"/>
      <c r="M1805" s="347"/>
      <c r="N1805" s="347" t="s">
        <v>4446</v>
      </c>
      <c r="O1805" s="347" t="s">
        <v>4441</v>
      </c>
      <c r="P1805" s="347"/>
      <c r="Q1805" s="347"/>
      <c r="R1805" s="347"/>
      <c r="S1805" s="348">
        <v>33333</v>
      </c>
      <c r="T1805" s="348">
        <v>33333</v>
      </c>
      <c r="U1805" s="347"/>
      <c r="V1805" s="345">
        <v>1200</v>
      </c>
      <c r="W1805" s="345">
        <v>14050</v>
      </c>
      <c r="X1805" s="349">
        <v>1783.75</v>
      </c>
      <c r="Y1805" s="345">
        <v>14056</v>
      </c>
      <c r="Z1805" s="349">
        <v>1783.75</v>
      </c>
      <c r="AA1805" s="349">
        <f t="shared" si="112"/>
        <v>0</v>
      </c>
      <c r="AB1805" s="349">
        <v>0</v>
      </c>
      <c r="AC1805" s="345">
        <v>54260</v>
      </c>
      <c r="AD1805" s="349">
        <v>0</v>
      </c>
      <c r="AE1805" s="345" t="s">
        <v>410</v>
      </c>
      <c r="AF1805" s="347" t="s">
        <v>3044</v>
      </c>
      <c r="AG1805" s="347" t="s">
        <v>2206</v>
      </c>
      <c r="AH1805" s="347" t="s">
        <v>57</v>
      </c>
      <c r="AI1805" s="347" t="s">
        <v>4442</v>
      </c>
      <c r="AJ1805" s="347" t="s">
        <v>4443</v>
      </c>
      <c r="AK1805" s="347" t="s">
        <v>4437</v>
      </c>
      <c r="AL1805" s="387">
        <v>45574</v>
      </c>
    </row>
    <row r="1806" spans="2:38" ht="15.75" outlineLevel="1">
      <c r="B1806" s="345">
        <v>2111</v>
      </c>
      <c r="C1806" s="346">
        <v>6510</v>
      </c>
      <c r="D1806" s="345" t="s">
        <v>944</v>
      </c>
      <c r="E1806" s="347" t="s">
        <v>4240</v>
      </c>
      <c r="F1806" s="343" t="s">
        <v>1666</v>
      </c>
      <c r="I1806" s="345">
        <v>1</v>
      </c>
      <c r="J1806" s="347"/>
      <c r="K1806" s="345">
        <v>0</v>
      </c>
      <c r="L1806" s="347"/>
      <c r="M1806" s="347"/>
      <c r="N1806" s="347" t="s">
        <v>4446</v>
      </c>
      <c r="O1806" s="347" t="s">
        <v>4441</v>
      </c>
      <c r="P1806" s="347"/>
      <c r="Q1806" s="347" t="s">
        <v>4447</v>
      </c>
      <c r="R1806" s="347" t="s">
        <v>4448</v>
      </c>
      <c r="S1806" s="348">
        <v>32617</v>
      </c>
      <c r="T1806" s="348">
        <v>32617</v>
      </c>
      <c r="U1806" s="347"/>
      <c r="V1806" s="345">
        <v>1200</v>
      </c>
      <c r="W1806" s="345">
        <v>14050</v>
      </c>
      <c r="X1806" s="349">
        <v>3412.3</v>
      </c>
      <c r="Y1806" s="345">
        <v>14056</v>
      </c>
      <c r="Z1806" s="349">
        <v>3412.3</v>
      </c>
      <c r="AA1806" s="349">
        <f t="shared" si="112"/>
        <v>0</v>
      </c>
      <c r="AB1806" s="349">
        <v>0</v>
      </c>
      <c r="AC1806" s="345">
        <v>54260</v>
      </c>
      <c r="AD1806" s="349">
        <v>0</v>
      </c>
      <c r="AE1806" s="345" t="s">
        <v>410</v>
      </c>
      <c r="AF1806" s="347" t="s">
        <v>3044</v>
      </c>
      <c r="AG1806" s="347" t="s">
        <v>2206</v>
      </c>
      <c r="AH1806" s="347" t="s">
        <v>57</v>
      </c>
      <c r="AI1806" s="347" t="s">
        <v>4442</v>
      </c>
      <c r="AJ1806" s="347" t="s">
        <v>4443</v>
      </c>
      <c r="AK1806" s="347" t="s">
        <v>4437</v>
      </c>
      <c r="AL1806" s="387">
        <v>45574</v>
      </c>
    </row>
    <row r="1807" spans="2:38" ht="15.75" outlineLevel="1">
      <c r="B1807" s="345">
        <v>2111</v>
      </c>
      <c r="C1807" s="346">
        <v>6475</v>
      </c>
      <c r="D1807" s="345" t="s">
        <v>944</v>
      </c>
      <c r="E1807" s="347" t="s">
        <v>4240</v>
      </c>
      <c r="F1807" s="343" t="s">
        <v>3930</v>
      </c>
      <c r="I1807" s="345">
        <v>1</v>
      </c>
      <c r="J1807" s="347" t="s">
        <v>3914</v>
      </c>
      <c r="K1807" s="345">
        <v>1994</v>
      </c>
      <c r="L1807" s="347" t="s">
        <v>2578</v>
      </c>
      <c r="M1807" s="347" t="s">
        <v>2214</v>
      </c>
      <c r="N1807" s="347" t="s">
        <v>4445</v>
      </c>
      <c r="O1807" s="347" t="s">
        <v>4441</v>
      </c>
      <c r="P1807" s="347" t="s">
        <v>1467</v>
      </c>
      <c r="Q1807" s="347"/>
      <c r="R1807" s="347"/>
      <c r="S1807" s="348">
        <v>34402</v>
      </c>
      <c r="T1807" s="348">
        <v>34402</v>
      </c>
      <c r="U1807" s="347"/>
      <c r="V1807" s="345">
        <v>500</v>
      </c>
      <c r="W1807" s="345">
        <v>14040</v>
      </c>
      <c r="X1807" s="349">
        <v>18461.689999999999</v>
      </c>
      <c r="Y1807" s="345">
        <v>14046</v>
      </c>
      <c r="Z1807" s="349">
        <v>18461.689999999999</v>
      </c>
      <c r="AA1807" s="349">
        <f t="shared" si="112"/>
        <v>0</v>
      </c>
      <c r="AB1807" s="349">
        <v>0</v>
      </c>
      <c r="AC1807" s="345">
        <v>51260</v>
      </c>
      <c r="AD1807" s="349">
        <v>0</v>
      </c>
      <c r="AE1807" s="345" t="s">
        <v>410</v>
      </c>
      <c r="AF1807" s="347" t="s">
        <v>3044</v>
      </c>
      <c r="AG1807" s="347" t="s">
        <v>751</v>
      </c>
      <c r="AH1807" s="347" t="s">
        <v>57</v>
      </c>
      <c r="AI1807" s="347" t="s">
        <v>4442</v>
      </c>
      <c r="AJ1807" s="347" t="s">
        <v>4443</v>
      </c>
      <c r="AK1807" s="347" t="s">
        <v>4437</v>
      </c>
      <c r="AL1807" s="387">
        <v>45574</v>
      </c>
    </row>
    <row r="1808" spans="2:38" ht="15.75" outlineLevel="1">
      <c r="B1808" s="345">
        <v>2111</v>
      </c>
      <c r="C1808" s="346">
        <v>6419</v>
      </c>
      <c r="D1808" s="345" t="s">
        <v>944</v>
      </c>
      <c r="E1808" s="347" t="s">
        <v>4240</v>
      </c>
      <c r="F1808" s="343" t="s">
        <v>3931</v>
      </c>
      <c r="I1808" s="345">
        <v>1</v>
      </c>
      <c r="J1808" s="347"/>
      <c r="K1808" s="345">
        <v>0</v>
      </c>
      <c r="L1808" s="347"/>
      <c r="M1808" s="347"/>
      <c r="N1808" s="347" t="s">
        <v>4444</v>
      </c>
      <c r="O1808" s="347" t="s">
        <v>4444</v>
      </c>
      <c r="P1808" s="347"/>
      <c r="Q1808" s="347"/>
      <c r="R1808" s="347"/>
      <c r="S1808" s="348">
        <v>36160</v>
      </c>
      <c r="T1808" s="348">
        <v>36160</v>
      </c>
      <c r="U1808" s="347"/>
      <c r="V1808" s="345">
        <v>0</v>
      </c>
      <c r="W1808" s="345">
        <v>14000</v>
      </c>
      <c r="X1808" s="349">
        <v>503582.97</v>
      </c>
      <c r="Y1808" s="345">
        <v>14016</v>
      </c>
      <c r="Z1808" s="349">
        <v>0</v>
      </c>
      <c r="AA1808" s="349">
        <f t="shared" si="112"/>
        <v>503582.97</v>
      </c>
      <c r="AB1808" s="349">
        <v>0</v>
      </c>
      <c r="AC1808" s="345">
        <v>57260</v>
      </c>
      <c r="AD1808" s="349">
        <v>0</v>
      </c>
      <c r="AE1808" s="345" t="s">
        <v>410</v>
      </c>
      <c r="AF1808" s="347" t="s">
        <v>3044</v>
      </c>
      <c r="AG1808" s="347" t="s">
        <v>2206</v>
      </c>
      <c r="AH1808" s="347" t="s">
        <v>57</v>
      </c>
      <c r="AI1808" s="347" t="s">
        <v>4442</v>
      </c>
      <c r="AJ1808" s="347" t="s">
        <v>1660</v>
      </c>
      <c r="AK1808" s="347" t="s">
        <v>4437</v>
      </c>
      <c r="AL1808" s="387">
        <v>45574</v>
      </c>
    </row>
    <row r="1809" spans="2:38" ht="15.75" outlineLevel="1">
      <c r="B1809" s="345">
        <v>2111</v>
      </c>
      <c r="C1809" s="346">
        <v>4235</v>
      </c>
      <c r="D1809" s="345" t="s">
        <v>944</v>
      </c>
      <c r="E1809" s="347" t="s">
        <v>4240</v>
      </c>
      <c r="F1809" s="343" t="s">
        <v>3932</v>
      </c>
      <c r="I1809" s="345">
        <v>1</v>
      </c>
      <c r="J1809" s="347"/>
      <c r="K1809" s="345">
        <v>0</v>
      </c>
      <c r="L1809" s="347" t="s">
        <v>2954</v>
      </c>
      <c r="M1809" s="347"/>
      <c r="N1809" s="347" t="s">
        <v>4440</v>
      </c>
      <c r="O1809" s="347" t="s">
        <v>4441</v>
      </c>
      <c r="P1809" s="347"/>
      <c r="Q1809" s="347"/>
      <c r="R1809" s="347"/>
      <c r="S1809" s="348">
        <v>36525</v>
      </c>
      <c r="T1809" s="348">
        <v>36525</v>
      </c>
      <c r="U1809" s="347"/>
      <c r="V1809" s="345">
        <v>700</v>
      </c>
      <c r="W1809" s="345">
        <v>14110</v>
      </c>
      <c r="X1809" s="349">
        <v>159.47</v>
      </c>
      <c r="Y1809" s="345">
        <v>14116</v>
      </c>
      <c r="Z1809" s="349">
        <v>159.47</v>
      </c>
      <c r="AA1809" s="349">
        <f t="shared" si="112"/>
        <v>0</v>
      </c>
      <c r="AB1809" s="349">
        <v>0</v>
      </c>
      <c r="AC1809" s="345">
        <v>70260</v>
      </c>
      <c r="AD1809" s="349">
        <v>0</v>
      </c>
      <c r="AE1809" s="345" t="s">
        <v>944</v>
      </c>
      <c r="AF1809" s="347"/>
      <c r="AG1809" s="347"/>
      <c r="AH1809" s="347" t="s">
        <v>57</v>
      </c>
      <c r="AI1809" s="347" t="s">
        <v>4442</v>
      </c>
      <c r="AJ1809" s="347" t="s">
        <v>4443</v>
      </c>
      <c r="AK1809" s="347" t="s">
        <v>4437</v>
      </c>
      <c r="AL1809" s="387">
        <v>45574</v>
      </c>
    </row>
    <row r="1811" spans="2:38">
      <c r="V1811" s="343">
        <f>AVERAGE(V73:V73)</f>
        <v>300</v>
      </c>
      <c r="X1811" s="343">
        <f>SUBTOTAL(9,X73:X73)</f>
        <v>20113.73</v>
      </c>
    </row>
    <row r="1812" spans="2:38">
      <c r="V1812" s="343">
        <f>+V1811/100</f>
        <v>3</v>
      </c>
      <c r="X1812" s="390">
        <f>+X1811/V1812</f>
        <v>6704.5766666666668</v>
      </c>
    </row>
    <row r="1813" spans="2:38">
      <c r="X1813" s="343">
        <f>SUBTOTAL(9,AT73:AT73)</f>
        <v>6704.5766666666668</v>
      </c>
    </row>
    <row r="1814" spans="2:38">
      <c r="X1814" s="391">
        <f>+X1812-X1813</f>
        <v>0</v>
      </c>
    </row>
  </sheetData>
  <autoFilter ref="B16:AX1809" xr:uid="{5BAF5525-0512-4D44-9321-C9D39AAB01B1}"/>
  <mergeCells count="3">
    <mergeCell ref="C13:D13"/>
    <mergeCell ref="C14:D14"/>
    <mergeCell ref="C15:D15"/>
  </mergeCells>
  <conditionalFormatting sqref="C1:C1048576">
    <cfRule type="duplicateValues" dxfId="12" priority="1"/>
  </conditionalFormatting>
  <dataValidations count="4">
    <dataValidation type="list" allowBlank="1" showInputMessage="1" showErrorMessage="1" sqref="G15" xr:uid="{EAC7E9A1-8E4B-4B2D-B26F-A358E7F60D49}">
      <formula1>"No, Yes"</formula1>
    </dataValidation>
    <dataValidation type="list" allowBlank="1" showInputMessage="1" showErrorMessage="1" sqref="G13" xr:uid="{3F66577F-A6D6-4B8C-B1FA-3ECF391CE5AC}">
      <formula1>"Capitalized"</formula1>
    </dataValidation>
    <dataValidation type="list" allowBlank="1" showInputMessage="1" showErrorMessage="1" sqref="G14" xr:uid="{A312B752-255C-48B9-B74B-57C791FF48C5}">
      <formula1>"P,C,All"</formula1>
    </dataValidation>
    <dataValidation type="list" allowBlank="1" showInputMessage="1" showErrorMessage="1" sqref="AM406 AM123:AM127 AM113 AM134:AM139 AM94 AM91 AM77:AM89 AM73 AM201 AM196 AM359 AM176:AM179 AM96:AM105" xr:uid="{18FAAD86-505A-40CC-9713-3CFC2EDB2FE0}">
      <formula1>$BA$74:$BA$102</formula1>
    </dataValidation>
  </dataValidations>
  <pageMargins left="0.75" right="0.75" top="1" bottom="1" header="0.5" footer="0.5"/>
  <pageSetup scale="50" fitToWidth="2"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34177-3664-43F7-806C-9C38103D1231}">
  <dimension ref="A1:BH57"/>
  <sheetViews>
    <sheetView tabSelected="1" view="pageBreakPreview" topLeftCell="P22" zoomScale="60" zoomScaleNormal="100" workbookViewId="0">
      <selection activeCell="H4" sqref="H4:H6"/>
    </sheetView>
  </sheetViews>
  <sheetFormatPr defaultRowHeight="15" outlineLevelRow="1" outlineLevelCol="1"/>
  <cols>
    <col min="1" max="2" width="8.88671875" style="416"/>
    <col min="3" max="3" width="9.44140625" style="416" customWidth="1"/>
    <col min="4" max="4" width="1.109375" style="416" customWidth="1"/>
    <col min="5" max="5" width="8.109375" style="416" customWidth="1"/>
    <col min="6" max="8" width="6" style="416" customWidth="1"/>
    <col min="9" max="9" width="21.5546875" style="416" customWidth="1"/>
    <col min="10" max="11" width="35.5546875" style="416" customWidth="1" outlineLevel="1"/>
    <col min="12" max="12" width="2.21875" style="416" customWidth="1"/>
    <col min="13" max="15" width="20" style="416" customWidth="1"/>
    <col min="16" max="16" width="4.44140625" style="416" customWidth="1"/>
    <col min="17" max="17" width="4.33203125" style="416" customWidth="1"/>
    <col min="18" max="18" width="4" style="416" customWidth="1"/>
    <col min="19" max="19" width="8.88671875" style="416"/>
    <col min="20" max="20" width="9.109375" style="416" customWidth="1" outlineLevel="1"/>
    <col min="21" max="21" width="19" style="416" bestFit="1" customWidth="1" outlineLevel="1"/>
    <col min="22" max="22" width="17.5546875" style="416" bestFit="1" customWidth="1" outlineLevel="1"/>
    <col min="23" max="23" width="9.109375" style="416" customWidth="1" outlineLevel="1"/>
    <col min="24" max="24" width="20" style="416" bestFit="1" customWidth="1" outlineLevel="1"/>
    <col min="25" max="25" width="9.109375" style="416" customWidth="1" outlineLevel="1"/>
    <col min="26" max="26" width="10.109375" style="416" bestFit="1" customWidth="1" outlineLevel="1"/>
    <col min="27" max="27" width="9.109375" style="416" customWidth="1" outlineLevel="1"/>
    <col min="28" max="29" width="9.88671875" style="416" bestFit="1" customWidth="1" outlineLevel="1"/>
    <col min="30" max="30" width="9.109375" style="416" customWidth="1" outlineLevel="1"/>
    <col min="31" max="31" width="10.33203125" style="416" bestFit="1" customWidth="1" outlineLevel="1"/>
    <col min="32" max="32" width="0.5546875" style="416" customWidth="1" outlineLevel="1"/>
    <col min="33" max="33" width="11.21875" style="416" bestFit="1" customWidth="1"/>
    <col min="34" max="34" width="0.6640625" style="416" customWidth="1"/>
    <col min="35" max="35" width="7.109375" style="416" customWidth="1" outlineLevel="1"/>
    <col min="36" max="36" width="32.77734375" style="416" customWidth="1" outlineLevel="1"/>
    <col min="37" max="37" width="36.109375" style="416" customWidth="1" outlineLevel="1"/>
    <col min="38" max="39" width="7.109375" style="416" customWidth="1" outlineLevel="1"/>
    <col min="40" max="40" width="2.109375" style="416" customWidth="1"/>
    <col min="41" max="41" width="20.77734375" style="416" customWidth="1"/>
    <col min="42" max="42" width="1.109375" style="416" customWidth="1"/>
    <col min="43" max="43" width="45.109375" style="416" customWidth="1"/>
    <col min="44" max="45" width="8.88671875" style="416"/>
    <col min="46" max="46" width="38.33203125" style="416" customWidth="1"/>
    <col min="47" max="47" width="5.33203125" style="416" customWidth="1"/>
    <col min="48" max="48" width="1.109375" style="416" customWidth="1"/>
    <col min="49" max="49" width="10.109375" style="416" bestFit="1" customWidth="1"/>
    <col min="50" max="50" width="6" style="416" customWidth="1"/>
    <col min="51" max="51" width="1" style="416" customWidth="1"/>
    <col min="52" max="52" width="16" style="416" customWidth="1"/>
    <col min="53" max="53" width="15.109375" style="416" bestFit="1" customWidth="1"/>
    <col min="54" max="54" width="5.33203125" style="416" customWidth="1"/>
    <col min="55" max="55" width="1.109375" style="416" customWidth="1"/>
    <col min="56" max="56" width="9.88671875" style="416" customWidth="1"/>
    <col min="57" max="57" width="13" style="416" customWidth="1"/>
    <col min="58" max="59" width="9.88671875" style="416" customWidth="1"/>
    <col min="60" max="16384" width="8.88671875" style="416"/>
  </cols>
  <sheetData>
    <row r="1" spans="1:60" s="415" customFormat="1" hidden="1" outlineLevel="1">
      <c r="D1" s="415" t="s">
        <v>4698</v>
      </c>
      <c r="AV1" s="416"/>
      <c r="AY1" s="416"/>
      <c r="BC1" s="416"/>
    </row>
    <row r="2" spans="1:60" hidden="1" outlineLevel="1">
      <c r="C2" s="417"/>
      <c r="D2" s="418"/>
      <c r="E2" s="417"/>
      <c r="F2" s="417"/>
      <c r="G2" s="417"/>
      <c r="H2" s="417"/>
      <c r="I2" s="419"/>
      <c r="J2" s="419"/>
      <c r="K2" s="419"/>
      <c r="M2" s="417"/>
      <c r="N2" s="417"/>
      <c r="O2" s="417"/>
      <c r="P2" s="417"/>
      <c r="Q2" s="417"/>
      <c r="R2" s="417"/>
      <c r="S2" s="417" t="s">
        <v>4699</v>
      </c>
      <c r="T2" s="417"/>
      <c r="U2" s="417"/>
      <c r="V2" s="417"/>
      <c r="W2" s="417"/>
      <c r="X2" s="417"/>
      <c r="Y2" s="417"/>
      <c r="Z2" s="417"/>
      <c r="AA2" s="417"/>
      <c r="AB2" s="417"/>
      <c r="AC2" s="417"/>
      <c r="AD2" s="417"/>
      <c r="AE2" s="417"/>
      <c r="AI2" s="417"/>
      <c r="AJ2" s="417"/>
      <c r="AK2" s="417"/>
      <c r="AL2" s="417"/>
      <c r="AM2" s="417"/>
      <c r="AO2" s="417"/>
      <c r="AQ2" s="417"/>
    </row>
    <row r="3" spans="1:60" hidden="1" outlineLevel="1">
      <c r="A3" s="416" t="s">
        <v>4700</v>
      </c>
      <c r="B3" s="416" t="s">
        <v>4701</v>
      </c>
      <c r="C3" s="417" t="s">
        <v>4702</v>
      </c>
      <c r="D3" s="418"/>
      <c r="E3" s="417" t="s">
        <v>4703</v>
      </c>
      <c r="F3" s="417" t="s">
        <v>4704</v>
      </c>
      <c r="G3" s="417" t="s">
        <v>4705</v>
      </c>
      <c r="H3" s="417" t="s">
        <v>4706</v>
      </c>
      <c r="I3" s="419" t="s">
        <v>4707</v>
      </c>
      <c r="J3" s="419" t="s">
        <v>4708</v>
      </c>
      <c r="K3" s="419" t="s">
        <v>4709</v>
      </c>
      <c r="M3" s="417" t="s">
        <v>4161</v>
      </c>
      <c r="N3" s="417" t="s">
        <v>4710</v>
      </c>
      <c r="O3" s="417"/>
      <c r="P3" s="417" t="s">
        <v>601</v>
      </c>
      <c r="Q3" s="417" t="s">
        <v>4711</v>
      </c>
      <c r="R3" s="417" t="s">
        <v>4712</v>
      </c>
      <c r="S3" s="417" t="s">
        <v>4713</v>
      </c>
      <c r="T3" s="417" t="s">
        <v>4714</v>
      </c>
      <c r="U3" s="417" t="s">
        <v>4715</v>
      </c>
      <c r="V3" s="417" t="s">
        <v>4716</v>
      </c>
      <c r="W3" s="417" t="s">
        <v>4717</v>
      </c>
      <c r="X3" s="417" t="s">
        <v>4718</v>
      </c>
      <c r="Y3" s="417" t="s">
        <v>4719</v>
      </c>
      <c r="Z3" s="417" t="s">
        <v>4720</v>
      </c>
      <c r="AA3" s="417" t="s">
        <v>4721</v>
      </c>
      <c r="AB3" s="417" t="s">
        <v>4722</v>
      </c>
      <c r="AC3" s="417" t="s">
        <v>4723</v>
      </c>
      <c r="AD3" s="417" t="s">
        <v>4724</v>
      </c>
      <c r="AE3" s="417" t="s">
        <v>4725</v>
      </c>
      <c r="AI3" s="417" t="s">
        <v>4726</v>
      </c>
      <c r="AJ3" s="417"/>
      <c r="AK3" s="417" t="s">
        <v>4727</v>
      </c>
      <c r="AL3" s="417" t="s">
        <v>4728</v>
      </c>
      <c r="AM3" s="417" t="s">
        <v>4729</v>
      </c>
      <c r="AO3" s="417" t="s">
        <v>4730</v>
      </c>
      <c r="AQ3" s="417"/>
    </row>
    <row r="4" spans="1:60" hidden="1" outlineLevel="1">
      <c r="C4" s="416" t="s">
        <v>4701</v>
      </c>
      <c r="D4" s="418"/>
      <c r="E4" s="417"/>
      <c r="F4" s="417"/>
      <c r="G4" s="417"/>
      <c r="H4" s="417" t="s">
        <v>4706</v>
      </c>
      <c r="I4" s="419"/>
      <c r="J4" s="419"/>
      <c r="K4" s="419"/>
      <c r="M4" s="417"/>
      <c r="N4" s="417"/>
      <c r="O4" s="417"/>
      <c r="P4" s="417"/>
      <c r="Q4" s="417"/>
      <c r="R4" s="417"/>
      <c r="S4" s="417"/>
      <c r="T4" s="417"/>
      <c r="U4" s="417"/>
      <c r="V4" s="417"/>
      <c r="W4" s="417"/>
      <c r="X4" s="417"/>
      <c r="Y4" s="417"/>
      <c r="Z4" s="417"/>
      <c r="AA4" s="417"/>
      <c r="AB4" s="417"/>
      <c r="AC4" s="417"/>
      <c r="AD4" s="417"/>
      <c r="AE4" s="417"/>
      <c r="AI4" s="417"/>
      <c r="AJ4" s="417"/>
      <c r="AK4" s="417"/>
      <c r="AL4" s="417"/>
      <c r="AM4" s="417"/>
      <c r="AO4" s="417"/>
      <c r="AQ4" s="417" t="s">
        <v>4731</v>
      </c>
    </row>
    <row r="5" spans="1:60" s="415" customFormat="1" hidden="1" outlineLevel="1">
      <c r="D5" s="415" t="s">
        <v>4732</v>
      </c>
      <c r="AV5" s="416"/>
      <c r="AY5" s="416"/>
      <c r="BC5" s="416"/>
    </row>
    <row r="6" spans="1:60" hidden="1" outlineLevel="1">
      <c r="A6" s="416" t="b">
        <f>IF(AND(C6&lt;&gt;"", B6&lt;&gt;C6),TRUE, FALSE)</f>
        <v>0</v>
      </c>
      <c r="B6" s="416" t="str">
        <f>IF(RIGHT("0000"&amp;G6,4)&amp;"-"&amp;H6 &lt;&gt; "0000-", RIGHT("0000"&amp;G6,4)&amp;"-"&amp;H6, "")</f>
        <v/>
      </c>
      <c r="C6" s="420"/>
      <c r="D6" s="421">
        <v>1</v>
      </c>
      <c r="E6" s="422"/>
      <c r="F6" s="423"/>
      <c r="G6" s="423"/>
      <c r="H6" s="424"/>
      <c r="I6" s="425"/>
      <c r="J6" s="425"/>
      <c r="K6" s="425"/>
      <c r="L6" s="426"/>
      <c r="M6" s="427"/>
      <c r="N6" s="427"/>
      <c r="O6" s="427"/>
      <c r="P6" s="428"/>
      <c r="Q6" s="429"/>
      <c r="R6" s="429"/>
      <c r="S6" s="430"/>
      <c r="T6" s="431"/>
      <c r="U6" s="432"/>
      <c r="V6" s="432"/>
      <c r="W6" s="432"/>
      <c r="X6" s="432"/>
      <c r="Y6" s="432"/>
      <c r="Z6" s="432"/>
      <c r="AA6" s="432"/>
      <c r="AB6" s="432"/>
      <c r="AC6" s="432"/>
      <c r="AD6" s="432"/>
      <c r="AE6" s="433"/>
      <c r="AF6" s="434"/>
      <c r="AG6" s="435">
        <f t="shared" ref="AG6" si="0">SUM(T6:AE6)</f>
        <v>0</v>
      </c>
      <c r="AI6" s="428"/>
      <c r="AJ6" s="436"/>
      <c r="AK6" s="437"/>
      <c r="AL6" s="428"/>
      <c r="AM6" s="424"/>
      <c r="AN6" s="438"/>
      <c r="AO6" s="439"/>
      <c r="AP6" s="440" t="s">
        <v>57</v>
      </c>
      <c r="AQ6" s="441"/>
      <c r="AR6" s="438"/>
      <c r="AS6" s="442" t="str">
        <f>IF(S6="", "", S6)</f>
        <v/>
      </c>
      <c r="AT6" s="443" t="str">
        <f>IFERROR(VLOOKUP($AS6,[1]TruckCenterReference!$C$26:$I29,3,FALSE), "")</f>
        <v/>
      </c>
      <c r="AU6" s="444" t="str">
        <f>IF(S6&lt;&gt;"",IF(AT6&lt;&gt;I6,"Review","OK"), "")</f>
        <v/>
      </c>
      <c r="AV6" s="445"/>
      <c r="AW6" s="446" t="str">
        <f>IFERROR(VLOOKUP($AS6,[1]TruckCenterReference!$C$26:$I29,4,FALSE), "")</f>
        <v/>
      </c>
      <c r="AX6" s="444" t="str">
        <f>IF(S6="","", IF($AW6&lt;&gt;$R6, "Fix!", "OK"))</f>
        <v/>
      </c>
      <c r="AZ6" s="443" t="str">
        <f>IFERROR(VLOOKUP(N6,SubtypeToTruckType,2,FALSE),"")</f>
        <v/>
      </c>
      <c r="BA6" s="447" t="str">
        <f>IFERROR(VLOOKUP($AS6,[1]TruckCenterReference!$C$26:$I29,6,FALSE), "")</f>
        <v/>
      </c>
      <c r="BB6" s="444" t="str">
        <f>IF(S6&lt;&gt;"",IF(AZ6&lt;&gt;BA6,"Fix!","OK"), "")</f>
        <v/>
      </c>
      <c r="BC6" s="445"/>
      <c r="BD6" s="446">
        <f>IFERROR(VLOOKUP($AS6,[1]TruckCenterReference!$C$26:$I29,7,FALSE), 0)</f>
        <v>0</v>
      </c>
      <c r="BE6" s="448">
        <f>IFERROR(VLOOKUP($AS6,[1]TruckCenterReference!$C$26:$K29,9,FALSE), 0)</f>
        <v>0</v>
      </c>
      <c r="BF6" s="446">
        <f>IFERROR(VLOOKUP($AS6,[1]TruckCenterReference!$C$26:$K29,8,FALSE), 0)</f>
        <v>0</v>
      </c>
      <c r="BG6" s="449" t="str">
        <f>IF(BD6&lt;&gt;0,BD6-AG6-BF6,"")</f>
        <v/>
      </c>
      <c r="BH6" s="444" t="str">
        <f>IF(S6="","",IF(ABS(BG6)&gt;3000,IF(RIGHT(N6,4)="Body","Review","Fix!"),"OK"))</f>
        <v/>
      </c>
    </row>
    <row r="7" spans="1:60" s="415" customFormat="1" hidden="1" outlineLevel="1">
      <c r="D7" s="415" t="s">
        <v>4733</v>
      </c>
      <c r="AV7" s="416"/>
      <c r="AY7" s="416"/>
      <c r="BC7" s="416"/>
    </row>
    <row r="8" spans="1:60" s="417" customFormat="1" hidden="1" outlineLevel="1">
      <c r="C8" s="450"/>
      <c r="D8" s="450"/>
      <c r="E8" s="450"/>
      <c r="F8" s="451" t="s">
        <v>4734</v>
      </c>
      <c r="H8" s="450"/>
      <c r="I8" s="450"/>
      <c r="J8" s="450"/>
      <c r="K8" s="450"/>
      <c r="L8" s="450"/>
      <c r="M8" s="450" t="e">
        <f ca="1">_xll.jFreezePanes(J29,D22)</f>
        <v>#NAME?</v>
      </c>
      <c r="N8" s="450"/>
      <c r="O8" s="450"/>
      <c r="P8" s="450"/>
      <c r="AV8" s="416"/>
      <c r="AY8" s="416"/>
      <c r="BC8" s="416"/>
    </row>
    <row r="9" spans="1:60" s="417" customFormat="1" hidden="1" outlineLevel="1">
      <c r="C9" s="450"/>
      <c r="D9" s="450"/>
      <c r="E9" s="452" t="s">
        <v>4735</v>
      </c>
      <c r="F9" s="450" t="e">
        <f ca="1">_xll.ReportDefaults("Pull","Clear",_xll.PairGroup(_xll.Pair("",H18)))</f>
        <v>#NAME?</v>
      </c>
      <c r="H9" s="450"/>
      <c r="I9" s="450"/>
      <c r="J9" s="450"/>
      <c r="K9" s="450"/>
      <c r="L9" s="452" t="s">
        <v>4736</v>
      </c>
      <c r="M9" s="450" t="e">
        <f ca="1">_xll.ReportDrill(,"CCQueryDrill",_xll.PairGroup(_xll.Pair(L18,"SummaryLevel"),_xll.Pair(I24,"BudYear"),_xll.Pair(I23,"DistrictCell"),_xll.Pair(C30:C67,"PONumber"),_xll.Pair(G20:AQ20)),"Drill to CC Query for Change History")</f>
        <v>#NAME?</v>
      </c>
      <c r="N9" s="450"/>
      <c r="O9" s="450"/>
      <c r="P9" s="450"/>
      <c r="AV9" s="416"/>
      <c r="AY9" s="416"/>
      <c r="BC9" s="416"/>
    </row>
    <row r="10" spans="1:60" s="417" customFormat="1" hidden="1" outlineLevel="1">
      <c r="C10" s="450"/>
      <c r="D10" s="450"/>
      <c r="E10" s="453" t="s">
        <v>4737</v>
      </c>
      <c r="F10" s="417" t="str">
        <f>_xll.ReportRun([1]AssetTypeList!C7,FALSE,"Pull")</f>
        <v>OK!: ReportRun Formula OK [jAction{}]</v>
      </c>
      <c r="I10" s="450"/>
      <c r="J10" s="450"/>
      <c r="K10" s="450"/>
      <c r="L10" s="452"/>
      <c r="M10" s="450"/>
      <c r="N10" s="450"/>
      <c r="O10" s="450"/>
      <c r="P10" s="450"/>
      <c r="AV10" s="416"/>
      <c r="AY10" s="416"/>
      <c r="BC10" s="416"/>
    </row>
    <row r="11" spans="1:60" s="417" customFormat="1" hidden="1" outlineLevel="1">
      <c r="C11" s="450"/>
      <c r="D11" s="450"/>
      <c r="E11" s="452" t="s">
        <v>4738</v>
      </c>
      <c r="F11" s="450" t="e">
        <f ca="1">_xll.ReportRange("BudgetCapitalDetailPull",30:41,C3:BG3,C6:BG6,_xll.Param(I23,I24,H18,P18,L19))</f>
        <v>#NAME?</v>
      </c>
      <c r="H11" s="450"/>
      <c r="I11" s="450"/>
      <c r="J11" s="450"/>
      <c r="N11" s="450"/>
      <c r="O11" s="450"/>
      <c r="P11" s="450"/>
      <c r="AI11" s="417" t="s">
        <v>4726</v>
      </c>
      <c r="AJ11" s="417" t="s">
        <v>4739</v>
      </c>
      <c r="AV11" s="416"/>
      <c r="AY11" s="416"/>
      <c r="BC11" s="416"/>
    </row>
    <row r="12" spans="1:60" s="417" customFormat="1" hidden="1" outlineLevel="1">
      <c r="C12" s="450"/>
      <c r="D12" s="450"/>
      <c r="E12" s="452" t="s">
        <v>4740</v>
      </c>
      <c r="F12" s="454" t="e">
        <f ca="1">_xll.ReportFixed("BudCap1",AI30:AI41,AI11:AJ11,_xll.Param(DetailBudYear, DetailDistrict))</f>
        <v>#NAME?</v>
      </c>
      <c r="H12" s="450"/>
      <c r="I12" s="450"/>
      <c r="J12" s="454"/>
      <c r="N12" s="450"/>
      <c r="O12" s="450"/>
      <c r="P12" s="450"/>
      <c r="AV12" s="416"/>
      <c r="AY12" s="416"/>
      <c r="BC12" s="416"/>
    </row>
    <row r="13" spans="1:60" s="417" customFormat="1" hidden="1" outlineLevel="1">
      <c r="C13" s="450"/>
      <c r="D13" s="450"/>
      <c r="E13" s="452"/>
      <c r="F13" s="454" t="str">
        <f>_xll.ReportRun([1]TruckCenterReference!F19,,"Pull")</f>
        <v>OK!: ReportRun Formula OK [jAction{}]</v>
      </c>
      <c r="H13" s="450"/>
      <c r="I13" s="450"/>
      <c r="J13" s="454"/>
      <c r="N13" s="450"/>
      <c r="O13" s="450"/>
      <c r="P13" s="450"/>
      <c r="AV13" s="416"/>
      <c r="AY13" s="416"/>
      <c r="BC13" s="416"/>
    </row>
    <row r="14" spans="1:60" s="417" customFormat="1" hidden="1" outlineLevel="1">
      <c r="C14" s="450"/>
      <c r="D14" s="450"/>
      <c r="E14" s="455"/>
      <c r="F14" s="451" t="s">
        <v>4741</v>
      </c>
      <c r="H14" s="450"/>
      <c r="I14" s="450"/>
      <c r="J14" s="450"/>
      <c r="K14" s="450"/>
      <c r="L14" s="452"/>
      <c r="M14" s="450"/>
      <c r="N14" s="450"/>
      <c r="O14" s="450"/>
      <c r="P14" s="450"/>
      <c r="AV14" s="416"/>
      <c r="AY14" s="416"/>
      <c r="BC14" s="416"/>
    </row>
    <row r="15" spans="1:60" s="417" customFormat="1" hidden="1" outlineLevel="1">
      <c r="C15" s="450"/>
      <c r="D15" s="450"/>
      <c r="E15" s="452" t="s">
        <v>4742</v>
      </c>
      <c r="F15" s="450" t="e">
        <f ca="1">_xll.ReportSave("BudgetCapitalDetailSave",F30:F41,A3:AO3,C4:AQ4,_xll.Param(I23,I24,H18,P18))</f>
        <v>#NAME?</v>
      </c>
      <c r="H15" s="450"/>
      <c r="I15" s="450"/>
      <c r="J15" s="450"/>
      <c r="K15" s="450"/>
      <c r="L15" s="450"/>
      <c r="M15" s="450"/>
      <c r="N15" s="450"/>
      <c r="O15" s="450"/>
      <c r="P15" s="450"/>
      <c r="AV15" s="416"/>
      <c r="AY15" s="416"/>
      <c r="BC15" s="416"/>
    </row>
    <row r="16" spans="1:60" s="417" customFormat="1" hidden="1" outlineLevel="1">
      <c r="AV16" s="416"/>
      <c r="AY16" s="416"/>
      <c r="BC16" s="416"/>
    </row>
    <row r="17" spans="1:60" s="415" customFormat="1" hidden="1" outlineLevel="1">
      <c r="D17" s="415" t="s">
        <v>4743</v>
      </c>
      <c r="N17" s="456"/>
      <c r="O17" s="456"/>
      <c r="AV17" s="416"/>
      <c r="AY17" s="416"/>
      <c r="BC17" s="416"/>
    </row>
    <row r="18" spans="1:60" s="418" customFormat="1" hidden="1" outlineLevel="1">
      <c r="A18" s="457" t="s">
        <v>4744</v>
      </c>
      <c r="B18" s="458" t="b">
        <f>IFERROR(OR(A30:A41),FALSE)</f>
        <v>0</v>
      </c>
      <c r="G18" s="453" t="s">
        <v>4745</v>
      </c>
      <c r="H18" s="459" t="s">
        <v>4746</v>
      </c>
      <c r="K18" s="453" t="s">
        <v>4747</v>
      </c>
      <c r="L18" s="460" t="s">
        <v>4748</v>
      </c>
      <c r="M18" s="460"/>
      <c r="N18" s="453" t="s">
        <v>4749</v>
      </c>
      <c r="O18" s="453"/>
      <c r="P18" s="460">
        <v>2</v>
      </c>
      <c r="AV18" s="416"/>
      <c r="AY18" s="416"/>
      <c r="BC18" s="416"/>
    </row>
    <row r="19" spans="1:60" s="418" customFormat="1" hidden="1" outlineLevel="1">
      <c r="A19" s="457"/>
      <c r="B19" s="458" t="str">
        <f>IF(B18=TRUE,"Save","SkipRePull")</f>
        <v>SkipRePull</v>
      </c>
      <c r="J19" s="450"/>
      <c r="K19" s="452" t="s">
        <v>4750</v>
      </c>
      <c r="L19" s="460" t="s">
        <v>4751</v>
      </c>
      <c r="M19" s="460"/>
      <c r="N19" s="453"/>
      <c r="O19" s="453"/>
      <c r="P19" s="453"/>
      <c r="AV19" s="416"/>
      <c r="AY19" s="416"/>
      <c r="BC19" s="416"/>
    </row>
    <row r="20" spans="1:60" s="417" customFormat="1" hidden="1" outlineLevel="1">
      <c r="G20" s="417" t="s">
        <v>4752</v>
      </c>
      <c r="H20" s="417" t="s">
        <v>4752</v>
      </c>
      <c r="I20" s="417" t="s">
        <v>4752</v>
      </c>
      <c r="J20" s="417" t="s">
        <v>4752</v>
      </c>
      <c r="K20" s="417" t="s">
        <v>4752</v>
      </c>
      <c r="L20" s="453"/>
      <c r="M20" s="417" t="s">
        <v>4752</v>
      </c>
      <c r="N20" s="417" t="s">
        <v>4752</v>
      </c>
      <c r="P20" s="417" t="s">
        <v>4752</v>
      </c>
      <c r="Q20" s="417" t="s">
        <v>4752</v>
      </c>
      <c r="R20" s="417" t="s">
        <v>4752</v>
      </c>
      <c r="S20" s="417" t="s">
        <v>4752</v>
      </c>
      <c r="T20" s="417" t="s">
        <v>4752</v>
      </c>
      <c r="U20" s="417" t="s">
        <v>4752</v>
      </c>
      <c r="V20" s="417" t="s">
        <v>4752</v>
      </c>
      <c r="W20" s="417" t="s">
        <v>4752</v>
      </c>
      <c r="X20" s="417" t="s">
        <v>4752</v>
      </c>
      <c r="Y20" s="417" t="s">
        <v>4752</v>
      </c>
      <c r="Z20" s="417" t="s">
        <v>4752</v>
      </c>
      <c r="AA20" s="417" t="s">
        <v>4752</v>
      </c>
      <c r="AB20" s="417" t="s">
        <v>4752</v>
      </c>
      <c r="AC20" s="417" t="s">
        <v>4752</v>
      </c>
      <c r="AD20" s="417" t="s">
        <v>4752</v>
      </c>
      <c r="AE20" s="417" t="s">
        <v>4752</v>
      </c>
      <c r="AG20" s="417" t="s">
        <v>4752</v>
      </c>
      <c r="AI20" s="417" t="s">
        <v>4752</v>
      </c>
      <c r="AL20" s="417" t="s">
        <v>4752</v>
      </c>
      <c r="AM20" s="417" t="s">
        <v>4752</v>
      </c>
      <c r="AO20" s="417" t="s">
        <v>4752</v>
      </c>
      <c r="AQ20" s="417" t="s">
        <v>4752</v>
      </c>
      <c r="AV20" s="416"/>
      <c r="AY20" s="416"/>
      <c r="BC20" s="416"/>
    </row>
    <row r="21" spans="1:60" s="415" customFormat="1" hidden="1" outlineLevel="1">
      <c r="D21" s="415" t="s">
        <v>4753</v>
      </c>
      <c r="AV21" s="416"/>
      <c r="AY21" s="416"/>
      <c r="BC21" s="416"/>
    </row>
    <row r="22" spans="1:60" collapsed="1">
      <c r="E22" s="461"/>
      <c r="F22" s="461"/>
      <c r="G22" s="461"/>
      <c r="H22" s="461"/>
      <c r="I22" s="461"/>
      <c r="J22" s="461"/>
      <c r="K22" s="461"/>
      <c r="L22" s="461"/>
      <c r="M22" s="461"/>
      <c r="N22" s="461"/>
      <c r="O22" s="461"/>
      <c r="P22" s="434"/>
      <c r="Q22" s="434"/>
      <c r="R22" s="434"/>
      <c r="S22" s="434"/>
      <c r="T22" s="461"/>
      <c r="U22" s="461"/>
      <c r="V22" s="461"/>
      <c r="W22" s="461"/>
      <c r="X22" s="461"/>
      <c r="Y22" s="461"/>
      <c r="Z22" s="461"/>
      <c r="AA22" s="461"/>
      <c r="AB22" s="461"/>
      <c r="AC22" s="461"/>
      <c r="AD22" s="461"/>
      <c r="AE22" s="461"/>
      <c r="AF22" s="461"/>
      <c r="AG22" s="461"/>
      <c r="AI22" s="434"/>
      <c r="AJ22" s="434"/>
      <c r="AK22" s="434"/>
      <c r="AL22" s="434"/>
      <c r="AM22" s="434"/>
      <c r="AO22" s="434"/>
    </row>
    <row r="23" spans="1:60" ht="15.75">
      <c r="E23" s="462"/>
      <c r="F23" s="462"/>
      <c r="G23" s="463"/>
      <c r="H23" s="464" t="s">
        <v>4754</v>
      </c>
      <c r="I23" s="465" t="s">
        <v>1388</v>
      </c>
      <c r="J23" s="466"/>
      <c r="L23" s="467"/>
      <c r="N23" s="468"/>
      <c r="O23" s="468"/>
      <c r="P23" s="434"/>
      <c r="Q23" s="434"/>
      <c r="R23" s="434"/>
      <c r="S23" s="434"/>
      <c r="T23" s="461"/>
      <c r="U23" s="461"/>
      <c r="V23" s="461"/>
      <c r="W23" s="461"/>
      <c r="X23" s="461"/>
      <c r="Y23" s="461"/>
      <c r="Z23" s="461"/>
      <c r="AA23" s="461"/>
      <c r="AB23" s="461"/>
      <c r="AC23" s="461"/>
      <c r="AD23" s="461"/>
      <c r="AE23" s="461"/>
      <c r="AF23" s="461"/>
      <c r="AG23" s="469"/>
      <c r="AI23" s="434"/>
      <c r="AJ23" s="434"/>
      <c r="AK23" s="434"/>
      <c r="AL23" s="434"/>
      <c r="AM23" s="434"/>
      <c r="AO23" s="434"/>
    </row>
    <row r="24" spans="1:60" ht="15.75">
      <c r="E24" s="470"/>
      <c r="F24" s="470"/>
      <c r="G24" s="471"/>
      <c r="H24" s="472" t="s">
        <v>4755</v>
      </c>
      <c r="I24" s="473">
        <f ca="1">YEAR(NOW())+1</f>
        <v>2026</v>
      </c>
      <c r="J24" s="474"/>
      <c r="K24" s="474"/>
      <c r="L24" s="467"/>
      <c r="M24" s="475"/>
      <c r="N24" s="468"/>
      <c r="O24" s="468"/>
      <c r="P24" s="434"/>
      <c r="T24" s="461"/>
      <c r="U24" s="461"/>
      <c r="V24" s="461"/>
      <c r="W24" s="461"/>
      <c r="X24" s="461"/>
      <c r="Y24" s="461"/>
      <c r="Z24" s="461"/>
      <c r="AA24" s="461"/>
      <c r="AB24" s="461"/>
      <c r="AC24" s="461"/>
      <c r="AD24" s="461"/>
      <c r="AE24" s="461"/>
      <c r="AF24" s="461"/>
      <c r="AI24" s="434"/>
      <c r="AJ24" s="434"/>
      <c r="AK24" s="434"/>
      <c r="AL24" s="434"/>
      <c r="AM24" s="434"/>
      <c r="AO24" s="434"/>
    </row>
    <row r="25" spans="1:60">
      <c r="E25" s="476"/>
      <c r="F25" s="476"/>
      <c r="G25" s="476"/>
      <c r="H25" s="476"/>
      <c r="I25" s="461"/>
      <c r="J25" s="461"/>
      <c r="K25" s="461"/>
      <c r="L25" s="461"/>
      <c r="M25" s="475" t="s">
        <v>4756</v>
      </c>
      <c r="N25" s="461"/>
      <c r="O25" s="461"/>
      <c r="P25" s="434"/>
      <c r="Q25" s="434"/>
      <c r="R25" s="434"/>
      <c r="S25" s="434"/>
      <c r="T25" s="461"/>
      <c r="U25" s="461"/>
      <c r="V25" s="461"/>
      <c r="W25" s="461"/>
      <c r="X25" s="461"/>
      <c r="Y25" s="461"/>
      <c r="Z25" s="461"/>
      <c r="AA25" s="461"/>
      <c r="AB25" s="461"/>
      <c r="AC25" s="461"/>
      <c r="AD25" s="461"/>
      <c r="AE25" s="461"/>
      <c r="AF25" s="461"/>
      <c r="AG25" s="461"/>
      <c r="AI25" s="434"/>
      <c r="AJ25" s="434"/>
      <c r="AK25" s="434"/>
      <c r="AL25" s="434"/>
      <c r="AM25" s="434"/>
      <c r="AO25" s="434"/>
      <c r="AS25" s="477" t="s">
        <v>4757</v>
      </c>
      <c r="AT25" s="477"/>
      <c r="AZ25" s="477"/>
    </row>
    <row r="26" spans="1:60" ht="15.75">
      <c r="E26" s="478" t="s">
        <v>4758</v>
      </c>
      <c r="F26" s="478"/>
      <c r="G26" s="479"/>
      <c r="H26" s="479"/>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c r="AO26" s="480"/>
      <c r="AP26" s="480"/>
      <c r="AQ26" s="480"/>
      <c r="AR26" s="481"/>
      <c r="AS26" s="482"/>
      <c r="AT26" s="482"/>
      <c r="AU26" s="482"/>
      <c r="AW26" s="482"/>
      <c r="AX26" s="482"/>
      <c r="AZ26" s="482"/>
      <c r="BA26" s="482"/>
      <c r="BB26" s="482"/>
      <c r="BD26" s="482"/>
      <c r="BE26" s="482"/>
      <c r="BF26" s="482"/>
      <c r="BG26" s="482"/>
      <c r="BH26" s="482"/>
    </row>
    <row r="27" spans="1:60">
      <c r="E27" s="483"/>
      <c r="F27" s="483"/>
      <c r="G27" s="483"/>
      <c r="H27" s="483"/>
      <c r="I27" s="483"/>
      <c r="J27" s="483"/>
      <c r="K27" s="483"/>
      <c r="L27" s="483"/>
      <c r="M27" s="483"/>
      <c r="N27" s="483"/>
      <c r="O27" s="483"/>
      <c r="P27" s="484"/>
      <c r="Q27" s="484"/>
      <c r="R27" s="484"/>
      <c r="S27" s="484"/>
      <c r="T27" s="485"/>
      <c r="U27" s="486"/>
      <c r="V27" s="486"/>
      <c r="W27" s="486"/>
      <c r="X27" s="486"/>
      <c r="Y27" s="486"/>
      <c r="Z27" s="486"/>
      <c r="AA27" s="486"/>
      <c r="AB27" s="486"/>
      <c r="AC27" s="486"/>
      <c r="AD27" s="486"/>
      <c r="AE27" s="486"/>
      <c r="AF27" s="486"/>
      <c r="AG27" s="434"/>
      <c r="AH27" s="486" t="s">
        <v>4759</v>
      </c>
      <c r="AI27" s="487"/>
      <c r="AJ27" s="487"/>
      <c r="AK27" s="487"/>
      <c r="AL27" s="487"/>
      <c r="AM27" s="487"/>
      <c r="AS27" s="488" t="s">
        <v>4760</v>
      </c>
      <c r="AT27" s="489"/>
      <c r="AU27" s="488"/>
      <c r="AW27" s="488" t="s">
        <v>4761</v>
      </c>
      <c r="AX27" s="488"/>
      <c r="AZ27" s="488" t="s">
        <v>4762</v>
      </c>
      <c r="BA27" s="488"/>
      <c r="BB27" s="488"/>
      <c r="BD27" s="488" t="s">
        <v>4763</v>
      </c>
      <c r="BE27" s="488"/>
      <c r="BF27" s="488"/>
      <c r="BG27" s="489"/>
      <c r="BH27" s="488"/>
    </row>
    <row r="28" spans="1:60" ht="27" thickBot="1">
      <c r="E28" s="490" t="s">
        <v>4764</v>
      </c>
      <c r="F28" s="490" t="s">
        <v>4253</v>
      </c>
      <c r="G28" s="490" t="s">
        <v>4765</v>
      </c>
      <c r="H28" s="490" t="s">
        <v>4766</v>
      </c>
      <c r="I28" s="491" t="s">
        <v>4767</v>
      </c>
      <c r="J28" s="491" t="s">
        <v>4768</v>
      </c>
      <c r="K28" s="491" t="s">
        <v>4769</v>
      </c>
      <c r="L28" s="490"/>
      <c r="M28" s="490" t="s">
        <v>4162</v>
      </c>
      <c r="N28" s="490" t="s">
        <v>4770</v>
      </c>
      <c r="O28" s="515" t="s">
        <v>4771</v>
      </c>
      <c r="P28" s="490" t="s">
        <v>601</v>
      </c>
      <c r="Q28" s="490" t="s">
        <v>4772</v>
      </c>
      <c r="R28" s="490" t="s">
        <v>4773</v>
      </c>
      <c r="S28" s="490" t="s">
        <v>1431</v>
      </c>
      <c r="T28" s="492">
        <v>40209</v>
      </c>
      <c r="U28" s="493">
        <v>40237</v>
      </c>
      <c r="V28" s="494">
        <v>40268</v>
      </c>
      <c r="W28" s="492">
        <v>40298</v>
      </c>
      <c r="X28" s="493">
        <v>40329</v>
      </c>
      <c r="Y28" s="494">
        <v>40359</v>
      </c>
      <c r="Z28" s="492">
        <v>40390</v>
      </c>
      <c r="AA28" s="493">
        <v>40421</v>
      </c>
      <c r="AB28" s="494">
        <v>40451</v>
      </c>
      <c r="AC28" s="492">
        <v>40482</v>
      </c>
      <c r="AD28" s="493">
        <v>40512</v>
      </c>
      <c r="AE28" s="494">
        <v>40543</v>
      </c>
      <c r="AF28" s="484"/>
      <c r="AG28" s="495" t="s">
        <v>17</v>
      </c>
      <c r="AH28" s="496"/>
      <c r="AI28" s="490" t="s">
        <v>4774</v>
      </c>
      <c r="AJ28" s="490" t="s">
        <v>4775</v>
      </c>
      <c r="AK28" s="490" t="s">
        <v>4776</v>
      </c>
      <c r="AL28" s="490" t="s">
        <v>4777</v>
      </c>
      <c r="AM28" s="490" t="s">
        <v>1406</v>
      </c>
      <c r="AN28" s="497"/>
      <c r="AO28" s="490" t="s">
        <v>4778</v>
      </c>
      <c r="AP28" s="497"/>
      <c r="AQ28" s="490" t="s">
        <v>4779</v>
      </c>
      <c r="AR28" s="497"/>
      <c r="AS28" s="498" t="s">
        <v>1431</v>
      </c>
      <c r="AT28" s="498" t="s">
        <v>4780</v>
      </c>
      <c r="AU28" s="498" t="s">
        <v>4781</v>
      </c>
      <c r="AW28" s="498" t="s">
        <v>4782</v>
      </c>
      <c r="AX28" s="498" t="s">
        <v>4781</v>
      </c>
      <c r="AZ28" s="498" t="s">
        <v>4783</v>
      </c>
      <c r="BA28" s="498" t="s">
        <v>4782</v>
      </c>
      <c r="BB28" s="498" t="s">
        <v>4781</v>
      </c>
      <c r="BD28" s="498" t="s">
        <v>4784</v>
      </c>
      <c r="BE28" s="498" t="s">
        <v>4785</v>
      </c>
      <c r="BF28" s="498" t="s">
        <v>4786</v>
      </c>
      <c r="BG28" s="498" t="s">
        <v>4787</v>
      </c>
      <c r="BH28" s="498" t="s">
        <v>4781</v>
      </c>
    </row>
    <row r="29" spans="1:60">
      <c r="E29" s="461"/>
      <c r="F29" s="461"/>
      <c r="G29" s="461"/>
      <c r="H29" s="461"/>
      <c r="I29" s="461"/>
      <c r="J29" s="461"/>
      <c r="K29" s="461"/>
      <c r="L29" s="461"/>
      <c r="M29" s="461"/>
      <c r="N29" s="461"/>
      <c r="O29" s="461"/>
      <c r="P29" s="434"/>
      <c r="Q29" s="434"/>
      <c r="R29" s="434"/>
      <c r="S29" s="434"/>
      <c r="T29" s="499"/>
      <c r="U29" s="434"/>
      <c r="V29" s="434"/>
      <c r="W29" s="434"/>
      <c r="X29" s="434"/>
      <c r="Y29" s="434"/>
      <c r="Z29" s="434"/>
      <c r="AA29" s="434"/>
      <c r="AB29" s="434"/>
      <c r="AC29" s="434"/>
      <c r="AD29" s="434"/>
      <c r="AE29" s="434"/>
      <c r="AF29" s="434"/>
      <c r="AG29" s="500"/>
      <c r="AI29" s="434"/>
      <c r="AJ29" s="434"/>
      <c r="AK29" s="434"/>
      <c r="AL29" s="434"/>
      <c r="AM29" s="434"/>
      <c r="AN29" s="434"/>
      <c r="AO29" s="434"/>
      <c r="AP29" s="434"/>
      <c r="AQ29" s="434"/>
      <c r="AR29" s="434"/>
      <c r="AS29" s="434"/>
      <c r="AT29" s="501"/>
      <c r="AZ29" s="501"/>
    </row>
    <row r="30" spans="1:60" ht="63.75">
      <c r="A30" s="416" t="b">
        <f t="shared" ref="A30:A40" si="1">IF(AND(C30&lt;&gt;"", B30&lt;&gt;C30),TRUE, FALSE)</f>
        <v>0</v>
      </c>
      <c r="B30" s="416" t="str">
        <f t="shared" ref="B30:B40" si="2">IF(RIGHT("0000"&amp;G30,4)&amp;"-"&amp;H30 &lt;&gt; "0000-", RIGHT("0000"&amp;G30,4)&amp;"-"&amp;H30, "")</f>
        <v>0001-1</v>
      </c>
      <c r="C30" s="420" t="s">
        <v>4788</v>
      </c>
      <c r="D30" s="421">
        <v>1</v>
      </c>
      <c r="E30" s="3" t="s">
        <v>125</v>
      </c>
      <c r="F30" s="423">
        <v>2111</v>
      </c>
      <c r="G30" s="423">
        <v>1</v>
      </c>
      <c r="H30" s="424">
        <v>1</v>
      </c>
      <c r="I30" s="425" t="s">
        <v>4789</v>
      </c>
      <c r="J30" s="425" t="s">
        <v>4789</v>
      </c>
      <c r="K30" s="425" t="s">
        <v>4790</v>
      </c>
      <c r="L30" s="426"/>
      <c r="M30" s="427" t="s">
        <v>4791</v>
      </c>
      <c r="N30" s="427" t="s">
        <v>4659</v>
      </c>
      <c r="O30" s="427" t="s">
        <v>4792</v>
      </c>
      <c r="P30" s="428">
        <v>10</v>
      </c>
      <c r="Q30" s="429" t="s">
        <v>4793</v>
      </c>
      <c r="R30" s="429" t="s">
        <v>4794</v>
      </c>
      <c r="S30" s="430">
        <v>20781</v>
      </c>
      <c r="T30" s="516">
        <v>0</v>
      </c>
      <c r="U30" s="432">
        <v>0</v>
      </c>
      <c r="V30" s="432">
        <v>0</v>
      </c>
      <c r="W30" s="432">
        <v>0</v>
      </c>
      <c r="X30" s="432">
        <v>0</v>
      </c>
      <c r="Y30" s="432">
        <v>0</v>
      </c>
      <c r="Z30" s="432">
        <v>0</v>
      </c>
      <c r="AA30" s="432">
        <v>0</v>
      </c>
      <c r="AB30" s="432">
        <v>0</v>
      </c>
      <c r="AC30" s="432">
        <v>512007</v>
      </c>
      <c r="AD30" s="432">
        <v>0</v>
      </c>
      <c r="AE30" s="433">
        <v>0</v>
      </c>
      <c r="AF30" s="434"/>
      <c r="AG30" s="435">
        <f t="shared" ref="AG30:AG40" si="3">SUM(T30:AE30)</f>
        <v>512007</v>
      </c>
      <c r="AI30" s="428">
        <v>173307</v>
      </c>
      <c r="AJ30" s="436" t="s">
        <v>1243</v>
      </c>
      <c r="AK30" s="437" t="s">
        <v>4790</v>
      </c>
      <c r="AL30" s="428">
        <v>811</v>
      </c>
      <c r="AM30" s="424">
        <v>2003</v>
      </c>
      <c r="AN30" s="438"/>
      <c r="AO30" s="439"/>
      <c r="AP30" s="440" t="s">
        <v>57</v>
      </c>
      <c r="AQ30" s="441"/>
      <c r="AR30" s="438"/>
      <c r="AS30" s="442">
        <f t="shared" ref="AS30:AS40" si="4">IF(S30="", "", S30)</f>
        <v>20781</v>
      </c>
      <c r="AT30" s="443" t="str">
        <f>IFERROR(VLOOKUP($AS30,[1]TruckCenterReference!$C$26:$I53,3,FALSE), "")</f>
        <v/>
      </c>
      <c r="AU30" s="444" t="str">
        <f t="shared" ref="AU30:AU40" si="5">IF(S30&lt;&gt;"",IF(AT30&lt;&gt;I30,"Review","OK"), "")</f>
        <v>Review</v>
      </c>
      <c r="AV30" s="445"/>
      <c r="AW30" s="446" t="str">
        <f>IFERROR(VLOOKUP($AS30,[1]TruckCenterReference!$C$26:$I53,4,FALSE), "")</f>
        <v/>
      </c>
      <c r="AX30" s="444" t="str">
        <f t="shared" ref="AX30:AX40" si="6">IF(S30="","", IF($AW30&lt;&gt;$R30, "Fix!", "OK"))</f>
        <v>Fix!</v>
      </c>
      <c r="AZ30" s="443" t="str">
        <f t="shared" ref="AZ30:AZ40" si="7">IFERROR(VLOOKUP(N30,SubtypeToTruckType,2,FALSE),"")</f>
        <v>Automated Sideloader</v>
      </c>
      <c r="BA30" s="447" t="str">
        <f>IFERROR(VLOOKUP($AS30,[1]TruckCenterReference!$C$26:$I53,6,FALSE), "")</f>
        <v/>
      </c>
      <c r="BB30" s="444" t="str">
        <f t="shared" ref="BB30:BB40" si="8">IF(S30&lt;&gt;"",IF(AZ30&lt;&gt;BA30,"Fix!","OK"), "")</f>
        <v>Fix!</v>
      </c>
      <c r="BC30" s="445"/>
      <c r="BD30" s="446">
        <f>IFERROR(VLOOKUP($AS30,[1]TruckCenterReference!$C$26:$I53,7,FALSE), 0)</f>
        <v>0</v>
      </c>
      <c r="BE30" s="448">
        <f>IFERROR(VLOOKUP($AS30,[1]TruckCenterReference!$C$26:$K53,9,FALSE), 0)</f>
        <v>0</v>
      </c>
      <c r="BF30" s="446">
        <f>IFERROR(VLOOKUP($AS30,[1]TruckCenterReference!$C$26:$K53,8,FALSE), 0)</f>
        <v>0</v>
      </c>
      <c r="BG30" s="449" t="str">
        <f t="shared" ref="BG30:BG40" si="9">IF(BD30&lt;&gt;0,BD30-AG30-BF30,"")</f>
        <v/>
      </c>
      <c r="BH30" s="444" t="e">
        <f t="shared" ref="BH30:BH40" si="10">IF(S30="","",IF(ABS(BG30)&gt;3000,IF(RIGHT(N30,4)="Body","Review","Fix!"),"OK"))</f>
        <v>#VALUE!</v>
      </c>
    </row>
    <row r="31" spans="1:60" ht="76.5">
      <c r="A31" s="416" t="b">
        <f t="shared" si="1"/>
        <v>0</v>
      </c>
      <c r="B31" s="416" t="str">
        <f t="shared" si="2"/>
        <v>0002-1</v>
      </c>
      <c r="C31" s="420" t="s">
        <v>4795</v>
      </c>
      <c r="D31" s="421">
        <v>1</v>
      </c>
      <c r="E31" s="3" t="s">
        <v>125</v>
      </c>
      <c r="F31" s="423">
        <v>2111</v>
      </c>
      <c r="G31" s="423">
        <v>2</v>
      </c>
      <c r="H31" s="424">
        <v>1</v>
      </c>
      <c r="I31" s="425" t="s">
        <v>4796</v>
      </c>
      <c r="J31" s="425" t="s">
        <v>4796</v>
      </c>
      <c r="K31" s="425" t="s">
        <v>4797</v>
      </c>
      <c r="L31" s="426"/>
      <c r="M31" s="427" t="s">
        <v>4791</v>
      </c>
      <c r="N31" s="427" t="s">
        <v>4798</v>
      </c>
      <c r="O31" s="427" t="s">
        <v>4799</v>
      </c>
      <c r="P31" s="428">
        <v>10</v>
      </c>
      <c r="Q31" s="429" t="s">
        <v>4793</v>
      </c>
      <c r="R31" s="429" t="s">
        <v>4794</v>
      </c>
      <c r="S31" s="430">
        <v>20787</v>
      </c>
      <c r="T31" s="516">
        <v>0</v>
      </c>
      <c r="U31" s="432">
        <v>0</v>
      </c>
      <c r="V31" s="432">
        <v>382013</v>
      </c>
      <c r="W31" s="432">
        <v>0</v>
      </c>
      <c r="X31" s="432">
        <v>0</v>
      </c>
      <c r="Y31" s="432">
        <v>0</v>
      </c>
      <c r="Z31" s="432">
        <v>0</v>
      </c>
      <c r="AA31" s="432">
        <v>0</v>
      </c>
      <c r="AB31" s="432">
        <v>0</v>
      </c>
      <c r="AC31" s="432">
        <v>0</v>
      </c>
      <c r="AD31" s="432">
        <v>0</v>
      </c>
      <c r="AE31" s="433">
        <v>0</v>
      </c>
      <c r="AF31" s="434"/>
      <c r="AG31" s="435">
        <f t="shared" si="3"/>
        <v>382013</v>
      </c>
      <c r="AI31" s="428">
        <v>173236</v>
      </c>
      <c r="AJ31" s="436" t="s">
        <v>2424</v>
      </c>
      <c r="AK31" s="437" t="s">
        <v>4797</v>
      </c>
      <c r="AL31" s="428">
        <v>623</v>
      </c>
      <c r="AM31" s="424">
        <v>2009</v>
      </c>
      <c r="AN31" s="438"/>
      <c r="AO31" s="439"/>
      <c r="AP31" s="440" t="s">
        <v>57</v>
      </c>
      <c r="AQ31" s="441"/>
      <c r="AR31" s="438"/>
      <c r="AS31" s="442">
        <f t="shared" si="4"/>
        <v>20787</v>
      </c>
      <c r="AT31" s="443" t="str">
        <f>IFERROR(VLOOKUP($AS31,[1]TruckCenterReference!$C$26:$I54,3,FALSE), "")</f>
        <v/>
      </c>
      <c r="AU31" s="444" t="str">
        <f t="shared" si="5"/>
        <v>Review</v>
      </c>
      <c r="AV31" s="445"/>
      <c r="AW31" s="446" t="str">
        <f>IFERROR(VLOOKUP($AS31,[1]TruckCenterReference!$C$26:$I54,4,FALSE), "")</f>
        <v/>
      </c>
      <c r="AX31" s="444" t="str">
        <f t="shared" si="6"/>
        <v>Fix!</v>
      </c>
      <c r="AZ31" s="443" t="str">
        <f t="shared" si="7"/>
        <v>Rear Loader</v>
      </c>
      <c r="BA31" s="447" t="str">
        <f>IFERROR(VLOOKUP($AS31,[1]TruckCenterReference!$C$26:$I54,6,FALSE), "")</f>
        <v/>
      </c>
      <c r="BB31" s="444" t="str">
        <f t="shared" si="8"/>
        <v>Fix!</v>
      </c>
      <c r="BC31" s="445"/>
      <c r="BD31" s="446">
        <f>IFERROR(VLOOKUP($AS31,[1]TruckCenterReference!$C$26:$I54,7,FALSE), 0)</f>
        <v>0</v>
      </c>
      <c r="BE31" s="448">
        <f>IFERROR(VLOOKUP($AS31,[1]TruckCenterReference!$C$26:$K54,9,FALSE), 0)</f>
        <v>0</v>
      </c>
      <c r="BF31" s="446">
        <f>IFERROR(VLOOKUP($AS31,[1]TruckCenterReference!$C$26:$K54,8,FALSE), 0)</f>
        <v>0</v>
      </c>
      <c r="BG31" s="449" t="str">
        <f t="shared" si="9"/>
        <v/>
      </c>
      <c r="BH31" s="444" t="e">
        <f t="shared" si="10"/>
        <v>#VALUE!</v>
      </c>
    </row>
    <row r="32" spans="1:60" ht="38.25">
      <c r="A32" s="416" t="b">
        <f t="shared" si="1"/>
        <v>0</v>
      </c>
      <c r="B32" s="416" t="str">
        <f t="shared" si="2"/>
        <v>0003-1</v>
      </c>
      <c r="C32" s="420" t="s">
        <v>4800</v>
      </c>
      <c r="D32" s="421">
        <v>1</v>
      </c>
      <c r="E32" s="3" t="s">
        <v>133</v>
      </c>
      <c r="F32" s="423">
        <v>2111</v>
      </c>
      <c r="G32" s="423">
        <v>3</v>
      </c>
      <c r="H32" s="424">
        <v>1</v>
      </c>
      <c r="I32" s="425" t="s">
        <v>4801</v>
      </c>
      <c r="J32" s="425" t="s">
        <v>4801</v>
      </c>
      <c r="K32" s="425" t="s">
        <v>4802</v>
      </c>
      <c r="L32" s="426"/>
      <c r="M32" s="427" t="s">
        <v>4791</v>
      </c>
      <c r="N32" s="427" t="s">
        <v>2326</v>
      </c>
      <c r="O32" s="427" t="s">
        <v>4803</v>
      </c>
      <c r="P32" s="428">
        <v>5</v>
      </c>
      <c r="Q32" s="429" t="s">
        <v>4793</v>
      </c>
      <c r="R32" s="429" t="s">
        <v>4794</v>
      </c>
      <c r="S32" s="430">
        <v>20799</v>
      </c>
      <c r="T32" s="516">
        <v>0</v>
      </c>
      <c r="U32" s="432">
        <v>0</v>
      </c>
      <c r="V32" s="432">
        <v>0</v>
      </c>
      <c r="W32" s="432">
        <v>0</v>
      </c>
      <c r="X32" s="432">
        <v>0</v>
      </c>
      <c r="Y32" s="432">
        <v>63529</v>
      </c>
      <c r="Z32" s="432">
        <v>0</v>
      </c>
      <c r="AA32" s="432">
        <v>0</v>
      </c>
      <c r="AB32" s="432">
        <v>0</v>
      </c>
      <c r="AC32" s="432">
        <v>0</v>
      </c>
      <c r="AD32" s="432">
        <v>0</v>
      </c>
      <c r="AE32" s="433">
        <v>0</v>
      </c>
      <c r="AF32" s="434"/>
      <c r="AG32" s="435">
        <f t="shared" si="3"/>
        <v>63529</v>
      </c>
      <c r="AI32" s="428">
        <v>281813</v>
      </c>
      <c r="AJ32" s="436" t="s">
        <v>4088</v>
      </c>
      <c r="AK32" s="437" t="s">
        <v>4802</v>
      </c>
      <c r="AL32" s="428">
        <v>105</v>
      </c>
      <c r="AM32" s="424">
        <v>2001</v>
      </c>
      <c r="AN32" s="438"/>
      <c r="AO32" s="439"/>
      <c r="AP32" s="440" t="s">
        <v>57</v>
      </c>
      <c r="AQ32" s="441"/>
      <c r="AR32" s="438"/>
      <c r="AS32" s="442">
        <f t="shared" si="4"/>
        <v>20799</v>
      </c>
      <c r="AT32" s="443" t="str">
        <f>IFERROR(VLOOKUP($AS32,[1]TruckCenterReference!$C$26:$I55,3,FALSE), "")</f>
        <v/>
      </c>
      <c r="AU32" s="444" t="str">
        <f t="shared" si="5"/>
        <v>Review</v>
      </c>
      <c r="AV32" s="445"/>
      <c r="AW32" s="446" t="str">
        <f>IFERROR(VLOOKUP($AS32,[1]TruckCenterReference!$C$26:$I55,4,FALSE), "")</f>
        <v/>
      </c>
      <c r="AX32" s="444" t="str">
        <f t="shared" si="6"/>
        <v>Fix!</v>
      </c>
      <c r="AZ32" s="443" t="str">
        <f t="shared" si="7"/>
        <v>Pickup</v>
      </c>
      <c r="BA32" s="447" t="str">
        <f>IFERROR(VLOOKUP($AS32,[1]TruckCenterReference!$C$26:$I55,6,FALSE), "")</f>
        <v/>
      </c>
      <c r="BB32" s="444" t="str">
        <f t="shared" si="8"/>
        <v>Fix!</v>
      </c>
      <c r="BC32" s="445"/>
      <c r="BD32" s="446">
        <f>IFERROR(VLOOKUP($AS32,[1]TruckCenterReference!$C$26:$I55,7,FALSE), 0)</f>
        <v>0</v>
      </c>
      <c r="BE32" s="448">
        <f>IFERROR(VLOOKUP($AS32,[1]TruckCenterReference!$C$26:$K55,9,FALSE), 0)</f>
        <v>0</v>
      </c>
      <c r="BF32" s="446">
        <f>IFERROR(VLOOKUP($AS32,[1]TruckCenterReference!$C$26:$K55,8,FALSE), 0)</f>
        <v>0</v>
      </c>
      <c r="BG32" s="449" t="str">
        <f t="shared" si="9"/>
        <v/>
      </c>
      <c r="BH32" s="444" t="e">
        <f t="shared" si="10"/>
        <v>#VALUE!</v>
      </c>
    </row>
    <row r="33" spans="1:60" ht="76.5">
      <c r="A33" s="416" t="b">
        <f t="shared" si="1"/>
        <v>0</v>
      </c>
      <c r="B33" s="416" t="str">
        <f t="shared" si="2"/>
        <v>0004-1</v>
      </c>
      <c r="C33" s="420" t="s">
        <v>4804</v>
      </c>
      <c r="D33" s="421">
        <v>1</v>
      </c>
      <c r="E33" s="422"/>
      <c r="F33" s="423">
        <v>2111</v>
      </c>
      <c r="G33" s="423">
        <v>4</v>
      </c>
      <c r="H33" s="424">
        <v>1</v>
      </c>
      <c r="I33" s="425" t="s">
        <v>4796</v>
      </c>
      <c r="J33" s="425" t="s">
        <v>4796</v>
      </c>
      <c r="K33" s="425" t="s">
        <v>4805</v>
      </c>
      <c r="L33" s="426"/>
      <c r="M33" s="427" t="s">
        <v>4791</v>
      </c>
      <c r="N33" s="427" t="s">
        <v>4798</v>
      </c>
      <c r="O33" s="427" t="s">
        <v>4799</v>
      </c>
      <c r="P33" s="428">
        <v>10</v>
      </c>
      <c r="Q33" s="429" t="s">
        <v>4793</v>
      </c>
      <c r="R33" s="429" t="s">
        <v>4794</v>
      </c>
      <c r="S33" s="430">
        <v>20791</v>
      </c>
      <c r="T33" s="516">
        <v>0</v>
      </c>
      <c r="U33" s="432">
        <v>0</v>
      </c>
      <c r="V33" s="432">
        <v>0</v>
      </c>
      <c r="W33" s="432">
        <v>0</v>
      </c>
      <c r="X33" s="432">
        <v>0</v>
      </c>
      <c r="Y33" s="432">
        <v>0</v>
      </c>
      <c r="Z33" s="432">
        <v>0</v>
      </c>
      <c r="AA33" s="432">
        <v>0</v>
      </c>
      <c r="AB33" s="432">
        <v>376560</v>
      </c>
      <c r="AC33" s="432">
        <v>0</v>
      </c>
      <c r="AD33" s="432">
        <v>0</v>
      </c>
      <c r="AE33" s="433">
        <v>0</v>
      </c>
      <c r="AF33" s="434"/>
      <c r="AG33" s="435">
        <f t="shared" si="3"/>
        <v>376560</v>
      </c>
      <c r="AI33" s="428">
        <v>278098</v>
      </c>
      <c r="AJ33" s="436" t="s">
        <v>1277</v>
      </c>
      <c r="AK33" s="437" t="s">
        <v>4805</v>
      </c>
      <c r="AL33" s="428">
        <v>600</v>
      </c>
      <c r="AM33" s="424">
        <v>2009</v>
      </c>
      <c r="AN33" s="438"/>
      <c r="AO33" s="439"/>
      <c r="AP33" s="440" t="s">
        <v>57</v>
      </c>
      <c r="AQ33" s="441"/>
      <c r="AR33" s="438"/>
      <c r="AS33" s="442">
        <f t="shared" si="4"/>
        <v>20791</v>
      </c>
      <c r="AT33" s="443" t="str">
        <f>IFERROR(VLOOKUP($AS33,[1]TruckCenterReference!$C$26:$I56,3,FALSE), "")</f>
        <v/>
      </c>
      <c r="AU33" s="444" t="str">
        <f t="shared" si="5"/>
        <v>Review</v>
      </c>
      <c r="AV33" s="445"/>
      <c r="AW33" s="446" t="str">
        <f>IFERROR(VLOOKUP($AS33,[1]TruckCenterReference!$C$26:$I56,4,FALSE), "")</f>
        <v/>
      </c>
      <c r="AX33" s="444" t="str">
        <f t="shared" si="6"/>
        <v>Fix!</v>
      </c>
      <c r="AZ33" s="443" t="str">
        <f t="shared" si="7"/>
        <v>Rear Loader</v>
      </c>
      <c r="BA33" s="447" t="str">
        <f>IFERROR(VLOOKUP($AS33,[1]TruckCenterReference!$C$26:$I56,6,FALSE), "")</f>
        <v/>
      </c>
      <c r="BB33" s="444" t="str">
        <f t="shared" si="8"/>
        <v>Fix!</v>
      </c>
      <c r="BC33" s="445"/>
      <c r="BD33" s="446">
        <f>IFERROR(VLOOKUP($AS33,[1]TruckCenterReference!$C$26:$I56,7,FALSE), 0)</f>
        <v>0</v>
      </c>
      <c r="BE33" s="448">
        <f>IFERROR(VLOOKUP($AS33,[1]TruckCenterReference!$C$26:$K56,9,FALSE), 0)</f>
        <v>0</v>
      </c>
      <c r="BF33" s="446">
        <f>IFERROR(VLOOKUP($AS33,[1]TruckCenterReference!$C$26:$K56,8,FALSE), 0)</f>
        <v>0</v>
      </c>
      <c r="BG33" s="449" t="str">
        <f t="shared" si="9"/>
        <v/>
      </c>
      <c r="BH33" s="444" t="e">
        <f t="shared" si="10"/>
        <v>#VALUE!</v>
      </c>
    </row>
    <row r="34" spans="1:60" ht="63.75">
      <c r="A34" s="416" t="b">
        <f t="shared" si="1"/>
        <v>0</v>
      </c>
      <c r="B34" s="416" t="str">
        <f t="shared" si="2"/>
        <v>0005-1</v>
      </c>
      <c r="C34" s="420" t="s">
        <v>4806</v>
      </c>
      <c r="D34" s="421">
        <v>1</v>
      </c>
      <c r="E34" s="422"/>
      <c r="F34" s="423">
        <v>2111</v>
      </c>
      <c r="G34" s="423">
        <v>5</v>
      </c>
      <c r="H34" s="424">
        <v>1</v>
      </c>
      <c r="I34" s="425" t="s">
        <v>4807</v>
      </c>
      <c r="J34" s="425" t="s">
        <v>4807</v>
      </c>
      <c r="K34" s="425" t="s">
        <v>4808</v>
      </c>
      <c r="L34" s="426"/>
      <c r="M34" s="427" t="s">
        <v>4791</v>
      </c>
      <c r="N34" s="427" t="s">
        <v>4798</v>
      </c>
      <c r="O34" s="427" t="s">
        <v>4799</v>
      </c>
      <c r="P34" s="428">
        <v>10</v>
      </c>
      <c r="Q34" s="429" t="s">
        <v>4793</v>
      </c>
      <c r="R34" s="429" t="s">
        <v>4794</v>
      </c>
      <c r="S34" s="430">
        <v>20792</v>
      </c>
      <c r="T34" s="516">
        <v>0</v>
      </c>
      <c r="U34" s="432">
        <v>0</v>
      </c>
      <c r="V34" s="432">
        <v>0</v>
      </c>
      <c r="W34" s="432">
        <v>0</v>
      </c>
      <c r="X34" s="432">
        <v>0</v>
      </c>
      <c r="Y34" s="432">
        <v>0</v>
      </c>
      <c r="Z34" s="432">
        <v>0</v>
      </c>
      <c r="AA34" s="432">
        <v>0</v>
      </c>
      <c r="AB34" s="432">
        <v>0</v>
      </c>
      <c r="AC34" s="432">
        <v>0</v>
      </c>
      <c r="AD34" s="432">
        <v>0</v>
      </c>
      <c r="AE34" s="433">
        <v>203049</v>
      </c>
      <c r="AF34" s="434"/>
      <c r="AG34" s="435">
        <f t="shared" si="3"/>
        <v>203049</v>
      </c>
      <c r="AI34" s="428">
        <v>173284</v>
      </c>
      <c r="AJ34" s="436" t="s">
        <v>2336</v>
      </c>
      <c r="AK34" s="437" t="s">
        <v>4808</v>
      </c>
      <c r="AL34" s="428">
        <v>151</v>
      </c>
      <c r="AM34" s="424">
        <v>2011</v>
      </c>
      <c r="AN34" s="438"/>
      <c r="AO34" s="439"/>
      <c r="AP34" s="440" t="s">
        <v>57</v>
      </c>
      <c r="AQ34" s="441"/>
      <c r="AR34" s="438"/>
      <c r="AS34" s="442">
        <f t="shared" si="4"/>
        <v>20792</v>
      </c>
      <c r="AT34" s="443" t="str">
        <f>IFERROR(VLOOKUP($AS34,[1]TruckCenterReference!$C$26:$I57,3,FALSE), "")</f>
        <v/>
      </c>
      <c r="AU34" s="444" t="str">
        <f t="shared" si="5"/>
        <v>Review</v>
      </c>
      <c r="AV34" s="445"/>
      <c r="AW34" s="446" t="str">
        <f>IFERROR(VLOOKUP($AS34,[1]TruckCenterReference!$C$26:$I57,4,FALSE), "")</f>
        <v/>
      </c>
      <c r="AX34" s="444" t="str">
        <f t="shared" si="6"/>
        <v>Fix!</v>
      </c>
      <c r="AZ34" s="443" t="str">
        <f t="shared" si="7"/>
        <v>Rear Loader</v>
      </c>
      <c r="BA34" s="447" t="str">
        <f>IFERROR(VLOOKUP($AS34,[1]TruckCenterReference!$C$26:$I57,6,FALSE), "")</f>
        <v/>
      </c>
      <c r="BB34" s="444" t="str">
        <f t="shared" si="8"/>
        <v>Fix!</v>
      </c>
      <c r="BC34" s="445"/>
      <c r="BD34" s="446">
        <f>IFERROR(VLOOKUP($AS34,[1]TruckCenterReference!$C$26:$I57,7,FALSE), 0)</f>
        <v>0</v>
      </c>
      <c r="BE34" s="448">
        <f>IFERROR(VLOOKUP($AS34,[1]TruckCenterReference!$C$26:$K57,9,FALSE), 0)</f>
        <v>0</v>
      </c>
      <c r="BF34" s="446">
        <f>IFERROR(VLOOKUP($AS34,[1]TruckCenterReference!$C$26:$K57,8,FALSE), 0)</f>
        <v>0</v>
      </c>
      <c r="BG34" s="449" t="str">
        <f t="shared" si="9"/>
        <v/>
      </c>
      <c r="BH34" s="444" t="e">
        <f t="shared" si="10"/>
        <v>#VALUE!</v>
      </c>
    </row>
    <row r="35" spans="1:60" ht="63.75">
      <c r="A35" s="416" t="b">
        <f t="shared" si="1"/>
        <v>0</v>
      </c>
      <c r="B35" s="416" t="str">
        <f t="shared" si="2"/>
        <v>0006-1</v>
      </c>
      <c r="C35" s="420" t="s">
        <v>4809</v>
      </c>
      <c r="D35" s="421">
        <v>1</v>
      </c>
      <c r="E35" s="422"/>
      <c r="F35" s="423">
        <v>2111</v>
      </c>
      <c r="G35" s="423">
        <v>6</v>
      </c>
      <c r="H35" s="424">
        <v>1</v>
      </c>
      <c r="I35" s="425" t="s">
        <v>4810</v>
      </c>
      <c r="J35" s="425" t="s">
        <v>4810</v>
      </c>
      <c r="K35" s="425" t="s">
        <v>4811</v>
      </c>
      <c r="L35" s="426"/>
      <c r="M35" s="427" t="s">
        <v>3900</v>
      </c>
      <c r="N35" s="427" t="s">
        <v>2603</v>
      </c>
      <c r="O35" s="427" t="s">
        <v>4803</v>
      </c>
      <c r="P35" s="428">
        <v>10</v>
      </c>
      <c r="Q35" s="429" t="s">
        <v>410</v>
      </c>
      <c r="R35" s="429" t="s">
        <v>4794</v>
      </c>
      <c r="S35" s="430"/>
      <c r="T35" s="516">
        <v>0</v>
      </c>
      <c r="U35" s="432">
        <v>0</v>
      </c>
      <c r="V35" s="432">
        <v>0</v>
      </c>
      <c r="W35" s="432">
        <v>0</v>
      </c>
      <c r="X35" s="432">
        <v>0</v>
      </c>
      <c r="Y35" s="432">
        <v>0</v>
      </c>
      <c r="Z35" s="432">
        <v>0</v>
      </c>
      <c r="AA35" s="432">
        <v>0</v>
      </c>
      <c r="AB35" s="432">
        <v>0</v>
      </c>
      <c r="AC35" s="432">
        <v>140000</v>
      </c>
      <c r="AD35" s="432">
        <v>0</v>
      </c>
      <c r="AE35" s="433">
        <v>0</v>
      </c>
      <c r="AF35" s="434"/>
      <c r="AG35" s="435">
        <f t="shared" si="3"/>
        <v>140000</v>
      </c>
      <c r="AI35" s="428"/>
      <c r="AJ35" s="436"/>
      <c r="AK35" s="437" t="s">
        <v>4811</v>
      </c>
      <c r="AL35" s="428"/>
      <c r="AM35" s="424"/>
      <c r="AN35" s="438"/>
      <c r="AO35" s="439"/>
      <c r="AP35" s="440" t="s">
        <v>57</v>
      </c>
      <c r="AQ35" s="441"/>
      <c r="AR35" s="438"/>
      <c r="AS35" s="442" t="str">
        <f t="shared" si="4"/>
        <v/>
      </c>
      <c r="AT35" s="443" t="str">
        <f>IFERROR(VLOOKUP($AS35,[1]TruckCenterReference!$C$26:$I58,3,FALSE), "")</f>
        <v/>
      </c>
      <c r="AU35" s="444" t="str">
        <f t="shared" si="5"/>
        <v/>
      </c>
      <c r="AV35" s="445"/>
      <c r="AW35" s="446" t="str">
        <f>IFERROR(VLOOKUP($AS35,[1]TruckCenterReference!$C$26:$I58,4,FALSE), "")</f>
        <v/>
      </c>
      <c r="AX35" s="444" t="str">
        <f t="shared" si="6"/>
        <v/>
      </c>
      <c r="AZ35" s="443" t="str">
        <f t="shared" si="7"/>
        <v/>
      </c>
      <c r="BA35" s="447" t="str">
        <f>IFERROR(VLOOKUP($AS35,[1]TruckCenterReference!$C$26:$I58,6,FALSE), "")</f>
        <v/>
      </c>
      <c r="BB35" s="444" t="str">
        <f t="shared" si="8"/>
        <v/>
      </c>
      <c r="BC35" s="445"/>
      <c r="BD35" s="446">
        <f>IFERROR(VLOOKUP($AS35,[1]TruckCenterReference!$C$26:$I58,7,FALSE), 0)</f>
        <v>0</v>
      </c>
      <c r="BE35" s="448">
        <f>IFERROR(VLOOKUP($AS35,[1]TruckCenterReference!$C$26:$K58,9,FALSE), 0)</f>
        <v>0</v>
      </c>
      <c r="BF35" s="446">
        <f>IFERROR(VLOOKUP($AS35,[1]TruckCenterReference!$C$26:$K58,8,FALSE), 0)</f>
        <v>0</v>
      </c>
      <c r="BG35" s="449" t="str">
        <f t="shared" si="9"/>
        <v/>
      </c>
      <c r="BH35" s="444" t="str">
        <f t="shared" si="10"/>
        <v/>
      </c>
    </row>
    <row r="36" spans="1:60" ht="76.5">
      <c r="A36" s="416" t="b">
        <f t="shared" si="1"/>
        <v>0</v>
      </c>
      <c r="B36" s="416" t="str">
        <f t="shared" si="2"/>
        <v>0007-1</v>
      </c>
      <c r="C36" s="420" t="s">
        <v>4812</v>
      </c>
      <c r="D36" s="421">
        <v>1</v>
      </c>
      <c r="E36" s="3" t="s">
        <v>134</v>
      </c>
      <c r="F36" s="423">
        <v>2111</v>
      </c>
      <c r="G36" s="423">
        <v>7</v>
      </c>
      <c r="H36" s="424">
        <v>1</v>
      </c>
      <c r="I36" s="425" t="s">
        <v>4813</v>
      </c>
      <c r="J36" s="425" t="s">
        <v>4813</v>
      </c>
      <c r="K36" s="425" t="s">
        <v>4814</v>
      </c>
      <c r="L36" s="426"/>
      <c r="M36" s="427" t="s">
        <v>4815</v>
      </c>
      <c r="N36" s="427" t="s">
        <v>1041</v>
      </c>
      <c r="O36" s="427" t="s">
        <v>4816</v>
      </c>
      <c r="P36" s="428">
        <v>12</v>
      </c>
      <c r="Q36" s="429" t="s">
        <v>4793</v>
      </c>
      <c r="R36" s="429" t="s">
        <v>4794</v>
      </c>
      <c r="S36" s="430"/>
      <c r="T36" s="516">
        <v>0</v>
      </c>
      <c r="U36" s="432">
        <v>0</v>
      </c>
      <c r="V36" s="432">
        <v>0</v>
      </c>
      <c r="W36" s="432">
        <v>0</v>
      </c>
      <c r="X36" s="432">
        <v>0</v>
      </c>
      <c r="Y36" s="432">
        <v>0</v>
      </c>
      <c r="Z36" s="432">
        <v>395034</v>
      </c>
      <c r="AA36" s="432">
        <v>0</v>
      </c>
      <c r="AB36" s="432">
        <v>0</v>
      </c>
      <c r="AC36" s="432">
        <v>0</v>
      </c>
      <c r="AD36" s="432">
        <v>0</v>
      </c>
      <c r="AE36" s="433">
        <v>0</v>
      </c>
      <c r="AF36" s="434"/>
      <c r="AG36" s="435">
        <f t="shared" si="3"/>
        <v>395034</v>
      </c>
      <c r="AI36" s="428">
        <v>78335</v>
      </c>
      <c r="AJ36" s="436"/>
      <c r="AK36" s="437" t="s">
        <v>4814</v>
      </c>
      <c r="AL36" s="428"/>
      <c r="AM36" s="424">
        <v>2010</v>
      </c>
      <c r="AN36" s="438"/>
      <c r="AO36" s="439"/>
      <c r="AP36" s="440" t="s">
        <v>57</v>
      </c>
      <c r="AQ36" s="441"/>
      <c r="AR36" s="438"/>
      <c r="AS36" s="442" t="str">
        <f t="shared" si="4"/>
        <v/>
      </c>
      <c r="AT36" s="443" t="str">
        <f>IFERROR(VLOOKUP($AS36,[1]TruckCenterReference!$C$26:$I59,3,FALSE), "")</f>
        <v/>
      </c>
      <c r="AU36" s="444" t="str">
        <f t="shared" si="5"/>
        <v/>
      </c>
      <c r="AV36" s="445"/>
      <c r="AW36" s="446" t="str">
        <f>IFERROR(VLOOKUP($AS36,[1]TruckCenterReference!$C$26:$I59,4,FALSE), "")</f>
        <v/>
      </c>
      <c r="AX36" s="444" t="str">
        <f t="shared" si="6"/>
        <v/>
      </c>
      <c r="AZ36" s="443" t="str">
        <f t="shared" si="7"/>
        <v/>
      </c>
      <c r="BA36" s="447" t="str">
        <f>IFERROR(VLOOKUP($AS36,[1]TruckCenterReference!$C$26:$I59,6,FALSE), "")</f>
        <v/>
      </c>
      <c r="BB36" s="444" t="str">
        <f t="shared" si="8"/>
        <v/>
      </c>
      <c r="BC36" s="445"/>
      <c r="BD36" s="446">
        <f>IFERROR(VLOOKUP($AS36,[1]TruckCenterReference!$C$26:$I59,7,FALSE), 0)</f>
        <v>0</v>
      </c>
      <c r="BE36" s="448">
        <f>IFERROR(VLOOKUP($AS36,[1]TruckCenterReference!$C$26:$K59,9,FALSE), 0)</f>
        <v>0</v>
      </c>
      <c r="BF36" s="446">
        <f>IFERROR(VLOOKUP($AS36,[1]TruckCenterReference!$C$26:$K59,8,FALSE), 0)</f>
        <v>0</v>
      </c>
      <c r="BG36" s="449" t="str">
        <f t="shared" si="9"/>
        <v/>
      </c>
      <c r="BH36" s="444" t="str">
        <f t="shared" si="10"/>
        <v/>
      </c>
    </row>
    <row r="37" spans="1:60" ht="38.25">
      <c r="A37" s="416" t="b">
        <f t="shared" si="1"/>
        <v>0</v>
      </c>
      <c r="B37" s="416" t="str">
        <f t="shared" si="2"/>
        <v>0008-1</v>
      </c>
      <c r="C37" s="420" t="s">
        <v>4817</v>
      </c>
      <c r="D37" s="421">
        <v>1</v>
      </c>
      <c r="E37" s="3" t="s">
        <v>134</v>
      </c>
      <c r="F37" s="423">
        <v>2111</v>
      </c>
      <c r="G37" s="423">
        <v>8</v>
      </c>
      <c r="H37" s="424">
        <v>1</v>
      </c>
      <c r="I37" s="425" t="s">
        <v>4818</v>
      </c>
      <c r="J37" s="425" t="s">
        <v>4819</v>
      </c>
      <c r="K37" s="425" t="s">
        <v>4820</v>
      </c>
      <c r="L37" s="426"/>
      <c r="M37" s="427" t="s">
        <v>134</v>
      </c>
      <c r="N37" s="427" t="s">
        <v>134</v>
      </c>
      <c r="O37" s="427" t="s">
        <v>4821</v>
      </c>
      <c r="P37" s="428">
        <v>5</v>
      </c>
      <c r="Q37" s="429" t="s">
        <v>410</v>
      </c>
      <c r="R37" s="429" t="s">
        <v>4794</v>
      </c>
      <c r="S37" s="430"/>
      <c r="T37" s="516">
        <v>15000</v>
      </c>
      <c r="U37" s="432">
        <v>0</v>
      </c>
      <c r="V37" s="432">
        <v>0</v>
      </c>
      <c r="W37" s="432">
        <v>0</v>
      </c>
      <c r="X37" s="432">
        <v>0</v>
      </c>
      <c r="Y37" s="432">
        <v>0</v>
      </c>
      <c r="Z37" s="432">
        <v>0</v>
      </c>
      <c r="AA37" s="432">
        <v>0</v>
      </c>
      <c r="AB37" s="432">
        <v>0</v>
      </c>
      <c r="AC37" s="432">
        <v>0</v>
      </c>
      <c r="AD37" s="432">
        <v>0</v>
      </c>
      <c r="AE37" s="433">
        <v>0</v>
      </c>
      <c r="AF37" s="434"/>
      <c r="AG37" s="435">
        <f t="shared" si="3"/>
        <v>15000</v>
      </c>
      <c r="AI37" s="428"/>
      <c r="AJ37" s="436"/>
      <c r="AK37" s="437" t="s">
        <v>4820</v>
      </c>
      <c r="AL37" s="428"/>
      <c r="AM37" s="424"/>
      <c r="AN37" s="438"/>
      <c r="AO37" s="439"/>
      <c r="AP37" s="440" t="s">
        <v>57</v>
      </c>
      <c r="AQ37" s="441"/>
      <c r="AR37" s="438"/>
      <c r="AS37" s="442" t="str">
        <f t="shared" si="4"/>
        <v/>
      </c>
      <c r="AT37" s="443" t="str">
        <f>IFERROR(VLOOKUP($AS37,[1]TruckCenterReference!$C$26:$I60,3,FALSE), "")</f>
        <v/>
      </c>
      <c r="AU37" s="444" t="str">
        <f t="shared" si="5"/>
        <v/>
      </c>
      <c r="AV37" s="445"/>
      <c r="AW37" s="446" t="str">
        <f>IFERROR(VLOOKUP($AS37,[1]TruckCenterReference!$C$26:$I60,4,FALSE), "")</f>
        <v/>
      </c>
      <c r="AX37" s="444" t="str">
        <f t="shared" si="6"/>
        <v/>
      </c>
      <c r="AZ37" s="443" t="str">
        <f t="shared" si="7"/>
        <v/>
      </c>
      <c r="BA37" s="447" t="str">
        <f>IFERROR(VLOOKUP($AS37,[1]TruckCenterReference!$C$26:$I60,6,FALSE), "")</f>
        <v/>
      </c>
      <c r="BB37" s="444" t="str">
        <f t="shared" si="8"/>
        <v/>
      </c>
      <c r="BC37" s="445"/>
      <c r="BD37" s="446">
        <f>IFERROR(VLOOKUP($AS37,[1]TruckCenterReference!$C$26:$I60,7,FALSE), 0)</f>
        <v>0</v>
      </c>
      <c r="BE37" s="448">
        <f>IFERROR(VLOOKUP($AS37,[1]TruckCenterReference!$C$26:$K60,9,FALSE), 0)</f>
        <v>0</v>
      </c>
      <c r="BF37" s="446">
        <f>IFERROR(VLOOKUP($AS37,[1]TruckCenterReference!$C$26:$K60,8,FALSE), 0)</f>
        <v>0</v>
      </c>
      <c r="BG37" s="449" t="str">
        <f t="shared" si="9"/>
        <v/>
      </c>
      <c r="BH37" s="444" t="str">
        <f t="shared" si="10"/>
        <v/>
      </c>
    </row>
    <row r="38" spans="1:60" ht="38.25">
      <c r="A38" s="416" t="b">
        <f t="shared" si="1"/>
        <v>0</v>
      </c>
      <c r="B38" s="416" t="str">
        <f t="shared" si="2"/>
        <v>0039-1</v>
      </c>
      <c r="C38" s="420" t="s">
        <v>4822</v>
      </c>
      <c r="D38" s="421">
        <v>1</v>
      </c>
      <c r="E38" s="3" t="s">
        <v>125</v>
      </c>
      <c r="F38" s="423">
        <v>2111</v>
      </c>
      <c r="G38" s="423">
        <v>39</v>
      </c>
      <c r="H38" s="424">
        <v>1</v>
      </c>
      <c r="I38" s="425" t="s">
        <v>4823</v>
      </c>
      <c r="J38" s="425" t="s">
        <v>4823</v>
      </c>
      <c r="K38" s="425" t="s">
        <v>4824</v>
      </c>
      <c r="L38" s="426"/>
      <c r="M38" s="427" t="s">
        <v>4791</v>
      </c>
      <c r="N38" s="427" t="s">
        <v>4659</v>
      </c>
      <c r="O38" s="427" t="s">
        <v>4792</v>
      </c>
      <c r="P38" s="428">
        <v>10</v>
      </c>
      <c r="Q38" s="429" t="s">
        <v>4793</v>
      </c>
      <c r="R38" s="429" t="s">
        <v>4794</v>
      </c>
      <c r="S38" s="430">
        <v>19691</v>
      </c>
      <c r="T38" s="516">
        <v>0</v>
      </c>
      <c r="U38" s="432">
        <v>264971</v>
      </c>
      <c r="V38" s="432">
        <v>0</v>
      </c>
      <c r="W38" s="432">
        <v>0</v>
      </c>
      <c r="X38" s="432">
        <v>0</v>
      </c>
      <c r="Y38" s="432">
        <v>0</v>
      </c>
      <c r="Z38" s="432">
        <v>0</v>
      </c>
      <c r="AA38" s="432">
        <v>0</v>
      </c>
      <c r="AB38" s="432">
        <v>0</v>
      </c>
      <c r="AC38" s="432">
        <v>0</v>
      </c>
      <c r="AD38" s="432">
        <v>0</v>
      </c>
      <c r="AE38" s="433">
        <v>0</v>
      </c>
      <c r="AF38" s="434"/>
      <c r="AG38" s="435">
        <f t="shared" si="3"/>
        <v>264971</v>
      </c>
      <c r="AI38" s="428"/>
      <c r="AJ38" s="436"/>
      <c r="AK38" s="437" t="s">
        <v>4824</v>
      </c>
      <c r="AL38" s="428">
        <v>3621</v>
      </c>
      <c r="AM38" s="424">
        <v>2009</v>
      </c>
      <c r="AN38" s="438"/>
      <c r="AO38" s="439"/>
      <c r="AP38" s="440" t="s">
        <v>57</v>
      </c>
      <c r="AQ38" s="441"/>
      <c r="AR38" s="438"/>
      <c r="AS38" s="442">
        <f t="shared" si="4"/>
        <v>19691</v>
      </c>
      <c r="AT38" s="443" t="str">
        <f>IFERROR(VLOOKUP($AS38,[1]TruckCenterReference!$C$26:$I61,3,FALSE), "")</f>
        <v/>
      </c>
      <c r="AU38" s="444" t="str">
        <f t="shared" si="5"/>
        <v>Review</v>
      </c>
      <c r="AV38" s="445"/>
      <c r="AW38" s="446" t="str">
        <f>IFERROR(VLOOKUP($AS38,[1]TruckCenterReference!$C$26:$I61,4,FALSE), "")</f>
        <v/>
      </c>
      <c r="AX38" s="444" t="str">
        <f t="shared" si="6"/>
        <v>Fix!</v>
      </c>
      <c r="AZ38" s="443" t="str">
        <f t="shared" si="7"/>
        <v>Automated Sideloader</v>
      </c>
      <c r="BA38" s="447" t="str">
        <f>IFERROR(VLOOKUP($AS38,[1]TruckCenterReference!$C$26:$I61,6,FALSE), "")</f>
        <v/>
      </c>
      <c r="BB38" s="444" t="str">
        <f t="shared" si="8"/>
        <v>Fix!</v>
      </c>
      <c r="BC38" s="445"/>
      <c r="BD38" s="446">
        <f>IFERROR(VLOOKUP($AS38,[1]TruckCenterReference!$C$26:$I61,7,FALSE), 0)</f>
        <v>0</v>
      </c>
      <c r="BE38" s="448">
        <f>IFERROR(VLOOKUP($AS38,[1]TruckCenterReference!$C$26:$K61,9,FALSE), 0)</f>
        <v>0</v>
      </c>
      <c r="BF38" s="446">
        <f>IFERROR(VLOOKUP($AS38,[1]TruckCenterReference!$C$26:$K61,8,FALSE), 0)</f>
        <v>0</v>
      </c>
      <c r="BG38" s="449" t="str">
        <f t="shared" si="9"/>
        <v/>
      </c>
      <c r="BH38" s="444" t="e">
        <f t="shared" si="10"/>
        <v>#VALUE!</v>
      </c>
    </row>
    <row r="39" spans="1:60" ht="51">
      <c r="A39" s="416" t="b">
        <f t="shared" si="1"/>
        <v>0</v>
      </c>
      <c r="B39" s="416" t="str">
        <f t="shared" si="2"/>
        <v>0040-1</v>
      </c>
      <c r="C39" s="420" t="s">
        <v>4825</v>
      </c>
      <c r="D39" s="421">
        <v>1</v>
      </c>
      <c r="E39" s="3" t="s">
        <v>125</v>
      </c>
      <c r="F39" s="423">
        <v>2111</v>
      </c>
      <c r="G39" s="423">
        <v>40</v>
      </c>
      <c r="H39" s="424">
        <v>1</v>
      </c>
      <c r="I39" s="425" t="s">
        <v>4823</v>
      </c>
      <c r="J39" s="425" t="s">
        <v>4823</v>
      </c>
      <c r="K39" s="425" t="s">
        <v>4826</v>
      </c>
      <c r="L39" s="426"/>
      <c r="M39" s="427" t="s">
        <v>4791</v>
      </c>
      <c r="N39" s="427" t="s">
        <v>4659</v>
      </c>
      <c r="O39" s="427" t="s">
        <v>4792</v>
      </c>
      <c r="P39" s="428">
        <v>10</v>
      </c>
      <c r="Q39" s="429" t="s">
        <v>4793</v>
      </c>
      <c r="R39" s="429" t="s">
        <v>4794</v>
      </c>
      <c r="S39" s="430">
        <v>19686</v>
      </c>
      <c r="T39" s="516">
        <v>0</v>
      </c>
      <c r="U39" s="432">
        <v>265971</v>
      </c>
      <c r="V39" s="432">
        <v>0</v>
      </c>
      <c r="W39" s="432">
        <v>0</v>
      </c>
      <c r="X39" s="432">
        <v>0</v>
      </c>
      <c r="Y39" s="432">
        <v>0</v>
      </c>
      <c r="Z39" s="432">
        <v>0</v>
      </c>
      <c r="AA39" s="432">
        <v>0</v>
      </c>
      <c r="AB39" s="432">
        <v>0</v>
      </c>
      <c r="AC39" s="432">
        <v>0</v>
      </c>
      <c r="AD39" s="432">
        <v>0</v>
      </c>
      <c r="AE39" s="433">
        <v>0</v>
      </c>
      <c r="AF39" s="434"/>
      <c r="AG39" s="435">
        <f t="shared" si="3"/>
        <v>265971</v>
      </c>
      <c r="AI39" s="428"/>
      <c r="AJ39" s="436"/>
      <c r="AK39" s="437" t="s">
        <v>4826</v>
      </c>
      <c r="AL39" s="428">
        <v>3615</v>
      </c>
      <c r="AM39" s="424">
        <v>2007</v>
      </c>
      <c r="AN39" s="438"/>
      <c r="AO39" s="439"/>
      <c r="AP39" s="440" t="s">
        <v>57</v>
      </c>
      <c r="AQ39" s="441"/>
      <c r="AR39" s="438"/>
      <c r="AS39" s="442">
        <f t="shared" si="4"/>
        <v>19686</v>
      </c>
      <c r="AT39" s="443" t="str">
        <f>IFERROR(VLOOKUP($AS39,[1]TruckCenterReference!$C$26:$I62,3,FALSE), "")</f>
        <v/>
      </c>
      <c r="AU39" s="444" t="str">
        <f t="shared" si="5"/>
        <v>Review</v>
      </c>
      <c r="AV39" s="445"/>
      <c r="AW39" s="446" t="str">
        <f>IFERROR(VLOOKUP($AS39,[1]TruckCenterReference!$C$26:$I62,4,FALSE), "")</f>
        <v/>
      </c>
      <c r="AX39" s="444" t="str">
        <f t="shared" si="6"/>
        <v>Fix!</v>
      </c>
      <c r="AZ39" s="443" t="str">
        <f t="shared" si="7"/>
        <v>Automated Sideloader</v>
      </c>
      <c r="BA39" s="447" t="str">
        <f>IFERROR(VLOOKUP($AS39,[1]TruckCenterReference!$C$26:$I62,6,FALSE), "")</f>
        <v/>
      </c>
      <c r="BB39" s="444" t="str">
        <f t="shared" si="8"/>
        <v>Fix!</v>
      </c>
      <c r="BC39" s="445"/>
      <c r="BD39" s="446">
        <f>IFERROR(VLOOKUP($AS39,[1]TruckCenterReference!$C$26:$I62,7,FALSE), 0)</f>
        <v>0</v>
      </c>
      <c r="BE39" s="448">
        <f>IFERROR(VLOOKUP($AS39,[1]TruckCenterReference!$C$26:$K62,9,FALSE), 0)</f>
        <v>0</v>
      </c>
      <c r="BF39" s="446">
        <f>IFERROR(VLOOKUP($AS39,[1]TruckCenterReference!$C$26:$K62,8,FALSE), 0)</f>
        <v>0</v>
      </c>
      <c r="BG39" s="449" t="str">
        <f t="shared" si="9"/>
        <v/>
      </c>
      <c r="BH39" s="444" t="e">
        <f t="shared" si="10"/>
        <v>#VALUE!</v>
      </c>
    </row>
    <row r="40" spans="1:60">
      <c r="A40" s="416" t="b">
        <f t="shared" si="1"/>
        <v>0</v>
      </c>
      <c r="B40" s="416" t="str">
        <f t="shared" si="2"/>
        <v/>
      </c>
      <c r="C40" s="420" t="s">
        <v>4827</v>
      </c>
      <c r="D40" s="421">
        <v>1</v>
      </c>
      <c r="E40" s="422"/>
      <c r="F40" s="423"/>
      <c r="G40" s="423"/>
      <c r="H40" s="424"/>
      <c r="I40" s="425" t="s">
        <v>4827</v>
      </c>
      <c r="J40" s="425" t="s">
        <v>4827</v>
      </c>
      <c r="K40" s="425" t="s">
        <v>4827</v>
      </c>
      <c r="L40" s="426"/>
      <c r="M40" s="427" t="s">
        <v>4827</v>
      </c>
      <c r="N40" s="427" t="s">
        <v>4827</v>
      </c>
      <c r="O40" s="427"/>
      <c r="P40" s="428"/>
      <c r="Q40" s="429" t="s">
        <v>4827</v>
      </c>
      <c r="R40" s="429" t="s">
        <v>4827</v>
      </c>
      <c r="S40" s="430"/>
      <c r="T40" s="431">
        <v>0</v>
      </c>
      <c r="U40" s="432">
        <v>0</v>
      </c>
      <c r="V40" s="432">
        <v>0</v>
      </c>
      <c r="W40" s="432">
        <v>0</v>
      </c>
      <c r="X40" s="432">
        <v>0</v>
      </c>
      <c r="Y40" s="432">
        <v>0</v>
      </c>
      <c r="Z40" s="432">
        <v>0</v>
      </c>
      <c r="AA40" s="432">
        <v>0</v>
      </c>
      <c r="AB40" s="432">
        <v>0</v>
      </c>
      <c r="AC40" s="432">
        <v>0</v>
      </c>
      <c r="AD40" s="432">
        <v>0</v>
      </c>
      <c r="AE40" s="433">
        <v>0</v>
      </c>
      <c r="AF40" s="434"/>
      <c r="AG40" s="435">
        <f t="shared" si="3"/>
        <v>0</v>
      </c>
      <c r="AI40" s="428"/>
      <c r="AJ40" s="436"/>
      <c r="AK40" s="437" t="s">
        <v>4827</v>
      </c>
      <c r="AL40" s="428"/>
      <c r="AM40" s="424"/>
      <c r="AN40" s="438"/>
      <c r="AO40" s="439"/>
      <c r="AP40" s="440" t="s">
        <v>57</v>
      </c>
      <c r="AQ40" s="441"/>
      <c r="AR40" s="438"/>
      <c r="AS40" s="442" t="str">
        <f t="shared" si="4"/>
        <v/>
      </c>
      <c r="AT40" s="443" t="str">
        <f>IFERROR(VLOOKUP($AS40,[1]TruckCenterReference!$C$26:$I63,3,FALSE), "")</f>
        <v/>
      </c>
      <c r="AU40" s="444" t="str">
        <f t="shared" si="5"/>
        <v/>
      </c>
      <c r="AV40" s="445"/>
      <c r="AW40" s="446" t="str">
        <f>IFERROR(VLOOKUP($AS40,[1]TruckCenterReference!$C$26:$I63,4,FALSE), "")</f>
        <v/>
      </c>
      <c r="AX40" s="444" t="str">
        <f t="shared" si="6"/>
        <v/>
      </c>
      <c r="AZ40" s="443" t="str">
        <f t="shared" si="7"/>
        <v/>
      </c>
      <c r="BA40" s="447" t="str">
        <f>IFERROR(VLOOKUP($AS40,[1]TruckCenterReference!$C$26:$I63,6,FALSE), "")</f>
        <v/>
      </c>
      <c r="BB40" s="444" t="str">
        <f t="shared" si="8"/>
        <v/>
      </c>
      <c r="BC40" s="445"/>
      <c r="BD40" s="446">
        <f>IFERROR(VLOOKUP($AS40,[1]TruckCenterReference!$C$26:$I63,7,FALSE), 0)</f>
        <v>0</v>
      </c>
      <c r="BE40" s="448">
        <f>IFERROR(VLOOKUP($AS40,[1]TruckCenterReference!$C$26:$K63,9,FALSE), 0)</f>
        <v>0</v>
      </c>
      <c r="BF40" s="446">
        <f>IFERROR(VLOOKUP($AS40,[1]TruckCenterReference!$C$26:$K63,8,FALSE), 0)</f>
        <v>0</v>
      </c>
      <c r="BG40" s="449" t="str">
        <f t="shared" si="9"/>
        <v/>
      </c>
      <c r="BH40" s="444" t="str">
        <f t="shared" si="10"/>
        <v/>
      </c>
    </row>
    <row r="41" spans="1:60">
      <c r="E41" s="502" t="s">
        <v>4828</v>
      </c>
      <c r="F41" s="502"/>
      <c r="G41" s="503"/>
      <c r="H41" s="504"/>
      <c r="I41" s="461"/>
      <c r="J41" s="461"/>
      <c r="K41" s="461"/>
      <c r="L41" s="461"/>
      <c r="M41" s="461"/>
      <c r="N41" s="461"/>
      <c r="O41" s="461"/>
      <c r="P41" s="434"/>
      <c r="Q41" s="434"/>
      <c r="R41" s="434"/>
      <c r="S41" s="434"/>
      <c r="T41" s="505"/>
      <c r="U41" s="505"/>
      <c r="V41" s="505"/>
      <c r="W41" s="505"/>
      <c r="X41" s="505"/>
      <c r="Y41" s="505"/>
      <c r="Z41" s="505"/>
      <c r="AA41" s="505"/>
      <c r="AB41" s="505"/>
      <c r="AC41" s="505"/>
      <c r="AD41" s="505"/>
      <c r="AE41" s="505"/>
      <c r="AF41" s="434"/>
      <c r="AG41" s="506"/>
      <c r="AI41" s="434"/>
      <c r="AJ41" s="434"/>
      <c r="AK41" s="434"/>
      <c r="AL41" s="434"/>
      <c r="AM41" s="434"/>
      <c r="AO41" s="434"/>
    </row>
    <row r="42" spans="1:60" ht="15.75" thickBot="1">
      <c r="R42" s="507"/>
      <c r="S42" s="508" t="s">
        <v>4829</v>
      </c>
      <c r="T42" s="509">
        <f t="shared" ref="T42:AE42" si="11">SUM(T29:T41)</f>
        <v>15000</v>
      </c>
      <c r="U42" s="509">
        <f t="shared" si="11"/>
        <v>530942</v>
      </c>
      <c r="V42" s="509">
        <f t="shared" si="11"/>
        <v>382013</v>
      </c>
      <c r="W42" s="509">
        <f t="shared" si="11"/>
        <v>0</v>
      </c>
      <c r="X42" s="509">
        <f t="shared" si="11"/>
        <v>0</v>
      </c>
      <c r="Y42" s="509">
        <f t="shared" si="11"/>
        <v>63529</v>
      </c>
      <c r="Z42" s="509">
        <f t="shared" si="11"/>
        <v>395034</v>
      </c>
      <c r="AA42" s="509">
        <f t="shared" si="11"/>
        <v>0</v>
      </c>
      <c r="AB42" s="509">
        <f t="shared" si="11"/>
        <v>376560</v>
      </c>
      <c r="AC42" s="509">
        <f t="shared" si="11"/>
        <v>652007</v>
      </c>
      <c r="AD42" s="509">
        <f t="shared" si="11"/>
        <v>0</v>
      </c>
      <c r="AE42" s="509">
        <f t="shared" si="11"/>
        <v>203049</v>
      </c>
      <c r="AF42" s="500"/>
      <c r="AG42" s="509">
        <f>SUM(AG29:AG41)</f>
        <v>2618134</v>
      </c>
      <c r="AI42" s="434"/>
      <c r="AJ42" s="434"/>
      <c r="AK42" s="434"/>
      <c r="AL42" s="434"/>
      <c r="AM42" s="434"/>
      <c r="AO42" s="434"/>
    </row>
    <row r="43" spans="1:60" ht="16.5" thickTop="1" thickBot="1">
      <c r="E43" s="461"/>
      <c r="F43" s="461"/>
      <c r="G43" s="461"/>
      <c r="H43" s="461"/>
      <c r="I43" s="461"/>
      <c r="J43" s="461"/>
      <c r="K43" s="461"/>
      <c r="L43" s="461"/>
      <c r="M43" s="461"/>
      <c r="N43" s="461"/>
      <c r="O43" s="461"/>
      <c r="P43" s="434"/>
      <c r="Q43" s="434"/>
      <c r="R43" s="434"/>
      <c r="S43" s="434"/>
      <c r="T43" s="505"/>
      <c r="U43" s="505"/>
      <c r="V43" s="505"/>
      <c r="W43" s="505"/>
      <c r="X43" s="505"/>
      <c r="Y43" s="505"/>
      <c r="Z43" s="505"/>
      <c r="AA43" s="505"/>
      <c r="AB43" s="505"/>
      <c r="AC43" s="505"/>
      <c r="AD43" s="505"/>
      <c r="AE43" s="505"/>
      <c r="AF43" s="434"/>
      <c r="AG43" s="510"/>
      <c r="AI43" s="434"/>
      <c r="AJ43" s="434"/>
      <c r="AK43" s="434"/>
      <c r="AL43" s="434"/>
      <c r="AM43" s="434"/>
      <c r="AO43" s="434"/>
    </row>
    <row r="44" spans="1:60">
      <c r="T44" s="519"/>
      <c r="U44" s="520"/>
      <c r="V44" s="520"/>
      <c r="W44" s="520"/>
      <c r="X44" s="520"/>
      <c r="Y44" s="520"/>
      <c r="Z44" s="521"/>
      <c r="AF44" s="434"/>
    </row>
    <row r="45" spans="1:60">
      <c r="T45" s="522"/>
      <c r="U45" s="531" t="s">
        <v>4860</v>
      </c>
      <c r="V45" s="530" t="s">
        <v>4830</v>
      </c>
      <c r="W45" s="530" t="s">
        <v>1413</v>
      </c>
      <c r="X45" s="530" t="s">
        <v>4831</v>
      </c>
      <c r="Y45" s="530" t="s">
        <v>4832</v>
      </c>
      <c r="Z45" s="523"/>
      <c r="AG45" s="511"/>
    </row>
    <row r="46" spans="1:60">
      <c r="T46" s="524"/>
      <c r="U46" s="3" t="s">
        <v>125</v>
      </c>
      <c r="V46" s="511">
        <f>+U39+U38+V31+AE34+AC30+AB33</f>
        <v>2004571</v>
      </c>
      <c r="W46" s="416">
        <v>10</v>
      </c>
      <c r="X46" s="525">
        <f>+V46/W46</f>
        <v>200457.1</v>
      </c>
      <c r="Y46" s="511">
        <f>+V46-X46</f>
        <v>1804113.9</v>
      </c>
      <c r="Z46" s="523"/>
    </row>
    <row r="47" spans="1:60">
      <c r="T47" s="522"/>
      <c r="U47" s="3" t="s">
        <v>133</v>
      </c>
      <c r="V47" s="511">
        <f>+Y32</f>
        <v>63529</v>
      </c>
      <c r="W47" s="416">
        <v>5</v>
      </c>
      <c r="X47" s="525">
        <f t="shared" ref="X47:X48" si="12">+V47/W47</f>
        <v>12705.8</v>
      </c>
      <c r="Y47" s="511">
        <f t="shared" ref="Y47:Y48" si="13">+V47-X47</f>
        <v>50823.199999999997</v>
      </c>
      <c r="Z47" s="523"/>
    </row>
    <row r="48" spans="1:60">
      <c r="T48" s="522"/>
      <c r="U48" s="3" t="s">
        <v>134</v>
      </c>
      <c r="V48" s="511">
        <f>+T37+Z36</f>
        <v>410034</v>
      </c>
      <c r="W48" s="416">
        <v>5</v>
      </c>
      <c r="X48" s="525">
        <f t="shared" si="12"/>
        <v>82006.8</v>
      </c>
      <c r="Y48" s="511">
        <f t="shared" si="13"/>
        <v>328027.2</v>
      </c>
      <c r="Z48" s="523"/>
    </row>
    <row r="49" spans="13:26">
      <c r="T49" s="522"/>
      <c r="U49" s="526" t="s">
        <v>2603</v>
      </c>
      <c r="V49" s="511">
        <f>+AC35</f>
        <v>140000</v>
      </c>
      <c r="W49" s="416">
        <v>20</v>
      </c>
      <c r="X49" s="525">
        <f t="shared" ref="X49" si="14">+V49/W49</f>
        <v>7000</v>
      </c>
      <c r="Y49" s="511">
        <f t="shared" ref="Y49" si="15">+V49-X49</f>
        <v>133000</v>
      </c>
      <c r="Z49" s="523"/>
    </row>
    <row r="50" spans="13:26">
      <c r="M50" s="512"/>
      <c r="N50" s="512"/>
      <c r="O50" s="512"/>
      <c r="T50" s="522"/>
      <c r="U50" s="526"/>
      <c r="X50" s="525"/>
      <c r="Y50" s="511"/>
      <c r="Z50" s="523"/>
    </row>
    <row r="51" spans="13:26" ht="15.75" thickBot="1">
      <c r="T51" s="522"/>
      <c r="V51" s="517">
        <f>SUM(V46:V50)</f>
        <v>2618134</v>
      </c>
      <c r="W51" s="518"/>
      <c r="X51" s="517">
        <f>SUM(X46:X50)</f>
        <v>302169.7</v>
      </c>
      <c r="Y51" s="517">
        <f>SUM(Y46:Y50)</f>
        <v>2315964.2999999998</v>
      </c>
      <c r="Z51" s="523"/>
    </row>
    <row r="52" spans="13:26" ht="15.75" thickTop="1">
      <c r="T52" s="522"/>
      <c r="V52" s="511">
        <f>+AG42-V51</f>
        <v>0</v>
      </c>
      <c r="X52" s="512"/>
      <c r="Z52" s="523"/>
    </row>
    <row r="53" spans="13:26" ht="15.75" thickBot="1">
      <c r="T53" s="527"/>
      <c r="U53" s="528"/>
      <c r="V53" s="528"/>
      <c r="W53" s="528"/>
      <c r="X53" s="528"/>
      <c r="Y53" s="528"/>
      <c r="Z53" s="529"/>
    </row>
    <row r="57" spans="13:26">
      <c r="M57" s="512"/>
      <c r="N57" s="512"/>
      <c r="O57" s="512"/>
    </row>
  </sheetData>
  <conditionalFormatting sqref="AU6">
    <cfRule type="cellIs" dxfId="11" priority="7" operator="equal">
      <formula>"Review"</formula>
    </cfRule>
  </conditionalFormatting>
  <conditionalFormatting sqref="AU30:AU40">
    <cfRule type="cellIs" dxfId="10" priority="2" operator="equal">
      <formula>"Review"</formula>
    </cfRule>
  </conditionalFormatting>
  <conditionalFormatting sqref="AX6">
    <cfRule type="cellIs" dxfId="9" priority="6" operator="equal">
      <formula>"Fix!"</formula>
    </cfRule>
  </conditionalFormatting>
  <conditionalFormatting sqref="AX30:AX40">
    <cfRule type="cellIs" dxfId="8" priority="1" operator="equal">
      <formula>"Fix!"</formula>
    </cfRule>
  </conditionalFormatting>
  <conditionalFormatting sqref="BB6">
    <cfRule type="cellIs" dxfId="7" priority="10" operator="equal">
      <formula>"Fix!"</formula>
    </cfRule>
  </conditionalFormatting>
  <conditionalFormatting sqref="BB30:BB40">
    <cfRule type="cellIs" dxfId="6" priority="5" operator="equal">
      <formula>"Fix!"</formula>
    </cfRule>
  </conditionalFormatting>
  <conditionalFormatting sqref="BH6">
    <cfRule type="cellIs" dxfId="5" priority="8" operator="equal">
      <formula>"Review"</formula>
    </cfRule>
    <cfRule type="cellIs" dxfId="4" priority="9" operator="equal">
      <formula>"Fix!"</formula>
    </cfRule>
  </conditionalFormatting>
  <conditionalFormatting sqref="BH30:BH40">
    <cfRule type="cellIs" dxfId="3" priority="3" operator="equal">
      <formula>"Review"</formula>
    </cfRule>
    <cfRule type="cellIs" dxfId="2" priority="4" operator="equal">
      <formula>"Fix!"</formula>
    </cfRule>
  </conditionalFormatting>
  <dataValidations count="6">
    <dataValidation type="list" allowBlank="1" showInputMessage="1" showErrorMessage="1" sqref="E6 E30:E40 U47:U48" xr:uid="{837EE97A-BE18-40E3-98B5-CFACD2015B54}">
      <formula1>"Delete!"</formula1>
    </dataValidation>
    <dataValidation type="list" allowBlank="1" showInputMessage="1" showErrorMessage="1" sqref="Q6 Q30:Q40" xr:uid="{485BBD4B-3BA5-4E73-8FE2-1AB06668EA26}">
      <formula1>"A,R"</formula1>
    </dataValidation>
    <dataValidation type="list" allowBlank="1" showInputMessage="1" showErrorMessage="1" sqref="R6 R30:R40" xr:uid="{C02B1017-1D48-45E2-B155-6412A29F90F5}">
      <formula1>"N,U"</formula1>
    </dataValidation>
    <dataValidation type="list" allowBlank="1" showInputMessage="1" showErrorMessage="1" sqref="J15" xr:uid="{C1161D2F-20F4-401E-837B-2F88AE5A7724}">
      <formula1>I19</formula1>
    </dataValidation>
    <dataValidation type="list" allowBlank="1" showInputMessage="1" showErrorMessage="1" sqref="S30:S39" xr:uid="{044174F1-8565-457F-B7D5-484647FC8D57}">
      <formula1>"19686,19691,20781,20787,20791,20792,20799"</formula1>
    </dataValidation>
    <dataValidation type="list" allowBlank="1" showInputMessage="1" showErrorMessage="1" sqref="S40" xr:uid="{492400AB-FAE9-43BA-963F-5955900EE859}">
      <formula1>",,19686,19691,20781,20787,20791,20792,20799"</formula1>
    </dataValidation>
  </dataValidations>
  <pageMargins left="0.75" right="0.75" top="1" bottom="1" header="0.5" footer="0.5"/>
  <pageSetup scale="50" fitToHeight="0"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codeName="Sheet2">
    <tabColor rgb="FFFFFF00"/>
  </sheetPr>
  <dimension ref="A1:BA348"/>
  <sheetViews>
    <sheetView tabSelected="1" view="pageBreakPreview" topLeftCell="A207" zoomScale="60" zoomScaleNormal="100" workbookViewId="0">
      <selection activeCell="H4" sqref="H4:H6"/>
    </sheetView>
  </sheetViews>
  <sheetFormatPr defaultColWidth="9.77734375" defaultRowHeight="15" outlineLevelRow="1"/>
  <cols>
    <col min="1" max="1" width="2.21875" style="3" customWidth="1"/>
    <col min="2" max="2" width="6.88671875" style="3" customWidth="1"/>
    <col min="3" max="3" width="6.77734375" style="3" customWidth="1"/>
    <col min="4" max="4" width="5" style="3" customWidth="1"/>
    <col min="5" max="5" width="42.77734375" style="3" bestFit="1" customWidth="1"/>
    <col min="6" max="6" width="5.6640625" style="3" customWidth="1"/>
    <col min="7" max="7" width="4.88671875" style="3" bestFit="1" customWidth="1"/>
    <col min="8" max="8" width="15.109375" style="3" customWidth="1"/>
    <col min="9" max="9" width="9.109375" style="3" customWidth="1"/>
    <col min="10" max="10" width="5.77734375" style="3" customWidth="1"/>
    <col min="11" max="11" width="10.109375" style="3" customWidth="1"/>
    <col min="12" max="12" width="10" style="198" bestFit="1" customWidth="1"/>
    <col min="13" max="13" width="13.109375" style="3" bestFit="1" customWidth="1"/>
    <col min="14" max="14" width="12.6640625" style="3" bestFit="1" customWidth="1"/>
    <col min="15" max="15" width="9.44140625" style="3" customWidth="1"/>
    <col min="16" max="16" width="12" style="3" bestFit="1" customWidth="1"/>
    <col min="17" max="17" width="12.88671875" style="3" bestFit="1" customWidth="1"/>
    <col min="18" max="18" width="2.21875" style="3" customWidth="1"/>
    <col min="19" max="20" width="13.77734375" style="3" bestFit="1" customWidth="1"/>
    <col min="21" max="21" width="12.109375" style="3" bestFit="1" customWidth="1"/>
    <col min="22" max="22" width="11.21875" style="3" customWidth="1"/>
    <col min="23" max="23" width="18.44140625" style="3" customWidth="1"/>
    <col min="24" max="47" width="9.77734375" style="3"/>
    <col min="48" max="49" width="9.88671875" style="3" bestFit="1" customWidth="1"/>
    <col min="50" max="51" width="9.77734375" style="3"/>
    <col min="52" max="52" width="9.88671875" style="3" bestFit="1" customWidth="1"/>
    <col min="53" max="16384" width="9.77734375" style="3"/>
  </cols>
  <sheetData>
    <row r="1" spans="2:53" s="1" customFormat="1">
      <c r="E1" s="1" t="s">
        <v>101</v>
      </c>
    </row>
    <row r="2" spans="2:53" s="1" customFormat="1">
      <c r="E2" s="1" t="s">
        <v>0</v>
      </c>
      <c r="N2" s="335">
        <v>4</v>
      </c>
      <c r="O2" s="339" t="s">
        <v>4166</v>
      </c>
      <c r="AW2" s="1" t="s">
        <v>2</v>
      </c>
    </row>
    <row r="3" spans="2:53" s="1" customFormat="1">
      <c r="E3" s="220">
        <f>Summary!G6</f>
        <v>45747</v>
      </c>
      <c r="N3" s="335">
        <v>3</v>
      </c>
      <c r="O3" s="339" t="s">
        <v>4167</v>
      </c>
      <c r="U3" s="405" t="s">
        <v>4662</v>
      </c>
      <c r="V3" s="406">
        <v>42522</v>
      </c>
      <c r="W3" s="343"/>
      <c r="X3" s="1">
        <f>125*0.5</f>
        <v>62.5</v>
      </c>
    </row>
    <row r="4" spans="2:53" s="1" customFormat="1">
      <c r="N4" s="336">
        <v>2024</v>
      </c>
      <c r="O4" s="339" t="s">
        <v>888</v>
      </c>
      <c r="U4" s="405" t="s">
        <v>4662</v>
      </c>
      <c r="V4" s="406">
        <v>43466</v>
      </c>
      <c r="W4" s="409">
        <f>+DATEDIF(V3,V4,"M")/12</f>
        <v>2.5833333333333335</v>
      </c>
      <c r="X4" s="170">
        <v>125</v>
      </c>
      <c r="AV4" s="1">
        <v>1</v>
      </c>
      <c r="AW4" s="1" t="s">
        <v>9</v>
      </c>
      <c r="AZ4" s="1">
        <v>12</v>
      </c>
      <c r="BA4" s="1" t="s">
        <v>10</v>
      </c>
    </row>
    <row r="5" spans="2:53" s="1" customFormat="1">
      <c r="N5" s="336">
        <v>2025</v>
      </c>
      <c r="O5" s="339" t="s">
        <v>11</v>
      </c>
      <c r="U5" s="405" t="s">
        <v>4662</v>
      </c>
      <c r="V5" s="406">
        <v>44958</v>
      </c>
      <c r="W5" s="409">
        <f t="shared" ref="W5:W6" si="0">+DATEDIF(V4,V5,"M")/12</f>
        <v>4.083333333333333</v>
      </c>
      <c r="AW5" s="1">
        <v>1993</v>
      </c>
      <c r="AZ5" s="1">
        <v>0</v>
      </c>
      <c r="BA5" s="1" t="s">
        <v>14</v>
      </c>
    </row>
    <row r="6" spans="2:53" s="1" customFormat="1">
      <c r="N6" s="337">
        <f>+N5+(N3/12)</f>
        <v>2025.25</v>
      </c>
      <c r="O6" s="339" t="s">
        <v>4168</v>
      </c>
      <c r="U6" s="343"/>
      <c r="V6" s="406">
        <v>45870</v>
      </c>
      <c r="W6" s="409">
        <f t="shared" si="0"/>
        <v>2.5</v>
      </c>
      <c r="AZ6" s="1">
        <v>93</v>
      </c>
      <c r="BA6" s="1" t="s">
        <v>6</v>
      </c>
    </row>
    <row r="7" spans="2:53" s="1" customFormat="1">
      <c r="N7" s="337">
        <f>+N4+(N2/12)</f>
        <v>2024.3333333333333</v>
      </c>
      <c r="O7" s="340" t="s">
        <v>4169</v>
      </c>
      <c r="U7" s="405" t="s">
        <v>4668</v>
      </c>
      <c r="V7" s="343"/>
      <c r="W7" s="409">
        <f>AVERAGE(W4:W6)</f>
        <v>3.0555555555555554</v>
      </c>
      <c r="AZ7" s="1">
        <v>94</v>
      </c>
      <c r="BA7" s="1" t="s">
        <v>22</v>
      </c>
    </row>
    <row r="8" spans="2:53" s="1" customFormat="1">
      <c r="M8" s="14"/>
      <c r="N8" s="14"/>
      <c r="S8" s="5" t="s">
        <v>18</v>
      </c>
      <c r="T8" s="5" t="s">
        <v>19</v>
      </c>
      <c r="U8" s="5"/>
    </row>
    <row r="9" spans="2:53" s="1" customFormat="1">
      <c r="D9" s="1" t="s">
        <v>57</v>
      </c>
      <c r="E9" s="1" t="s">
        <v>58</v>
      </c>
      <c r="F9" s="555" t="s">
        <v>597</v>
      </c>
      <c r="G9" s="555"/>
      <c r="H9" s="1" t="s">
        <v>23</v>
      </c>
      <c r="I9" s="1" t="s">
        <v>57</v>
      </c>
      <c r="K9" s="5" t="s">
        <v>24</v>
      </c>
      <c r="L9" s="196"/>
      <c r="M9" s="5" t="s">
        <v>57</v>
      </c>
      <c r="N9" s="5" t="s">
        <v>57</v>
      </c>
      <c r="O9" s="5"/>
      <c r="P9" s="5"/>
      <c r="Q9" s="5"/>
      <c r="S9" s="5" t="s">
        <v>26</v>
      </c>
      <c r="T9" s="5" t="s">
        <v>26</v>
      </c>
      <c r="U9" s="5" t="s">
        <v>38</v>
      </c>
    </row>
    <row r="10" spans="2:53" s="1" customFormat="1" ht="15.75">
      <c r="D10" s="1" t="s">
        <v>60</v>
      </c>
      <c r="H10" s="1" t="s">
        <v>29</v>
      </c>
      <c r="J10" s="1" t="s">
        <v>66</v>
      </c>
      <c r="K10" s="5" t="s">
        <v>65</v>
      </c>
      <c r="L10" s="196" t="s">
        <v>599</v>
      </c>
      <c r="M10" s="5" t="s">
        <v>31</v>
      </c>
      <c r="N10" s="5" t="s">
        <v>67</v>
      </c>
      <c r="O10" s="5" t="s">
        <v>69</v>
      </c>
      <c r="P10" s="5" t="s">
        <v>598</v>
      </c>
      <c r="Q10" s="5" t="s">
        <v>33</v>
      </c>
      <c r="S10" s="5" t="s">
        <v>35</v>
      </c>
      <c r="T10" s="5" t="s">
        <v>35</v>
      </c>
      <c r="U10" s="5" t="s">
        <v>45</v>
      </c>
      <c r="W10" s="411" t="s">
        <v>4662</v>
      </c>
      <c r="X10" s="411" t="s">
        <v>4663</v>
      </c>
      <c r="Y10" s="411" t="s">
        <v>1413</v>
      </c>
      <c r="Z10" s="411"/>
      <c r="AA10" s="411" t="s">
        <v>4664</v>
      </c>
      <c r="AB10" s="412" t="s">
        <v>4665</v>
      </c>
      <c r="AC10" s="412" t="s">
        <v>4666</v>
      </c>
      <c r="AD10" s="412" t="s">
        <v>4667</v>
      </c>
      <c r="AV10" s="1">
        <v>2</v>
      </c>
      <c r="AW10" s="1" t="s">
        <v>48</v>
      </c>
    </row>
    <row r="11" spans="2:53" s="1" customFormat="1">
      <c r="B11" s="5" t="s">
        <v>225</v>
      </c>
      <c r="C11" s="155" t="s">
        <v>941</v>
      </c>
      <c r="D11" s="1" t="s">
        <v>62</v>
      </c>
      <c r="E11" s="1" t="s">
        <v>63</v>
      </c>
      <c r="F11" s="1" t="s">
        <v>24</v>
      </c>
      <c r="G11" s="1" t="s">
        <v>39</v>
      </c>
      <c r="H11" s="1" t="s">
        <v>34</v>
      </c>
      <c r="I11" s="1" t="s">
        <v>30</v>
      </c>
      <c r="J11" s="1" t="s">
        <v>601</v>
      </c>
      <c r="K11" s="5" t="s">
        <v>67</v>
      </c>
      <c r="L11" s="196" t="s">
        <v>600</v>
      </c>
      <c r="M11" s="5" t="s">
        <v>42</v>
      </c>
      <c r="N11" s="5" t="s">
        <v>42</v>
      </c>
      <c r="O11" s="5" t="s">
        <v>67</v>
      </c>
      <c r="P11" s="5" t="s">
        <v>67</v>
      </c>
      <c r="Q11" s="5" t="s">
        <v>44</v>
      </c>
      <c r="S11" s="135">
        <f>Summary!F6</f>
        <v>45383</v>
      </c>
      <c r="T11" s="135">
        <f>+E3</f>
        <v>45747</v>
      </c>
      <c r="U11" s="135">
        <f>T11</f>
        <v>45747</v>
      </c>
    </row>
    <row r="12" spans="2:53">
      <c r="B12" s="3">
        <v>173155</v>
      </c>
      <c r="E12" s="3" t="s">
        <v>429</v>
      </c>
      <c r="F12" s="3">
        <v>2001</v>
      </c>
      <c r="G12" s="3">
        <v>11</v>
      </c>
      <c r="H12" s="3">
        <v>0</v>
      </c>
      <c r="I12" s="3" t="s">
        <v>52</v>
      </c>
      <c r="J12" s="3">
        <v>5</v>
      </c>
      <c r="K12" s="3">
        <f t="shared" ref="K12:K32" si="1">F12+J12</f>
        <v>2006</v>
      </c>
      <c r="L12" s="168">
        <f t="shared" ref="L12:L32" si="2">+K12+(G12/12)</f>
        <v>2006.9166666666667</v>
      </c>
      <c r="M12" s="139">
        <v>18734.91</v>
      </c>
      <c r="N12" s="139">
        <f t="shared" ref="N12:N32" si="3">M12-M12*H12</f>
        <v>18734.91</v>
      </c>
      <c r="O12" s="139">
        <f>N12/J12/12</f>
        <v>312.24849999999998</v>
      </c>
      <c r="P12" s="139">
        <f t="shared" ref="P12:P32" si="4">+O12*12</f>
        <v>3746.982</v>
      </c>
      <c r="Q12" s="342">
        <f>IF(L12&lt;=$N$6,0,P12)</f>
        <v>0</v>
      </c>
      <c r="R12" s="341"/>
      <c r="S12" s="342">
        <f>+IF($L12&lt;=$N$7,$M12,IF(($F12+($G12/12))&gt;=$N$7,0,((($N12-((($L12-$N$7)*12)*$O12))))))</f>
        <v>18734.91</v>
      </c>
      <c r="T12" s="139">
        <f>IF(L12&lt;=$N$6,M12,Q12+S12)</f>
        <v>18734.91</v>
      </c>
      <c r="U12" s="139">
        <f t="shared" ref="U12:U32" si="5">M12-T12</f>
        <v>0</v>
      </c>
      <c r="V12" s="11">
        <f t="shared" ref="V12:V33" si="6">M12-T12</f>
        <v>0</v>
      </c>
    </row>
    <row r="13" spans="2:53">
      <c r="B13" s="3">
        <v>19647</v>
      </c>
      <c r="C13" s="3" t="s">
        <v>54</v>
      </c>
      <c r="D13" s="3">
        <v>606</v>
      </c>
      <c r="E13" s="3" t="s">
        <v>74</v>
      </c>
      <c r="F13" s="3">
        <v>2003</v>
      </c>
      <c r="G13" s="3">
        <v>1</v>
      </c>
      <c r="H13" s="3">
        <v>0</v>
      </c>
      <c r="I13" s="3" t="s">
        <v>52</v>
      </c>
      <c r="J13" s="3">
        <v>7</v>
      </c>
      <c r="K13" s="3">
        <f t="shared" si="1"/>
        <v>2010</v>
      </c>
      <c r="L13" s="168">
        <f t="shared" si="2"/>
        <v>2010.0833333333333</v>
      </c>
      <c r="M13" s="139">
        <v>98762</v>
      </c>
      <c r="N13" s="139">
        <f t="shared" si="3"/>
        <v>98762</v>
      </c>
      <c r="O13" s="139">
        <f t="shared" ref="O13:O32" si="7">N13/J13/12</f>
        <v>1175.7380952380952</v>
      </c>
      <c r="P13" s="139">
        <f t="shared" si="4"/>
        <v>14108.857142857141</v>
      </c>
      <c r="Q13" s="342">
        <f t="shared" ref="Q13:Q76" si="8">IF(L13&lt;=$N$6,0,P13)</f>
        <v>0</v>
      </c>
      <c r="R13" s="341"/>
      <c r="S13" s="342">
        <f t="shared" ref="S13:S76" si="9">+IF($L13&lt;=$N$7,$M13,IF(($F13+($G13/12))&gt;=$N$7,0,((($N13-((($L13-$N$7)*12)*$O13))))))</f>
        <v>98762</v>
      </c>
      <c r="T13" s="139">
        <f t="shared" ref="T13:T76" si="10">IF(L13&lt;=$N$6,M13,Q13+S13)</f>
        <v>98762</v>
      </c>
      <c r="U13" s="139">
        <f t="shared" si="5"/>
        <v>0</v>
      </c>
      <c r="V13" s="11">
        <f t="shared" si="6"/>
        <v>0</v>
      </c>
    </row>
    <row r="14" spans="2:53" s="255" customFormat="1">
      <c r="D14" s="255">
        <v>606</v>
      </c>
      <c r="E14" s="255" t="s">
        <v>621</v>
      </c>
      <c r="F14" s="255">
        <v>2017</v>
      </c>
      <c r="G14" s="255">
        <v>10</v>
      </c>
      <c r="H14" s="255">
        <v>0</v>
      </c>
      <c r="I14" s="255" t="s">
        <v>52</v>
      </c>
      <c r="J14" s="255">
        <v>10</v>
      </c>
      <c r="K14" s="255">
        <f t="shared" si="1"/>
        <v>2027</v>
      </c>
      <c r="L14" s="256">
        <f t="shared" si="2"/>
        <v>2027.8333333333333</v>
      </c>
      <c r="M14" s="257">
        <v>24690</v>
      </c>
      <c r="N14" s="257">
        <f t="shared" si="3"/>
        <v>24690</v>
      </c>
      <c r="O14" s="257">
        <f t="shared" si="7"/>
        <v>205.75</v>
      </c>
      <c r="P14" s="257">
        <f t="shared" si="4"/>
        <v>2469</v>
      </c>
      <c r="Q14" s="342">
        <f t="shared" si="8"/>
        <v>2469</v>
      </c>
      <c r="R14" s="341"/>
      <c r="S14" s="342">
        <f t="shared" si="9"/>
        <v>16048.5</v>
      </c>
      <c r="T14" s="139">
        <f t="shared" si="10"/>
        <v>18517.5</v>
      </c>
      <c r="U14" s="258">
        <f t="shared" si="5"/>
        <v>6172.5</v>
      </c>
      <c r="V14" s="259">
        <f t="shared" si="6"/>
        <v>6172.5</v>
      </c>
    </row>
    <row r="15" spans="2:53">
      <c r="B15" s="3">
        <v>173166</v>
      </c>
      <c r="C15" s="3" t="s">
        <v>54</v>
      </c>
      <c r="D15" s="3">
        <v>609</v>
      </c>
      <c r="E15" s="3" t="s">
        <v>432</v>
      </c>
      <c r="F15" s="3">
        <v>2003</v>
      </c>
      <c r="G15" s="3">
        <v>1</v>
      </c>
      <c r="H15" s="3">
        <v>0</v>
      </c>
      <c r="I15" s="3" t="s">
        <v>52</v>
      </c>
      <c r="J15" s="3">
        <v>7</v>
      </c>
      <c r="K15" s="3">
        <f t="shared" si="1"/>
        <v>2010</v>
      </c>
      <c r="L15" s="168">
        <f t="shared" si="2"/>
        <v>2010.0833333333333</v>
      </c>
      <c r="M15" s="139">
        <f>+'2131 Trks - Orig'!P18</f>
        <v>98761.616000000009</v>
      </c>
      <c r="N15" s="139">
        <f t="shared" si="3"/>
        <v>98761.616000000009</v>
      </c>
      <c r="O15" s="139">
        <f t="shared" si="7"/>
        <v>1175.7335238095241</v>
      </c>
      <c r="P15" s="139">
        <f t="shared" si="4"/>
        <v>14108.80228571429</v>
      </c>
      <c r="Q15" s="342">
        <f t="shared" si="8"/>
        <v>0</v>
      </c>
      <c r="R15" s="341"/>
      <c r="S15" s="342">
        <f t="shared" si="9"/>
        <v>98761.616000000009</v>
      </c>
      <c r="T15" s="139">
        <f t="shared" si="10"/>
        <v>98761.616000000009</v>
      </c>
      <c r="U15" s="139">
        <f t="shared" si="5"/>
        <v>0</v>
      </c>
      <c r="V15" s="171">
        <f t="shared" si="6"/>
        <v>0</v>
      </c>
    </row>
    <row r="16" spans="2:53" s="255" customFormat="1">
      <c r="D16" s="255">
        <v>609</v>
      </c>
      <c r="E16" s="255" t="s">
        <v>622</v>
      </c>
      <c r="F16" s="255">
        <v>2017</v>
      </c>
      <c r="G16" s="255">
        <v>10</v>
      </c>
      <c r="H16" s="255">
        <v>0</v>
      </c>
      <c r="I16" s="255" t="s">
        <v>52</v>
      </c>
      <c r="J16" s="255">
        <v>10</v>
      </c>
      <c r="K16" s="255">
        <f t="shared" si="1"/>
        <v>2027</v>
      </c>
      <c r="L16" s="256">
        <f t="shared" si="2"/>
        <v>2027.8333333333333</v>
      </c>
      <c r="M16" s="257">
        <f>+'2131 Trks - Orig'!N18-'2111 Trks'!M15</f>
        <v>24690.403999999995</v>
      </c>
      <c r="N16" s="257">
        <f t="shared" si="3"/>
        <v>24690.403999999995</v>
      </c>
      <c r="O16" s="257">
        <f t="shared" si="7"/>
        <v>205.75336666666661</v>
      </c>
      <c r="P16" s="257">
        <f t="shared" si="4"/>
        <v>2469.0403999999994</v>
      </c>
      <c r="Q16" s="342">
        <f t="shared" si="8"/>
        <v>2469.0403999999994</v>
      </c>
      <c r="R16" s="341"/>
      <c r="S16" s="342">
        <f t="shared" si="9"/>
        <v>16048.762599999998</v>
      </c>
      <c r="T16" s="139">
        <f t="shared" si="10"/>
        <v>18517.802999999996</v>
      </c>
      <c r="U16" s="258">
        <f t="shared" si="5"/>
        <v>6172.6009999999987</v>
      </c>
      <c r="V16" s="259">
        <f t="shared" si="6"/>
        <v>6172.6009999999987</v>
      </c>
    </row>
    <row r="17" spans="2:22">
      <c r="B17" s="3">
        <v>173207</v>
      </c>
      <c r="E17" s="3" t="s">
        <v>433</v>
      </c>
      <c r="F17" s="3">
        <v>2005</v>
      </c>
      <c r="G17" s="3">
        <v>8</v>
      </c>
      <c r="I17" s="3" t="s">
        <v>52</v>
      </c>
      <c r="J17" s="3">
        <v>7</v>
      </c>
      <c r="K17" s="3">
        <f t="shared" si="1"/>
        <v>2012</v>
      </c>
      <c r="L17" s="168">
        <f t="shared" si="2"/>
        <v>2012.6666666666667</v>
      </c>
      <c r="M17" s="139">
        <v>9411.5499999999993</v>
      </c>
      <c r="N17" s="139">
        <f t="shared" si="3"/>
        <v>9411.5499999999993</v>
      </c>
      <c r="O17" s="139">
        <f t="shared" si="7"/>
        <v>112.0422619047619</v>
      </c>
      <c r="P17" s="139">
        <f t="shared" si="4"/>
        <v>1344.5071428571428</v>
      </c>
      <c r="Q17" s="342">
        <f t="shared" si="8"/>
        <v>0</v>
      </c>
      <c r="R17" s="341"/>
      <c r="S17" s="342">
        <f t="shared" si="9"/>
        <v>9411.5499999999993</v>
      </c>
      <c r="T17" s="139">
        <f t="shared" si="10"/>
        <v>9411.5499999999993</v>
      </c>
      <c r="U17" s="139">
        <f t="shared" si="5"/>
        <v>0</v>
      </c>
      <c r="V17" s="11">
        <f t="shared" si="6"/>
        <v>0</v>
      </c>
    </row>
    <row r="18" spans="2:22">
      <c r="C18" s="3" t="s">
        <v>54</v>
      </c>
      <c r="E18" s="3" t="s">
        <v>75</v>
      </c>
      <c r="F18" s="3">
        <v>2006</v>
      </c>
      <c r="G18" s="3">
        <v>8</v>
      </c>
      <c r="H18" s="3">
        <v>0</v>
      </c>
      <c r="I18" s="3" t="s">
        <v>52</v>
      </c>
      <c r="J18" s="3">
        <v>3</v>
      </c>
      <c r="K18" s="3">
        <f t="shared" si="1"/>
        <v>2009</v>
      </c>
      <c r="L18" s="197">
        <f t="shared" si="2"/>
        <v>2009.6666666666667</v>
      </c>
      <c r="M18" s="185">
        <v>5325.77</v>
      </c>
      <c r="N18" s="185">
        <f t="shared" si="3"/>
        <v>5325.77</v>
      </c>
      <c r="O18" s="185">
        <f t="shared" si="7"/>
        <v>147.93805555555556</v>
      </c>
      <c r="P18" s="185">
        <f t="shared" si="4"/>
        <v>1775.2566666666667</v>
      </c>
      <c r="Q18" s="342">
        <f t="shared" si="8"/>
        <v>0</v>
      </c>
      <c r="R18" s="341"/>
      <c r="S18" s="342">
        <f t="shared" si="9"/>
        <v>5325.77</v>
      </c>
      <c r="T18" s="139">
        <f t="shared" si="10"/>
        <v>5325.77</v>
      </c>
      <c r="U18" s="139">
        <f t="shared" si="5"/>
        <v>0</v>
      </c>
      <c r="V18" s="11">
        <f t="shared" si="6"/>
        <v>0</v>
      </c>
    </row>
    <row r="19" spans="2:22">
      <c r="B19" s="3">
        <v>102158</v>
      </c>
      <c r="C19" s="3" t="s">
        <v>54</v>
      </c>
      <c r="D19" s="3">
        <v>613</v>
      </c>
      <c r="E19" s="3" t="s">
        <v>151</v>
      </c>
      <c r="F19" s="3">
        <v>2006</v>
      </c>
      <c r="G19" s="3">
        <v>10</v>
      </c>
      <c r="H19" s="3">
        <v>0</v>
      </c>
      <c r="I19" s="3" t="s">
        <v>52</v>
      </c>
      <c r="J19" s="3">
        <v>7</v>
      </c>
      <c r="K19" s="3">
        <f t="shared" si="1"/>
        <v>2013</v>
      </c>
      <c r="L19" s="168">
        <f t="shared" si="2"/>
        <v>2013.8333333333333</v>
      </c>
      <c r="M19" s="139">
        <f>+'2111 Trks - Orig'!P20</f>
        <v>142034.89600000001</v>
      </c>
      <c r="N19" s="139">
        <f t="shared" si="3"/>
        <v>142034.89600000001</v>
      </c>
      <c r="O19" s="139">
        <f t="shared" si="7"/>
        <v>1690.8916190476191</v>
      </c>
      <c r="P19" s="139">
        <f t="shared" si="4"/>
        <v>20290.699428571428</v>
      </c>
      <c r="Q19" s="342">
        <f t="shared" si="8"/>
        <v>0</v>
      </c>
      <c r="R19" s="341"/>
      <c r="S19" s="342">
        <f t="shared" si="9"/>
        <v>142034.89600000001</v>
      </c>
      <c r="T19" s="139">
        <f t="shared" si="10"/>
        <v>142034.89600000001</v>
      </c>
      <c r="U19" s="139">
        <f t="shared" si="5"/>
        <v>0</v>
      </c>
      <c r="V19" s="11">
        <f t="shared" si="6"/>
        <v>0</v>
      </c>
    </row>
    <row r="20" spans="2:22" s="255" customFormat="1">
      <c r="D20" s="255">
        <v>613</v>
      </c>
      <c r="E20" s="255" t="s">
        <v>623</v>
      </c>
      <c r="F20" s="255">
        <v>2017</v>
      </c>
      <c r="G20" s="255">
        <v>10</v>
      </c>
      <c r="H20" s="255">
        <v>0</v>
      </c>
      <c r="I20" s="255" t="s">
        <v>52</v>
      </c>
      <c r="J20" s="255">
        <v>10</v>
      </c>
      <c r="K20" s="255">
        <f t="shared" si="1"/>
        <v>2027</v>
      </c>
      <c r="L20" s="256">
        <f t="shared" si="2"/>
        <v>2027.8333333333333</v>
      </c>
      <c r="M20" s="257">
        <f>+'2111 Trks - Orig'!N20-'2111 Trks'!M19</f>
        <v>35508.723999999987</v>
      </c>
      <c r="N20" s="257">
        <f t="shared" si="3"/>
        <v>35508.723999999987</v>
      </c>
      <c r="O20" s="257">
        <f t="shared" si="7"/>
        <v>295.90603333333326</v>
      </c>
      <c r="P20" s="257">
        <f t="shared" si="4"/>
        <v>3550.8723999999993</v>
      </c>
      <c r="Q20" s="342">
        <f t="shared" si="8"/>
        <v>3550.8723999999993</v>
      </c>
      <c r="R20" s="341"/>
      <c r="S20" s="342">
        <f t="shared" si="9"/>
        <v>23080.67059999999</v>
      </c>
      <c r="T20" s="139">
        <f t="shared" si="10"/>
        <v>26631.542999999991</v>
      </c>
      <c r="U20" s="258">
        <f t="shared" si="5"/>
        <v>8877.1809999999969</v>
      </c>
      <c r="V20" s="259">
        <f t="shared" si="6"/>
        <v>8877.1809999999969</v>
      </c>
    </row>
    <row r="21" spans="2:22">
      <c r="B21" s="3" t="s">
        <v>485</v>
      </c>
      <c r="C21" s="3" t="s">
        <v>54</v>
      </c>
      <c r="D21" s="3">
        <v>612</v>
      </c>
      <c r="E21" s="3" t="s">
        <v>434</v>
      </c>
      <c r="F21" s="3">
        <v>2006</v>
      </c>
      <c r="G21" s="3">
        <v>10</v>
      </c>
      <c r="H21" s="3">
        <v>0</v>
      </c>
      <c r="I21" s="3" t="s">
        <v>52</v>
      </c>
      <c r="J21" s="3">
        <v>7</v>
      </c>
      <c r="K21" s="3">
        <f t="shared" si="1"/>
        <v>2013</v>
      </c>
      <c r="L21" s="168">
        <f t="shared" si="2"/>
        <v>2013.8333333333333</v>
      </c>
      <c r="M21" s="139">
        <v>148403</v>
      </c>
      <c r="N21" s="139">
        <f t="shared" si="3"/>
        <v>148403</v>
      </c>
      <c r="O21" s="139">
        <f t="shared" si="7"/>
        <v>1766.702380952381</v>
      </c>
      <c r="P21" s="139">
        <f t="shared" si="4"/>
        <v>21200.428571428572</v>
      </c>
      <c r="Q21" s="342">
        <f t="shared" si="8"/>
        <v>0</v>
      </c>
      <c r="R21" s="341"/>
      <c r="S21" s="342">
        <f t="shared" si="9"/>
        <v>148403</v>
      </c>
      <c r="T21" s="139">
        <f t="shared" si="10"/>
        <v>148403</v>
      </c>
      <c r="U21" s="139">
        <f t="shared" si="5"/>
        <v>0</v>
      </c>
      <c r="V21" s="11">
        <f t="shared" si="6"/>
        <v>0</v>
      </c>
    </row>
    <row r="22" spans="2:22" s="255" customFormat="1">
      <c r="D22" s="255">
        <v>612</v>
      </c>
      <c r="E22" s="255" t="s">
        <v>624</v>
      </c>
      <c r="F22" s="255">
        <v>2017</v>
      </c>
      <c r="G22" s="255">
        <v>10</v>
      </c>
      <c r="H22" s="255">
        <v>0</v>
      </c>
      <c r="I22" s="255" t="s">
        <v>52</v>
      </c>
      <c r="J22" s="255">
        <v>10</v>
      </c>
      <c r="K22" s="255">
        <f t="shared" si="1"/>
        <v>2027</v>
      </c>
      <c r="L22" s="256">
        <f t="shared" si="2"/>
        <v>2027.8333333333333</v>
      </c>
      <c r="M22" s="257">
        <v>37101</v>
      </c>
      <c r="N22" s="257">
        <f t="shared" si="3"/>
        <v>37101</v>
      </c>
      <c r="O22" s="257">
        <f t="shared" si="7"/>
        <v>309.17500000000001</v>
      </c>
      <c r="P22" s="257">
        <f t="shared" si="4"/>
        <v>3710.1000000000004</v>
      </c>
      <c r="Q22" s="342">
        <f t="shared" si="8"/>
        <v>3710.1000000000004</v>
      </c>
      <c r="R22" s="341"/>
      <c r="S22" s="342">
        <f t="shared" si="9"/>
        <v>24115.65</v>
      </c>
      <c r="T22" s="139">
        <f t="shared" si="10"/>
        <v>27825.75</v>
      </c>
      <c r="U22" s="258">
        <f t="shared" si="5"/>
        <v>9275.25</v>
      </c>
      <c r="V22" s="259">
        <f t="shared" si="6"/>
        <v>9275.25</v>
      </c>
    </row>
    <row r="23" spans="2:22">
      <c r="B23" s="3" t="s">
        <v>557</v>
      </c>
      <c r="C23" s="3" t="s">
        <v>54</v>
      </c>
      <c r="D23" s="3">
        <v>616</v>
      </c>
      <c r="E23" s="3" t="s">
        <v>435</v>
      </c>
      <c r="F23" s="3">
        <v>2007</v>
      </c>
      <c r="G23" s="3">
        <v>12</v>
      </c>
      <c r="H23" s="3">
        <v>0</v>
      </c>
      <c r="I23" s="3" t="s">
        <v>52</v>
      </c>
      <c r="J23" s="3">
        <v>7</v>
      </c>
      <c r="K23" s="3">
        <f t="shared" si="1"/>
        <v>2014</v>
      </c>
      <c r="L23" s="168">
        <f t="shared" si="2"/>
        <v>2015</v>
      </c>
      <c r="M23" s="139">
        <v>111052</v>
      </c>
      <c r="N23" s="139">
        <f t="shared" si="3"/>
        <v>111052</v>
      </c>
      <c r="O23" s="139">
        <f t="shared" si="7"/>
        <v>1322.047619047619</v>
      </c>
      <c r="P23" s="139">
        <f t="shared" si="4"/>
        <v>15864.571428571428</v>
      </c>
      <c r="Q23" s="342">
        <f t="shared" si="8"/>
        <v>0</v>
      </c>
      <c r="R23" s="341"/>
      <c r="S23" s="342">
        <f t="shared" si="9"/>
        <v>111052</v>
      </c>
      <c r="T23" s="139">
        <f t="shared" si="10"/>
        <v>111052</v>
      </c>
      <c r="U23" s="139">
        <f t="shared" si="5"/>
        <v>0</v>
      </c>
      <c r="V23" s="11">
        <f t="shared" si="6"/>
        <v>0</v>
      </c>
    </row>
    <row r="24" spans="2:22" s="255" customFormat="1">
      <c r="D24" s="255">
        <v>616</v>
      </c>
      <c r="E24" s="255" t="s">
        <v>626</v>
      </c>
      <c r="F24" s="255">
        <v>2017</v>
      </c>
      <c r="G24" s="255">
        <v>10</v>
      </c>
      <c r="H24" s="255">
        <v>0</v>
      </c>
      <c r="I24" s="255" t="s">
        <v>52</v>
      </c>
      <c r="J24" s="255">
        <v>10</v>
      </c>
      <c r="K24" s="255">
        <f t="shared" si="1"/>
        <v>2027</v>
      </c>
      <c r="L24" s="256">
        <f t="shared" si="2"/>
        <v>2027.8333333333333</v>
      </c>
      <c r="M24" s="257">
        <f>138815-M23</f>
        <v>27763</v>
      </c>
      <c r="N24" s="257">
        <f t="shared" si="3"/>
        <v>27763</v>
      </c>
      <c r="O24" s="257">
        <f t="shared" si="7"/>
        <v>231.35833333333335</v>
      </c>
      <c r="P24" s="257">
        <f t="shared" si="4"/>
        <v>2776.3</v>
      </c>
      <c r="Q24" s="342">
        <f t="shared" si="8"/>
        <v>2776.3</v>
      </c>
      <c r="R24" s="341"/>
      <c r="S24" s="342">
        <f t="shared" si="9"/>
        <v>18045.949999999997</v>
      </c>
      <c r="T24" s="139">
        <f t="shared" si="10"/>
        <v>20822.249999999996</v>
      </c>
      <c r="U24" s="258">
        <f t="shared" si="5"/>
        <v>6940.7500000000036</v>
      </c>
      <c r="V24" s="259">
        <f t="shared" si="6"/>
        <v>6940.7500000000036</v>
      </c>
    </row>
    <row r="25" spans="2:22">
      <c r="B25" s="3">
        <v>54079</v>
      </c>
      <c r="C25" s="3" t="s">
        <v>54</v>
      </c>
      <c r="D25" s="3">
        <v>614</v>
      </c>
      <c r="E25" s="3" t="s">
        <v>172</v>
      </c>
      <c r="F25" s="3">
        <v>2008</v>
      </c>
      <c r="G25" s="3">
        <v>1</v>
      </c>
      <c r="H25" s="3">
        <v>0</v>
      </c>
      <c r="I25" s="3" t="s">
        <v>52</v>
      </c>
      <c r="J25" s="3">
        <v>7</v>
      </c>
      <c r="K25" s="3">
        <f t="shared" si="1"/>
        <v>2015</v>
      </c>
      <c r="L25" s="168">
        <f t="shared" si="2"/>
        <v>2015.0833333333333</v>
      </c>
      <c r="M25" s="139">
        <v>66736</v>
      </c>
      <c r="N25" s="139">
        <f t="shared" si="3"/>
        <v>66736</v>
      </c>
      <c r="O25" s="139">
        <f t="shared" si="7"/>
        <v>794.47619047619048</v>
      </c>
      <c r="P25" s="139">
        <f t="shared" si="4"/>
        <v>9533.7142857142862</v>
      </c>
      <c r="Q25" s="342">
        <f t="shared" si="8"/>
        <v>0</v>
      </c>
      <c r="R25" s="341"/>
      <c r="S25" s="342">
        <f t="shared" si="9"/>
        <v>66736</v>
      </c>
      <c r="T25" s="139">
        <f t="shared" si="10"/>
        <v>66736</v>
      </c>
      <c r="U25" s="139">
        <f t="shared" si="5"/>
        <v>0</v>
      </c>
      <c r="V25" s="11">
        <f t="shared" si="6"/>
        <v>0</v>
      </c>
    </row>
    <row r="26" spans="2:22" s="255" customFormat="1">
      <c r="D26" s="255">
        <v>614</v>
      </c>
      <c r="E26" s="255" t="s">
        <v>627</v>
      </c>
      <c r="F26" s="255">
        <v>2017</v>
      </c>
      <c r="G26" s="255">
        <v>10</v>
      </c>
      <c r="H26" s="255">
        <v>0</v>
      </c>
      <c r="I26" s="255" t="s">
        <v>52</v>
      </c>
      <c r="J26" s="255">
        <v>10</v>
      </c>
      <c r="K26" s="255">
        <f t="shared" si="1"/>
        <v>2027</v>
      </c>
      <c r="L26" s="256">
        <f t="shared" si="2"/>
        <v>2027.8333333333333</v>
      </c>
      <c r="M26" s="257">
        <v>16684</v>
      </c>
      <c r="N26" s="257">
        <f t="shared" si="3"/>
        <v>16684</v>
      </c>
      <c r="O26" s="257">
        <f t="shared" si="7"/>
        <v>139.03333333333333</v>
      </c>
      <c r="P26" s="257">
        <f t="shared" si="4"/>
        <v>1668.4</v>
      </c>
      <c r="Q26" s="342">
        <f t="shared" si="8"/>
        <v>1668.4</v>
      </c>
      <c r="R26" s="341"/>
      <c r="S26" s="342">
        <f t="shared" si="9"/>
        <v>10844.6</v>
      </c>
      <c r="T26" s="139">
        <f t="shared" si="10"/>
        <v>12513</v>
      </c>
      <c r="U26" s="258">
        <f t="shared" si="5"/>
        <v>4171</v>
      </c>
      <c r="V26" s="259">
        <f t="shared" si="6"/>
        <v>4171</v>
      </c>
    </row>
    <row r="27" spans="2:22">
      <c r="C27" s="3" t="s">
        <v>168</v>
      </c>
      <c r="E27" s="3" t="s">
        <v>169</v>
      </c>
      <c r="F27" s="3">
        <v>2008</v>
      </c>
      <c r="G27" s="3">
        <v>4</v>
      </c>
      <c r="H27" s="3">
        <v>0</v>
      </c>
      <c r="I27" s="3" t="s">
        <v>52</v>
      </c>
      <c r="J27" s="3">
        <v>7</v>
      </c>
      <c r="K27" s="3">
        <f t="shared" si="1"/>
        <v>2015</v>
      </c>
      <c r="L27" s="168">
        <f t="shared" si="2"/>
        <v>2015.3333333333333</v>
      </c>
      <c r="M27" s="139">
        <f>+'2111 Trks - Orig'!P23</f>
        <v>7621.2959999999994</v>
      </c>
      <c r="N27" s="139">
        <f t="shared" si="3"/>
        <v>7621.2959999999994</v>
      </c>
      <c r="O27" s="139">
        <f t="shared" si="7"/>
        <v>90.72971428571428</v>
      </c>
      <c r="P27" s="139">
        <f t="shared" si="4"/>
        <v>1088.7565714285713</v>
      </c>
      <c r="Q27" s="342">
        <f t="shared" si="8"/>
        <v>0</v>
      </c>
      <c r="R27" s="341"/>
      <c r="S27" s="342">
        <f t="shared" si="9"/>
        <v>7621.2959999999994</v>
      </c>
      <c r="T27" s="139">
        <f t="shared" si="10"/>
        <v>7621.2959999999994</v>
      </c>
      <c r="U27" s="139">
        <f t="shared" si="5"/>
        <v>0</v>
      </c>
      <c r="V27" s="11">
        <f t="shared" si="6"/>
        <v>0</v>
      </c>
    </row>
    <row r="28" spans="2:22" s="255" customFormat="1">
      <c r="E28" s="255" t="s">
        <v>628</v>
      </c>
      <c r="F28" s="255">
        <v>2017</v>
      </c>
      <c r="G28" s="255">
        <v>10</v>
      </c>
      <c r="H28" s="255">
        <v>0</v>
      </c>
      <c r="I28" s="255" t="s">
        <v>52</v>
      </c>
      <c r="J28" s="255">
        <v>10</v>
      </c>
      <c r="K28" s="255">
        <f t="shared" si="1"/>
        <v>2027</v>
      </c>
      <c r="L28" s="256">
        <f t="shared" si="2"/>
        <v>2027.8333333333333</v>
      </c>
      <c r="M28" s="257">
        <f>+'2111 Trks - Orig'!N23-'2111 Trks'!M27</f>
        <v>1905.3239999999996</v>
      </c>
      <c r="N28" s="257">
        <f t="shared" si="3"/>
        <v>1905.3239999999996</v>
      </c>
      <c r="O28" s="257">
        <f t="shared" si="7"/>
        <v>15.877699999999997</v>
      </c>
      <c r="P28" s="257">
        <f t="shared" si="4"/>
        <v>190.53239999999997</v>
      </c>
      <c r="Q28" s="342">
        <f t="shared" si="8"/>
        <v>190.53239999999997</v>
      </c>
      <c r="R28" s="341"/>
      <c r="S28" s="342">
        <f t="shared" si="9"/>
        <v>1238.4605999999999</v>
      </c>
      <c r="T28" s="139">
        <f t="shared" si="10"/>
        <v>1428.9929999999999</v>
      </c>
      <c r="U28" s="258">
        <f t="shared" si="5"/>
        <v>476.33099999999968</v>
      </c>
      <c r="V28" s="259">
        <f t="shared" si="6"/>
        <v>476.33099999999968</v>
      </c>
    </row>
    <row r="29" spans="2:22">
      <c r="B29" s="3">
        <v>62296</v>
      </c>
      <c r="C29" s="3" t="s">
        <v>55</v>
      </c>
      <c r="D29" s="3">
        <v>907</v>
      </c>
      <c r="E29" s="3" t="s">
        <v>179</v>
      </c>
      <c r="F29" s="3">
        <v>2008</v>
      </c>
      <c r="G29" s="3">
        <v>11</v>
      </c>
      <c r="H29" s="3">
        <v>0</v>
      </c>
      <c r="I29" s="3" t="s">
        <v>52</v>
      </c>
      <c r="J29" s="3">
        <v>7</v>
      </c>
      <c r="K29" s="3">
        <f t="shared" si="1"/>
        <v>2015</v>
      </c>
      <c r="L29" s="168">
        <f t="shared" si="2"/>
        <v>2015.9166666666667</v>
      </c>
      <c r="M29" s="139">
        <f>+'2111 Trks - Orig'!P25</f>
        <v>199792.136</v>
      </c>
      <c r="N29" s="139">
        <f t="shared" si="3"/>
        <v>199792.136</v>
      </c>
      <c r="O29" s="139">
        <f t="shared" si="7"/>
        <v>2378.4778095238094</v>
      </c>
      <c r="P29" s="139">
        <f t="shared" si="4"/>
        <v>28541.733714285714</v>
      </c>
      <c r="Q29" s="342">
        <f t="shared" si="8"/>
        <v>0</v>
      </c>
      <c r="R29" s="341"/>
      <c r="S29" s="342">
        <f t="shared" si="9"/>
        <v>199792.136</v>
      </c>
      <c r="T29" s="139">
        <f t="shared" si="10"/>
        <v>199792.136</v>
      </c>
      <c r="U29" s="139">
        <f t="shared" si="5"/>
        <v>0</v>
      </c>
      <c r="V29" s="11">
        <f t="shared" si="6"/>
        <v>0</v>
      </c>
    </row>
    <row r="30" spans="2:22" s="255" customFormat="1">
      <c r="D30" s="255">
        <v>907</v>
      </c>
      <c r="E30" s="255" t="s">
        <v>629</v>
      </c>
      <c r="F30" s="255">
        <v>2017</v>
      </c>
      <c r="G30" s="255">
        <v>10</v>
      </c>
      <c r="H30" s="255">
        <v>0</v>
      </c>
      <c r="I30" s="255" t="s">
        <v>52</v>
      </c>
      <c r="J30" s="255">
        <v>10</v>
      </c>
      <c r="K30" s="255">
        <f t="shared" si="1"/>
        <v>2027</v>
      </c>
      <c r="L30" s="256">
        <f t="shared" si="2"/>
        <v>2027.8333333333333</v>
      </c>
      <c r="M30" s="257">
        <f>+'2111 Trks - Orig'!N25-'2111 Trks'!M29</f>
        <v>49948.033999999985</v>
      </c>
      <c r="N30" s="257">
        <f t="shared" si="3"/>
        <v>49948.033999999985</v>
      </c>
      <c r="O30" s="257">
        <f t="shared" si="7"/>
        <v>416.23361666666659</v>
      </c>
      <c r="P30" s="257">
        <f t="shared" si="4"/>
        <v>4994.8033999999989</v>
      </c>
      <c r="Q30" s="342">
        <f t="shared" si="8"/>
        <v>4994.8033999999989</v>
      </c>
      <c r="R30" s="341"/>
      <c r="S30" s="342">
        <f t="shared" si="9"/>
        <v>32466.222099999988</v>
      </c>
      <c r="T30" s="139">
        <f t="shared" si="10"/>
        <v>37461.025499999989</v>
      </c>
      <c r="U30" s="258">
        <f t="shared" si="5"/>
        <v>12487.008499999996</v>
      </c>
      <c r="V30" s="259">
        <f t="shared" si="6"/>
        <v>12487.008499999996</v>
      </c>
    </row>
    <row r="31" spans="2:22">
      <c r="B31" s="3" t="s">
        <v>499</v>
      </c>
      <c r="C31" s="3" t="s">
        <v>57</v>
      </c>
      <c r="E31" s="3" t="s">
        <v>436</v>
      </c>
      <c r="F31" s="3">
        <v>2008</v>
      </c>
      <c r="G31" s="3">
        <v>4</v>
      </c>
      <c r="H31" s="3">
        <v>0</v>
      </c>
      <c r="I31" s="3" t="s">
        <v>52</v>
      </c>
      <c r="J31" s="3">
        <v>5</v>
      </c>
      <c r="K31" s="3">
        <f t="shared" si="1"/>
        <v>2013</v>
      </c>
      <c r="L31" s="168">
        <f t="shared" si="2"/>
        <v>2013.3333333333333</v>
      </c>
      <c r="M31" s="139">
        <f>+'2131 Trks - Orig'!P22</f>
        <v>6108.8159999999998</v>
      </c>
      <c r="N31" s="139">
        <f t="shared" si="3"/>
        <v>6108.8159999999998</v>
      </c>
      <c r="O31" s="139">
        <f t="shared" si="7"/>
        <v>101.81359999999999</v>
      </c>
      <c r="P31" s="139">
        <f t="shared" si="4"/>
        <v>1221.7631999999999</v>
      </c>
      <c r="Q31" s="342">
        <f t="shared" si="8"/>
        <v>0</v>
      </c>
      <c r="R31" s="341"/>
      <c r="S31" s="342">
        <f t="shared" si="9"/>
        <v>6108.8159999999998</v>
      </c>
      <c r="T31" s="139">
        <f t="shared" si="10"/>
        <v>6108.8159999999998</v>
      </c>
      <c r="U31" s="139">
        <f t="shared" si="5"/>
        <v>0</v>
      </c>
      <c r="V31" s="11">
        <f t="shared" si="6"/>
        <v>0</v>
      </c>
    </row>
    <row r="32" spans="2:22" s="255" customFormat="1">
      <c r="E32" s="255" t="s">
        <v>630</v>
      </c>
      <c r="F32" s="255">
        <v>2017</v>
      </c>
      <c r="G32" s="255">
        <v>10</v>
      </c>
      <c r="H32" s="255">
        <v>0</v>
      </c>
      <c r="I32" s="255" t="s">
        <v>52</v>
      </c>
      <c r="J32" s="255">
        <v>10</v>
      </c>
      <c r="K32" s="255">
        <f t="shared" si="1"/>
        <v>2027</v>
      </c>
      <c r="L32" s="256">
        <f t="shared" si="2"/>
        <v>2027.8333333333333</v>
      </c>
      <c r="M32" s="257">
        <f>+'2131 Trks - Orig'!N22-'2111 Trks'!M31</f>
        <v>1527.2039999999997</v>
      </c>
      <c r="N32" s="257">
        <f t="shared" si="3"/>
        <v>1527.2039999999997</v>
      </c>
      <c r="O32" s="257">
        <f t="shared" si="7"/>
        <v>12.726699999999999</v>
      </c>
      <c r="P32" s="257">
        <f t="shared" si="4"/>
        <v>152.72039999999998</v>
      </c>
      <c r="Q32" s="342">
        <f t="shared" si="8"/>
        <v>152.72039999999998</v>
      </c>
      <c r="R32" s="341"/>
      <c r="S32" s="342">
        <f t="shared" si="9"/>
        <v>992.68259999999975</v>
      </c>
      <c r="T32" s="139">
        <f t="shared" si="10"/>
        <v>1145.4029999999998</v>
      </c>
      <c r="U32" s="258">
        <f t="shared" si="5"/>
        <v>381.80099999999993</v>
      </c>
      <c r="V32" s="259">
        <f t="shared" si="6"/>
        <v>381.80099999999993</v>
      </c>
    </row>
    <row r="33" spans="2:22">
      <c r="E33" s="3" t="s">
        <v>212</v>
      </c>
      <c r="F33" s="3">
        <v>2010</v>
      </c>
      <c r="G33" s="3">
        <v>7</v>
      </c>
      <c r="H33" s="3">
        <v>0</v>
      </c>
      <c r="I33" s="3" t="s">
        <v>52</v>
      </c>
      <c r="J33" s="3">
        <v>7</v>
      </c>
      <c r="K33" s="3">
        <f t="shared" ref="K33:K44" si="11">F33+J33</f>
        <v>2017</v>
      </c>
      <c r="L33" s="168">
        <f t="shared" ref="L33:L44" si="12">+K33+(G33/12)</f>
        <v>2017.5833333333333</v>
      </c>
      <c r="M33" s="139">
        <f>+'2111 Trks - Orig'!P30</f>
        <v>131550.39999999999</v>
      </c>
      <c r="N33" s="139">
        <f t="shared" ref="N33:N44" si="13">M33-M33*H33</f>
        <v>131550.39999999999</v>
      </c>
      <c r="O33" s="139">
        <f t="shared" ref="O33:O44" si="14">N33/J33/12</f>
        <v>1566.0761904761903</v>
      </c>
      <c r="P33" s="139">
        <f t="shared" ref="P33:P44" si="15">+O33*12</f>
        <v>18792.914285714283</v>
      </c>
      <c r="Q33" s="342">
        <f t="shared" si="8"/>
        <v>0</v>
      </c>
      <c r="R33" s="341"/>
      <c r="S33" s="342">
        <f t="shared" si="9"/>
        <v>131550.39999999999</v>
      </c>
      <c r="T33" s="139">
        <f t="shared" si="10"/>
        <v>131550.39999999999</v>
      </c>
      <c r="U33" s="139">
        <f t="shared" ref="U33:U44" si="16">M33-T33</f>
        <v>0</v>
      </c>
      <c r="V33" s="11">
        <f t="shared" si="6"/>
        <v>0</v>
      </c>
    </row>
    <row r="34" spans="2:22" s="255" customFormat="1">
      <c r="E34" s="255" t="s">
        <v>632</v>
      </c>
      <c r="F34" s="255">
        <v>2017</v>
      </c>
      <c r="G34" s="255">
        <v>10</v>
      </c>
      <c r="H34" s="255">
        <v>0</v>
      </c>
      <c r="I34" s="255" t="s">
        <v>52</v>
      </c>
      <c r="J34" s="255">
        <v>10</v>
      </c>
      <c r="K34" s="255">
        <f t="shared" si="11"/>
        <v>2027</v>
      </c>
      <c r="L34" s="256">
        <f t="shared" si="12"/>
        <v>2027.8333333333333</v>
      </c>
      <c r="M34" s="257">
        <f>+'2111 Trks - Orig'!N30-'2111 Trks'!M33</f>
        <v>32887.600000000006</v>
      </c>
      <c r="N34" s="257">
        <f t="shared" si="13"/>
        <v>32887.600000000006</v>
      </c>
      <c r="O34" s="257">
        <f t="shared" si="14"/>
        <v>274.06333333333339</v>
      </c>
      <c r="P34" s="257">
        <f t="shared" si="15"/>
        <v>3288.7600000000007</v>
      </c>
      <c r="Q34" s="342">
        <f t="shared" si="8"/>
        <v>3288.7600000000007</v>
      </c>
      <c r="R34" s="341"/>
      <c r="S34" s="342">
        <f t="shared" si="9"/>
        <v>21376.940000000002</v>
      </c>
      <c r="T34" s="139">
        <f t="shared" si="10"/>
        <v>24665.700000000004</v>
      </c>
      <c r="U34" s="258">
        <f t="shared" si="16"/>
        <v>8221.9000000000015</v>
      </c>
      <c r="V34" s="259">
        <f t="shared" ref="V34:V44" si="17">M34-T34</f>
        <v>8221.9000000000015</v>
      </c>
    </row>
    <row r="35" spans="2:22">
      <c r="D35" s="3">
        <v>6</v>
      </c>
      <c r="E35" s="3" t="s">
        <v>213</v>
      </c>
      <c r="F35" s="3">
        <v>2010</v>
      </c>
      <c r="G35" s="3">
        <v>8</v>
      </c>
      <c r="H35" s="3">
        <v>0</v>
      </c>
      <c r="I35" s="3" t="s">
        <v>52</v>
      </c>
      <c r="J35" s="3">
        <v>7</v>
      </c>
      <c r="K35" s="3">
        <f t="shared" si="11"/>
        <v>2017</v>
      </c>
      <c r="L35" s="168">
        <f t="shared" si="12"/>
        <v>2017.6666666666667</v>
      </c>
      <c r="M35" s="139">
        <f>+'2111 Trks - Orig'!P31</f>
        <v>2687.5680000000002</v>
      </c>
      <c r="N35" s="139">
        <f t="shared" si="13"/>
        <v>2687.5680000000002</v>
      </c>
      <c r="O35" s="139">
        <f t="shared" si="14"/>
        <v>31.994857142857146</v>
      </c>
      <c r="P35" s="139">
        <f t="shared" si="15"/>
        <v>383.93828571428577</v>
      </c>
      <c r="Q35" s="342">
        <f t="shared" si="8"/>
        <v>0</v>
      </c>
      <c r="R35" s="341"/>
      <c r="S35" s="342">
        <f t="shared" si="9"/>
        <v>2687.5680000000002</v>
      </c>
      <c r="T35" s="139">
        <f t="shared" si="10"/>
        <v>2687.5680000000002</v>
      </c>
      <c r="U35" s="139">
        <f t="shared" si="16"/>
        <v>0</v>
      </c>
      <c r="V35" s="11">
        <f t="shared" si="17"/>
        <v>0</v>
      </c>
    </row>
    <row r="36" spans="2:22" s="255" customFormat="1">
      <c r="D36" s="255">
        <v>6</v>
      </c>
      <c r="E36" s="255" t="s">
        <v>633</v>
      </c>
      <c r="F36" s="255">
        <v>2017</v>
      </c>
      <c r="G36" s="255">
        <v>10</v>
      </c>
      <c r="H36" s="255">
        <v>0</v>
      </c>
      <c r="I36" s="255" t="s">
        <v>52</v>
      </c>
      <c r="J36" s="255">
        <v>10</v>
      </c>
      <c r="K36" s="255">
        <f t="shared" si="11"/>
        <v>2027</v>
      </c>
      <c r="L36" s="256">
        <f t="shared" si="12"/>
        <v>2027.8333333333333</v>
      </c>
      <c r="M36" s="257">
        <f>+'2111 Trks - Orig'!N31-'2111 Trks'!M35</f>
        <v>671.89199999999983</v>
      </c>
      <c r="N36" s="257">
        <f t="shared" si="13"/>
        <v>671.89199999999983</v>
      </c>
      <c r="O36" s="257">
        <f t="shared" si="14"/>
        <v>5.5990999999999991</v>
      </c>
      <c r="P36" s="257">
        <f t="shared" si="15"/>
        <v>67.189199999999985</v>
      </c>
      <c r="Q36" s="342">
        <f t="shared" si="8"/>
        <v>67.189199999999985</v>
      </c>
      <c r="R36" s="341"/>
      <c r="S36" s="342">
        <f t="shared" si="9"/>
        <v>436.72979999999984</v>
      </c>
      <c r="T36" s="139">
        <f t="shared" si="10"/>
        <v>503.91899999999981</v>
      </c>
      <c r="U36" s="258">
        <f t="shared" si="16"/>
        <v>167.97300000000001</v>
      </c>
      <c r="V36" s="259">
        <f t="shared" si="17"/>
        <v>167.97300000000001</v>
      </c>
    </row>
    <row r="37" spans="2:22">
      <c r="D37" s="3">
        <v>6</v>
      </c>
      <c r="E37" s="3" t="s">
        <v>213</v>
      </c>
      <c r="F37" s="3">
        <v>2011</v>
      </c>
      <c r="G37" s="3">
        <v>1</v>
      </c>
      <c r="H37" s="3">
        <v>0</v>
      </c>
      <c r="I37" s="3" t="s">
        <v>52</v>
      </c>
      <c r="J37" s="3">
        <v>7</v>
      </c>
      <c r="K37" s="3">
        <f t="shared" si="11"/>
        <v>2018</v>
      </c>
      <c r="L37" s="168">
        <f t="shared" si="12"/>
        <v>2018.0833333333333</v>
      </c>
      <c r="M37" s="139">
        <f>+'2111 Trks - Orig'!P33</f>
        <v>2731.848</v>
      </c>
      <c r="N37" s="139">
        <f t="shared" si="13"/>
        <v>2731.848</v>
      </c>
      <c r="O37" s="139">
        <f t="shared" si="14"/>
        <v>32.521999999999998</v>
      </c>
      <c r="P37" s="139">
        <f t="shared" si="15"/>
        <v>390.26400000000001</v>
      </c>
      <c r="Q37" s="342">
        <f t="shared" si="8"/>
        <v>0</v>
      </c>
      <c r="R37" s="341"/>
      <c r="S37" s="342">
        <f t="shared" si="9"/>
        <v>2731.848</v>
      </c>
      <c r="T37" s="139">
        <f t="shared" si="10"/>
        <v>2731.848</v>
      </c>
      <c r="U37" s="139">
        <f t="shared" si="16"/>
        <v>0</v>
      </c>
      <c r="V37" s="11">
        <f t="shared" si="17"/>
        <v>0</v>
      </c>
    </row>
    <row r="38" spans="2:22" s="255" customFormat="1">
      <c r="D38" s="255">
        <v>6</v>
      </c>
      <c r="E38" s="255" t="s">
        <v>633</v>
      </c>
      <c r="F38" s="255">
        <v>2017</v>
      </c>
      <c r="G38" s="255">
        <v>10</v>
      </c>
      <c r="H38" s="255">
        <v>0</v>
      </c>
      <c r="I38" s="255" t="s">
        <v>52</v>
      </c>
      <c r="J38" s="255">
        <v>10</v>
      </c>
      <c r="K38" s="255">
        <f t="shared" si="11"/>
        <v>2027</v>
      </c>
      <c r="L38" s="256">
        <f t="shared" si="12"/>
        <v>2027.8333333333333</v>
      </c>
      <c r="M38" s="257">
        <f>+'2111 Trks - Orig'!N33-'2111 Trks'!M37</f>
        <v>682.96199999999999</v>
      </c>
      <c r="N38" s="257">
        <f t="shared" si="13"/>
        <v>682.96199999999999</v>
      </c>
      <c r="O38" s="257">
        <f t="shared" si="14"/>
        <v>5.6913499999999999</v>
      </c>
      <c r="P38" s="257">
        <f t="shared" si="15"/>
        <v>68.296199999999999</v>
      </c>
      <c r="Q38" s="342">
        <f t="shared" si="8"/>
        <v>68.296199999999999</v>
      </c>
      <c r="R38" s="341"/>
      <c r="S38" s="342">
        <f t="shared" si="9"/>
        <v>443.92529999999999</v>
      </c>
      <c r="T38" s="139">
        <f t="shared" si="10"/>
        <v>512.22149999999999</v>
      </c>
      <c r="U38" s="258">
        <f t="shared" si="16"/>
        <v>170.7405</v>
      </c>
      <c r="V38" s="259">
        <f t="shared" si="17"/>
        <v>170.7405</v>
      </c>
    </row>
    <row r="39" spans="2:22">
      <c r="B39" s="3">
        <v>88717</v>
      </c>
      <c r="C39" s="3" t="s">
        <v>54</v>
      </c>
      <c r="D39" s="3">
        <v>151</v>
      </c>
      <c r="E39" s="3" t="s">
        <v>220</v>
      </c>
      <c r="F39" s="3">
        <v>2011</v>
      </c>
      <c r="G39" s="3">
        <v>12</v>
      </c>
      <c r="H39" s="3">
        <v>0</v>
      </c>
      <c r="I39" s="3" t="s">
        <v>52</v>
      </c>
      <c r="J39" s="3">
        <v>7</v>
      </c>
      <c r="K39" s="3">
        <f t="shared" si="11"/>
        <v>2018</v>
      </c>
      <c r="L39" s="168">
        <f t="shared" si="12"/>
        <v>2019</v>
      </c>
      <c r="M39" s="139">
        <f>+'2111 Trks - Orig'!P35</f>
        <v>84586.551999999996</v>
      </c>
      <c r="N39" s="139">
        <f t="shared" si="13"/>
        <v>84586.551999999996</v>
      </c>
      <c r="O39" s="139">
        <f t="shared" si="14"/>
        <v>1006.9827619047619</v>
      </c>
      <c r="P39" s="139">
        <f t="shared" si="15"/>
        <v>12083.793142857143</v>
      </c>
      <c r="Q39" s="342">
        <f t="shared" si="8"/>
        <v>0</v>
      </c>
      <c r="R39" s="341"/>
      <c r="S39" s="342">
        <f t="shared" si="9"/>
        <v>84586.551999999996</v>
      </c>
      <c r="T39" s="139">
        <f t="shared" si="10"/>
        <v>84586.551999999996</v>
      </c>
      <c r="U39" s="139">
        <f t="shared" si="16"/>
        <v>0</v>
      </c>
      <c r="V39" s="11">
        <f t="shared" si="17"/>
        <v>0</v>
      </c>
    </row>
    <row r="40" spans="2:22" s="255" customFormat="1">
      <c r="D40" s="255">
        <v>151</v>
      </c>
      <c r="E40" s="255" t="s">
        <v>635</v>
      </c>
      <c r="F40" s="255">
        <v>2017</v>
      </c>
      <c r="G40" s="255">
        <v>10</v>
      </c>
      <c r="H40" s="255">
        <v>0</v>
      </c>
      <c r="I40" s="255" t="s">
        <v>52</v>
      </c>
      <c r="J40" s="255">
        <v>10</v>
      </c>
      <c r="K40" s="255">
        <f t="shared" si="11"/>
        <v>2027</v>
      </c>
      <c r="L40" s="256">
        <f t="shared" si="12"/>
        <v>2027.8333333333333</v>
      </c>
      <c r="M40" s="257">
        <f>+'2111 Trks - Orig'!N35-'2111 Trks'!M39</f>
        <v>21146.638000000006</v>
      </c>
      <c r="N40" s="257">
        <f t="shared" si="13"/>
        <v>21146.638000000006</v>
      </c>
      <c r="O40" s="257">
        <f t="shared" si="14"/>
        <v>176.22198333333338</v>
      </c>
      <c r="P40" s="257">
        <f t="shared" si="15"/>
        <v>2114.6638000000007</v>
      </c>
      <c r="Q40" s="342">
        <f t="shared" si="8"/>
        <v>2114.6638000000007</v>
      </c>
      <c r="R40" s="341"/>
      <c r="S40" s="342">
        <f t="shared" si="9"/>
        <v>13745.314700000004</v>
      </c>
      <c r="T40" s="139">
        <f t="shared" si="10"/>
        <v>15859.978500000005</v>
      </c>
      <c r="U40" s="258">
        <f t="shared" si="16"/>
        <v>5286.6595000000016</v>
      </c>
      <c r="V40" s="259">
        <f t="shared" si="17"/>
        <v>5286.6595000000016</v>
      </c>
    </row>
    <row r="41" spans="2:22">
      <c r="B41" s="3">
        <v>88795</v>
      </c>
      <c r="E41" s="3" t="s">
        <v>224</v>
      </c>
      <c r="F41" s="3">
        <v>2011</v>
      </c>
      <c r="G41" s="3">
        <v>12</v>
      </c>
      <c r="H41" s="3">
        <v>0</v>
      </c>
      <c r="I41" s="3" t="s">
        <v>52</v>
      </c>
      <c r="J41" s="3">
        <v>7</v>
      </c>
      <c r="K41" s="3">
        <f t="shared" si="11"/>
        <v>2018</v>
      </c>
      <c r="L41" s="168">
        <f t="shared" si="12"/>
        <v>2019</v>
      </c>
      <c r="M41" s="139">
        <f>+'2111 Trks - Orig'!P38</f>
        <v>3064.576</v>
      </c>
      <c r="N41" s="139">
        <f t="shared" si="13"/>
        <v>3064.576</v>
      </c>
      <c r="O41" s="139">
        <f t="shared" si="14"/>
        <v>36.483047619047618</v>
      </c>
      <c r="P41" s="139">
        <f t="shared" si="15"/>
        <v>437.79657142857138</v>
      </c>
      <c r="Q41" s="342">
        <f t="shared" si="8"/>
        <v>0</v>
      </c>
      <c r="R41" s="341"/>
      <c r="S41" s="342">
        <f t="shared" si="9"/>
        <v>3064.576</v>
      </c>
      <c r="T41" s="139">
        <f t="shared" si="10"/>
        <v>3064.576</v>
      </c>
      <c r="U41" s="139">
        <f t="shared" si="16"/>
        <v>0</v>
      </c>
      <c r="V41" s="11">
        <f t="shared" si="17"/>
        <v>0</v>
      </c>
    </row>
    <row r="42" spans="2:22" s="255" customFormat="1">
      <c r="E42" s="255" t="s">
        <v>637</v>
      </c>
      <c r="F42" s="255">
        <v>2017</v>
      </c>
      <c r="G42" s="255">
        <v>10</v>
      </c>
      <c r="H42" s="255">
        <v>0</v>
      </c>
      <c r="I42" s="255" t="s">
        <v>52</v>
      </c>
      <c r="J42" s="255">
        <v>10</v>
      </c>
      <c r="K42" s="255">
        <f t="shared" si="11"/>
        <v>2027</v>
      </c>
      <c r="L42" s="256">
        <f t="shared" si="12"/>
        <v>2027.8333333333333</v>
      </c>
      <c r="M42" s="257">
        <f>+'2111 Trks - Orig'!N38-'2111 Trks'!M41</f>
        <v>766.14399999999978</v>
      </c>
      <c r="N42" s="257">
        <f t="shared" si="13"/>
        <v>766.14399999999978</v>
      </c>
      <c r="O42" s="257">
        <f t="shared" si="14"/>
        <v>6.384533333333331</v>
      </c>
      <c r="P42" s="257">
        <f t="shared" si="15"/>
        <v>76.614399999999975</v>
      </c>
      <c r="Q42" s="342">
        <f t="shared" si="8"/>
        <v>76.614399999999975</v>
      </c>
      <c r="R42" s="341"/>
      <c r="S42" s="342">
        <f t="shared" si="9"/>
        <v>497.9935999999999</v>
      </c>
      <c r="T42" s="139">
        <f t="shared" si="10"/>
        <v>574.60799999999983</v>
      </c>
      <c r="U42" s="258">
        <f t="shared" si="16"/>
        <v>191.53599999999994</v>
      </c>
      <c r="V42" s="259">
        <f t="shared" si="17"/>
        <v>191.53599999999994</v>
      </c>
    </row>
    <row r="43" spans="2:22">
      <c r="B43" s="3">
        <v>120152</v>
      </c>
      <c r="C43" s="3" t="s">
        <v>88</v>
      </c>
      <c r="D43" s="3">
        <v>910</v>
      </c>
      <c r="E43" s="3" t="s">
        <v>366</v>
      </c>
      <c r="F43" s="3">
        <v>2013</v>
      </c>
      <c r="G43" s="3">
        <v>1</v>
      </c>
      <c r="H43" s="3">
        <v>0</v>
      </c>
      <c r="I43" s="3" t="s">
        <v>52</v>
      </c>
      <c r="J43" s="3">
        <v>7</v>
      </c>
      <c r="K43" s="3">
        <f t="shared" si="11"/>
        <v>2020</v>
      </c>
      <c r="L43" s="168">
        <f t="shared" si="12"/>
        <v>2020.0833333333333</v>
      </c>
      <c r="M43" s="139">
        <f>+'2111 Trks - Orig'!P39</f>
        <v>244279.77599999998</v>
      </c>
      <c r="N43" s="139">
        <f t="shared" si="13"/>
        <v>244279.77599999998</v>
      </c>
      <c r="O43" s="139">
        <f t="shared" si="14"/>
        <v>2908.0925714285713</v>
      </c>
      <c r="P43" s="139">
        <f t="shared" si="15"/>
        <v>34897.110857142856</v>
      </c>
      <c r="Q43" s="342">
        <f t="shared" si="8"/>
        <v>0</v>
      </c>
      <c r="R43" s="341"/>
      <c r="S43" s="342">
        <f t="shared" si="9"/>
        <v>244279.77599999998</v>
      </c>
      <c r="T43" s="139">
        <f t="shared" si="10"/>
        <v>244279.77599999998</v>
      </c>
      <c r="U43" s="139">
        <f t="shared" si="16"/>
        <v>0</v>
      </c>
      <c r="V43" s="11">
        <f t="shared" si="17"/>
        <v>0</v>
      </c>
    </row>
    <row r="44" spans="2:22" s="255" customFormat="1">
      <c r="D44" s="255">
        <v>910</v>
      </c>
      <c r="E44" s="255" t="s">
        <v>894</v>
      </c>
      <c r="F44" s="255">
        <v>2017</v>
      </c>
      <c r="G44" s="255">
        <v>10</v>
      </c>
      <c r="H44" s="255">
        <v>0</v>
      </c>
      <c r="I44" s="255" t="s">
        <v>52</v>
      </c>
      <c r="J44" s="255">
        <v>10</v>
      </c>
      <c r="K44" s="255">
        <f t="shared" si="11"/>
        <v>2027</v>
      </c>
      <c r="L44" s="256">
        <f t="shared" si="12"/>
        <v>2027.8333333333333</v>
      </c>
      <c r="M44" s="257">
        <f>+'2111 Trks - Orig'!N39-'2111 Trks'!M43</f>
        <v>61069.943999999989</v>
      </c>
      <c r="N44" s="257">
        <f t="shared" si="13"/>
        <v>61069.943999999989</v>
      </c>
      <c r="O44" s="257">
        <f t="shared" si="14"/>
        <v>508.91619999999989</v>
      </c>
      <c r="P44" s="257">
        <f t="shared" si="15"/>
        <v>6106.9943999999987</v>
      </c>
      <c r="Q44" s="342">
        <f t="shared" si="8"/>
        <v>6106.9943999999987</v>
      </c>
      <c r="R44" s="341"/>
      <c r="S44" s="342">
        <f t="shared" si="9"/>
        <v>39695.463599999988</v>
      </c>
      <c r="T44" s="139">
        <f t="shared" si="10"/>
        <v>45802.457999999984</v>
      </c>
      <c r="U44" s="258">
        <f t="shared" si="16"/>
        <v>15267.486000000004</v>
      </c>
      <c r="V44" s="259">
        <f t="shared" si="17"/>
        <v>15267.486000000004</v>
      </c>
    </row>
    <row r="45" spans="2:22">
      <c r="B45" s="5">
        <v>102347</v>
      </c>
      <c r="D45" s="3">
        <v>60</v>
      </c>
      <c r="E45" s="3" t="s">
        <v>1258</v>
      </c>
      <c r="F45" s="3">
        <v>2002</v>
      </c>
      <c r="G45" s="3">
        <v>2</v>
      </c>
      <c r="H45" s="3">
        <v>0</v>
      </c>
      <c r="I45" s="3" t="s">
        <v>52</v>
      </c>
      <c r="J45" s="3">
        <v>6</v>
      </c>
      <c r="K45" s="3">
        <f t="shared" ref="K45:K74" si="18">F45+J45</f>
        <v>2008</v>
      </c>
      <c r="L45" s="168">
        <f t="shared" ref="L45:L74" si="19">+K45+(G45/12)</f>
        <v>2008.1666666666667</v>
      </c>
      <c r="M45" s="139">
        <v>37500</v>
      </c>
      <c r="N45" s="139">
        <f t="shared" ref="N45:N74" si="20">M45-M45*H45</f>
        <v>37500</v>
      </c>
      <c r="O45" s="139">
        <f t="shared" ref="O45:O74" si="21">N45/J45/12</f>
        <v>520.83333333333337</v>
      </c>
      <c r="P45" s="139">
        <f t="shared" ref="P45:P74" si="22">+O45*12</f>
        <v>6250</v>
      </c>
      <c r="Q45" s="342">
        <f t="shared" si="8"/>
        <v>0</v>
      </c>
      <c r="R45" s="341"/>
      <c r="S45" s="342">
        <f t="shared" si="9"/>
        <v>37500</v>
      </c>
      <c r="T45" s="139">
        <f t="shared" si="10"/>
        <v>37500</v>
      </c>
      <c r="U45" s="139">
        <f t="shared" ref="U45:U74" si="23">M45-T45</f>
        <v>0</v>
      </c>
      <c r="V45" s="11">
        <f t="shared" ref="V45:V74" si="24">M45-T45</f>
        <v>0</v>
      </c>
    </row>
    <row r="46" spans="2:22">
      <c r="B46" s="5">
        <v>102187</v>
      </c>
      <c r="D46" s="3">
        <v>183</v>
      </c>
      <c r="E46" s="3" t="s">
        <v>1259</v>
      </c>
      <c r="F46" s="3">
        <v>2010</v>
      </c>
      <c r="G46" s="3">
        <v>5</v>
      </c>
      <c r="H46" s="3">
        <v>0</v>
      </c>
      <c r="I46" s="3" t="s">
        <v>52</v>
      </c>
      <c r="J46" s="3">
        <v>6</v>
      </c>
      <c r="K46" s="3">
        <f t="shared" si="18"/>
        <v>2016</v>
      </c>
      <c r="L46" s="168">
        <f t="shared" si="19"/>
        <v>2016.4166666666667</v>
      </c>
      <c r="M46" s="139">
        <v>76172</v>
      </c>
      <c r="N46" s="139">
        <f t="shared" si="20"/>
        <v>76172</v>
      </c>
      <c r="O46" s="139">
        <f t="shared" si="21"/>
        <v>1057.9444444444446</v>
      </c>
      <c r="P46" s="139">
        <f t="shared" si="22"/>
        <v>12695.333333333336</v>
      </c>
      <c r="Q46" s="342">
        <f t="shared" si="8"/>
        <v>0</v>
      </c>
      <c r="R46" s="341"/>
      <c r="S46" s="342">
        <f t="shared" si="9"/>
        <v>76172</v>
      </c>
      <c r="T46" s="139">
        <f t="shared" si="10"/>
        <v>76172</v>
      </c>
      <c r="U46" s="139">
        <f t="shared" si="23"/>
        <v>0</v>
      </c>
      <c r="V46" s="11">
        <f t="shared" si="24"/>
        <v>0</v>
      </c>
    </row>
    <row r="47" spans="2:22">
      <c r="B47" s="3">
        <v>115352</v>
      </c>
      <c r="D47" s="3">
        <v>606</v>
      </c>
      <c r="E47" s="3" t="s">
        <v>313</v>
      </c>
      <c r="F47" s="3">
        <v>2014</v>
      </c>
      <c r="G47" s="3">
        <v>7</v>
      </c>
      <c r="H47" s="3">
        <v>0</v>
      </c>
      <c r="I47" s="3" t="s">
        <v>52</v>
      </c>
      <c r="J47" s="3">
        <v>3</v>
      </c>
      <c r="K47" s="3">
        <f t="shared" si="18"/>
        <v>2017</v>
      </c>
      <c r="L47" s="168">
        <f t="shared" si="19"/>
        <v>2017.5833333333333</v>
      </c>
      <c r="M47" s="139">
        <v>8755</v>
      </c>
      <c r="N47" s="139">
        <f t="shared" si="20"/>
        <v>8755</v>
      </c>
      <c r="O47" s="139">
        <f t="shared" si="21"/>
        <v>243.19444444444446</v>
      </c>
      <c r="P47" s="139">
        <f t="shared" si="22"/>
        <v>2918.3333333333335</v>
      </c>
      <c r="Q47" s="342">
        <f t="shared" si="8"/>
        <v>0</v>
      </c>
      <c r="R47" s="341"/>
      <c r="S47" s="342">
        <f t="shared" si="9"/>
        <v>8755</v>
      </c>
      <c r="T47" s="139">
        <f t="shared" si="10"/>
        <v>8755</v>
      </c>
      <c r="U47" s="139">
        <f t="shared" si="23"/>
        <v>0</v>
      </c>
      <c r="V47" s="11">
        <f t="shared" si="24"/>
        <v>0</v>
      </c>
    </row>
    <row r="48" spans="2:22">
      <c r="B48" s="3">
        <v>173306</v>
      </c>
      <c r="D48" s="3">
        <v>609</v>
      </c>
      <c r="E48" s="3" t="s">
        <v>441</v>
      </c>
      <c r="F48" s="3">
        <v>2014</v>
      </c>
      <c r="G48" s="3">
        <v>8</v>
      </c>
      <c r="H48" s="3">
        <v>0</v>
      </c>
      <c r="I48" s="3" t="s">
        <v>52</v>
      </c>
      <c r="J48" s="3">
        <v>3</v>
      </c>
      <c r="K48" s="3">
        <f t="shared" si="18"/>
        <v>2017</v>
      </c>
      <c r="L48" s="168">
        <f t="shared" si="19"/>
        <v>2017.6666666666667</v>
      </c>
      <c r="M48" s="139">
        <v>5047</v>
      </c>
      <c r="N48" s="139">
        <f t="shared" si="20"/>
        <v>5047</v>
      </c>
      <c r="O48" s="139">
        <f t="shared" si="21"/>
        <v>140.19444444444443</v>
      </c>
      <c r="P48" s="139">
        <f t="shared" si="22"/>
        <v>1682.333333333333</v>
      </c>
      <c r="Q48" s="342">
        <f t="shared" si="8"/>
        <v>0</v>
      </c>
      <c r="R48" s="341"/>
      <c r="S48" s="342">
        <f t="shared" si="9"/>
        <v>5047</v>
      </c>
      <c r="T48" s="139">
        <f t="shared" si="10"/>
        <v>5047</v>
      </c>
      <c r="U48" s="139">
        <f t="shared" si="23"/>
        <v>0</v>
      </c>
      <c r="V48" s="11">
        <f t="shared" si="24"/>
        <v>0</v>
      </c>
    </row>
    <row r="49" spans="2:24">
      <c r="B49" s="3">
        <v>173305</v>
      </c>
      <c r="D49" s="3">
        <v>612</v>
      </c>
      <c r="E49" s="3" t="s">
        <v>442</v>
      </c>
      <c r="F49" s="3">
        <v>2014</v>
      </c>
      <c r="G49" s="3">
        <v>7</v>
      </c>
      <c r="H49" s="3">
        <v>0</v>
      </c>
      <c r="I49" s="3" t="s">
        <v>52</v>
      </c>
      <c r="J49" s="3">
        <v>3</v>
      </c>
      <c r="K49" s="3">
        <f t="shared" si="18"/>
        <v>2017</v>
      </c>
      <c r="L49" s="168">
        <f t="shared" si="19"/>
        <v>2017.5833333333333</v>
      </c>
      <c r="M49" s="139">
        <v>18555</v>
      </c>
      <c r="N49" s="139">
        <f t="shared" si="20"/>
        <v>18555</v>
      </c>
      <c r="O49" s="139">
        <f t="shared" si="21"/>
        <v>515.41666666666663</v>
      </c>
      <c r="P49" s="139">
        <f t="shared" si="22"/>
        <v>6185</v>
      </c>
      <c r="Q49" s="342">
        <f t="shared" si="8"/>
        <v>0</v>
      </c>
      <c r="R49" s="341"/>
      <c r="S49" s="342">
        <f t="shared" si="9"/>
        <v>18555</v>
      </c>
      <c r="T49" s="139">
        <f t="shared" si="10"/>
        <v>18555</v>
      </c>
      <c r="U49" s="139">
        <f t="shared" si="23"/>
        <v>0</v>
      </c>
      <c r="V49" s="11">
        <f t="shared" si="24"/>
        <v>0</v>
      </c>
    </row>
    <row r="50" spans="2:24">
      <c r="B50" s="3" t="s">
        <v>419</v>
      </c>
      <c r="E50" s="3" t="s">
        <v>420</v>
      </c>
      <c r="F50" s="3">
        <v>2016</v>
      </c>
      <c r="G50" s="3">
        <v>3</v>
      </c>
      <c r="H50" s="3">
        <v>0</v>
      </c>
      <c r="I50" s="3" t="s">
        <v>52</v>
      </c>
      <c r="J50" s="3">
        <v>1</v>
      </c>
      <c r="K50" s="3">
        <f t="shared" si="18"/>
        <v>2017</v>
      </c>
      <c r="L50" s="168">
        <f t="shared" si="19"/>
        <v>2017.25</v>
      </c>
      <c r="M50" s="139">
        <f>(25892.28+23056.62)/104*22</f>
        <v>10354.574999999999</v>
      </c>
      <c r="N50" s="139">
        <f t="shared" si="20"/>
        <v>10354.574999999999</v>
      </c>
      <c r="O50" s="139">
        <f t="shared" si="21"/>
        <v>862.88124999999991</v>
      </c>
      <c r="P50" s="139">
        <f t="shared" si="22"/>
        <v>10354.574999999999</v>
      </c>
      <c r="Q50" s="342">
        <f t="shared" si="8"/>
        <v>0</v>
      </c>
      <c r="R50" s="341"/>
      <c r="S50" s="342">
        <f t="shared" si="9"/>
        <v>10354.574999999999</v>
      </c>
      <c r="T50" s="139">
        <f t="shared" si="10"/>
        <v>10354.574999999999</v>
      </c>
      <c r="U50" s="139">
        <f t="shared" si="23"/>
        <v>0</v>
      </c>
      <c r="V50" s="11">
        <f t="shared" si="24"/>
        <v>0</v>
      </c>
    </row>
    <row r="51" spans="2:24">
      <c r="B51" s="3">
        <v>131500</v>
      </c>
      <c r="D51" s="3">
        <v>606</v>
      </c>
      <c r="E51" s="3" t="s">
        <v>389</v>
      </c>
      <c r="F51" s="3">
        <v>2016</v>
      </c>
      <c r="G51" s="3">
        <v>3</v>
      </c>
      <c r="H51" s="3">
        <v>0</v>
      </c>
      <c r="I51" s="3" t="s">
        <v>52</v>
      </c>
      <c r="J51" s="3">
        <v>3</v>
      </c>
      <c r="K51" s="3">
        <f t="shared" si="18"/>
        <v>2019</v>
      </c>
      <c r="L51" s="168">
        <f t="shared" si="19"/>
        <v>2019.25</v>
      </c>
      <c r="M51" s="139">
        <v>20361.07</v>
      </c>
      <c r="N51" s="139">
        <f t="shared" si="20"/>
        <v>20361.07</v>
      </c>
      <c r="O51" s="139">
        <f t="shared" si="21"/>
        <v>565.58527777777783</v>
      </c>
      <c r="P51" s="139">
        <f t="shared" si="22"/>
        <v>6787.0233333333344</v>
      </c>
      <c r="Q51" s="342">
        <f t="shared" si="8"/>
        <v>0</v>
      </c>
      <c r="R51" s="341"/>
      <c r="S51" s="342">
        <f t="shared" si="9"/>
        <v>20361.07</v>
      </c>
      <c r="T51" s="139">
        <f t="shared" si="10"/>
        <v>20361.07</v>
      </c>
      <c r="U51" s="139">
        <f t="shared" si="23"/>
        <v>0</v>
      </c>
      <c r="V51" s="11">
        <f t="shared" si="24"/>
        <v>0</v>
      </c>
      <c r="X51" s="11"/>
    </row>
    <row r="52" spans="2:24">
      <c r="B52" s="3">
        <v>132075</v>
      </c>
      <c r="D52" s="3">
        <v>630</v>
      </c>
      <c r="E52" s="3" t="s">
        <v>391</v>
      </c>
      <c r="F52" s="3">
        <v>2016</v>
      </c>
      <c r="G52" s="3">
        <v>3</v>
      </c>
      <c r="H52" s="3">
        <v>0</v>
      </c>
      <c r="I52" s="3" t="s">
        <v>52</v>
      </c>
      <c r="J52" s="3">
        <v>10</v>
      </c>
      <c r="K52" s="3">
        <f t="shared" si="18"/>
        <v>2026</v>
      </c>
      <c r="L52" s="168">
        <f t="shared" si="19"/>
        <v>2026.25</v>
      </c>
      <c r="M52" s="139">
        <v>287706.76</v>
      </c>
      <c r="N52" s="139">
        <f t="shared" si="20"/>
        <v>287706.76</v>
      </c>
      <c r="O52" s="139">
        <f t="shared" si="21"/>
        <v>2397.5563333333334</v>
      </c>
      <c r="P52" s="139">
        <f t="shared" si="22"/>
        <v>28770.675999999999</v>
      </c>
      <c r="Q52" s="342">
        <f t="shared" si="8"/>
        <v>28770.675999999999</v>
      </c>
      <c r="R52" s="341"/>
      <c r="S52" s="342">
        <f t="shared" si="9"/>
        <v>232562.96433333115</v>
      </c>
      <c r="T52" s="139">
        <f t="shared" si="10"/>
        <v>261333.64033333116</v>
      </c>
      <c r="U52" s="139">
        <f t="shared" si="23"/>
        <v>26373.119666668848</v>
      </c>
      <c r="V52" s="11">
        <f t="shared" si="24"/>
        <v>26373.119666668848</v>
      </c>
    </row>
    <row r="53" spans="2:24">
      <c r="B53" s="3" t="s">
        <v>506</v>
      </c>
      <c r="D53" s="3">
        <v>609</v>
      </c>
      <c r="E53" s="3" t="s">
        <v>507</v>
      </c>
      <c r="F53" s="3">
        <v>2017</v>
      </c>
      <c r="G53" s="3">
        <v>3</v>
      </c>
      <c r="H53" s="3">
        <v>0</v>
      </c>
      <c r="I53" s="3" t="s">
        <v>52</v>
      </c>
      <c r="J53" s="3">
        <v>3</v>
      </c>
      <c r="K53" s="3">
        <f t="shared" si="18"/>
        <v>2020</v>
      </c>
      <c r="L53" s="168">
        <f t="shared" si="19"/>
        <v>2020.25</v>
      </c>
      <c r="M53" s="139">
        <v>15283.31</v>
      </c>
      <c r="N53" s="139">
        <f t="shared" si="20"/>
        <v>15283.31</v>
      </c>
      <c r="O53" s="139">
        <f t="shared" si="21"/>
        <v>424.53638888888889</v>
      </c>
      <c r="P53" s="139">
        <f t="shared" si="22"/>
        <v>5094.4366666666665</v>
      </c>
      <c r="Q53" s="342">
        <f t="shared" si="8"/>
        <v>0</v>
      </c>
      <c r="R53" s="341"/>
      <c r="S53" s="342">
        <f t="shared" si="9"/>
        <v>15283.31</v>
      </c>
      <c r="T53" s="139">
        <f t="shared" si="10"/>
        <v>15283.31</v>
      </c>
      <c r="U53" s="139">
        <f t="shared" si="23"/>
        <v>0</v>
      </c>
      <c r="V53" s="11">
        <f t="shared" si="24"/>
        <v>0</v>
      </c>
    </row>
    <row r="54" spans="2:24">
      <c r="B54" s="3">
        <v>178938</v>
      </c>
      <c r="D54" s="3">
        <v>839</v>
      </c>
      <c r="E54" s="3" t="s">
        <v>510</v>
      </c>
      <c r="F54" s="3">
        <v>2017</v>
      </c>
      <c r="G54" s="3">
        <v>3</v>
      </c>
      <c r="H54" s="3">
        <v>0</v>
      </c>
      <c r="I54" s="3" t="s">
        <v>52</v>
      </c>
      <c r="J54" s="3">
        <v>10</v>
      </c>
      <c r="K54" s="3">
        <f t="shared" si="18"/>
        <v>2027</v>
      </c>
      <c r="L54" s="168">
        <f t="shared" si="19"/>
        <v>2027.25</v>
      </c>
      <c r="M54" s="139">
        <v>329412.94</v>
      </c>
      <c r="N54" s="139">
        <f t="shared" si="20"/>
        <v>329412.94</v>
      </c>
      <c r="O54" s="139">
        <f t="shared" si="21"/>
        <v>2745.1078333333335</v>
      </c>
      <c r="P54" s="139">
        <f t="shared" si="22"/>
        <v>32941.294000000002</v>
      </c>
      <c r="Q54" s="342">
        <f t="shared" si="8"/>
        <v>32941.294000000002</v>
      </c>
      <c r="R54" s="341"/>
      <c r="S54" s="342">
        <f t="shared" si="9"/>
        <v>233334.16583333083</v>
      </c>
      <c r="T54" s="139">
        <f t="shared" si="10"/>
        <v>266275.45983333082</v>
      </c>
      <c r="U54" s="139">
        <f t="shared" si="23"/>
        <v>63137.480166669178</v>
      </c>
      <c r="V54" s="11">
        <f t="shared" si="24"/>
        <v>63137.480166669178</v>
      </c>
    </row>
    <row r="55" spans="2:24">
      <c r="B55" s="3">
        <v>178937</v>
      </c>
      <c r="D55" s="3">
        <v>849</v>
      </c>
      <c r="E55" s="3" t="s">
        <v>510</v>
      </c>
      <c r="F55" s="3">
        <v>2017</v>
      </c>
      <c r="G55" s="3">
        <v>3</v>
      </c>
      <c r="H55" s="3">
        <v>0</v>
      </c>
      <c r="I55" s="3" t="s">
        <v>52</v>
      </c>
      <c r="J55" s="3">
        <v>10</v>
      </c>
      <c r="K55" s="3">
        <f t="shared" si="18"/>
        <v>2027</v>
      </c>
      <c r="L55" s="168">
        <f t="shared" si="19"/>
        <v>2027.25</v>
      </c>
      <c r="M55" s="139">
        <v>330469.13</v>
      </c>
      <c r="N55" s="139">
        <f t="shared" si="20"/>
        <v>330469.13</v>
      </c>
      <c r="O55" s="139">
        <f t="shared" si="21"/>
        <v>2753.9094166666669</v>
      </c>
      <c r="P55" s="139">
        <f t="shared" si="22"/>
        <v>33046.913</v>
      </c>
      <c r="Q55" s="342">
        <f t="shared" si="8"/>
        <v>33046.913</v>
      </c>
      <c r="R55" s="341"/>
      <c r="S55" s="342">
        <f t="shared" si="9"/>
        <v>234082.30041666416</v>
      </c>
      <c r="T55" s="139">
        <f t="shared" si="10"/>
        <v>267129.21341666416</v>
      </c>
      <c r="U55" s="139">
        <f t="shared" si="23"/>
        <v>63339.916583335842</v>
      </c>
      <c r="V55" s="11">
        <f t="shared" si="24"/>
        <v>63339.916583335842</v>
      </c>
    </row>
    <row r="56" spans="2:24">
      <c r="B56" s="3">
        <v>178936</v>
      </c>
      <c r="D56" s="3">
        <v>842</v>
      </c>
      <c r="E56" s="3" t="s">
        <v>510</v>
      </c>
      <c r="F56" s="3">
        <v>2017</v>
      </c>
      <c r="G56" s="3">
        <v>3</v>
      </c>
      <c r="H56" s="3">
        <v>0</v>
      </c>
      <c r="I56" s="3" t="s">
        <v>52</v>
      </c>
      <c r="J56" s="3">
        <v>10</v>
      </c>
      <c r="K56" s="3">
        <f t="shared" si="18"/>
        <v>2027</v>
      </c>
      <c r="L56" s="168">
        <f t="shared" si="19"/>
        <v>2027.25</v>
      </c>
      <c r="M56" s="139">
        <v>329574.24</v>
      </c>
      <c r="N56" s="139">
        <f t="shared" si="20"/>
        <v>329574.24</v>
      </c>
      <c r="O56" s="139">
        <f t="shared" si="21"/>
        <v>2746.4519999999998</v>
      </c>
      <c r="P56" s="139">
        <f t="shared" si="22"/>
        <v>32957.423999999999</v>
      </c>
      <c r="Q56" s="342">
        <f t="shared" si="8"/>
        <v>32957.423999999999</v>
      </c>
      <c r="R56" s="341"/>
      <c r="S56" s="342">
        <f t="shared" si="9"/>
        <v>233448.41999999748</v>
      </c>
      <c r="T56" s="139">
        <f t="shared" si="10"/>
        <v>266405.84399999748</v>
      </c>
      <c r="U56" s="139">
        <f t="shared" si="23"/>
        <v>63168.396000002511</v>
      </c>
      <c r="V56" s="11">
        <f t="shared" si="24"/>
        <v>63168.396000002511</v>
      </c>
    </row>
    <row r="57" spans="2:24">
      <c r="B57" s="3">
        <v>178935</v>
      </c>
      <c r="D57" s="3">
        <v>840</v>
      </c>
      <c r="E57" s="3" t="s">
        <v>510</v>
      </c>
      <c r="F57" s="3">
        <v>2017</v>
      </c>
      <c r="G57" s="3">
        <v>3</v>
      </c>
      <c r="H57" s="3">
        <v>0</v>
      </c>
      <c r="I57" s="3" t="s">
        <v>52</v>
      </c>
      <c r="J57" s="3">
        <v>10</v>
      </c>
      <c r="K57" s="3">
        <f t="shared" si="18"/>
        <v>2027</v>
      </c>
      <c r="L57" s="168">
        <f t="shared" si="19"/>
        <v>2027.25</v>
      </c>
      <c r="M57" s="139">
        <v>327597.21000000002</v>
      </c>
      <c r="N57" s="139">
        <f t="shared" si="20"/>
        <v>327597.21000000002</v>
      </c>
      <c r="O57" s="139">
        <f t="shared" si="21"/>
        <v>2729.9767500000003</v>
      </c>
      <c r="P57" s="139">
        <f t="shared" si="22"/>
        <v>32759.721000000005</v>
      </c>
      <c r="Q57" s="342">
        <f t="shared" si="8"/>
        <v>32759.721000000005</v>
      </c>
      <c r="R57" s="341"/>
      <c r="S57" s="342">
        <f t="shared" si="9"/>
        <v>232048.02374999755</v>
      </c>
      <c r="T57" s="139">
        <f t="shared" si="10"/>
        <v>264807.74474999757</v>
      </c>
      <c r="U57" s="139">
        <f t="shared" si="23"/>
        <v>62789.465250002453</v>
      </c>
      <c r="V57" s="11">
        <f t="shared" si="24"/>
        <v>62789.465250002453</v>
      </c>
    </row>
    <row r="58" spans="2:24">
      <c r="B58" s="3">
        <v>178934</v>
      </c>
      <c r="D58" s="3">
        <v>844</v>
      </c>
      <c r="E58" s="3" t="s">
        <v>510</v>
      </c>
      <c r="F58" s="3">
        <v>2017</v>
      </c>
      <c r="G58" s="3">
        <v>3</v>
      </c>
      <c r="H58" s="3">
        <v>0</v>
      </c>
      <c r="I58" s="3" t="s">
        <v>52</v>
      </c>
      <c r="J58" s="3">
        <v>10</v>
      </c>
      <c r="K58" s="3">
        <f t="shared" si="18"/>
        <v>2027</v>
      </c>
      <c r="L58" s="168">
        <f t="shared" si="19"/>
        <v>2027.25</v>
      </c>
      <c r="M58" s="139">
        <v>329869.31</v>
      </c>
      <c r="N58" s="139">
        <f t="shared" si="20"/>
        <v>329869.31</v>
      </c>
      <c r="O58" s="139">
        <f t="shared" si="21"/>
        <v>2748.9109166666663</v>
      </c>
      <c r="P58" s="139">
        <f t="shared" si="22"/>
        <v>32986.930999999997</v>
      </c>
      <c r="Q58" s="342">
        <f t="shared" si="8"/>
        <v>32986.930999999997</v>
      </c>
      <c r="R58" s="341"/>
      <c r="S58" s="342">
        <f t="shared" si="9"/>
        <v>233657.42791666416</v>
      </c>
      <c r="T58" s="139">
        <f t="shared" si="10"/>
        <v>266644.35891666415</v>
      </c>
      <c r="U58" s="139">
        <f t="shared" si="23"/>
        <v>63224.951083335851</v>
      </c>
      <c r="V58" s="11">
        <f t="shared" si="24"/>
        <v>63224.951083335851</v>
      </c>
    </row>
    <row r="59" spans="2:24">
      <c r="B59" s="3">
        <v>178933</v>
      </c>
      <c r="D59" s="3">
        <v>841</v>
      </c>
      <c r="E59" s="3" t="s">
        <v>510</v>
      </c>
      <c r="F59" s="3">
        <v>2017</v>
      </c>
      <c r="G59" s="3">
        <v>3</v>
      </c>
      <c r="H59" s="3">
        <v>0</v>
      </c>
      <c r="I59" s="3" t="s">
        <v>52</v>
      </c>
      <c r="J59" s="3">
        <v>10</v>
      </c>
      <c r="K59" s="3">
        <f t="shared" si="18"/>
        <v>2027</v>
      </c>
      <c r="L59" s="168">
        <f t="shared" si="19"/>
        <v>2027.25</v>
      </c>
      <c r="M59" s="139">
        <v>330173.56</v>
      </c>
      <c r="N59" s="139">
        <f t="shared" si="20"/>
        <v>330173.56</v>
      </c>
      <c r="O59" s="139">
        <f t="shared" si="21"/>
        <v>2751.4463333333333</v>
      </c>
      <c r="P59" s="139">
        <f t="shared" si="22"/>
        <v>33017.356</v>
      </c>
      <c r="Q59" s="342">
        <f t="shared" si="8"/>
        <v>33017.356</v>
      </c>
      <c r="R59" s="341"/>
      <c r="S59" s="342">
        <f t="shared" si="9"/>
        <v>233872.93833333085</v>
      </c>
      <c r="T59" s="139">
        <f t="shared" si="10"/>
        <v>266890.29433333082</v>
      </c>
      <c r="U59" s="139">
        <f t="shared" si="23"/>
        <v>63283.265666669176</v>
      </c>
      <c r="V59" s="11">
        <f t="shared" si="24"/>
        <v>63283.265666669176</v>
      </c>
    </row>
    <row r="60" spans="2:24">
      <c r="B60" s="3">
        <v>178932</v>
      </c>
      <c r="D60" s="3">
        <v>843</v>
      </c>
      <c r="E60" s="3" t="s">
        <v>510</v>
      </c>
      <c r="F60" s="3">
        <v>2017</v>
      </c>
      <c r="G60" s="3">
        <v>3</v>
      </c>
      <c r="H60" s="3">
        <v>0</v>
      </c>
      <c r="I60" s="3" t="s">
        <v>52</v>
      </c>
      <c r="J60" s="3">
        <v>10</v>
      </c>
      <c r="K60" s="3">
        <f t="shared" si="18"/>
        <v>2027</v>
      </c>
      <c r="L60" s="168">
        <f t="shared" si="19"/>
        <v>2027.25</v>
      </c>
      <c r="M60" s="139">
        <v>327489.68</v>
      </c>
      <c r="N60" s="139">
        <f t="shared" si="20"/>
        <v>327489.68</v>
      </c>
      <c r="O60" s="139">
        <f t="shared" si="21"/>
        <v>2729.0806666666667</v>
      </c>
      <c r="P60" s="139">
        <f t="shared" si="22"/>
        <v>32748.968000000001</v>
      </c>
      <c r="Q60" s="342">
        <f t="shared" si="8"/>
        <v>32748.968000000001</v>
      </c>
      <c r="R60" s="341"/>
      <c r="S60" s="342">
        <f t="shared" si="9"/>
        <v>231971.85666666419</v>
      </c>
      <c r="T60" s="139">
        <f t="shared" si="10"/>
        <v>264720.82466666418</v>
      </c>
      <c r="U60" s="139">
        <f t="shared" si="23"/>
        <v>62768.855333335814</v>
      </c>
      <c r="V60" s="11">
        <f t="shared" si="24"/>
        <v>62768.855333335814</v>
      </c>
    </row>
    <row r="61" spans="2:24">
      <c r="B61" s="3">
        <v>178931</v>
      </c>
      <c r="D61" s="3">
        <v>304</v>
      </c>
      <c r="E61" s="3" t="s">
        <v>511</v>
      </c>
      <c r="F61" s="3">
        <v>2017</v>
      </c>
      <c r="G61" s="3">
        <v>3</v>
      </c>
      <c r="H61" s="3">
        <v>0</v>
      </c>
      <c r="I61" s="3" t="s">
        <v>52</v>
      </c>
      <c r="J61" s="3">
        <v>10</v>
      </c>
      <c r="K61" s="3">
        <f t="shared" si="18"/>
        <v>2027</v>
      </c>
      <c r="L61" s="168">
        <f t="shared" si="19"/>
        <v>2027.25</v>
      </c>
      <c r="M61" s="139">
        <v>173960.49</v>
      </c>
      <c r="N61" s="139">
        <f t="shared" si="20"/>
        <v>173960.49</v>
      </c>
      <c r="O61" s="139">
        <f t="shared" si="21"/>
        <v>1449.67075</v>
      </c>
      <c r="P61" s="139">
        <f t="shared" si="22"/>
        <v>17396.048999999999</v>
      </c>
      <c r="Q61" s="342">
        <f t="shared" si="8"/>
        <v>17396.048999999999</v>
      </c>
      <c r="R61" s="341"/>
      <c r="S61" s="342">
        <f t="shared" si="9"/>
        <v>123222.01374999867</v>
      </c>
      <c r="T61" s="139">
        <f t="shared" si="10"/>
        <v>140618.06274999867</v>
      </c>
      <c r="U61" s="139">
        <f t="shared" si="23"/>
        <v>33342.427250001318</v>
      </c>
      <c r="V61" s="11">
        <f t="shared" si="24"/>
        <v>33342.427250001318</v>
      </c>
    </row>
    <row r="62" spans="2:24">
      <c r="B62" s="3">
        <v>178930</v>
      </c>
      <c r="D62" s="3">
        <v>846</v>
      </c>
      <c r="E62" s="3" t="s">
        <v>510</v>
      </c>
      <c r="F62" s="3">
        <v>2017</v>
      </c>
      <c r="G62" s="3">
        <v>3</v>
      </c>
      <c r="H62" s="3">
        <v>0</v>
      </c>
      <c r="I62" s="3" t="s">
        <v>52</v>
      </c>
      <c r="J62" s="3">
        <v>10</v>
      </c>
      <c r="K62" s="3">
        <f t="shared" si="18"/>
        <v>2027</v>
      </c>
      <c r="L62" s="168">
        <f t="shared" si="19"/>
        <v>2027.25</v>
      </c>
      <c r="M62" s="139">
        <v>327150.13</v>
      </c>
      <c r="N62" s="139">
        <f t="shared" si="20"/>
        <v>327150.13</v>
      </c>
      <c r="O62" s="139">
        <f t="shared" si="21"/>
        <v>2726.2510833333331</v>
      </c>
      <c r="P62" s="139">
        <f t="shared" si="22"/>
        <v>32715.012999999999</v>
      </c>
      <c r="Q62" s="342">
        <f t="shared" si="8"/>
        <v>32715.012999999999</v>
      </c>
      <c r="R62" s="341"/>
      <c r="S62" s="342">
        <f t="shared" si="9"/>
        <v>231731.34208333085</v>
      </c>
      <c r="T62" s="139">
        <f t="shared" si="10"/>
        <v>264446.35508333083</v>
      </c>
      <c r="U62" s="139">
        <f t="shared" si="23"/>
        <v>62703.774916669179</v>
      </c>
      <c r="V62" s="11">
        <f t="shared" si="24"/>
        <v>62703.774916669179</v>
      </c>
    </row>
    <row r="63" spans="2:24">
      <c r="B63" s="3">
        <v>178929</v>
      </c>
      <c r="D63" s="3">
        <v>847</v>
      </c>
      <c r="E63" s="3" t="s">
        <v>510</v>
      </c>
      <c r="F63" s="3">
        <v>2017</v>
      </c>
      <c r="G63" s="3">
        <v>3</v>
      </c>
      <c r="H63" s="3">
        <v>0</v>
      </c>
      <c r="I63" s="3" t="s">
        <v>52</v>
      </c>
      <c r="J63" s="3">
        <v>10</v>
      </c>
      <c r="K63" s="3">
        <f t="shared" si="18"/>
        <v>2027</v>
      </c>
      <c r="L63" s="168">
        <f t="shared" si="19"/>
        <v>2027.25</v>
      </c>
      <c r="M63" s="139">
        <v>327150.13</v>
      </c>
      <c r="N63" s="139">
        <f t="shared" si="20"/>
        <v>327150.13</v>
      </c>
      <c r="O63" s="139">
        <f t="shared" si="21"/>
        <v>2726.2510833333331</v>
      </c>
      <c r="P63" s="139">
        <f t="shared" si="22"/>
        <v>32715.012999999999</v>
      </c>
      <c r="Q63" s="342">
        <f t="shared" si="8"/>
        <v>32715.012999999999</v>
      </c>
      <c r="R63" s="341"/>
      <c r="S63" s="342">
        <f t="shared" si="9"/>
        <v>231731.34208333085</v>
      </c>
      <c r="T63" s="139">
        <f t="shared" si="10"/>
        <v>264446.35508333083</v>
      </c>
      <c r="U63" s="139">
        <f t="shared" si="23"/>
        <v>62703.774916669179</v>
      </c>
      <c r="V63" s="11">
        <f t="shared" si="24"/>
        <v>62703.774916669179</v>
      </c>
    </row>
    <row r="64" spans="2:24">
      <c r="B64" s="3">
        <v>178928</v>
      </c>
      <c r="D64" s="3">
        <v>845</v>
      </c>
      <c r="E64" s="3" t="s">
        <v>510</v>
      </c>
      <c r="F64" s="3">
        <v>2017</v>
      </c>
      <c r="G64" s="3">
        <v>3</v>
      </c>
      <c r="H64" s="3">
        <v>0</v>
      </c>
      <c r="I64" s="3" t="s">
        <v>52</v>
      </c>
      <c r="J64" s="3">
        <v>10</v>
      </c>
      <c r="K64" s="3">
        <f t="shared" si="18"/>
        <v>2027</v>
      </c>
      <c r="L64" s="168">
        <f t="shared" si="19"/>
        <v>2027.25</v>
      </c>
      <c r="M64" s="139">
        <v>327150.13</v>
      </c>
      <c r="N64" s="139">
        <f t="shared" si="20"/>
        <v>327150.13</v>
      </c>
      <c r="O64" s="139">
        <f t="shared" si="21"/>
        <v>2726.2510833333331</v>
      </c>
      <c r="P64" s="139">
        <f t="shared" si="22"/>
        <v>32715.012999999999</v>
      </c>
      <c r="Q64" s="342">
        <f t="shared" si="8"/>
        <v>32715.012999999999</v>
      </c>
      <c r="R64" s="341"/>
      <c r="S64" s="342">
        <f t="shared" si="9"/>
        <v>231731.34208333085</v>
      </c>
      <c r="T64" s="139">
        <f t="shared" si="10"/>
        <v>264446.35508333083</v>
      </c>
      <c r="U64" s="139">
        <f t="shared" si="23"/>
        <v>62703.774916669179</v>
      </c>
      <c r="V64" s="11">
        <f t="shared" si="24"/>
        <v>62703.774916669179</v>
      </c>
    </row>
    <row r="65" spans="2:22">
      <c r="B65" s="3">
        <v>178927</v>
      </c>
      <c r="D65" s="3">
        <v>848</v>
      </c>
      <c r="E65" s="3" t="s">
        <v>510</v>
      </c>
      <c r="F65" s="3">
        <v>2017</v>
      </c>
      <c r="G65" s="3">
        <v>3</v>
      </c>
      <c r="H65" s="3">
        <v>0</v>
      </c>
      <c r="I65" s="3" t="s">
        <v>52</v>
      </c>
      <c r="J65" s="3">
        <v>10</v>
      </c>
      <c r="K65" s="3">
        <f t="shared" si="18"/>
        <v>2027</v>
      </c>
      <c r="L65" s="168">
        <f t="shared" si="19"/>
        <v>2027.25</v>
      </c>
      <c r="M65" s="139">
        <v>327150.14</v>
      </c>
      <c r="N65" s="139">
        <f t="shared" si="20"/>
        <v>327150.14</v>
      </c>
      <c r="O65" s="139">
        <f t="shared" si="21"/>
        <v>2726.2511666666669</v>
      </c>
      <c r="P65" s="139">
        <f t="shared" si="22"/>
        <v>32715.014000000003</v>
      </c>
      <c r="Q65" s="342">
        <f t="shared" si="8"/>
        <v>32715.014000000003</v>
      </c>
      <c r="R65" s="341"/>
      <c r="S65" s="342">
        <f t="shared" si="9"/>
        <v>231731.34916666418</v>
      </c>
      <c r="T65" s="139">
        <f t="shared" si="10"/>
        <v>264446.3631666642</v>
      </c>
      <c r="U65" s="139">
        <f t="shared" si="23"/>
        <v>62703.776833335811</v>
      </c>
      <c r="V65" s="11">
        <f t="shared" si="24"/>
        <v>62703.776833335811</v>
      </c>
    </row>
    <row r="66" spans="2:22">
      <c r="B66" s="3" t="s">
        <v>552</v>
      </c>
      <c r="D66" s="3">
        <v>853</v>
      </c>
      <c r="E66" s="3" t="s">
        <v>510</v>
      </c>
      <c r="F66" s="3">
        <v>2017</v>
      </c>
      <c r="G66" s="3">
        <v>6</v>
      </c>
      <c r="H66" s="3">
        <v>0</v>
      </c>
      <c r="I66" s="3" t="s">
        <v>52</v>
      </c>
      <c r="J66" s="3">
        <v>10</v>
      </c>
      <c r="K66" s="3">
        <f t="shared" si="18"/>
        <v>2027</v>
      </c>
      <c r="L66" s="168">
        <f t="shared" si="19"/>
        <v>2027.5</v>
      </c>
      <c r="M66" s="139">
        <f>336597.94+494.55</f>
        <v>337092.49</v>
      </c>
      <c r="N66" s="139">
        <f t="shared" si="20"/>
        <v>337092.49</v>
      </c>
      <c r="O66" s="139">
        <f t="shared" si="21"/>
        <v>2809.1040833333332</v>
      </c>
      <c r="P66" s="139">
        <f t="shared" si="22"/>
        <v>33709.248999999996</v>
      </c>
      <c r="Q66" s="342">
        <f t="shared" si="8"/>
        <v>33709.248999999996</v>
      </c>
      <c r="R66" s="341"/>
      <c r="S66" s="342">
        <f t="shared" si="9"/>
        <v>230346.53483333078</v>
      </c>
      <c r="T66" s="139">
        <f t="shared" si="10"/>
        <v>264055.78383333079</v>
      </c>
      <c r="U66" s="139">
        <f t="shared" si="23"/>
        <v>73036.706166669203</v>
      </c>
      <c r="V66" s="11">
        <f t="shared" si="24"/>
        <v>73036.706166669203</v>
      </c>
    </row>
    <row r="67" spans="2:22">
      <c r="B67" s="3" t="s">
        <v>553</v>
      </c>
      <c r="D67" s="3">
        <v>852</v>
      </c>
      <c r="E67" s="3" t="s">
        <v>510</v>
      </c>
      <c r="F67" s="3">
        <v>2017</v>
      </c>
      <c r="G67" s="3">
        <v>6</v>
      </c>
      <c r="H67" s="3">
        <v>0</v>
      </c>
      <c r="I67" s="3" t="s">
        <v>52</v>
      </c>
      <c r="J67" s="3">
        <v>10</v>
      </c>
      <c r="K67" s="3">
        <f t="shared" si="18"/>
        <v>2027</v>
      </c>
      <c r="L67" s="168">
        <f t="shared" si="19"/>
        <v>2027.5</v>
      </c>
      <c r="M67" s="139">
        <f>336597.94+494.55</f>
        <v>337092.49</v>
      </c>
      <c r="N67" s="139">
        <f t="shared" si="20"/>
        <v>337092.49</v>
      </c>
      <c r="O67" s="139">
        <f t="shared" si="21"/>
        <v>2809.1040833333332</v>
      </c>
      <c r="P67" s="139">
        <f t="shared" si="22"/>
        <v>33709.248999999996</v>
      </c>
      <c r="Q67" s="342">
        <f t="shared" si="8"/>
        <v>33709.248999999996</v>
      </c>
      <c r="R67" s="341"/>
      <c r="S67" s="342">
        <f t="shared" si="9"/>
        <v>230346.53483333078</v>
      </c>
      <c r="T67" s="139">
        <f t="shared" si="10"/>
        <v>264055.78383333079</v>
      </c>
      <c r="U67" s="139">
        <f t="shared" si="23"/>
        <v>73036.706166669203</v>
      </c>
      <c r="V67" s="11">
        <f t="shared" si="24"/>
        <v>73036.706166669203</v>
      </c>
    </row>
    <row r="68" spans="2:22">
      <c r="B68" s="3" t="s">
        <v>603</v>
      </c>
      <c r="D68" s="3">
        <v>851</v>
      </c>
      <c r="E68" s="3" t="s">
        <v>510</v>
      </c>
      <c r="F68" s="3">
        <v>2017</v>
      </c>
      <c r="G68" s="3">
        <v>6</v>
      </c>
      <c r="H68" s="3">
        <v>0</v>
      </c>
      <c r="I68" s="3" t="s">
        <v>52</v>
      </c>
      <c r="J68" s="3">
        <v>10</v>
      </c>
      <c r="K68" s="3">
        <f t="shared" si="18"/>
        <v>2027</v>
      </c>
      <c r="L68" s="168">
        <f t="shared" si="19"/>
        <v>2027.5</v>
      </c>
      <c r="M68" s="139">
        <f>336597.94+494.55</f>
        <v>337092.49</v>
      </c>
      <c r="N68" s="139">
        <f t="shared" si="20"/>
        <v>337092.49</v>
      </c>
      <c r="O68" s="139">
        <f t="shared" si="21"/>
        <v>2809.1040833333332</v>
      </c>
      <c r="P68" s="139">
        <f t="shared" si="22"/>
        <v>33709.248999999996</v>
      </c>
      <c r="Q68" s="342">
        <f t="shared" si="8"/>
        <v>33709.248999999996</v>
      </c>
      <c r="R68" s="341"/>
      <c r="S68" s="342">
        <f t="shared" si="9"/>
        <v>230346.53483333078</v>
      </c>
      <c r="T68" s="139">
        <f t="shared" si="10"/>
        <v>264055.78383333079</v>
      </c>
      <c r="U68" s="139">
        <f t="shared" si="23"/>
        <v>73036.706166669203</v>
      </c>
      <c r="V68" s="11">
        <f t="shared" si="24"/>
        <v>73036.706166669203</v>
      </c>
    </row>
    <row r="69" spans="2:22">
      <c r="B69" s="3" t="s">
        <v>568</v>
      </c>
      <c r="D69" s="3">
        <v>613</v>
      </c>
      <c r="E69" s="3" t="s">
        <v>567</v>
      </c>
      <c r="F69" s="3">
        <v>2017</v>
      </c>
      <c r="G69" s="3">
        <v>1</v>
      </c>
      <c r="H69" s="3">
        <v>0</v>
      </c>
      <c r="I69" s="3" t="s">
        <v>52</v>
      </c>
      <c r="J69" s="3">
        <v>5</v>
      </c>
      <c r="K69" s="3">
        <f t="shared" si="18"/>
        <v>2022</v>
      </c>
      <c r="L69" s="168">
        <f t="shared" si="19"/>
        <v>2022.0833333333333</v>
      </c>
      <c r="M69" s="139">
        <v>67968.03</v>
      </c>
      <c r="N69" s="139">
        <f t="shared" si="20"/>
        <v>67968.03</v>
      </c>
      <c r="O69" s="139">
        <f t="shared" si="21"/>
        <v>1132.8005000000001</v>
      </c>
      <c r="P69" s="139">
        <f t="shared" si="22"/>
        <v>13593.606</v>
      </c>
      <c r="Q69" s="342">
        <f t="shared" si="8"/>
        <v>0</v>
      </c>
      <c r="R69" s="341"/>
      <c r="S69" s="342">
        <f t="shared" si="9"/>
        <v>67968.03</v>
      </c>
      <c r="T69" s="139">
        <f t="shared" si="10"/>
        <v>67968.03</v>
      </c>
      <c r="U69" s="139">
        <f t="shared" si="23"/>
        <v>0</v>
      </c>
      <c r="V69" s="11">
        <f t="shared" si="24"/>
        <v>0</v>
      </c>
    </row>
    <row r="70" spans="2:22">
      <c r="B70" s="3" t="s">
        <v>569</v>
      </c>
      <c r="D70" s="3">
        <v>850</v>
      </c>
      <c r="E70" s="3" t="s">
        <v>510</v>
      </c>
      <c r="F70" s="3">
        <v>2017</v>
      </c>
      <c r="G70" s="3">
        <v>4</v>
      </c>
      <c r="H70" s="3">
        <v>0</v>
      </c>
      <c r="I70" s="3" t="s">
        <v>52</v>
      </c>
      <c r="J70" s="3">
        <v>10</v>
      </c>
      <c r="K70" s="3">
        <f t="shared" si="18"/>
        <v>2027</v>
      </c>
      <c r="L70" s="168">
        <f t="shared" si="19"/>
        <v>2027.3333333333333</v>
      </c>
      <c r="M70" s="139">
        <f>336597.94+494.55</f>
        <v>337092.49</v>
      </c>
      <c r="N70" s="139">
        <f t="shared" si="20"/>
        <v>337092.49</v>
      </c>
      <c r="O70" s="139">
        <f t="shared" si="21"/>
        <v>2809.1040833333332</v>
      </c>
      <c r="P70" s="139">
        <f t="shared" si="22"/>
        <v>33709.248999999996</v>
      </c>
      <c r="Q70" s="342">
        <f t="shared" si="8"/>
        <v>33709.248999999996</v>
      </c>
      <c r="R70" s="341"/>
      <c r="S70" s="342">
        <f t="shared" si="9"/>
        <v>235964.74300000002</v>
      </c>
      <c r="T70" s="139">
        <f t="shared" si="10"/>
        <v>269673.99200000003</v>
      </c>
      <c r="U70" s="139">
        <f t="shared" si="23"/>
        <v>67418.497999999963</v>
      </c>
      <c r="V70" s="11">
        <f t="shared" si="24"/>
        <v>67418.497999999963</v>
      </c>
    </row>
    <row r="71" spans="2:22">
      <c r="B71" s="3">
        <v>180515</v>
      </c>
      <c r="E71" s="3" t="s">
        <v>574</v>
      </c>
      <c r="F71" s="3">
        <v>2017</v>
      </c>
      <c r="G71" s="3">
        <v>3</v>
      </c>
      <c r="H71" s="3">
        <v>0</v>
      </c>
      <c r="I71" s="3" t="s">
        <v>52</v>
      </c>
      <c r="J71" s="3">
        <v>1</v>
      </c>
      <c r="K71" s="3">
        <f t="shared" si="18"/>
        <v>2018</v>
      </c>
      <c r="L71" s="168">
        <f t="shared" si="19"/>
        <v>2018.25</v>
      </c>
      <c r="M71" s="139">
        <v>6597.75</v>
      </c>
      <c r="N71" s="139">
        <f t="shared" si="20"/>
        <v>6597.75</v>
      </c>
      <c r="O71" s="139">
        <f t="shared" si="21"/>
        <v>549.8125</v>
      </c>
      <c r="P71" s="139">
        <f t="shared" si="22"/>
        <v>6597.75</v>
      </c>
      <c r="Q71" s="342">
        <f t="shared" si="8"/>
        <v>0</v>
      </c>
      <c r="R71" s="341"/>
      <c r="S71" s="342">
        <f t="shared" si="9"/>
        <v>6597.75</v>
      </c>
      <c r="T71" s="139">
        <f t="shared" si="10"/>
        <v>6597.75</v>
      </c>
      <c r="U71" s="139">
        <f t="shared" si="23"/>
        <v>0</v>
      </c>
      <c r="V71" s="11">
        <f t="shared" si="24"/>
        <v>0</v>
      </c>
    </row>
    <row r="72" spans="2:22">
      <c r="B72" s="3" t="s">
        <v>539</v>
      </c>
      <c r="D72" s="3">
        <v>855</v>
      </c>
      <c r="E72" s="3" t="s">
        <v>501</v>
      </c>
      <c r="F72" s="3">
        <v>2018</v>
      </c>
      <c r="G72" s="3">
        <v>6</v>
      </c>
      <c r="H72" s="3">
        <v>0</v>
      </c>
      <c r="I72" s="3" t="s">
        <v>52</v>
      </c>
      <c r="J72" s="3">
        <v>9</v>
      </c>
      <c r="K72" s="3">
        <f t="shared" si="18"/>
        <v>2027</v>
      </c>
      <c r="L72" s="168">
        <f t="shared" si="19"/>
        <v>2027.5</v>
      </c>
      <c r="M72" s="139">
        <f>345746.04+1745</f>
        <v>347491.04</v>
      </c>
      <c r="N72" s="139">
        <f t="shared" si="20"/>
        <v>347491.04</v>
      </c>
      <c r="O72" s="139">
        <f t="shared" si="21"/>
        <v>3217.5096296296292</v>
      </c>
      <c r="P72" s="139">
        <f t="shared" si="22"/>
        <v>38610.115555555552</v>
      </c>
      <c r="Q72" s="342">
        <f t="shared" si="8"/>
        <v>38610.115555555552</v>
      </c>
      <c r="R72" s="341"/>
      <c r="S72" s="342">
        <f t="shared" si="9"/>
        <v>225225.67407407114</v>
      </c>
      <c r="T72" s="139">
        <f t="shared" si="10"/>
        <v>263835.78962962667</v>
      </c>
      <c r="U72" s="139">
        <f t="shared" si="23"/>
        <v>83655.250370373309</v>
      </c>
      <c r="V72" s="11">
        <f t="shared" si="24"/>
        <v>83655.250370373309</v>
      </c>
    </row>
    <row r="73" spans="2:22">
      <c r="B73" s="3">
        <v>199164</v>
      </c>
      <c r="D73" s="3">
        <v>854</v>
      </c>
      <c r="E73" s="3" t="s">
        <v>501</v>
      </c>
      <c r="F73" s="3">
        <v>2018</v>
      </c>
      <c r="G73" s="3">
        <v>6</v>
      </c>
      <c r="H73" s="3">
        <v>0</v>
      </c>
      <c r="I73" s="3" t="s">
        <v>52</v>
      </c>
      <c r="J73" s="3">
        <v>9</v>
      </c>
      <c r="K73" s="3">
        <f t="shared" si="18"/>
        <v>2027</v>
      </c>
      <c r="L73" s="168">
        <f t="shared" si="19"/>
        <v>2027.5</v>
      </c>
      <c r="M73" s="139">
        <v>347491.04</v>
      </c>
      <c r="N73" s="139">
        <f t="shared" si="20"/>
        <v>347491.04</v>
      </c>
      <c r="O73" s="139">
        <f t="shared" si="21"/>
        <v>3217.5096296296292</v>
      </c>
      <c r="P73" s="139">
        <f t="shared" si="22"/>
        <v>38610.115555555552</v>
      </c>
      <c r="Q73" s="342">
        <f t="shared" si="8"/>
        <v>38610.115555555552</v>
      </c>
      <c r="R73" s="341"/>
      <c r="S73" s="342">
        <f t="shared" si="9"/>
        <v>225225.67407407114</v>
      </c>
      <c r="T73" s="139">
        <f t="shared" si="10"/>
        <v>263835.78962962667</v>
      </c>
      <c r="U73" s="139">
        <f t="shared" si="23"/>
        <v>83655.250370373309</v>
      </c>
      <c r="V73" s="11">
        <f t="shared" si="24"/>
        <v>83655.250370373309</v>
      </c>
    </row>
    <row r="74" spans="2:22">
      <c r="B74" s="3">
        <v>200714</v>
      </c>
      <c r="C74" s="3">
        <v>173078</v>
      </c>
      <c r="E74" s="3" t="s">
        <v>567</v>
      </c>
      <c r="F74" s="3">
        <v>2018</v>
      </c>
      <c r="G74" s="3">
        <v>7</v>
      </c>
      <c r="H74" s="3">
        <v>0</v>
      </c>
      <c r="I74" s="3" t="s">
        <v>52</v>
      </c>
      <c r="J74" s="3">
        <v>3</v>
      </c>
      <c r="K74" s="3">
        <f t="shared" si="18"/>
        <v>2021</v>
      </c>
      <c r="L74" s="168">
        <f t="shared" si="19"/>
        <v>2021.5833333333333</v>
      </c>
      <c r="M74" s="139">
        <v>9099.7199999999993</v>
      </c>
      <c r="N74" s="139">
        <f t="shared" si="20"/>
        <v>9099.7199999999993</v>
      </c>
      <c r="O74" s="139">
        <f t="shared" si="21"/>
        <v>252.76999999999998</v>
      </c>
      <c r="P74" s="139">
        <f t="shared" si="22"/>
        <v>3033.24</v>
      </c>
      <c r="Q74" s="342">
        <f t="shared" si="8"/>
        <v>0</v>
      </c>
      <c r="R74" s="341"/>
      <c r="S74" s="342">
        <f t="shared" si="9"/>
        <v>9099.7199999999993</v>
      </c>
      <c r="T74" s="139">
        <f t="shared" si="10"/>
        <v>9099.7199999999993</v>
      </c>
      <c r="U74" s="139">
        <f t="shared" si="23"/>
        <v>0</v>
      </c>
      <c r="V74" s="11">
        <f t="shared" si="24"/>
        <v>0</v>
      </c>
    </row>
    <row r="75" spans="2:22">
      <c r="B75" s="3">
        <v>200783</v>
      </c>
      <c r="D75" s="3">
        <v>150</v>
      </c>
      <c r="E75" s="3" t="s">
        <v>897</v>
      </c>
      <c r="F75" s="3">
        <v>2018</v>
      </c>
      <c r="G75" s="3">
        <v>7</v>
      </c>
      <c r="H75" s="3">
        <v>0</v>
      </c>
      <c r="I75" s="3" t="s">
        <v>52</v>
      </c>
      <c r="J75" s="3">
        <v>10</v>
      </c>
      <c r="K75" s="3">
        <f t="shared" ref="K75:K99" si="25">F75+J75</f>
        <v>2028</v>
      </c>
      <c r="L75" s="168">
        <f t="shared" ref="L75:L99" si="26">+K75+(G75/12)</f>
        <v>2028.5833333333333</v>
      </c>
      <c r="M75" s="139">
        <v>131900.57999999999</v>
      </c>
      <c r="N75" s="139">
        <f t="shared" ref="N75:N99" si="27">M75-M75*H75</f>
        <v>131900.57999999999</v>
      </c>
      <c r="O75" s="139">
        <f t="shared" ref="O75:O91" si="28">N75/J75/12</f>
        <v>1099.1714999999999</v>
      </c>
      <c r="P75" s="139">
        <f t="shared" ref="P75:P95" si="29">+O75*12</f>
        <v>13190.057999999999</v>
      </c>
      <c r="Q75" s="342">
        <f t="shared" si="8"/>
        <v>13190.057999999999</v>
      </c>
      <c r="R75" s="341"/>
      <c r="S75" s="342">
        <f t="shared" si="9"/>
        <v>75842.833499999993</v>
      </c>
      <c r="T75" s="139">
        <f t="shared" si="10"/>
        <v>89032.891499999998</v>
      </c>
      <c r="U75" s="139">
        <f t="shared" ref="U75:U95" si="30">M75-T75</f>
        <v>42867.688499999989</v>
      </c>
      <c r="V75" s="11">
        <f t="shared" ref="V75:V95" si="31">M75-T75</f>
        <v>42867.688499999989</v>
      </c>
    </row>
    <row r="76" spans="2:22">
      <c r="B76" s="3">
        <v>202833</v>
      </c>
      <c r="D76" s="3">
        <v>913</v>
      </c>
      <c r="E76" s="3" t="s">
        <v>898</v>
      </c>
      <c r="F76" s="3">
        <v>2018</v>
      </c>
      <c r="G76" s="3">
        <v>9</v>
      </c>
      <c r="H76" s="3">
        <v>0</v>
      </c>
      <c r="I76" s="3" t="s">
        <v>52</v>
      </c>
      <c r="J76" s="3">
        <v>10</v>
      </c>
      <c r="K76" s="3">
        <f t="shared" si="25"/>
        <v>2028</v>
      </c>
      <c r="L76" s="168">
        <f t="shared" si="26"/>
        <v>2028.75</v>
      </c>
      <c r="M76" s="139">
        <v>330697.77</v>
      </c>
      <c r="N76" s="139">
        <f t="shared" si="27"/>
        <v>330697.77</v>
      </c>
      <c r="O76" s="139">
        <f t="shared" si="28"/>
        <v>2755.81475</v>
      </c>
      <c r="P76" s="139">
        <f t="shared" si="29"/>
        <v>33069.777000000002</v>
      </c>
      <c r="Q76" s="342">
        <f t="shared" si="8"/>
        <v>33069.777000000002</v>
      </c>
      <c r="R76" s="341"/>
      <c r="S76" s="342">
        <f t="shared" si="9"/>
        <v>184639.5882499975</v>
      </c>
      <c r="T76" s="139">
        <f t="shared" si="10"/>
        <v>217709.3652499975</v>
      </c>
      <c r="U76" s="139">
        <f t="shared" si="30"/>
        <v>112988.40475000252</v>
      </c>
      <c r="V76" s="11">
        <f t="shared" si="31"/>
        <v>112988.40475000252</v>
      </c>
    </row>
    <row r="77" spans="2:22">
      <c r="B77" s="5" t="s">
        <v>1268</v>
      </c>
      <c r="D77" s="3">
        <v>913</v>
      </c>
      <c r="E77" s="3" t="s">
        <v>1256</v>
      </c>
      <c r="F77" s="3">
        <v>2018</v>
      </c>
      <c r="G77" s="3">
        <v>9</v>
      </c>
      <c r="H77" s="3">
        <v>0</v>
      </c>
      <c r="I77" s="3" t="s">
        <v>52</v>
      </c>
      <c r="J77" s="3">
        <v>10</v>
      </c>
      <c r="K77" s="3">
        <f t="shared" si="25"/>
        <v>2028</v>
      </c>
      <c r="L77" s="168">
        <f t="shared" si="26"/>
        <v>2028.75</v>
      </c>
      <c r="M77" s="139">
        <v>1094.5</v>
      </c>
      <c r="N77" s="139">
        <f t="shared" si="27"/>
        <v>1094.5</v>
      </c>
      <c r="O77" s="139">
        <f t="shared" si="28"/>
        <v>9.1208333333333336</v>
      </c>
      <c r="P77" s="139">
        <f t="shared" si="29"/>
        <v>109.45</v>
      </c>
      <c r="Q77" s="342">
        <f t="shared" ref="Q77:Q99" si="32">IF(L77&lt;=$N$6,0,P77)</f>
        <v>109.45</v>
      </c>
      <c r="R77" s="341"/>
      <c r="S77" s="342">
        <f t="shared" ref="S77:S99" si="33">+IF($L77&lt;=$N$7,$M77,IF(($F77+($G77/12))&gt;=$N$7,0,((($N77-((($L77-$N$7)*12)*$O77))))))</f>
        <v>611.095833333325</v>
      </c>
      <c r="T77" s="139">
        <f t="shared" ref="T77:T99" si="34">IF(L77&lt;=$N$6,M77,Q77+S77)</f>
        <v>720.54583333332505</v>
      </c>
      <c r="U77" s="139">
        <f t="shared" si="30"/>
        <v>373.95416666667495</v>
      </c>
      <c r="V77" s="11">
        <f t="shared" si="31"/>
        <v>373.95416666667495</v>
      </c>
    </row>
    <row r="78" spans="2:22">
      <c r="B78" s="3">
        <v>202832</v>
      </c>
      <c r="D78" s="3">
        <v>912</v>
      </c>
      <c r="E78" s="3" t="s">
        <v>898</v>
      </c>
      <c r="F78" s="3">
        <v>2018</v>
      </c>
      <c r="G78" s="3">
        <v>9</v>
      </c>
      <c r="H78" s="3">
        <v>0</v>
      </c>
      <c r="I78" s="3" t="s">
        <v>52</v>
      </c>
      <c r="J78" s="3">
        <v>10</v>
      </c>
      <c r="K78" s="3">
        <f t="shared" si="25"/>
        <v>2028</v>
      </c>
      <c r="L78" s="168">
        <f t="shared" si="26"/>
        <v>2028.75</v>
      </c>
      <c r="M78" s="139">
        <v>331358.90999999997</v>
      </c>
      <c r="N78" s="139">
        <f t="shared" si="27"/>
        <v>331358.90999999997</v>
      </c>
      <c r="O78" s="139">
        <f t="shared" si="28"/>
        <v>2761.3242499999997</v>
      </c>
      <c r="P78" s="139">
        <f t="shared" si="29"/>
        <v>33135.890999999996</v>
      </c>
      <c r="Q78" s="342">
        <f t="shared" si="32"/>
        <v>33135.890999999996</v>
      </c>
      <c r="R78" s="341"/>
      <c r="S78" s="342">
        <f t="shared" si="33"/>
        <v>185008.72474999749</v>
      </c>
      <c r="T78" s="139">
        <f t="shared" si="34"/>
        <v>218144.61574999749</v>
      </c>
      <c r="U78" s="139">
        <f t="shared" si="30"/>
        <v>113214.29425000248</v>
      </c>
      <c r="V78" s="11">
        <f t="shared" si="31"/>
        <v>113214.29425000248</v>
      </c>
    </row>
    <row r="79" spans="2:22">
      <c r="B79" s="3">
        <v>203867</v>
      </c>
      <c r="D79" s="3">
        <v>856</v>
      </c>
      <c r="E79" s="3" t="s">
        <v>898</v>
      </c>
      <c r="F79" s="3">
        <v>2018</v>
      </c>
      <c r="G79" s="3">
        <v>10</v>
      </c>
      <c r="H79" s="3">
        <v>0</v>
      </c>
      <c r="I79" s="3" t="s">
        <v>52</v>
      </c>
      <c r="J79" s="3">
        <v>10</v>
      </c>
      <c r="K79" s="3">
        <f t="shared" si="25"/>
        <v>2028</v>
      </c>
      <c r="L79" s="168">
        <f t="shared" si="26"/>
        <v>2028.8333333333333</v>
      </c>
      <c r="M79" s="139">
        <v>350406.5</v>
      </c>
      <c r="N79" s="139">
        <f t="shared" si="27"/>
        <v>350406.5</v>
      </c>
      <c r="O79" s="139">
        <f t="shared" si="28"/>
        <v>2920.0541666666668</v>
      </c>
      <c r="P79" s="139">
        <f t="shared" si="29"/>
        <v>35040.65</v>
      </c>
      <c r="Q79" s="342">
        <f t="shared" si="32"/>
        <v>35040.65</v>
      </c>
      <c r="R79" s="341"/>
      <c r="S79" s="342">
        <f t="shared" si="33"/>
        <v>192723.57499999998</v>
      </c>
      <c r="T79" s="139">
        <f t="shared" si="34"/>
        <v>227764.22499999998</v>
      </c>
      <c r="U79" s="139">
        <f t="shared" si="30"/>
        <v>122642.27500000002</v>
      </c>
      <c r="V79" s="11">
        <f t="shared" si="31"/>
        <v>122642.27500000002</v>
      </c>
    </row>
    <row r="80" spans="2:22">
      <c r="B80" s="5" t="s">
        <v>1267</v>
      </c>
      <c r="D80" s="3">
        <v>60</v>
      </c>
      <c r="E80" s="3" t="s">
        <v>1254</v>
      </c>
      <c r="F80" s="3">
        <v>2018</v>
      </c>
      <c r="G80" s="3">
        <v>11</v>
      </c>
      <c r="H80" s="3">
        <v>0</v>
      </c>
      <c r="I80" s="3" t="s">
        <v>52</v>
      </c>
      <c r="J80" s="3">
        <v>3</v>
      </c>
      <c r="K80" s="3">
        <f t="shared" si="25"/>
        <v>2021</v>
      </c>
      <c r="L80" s="168">
        <f t="shared" si="26"/>
        <v>2021.9166666666667</v>
      </c>
      <c r="M80" s="139">
        <v>26806.880000000001</v>
      </c>
      <c r="N80" s="139">
        <f t="shared" si="27"/>
        <v>26806.880000000001</v>
      </c>
      <c r="O80" s="139">
        <f t="shared" si="28"/>
        <v>744.63555555555558</v>
      </c>
      <c r="P80" s="139">
        <f t="shared" si="29"/>
        <v>8935.626666666667</v>
      </c>
      <c r="Q80" s="342">
        <f t="shared" si="32"/>
        <v>0</v>
      </c>
      <c r="R80" s="341"/>
      <c r="S80" s="342">
        <f t="shared" si="33"/>
        <v>26806.880000000001</v>
      </c>
      <c r="T80" s="139">
        <f t="shared" si="34"/>
        <v>26806.880000000001</v>
      </c>
      <c r="U80" s="139">
        <f t="shared" si="30"/>
        <v>0</v>
      </c>
      <c r="V80" s="11">
        <f t="shared" si="31"/>
        <v>0</v>
      </c>
    </row>
    <row r="81" spans="2:24">
      <c r="B81" s="5">
        <v>205635</v>
      </c>
      <c r="D81" s="3">
        <v>15</v>
      </c>
      <c r="E81" s="3" t="s">
        <v>1255</v>
      </c>
      <c r="F81" s="3">
        <v>2018</v>
      </c>
      <c r="G81" s="3">
        <v>11</v>
      </c>
      <c r="H81" s="3">
        <v>0</v>
      </c>
      <c r="I81" s="3" t="s">
        <v>52</v>
      </c>
      <c r="J81" s="3">
        <v>3</v>
      </c>
      <c r="K81" s="3">
        <f t="shared" si="25"/>
        <v>2021</v>
      </c>
      <c r="L81" s="168">
        <f t="shared" si="26"/>
        <v>2021.9166666666667</v>
      </c>
      <c r="M81" s="139">
        <v>23708</v>
      </c>
      <c r="N81" s="139">
        <f t="shared" si="27"/>
        <v>23708</v>
      </c>
      <c r="O81" s="139">
        <f t="shared" si="28"/>
        <v>658.55555555555554</v>
      </c>
      <c r="P81" s="139">
        <f t="shared" si="29"/>
        <v>7902.6666666666661</v>
      </c>
      <c r="Q81" s="342">
        <f t="shared" si="32"/>
        <v>0</v>
      </c>
      <c r="R81" s="341"/>
      <c r="S81" s="342">
        <f t="shared" si="33"/>
        <v>23708</v>
      </c>
      <c r="T81" s="139">
        <f t="shared" si="34"/>
        <v>23708</v>
      </c>
      <c r="U81" s="139">
        <f t="shared" si="30"/>
        <v>0</v>
      </c>
      <c r="V81" s="11">
        <f t="shared" si="31"/>
        <v>0</v>
      </c>
    </row>
    <row r="82" spans="2:24">
      <c r="B82" s="5" t="s">
        <v>1269</v>
      </c>
      <c r="E82" s="3" t="s">
        <v>940</v>
      </c>
      <c r="F82" s="3">
        <v>2018</v>
      </c>
      <c r="G82" s="3">
        <v>9</v>
      </c>
      <c r="H82" s="3">
        <v>0</v>
      </c>
      <c r="I82" s="3" t="s">
        <v>52</v>
      </c>
      <c r="J82" s="3">
        <v>3</v>
      </c>
      <c r="K82" s="3">
        <f t="shared" si="25"/>
        <v>2021</v>
      </c>
      <c r="L82" s="168">
        <f t="shared" si="26"/>
        <v>2021.75</v>
      </c>
      <c r="M82" s="139">
        <v>11069.35</v>
      </c>
      <c r="N82" s="139">
        <f t="shared" si="27"/>
        <v>11069.35</v>
      </c>
      <c r="O82" s="139">
        <f t="shared" si="28"/>
        <v>307.48194444444442</v>
      </c>
      <c r="P82" s="139">
        <f t="shared" si="29"/>
        <v>3689.7833333333328</v>
      </c>
      <c r="Q82" s="342">
        <f t="shared" si="32"/>
        <v>0</v>
      </c>
      <c r="R82" s="341"/>
      <c r="S82" s="342">
        <f t="shared" si="33"/>
        <v>11069.35</v>
      </c>
      <c r="T82" s="139">
        <f t="shared" si="34"/>
        <v>11069.35</v>
      </c>
      <c r="U82" s="139">
        <f t="shared" si="30"/>
        <v>0</v>
      </c>
      <c r="V82" s="11">
        <f t="shared" si="31"/>
        <v>0</v>
      </c>
    </row>
    <row r="83" spans="2:24">
      <c r="B83" s="3">
        <v>219747</v>
      </c>
      <c r="D83" s="3">
        <v>914</v>
      </c>
      <c r="E83" s="3" t="s">
        <v>898</v>
      </c>
      <c r="F83" s="3">
        <v>2019</v>
      </c>
      <c r="G83" s="3">
        <v>9</v>
      </c>
      <c r="H83" s="3">
        <v>0</v>
      </c>
      <c r="I83" s="3" t="s">
        <v>52</v>
      </c>
      <c r="J83" s="3">
        <v>10</v>
      </c>
      <c r="K83" s="3">
        <f t="shared" si="25"/>
        <v>2029</v>
      </c>
      <c r="L83" s="168">
        <f t="shared" si="26"/>
        <v>2029.75</v>
      </c>
      <c r="M83" s="139">
        <f>338200.33+505.54+467.75+832.5</f>
        <v>340006.12</v>
      </c>
      <c r="N83" s="139">
        <f t="shared" si="27"/>
        <v>340006.12</v>
      </c>
      <c r="O83" s="139">
        <f t="shared" si="28"/>
        <v>2833.3843333333334</v>
      </c>
      <c r="P83" s="139">
        <f t="shared" si="29"/>
        <v>34000.612000000001</v>
      </c>
      <c r="Q83" s="342">
        <f t="shared" si="32"/>
        <v>34000.612000000001</v>
      </c>
      <c r="R83" s="341"/>
      <c r="S83" s="342">
        <f t="shared" si="33"/>
        <v>155836.13833333075</v>
      </c>
      <c r="T83" s="139">
        <f t="shared" si="34"/>
        <v>189836.75033333074</v>
      </c>
      <c r="U83" s="139">
        <f t="shared" si="30"/>
        <v>150169.36966666926</v>
      </c>
      <c r="V83" s="11">
        <f t="shared" si="31"/>
        <v>150169.36966666926</v>
      </c>
    </row>
    <row r="84" spans="2:24">
      <c r="B84" s="3">
        <v>223824</v>
      </c>
      <c r="D84" s="3">
        <v>915</v>
      </c>
      <c r="E84" s="3" t="s">
        <v>1060</v>
      </c>
      <c r="F84" s="3">
        <v>2019</v>
      </c>
      <c r="G84" s="3">
        <v>11</v>
      </c>
      <c r="H84" s="3">
        <v>0</v>
      </c>
      <c r="I84" s="3" t="s">
        <v>52</v>
      </c>
      <c r="J84" s="3">
        <v>10</v>
      </c>
      <c r="K84" s="3">
        <f t="shared" si="25"/>
        <v>2029</v>
      </c>
      <c r="L84" s="168">
        <f t="shared" si="26"/>
        <v>2029.9166666666667</v>
      </c>
      <c r="M84" s="139">
        <f>338875.87+439.6+857.48</f>
        <v>340172.94999999995</v>
      </c>
      <c r="N84" s="139">
        <f t="shared" si="27"/>
        <v>340172.94999999995</v>
      </c>
      <c r="O84" s="139">
        <f t="shared" si="28"/>
        <v>2834.7745833333333</v>
      </c>
      <c r="P84" s="139">
        <f t="shared" si="29"/>
        <v>34017.294999999998</v>
      </c>
      <c r="Q84" s="342">
        <f t="shared" si="32"/>
        <v>34017.294999999998</v>
      </c>
      <c r="R84" s="341"/>
      <c r="S84" s="342">
        <f t="shared" si="33"/>
        <v>150243.05291666146</v>
      </c>
      <c r="T84" s="139">
        <f t="shared" si="34"/>
        <v>184260.34791666147</v>
      </c>
      <c r="U84" s="139">
        <f t="shared" si="30"/>
        <v>155912.60208333848</v>
      </c>
      <c r="V84" s="11">
        <f t="shared" si="31"/>
        <v>155912.60208333848</v>
      </c>
    </row>
    <row r="85" spans="2:24">
      <c r="B85" s="3" t="s">
        <v>1229</v>
      </c>
      <c r="D85" s="3">
        <v>813</v>
      </c>
      <c r="E85" s="3" t="s">
        <v>1231</v>
      </c>
      <c r="F85" s="3">
        <v>2019</v>
      </c>
      <c r="G85" s="3">
        <v>11</v>
      </c>
      <c r="H85" s="3">
        <v>0</v>
      </c>
      <c r="I85" s="3" t="s">
        <v>52</v>
      </c>
      <c r="J85" s="3">
        <v>3</v>
      </c>
      <c r="K85" s="3">
        <f t="shared" si="25"/>
        <v>2022</v>
      </c>
      <c r="L85" s="168">
        <f t="shared" si="26"/>
        <v>2022.9166666666667</v>
      </c>
      <c r="M85" s="139">
        <v>10654.81</v>
      </c>
      <c r="N85" s="139">
        <f t="shared" si="27"/>
        <v>10654.81</v>
      </c>
      <c r="O85" s="139">
        <f t="shared" si="28"/>
        <v>295.96694444444444</v>
      </c>
      <c r="P85" s="139">
        <f t="shared" si="29"/>
        <v>3551.6033333333335</v>
      </c>
      <c r="Q85" s="342">
        <f t="shared" si="32"/>
        <v>0</v>
      </c>
      <c r="R85" s="341"/>
      <c r="S85" s="342">
        <f t="shared" si="33"/>
        <v>10654.81</v>
      </c>
      <c r="T85" s="139">
        <f t="shared" si="34"/>
        <v>10654.81</v>
      </c>
      <c r="U85" s="139">
        <f t="shared" si="30"/>
        <v>0</v>
      </c>
      <c r="V85" s="11">
        <f t="shared" si="31"/>
        <v>0</v>
      </c>
    </row>
    <row r="86" spans="2:24" ht="15.75">
      <c r="B86" s="5">
        <v>220852</v>
      </c>
      <c r="E86" s="3" t="s">
        <v>1248</v>
      </c>
      <c r="F86" s="3">
        <v>2019</v>
      </c>
      <c r="G86" s="3">
        <v>8</v>
      </c>
      <c r="H86" s="3">
        <v>0</v>
      </c>
      <c r="I86" s="3" t="s">
        <v>52</v>
      </c>
      <c r="J86" s="3">
        <v>5</v>
      </c>
      <c r="K86" s="3">
        <f t="shared" si="25"/>
        <v>2024</v>
      </c>
      <c r="L86" s="168">
        <f t="shared" si="26"/>
        <v>2024.6666666666667</v>
      </c>
      <c r="M86" s="139">
        <v>505.54</v>
      </c>
      <c r="N86" s="139">
        <f t="shared" si="27"/>
        <v>505.54</v>
      </c>
      <c r="O86" s="139">
        <f t="shared" si="28"/>
        <v>8.4256666666666664</v>
      </c>
      <c r="P86" s="139">
        <f t="shared" si="29"/>
        <v>101.108</v>
      </c>
      <c r="Q86" s="342">
        <f t="shared" si="32"/>
        <v>0</v>
      </c>
      <c r="R86" s="341"/>
      <c r="S86" s="342">
        <f t="shared" si="33"/>
        <v>471.83733333331804</v>
      </c>
      <c r="T86" s="139">
        <f t="shared" si="34"/>
        <v>505.54</v>
      </c>
      <c r="U86" s="139">
        <f t="shared" si="30"/>
        <v>0</v>
      </c>
      <c r="V86" s="11">
        <f t="shared" si="31"/>
        <v>0</v>
      </c>
      <c r="W86" s="407"/>
      <c r="X86" s="408"/>
    </row>
    <row r="87" spans="2:24" ht="15.75">
      <c r="B87" s="5">
        <v>220851</v>
      </c>
      <c r="E87" s="3" t="s">
        <v>1248</v>
      </c>
      <c r="F87" s="3">
        <v>2019</v>
      </c>
      <c r="G87" s="3">
        <v>8</v>
      </c>
      <c r="H87" s="3">
        <v>0</v>
      </c>
      <c r="I87" s="3" t="s">
        <v>52</v>
      </c>
      <c r="J87" s="3">
        <v>5</v>
      </c>
      <c r="K87" s="3">
        <f t="shared" si="25"/>
        <v>2024</v>
      </c>
      <c r="L87" s="168">
        <f t="shared" si="26"/>
        <v>2024.6666666666667</v>
      </c>
      <c r="M87" s="139">
        <v>505.54</v>
      </c>
      <c r="N87" s="139">
        <f t="shared" si="27"/>
        <v>505.54</v>
      </c>
      <c r="O87" s="139">
        <f t="shared" si="28"/>
        <v>8.4256666666666664</v>
      </c>
      <c r="P87" s="139">
        <f t="shared" si="29"/>
        <v>101.108</v>
      </c>
      <c r="Q87" s="342">
        <f t="shared" si="32"/>
        <v>0</v>
      </c>
      <c r="R87" s="341"/>
      <c r="S87" s="342">
        <f t="shared" si="33"/>
        <v>471.83733333331804</v>
      </c>
      <c r="T87" s="139">
        <f t="shared" si="34"/>
        <v>505.54</v>
      </c>
      <c r="U87" s="139">
        <f t="shared" si="30"/>
        <v>0</v>
      </c>
      <c r="V87" s="11">
        <f t="shared" si="31"/>
        <v>0</v>
      </c>
      <c r="W87" s="407"/>
      <c r="X87" s="408"/>
    </row>
    <row r="88" spans="2:24">
      <c r="B88" s="5" t="s">
        <v>1262</v>
      </c>
      <c r="D88" s="3">
        <v>183</v>
      </c>
      <c r="E88" s="3" t="s">
        <v>1249</v>
      </c>
      <c r="F88" s="3">
        <v>2019</v>
      </c>
      <c r="G88" s="3">
        <v>2</v>
      </c>
      <c r="H88" s="3">
        <v>0</v>
      </c>
      <c r="I88" s="3" t="s">
        <v>52</v>
      </c>
      <c r="J88" s="3">
        <v>3</v>
      </c>
      <c r="K88" s="3">
        <f t="shared" si="25"/>
        <v>2022</v>
      </c>
      <c r="L88" s="168">
        <f t="shared" si="26"/>
        <v>2022.1666666666667</v>
      </c>
      <c r="M88" s="139">
        <v>6435.44</v>
      </c>
      <c r="N88" s="139">
        <f t="shared" si="27"/>
        <v>6435.44</v>
      </c>
      <c r="O88" s="139">
        <f t="shared" si="28"/>
        <v>178.76222222222222</v>
      </c>
      <c r="P88" s="139">
        <f t="shared" si="29"/>
        <v>2145.1466666666665</v>
      </c>
      <c r="Q88" s="342">
        <f t="shared" si="32"/>
        <v>0</v>
      </c>
      <c r="R88" s="341"/>
      <c r="S88" s="342">
        <f t="shared" si="33"/>
        <v>6435.44</v>
      </c>
      <c r="T88" s="139">
        <f t="shared" si="34"/>
        <v>6435.44</v>
      </c>
      <c r="U88" s="139">
        <f t="shared" si="30"/>
        <v>0</v>
      </c>
      <c r="V88" s="11">
        <f t="shared" si="31"/>
        <v>0</v>
      </c>
    </row>
    <row r="89" spans="2:24">
      <c r="B89" s="5" t="s">
        <v>1265</v>
      </c>
      <c r="D89" s="3">
        <v>183</v>
      </c>
      <c r="E89" s="3" t="s">
        <v>1252</v>
      </c>
      <c r="F89" s="3">
        <v>2019</v>
      </c>
      <c r="G89" s="3">
        <v>1</v>
      </c>
      <c r="H89" s="3">
        <v>0</v>
      </c>
      <c r="I89" s="3" t="s">
        <v>52</v>
      </c>
      <c r="J89" s="3">
        <v>3</v>
      </c>
      <c r="K89" s="3">
        <f t="shared" si="25"/>
        <v>2022</v>
      </c>
      <c r="L89" s="168">
        <f t="shared" si="26"/>
        <v>2022.0833333333333</v>
      </c>
      <c r="M89" s="139">
        <v>25377</v>
      </c>
      <c r="N89" s="139">
        <f t="shared" si="27"/>
        <v>25377</v>
      </c>
      <c r="O89" s="139">
        <f t="shared" si="28"/>
        <v>704.91666666666663</v>
      </c>
      <c r="P89" s="139">
        <f t="shared" si="29"/>
        <v>8459</v>
      </c>
      <c r="Q89" s="342">
        <f t="shared" si="32"/>
        <v>0</v>
      </c>
      <c r="R89" s="341"/>
      <c r="S89" s="342">
        <f t="shared" si="33"/>
        <v>25377</v>
      </c>
      <c r="T89" s="139">
        <f t="shared" si="34"/>
        <v>25377</v>
      </c>
      <c r="U89" s="139">
        <f t="shared" si="30"/>
        <v>0</v>
      </c>
      <c r="V89" s="11">
        <f t="shared" si="31"/>
        <v>0</v>
      </c>
    </row>
    <row r="90" spans="2:24">
      <c r="B90" s="5" t="s">
        <v>1263</v>
      </c>
      <c r="D90" s="3">
        <v>158</v>
      </c>
      <c r="E90" s="3" t="s">
        <v>1250</v>
      </c>
      <c r="F90" s="3">
        <v>2019</v>
      </c>
      <c r="G90" s="3">
        <v>2</v>
      </c>
      <c r="H90" s="3">
        <v>0</v>
      </c>
      <c r="I90" s="3" t="s">
        <v>52</v>
      </c>
      <c r="J90" s="3">
        <v>3</v>
      </c>
      <c r="K90" s="3">
        <f t="shared" si="25"/>
        <v>2022</v>
      </c>
      <c r="L90" s="168">
        <f t="shared" si="26"/>
        <v>2022.1666666666667</v>
      </c>
      <c r="M90" s="139">
        <v>6435.44</v>
      </c>
      <c r="N90" s="139">
        <f t="shared" si="27"/>
        <v>6435.44</v>
      </c>
      <c r="O90" s="139">
        <f t="shared" si="28"/>
        <v>178.76222222222222</v>
      </c>
      <c r="P90" s="139">
        <f t="shared" si="29"/>
        <v>2145.1466666666665</v>
      </c>
      <c r="Q90" s="342">
        <f t="shared" si="32"/>
        <v>0</v>
      </c>
      <c r="R90" s="341"/>
      <c r="S90" s="342">
        <f t="shared" si="33"/>
        <v>6435.44</v>
      </c>
      <c r="T90" s="139">
        <f t="shared" si="34"/>
        <v>6435.44</v>
      </c>
      <c r="U90" s="139">
        <f t="shared" si="30"/>
        <v>0</v>
      </c>
      <c r="V90" s="11">
        <f t="shared" si="31"/>
        <v>0</v>
      </c>
    </row>
    <row r="91" spans="2:24">
      <c r="B91" s="5" t="s">
        <v>1264</v>
      </c>
      <c r="D91" s="3">
        <v>60</v>
      </c>
      <c r="E91" s="3" t="s">
        <v>1251</v>
      </c>
      <c r="F91" s="3">
        <v>2019</v>
      </c>
      <c r="G91" s="3">
        <v>2</v>
      </c>
      <c r="H91" s="3">
        <v>0</v>
      </c>
      <c r="I91" s="3" t="s">
        <v>52</v>
      </c>
      <c r="J91" s="3">
        <v>3</v>
      </c>
      <c r="K91" s="3">
        <f t="shared" si="25"/>
        <v>2022</v>
      </c>
      <c r="L91" s="168">
        <f t="shared" si="26"/>
        <v>2022.1666666666667</v>
      </c>
      <c r="M91" s="139">
        <v>6435.44</v>
      </c>
      <c r="N91" s="139">
        <f t="shared" si="27"/>
        <v>6435.44</v>
      </c>
      <c r="O91" s="139">
        <f t="shared" si="28"/>
        <v>178.76222222222222</v>
      </c>
      <c r="P91" s="139">
        <f t="shared" si="29"/>
        <v>2145.1466666666665</v>
      </c>
      <c r="Q91" s="342">
        <f t="shared" si="32"/>
        <v>0</v>
      </c>
      <c r="R91" s="341"/>
      <c r="S91" s="342">
        <f t="shared" si="33"/>
        <v>6435.44</v>
      </c>
      <c r="T91" s="139">
        <f t="shared" si="34"/>
        <v>6435.44</v>
      </c>
      <c r="U91" s="139">
        <f t="shared" si="30"/>
        <v>0</v>
      </c>
      <c r="V91" s="11">
        <f t="shared" si="31"/>
        <v>0</v>
      </c>
    </row>
    <row r="92" spans="2:24">
      <c r="B92" s="3">
        <v>232456</v>
      </c>
      <c r="D92" s="3">
        <v>860</v>
      </c>
      <c r="E92" s="3" t="s">
        <v>1123</v>
      </c>
      <c r="F92" s="3">
        <v>2020</v>
      </c>
      <c r="G92" s="3">
        <v>5</v>
      </c>
      <c r="H92" s="3">
        <v>0</v>
      </c>
      <c r="I92" s="3" t="s">
        <v>52</v>
      </c>
      <c r="J92" s="3">
        <v>0</v>
      </c>
      <c r="K92" s="3">
        <f t="shared" si="25"/>
        <v>2020</v>
      </c>
      <c r="L92" s="168">
        <f t="shared" si="26"/>
        <v>2020.4166666666667</v>
      </c>
      <c r="M92" s="139">
        <v>0</v>
      </c>
      <c r="N92" s="139">
        <f t="shared" si="27"/>
        <v>0</v>
      </c>
      <c r="O92" s="139">
        <f>IFERROR(N92/J92/12,0)</f>
        <v>0</v>
      </c>
      <c r="P92" s="139">
        <f t="shared" si="29"/>
        <v>0</v>
      </c>
      <c r="Q92" s="342">
        <f t="shared" si="32"/>
        <v>0</v>
      </c>
      <c r="R92" s="341"/>
      <c r="S92" s="342">
        <f t="shared" si="33"/>
        <v>0</v>
      </c>
      <c r="T92" s="139">
        <f t="shared" si="34"/>
        <v>0</v>
      </c>
      <c r="U92" s="139">
        <f t="shared" si="30"/>
        <v>0</v>
      </c>
      <c r="V92" s="11">
        <f t="shared" si="31"/>
        <v>0</v>
      </c>
    </row>
    <row r="93" spans="2:24">
      <c r="B93" s="3">
        <v>235097</v>
      </c>
      <c r="D93" s="3">
        <v>863</v>
      </c>
      <c r="E93" s="3" t="s">
        <v>1068</v>
      </c>
      <c r="F93" s="3">
        <v>2020</v>
      </c>
      <c r="G93" s="3">
        <v>7</v>
      </c>
      <c r="H93" s="3">
        <v>0</v>
      </c>
      <c r="I93" s="3" t="s">
        <v>52</v>
      </c>
      <c r="J93" s="3">
        <v>10</v>
      </c>
      <c r="K93" s="3">
        <f t="shared" si="25"/>
        <v>2030</v>
      </c>
      <c r="L93" s="168">
        <f t="shared" si="26"/>
        <v>2030.5833333333333</v>
      </c>
      <c r="M93" s="139">
        <v>364970.65</v>
      </c>
      <c r="N93" s="139">
        <f t="shared" si="27"/>
        <v>364970.65</v>
      </c>
      <c r="O93" s="139">
        <f t="shared" ref="O93:O99" si="35">N93/J93/12</f>
        <v>3041.4220833333334</v>
      </c>
      <c r="P93" s="139">
        <f t="shared" si="29"/>
        <v>36497.065000000002</v>
      </c>
      <c r="Q93" s="342">
        <f t="shared" si="32"/>
        <v>36497.065000000002</v>
      </c>
      <c r="R93" s="341"/>
      <c r="S93" s="342">
        <f t="shared" si="33"/>
        <v>136863.99375000002</v>
      </c>
      <c r="T93" s="139">
        <f t="shared" si="34"/>
        <v>173361.05875000003</v>
      </c>
      <c r="U93" s="139">
        <f t="shared" si="30"/>
        <v>191609.59125</v>
      </c>
      <c r="V93" s="11">
        <f t="shared" si="31"/>
        <v>191609.59125</v>
      </c>
    </row>
    <row r="94" spans="2:24">
      <c r="B94" s="3">
        <v>236403</v>
      </c>
      <c r="D94" s="3">
        <v>864</v>
      </c>
      <c r="E94" s="3" t="s">
        <v>1068</v>
      </c>
      <c r="F94" s="3">
        <v>2020</v>
      </c>
      <c r="G94" s="3">
        <v>8</v>
      </c>
      <c r="H94" s="3">
        <v>0</v>
      </c>
      <c r="I94" s="3" t="s">
        <v>52</v>
      </c>
      <c r="J94" s="3">
        <v>10</v>
      </c>
      <c r="K94" s="3">
        <f t="shared" si="25"/>
        <v>2030</v>
      </c>
      <c r="L94" s="168">
        <f t="shared" si="26"/>
        <v>2030.6666666666667</v>
      </c>
      <c r="M94" s="139">
        <v>368546.11</v>
      </c>
      <c r="N94" s="139">
        <f t="shared" si="27"/>
        <v>368546.11</v>
      </c>
      <c r="O94" s="139">
        <f t="shared" si="35"/>
        <v>3071.2175833333331</v>
      </c>
      <c r="P94" s="139">
        <f t="shared" si="29"/>
        <v>36854.610999999997</v>
      </c>
      <c r="Q94" s="342">
        <f t="shared" si="32"/>
        <v>36854.610999999997</v>
      </c>
      <c r="R94" s="341"/>
      <c r="S94" s="342">
        <f t="shared" si="33"/>
        <v>135133.57366666108</v>
      </c>
      <c r="T94" s="139">
        <f t="shared" si="34"/>
        <v>171988.18466666108</v>
      </c>
      <c r="U94" s="139">
        <f t="shared" si="30"/>
        <v>196557.92533333891</v>
      </c>
      <c r="V94" s="11">
        <f t="shared" si="31"/>
        <v>196557.92533333891</v>
      </c>
    </row>
    <row r="95" spans="2:24">
      <c r="B95" s="3" t="s">
        <v>1102</v>
      </c>
      <c r="D95" s="3">
        <v>863</v>
      </c>
      <c r="E95" s="3" t="s">
        <v>1103</v>
      </c>
      <c r="F95" s="3">
        <v>2020</v>
      </c>
      <c r="G95" s="3">
        <v>10</v>
      </c>
      <c r="H95" s="3">
        <v>0</v>
      </c>
      <c r="I95" s="3" t="s">
        <v>52</v>
      </c>
      <c r="J95" s="3">
        <v>10</v>
      </c>
      <c r="K95" s="3">
        <f t="shared" si="25"/>
        <v>2030</v>
      </c>
      <c r="L95" s="168">
        <f t="shared" si="26"/>
        <v>2030.8333333333333</v>
      </c>
      <c r="M95" s="139">
        <v>1071.72</v>
      </c>
      <c r="N95" s="139">
        <f t="shared" si="27"/>
        <v>1071.72</v>
      </c>
      <c r="O95" s="139">
        <f t="shared" si="35"/>
        <v>8.9309999999999992</v>
      </c>
      <c r="P95" s="139">
        <f t="shared" si="29"/>
        <v>107.172</v>
      </c>
      <c r="Q95" s="342">
        <f t="shared" si="32"/>
        <v>107.172</v>
      </c>
      <c r="R95" s="341"/>
      <c r="S95" s="342">
        <f t="shared" si="33"/>
        <v>375.10200000000009</v>
      </c>
      <c r="T95" s="139">
        <f t="shared" si="34"/>
        <v>482.27400000000011</v>
      </c>
      <c r="U95" s="139">
        <f t="shared" si="30"/>
        <v>589.44599999999991</v>
      </c>
      <c r="V95" s="11">
        <f t="shared" si="31"/>
        <v>589.44599999999991</v>
      </c>
    </row>
    <row r="96" spans="2:24">
      <c r="B96" s="3">
        <v>241232</v>
      </c>
      <c r="E96" s="3" t="s">
        <v>1068</v>
      </c>
      <c r="F96" s="3">
        <v>2020</v>
      </c>
      <c r="G96" s="3">
        <v>11</v>
      </c>
      <c r="H96" s="3">
        <v>0</v>
      </c>
      <c r="I96" s="3" t="s">
        <v>52</v>
      </c>
      <c r="J96" s="3">
        <v>10</v>
      </c>
      <c r="K96" s="3">
        <f t="shared" si="25"/>
        <v>2030</v>
      </c>
      <c r="L96" s="168">
        <f t="shared" si="26"/>
        <v>2030.9166666666667</v>
      </c>
      <c r="M96" s="139">
        <v>183989.86</v>
      </c>
      <c r="N96" s="139">
        <f t="shared" si="27"/>
        <v>183989.86</v>
      </c>
      <c r="O96" s="139">
        <f t="shared" si="35"/>
        <v>1533.2488333333331</v>
      </c>
      <c r="P96" s="139">
        <f t="shared" ref="P96" si="36">+O96*12</f>
        <v>18398.985999999997</v>
      </c>
      <c r="Q96" s="342">
        <f t="shared" si="32"/>
        <v>18398.985999999997</v>
      </c>
      <c r="R96" s="341"/>
      <c r="S96" s="342">
        <f t="shared" si="33"/>
        <v>62863.202166663876</v>
      </c>
      <c r="T96" s="139">
        <f t="shared" si="34"/>
        <v>81262.188166663866</v>
      </c>
      <c r="U96" s="139"/>
      <c r="V96" s="11"/>
      <c r="W96" s="3" t="s">
        <v>1125</v>
      </c>
    </row>
    <row r="97" spans="2:24">
      <c r="B97" s="3">
        <v>242811</v>
      </c>
      <c r="D97" s="3">
        <v>866</v>
      </c>
      <c r="E97" s="3" t="s">
        <v>1115</v>
      </c>
      <c r="F97" s="3">
        <v>2020</v>
      </c>
      <c r="G97" s="3">
        <v>12</v>
      </c>
      <c r="H97" s="3">
        <v>0</v>
      </c>
      <c r="I97" s="3" t="s">
        <v>52</v>
      </c>
      <c r="J97" s="3">
        <v>10</v>
      </c>
      <c r="K97" s="3">
        <f t="shared" si="25"/>
        <v>2030</v>
      </c>
      <c r="L97" s="168">
        <f t="shared" si="26"/>
        <v>2031</v>
      </c>
      <c r="M97" s="139">
        <v>368546.11</v>
      </c>
      <c r="N97" s="139">
        <f t="shared" si="27"/>
        <v>368546.11</v>
      </c>
      <c r="O97" s="139">
        <f t="shared" si="35"/>
        <v>3071.2175833333331</v>
      </c>
      <c r="P97" s="139">
        <f>+O97*12</f>
        <v>36854.610999999997</v>
      </c>
      <c r="Q97" s="342">
        <f t="shared" si="32"/>
        <v>36854.610999999997</v>
      </c>
      <c r="R97" s="341"/>
      <c r="S97" s="342">
        <f t="shared" si="33"/>
        <v>122848.70333333054</v>
      </c>
      <c r="T97" s="139">
        <f t="shared" si="34"/>
        <v>159703.31433333055</v>
      </c>
      <c r="U97" s="139">
        <f>M97-T97</f>
        <v>208842.79566666944</v>
      </c>
      <c r="V97" s="11">
        <f>M97-T97</f>
        <v>208842.79566666944</v>
      </c>
    </row>
    <row r="98" spans="2:24">
      <c r="B98" s="3" t="s">
        <v>1138</v>
      </c>
      <c r="D98" s="3">
        <v>864</v>
      </c>
      <c r="E98" s="3" t="s">
        <v>1307</v>
      </c>
      <c r="F98" s="3">
        <v>2021</v>
      </c>
      <c r="G98" s="3">
        <v>1</v>
      </c>
      <c r="H98" s="3">
        <v>0</v>
      </c>
      <c r="I98" s="3" t="s">
        <v>52</v>
      </c>
      <c r="J98" s="3">
        <v>5</v>
      </c>
      <c r="K98" s="3">
        <f t="shared" si="25"/>
        <v>2026</v>
      </c>
      <c r="L98" s="168">
        <f t="shared" si="26"/>
        <v>2026.0833333333333</v>
      </c>
      <c r="M98" s="139">
        <v>580.84</v>
      </c>
      <c r="N98" s="139">
        <f t="shared" si="27"/>
        <v>580.84</v>
      </c>
      <c r="O98" s="139">
        <f t="shared" si="35"/>
        <v>9.6806666666666672</v>
      </c>
      <c r="P98" s="139">
        <f>+O98*12</f>
        <v>116.16800000000001</v>
      </c>
      <c r="Q98" s="342">
        <f t="shared" si="32"/>
        <v>116.16800000000001</v>
      </c>
      <c r="R98" s="341"/>
      <c r="S98" s="342">
        <f t="shared" si="33"/>
        <v>377.54600000000005</v>
      </c>
      <c r="T98" s="139">
        <f t="shared" si="34"/>
        <v>493.71400000000006</v>
      </c>
      <c r="U98" s="139">
        <f>M98-T98</f>
        <v>87.125999999999976</v>
      </c>
      <c r="V98" s="11">
        <f>M98-T98</f>
        <v>87.125999999999976</v>
      </c>
    </row>
    <row r="99" spans="2:24" ht="15.75">
      <c r="B99" s="3" t="s">
        <v>1141</v>
      </c>
      <c r="D99" s="3">
        <v>151</v>
      </c>
      <c r="E99" s="3" t="s">
        <v>1142</v>
      </c>
      <c r="F99" s="3">
        <v>2021</v>
      </c>
      <c r="G99" s="3">
        <v>2</v>
      </c>
      <c r="H99" s="3">
        <v>0</v>
      </c>
      <c r="I99" s="3" t="s">
        <v>52</v>
      </c>
      <c r="J99" s="3">
        <v>3</v>
      </c>
      <c r="K99" s="3">
        <f t="shared" si="25"/>
        <v>2024</v>
      </c>
      <c r="L99" s="168">
        <f t="shared" si="26"/>
        <v>2024.1666666666667</v>
      </c>
      <c r="M99" s="139">
        <v>11199.12</v>
      </c>
      <c r="N99" s="139">
        <f t="shared" si="27"/>
        <v>11199.12</v>
      </c>
      <c r="O99" s="139">
        <f t="shared" si="35"/>
        <v>311.0866666666667</v>
      </c>
      <c r="P99" s="139">
        <f>+O99*12</f>
        <v>3733.0400000000004</v>
      </c>
      <c r="Q99" s="342">
        <f t="shared" si="32"/>
        <v>0</v>
      </c>
      <c r="R99" s="341"/>
      <c r="S99" s="342">
        <f t="shared" si="33"/>
        <v>11199.12</v>
      </c>
      <c r="T99" s="139">
        <f t="shared" si="34"/>
        <v>11199.12</v>
      </c>
      <c r="U99" s="139">
        <f>M99-T99</f>
        <v>0</v>
      </c>
      <c r="V99" s="11">
        <f>M99-T99</f>
        <v>0</v>
      </c>
      <c r="W99" s="407"/>
      <c r="X99" s="408"/>
    </row>
    <row r="100" spans="2:24">
      <c r="L100" s="168"/>
      <c r="M100" s="139"/>
      <c r="N100" s="139"/>
      <c r="O100" s="139"/>
      <c r="P100" s="139"/>
      <c r="Q100" s="139"/>
      <c r="R100" s="139"/>
      <c r="S100" s="139"/>
      <c r="T100" s="139"/>
      <c r="U100" s="139"/>
    </row>
    <row r="101" spans="2:24">
      <c r="D101" s="162"/>
      <c r="E101" s="162" t="s">
        <v>208</v>
      </c>
      <c r="F101" s="162"/>
      <c r="G101" s="162"/>
      <c r="H101" s="162"/>
      <c r="I101" s="162"/>
      <c r="J101" s="162"/>
      <c r="K101" s="162"/>
      <c r="L101" s="176"/>
      <c r="M101" s="163">
        <f>SUM(M12:M100)</f>
        <v>11355062.104999995</v>
      </c>
      <c r="N101" s="163">
        <f t="shared" ref="N101:V101" si="37">SUM(N12:N100)</f>
        <v>11355062.104999995</v>
      </c>
      <c r="O101" s="163">
        <f t="shared" si="37"/>
        <v>106879.34514100532</v>
      </c>
      <c r="P101" s="163">
        <f t="shared" si="37"/>
        <v>1282552.1416920635</v>
      </c>
      <c r="Q101" s="163">
        <f t="shared" si="37"/>
        <v>964639.24511111097</v>
      </c>
      <c r="R101" s="163">
        <f t="shared" si="37"/>
        <v>0</v>
      </c>
      <c r="S101" s="163">
        <f t="shared" si="37"/>
        <v>7701429.4967314135</v>
      </c>
      <c r="T101" s="163">
        <f t="shared" si="37"/>
        <v>8666136.1471758541</v>
      </c>
      <c r="U101" s="163">
        <f t="shared" si="37"/>
        <v>2586198.2859908058</v>
      </c>
      <c r="V101" s="163">
        <f t="shared" si="37"/>
        <v>2586198.2859908058</v>
      </c>
      <c r="W101" s="186"/>
    </row>
    <row r="102" spans="2:24">
      <c r="L102" s="168"/>
      <c r="M102" s="139"/>
      <c r="N102" s="139"/>
      <c r="O102" s="139"/>
      <c r="P102" s="139"/>
      <c r="Q102" s="139"/>
      <c r="R102" s="139"/>
      <c r="S102" s="139"/>
      <c r="T102" s="139"/>
      <c r="U102" s="139"/>
      <c r="W102" s="11"/>
    </row>
    <row r="103" spans="2:24">
      <c r="E103" s="1" t="s">
        <v>582</v>
      </c>
      <c r="L103" s="168"/>
      <c r="M103" s="139"/>
      <c r="N103" s="139"/>
      <c r="O103" s="139"/>
      <c r="P103" s="139"/>
      <c r="Q103" s="139"/>
      <c r="R103" s="139"/>
      <c r="S103" s="139"/>
      <c r="T103" s="139"/>
      <c r="U103" s="139"/>
    </row>
    <row r="104" spans="2:24">
      <c r="B104" s="3">
        <v>28522</v>
      </c>
      <c r="C104" s="3" t="s">
        <v>71</v>
      </c>
      <c r="D104" s="3" t="s">
        <v>94</v>
      </c>
      <c r="E104" s="3" t="s">
        <v>362</v>
      </c>
      <c r="F104" s="3">
        <v>2004</v>
      </c>
      <c r="G104" s="3">
        <v>9</v>
      </c>
      <c r="H104" s="3">
        <v>0</v>
      </c>
      <c r="I104" s="3" t="s">
        <v>52</v>
      </c>
      <c r="J104" s="3">
        <v>7</v>
      </c>
      <c r="K104" s="3">
        <f t="shared" ref="K104:K115" si="38">F104+J104</f>
        <v>2011</v>
      </c>
      <c r="L104" s="168">
        <f t="shared" ref="L104:L115" si="39">+K104+(G104/12)</f>
        <v>2011.75</v>
      </c>
      <c r="M104" s="139">
        <f>+'2111 Trks - Orig'!P141</f>
        <v>53789.440000000002</v>
      </c>
      <c r="N104" s="139">
        <f t="shared" ref="N104:N115" si="40">M104-M104*H104</f>
        <v>53789.440000000002</v>
      </c>
      <c r="O104" s="139">
        <f t="shared" ref="O104:O115" si="41">N104/J104/12</f>
        <v>640.35047619047623</v>
      </c>
      <c r="P104" s="139">
        <f t="shared" ref="P104:P115" si="42">+O104*12</f>
        <v>7684.2057142857147</v>
      </c>
      <c r="Q104" s="342">
        <f t="shared" ref="Q104:Q115" si="43">IF(L104&lt;=$N$6,0,P104)</f>
        <v>0</v>
      </c>
      <c r="R104" s="341"/>
      <c r="S104" s="342">
        <f t="shared" ref="S104:S115" si="44">+IF($L104&lt;=$N$7,$M104,IF(($F104+($G104/12))&gt;=$N$7,0,((($N104-((($L104-$N$7)*12)*$O104))))))</f>
        <v>53789.440000000002</v>
      </c>
      <c r="T104" s="139">
        <f t="shared" ref="T104:T115" si="45">IF(L104&lt;=$N$6,M104,Q104+S104)</f>
        <v>53789.440000000002</v>
      </c>
      <c r="U104" s="139">
        <f t="shared" ref="U104:U115" si="46">M104-T104</f>
        <v>0</v>
      </c>
      <c r="V104" s="11"/>
    </row>
    <row r="105" spans="2:24" s="255" customFormat="1">
      <c r="D105" s="255" t="s">
        <v>94</v>
      </c>
      <c r="E105" s="255" t="s">
        <v>647</v>
      </c>
      <c r="F105" s="255">
        <v>2017</v>
      </c>
      <c r="G105" s="255">
        <v>10</v>
      </c>
      <c r="H105" s="255">
        <v>0</v>
      </c>
      <c r="I105" s="255" t="s">
        <v>52</v>
      </c>
      <c r="J105" s="255">
        <v>10</v>
      </c>
      <c r="K105" s="255">
        <f t="shared" si="38"/>
        <v>2027</v>
      </c>
      <c r="L105" s="256">
        <f t="shared" si="39"/>
        <v>2027.8333333333333</v>
      </c>
      <c r="M105" s="257">
        <f>+'2111 Trks - Orig'!N141-'2111 Trks'!M104</f>
        <v>13447.36</v>
      </c>
      <c r="N105" s="257">
        <f t="shared" si="40"/>
        <v>13447.36</v>
      </c>
      <c r="O105" s="257">
        <f t="shared" si="41"/>
        <v>112.06133333333334</v>
      </c>
      <c r="P105" s="257">
        <f t="shared" si="42"/>
        <v>1344.7360000000001</v>
      </c>
      <c r="Q105" s="342">
        <f t="shared" si="43"/>
        <v>1344.7360000000001</v>
      </c>
      <c r="R105" s="341"/>
      <c r="S105" s="342">
        <f t="shared" si="44"/>
        <v>8740.7839999999997</v>
      </c>
      <c r="T105" s="139">
        <f t="shared" si="45"/>
        <v>10085.52</v>
      </c>
      <c r="U105" s="258">
        <f t="shared" si="46"/>
        <v>3361.84</v>
      </c>
      <c r="V105" s="259">
        <f>M105-T105</f>
        <v>3361.84</v>
      </c>
    </row>
    <row r="106" spans="2:24">
      <c r="B106" s="3">
        <v>73243</v>
      </c>
      <c r="C106" s="3" t="s">
        <v>71</v>
      </c>
      <c r="D106" s="3" t="s">
        <v>185</v>
      </c>
      <c r="E106" s="3" t="s">
        <v>186</v>
      </c>
      <c r="F106" s="3">
        <v>2010</v>
      </c>
      <c r="G106" s="3">
        <v>3</v>
      </c>
      <c r="H106" s="3">
        <v>0</v>
      </c>
      <c r="I106" s="3" t="s">
        <v>52</v>
      </c>
      <c r="J106" s="3">
        <v>7</v>
      </c>
      <c r="K106" s="3">
        <f t="shared" si="38"/>
        <v>2017</v>
      </c>
      <c r="L106" s="168">
        <f t="shared" si="39"/>
        <v>2017.25</v>
      </c>
      <c r="M106" s="139">
        <f>+'2111 Trks - Orig'!P29</f>
        <v>88515.712000000014</v>
      </c>
      <c r="N106" s="139">
        <f t="shared" si="40"/>
        <v>88515.712000000014</v>
      </c>
      <c r="O106" s="139">
        <f t="shared" si="41"/>
        <v>1053.7584761904764</v>
      </c>
      <c r="P106" s="139">
        <f t="shared" si="42"/>
        <v>12645.101714285716</v>
      </c>
      <c r="Q106" s="342">
        <f t="shared" si="43"/>
        <v>0</v>
      </c>
      <c r="R106" s="341"/>
      <c r="S106" s="342">
        <f t="shared" si="44"/>
        <v>88515.712000000014</v>
      </c>
      <c r="T106" s="139">
        <f t="shared" si="45"/>
        <v>88515.712000000014</v>
      </c>
      <c r="U106" s="139">
        <f t="shared" si="46"/>
        <v>0</v>
      </c>
      <c r="V106" s="11"/>
    </row>
    <row r="107" spans="2:24" s="255" customFormat="1">
      <c r="D107" s="255" t="s">
        <v>185</v>
      </c>
      <c r="E107" s="255" t="s">
        <v>641</v>
      </c>
      <c r="F107" s="255">
        <v>2017</v>
      </c>
      <c r="G107" s="255">
        <v>10</v>
      </c>
      <c r="H107" s="255">
        <v>0</v>
      </c>
      <c r="I107" s="255" t="s">
        <v>52</v>
      </c>
      <c r="J107" s="255">
        <v>10</v>
      </c>
      <c r="K107" s="255">
        <f t="shared" si="38"/>
        <v>2027</v>
      </c>
      <c r="L107" s="256">
        <f t="shared" si="39"/>
        <v>2027.8333333333333</v>
      </c>
      <c r="M107" s="257">
        <f>+'2111 Trks - Orig'!N29-'2111 Trks'!M106</f>
        <v>22128.928</v>
      </c>
      <c r="N107" s="257">
        <f t="shared" si="40"/>
        <v>22128.928</v>
      </c>
      <c r="O107" s="257">
        <f t="shared" si="41"/>
        <v>184.40773333333334</v>
      </c>
      <c r="P107" s="257">
        <f t="shared" si="42"/>
        <v>2212.8928000000001</v>
      </c>
      <c r="Q107" s="342">
        <f t="shared" si="43"/>
        <v>2212.8928000000001</v>
      </c>
      <c r="R107" s="341"/>
      <c r="S107" s="342">
        <f t="shared" si="44"/>
        <v>14383.803199999998</v>
      </c>
      <c r="T107" s="139">
        <f t="shared" si="45"/>
        <v>16596.696</v>
      </c>
      <c r="U107" s="258">
        <f t="shared" si="46"/>
        <v>5532.232</v>
      </c>
      <c r="V107" s="259">
        <f>M107-T107</f>
        <v>5532.232</v>
      </c>
    </row>
    <row r="108" spans="2:24">
      <c r="B108" s="3">
        <v>75741</v>
      </c>
      <c r="C108" s="3" t="s">
        <v>71</v>
      </c>
      <c r="D108" s="3" t="s">
        <v>229</v>
      </c>
      <c r="E108" s="3" t="s">
        <v>230</v>
      </c>
      <c r="F108" s="3">
        <v>2010</v>
      </c>
      <c r="G108" s="3">
        <v>12</v>
      </c>
      <c r="H108" s="3">
        <v>0</v>
      </c>
      <c r="I108" s="3" t="s">
        <v>52</v>
      </c>
      <c r="J108" s="3">
        <v>5</v>
      </c>
      <c r="K108" s="3">
        <f t="shared" si="38"/>
        <v>2015</v>
      </c>
      <c r="L108" s="168">
        <f t="shared" si="39"/>
        <v>2016</v>
      </c>
      <c r="M108" s="139">
        <f>+'2111 Trks - Orig'!P32</f>
        <v>13312.518100000001</v>
      </c>
      <c r="N108" s="139">
        <f t="shared" si="40"/>
        <v>13312.518100000001</v>
      </c>
      <c r="O108" s="139">
        <f t="shared" si="41"/>
        <v>221.8753016666667</v>
      </c>
      <c r="P108" s="139">
        <f t="shared" si="42"/>
        <v>2662.5036200000004</v>
      </c>
      <c r="Q108" s="342">
        <f t="shared" si="43"/>
        <v>0</v>
      </c>
      <c r="R108" s="341"/>
      <c r="S108" s="342">
        <f t="shared" si="44"/>
        <v>13312.518100000001</v>
      </c>
      <c r="T108" s="139">
        <f t="shared" si="45"/>
        <v>13312.518100000001</v>
      </c>
      <c r="U108" s="139">
        <f t="shared" si="46"/>
        <v>0</v>
      </c>
      <c r="V108" s="11"/>
    </row>
    <row r="109" spans="2:24" s="255" customFormat="1">
      <c r="D109" s="255" t="s">
        <v>229</v>
      </c>
      <c r="E109" s="255" t="s">
        <v>634</v>
      </c>
      <c r="F109" s="255">
        <v>2017</v>
      </c>
      <c r="G109" s="255">
        <v>10</v>
      </c>
      <c r="H109" s="255">
        <v>0</v>
      </c>
      <c r="I109" s="255" t="s">
        <v>52</v>
      </c>
      <c r="J109" s="255">
        <v>10</v>
      </c>
      <c r="K109" s="255">
        <f t="shared" si="38"/>
        <v>2027</v>
      </c>
      <c r="L109" s="256">
        <f t="shared" si="39"/>
        <v>2027.8333333333333</v>
      </c>
      <c r="M109" s="257">
        <f>+'2111 Trks - Orig'!N32-'2111 Trks'!M108</f>
        <v>6556.9118999999992</v>
      </c>
      <c r="N109" s="257">
        <f t="shared" si="40"/>
        <v>6556.9118999999992</v>
      </c>
      <c r="O109" s="257">
        <f t="shared" si="41"/>
        <v>54.640932499999991</v>
      </c>
      <c r="P109" s="257">
        <f t="shared" si="42"/>
        <v>655.69118999999989</v>
      </c>
      <c r="Q109" s="342">
        <f t="shared" si="43"/>
        <v>655.69118999999989</v>
      </c>
      <c r="R109" s="341"/>
      <c r="S109" s="342">
        <f t="shared" si="44"/>
        <v>4261.9927349999998</v>
      </c>
      <c r="T109" s="139">
        <f t="shared" si="45"/>
        <v>4917.6839249999994</v>
      </c>
      <c r="U109" s="258">
        <f t="shared" si="46"/>
        <v>1639.2279749999998</v>
      </c>
      <c r="V109" s="259">
        <f t="shared" ref="V109:V115" si="47">M109-T109</f>
        <v>1639.2279749999998</v>
      </c>
    </row>
    <row r="110" spans="2:24">
      <c r="B110" s="3">
        <v>281812</v>
      </c>
      <c r="C110" s="3" t="s">
        <v>71</v>
      </c>
      <c r="D110" s="3" t="s">
        <v>923</v>
      </c>
      <c r="E110" s="3" t="s">
        <v>925</v>
      </c>
      <c r="F110" s="3">
        <v>2015</v>
      </c>
      <c r="G110" s="3">
        <v>12</v>
      </c>
      <c r="H110" s="3">
        <v>0</v>
      </c>
      <c r="I110" s="3" t="s">
        <v>52</v>
      </c>
      <c r="J110" s="3">
        <v>6</v>
      </c>
      <c r="K110" s="3">
        <f t="shared" si="38"/>
        <v>2021</v>
      </c>
      <c r="L110" s="168">
        <f t="shared" si="39"/>
        <v>2022</v>
      </c>
      <c r="M110" s="139">
        <v>37503.75</v>
      </c>
      <c r="N110" s="139">
        <f t="shared" si="40"/>
        <v>37503.75</v>
      </c>
      <c r="O110" s="139">
        <f t="shared" si="41"/>
        <v>520.88541666666663</v>
      </c>
      <c r="P110" s="139">
        <f t="shared" si="42"/>
        <v>6250.625</v>
      </c>
      <c r="Q110" s="342">
        <f t="shared" si="43"/>
        <v>0</v>
      </c>
      <c r="R110" s="341"/>
      <c r="S110" s="342">
        <f t="shared" si="44"/>
        <v>37503.75</v>
      </c>
      <c r="T110" s="139">
        <f t="shared" si="45"/>
        <v>37503.75</v>
      </c>
      <c r="U110" s="139">
        <f t="shared" si="46"/>
        <v>0</v>
      </c>
      <c r="V110" s="11">
        <f t="shared" si="47"/>
        <v>0</v>
      </c>
    </row>
    <row r="111" spans="2:24">
      <c r="B111" s="3">
        <v>281811</v>
      </c>
      <c r="C111" s="3" t="s">
        <v>71</v>
      </c>
      <c r="D111" s="3" t="s">
        <v>924</v>
      </c>
      <c r="E111" s="3" t="s">
        <v>925</v>
      </c>
      <c r="F111" s="3">
        <v>2015</v>
      </c>
      <c r="G111" s="3">
        <v>12</v>
      </c>
      <c r="H111" s="3">
        <v>0</v>
      </c>
      <c r="I111" s="3" t="s">
        <v>52</v>
      </c>
      <c r="J111" s="3">
        <v>6</v>
      </c>
      <c r="K111" s="3">
        <f t="shared" si="38"/>
        <v>2021</v>
      </c>
      <c r="L111" s="168">
        <f t="shared" si="39"/>
        <v>2022</v>
      </c>
      <c r="M111" s="139">
        <v>37777.5</v>
      </c>
      <c r="N111" s="139">
        <f t="shared" si="40"/>
        <v>37777.5</v>
      </c>
      <c r="O111" s="139">
        <f t="shared" si="41"/>
        <v>524.6875</v>
      </c>
      <c r="P111" s="139">
        <f t="shared" si="42"/>
        <v>6296.25</v>
      </c>
      <c r="Q111" s="342">
        <f t="shared" si="43"/>
        <v>0</v>
      </c>
      <c r="R111" s="341"/>
      <c r="S111" s="342">
        <f t="shared" si="44"/>
        <v>37777.5</v>
      </c>
      <c r="T111" s="139">
        <f t="shared" si="45"/>
        <v>37777.5</v>
      </c>
      <c r="U111" s="139">
        <f t="shared" si="46"/>
        <v>0</v>
      </c>
      <c r="V111" s="11">
        <f t="shared" si="47"/>
        <v>0</v>
      </c>
    </row>
    <row r="112" spans="2:24">
      <c r="B112" s="3" t="s">
        <v>407</v>
      </c>
      <c r="D112" s="3" t="s">
        <v>412</v>
      </c>
      <c r="E112" s="3" t="s">
        <v>408</v>
      </c>
      <c r="F112" s="3">
        <v>2016</v>
      </c>
      <c r="G112" s="3">
        <v>11</v>
      </c>
      <c r="H112" s="3">
        <v>0</v>
      </c>
      <c r="I112" s="3" t="s">
        <v>52</v>
      </c>
      <c r="J112" s="3">
        <v>5</v>
      </c>
      <c r="K112" s="3">
        <f t="shared" si="38"/>
        <v>2021</v>
      </c>
      <c r="L112" s="168">
        <f t="shared" si="39"/>
        <v>2021.9166666666667</v>
      </c>
      <c r="M112" s="139">
        <f>34500+632.72</f>
        <v>35132.720000000001</v>
      </c>
      <c r="N112" s="139">
        <f t="shared" si="40"/>
        <v>35132.720000000001</v>
      </c>
      <c r="O112" s="139">
        <f t="shared" si="41"/>
        <v>585.54533333333336</v>
      </c>
      <c r="P112" s="139">
        <f t="shared" si="42"/>
        <v>7026.5439999999999</v>
      </c>
      <c r="Q112" s="342">
        <f t="shared" si="43"/>
        <v>0</v>
      </c>
      <c r="R112" s="341"/>
      <c r="S112" s="342">
        <f t="shared" si="44"/>
        <v>35132.720000000001</v>
      </c>
      <c r="T112" s="139">
        <f t="shared" si="45"/>
        <v>35132.720000000001</v>
      </c>
      <c r="U112" s="139">
        <f t="shared" si="46"/>
        <v>0</v>
      </c>
      <c r="V112" s="11">
        <f t="shared" si="47"/>
        <v>0</v>
      </c>
    </row>
    <row r="113" spans="2:24">
      <c r="B113" s="3">
        <v>180339</v>
      </c>
      <c r="D113" s="3" t="s">
        <v>583</v>
      </c>
      <c r="E113" s="3" t="s">
        <v>584</v>
      </c>
      <c r="F113" s="3">
        <v>2017</v>
      </c>
      <c r="G113" s="3">
        <v>4</v>
      </c>
      <c r="H113" s="3">
        <v>0</v>
      </c>
      <c r="I113" s="3" t="s">
        <v>52</v>
      </c>
      <c r="J113" s="3">
        <v>5</v>
      </c>
      <c r="K113" s="3">
        <f t="shared" si="38"/>
        <v>2022</v>
      </c>
      <c r="L113" s="168">
        <f t="shared" si="39"/>
        <v>2022.3333333333333</v>
      </c>
      <c r="M113" s="139">
        <v>35072</v>
      </c>
      <c r="N113" s="139">
        <f t="shared" si="40"/>
        <v>35072</v>
      </c>
      <c r="O113" s="139">
        <f t="shared" si="41"/>
        <v>584.5333333333333</v>
      </c>
      <c r="P113" s="139">
        <f t="shared" si="42"/>
        <v>7014.4</v>
      </c>
      <c r="Q113" s="342">
        <f t="shared" si="43"/>
        <v>0</v>
      </c>
      <c r="R113" s="341"/>
      <c r="S113" s="342">
        <f t="shared" si="44"/>
        <v>35072</v>
      </c>
      <c r="T113" s="139">
        <f t="shared" si="45"/>
        <v>35072</v>
      </c>
      <c r="U113" s="139">
        <f t="shared" si="46"/>
        <v>0</v>
      </c>
      <c r="V113" s="11">
        <f t="shared" si="47"/>
        <v>0</v>
      </c>
    </row>
    <row r="114" spans="2:24">
      <c r="B114" s="3">
        <v>202939</v>
      </c>
      <c r="D114" s="3" t="s">
        <v>1006</v>
      </c>
      <c r="E114" s="3" t="s">
        <v>895</v>
      </c>
      <c r="F114" s="3">
        <v>2018</v>
      </c>
      <c r="G114" s="3">
        <v>8</v>
      </c>
      <c r="H114" s="3">
        <v>0</v>
      </c>
      <c r="I114" s="3" t="s">
        <v>52</v>
      </c>
      <c r="J114" s="3">
        <v>7</v>
      </c>
      <c r="K114" s="3">
        <f t="shared" si="38"/>
        <v>2025</v>
      </c>
      <c r="L114" s="168">
        <f t="shared" si="39"/>
        <v>2025.6666666666667</v>
      </c>
      <c r="M114" s="139">
        <v>42500</v>
      </c>
      <c r="N114" s="139">
        <f t="shared" si="40"/>
        <v>42500</v>
      </c>
      <c r="O114" s="139">
        <f t="shared" si="41"/>
        <v>505.95238095238096</v>
      </c>
      <c r="P114" s="139">
        <f t="shared" si="42"/>
        <v>6071.4285714285716</v>
      </c>
      <c r="Q114" s="342">
        <f t="shared" si="43"/>
        <v>6071.4285714285716</v>
      </c>
      <c r="R114" s="341"/>
      <c r="S114" s="342">
        <f t="shared" si="44"/>
        <v>34404.761904760984</v>
      </c>
      <c r="T114" s="139">
        <f t="shared" si="45"/>
        <v>40476.190476189557</v>
      </c>
      <c r="U114" s="139">
        <f t="shared" si="46"/>
        <v>2023.8095238104434</v>
      </c>
      <c r="V114" s="11">
        <f t="shared" si="47"/>
        <v>2023.8095238104434</v>
      </c>
    </row>
    <row r="115" spans="2:24">
      <c r="B115" s="5" t="s">
        <v>1266</v>
      </c>
      <c r="D115" s="12" t="s">
        <v>1006</v>
      </c>
      <c r="E115" s="3" t="s">
        <v>1253</v>
      </c>
      <c r="F115" s="3">
        <v>2018</v>
      </c>
      <c r="G115" s="3">
        <v>8</v>
      </c>
      <c r="H115" s="3">
        <v>0</v>
      </c>
      <c r="I115" s="3" t="s">
        <v>52</v>
      </c>
      <c r="J115" s="3">
        <v>5</v>
      </c>
      <c r="K115" s="3">
        <f t="shared" si="38"/>
        <v>2023</v>
      </c>
      <c r="L115" s="168">
        <f t="shared" si="39"/>
        <v>2023.6666666666667</v>
      </c>
      <c r="M115" s="139">
        <v>471.37</v>
      </c>
      <c r="N115" s="139">
        <f t="shared" si="40"/>
        <v>471.37</v>
      </c>
      <c r="O115" s="139">
        <f t="shared" si="41"/>
        <v>7.8561666666666667</v>
      </c>
      <c r="P115" s="139">
        <f t="shared" si="42"/>
        <v>94.274000000000001</v>
      </c>
      <c r="Q115" s="342">
        <f t="shared" si="43"/>
        <v>0</v>
      </c>
      <c r="R115" s="341"/>
      <c r="S115" s="342">
        <f t="shared" si="44"/>
        <v>471.37</v>
      </c>
      <c r="T115" s="139">
        <f t="shared" si="45"/>
        <v>471.37</v>
      </c>
      <c r="U115" s="139">
        <f t="shared" si="46"/>
        <v>0</v>
      </c>
      <c r="V115" s="11">
        <f t="shared" si="47"/>
        <v>0</v>
      </c>
    </row>
    <row r="116" spans="2:24">
      <c r="L116" s="168"/>
      <c r="M116" s="139"/>
      <c r="N116" s="139"/>
      <c r="O116" s="139"/>
      <c r="P116" s="139"/>
      <c r="Q116" s="139"/>
      <c r="R116" s="139"/>
      <c r="S116" s="139"/>
      <c r="T116" s="139"/>
      <c r="U116" s="139"/>
    </row>
    <row r="117" spans="2:24">
      <c r="E117" s="162" t="s">
        <v>585</v>
      </c>
      <c r="F117" s="162"/>
      <c r="G117" s="162"/>
      <c r="H117" s="162"/>
      <c r="I117" s="162"/>
      <c r="J117" s="162"/>
      <c r="K117" s="162"/>
      <c r="L117" s="176"/>
      <c r="M117" s="163">
        <f>SUM(M104:M116)</f>
        <v>386208.20999999996</v>
      </c>
      <c r="N117" s="163">
        <f>SUM(N104:N116)</f>
        <v>386208.20999999996</v>
      </c>
      <c r="O117" s="163">
        <f>SUM(O104:O116)</f>
        <v>4996.5543841666668</v>
      </c>
      <c r="P117" s="163">
        <f>SUM(P104:P116)</f>
        <v>59958.652610000005</v>
      </c>
      <c r="Q117" s="163">
        <f>SUM(Q104:Q116)</f>
        <v>10284.748561428572</v>
      </c>
      <c r="R117" s="163"/>
      <c r="S117" s="163">
        <f>SUM(S104:S116)</f>
        <v>363366.35193976096</v>
      </c>
      <c r="T117" s="163">
        <f>SUM(T104:T116)</f>
        <v>373651.10050118953</v>
      </c>
      <c r="U117" s="163">
        <f>SUM(U104:U116)</f>
        <v>12557.109498810443</v>
      </c>
      <c r="V117" s="163">
        <f>SUM(V104:V116)</f>
        <v>12557.109498810443</v>
      </c>
    </row>
    <row r="118" spans="2:24">
      <c r="L118" s="168"/>
      <c r="M118" s="139"/>
      <c r="N118" s="139"/>
      <c r="O118" s="139"/>
      <c r="P118" s="139"/>
      <c r="Q118" s="139"/>
      <c r="R118" s="139"/>
      <c r="S118" s="139"/>
      <c r="T118" s="139"/>
      <c r="U118" s="139"/>
    </row>
    <row r="119" spans="2:24">
      <c r="E119" s="1" t="s">
        <v>1308</v>
      </c>
      <c r="L119" s="168"/>
      <c r="M119" s="139"/>
      <c r="N119" s="139"/>
      <c r="O119" s="139"/>
      <c r="P119" s="139"/>
      <c r="Q119" s="139"/>
      <c r="R119" s="139"/>
      <c r="S119" s="139"/>
      <c r="T119" s="139"/>
      <c r="U119" s="139"/>
    </row>
    <row r="120" spans="2:24" ht="15.75">
      <c r="B120" s="3">
        <v>201327</v>
      </c>
      <c r="D120" s="3">
        <v>189</v>
      </c>
      <c r="E120" s="3" t="s">
        <v>948</v>
      </c>
      <c r="F120" s="3">
        <v>2018</v>
      </c>
      <c r="G120" s="3">
        <v>8</v>
      </c>
      <c r="H120" s="3">
        <v>0</v>
      </c>
      <c r="I120" s="3" t="s">
        <v>52</v>
      </c>
      <c r="J120" s="3">
        <v>6</v>
      </c>
      <c r="K120" s="3">
        <f t="shared" ref="K120:K125" si="48">F120+J120</f>
        <v>2024</v>
      </c>
      <c r="L120" s="168">
        <f t="shared" ref="L120:L125" si="49">+K120+(G120/12)</f>
        <v>2024.6666666666667</v>
      </c>
      <c r="M120" s="139">
        <v>114608</v>
      </c>
      <c r="N120" s="139">
        <f t="shared" ref="N120:N125" si="50">M120-M120*H120</f>
        <v>114608</v>
      </c>
      <c r="O120" s="139">
        <f t="shared" ref="O120:O125" si="51">N120/J120/12</f>
        <v>1591.7777777777776</v>
      </c>
      <c r="P120" s="139">
        <f t="shared" ref="P120:P125" si="52">+O120*12</f>
        <v>19101.333333333332</v>
      </c>
      <c r="Q120" s="342">
        <f t="shared" ref="Q120:Q125" si="53">IF(L120&lt;=$N$6,0,P120)</f>
        <v>0</v>
      </c>
      <c r="R120" s="341"/>
      <c r="S120" s="342">
        <f t="shared" ref="S120:S125" si="54">+IF($L120&lt;=$N$7,$M120,IF(($F120+($G120/12))&gt;=$N$7,0,((($N120-((($L120-$N$7)*12)*$O120))))))</f>
        <v>108240.88888888599</v>
      </c>
      <c r="T120" s="139">
        <f t="shared" ref="T120:T125" si="55">IF(L120&lt;=$N$6,M120,Q120+S120)</f>
        <v>114608</v>
      </c>
      <c r="U120" s="139">
        <f t="shared" ref="U120:U125" si="56">M120-T120</f>
        <v>0</v>
      </c>
      <c r="V120" s="11">
        <f t="shared" ref="V120:V125" si="57">M120-T120</f>
        <v>0</v>
      </c>
      <c r="W120" s="413"/>
      <c r="X120" s="408"/>
    </row>
    <row r="121" spans="2:24">
      <c r="B121" s="3">
        <v>204264</v>
      </c>
      <c r="C121" s="3">
        <v>201327</v>
      </c>
      <c r="D121" s="3">
        <v>189</v>
      </c>
      <c r="E121" s="3" t="s">
        <v>953</v>
      </c>
      <c r="F121" s="3">
        <v>2018</v>
      </c>
      <c r="G121" s="3">
        <v>10</v>
      </c>
      <c r="H121" s="3">
        <v>0</v>
      </c>
      <c r="I121" s="3" t="s">
        <v>52</v>
      </c>
      <c r="J121" s="3">
        <v>5</v>
      </c>
      <c r="K121" s="3">
        <f t="shared" si="48"/>
        <v>2023</v>
      </c>
      <c r="L121" s="168">
        <f t="shared" si="49"/>
        <v>2023.8333333333333</v>
      </c>
      <c r="M121" s="139">
        <v>471.37</v>
      </c>
      <c r="N121" s="139">
        <f t="shared" si="50"/>
        <v>471.37</v>
      </c>
      <c r="O121" s="139">
        <f t="shared" si="51"/>
        <v>7.8561666666666667</v>
      </c>
      <c r="P121" s="139">
        <f t="shared" si="52"/>
        <v>94.274000000000001</v>
      </c>
      <c r="Q121" s="342">
        <f t="shared" si="53"/>
        <v>0</v>
      </c>
      <c r="R121" s="341"/>
      <c r="S121" s="342">
        <f t="shared" si="54"/>
        <v>471.37</v>
      </c>
      <c r="T121" s="139">
        <f t="shared" si="55"/>
        <v>471.37</v>
      </c>
      <c r="U121" s="139">
        <f t="shared" si="56"/>
        <v>0</v>
      </c>
      <c r="V121" s="11">
        <f t="shared" si="57"/>
        <v>0</v>
      </c>
    </row>
    <row r="122" spans="2:24">
      <c r="B122" s="3">
        <v>223823</v>
      </c>
      <c r="D122" s="3">
        <v>191</v>
      </c>
      <c r="E122" s="3" t="s">
        <v>1049</v>
      </c>
      <c r="F122" s="3">
        <v>2019</v>
      </c>
      <c r="G122" s="3">
        <v>11</v>
      </c>
      <c r="H122" s="3">
        <v>0</v>
      </c>
      <c r="I122" s="3" t="s">
        <v>52</v>
      </c>
      <c r="J122" s="3">
        <v>11</v>
      </c>
      <c r="K122" s="3">
        <f t="shared" si="48"/>
        <v>2030</v>
      </c>
      <c r="L122" s="139">
        <f t="shared" si="49"/>
        <v>2030.9166666666667</v>
      </c>
      <c r="M122" s="139">
        <f>162499.54+7293.88+6907.22</f>
        <v>176700.64</v>
      </c>
      <c r="N122" s="139">
        <f t="shared" si="50"/>
        <v>176700.64</v>
      </c>
      <c r="O122" s="139">
        <f t="shared" si="51"/>
        <v>1338.6412121212122</v>
      </c>
      <c r="P122" s="139">
        <f t="shared" si="52"/>
        <v>16063.694545454546</v>
      </c>
      <c r="Q122" s="342">
        <f t="shared" si="53"/>
        <v>16063.694545454546</v>
      </c>
      <c r="R122" s="341"/>
      <c r="S122" s="342">
        <f t="shared" si="54"/>
        <v>70947.984242421808</v>
      </c>
      <c r="T122" s="139">
        <f t="shared" si="55"/>
        <v>87011.678787876357</v>
      </c>
      <c r="U122" s="139">
        <f t="shared" si="56"/>
        <v>89688.961212123657</v>
      </c>
      <c r="V122" s="11">
        <f t="shared" si="57"/>
        <v>89688.961212123657</v>
      </c>
    </row>
    <row r="123" spans="2:24">
      <c r="B123" s="5" t="s">
        <v>1260</v>
      </c>
      <c r="D123" s="3">
        <v>191</v>
      </c>
      <c r="E123" s="3" t="s">
        <v>1247</v>
      </c>
      <c r="F123" s="3">
        <v>2019</v>
      </c>
      <c r="G123" s="3">
        <v>8</v>
      </c>
      <c r="H123" s="3">
        <v>0</v>
      </c>
      <c r="I123" s="3" t="s">
        <v>52</v>
      </c>
      <c r="J123" s="3">
        <v>9</v>
      </c>
      <c r="K123" s="3">
        <f t="shared" si="48"/>
        <v>2028</v>
      </c>
      <c r="L123" s="168">
        <f t="shared" si="49"/>
        <v>2028.6666666666667</v>
      </c>
      <c r="M123" s="139">
        <v>7293.88</v>
      </c>
      <c r="N123" s="139">
        <f t="shared" si="50"/>
        <v>7293.88</v>
      </c>
      <c r="O123" s="139">
        <f t="shared" si="51"/>
        <v>67.535925925925923</v>
      </c>
      <c r="P123" s="139">
        <f t="shared" si="52"/>
        <v>810.43111111111102</v>
      </c>
      <c r="Q123" s="342">
        <f t="shared" si="53"/>
        <v>810.43111111111102</v>
      </c>
      <c r="R123" s="341"/>
      <c r="S123" s="342">
        <f t="shared" si="54"/>
        <v>3782.0118518517293</v>
      </c>
      <c r="T123" s="139">
        <f t="shared" si="55"/>
        <v>4592.4429629628403</v>
      </c>
      <c r="U123" s="139">
        <f t="shared" si="56"/>
        <v>2701.4370370371598</v>
      </c>
      <c r="V123" s="11">
        <f t="shared" si="57"/>
        <v>2701.4370370371598</v>
      </c>
    </row>
    <row r="124" spans="2:24">
      <c r="B124" s="5" t="s">
        <v>1261</v>
      </c>
      <c r="D124" s="3">
        <v>191</v>
      </c>
      <c r="E124" s="3" t="s">
        <v>1193</v>
      </c>
      <c r="F124" s="3">
        <v>2019</v>
      </c>
      <c r="G124" s="3">
        <v>8</v>
      </c>
      <c r="H124" s="3">
        <v>0</v>
      </c>
      <c r="I124" s="3" t="s">
        <v>52</v>
      </c>
      <c r="J124" s="3">
        <v>9</v>
      </c>
      <c r="K124" s="3">
        <f t="shared" si="48"/>
        <v>2028</v>
      </c>
      <c r="L124" s="168">
        <f t="shared" si="49"/>
        <v>2028.6666666666667</v>
      </c>
      <c r="M124" s="139">
        <v>6907.22</v>
      </c>
      <c r="N124" s="139">
        <f t="shared" si="50"/>
        <v>6907.22</v>
      </c>
      <c r="O124" s="139">
        <f t="shared" si="51"/>
        <v>63.955740740740744</v>
      </c>
      <c r="P124" s="139">
        <f t="shared" si="52"/>
        <v>767.46888888888896</v>
      </c>
      <c r="Q124" s="342">
        <f t="shared" si="53"/>
        <v>767.46888888888896</v>
      </c>
      <c r="R124" s="341"/>
      <c r="S124" s="342">
        <f t="shared" si="54"/>
        <v>3581.5214814813653</v>
      </c>
      <c r="T124" s="139">
        <f t="shared" si="55"/>
        <v>4348.9903703702539</v>
      </c>
      <c r="U124" s="139">
        <f t="shared" si="56"/>
        <v>2558.2296296297463</v>
      </c>
      <c r="V124" s="11">
        <f t="shared" si="57"/>
        <v>2558.2296296297463</v>
      </c>
    </row>
    <row r="125" spans="2:24">
      <c r="B125" s="5">
        <v>223823</v>
      </c>
      <c r="D125" s="3">
        <v>191</v>
      </c>
      <c r="E125" s="3" t="s">
        <v>1177</v>
      </c>
      <c r="F125" s="3">
        <v>2019</v>
      </c>
      <c r="G125" s="3">
        <v>11</v>
      </c>
      <c r="H125" s="3">
        <v>0</v>
      </c>
      <c r="I125" s="3" t="s">
        <v>52</v>
      </c>
      <c r="J125" s="3">
        <v>9</v>
      </c>
      <c r="K125" s="3">
        <f t="shared" si="48"/>
        <v>2028</v>
      </c>
      <c r="L125" s="168">
        <f t="shared" si="49"/>
        <v>2028.9166666666667</v>
      </c>
      <c r="M125" s="139">
        <v>162499.54</v>
      </c>
      <c r="N125" s="139">
        <f t="shared" si="50"/>
        <v>162499.54</v>
      </c>
      <c r="O125" s="139">
        <f t="shared" si="51"/>
        <v>1504.6253703703705</v>
      </c>
      <c r="P125" s="139">
        <f t="shared" si="52"/>
        <v>18055.504444444447</v>
      </c>
      <c r="Q125" s="342">
        <f t="shared" si="53"/>
        <v>18055.504444444447</v>
      </c>
      <c r="R125" s="341"/>
      <c r="S125" s="342">
        <f t="shared" si="54"/>
        <v>79745.144629626884</v>
      </c>
      <c r="T125" s="139">
        <f t="shared" si="55"/>
        <v>97800.649074071334</v>
      </c>
      <c r="U125" s="139">
        <f t="shared" si="56"/>
        <v>64698.890925928674</v>
      </c>
      <c r="V125" s="11">
        <f t="shared" si="57"/>
        <v>64698.890925928674</v>
      </c>
    </row>
    <row r="126" spans="2:24">
      <c r="L126" s="168"/>
      <c r="M126" s="139"/>
      <c r="N126" s="139"/>
      <c r="O126" s="139"/>
      <c r="P126" s="139"/>
      <c r="Q126" s="139"/>
      <c r="R126" s="139"/>
      <c r="S126" s="139"/>
      <c r="T126" s="139"/>
      <c r="U126" s="139"/>
    </row>
    <row r="127" spans="2:24">
      <c r="E127" s="162" t="s">
        <v>209</v>
      </c>
      <c r="F127" s="162"/>
      <c r="G127" s="162"/>
      <c r="H127" s="162"/>
      <c r="I127" s="162"/>
      <c r="J127" s="162"/>
      <c r="K127" s="162"/>
      <c r="L127" s="176"/>
      <c r="M127" s="163">
        <f>SUM(M120:M126)</f>
        <v>468480.65</v>
      </c>
      <c r="N127" s="163">
        <f>SUM(N120:N126)</f>
        <v>468480.65</v>
      </c>
      <c r="O127" s="163">
        <f>SUM(O120:O126)</f>
        <v>4574.3921936026927</v>
      </c>
      <c r="P127" s="163">
        <f>SUM(P120:P126)</f>
        <v>54892.706323232327</v>
      </c>
      <c r="Q127" s="163">
        <f>SUM(Q120:Q126)</f>
        <v>35697.098989898994</v>
      </c>
      <c r="R127" s="163"/>
      <c r="S127" s="163">
        <f>SUM(S120:S126)</f>
        <v>266768.92109426775</v>
      </c>
      <c r="T127" s="163">
        <f>SUM(T120:T126)</f>
        <v>308833.13119528076</v>
      </c>
      <c r="U127" s="163">
        <f>SUM(U120:U126)</f>
        <v>159647.51880471924</v>
      </c>
      <c r="V127" s="163">
        <f>SUM(V120:V126)</f>
        <v>159647.51880471924</v>
      </c>
    </row>
    <row r="128" spans="2:24">
      <c r="L128" s="168"/>
      <c r="M128" s="139"/>
      <c r="N128" s="139"/>
      <c r="O128" s="139"/>
      <c r="P128" s="139"/>
      <c r="Q128" s="139"/>
      <c r="R128" s="139"/>
      <c r="S128" s="139"/>
      <c r="T128" s="139"/>
      <c r="U128" s="139"/>
    </row>
    <row r="129" spans="2:26">
      <c r="E129" s="1" t="s">
        <v>565</v>
      </c>
      <c r="L129" s="168"/>
      <c r="M129" s="139"/>
      <c r="N129" s="139"/>
      <c r="O129" s="139"/>
      <c r="P129" s="139"/>
      <c r="Q129" s="139"/>
      <c r="R129" s="139"/>
      <c r="S129" s="139"/>
      <c r="T129" s="139"/>
      <c r="U129" s="139"/>
    </row>
    <row r="130" spans="2:26">
      <c r="L130" s="168"/>
      <c r="M130" s="139"/>
      <c r="N130" s="139"/>
      <c r="O130" s="139"/>
      <c r="P130" s="139"/>
      <c r="Q130" s="139"/>
      <c r="R130" s="139"/>
      <c r="S130" s="139"/>
      <c r="T130" s="139"/>
      <c r="U130" s="139"/>
    </row>
    <row r="131" spans="2:26">
      <c r="B131" s="3">
        <v>25020</v>
      </c>
      <c r="C131" s="3" t="s">
        <v>56</v>
      </c>
      <c r="D131" s="3">
        <v>406</v>
      </c>
      <c r="E131" s="3" t="s">
        <v>84</v>
      </c>
      <c r="F131" s="3">
        <v>2004</v>
      </c>
      <c r="G131" s="3">
        <v>4</v>
      </c>
      <c r="H131" s="3">
        <v>0</v>
      </c>
      <c r="I131" s="3" t="s">
        <v>52</v>
      </c>
      <c r="J131" s="3">
        <v>7</v>
      </c>
      <c r="K131" s="3">
        <f t="shared" ref="K131:K168" si="58">F131+J131</f>
        <v>2011</v>
      </c>
      <c r="L131" s="168">
        <f t="shared" ref="L131:L168" si="59">+K131+(G131/12)</f>
        <v>2011.3333333333333</v>
      </c>
      <c r="M131" s="139">
        <f>+'2111 Trks - Orig'!P101</f>
        <v>69598.968000000008</v>
      </c>
      <c r="N131" s="139">
        <f t="shared" ref="N131:N164" si="60">M131-M131*H131</f>
        <v>69598.968000000008</v>
      </c>
      <c r="O131" s="139">
        <f t="shared" ref="O131:O164" si="61">N131/J131/12</f>
        <v>828.55914285714289</v>
      </c>
      <c r="P131" s="139">
        <f t="shared" ref="P131:P164" si="62">+O131*12</f>
        <v>9942.7097142857147</v>
      </c>
      <c r="Q131" s="342">
        <f t="shared" ref="Q131:Q168" si="63">IF(L131&lt;=$N$6,0,P131)</f>
        <v>0</v>
      </c>
      <c r="R131" s="341"/>
      <c r="S131" s="342">
        <f t="shared" ref="S131:S168" si="64">+IF($L131&lt;=$N$7,$M131,IF(($F131+($G131/12))&gt;=$N$7,0,((($N131-((($L131-$N$7)*12)*$O131))))))</f>
        <v>69598.968000000008</v>
      </c>
      <c r="T131" s="139">
        <f t="shared" ref="T131:T168" si="65">IF(L131&lt;=$N$6,M131,Q131+S131)</f>
        <v>69598.968000000008</v>
      </c>
      <c r="U131" s="139">
        <f t="shared" ref="U131:U167" si="66">M131-T131</f>
        <v>0</v>
      </c>
      <c r="V131" s="11">
        <f>M131-T131</f>
        <v>0</v>
      </c>
    </row>
    <row r="132" spans="2:26" s="255" customFormat="1">
      <c r="D132" s="255">
        <v>406</v>
      </c>
      <c r="E132" s="255" t="s">
        <v>866</v>
      </c>
      <c r="F132" s="255">
        <v>2017</v>
      </c>
      <c r="G132" s="255">
        <v>10</v>
      </c>
      <c r="H132" s="255">
        <v>0</v>
      </c>
      <c r="I132" s="255" t="s">
        <v>52</v>
      </c>
      <c r="J132" s="255">
        <v>10</v>
      </c>
      <c r="K132" s="255">
        <f t="shared" si="58"/>
        <v>2027</v>
      </c>
      <c r="L132" s="256">
        <f t="shared" si="59"/>
        <v>2027.8333333333333</v>
      </c>
      <c r="M132" s="257">
        <f>+'2111 Trks - Orig'!N101-'2111 Trks'!M131</f>
        <v>17399.741999999998</v>
      </c>
      <c r="N132" s="257">
        <f t="shared" si="60"/>
        <v>17399.741999999998</v>
      </c>
      <c r="O132" s="257">
        <f t="shared" si="61"/>
        <v>144.99785</v>
      </c>
      <c r="P132" s="257">
        <f t="shared" si="62"/>
        <v>1739.9742000000001</v>
      </c>
      <c r="Q132" s="342">
        <f t="shared" si="63"/>
        <v>1739.9742000000001</v>
      </c>
      <c r="R132" s="341"/>
      <c r="S132" s="342">
        <f t="shared" si="64"/>
        <v>11309.832299999998</v>
      </c>
      <c r="T132" s="139">
        <f t="shared" si="65"/>
        <v>13049.806499999999</v>
      </c>
      <c r="U132" s="258">
        <f t="shared" si="66"/>
        <v>4349.9354999999996</v>
      </c>
      <c r="V132" s="259">
        <f t="shared" ref="V132:V164" si="67">M132-T132</f>
        <v>4349.9354999999996</v>
      </c>
    </row>
    <row r="133" spans="2:26">
      <c r="C133" s="3" t="s">
        <v>56</v>
      </c>
      <c r="D133" s="3">
        <v>406</v>
      </c>
      <c r="E133" s="3" t="s">
        <v>85</v>
      </c>
      <c r="F133" s="3">
        <v>2004</v>
      </c>
      <c r="G133" s="3">
        <v>4</v>
      </c>
      <c r="H133" s="3">
        <v>0</v>
      </c>
      <c r="I133" s="3" t="s">
        <v>52</v>
      </c>
      <c r="J133" s="3">
        <v>7</v>
      </c>
      <c r="K133" s="3">
        <f t="shared" si="58"/>
        <v>2011</v>
      </c>
      <c r="L133" s="168">
        <f t="shared" si="59"/>
        <v>2011.3333333333333</v>
      </c>
      <c r="M133" s="139">
        <f>+'2111 Trks - Orig'!P102</f>
        <v>26392.392</v>
      </c>
      <c r="N133" s="139">
        <f t="shared" si="60"/>
        <v>26392.392</v>
      </c>
      <c r="O133" s="139">
        <f t="shared" si="61"/>
        <v>314.19514285714286</v>
      </c>
      <c r="P133" s="139">
        <f t="shared" si="62"/>
        <v>3770.3417142857143</v>
      </c>
      <c r="Q133" s="342">
        <f t="shared" si="63"/>
        <v>0</v>
      </c>
      <c r="R133" s="341"/>
      <c r="S133" s="342">
        <f t="shared" si="64"/>
        <v>26392.392</v>
      </c>
      <c r="T133" s="139">
        <f t="shared" si="65"/>
        <v>26392.392</v>
      </c>
      <c r="U133" s="139">
        <f t="shared" si="66"/>
        <v>0</v>
      </c>
      <c r="V133" s="11">
        <f t="shared" si="67"/>
        <v>0</v>
      </c>
    </row>
    <row r="134" spans="2:26" s="255" customFormat="1">
      <c r="D134" s="255">
        <v>406</v>
      </c>
      <c r="E134" s="255" t="s">
        <v>866</v>
      </c>
      <c r="F134" s="255">
        <v>2017</v>
      </c>
      <c r="G134" s="255">
        <v>10</v>
      </c>
      <c r="H134" s="255">
        <v>0</v>
      </c>
      <c r="I134" s="255" t="s">
        <v>52</v>
      </c>
      <c r="J134" s="255">
        <v>10</v>
      </c>
      <c r="K134" s="255">
        <f t="shared" si="58"/>
        <v>2027</v>
      </c>
      <c r="L134" s="256">
        <f t="shared" si="59"/>
        <v>2027.8333333333333</v>
      </c>
      <c r="M134" s="257">
        <f>+'2111 Trks - Orig'!N102-'2111 Trks'!M133</f>
        <v>6598.0979999999981</v>
      </c>
      <c r="N134" s="257">
        <f t="shared" si="60"/>
        <v>6598.0979999999981</v>
      </c>
      <c r="O134" s="257">
        <f t="shared" si="61"/>
        <v>54.984149999999978</v>
      </c>
      <c r="P134" s="257">
        <f t="shared" si="62"/>
        <v>659.80979999999977</v>
      </c>
      <c r="Q134" s="342">
        <f t="shared" si="63"/>
        <v>659.80979999999977</v>
      </c>
      <c r="R134" s="341"/>
      <c r="S134" s="342">
        <f t="shared" si="64"/>
        <v>4288.7636999999995</v>
      </c>
      <c r="T134" s="139">
        <f t="shared" si="65"/>
        <v>4948.5734999999995</v>
      </c>
      <c r="U134" s="258">
        <f t="shared" si="66"/>
        <v>1649.5244999999986</v>
      </c>
      <c r="V134" s="259">
        <f t="shared" si="67"/>
        <v>1649.5244999999986</v>
      </c>
    </row>
    <row r="135" spans="2:26" ht="14.25" customHeight="1">
      <c r="B135" s="3">
        <v>25019</v>
      </c>
      <c r="C135" s="3" t="s">
        <v>56</v>
      </c>
      <c r="D135" s="3">
        <v>407</v>
      </c>
      <c r="E135" s="3" t="s">
        <v>84</v>
      </c>
      <c r="F135" s="3">
        <v>2004</v>
      </c>
      <c r="G135" s="3">
        <v>6</v>
      </c>
      <c r="H135" s="3">
        <v>0</v>
      </c>
      <c r="I135" s="3" t="s">
        <v>52</v>
      </c>
      <c r="J135" s="3">
        <v>7</v>
      </c>
      <c r="K135" s="3">
        <f t="shared" si="58"/>
        <v>2011</v>
      </c>
      <c r="L135" s="168">
        <f t="shared" si="59"/>
        <v>2011.5</v>
      </c>
      <c r="M135" s="139">
        <f>+'2111 Trks - Orig'!P103</f>
        <v>69016.51999999999</v>
      </c>
      <c r="N135" s="139">
        <f t="shared" si="60"/>
        <v>69016.51999999999</v>
      </c>
      <c r="O135" s="139">
        <f t="shared" si="61"/>
        <v>821.62523809523793</v>
      </c>
      <c r="P135" s="139">
        <f t="shared" si="62"/>
        <v>9859.5028571428556</v>
      </c>
      <c r="Q135" s="342">
        <f t="shared" si="63"/>
        <v>0</v>
      </c>
      <c r="R135" s="341"/>
      <c r="S135" s="342">
        <f t="shared" si="64"/>
        <v>69016.51999999999</v>
      </c>
      <c r="T135" s="139">
        <f t="shared" si="65"/>
        <v>69016.51999999999</v>
      </c>
      <c r="U135" s="139">
        <f t="shared" si="66"/>
        <v>0</v>
      </c>
      <c r="V135" s="11">
        <f t="shared" si="67"/>
        <v>0</v>
      </c>
      <c r="Z135" s="266" t="s">
        <v>1340</v>
      </c>
    </row>
    <row r="136" spans="2:26" ht="14.25" customHeight="1">
      <c r="C136" s="3" t="s">
        <v>56</v>
      </c>
      <c r="D136" s="3">
        <v>407</v>
      </c>
      <c r="E136" s="3" t="s">
        <v>86</v>
      </c>
      <c r="F136" s="3">
        <v>2004</v>
      </c>
      <c r="G136" s="3">
        <v>6</v>
      </c>
      <c r="H136" s="3">
        <v>0</v>
      </c>
      <c r="I136" s="3" t="s">
        <v>52</v>
      </c>
      <c r="J136" s="3">
        <v>7</v>
      </c>
      <c r="K136" s="3">
        <f t="shared" si="58"/>
        <v>2011</v>
      </c>
      <c r="L136" s="168">
        <f t="shared" si="59"/>
        <v>2011.5</v>
      </c>
      <c r="M136" s="139">
        <f>+'2111 Trks - Orig'!P104</f>
        <v>26392.392</v>
      </c>
      <c r="N136" s="139">
        <f t="shared" si="60"/>
        <v>26392.392</v>
      </c>
      <c r="O136" s="139">
        <f t="shared" si="61"/>
        <v>314.19514285714286</v>
      </c>
      <c r="P136" s="139">
        <f t="shared" si="62"/>
        <v>3770.3417142857143</v>
      </c>
      <c r="Q136" s="342">
        <f t="shared" si="63"/>
        <v>0</v>
      </c>
      <c r="R136" s="341"/>
      <c r="S136" s="342">
        <f t="shared" si="64"/>
        <v>26392.392</v>
      </c>
      <c r="T136" s="139">
        <f t="shared" si="65"/>
        <v>26392.392</v>
      </c>
      <c r="U136" s="139">
        <f t="shared" si="66"/>
        <v>0</v>
      </c>
      <c r="V136" s="11">
        <f t="shared" si="67"/>
        <v>0</v>
      </c>
    </row>
    <row r="137" spans="2:26" s="255" customFormat="1">
      <c r="D137" s="255">
        <v>407</v>
      </c>
      <c r="E137" s="255" t="s">
        <v>865</v>
      </c>
      <c r="F137" s="255">
        <v>2017</v>
      </c>
      <c r="G137" s="255">
        <v>10</v>
      </c>
      <c r="H137" s="255">
        <v>0</v>
      </c>
      <c r="I137" s="255" t="s">
        <v>52</v>
      </c>
      <c r="J137" s="255">
        <v>10</v>
      </c>
      <c r="K137" s="255">
        <f t="shared" si="58"/>
        <v>2027</v>
      </c>
      <c r="L137" s="256">
        <f t="shared" si="59"/>
        <v>2027.8333333333333</v>
      </c>
      <c r="M137" s="257">
        <f>+SUM('2111 Trks - Orig'!N103:N104)-SUM('2111 Trks'!M135:M136)</f>
        <v>23852.228000000003</v>
      </c>
      <c r="N137" s="257">
        <f t="shared" si="60"/>
        <v>23852.228000000003</v>
      </c>
      <c r="O137" s="257">
        <f t="shared" si="61"/>
        <v>198.76856666666671</v>
      </c>
      <c r="P137" s="257">
        <f t="shared" si="62"/>
        <v>2385.2228000000005</v>
      </c>
      <c r="Q137" s="342">
        <f t="shared" si="63"/>
        <v>2385.2228000000005</v>
      </c>
      <c r="R137" s="341"/>
      <c r="S137" s="342">
        <f t="shared" si="64"/>
        <v>15503.948200000001</v>
      </c>
      <c r="T137" s="139">
        <f t="shared" si="65"/>
        <v>17889.171000000002</v>
      </c>
      <c r="U137" s="258">
        <f t="shared" si="66"/>
        <v>5963.0570000000007</v>
      </c>
      <c r="V137" s="259">
        <f t="shared" si="67"/>
        <v>5963.0570000000007</v>
      </c>
    </row>
    <row r="138" spans="2:26" ht="14.25" customHeight="1">
      <c r="B138" s="3">
        <v>25363</v>
      </c>
      <c r="C138" s="3" t="s">
        <v>56</v>
      </c>
      <c r="D138" s="3">
        <v>408</v>
      </c>
      <c r="E138" s="3" t="s">
        <v>84</v>
      </c>
      <c r="F138" s="3">
        <v>2004</v>
      </c>
      <c r="G138" s="3">
        <v>7</v>
      </c>
      <c r="H138" s="3">
        <v>0</v>
      </c>
      <c r="I138" s="3" t="s">
        <v>52</v>
      </c>
      <c r="J138" s="3">
        <v>7</v>
      </c>
      <c r="K138" s="3">
        <f t="shared" si="58"/>
        <v>2011</v>
      </c>
      <c r="L138" s="168">
        <f t="shared" si="59"/>
        <v>2011.5833333333333</v>
      </c>
      <c r="M138" s="139">
        <f>+'2111 Trks - Orig'!P105</f>
        <v>69016.51999999999</v>
      </c>
      <c r="N138" s="139">
        <f t="shared" si="60"/>
        <v>69016.51999999999</v>
      </c>
      <c r="O138" s="139">
        <f t="shared" si="61"/>
        <v>821.62523809523793</v>
      </c>
      <c r="P138" s="139">
        <f t="shared" si="62"/>
        <v>9859.5028571428556</v>
      </c>
      <c r="Q138" s="342">
        <f t="shared" si="63"/>
        <v>0</v>
      </c>
      <c r="R138" s="341"/>
      <c r="S138" s="342">
        <f t="shared" si="64"/>
        <v>69016.51999999999</v>
      </c>
      <c r="T138" s="139">
        <f t="shared" si="65"/>
        <v>69016.51999999999</v>
      </c>
      <c r="U138" s="139">
        <f t="shared" si="66"/>
        <v>0</v>
      </c>
      <c r="V138" s="11">
        <f t="shared" si="67"/>
        <v>0</v>
      </c>
    </row>
    <row r="139" spans="2:26">
      <c r="C139" s="3" t="s">
        <v>56</v>
      </c>
      <c r="D139" s="3">
        <v>408</v>
      </c>
      <c r="E139" s="3" t="s">
        <v>86</v>
      </c>
      <c r="F139" s="3">
        <v>2004</v>
      </c>
      <c r="G139" s="3">
        <v>7</v>
      </c>
      <c r="H139" s="3">
        <v>0</v>
      </c>
      <c r="I139" s="3" t="s">
        <v>52</v>
      </c>
      <c r="J139" s="3">
        <v>7</v>
      </c>
      <c r="K139" s="3">
        <f t="shared" si="58"/>
        <v>2011</v>
      </c>
      <c r="L139" s="168">
        <f t="shared" si="59"/>
        <v>2011.5833333333333</v>
      </c>
      <c r="M139" s="139">
        <f>+'2111 Trks - Orig'!P106</f>
        <v>26392.392</v>
      </c>
      <c r="N139" s="139">
        <f t="shared" si="60"/>
        <v>26392.392</v>
      </c>
      <c r="O139" s="139">
        <f t="shared" si="61"/>
        <v>314.19514285714286</v>
      </c>
      <c r="P139" s="139">
        <f t="shared" si="62"/>
        <v>3770.3417142857143</v>
      </c>
      <c r="Q139" s="342">
        <f t="shared" si="63"/>
        <v>0</v>
      </c>
      <c r="R139" s="341"/>
      <c r="S139" s="342">
        <f t="shared" si="64"/>
        <v>26392.392</v>
      </c>
      <c r="T139" s="139">
        <f t="shared" si="65"/>
        <v>26392.392</v>
      </c>
      <c r="U139" s="139">
        <f t="shared" si="66"/>
        <v>0</v>
      </c>
      <c r="V139" s="11">
        <f t="shared" si="67"/>
        <v>0</v>
      </c>
    </row>
    <row r="140" spans="2:26" s="255" customFormat="1">
      <c r="D140" s="255">
        <v>408</v>
      </c>
      <c r="E140" s="255" t="s">
        <v>867</v>
      </c>
      <c r="F140" s="255">
        <v>2017</v>
      </c>
      <c r="G140" s="255">
        <v>10</v>
      </c>
      <c r="H140" s="255">
        <v>0</v>
      </c>
      <c r="I140" s="255" t="s">
        <v>52</v>
      </c>
      <c r="J140" s="255">
        <v>10</v>
      </c>
      <c r="K140" s="255">
        <f t="shared" si="58"/>
        <v>2027</v>
      </c>
      <c r="L140" s="256">
        <f t="shared" si="59"/>
        <v>2027.8333333333333</v>
      </c>
      <c r="M140" s="257">
        <f>+SUM('2111 Trks - Orig'!N105:N106)-SUM('2111 Trks'!M138:M139)</f>
        <v>23852.228000000003</v>
      </c>
      <c r="N140" s="257">
        <f t="shared" si="60"/>
        <v>23852.228000000003</v>
      </c>
      <c r="O140" s="257">
        <f t="shared" si="61"/>
        <v>198.76856666666671</v>
      </c>
      <c r="P140" s="257">
        <f t="shared" si="62"/>
        <v>2385.2228000000005</v>
      </c>
      <c r="Q140" s="342">
        <f t="shared" si="63"/>
        <v>2385.2228000000005</v>
      </c>
      <c r="R140" s="341"/>
      <c r="S140" s="342">
        <f t="shared" si="64"/>
        <v>15503.948200000001</v>
      </c>
      <c r="T140" s="139">
        <f t="shared" si="65"/>
        <v>17889.171000000002</v>
      </c>
      <c r="U140" s="258">
        <f t="shared" si="66"/>
        <v>5963.0570000000007</v>
      </c>
      <c r="V140" s="259">
        <f t="shared" si="67"/>
        <v>5963.0570000000007</v>
      </c>
    </row>
    <row r="141" spans="2:26">
      <c r="B141" s="3">
        <v>173291</v>
      </c>
      <c r="C141" s="3" t="s">
        <v>56</v>
      </c>
      <c r="D141" s="3">
        <v>409</v>
      </c>
      <c r="E141" s="3" t="s">
        <v>445</v>
      </c>
      <c r="F141" s="3">
        <v>2004</v>
      </c>
      <c r="G141" s="3">
        <v>4</v>
      </c>
      <c r="H141" s="3">
        <v>0</v>
      </c>
      <c r="I141" s="3" t="s">
        <v>52</v>
      </c>
      <c r="J141" s="3">
        <v>7</v>
      </c>
      <c r="K141" s="3">
        <f t="shared" si="58"/>
        <v>2011</v>
      </c>
      <c r="L141" s="168">
        <f t="shared" si="59"/>
        <v>2011.3333333333333</v>
      </c>
      <c r="M141" s="139">
        <v>69016</v>
      </c>
      <c r="N141" s="139">
        <f t="shared" si="60"/>
        <v>69016</v>
      </c>
      <c r="O141" s="139">
        <f t="shared" si="61"/>
        <v>821.61904761904759</v>
      </c>
      <c r="P141" s="139">
        <f t="shared" si="62"/>
        <v>9859.4285714285706</v>
      </c>
      <c r="Q141" s="342">
        <f t="shared" si="63"/>
        <v>0</v>
      </c>
      <c r="R141" s="341"/>
      <c r="S141" s="342">
        <f t="shared" si="64"/>
        <v>69016</v>
      </c>
      <c r="T141" s="139">
        <f t="shared" si="65"/>
        <v>69016</v>
      </c>
      <c r="U141" s="139">
        <f t="shared" si="66"/>
        <v>0</v>
      </c>
      <c r="V141" s="11">
        <f t="shared" si="67"/>
        <v>0</v>
      </c>
    </row>
    <row r="142" spans="2:26" s="255" customFormat="1">
      <c r="D142" s="255">
        <v>409</v>
      </c>
      <c r="E142" s="255" t="s">
        <v>642</v>
      </c>
      <c r="F142" s="255">
        <v>2017</v>
      </c>
      <c r="G142" s="255">
        <v>10</v>
      </c>
      <c r="H142" s="255">
        <v>0</v>
      </c>
      <c r="I142" s="255" t="s">
        <v>52</v>
      </c>
      <c r="J142" s="255">
        <v>10</v>
      </c>
      <c r="K142" s="255">
        <f t="shared" si="58"/>
        <v>2027</v>
      </c>
      <c r="L142" s="256">
        <f t="shared" si="59"/>
        <v>2027.8333333333333</v>
      </c>
      <c r="M142" s="257">
        <f>86270-M141</f>
        <v>17254</v>
      </c>
      <c r="N142" s="257">
        <f t="shared" si="60"/>
        <v>17254</v>
      </c>
      <c r="O142" s="257">
        <f t="shared" si="61"/>
        <v>143.78333333333333</v>
      </c>
      <c r="P142" s="257">
        <f t="shared" si="62"/>
        <v>1725.4</v>
      </c>
      <c r="Q142" s="342">
        <f t="shared" si="63"/>
        <v>1725.4</v>
      </c>
      <c r="R142" s="341"/>
      <c r="S142" s="342">
        <f t="shared" si="64"/>
        <v>11215.1</v>
      </c>
      <c r="T142" s="139">
        <f t="shared" si="65"/>
        <v>12940.5</v>
      </c>
      <c r="U142" s="258">
        <f t="shared" si="66"/>
        <v>4313.5</v>
      </c>
      <c r="V142" s="259">
        <f t="shared" si="67"/>
        <v>4313.5</v>
      </c>
    </row>
    <row r="143" spans="2:26">
      <c r="B143" s="3">
        <v>173292</v>
      </c>
      <c r="C143" s="3" t="s">
        <v>56</v>
      </c>
      <c r="D143" s="3">
        <v>409</v>
      </c>
      <c r="E143" s="3" t="s">
        <v>446</v>
      </c>
      <c r="F143" s="3">
        <v>2004</v>
      </c>
      <c r="G143" s="3">
        <v>4</v>
      </c>
      <c r="H143" s="3">
        <v>0</v>
      </c>
      <c r="I143" s="3" t="s">
        <v>52</v>
      </c>
      <c r="J143" s="3">
        <v>7</v>
      </c>
      <c r="K143" s="3">
        <f t="shared" si="58"/>
        <v>2011</v>
      </c>
      <c r="L143" s="168">
        <f t="shared" si="59"/>
        <v>2011.3333333333333</v>
      </c>
      <c r="M143" s="139">
        <f>+'2131 Trks - Orig'!P37</f>
        <v>26392.392</v>
      </c>
      <c r="N143" s="139">
        <f t="shared" si="60"/>
        <v>26392.392</v>
      </c>
      <c r="O143" s="139">
        <f t="shared" si="61"/>
        <v>314.19514285714286</v>
      </c>
      <c r="P143" s="139">
        <f t="shared" si="62"/>
        <v>3770.3417142857143</v>
      </c>
      <c r="Q143" s="342">
        <f t="shared" si="63"/>
        <v>0</v>
      </c>
      <c r="R143" s="341"/>
      <c r="S143" s="342">
        <f t="shared" si="64"/>
        <v>26392.392</v>
      </c>
      <c r="T143" s="139">
        <f t="shared" si="65"/>
        <v>26392.392</v>
      </c>
      <c r="U143" s="139">
        <f t="shared" si="66"/>
        <v>0</v>
      </c>
      <c r="V143" s="11">
        <f t="shared" si="67"/>
        <v>0</v>
      </c>
    </row>
    <row r="144" spans="2:26" s="255" customFormat="1">
      <c r="D144" s="255">
        <v>409</v>
      </c>
      <c r="E144" s="255" t="s">
        <v>642</v>
      </c>
      <c r="F144" s="255">
        <v>2017</v>
      </c>
      <c r="G144" s="255">
        <v>10</v>
      </c>
      <c r="H144" s="255">
        <v>0</v>
      </c>
      <c r="I144" s="255" t="s">
        <v>52</v>
      </c>
      <c r="J144" s="255">
        <v>10</v>
      </c>
      <c r="K144" s="255">
        <f t="shared" si="58"/>
        <v>2027</v>
      </c>
      <c r="L144" s="256">
        <f t="shared" si="59"/>
        <v>2027.8333333333333</v>
      </c>
      <c r="M144" s="257">
        <f>+'2131 Trks - Orig'!N37-'2111 Trks'!M143</f>
        <v>6598.0979999999981</v>
      </c>
      <c r="N144" s="257">
        <f t="shared" si="60"/>
        <v>6598.0979999999981</v>
      </c>
      <c r="O144" s="257">
        <f t="shared" si="61"/>
        <v>54.984149999999978</v>
      </c>
      <c r="P144" s="257">
        <f t="shared" si="62"/>
        <v>659.80979999999977</v>
      </c>
      <c r="Q144" s="342">
        <f t="shared" si="63"/>
        <v>659.80979999999977</v>
      </c>
      <c r="R144" s="341"/>
      <c r="S144" s="342">
        <f t="shared" si="64"/>
        <v>4288.7636999999995</v>
      </c>
      <c r="T144" s="139">
        <f t="shared" si="65"/>
        <v>4948.5734999999995</v>
      </c>
      <c r="U144" s="258">
        <f t="shared" si="66"/>
        <v>1649.5244999999986</v>
      </c>
      <c r="V144" s="259">
        <f t="shared" si="67"/>
        <v>1649.5244999999986</v>
      </c>
    </row>
    <row r="145" spans="2:22">
      <c r="B145" s="3" t="s">
        <v>498</v>
      </c>
      <c r="C145" s="3" t="s">
        <v>56</v>
      </c>
      <c r="E145" s="3" t="s">
        <v>447</v>
      </c>
      <c r="F145" s="3">
        <v>2008</v>
      </c>
      <c r="G145" s="3">
        <v>4</v>
      </c>
      <c r="H145" s="3">
        <v>0</v>
      </c>
      <c r="I145" s="3" t="s">
        <v>52</v>
      </c>
      <c r="J145" s="3">
        <v>7</v>
      </c>
      <c r="K145" s="3">
        <f t="shared" si="58"/>
        <v>2015</v>
      </c>
      <c r="L145" s="168">
        <f t="shared" si="59"/>
        <v>2015.3333333333333</v>
      </c>
      <c r="M145" s="139">
        <f>+'2131 Trks - Orig'!P38</f>
        <v>436.34399999999994</v>
      </c>
      <c r="N145" s="139">
        <f t="shared" si="60"/>
        <v>436.34399999999994</v>
      </c>
      <c r="O145" s="139">
        <f t="shared" si="61"/>
        <v>5.194571428571428</v>
      </c>
      <c r="P145" s="139">
        <f t="shared" si="62"/>
        <v>62.334857142857132</v>
      </c>
      <c r="Q145" s="342">
        <f t="shared" si="63"/>
        <v>0</v>
      </c>
      <c r="R145" s="341"/>
      <c r="S145" s="342">
        <f t="shared" si="64"/>
        <v>436.34399999999994</v>
      </c>
      <c r="T145" s="139">
        <f t="shared" si="65"/>
        <v>436.34399999999994</v>
      </c>
      <c r="U145" s="139">
        <f t="shared" si="66"/>
        <v>0</v>
      </c>
      <c r="V145" s="11">
        <f t="shared" si="67"/>
        <v>0</v>
      </c>
    </row>
    <row r="146" spans="2:22" s="255" customFormat="1">
      <c r="E146" s="255" t="s">
        <v>643</v>
      </c>
      <c r="F146" s="255">
        <v>2017</v>
      </c>
      <c r="G146" s="255">
        <v>10</v>
      </c>
      <c r="H146" s="255">
        <v>0</v>
      </c>
      <c r="I146" s="255" t="s">
        <v>52</v>
      </c>
      <c r="J146" s="255">
        <v>10</v>
      </c>
      <c r="K146" s="255">
        <f t="shared" si="58"/>
        <v>2027</v>
      </c>
      <c r="L146" s="256">
        <f t="shared" si="59"/>
        <v>2027.8333333333333</v>
      </c>
      <c r="M146" s="257">
        <f>+'2131 Trks - Orig'!N38-'2111 Trks'!M145</f>
        <v>109.08600000000001</v>
      </c>
      <c r="N146" s="257">
        <f t="shared" si="60"/>
        <v>109.08600000000001</v>
      </c>
      <c r="O146" s="257">
        <f t="shared" si="61"/>
        <v>0.90905000000000014</v>
      </c>
      <c r="P146" s="257">
        <f t="shared" si="62"/>
        <v>10.908600000000002</v>
      </c>
      <c r="Q146" s="342">
        <f t="shared" si="63"/>
        <v>10.908600000000002</v>
      </c>
      <c r="R146" s="341"/>
      <c r="S146" s="342">
        <f t="shared" si="64"/>
        <v>70.905900000000003</v>
      </c>
      <c r="T146" s="139">
        <f t="shared" si="65"/>
        <v>81.81450000000001</v>
      </c>
      <c r="U146" s="258">
        <f t="shared" si="66"/>
        <v>27.271500000000003</v>
      </c>
      <c r="V146" s="259">
        <f t="shared" si="67"/>
        <v>27.271500000000003</v>
      </c>
    </row>
    <row r="147" spans="2:22">
      <c r="C147" s="3" t="s">
        <v>56</v>
      </c>
      <c r="E147" s="3" t="s">
        <v>163</v>
      </c>
      <c r="F147" s="3">
        <v>2008</v>
      </c>
      <c r="G147" s="3">
        <v>4</v>
      </c>
      <c r="H147" s="3">
        <v>0</v>
      </c>
      <c r="I147" s="3" t="s">
        <v>52</v>
      </c>
      <c r="J147" s="3">
        <v>7</v>
      </c>
      <c r="K147" s="3">
        <f t="shared" si="58"/>
        <v>2015</v>
      </c>
      <c r="L147" s="168">
        <f t="shared" si="59"/>
        <v>2015.3333333333333</v>
      </c>
      <c r="M147" s="139">
        <f>+'2111 Trks - Orig'!P107</f>
        <v>5455.0640000000003</v>
      </c>
      <c r="N147" s="139">
        <f t="shared" si="60"/>
        <v>5455.0640000000003</v>
      </c>
      <c r="O147" s="139">
        <f t="shared" si="61"/>
        <v>64.941238095238091</v>
      </c>
      <c r="P147" s="139">
        <f t="shared" si="62"/>
        <v>779.29485714285715</v>
      </c>
      <c r="Q147" s="342">
        <f t="shared" si="63"/>
        <v>0</v>
      </c>
      <c r="R147" s="341"/>
      <c r="S147" s="342">
        <f t="shared" si="64"/>
        <v>5455.0640000000003</v>
      </c>
      <c r="T147" s="139">
        <f t="shared" si="65"/>
        <v>5455.0640000000003</v>
      </c>
      <c r="U147" s="139">
        <f t="shared" si="66"/>
        <v>0</v>
      </c>
      <c r="V147" s="11">
        <f t="shared" si="67"/>
        <v>0</v>
      </c>
    </row>
    <row r="148" spans="2:22" s="255" customFormat="1">
      <c r="E148" s="255" t="s">
        <v>871</v>
      </c>
      <c r="F148" s="255">
        <v>2017</v>
      </c>
      <c r="G148" s="255">
        <v>10</v>
      </c>
      <c r="H148" s="255">
        <v>0</v>
      </c>
      <c r="I148" s="255" t="s">
        <v>52</v>
      </c>
      <c r="J148" s="255">
        <v>10</v>
      </c>
      <c r="K148" s="255">
        <f t="shared" si="58"/>
        <v>2027</v>
      </c>
      <c r="L148" s="256">
        <f t="shared" si="59"/>
        <v>2027.8333333333333</v>
      </c>
      <c r="M148" s="257">
        <f>+'2111 Trks - Orig'!N107-'2111 Trks'!M147</f>
        <v>1363.7659999999996</v>
      </c>
      <c r="N148" s="257">
        <f t="shared" si="60"/>
        <v>1363.7659999999996</v>
      </c>
      <c r="O148" s="257">
        <f t="shared" si="61"/>
        <v>11.364716666666665</v>
      </c>
      <c r="P148" s="257">
        <f t="shared" si="62"/>
        <v>136.37659999999997</v>
      </c>
      <c r="Q148" s="342">
        <f t="shared" si="63"/>
        <v>136.37659999999997</v>
      </c>
      <c r="R148" s="341"/>
      <c r="S148" s="342">
        <f t="shared" si="64"/>
        <v>886.44789999999966</v>
      </c>
      <c r="T148" s="139">
        <f t="shared" si="65"/>
        <v>1022.8244999999996</v>
      </c>
      <c r="U148" s="258">
        <f t="shared" si="66"/>
        <v>340.94150000000002</v>
      </c>
      <c r="V148" s="259">
        <f t="shared" si="67"/>
        <v>340.94150000000002</v>
      </c>
    </row>
    <row r="149" spans="2:22">
      <c r="C149" s="3" t="s">
        <v>180</v>
      </c>
      <c r="D149" s="3">
        <v>154</v>
      </c>
      <c r="E149" s="3" t="s">
        <v>181</v>
      </c>
      <c r="F149" s="3">
        <v>2008</v>
      </c>
      <c r="G149" s="3">
        <v>12</v>
      </c>
      <c r="H149" s="249">
        <v>0.2</v>
      </c>
      <c r="I149" s="3" t="s">
        <v>52</v>
      </c>
      <c r="J149" s="3">
        <v>7</v>
      </c>
      <c r="K149" s="3">
        <f t="shared" si="58"/>
        <v>2015</v>
      </c>
      <c r="L149" s="168">
        <f t="shared" si="59"/>
        <v>2016</v>
      </c>
      <c r="M149" s="139">
        <f>+'2111 Trks - Orig'!P109</f>
        <v>5455.0640000000003</v>
      </c>
      <c r="N149" s="139">
        <f t="shared" si="60"/>
        <v>4364.0511999999999</v>
      </c>
      <c r="O149" s="139">
        <f t="shared" si="61"/>
        <v>51.952990476190479</v>
      </c>
      <c r="P149" s="139">
        <f t="shared" si="62"/>
        <v>623.43588571428575</v>
      </c>
      <c r="Q149" s="342">
        <f t="shared" si="63"/>
        <v>0</v>
      </c>
      <c r="R149" s="341"/>
      <c r="S149" s="342">
        <f t="shared" si="64"/>
        <v>5455.0640000000003</v>
      </c>
      <c r="T149" s="139">
        <f t="shared" si="65"/>
        <v>5455.0640000000003</v>
      </c>
      <c r="U149" s="139">
        <f t="shared" si="66"/>
        <v>0</v>
      </c>
      <c r="V149" s="11">
        <f t="shared" si="67"/>
        <v>0</v>
      </c>
    </row>
    <row r="150" spans="2:22" s="255" customFormat="1">
      <c r="D150" s="255">
        <v>154</v>
      </c>
      <c r="E150" s="255" t="s">
        <v>877</v>
      </c>
      <c r="F150" s="255">
        <v>2017</v>
      </c>
      <c r="G150" s="255">
        <v>10</v>
      </c>
      <c r="H150" s="255">
        <v>0</v>
      </c>
      <c r="I150" s="255" t="s">
        <v>52</v>
      </c>
      <c r="J150" s="255">
        <v>10</v>
      </c>
      <c r="K150" s="255">
        <f t="shared" si="58"/>
        <v>2027</v>
      </c>
      <c r="L150" s="256">
        <f t="shared" si="59"/>
        <v>2027.8333333333333</v>
      </c>
      <c r="M150" s="257">
        <f>+'2111 Trks - Orig'!N109-'2111 Trks'!M149</f>
        <v>1363.7659999999996</v>
      </c>
      <c r="N150" s="257">
        <f t="shared" si="60"/>
        <v>1363.7659999999996</v>
      </c>
      <c r="O150" s="257">
        <f t="shared" si="61"/>
        <v>11.364716666666665</v>
      </c>
      <c r="P150" s="257">
        <f t="shared" si="62"/>
        <v>136.37659999999997</v>
      </c>
      <c r="Q150" s="342">
        <f t="shared" si="63"/>
        <v>136.37659999999997</v>
      </c>
      <c r="R150" s="341"/>
      <c r="S150" s="342">
        <f t="shared" si="64"/>
        <v>886.44789999999966</v>
      </c>
      <c r="T150" s="139">
        <f t="shared" si="65"/>
        <v>1022.8244999999996</v>
      </c>
      <c r="U150" s="258">
        <f t="shared" si="66"/>
        <v>340.94150000000002</v>
      </c>
      <c r="V150" s="259">
        <f t="shared" si="67"/>
        <v>340.94150000000002</v>
      </c>
    </row>
    <row r="151" spans="2:22">
      <c r="C151" s="3" t="s">
        <v>180</v>
      </c>
      <c r="D151" s="3">
        <v>407</v>
      </c>
      <c r="E151" s="3" t="s">
        <v>181</v>
      </c>
      <c r="F151" s="3">
        <v>2008</v>
      </c>
      <c r="G151" s="3">
        <v>11</v>
      </c>
      <c r="H151" s="3">
        <v>0</v>
      </c>
      <c r="I151" s="3" t="s">
        <v>52</v>
      </c>
      <c r="J151" s="3">
        <v>7</v>
      </c>
      <c r="K151" s="3">
        <f t="shared" si="58"/>
        <v>2015</v>
      </c>
      <c r="L151" s="168">
        <f t="shared" si="59"/>
        <v>2015.9166666666667</v>
      </c>
      <c r="M151" s="139">
        <f>+'2111 Trks - Orig'!P108</f>
        <v>5455.0640000000003</v>
      </c>
      <c r="N151" s="139">
        <f t="shared" si="60"/>
        <v>5455.0640000000003</v>
      </c>
      <c r="O151" s="139">
        <f t="shared" si="61"/>
        <v>64.941238095238091</v>
      </c>
      <c r="P151" s="139">
        <f t="shared" si="62"/>
        <v>779.29485714285715</v>
      </c>
      <c r="Q151" s="342">
        <f t="shared" si="63"/>
        <v>0</v>
      </c>
      <c r="R151" s="341"/>
      <c r="S151" s="342">
        <f t="shared" si="64"/>
        <v>5455.0640000000003</v>
      </c>
      <c r="T151" s="139">
        <f t="shared" si="65"/>
        <v>5455.0640000000003</v>
      </c>
      <c r="U151" s="139">
        <f t="shared" si="66"/>
        <v>0</v>
      </c>
      <c r="V151" s="11">
        <f t="shared" si="67"/>
        <v>0</v>
      </c>
    </row>
    <row r="152" spans="2:22" s="255" customFormat="1">
      <c r="D152" s="255">
        <v>407</v>
      </c>
      <c r="E152" s="255" t="s">
        <v>874</v>
      </c>
      <c r="F152" s="255">
        <v>2017</v>
      </c>
      <c r="G152" s="255">
        <v>10</v>
      </c>
      <c r="H152" s="255">
        <v>0</v>
      </c>
      <c r="I152" s="255" t="s">
        <v>52</v>
      </c>
      <c r="J152" s="255">
        <v>10</v>
      </c>
      <c r="K152" s="255">
        <f t="shared" si="58"/>
        <v>2027</v>
      </c>
      <c r="L152" s="256">
        <f t="shared" si="59"/>
        <v>2027.8333333333333</v>
      </c>
      <c r="M152" s="257">
        <f>+'2111 Trks - Orig'!N108-'2111 Trks'!M151</f>
        <v>1363.7659999999996</v>
      </c>
      <c r="N152" s="257">
        <f t="shared" si="60"/>
        <v>1363.7659999999996</v>
      </c>
      <c r="O152" s="257">
        <f t="shared" si="61"/>
        <v>11.364716666666665</v>
      </c>
      <c r="P152" s="257">
        <f t="shared" si="62"/>
        <v>136.37659999999997</v>
      </c>
      <c r="Q152" s="342">
        <f t="shared" si="63"/>
        <v>136.37659999999997</v>
      </c>
      <c r="R152" s="341"/>
      <c r="S152" s="342">
        <f t="shared" si="64"/>
        <v>886.44789999999966</v>
      </c>
      <c r="T152" s="139">
        <f t="shared" si="65"/>
        <v>1022.8244999999996</v>
      </c>
      <c r="U152" s="258">
        <f t="shared" si="66"/>
        <v>340.94150000000002</v>
      </c>
      <c r="V152" s="259">
        <f t="shared" si="67"/>
        <v>340.94150000000002</v>
      </c>
    </row>
    <row r="153" spans="2:22">
      <c r="C153" s="3" t="s">
        <v>180</v>
      </c>
      <c r="D153" s="3">
        <v>406</v>
      </c>
      <c r="E153" s="3" t="s">
        <v>181</v>
      </c>
      <c r="F153" s="3">
        <v>2008</v>
      </c>
      <c r="G153" s="3">
        <v>12</v>
      </c>
      <c r="H153" s="3">
        <v>0</v>
      </c>
      <c r="I153" s="3" t="s">
        <v>52</v>
      </c>
      <c r="J153" s="3">
        <v>7</v>
      </c>
      <c r="K153" s="3">
        <f t="shared" si="58"/>
        <v>2015</v>
      </c>
      <c r="L153" s="168">
        <f t="shared" si="59"/>
        <v>2016</v>
      </c>
      <c r="M153" s="139">
        <f>+'2111 Trks - Orig'!P110</f>
        <v>5455.0640000000003</v>
      </c>
      <c r="N153" s="139">
        <f t="shared" si="60"/>
        <v>5455.0640000000003</v>
      </c>
      <c r="O153" s="139">
        <f t="shared" si="61"/>
        <v>64.941238095238091</v>
      </c>
      <c r="P153" s="139">
        <f t="shared" si="62"/>
        <v>779.29485714285715</v>
      </c>
      <c r="Q153" s="342">
        <f t="shared" si="63"/>
        <v>0</v>
      </c>
      <c r="R153" s="341"/>
      <c r="S153" s="342">
        <f t="shared" si="64"/>
        <v>5455.0640000000003</v>
      </c>
      <c r="T153" s="139">
        <f t="shared" si="65"/>
        <v>5455.0640000000003</v>
      </c>
      <c r="U153" s="139">
        <f t="shared" si="66"/>
        <v>0</v>
      </c>
      <c r="V153" s="11">
        <f t="shared" si="67"/>
        <v>0</v>
      </c>
    </row>
    <row r="154" spans="2:22" s="255" customFormat="1">
      <c r="D154" s="255">
        <v>406</v>
      </c>
      <c r="E154" s="255" t="s">
        <v>875</v>
      </c>
      <c r="F154" s="255">
        <v>2017</v>
      </c>
      <c r="G154" s="255">
        <v>10</v>
      </c>
      <c r="H154" s="255">
        <v>0</v>
      </c>
      <c r="I154" s="255" t="s">
        <v>52</v>
      </c>
      <c r="J154" s="255">
        <v>10</v>
      </c>
      <c r="K154" s="255">
        <f t="shared" si="58"/>
        <v>2027</v>
      </c>
      <c r="L154" s="256">
        <f t="shared" si="59"/>
        <v>2027.8333333333333</v>
      </c>
      <c r="M154" s="257">
        <f>+'2111 Trks - Orig'!N110-'2111 Trks'!M153</f>
        <v>1363.7659999999996</v>
      </c>
      <c r="N154" s="257">
        <f t="shared" si="60"/>
        <v>1363.7659999999996</v>
      </c>
      <c r="O154" s="257">
        <f t="shared" si="61"/>
        <v>11.364716666666665</v>
      </c>
      <c r="P154" s="257">
        <f t="shared" si="62"/>
        <v>136.37659999999997</v>
      </c>
      <c r="Q154" s="342">
        <f t="shared" si="63"/>
        <v>136.37659999999997</v>
      </c>
      <c r="R154" s="341"/>
      <c r="S154" s="342">
        <f t="shared" si="64"/>
        <v>886.44789999999966</v>
      </c>
      <c r="T154" s="139">
        <f t="shared" si="65"/>
        <v>1022.8244999999996</v>
      </c>
      <c r="U154" s="258">
        <f t="shared" si="66"/>
        <v>340.94150000000002</v>
      </c>
      <c r="V154" s="259">
        <f t="shared" si="67"/>
        <v>340.94150000000002</v>
      </c>
    </row>
    <row r="155" spans="2:22">
      <c r="C155" s="3" t="s">
        <v>180</v>
      </c>
      <c r="D155" s="3">
        <v>408</v>
      </c>
      <c r="E155" s="3" t="s">
        <v>181</v>
      </c>
      <c r="F155" s="3">
        <v>2008</v>
      </c>
      <c r="G155" s="3">
        <v>12</v>
      </c>
      <c r="H155" s="3">
        <v>0</v>
      </c>
      <c r="I155" s="3" t="s">
        <v>52</v>
      </c>
      <c r="J155" s="3">
        <v>7</v>
      </c>
      <c r="K155" s="3">
        <f t="shared" si="58"/>
        <v>2015</v>
      </c>
      <c r="L155" s="168">
        <f t="shared" si="59"/>
        <v>2016</v>
      </c>
      <c r="M155" s="139">
        <f>+'2111 Trks - Orig'!P111</f>
        <v>5455.0640000000003</v>
      </c>
      <c r="N155" s="139">
        <f t="shared" si="60"/>
        <v>5455.0640000000003</v>
      </c>
      <c r="O155" s="139">
        <f t="shared" si="61"/>
        <v>64.941238095238091</v>
      </c>
      <c r="P155" s="139">
        <f t="shared" si="62"/>
        <v>779.29485714285715</v>
      </c>
      <c r="Q155" s="342">
        <f t="shared" si="63"/>
        <v>0</v>
      </c>
      <c r="R155" s="341"/>
      <c r="S155" s="342">
        <f t="shared" si="64"/>
        <v>5455.0640000000003</v>
      </c>
      <c r="T155" s="139">
        <f t="shared" si="65"/>
        <v>5455.0640000000003</v>
      </c>
      <c r="U155" s="139">
        <f t="shared" si="66"/>
        <v>0</v>
      </c>
      <c r="V155" s="11">
        <f t="shared" si="67"/>
        <v>0</v>
      </c>
    </row>
    <row r="156" spans="2:22" s="255" customFormat="1">
      <c r="D156" s="255">
        <v>408</v>
      </c>
      <c r="E156" s="255" t="s">
        <v>876</v>
      </c>
      <c r="F156" s="255">
        <v>2017</v>
      </c>
      <c r="G156" s="255">
        <v>10</v>
      </c>
      <c r="H156" s="255">
        <v>0</v>
      </c>
      <c r="I156" s="255" t="s">
        <v>52</v>
      </c>
      <c r="J156" s="255">
        <v>10</v>
      </c>
      <c r="K156" s="255">
        <f t="shared" si="58"/>
        <v>2027</v>
      </c>
      <c r="L156" s="256">
        <f t="shared" si="59"/>
        <v>2027.8333333333333</v>
      </c>
      <c r="M156" s="257">
        <f>+'2111 Trks - Orig'!N111-'2111 Trks'!M155</f>
        <v>1363.7659999999996</v>
      </c>
      <c r="N156" s="257">
        <f t="shared" si="60"/>
        <v>1363.7659999999996</v>
      </c>
      <c r="O156" s="257">
        <f t="shared" si="61"/>
        <v>11.364716666666665</v>
      </c>
      <c r="P156" s="257">
        <f t="shared" si="62"/>
        <v>136.37659999999997</v>
      </c>
      <c r="Q156" s="342">
        <f t="shared" si="63"/>
        <v>136.37659999999997</v>
      </c>
      <c r="R156" s="341"/>
      <c r="S156" s="342">
        <f t="shared" si="64"/>
        <v>886.44789999999966</v>
      </c>
      <c r="T156" s="139">
        <f t="shared" si="65"/>
        <v>1022.8244999999996</v>
      </c>
      <c r="U156" s="258">
        <f t="shared" si="66"/>
        <v>340.94150000000002</v>
      </c>
      <c r="V156" s="259">
        <f t="shared" si="67"/>
        <v>340.94150000000002</v>
      </c>
    </row>
    <row r="157" spans="2:22">
      <c r="B157" s="3">
        <v>173293</v>
      </c>
      <c r="C157" s="3" t="s">
        <v>56</v>
      </c>
      <c r="D157" s="3">
        <v>409</v>
      </c>
      <c r="E157" s="3" t="s">
        <v>181</v>
      </c>
      <c r="F157" s="3">
        <v>2009</v>
      </c>
      <c r="G157" s="3">
        <v>1</v>
      </c>
      <c r="H157" s="3">
        <v>0</v>
      </c>
      <c r="I157" s="3" t="s">
        <v>52</v>
      </c>
      <c r="J157" s="3">
        <v>7</v>
      </c>
      <c r="K157" s="3">
        <f t="shared" si="58"/>
        <v>2016</v>
      </c>
      <c r="L157" s="168">
        <f t="shared" si="59"/>
        <v>2016.0833333333333</v>
      </c>
      <c r="M157" s="139">
        <f>+'2131 Trks - Orig'!P39</f>
        <v>5455.0640000000003</v>
      </c>
      <c r="N157" s="139">
        <f t="shared" si="60"/>
        <v>5455.0640000000003</v>
      </c>
      <c r="O157" s="139">
        <f t="shared" si="61"/>
        <v>64.941238095238091</v>
      </c>
      <c r="P157" s="139">
        <f t="shared" si="62"/>
        <v>779.29485714285715</v>
      </c>
      <c r="Q157" s="342">
        <f t="shared" si="63"/>
        <v>0</v>
      </c>
      <c r="R157" s="341"/>
      <c r="S157" s="342">
        <f t="shared" si="64"/>
        <v>5455.0640000000003</v>
      </c>
      <c r="T157" s="139">
        <f t="shared" si="65"/>
        <v>5455.0640000000003</v>
      </c>
      <c r="U157" s="139">
        <f t="shared" si="66"/>
        <v>0</v>
      </c>
      <c r="V157" s="11">
        <f t="shared" si="67"/>
        <v>0</v>
      </c>
    </row>
    <row r="158" spans="2:22" s="255" customFormat="1">
      <c r="D158" s="255">
        <v>409</v>
      </c>
      <c r="E158" s="255" t="s">
        <v>642</v>
      </c>
      <c r="F158" s="255">
        <v>2017</v>
      </c>
      <c r="G158" s="255">
        <v>10</v>
      </c>
      <c r="H158" s="255">
        <v>0</v>
      </c>
      <c r="I158" s="255" t="s">
        <v>52</v>
      </c>
      <c r="J158" s="255">
        <v>10</v>
      </c>
      <c r="K158" s="255">
        <f t="shared" si="58"/>
        <v>2027</v>
      </c>
      <c r="L158" s="256">
        <f t="shared" si="59"/>
        <v>2027.8333333333333</v>
      </c>
      <c r="M158" s="257">
        <f>+'2131 Trks - Orig'!N39-'2111 Trks'!M157</f>
        <v>1363.7659999999996</v>
      </c>
      <c r="N158" s="257">
        <f t="shared" si="60"/>
        <v>1363.7659999999996</v>
      </c>
      <c r="O158" s="257">
        <f t="shared" si="61"/>
        <v>11.364716666666665</v>
      </c>
      <c r="P158" s="257">
        <f t="shared" si="62"/>
        <v>136.37659999999997</v>
      </c>
      <c r="Q158" s="342">
        <f t="shared" si="63"/>
        <v>136.37659999999997</v>
      </c>
      <c r="R158" s="341"/>
      <c r="S158" s="342">
        <f t="shared" si="64"/>
        <v>886.44789999999966</v>
      </c>
      <c r="T158" s="139">
        <f t="shared" si="65"/>
        <v>1022.8244999999996</v>
      </c>
      <c r="U158" s="258">
        <f t="shared" si="66"/>
        <v>340.94150000000002</v>
      </c>
      <c r="V158" s="259">
        <f t="shared" si="67"/>
        <v>340.94150000000002</v>
      </c>
    </row>
    <row r="159" spans="2:22">
      <c r="C159" s="3" t="s">
        <v>56</v>
      </c>
      <c r="D159" s="3">
        <v>154</v>
      </c>
      <c r="E159" s="3" t="s">
        <v>272</v>
      </c>
      <c r="F159" s="3">
        <v>2013</v>
      </c>
      <c r="G159" s="3">
        <v>3</v>
      </c>
      <c r="H159" s="3">
        <v>0</v>
      </c>
      <c r="I159" s="3" t="s">
        <v>52</v>
      </c>
      <c r="J159" s="3">
        <v>3</v>
      </c>
      <c r="K159" s="3">
        <f t="shared" si="58"/>
        <v>2016</v>
      </c>
      <c r="L159" s="168">
        <f t="shared" si="59"/>
        <v>2016.25</v>
      </c>
      <c r="M159" s="139">
        <v>10181.32</v>
      </c>
      <c r="N159" s="139">
        <f t="shared" si="60"/>
        <v>10181.32</v>
      </c>
      <c r="O159" s="139">
        <f t="shared" si="61"/>
        <v>282.8144444444444</v>
      </c>
      <c r="P159" s="139">
        <f t="shared" si="62"/>
        <v>3393.7733333333326</v>
      </c>
      <c r="Q159" s="342">
        <f t="shared" si="63"/>
        <v>0</v>
      </c>
      <c r="R159" s="341"/>
      <c r="S159" s="342">
        <f t="shared" si="64"/>
        <v>10181.32</v>
      </c>
      <c r="T159" s="139">
        <f t="shared" si="65"/>
        <v>10181.32</v>
      </c>
      <c r="U159" s="139">
        <f t="shared" si="66"/>
        <v>0</v>
      </c>
      <c r="V159" s="11">
        <f t="shared" si="67"/>
        <v>0</v>
      </c>
    </row>
    <row r="160" spans="2:22">
      <c r="B160" s="3">
        <v>118206</v>
      </c>
      <c r="C160" s="3" t="s">
        <v>56</v>
      </c>
      <c r="D160" s="3">
        <v>422</v>
      </c>
      <c r="E160" s="3" t="s">
        <v>320</v>
      </c>
      <c r="F160" s="3">
        <v>2013</v>
      </c>
      <c r="G160" s="3">
        <v>10</v>
      </c>
      <c r="H160" s="3">
        <v>0</v>
      </c>
      <c r="I160" s="3" t="s">
        <v>52</v>
      </c>
      <c r="J160" s="3">
        <v>7</v>
      </c>
      <c r="K160" s="3">
        <f t="shared" si="58"/>
        <v>2020</v>
      </c>
      <c r="L160" s="168">
        <f t="shared" si="59"/>
        <v>2020.8333333333333</v>
      </c>
      <c r="M160" s="139">
        <f>+'2111 Trks - Orig'!P113</f>
        <v>144932.91200000001</v>
      </c>
      <c r="N160" s="139">
        <f t="shared" si="60"/>
        <v>144932.91200000001</v>
      </c>
      <c r="O160" s="139">
        <f t="shared" si="61"/>
        <v>1725.3918095238096</v>
      </c>
      <c r="P160" s="139">
        <f t="shared" si="62"/>
        <v>20704.701714285715</v>
      </c>
      <c r="Q160" s="342">
        <f t="shared" si="63"/>
        <v>0</v>
      </c>
      <c r="R160" s="341"/>
      <c r="S160" s="342">
        <f t="shared" si="64"/>
        <v>144932.91200000001</v>
      </c>
      <c r="T160" s="139">
        <f t="shared" si="65"/>
        <v>144932.91200000001</v>
      </c>
      <c r="U160" s="139">
        <f t="shared" si="66"/>
        <v>0</v>
      </c>
      <c r="V160" s="11">
        <f t="shared" si="67"/>
        <v>0</v>
      </c>
    </row>
    <row r="161" spans="2:26" s="255" customFormat="1">
      <c r="D161" s="255">
        <v>422</v>
      </c>
      <c r="E161" s="255" t="s">
        <v>885</v>
      </c>
      <c r="F161" s="255">
        <v>2017</v>
      </c>
      <c r="G161" s="255">
        <v>10</v>
      </c>
      <c r="H161" s="255">
        <v>0</v>
      </c>
      <c r="I161" s="255" t="s">
        <v>52</v>
      </c>
      <c r="J161" s="255">
        <v>10</v>
      </c>
      <c r="K161" s="255">
        <f t="shared" si="58"/>
        <v>2027</v>
      </c>
      <c r="L161" s="256">
        <f t="shared" si="59"/>
        <v>2027.8333333333333</v>
      </c>
      <c r="M161" s="257">
        <f>+'2111 Trks - Orig'!N113-'2111 Trks'!M160</f>
        <v>36233.228000000003</v>
      </c>
      <c r="N161" s="257">
        <f t="shared" si="60"/>
        <v>36233.228000000003</v>
      </c>
      <c r="O161" s="257">
        <f t="shared" si="61"/>
        <v>301.9435666666667</v>
      </c>
      <c r="P161" s="257">
        <f t="shared" si="62"/>
        <v>3623.3228000000004</v>
      </c>
      <c r="Q161" s="342">
        <f t="shared" si="63"/>
        <v>3623.3228000000004</v>
      </c>
      <c r="R161" s="341"/>
      <c r="S161" s="342">
        <f t="shared" si="64"/>
        <v>23551.5982</v>
      </c>
      <c r="T161" s="139">
        <f t="shared" si="65"/>
        <v>27174.921000000002</v>
      </c>
      <c r="U161" s="258">
        <f t="shared" si="66"/>
        <v>9058.3070000000007</v>
      </c>
      <c r="V161" s="259">
        <f t="shared" si="67"/>
        <v>9058.3070000000007</v>
      </c>
    </row>
    <row r="162" spans="2:26">
      <c r="B162" s="3">
        <v>128139</v>
      </c>
      <c r="C162" s="3" t="s">
        <v>56</v>
      </c>
      <c r="D162" s="3">
        <v>422</v>
      </c>
      <c r="E162" s="3" t="s">
        <v>334</v>
      </c>
      <c r="F162" s="3">
        <v>2015</v>
      </c>
      <c r="G162" s="3">
        <v>11</v>
      </c>
      <c r="H162" s="3">
        <v>0</v>
      </c>
      <c r="I162" s="3" t="s">
        <v>52</v>
      </c>
      <c r="J162" s="3">
        <v>7</v>
      </c>
      <c r="K162" s="3">
        <f t="shared" si="58"/>
        <v>2022</v>
      </c>
      <c r="L162" s="168">
        <f t="shared" si="59"/>
        <v>2022.9166666666667</v>
      </c>
      <c r="M162" s="139">
        <v>8768.42</v>
      </c>
      <c r="N162" s="139">
        <f t="shared" si="60"/>
        <v>8768.42</v>
      </c>
      <c r="O162" s="139">
        <f t="shared" si="61"/>
        <v>104.38595238095239</v>
      </c>
      <c r="P162" s="139">
        <f t="shared" si="62"/>
        <v>1252.6314285714286</v>
      </c>
      <c r="Q162" s="342">
        <f t="shared" si="63"/>
        <v>0</v>
      </c>
      <c r="R162" s="341"/>
      <c r="S162" s="342">
        <f t="shared" si="64"/>
        <v>8768.42</v>
      </c>
      <c r="T162" s="139">
        <f t="shared" si="65"/>
        <v>8768.42</v>
      </c>
      <c r="U162" s="139">
        <f t="shared" si="66"/>
        <v>0</v>
      </c>
      <c r="V162" s="11">
        <f t="shared" si="67"/>
        <v>0</v>
      </c>
    </row>
    <row r="163" spans="2:26">
      <c r="B163" s="3">
        <v>173322</v>
      </c>
      <c r="C163" s="3" t="s">
        <v>56</v>
      </c>
      <c r="D163" s="3">
        <v>426</v>
      </c>
      <c r="E163" s="3" t="s">
        <v>448</v>
      </c>
      <c r="F163" s="3">
        <v>2016</v>
      </c>
      <c r="G163" s="3">
        <v>8</v>
      </c>
      <c r="H163" s="3">
        <v>0</v>
      </c>
      <c r="I163" s="3" t="s">
        <v>52</v>
      </c>
      <c r="J163" s="3">
        <v>10</v>
      </c>
      <c r="K163" s="3">
        <f t="shared" si="58"/>
        <v>2026</v>
      </c>
      <c r="L163" s="168">
        <f t="shared" si="59"/>
        <v>2026.6666666666667</v>
      </c>
      <c r="M163" s="139">
        <v>222553.29</v>
      </c>
      <c r="N163" s="139">
        <f t="shared" si="60"/>
        <v>222553.29</v>
      </c>
      <c r="O163" s="139">
        <f t="shared" si="61"/>
        <v>1854.6107500000001</v>
      </c>
      <c r="P163" s="139">
        <f t="shared" si="62"/>
        <v>22255.329000000002</v>
      </c>
      <c r="Q163" s="342">
        <f t="shared" si="63"/>
        <v>22255.329000000002</v>
      </c>
      <c r="R163" s="341"/>
      <c r="S163" s="342">
        <f t="shared" si="64"/>
        <v>170624.18899999664</v>
      </c>
      <c r="T163" s="139">
        <f t="shared" si="65"/>
        <v>192879.51799999663</v>
      </c>
      <c r="U163" s="139">
        <f t="shared" si="66"/>
        <v>29673.772000003373</v>
      </c>
      <c r="V163" s="11">
        <f t="shared" si="67"/>
        <v>29673.772000003373</v>
      </c>
    </row>
    <row r="164" spans="2:26">
      <c r="B164" s="3" t="s">
        <v>509</v>
      </c>
      <c r="C164" s="3" t="s">
        <v>56</v>
      </c>
      <c r="D164" s="3">
        <v>409</v>
      </c>
      <c r="E164" s="3" t="s">
        <v>508</v>
      </c>
      <c r="F164" s="3">
        <v>2017</v>
      </c>
      <c r="G164" s="3">
        <v>2</v>
      </c>
      <c r="H164" s="3">
        <v>0</v>
      </c>
      <c r="I164" s="3" t="s">
        <v>52</v>
      </c>
      <c r="J164" s="3">
        <v>3</v>
      </c>
      <c r="K164" s="3">
        <f t="shared" si="58"/>
        <v>2020</v>
      </c>
      <c r="L164" s="168">
        <f t="shared" si="59"/>
        <v>2020.1666666666667</v>
      </c>
      <c r="M164" s="139">
        <v>19762.41</v>
      </c>
      <c r="N164" s="139">
        <f t="shared" si="60"/>
        <v>19762.41</v>
      </c>
      <c r="O164" s="139">
        <f t="shared" si="61"/>
        <v>548.95583333333332</v>
      </c>
      <c r="P164" s="139">
        <f t="shared" si="62"/>
        <v>6587.4699999999993</v>
      </c>
      <c r="Q164" s="342">
        <f t="shared" si="63"/>
        <v>0</v>
      </c>
      <c r="R164" s="341"/>
      <c r="S164" s="342">
        <f t="shared" si="64"/>
        <v>19762.41</v>
      </c>
      <c r="T164" s="139">
        <f t="shared" si="65"/>
        <v>19762.41</v>
      </c>
      <c r="U164" s="139">
        <f t="shared" si="66"/>
        <v>0</v>
      </c>
      <c r="V164" s="11">
        <f t="shared" si="67"/>
        <v>0</v>
      </c>
    </row>
    <row r="165" spans="2:26">
      <c r="B165" s="3">
        <v>25019</v>
      </c>
      <c r="D165" s="3">
        <v>407</v>
      </c>
      <c r="E165" s="3" t="s">
        <v>1040</v>
      </c>
      <c r="F165" s="3">
        <v>2019</v>
      </c>
      <c r="G165" s="3">
        <v>1</v>
      </c>
      <c r="H165" s="3">
        <v>0</v>
      </c>
      <c r="I165" s="3" t="s">
        <v>52</v>
      </c>
      <c r="J165" s="3">
        <v>2.1</v>
      </c>
      <c r="K165" s="3">
        <f t="shared" si="58"/>
        <v>2021.1</v>
      </c>
      <c r="L165" s="168">
        <f t="shared" si="59"/>
        <v>2021.1833333333332</v>
      </c>
      <c r="M165" s="140">
        <v>12383.93</v>
      </c>
      <c r="N165" s="139">
        <f>M165-M165*H165</f>
        <v>12383.93</v>
      </c>
      <c r="O165" s="139">
        <f>N165/J165/12</f>
        <v>491.42579365079365</v>
      </c>
      <c r="P165" s="139">
        <f>+O165*12</f>
        <v>5897.109523809524</v>
      </c>
      <c r="Q165" s="342">
        <f t="shared" si="63"/>
        <v>0</v>
      </c>
      <c r="R165" s="341"/>
      <c r="S165" s="342">
        <f t="shared" si="64"/>
        <v>12383.93</v>
      </c>
      <c r="T165" s="139">
        <f t="shared" si="65"/>
        <v>12383.93</v>
      </c>
      <c r="U165" s="139">
        <f t="shared" si="66"/>
        <v>0</v>
      </c>
      <c r="V165" s="11">
        <f>M165-T165</f>
        <v>0</v>
      </c>
      <c r="Z165" s="266" t="s">
        <v>1340</v>
      </c>
    </row>
    <row r="166" spans="2:26" outlineLevel="1">
      <c r="C166" s="3" t="s">
        <v>56</v>
      </c>
      <c r="D166" s="3">
        <v>444</v>
      </c>
      <c r="E166" s="3" t="s">
        <v>1059</v>
      </c>
      <c r="F166" s="3">
        <v>2019</v>
      </c>
      <c r="G166" s="3">
        <v>9</v>
      </c>
      <c r="H166" s="3">
        <v>0</v>
      </c>
      <c r="I166" s="3" t="s">
        <v>52</v>
      </c>
      <c r="J166" s="3">
        <v>10</v>
      </c>
      <c r="K166" s="3">
        <f>F166+J166</f>
        <v>2029</v>
      </c>
      <c r="L166" s="168">
        <f>+K166+(G166/12)</f>
        <v>2029.75</v>
      </c>
      <c r="M166" s="139">
        <v>260166.77</v>
      </c>
      <c r="N166" s="139">
        <f>M166-M166*H166</f>
        <v>260166.77</v>
      </c>
      <c r="O166" s="139">
        <f>N166/J166/12</f>
        <v>2168.0564166666668</v>
      </c>
      <c r="P166" s="139">
        <f>+O166*12</f>
        <v>26016.677000000003</v>
      </c>
      <c r="Q166" s="342">
        <f t="shared" si="63"/>
        <v>26016.677000000003</v>
      </c>
      <c r="R166" s="341"/>
      <c r="S166" s="342">
        <f t="shared" si="64"/>
        <v>119243.10291666468</v>
      </c>
      <c r="T166" s="139">
        <f t="shared" si="65"/>
        <v>145259.77991666467</v>
      </c>
      <c r="U166" s="139">
        <f>M166-T166</f>
        <v>114906.99008333532</v>
      </c>
      <c r="V166" s="11">
        <f>M166-T166</f>
        <v>114906.99008333532</v>
      </c>
      <c r="W166" s="180" t="s">
        <v>1339</v>
      </c>
      <c r="X166" s="180">
        <v>221748</v>
      </c>
    </row>
    <row r="167" spans="2:26">
      <c r="B167" s="3">
        <v>225229</v>
      </c>
      <c r="D167" s="3">
        <v>445</v>
      </c>
      <c r="E167" s="3" t="s">
        <v>1059</v>
      </c>
      <c r="F167" s="3">
        <v>2019</v>
      </c>
      <c r="G167" s="3">
        <v>12</v>
      </c>
      <c r="H167" s="3">
        <v>0</v>
      </c>
      <c r="I167" s="3" t="s">
        <v>52</v>
      </c>
      <c r="J167" s="3">
        <v>10</v>
      </c>
      <c r="K167" s="3">
        <f t="shared" si="58"/>
        <v>2029</v>
      </c>
      <c r="L167" s="168">
        <f t="shared" si="59"/>
        <v>2030</v>
      </c>
      <c r="M167" s="140">
        <f>222504.59+192.33</f>
        <v>222696.91999999998</v>
      </c>
      <c r="N167" s="139">
        <f>M167-M167*H167</f>
        <v>222696.91999999998</v>
      </c>
      <c r="O167" s="139">
        <f>N167/J167/12</f>
        <v>1855.8076666666666</v>
      </c>
      <c r="P167" s="139">
        <f>+O167*12</f>
        <v>22269.691999999999</v>
      </c>
      <c r="Q167" s="342">
        <f t="shared" si="63"/>
        <v>22269.691999999999</v>
      </c>
      <c r="R167" s="341"/>
      <c r="S167" s="342">
        <f t="shared" si="64"/>
        <v>96501.998666664964</v>
      </c>
      <c r="T167" s="139">
        <f t="shared" si="65"/>
        <v>118771.69066666496</v>
      </c>
      <c r="U167" s="139">
        <f t="shared" si="66"/>
        <v>103925.22933333502</v>
      </c>
      <c r="V167" s="11">
        <f>M167-T167</f>
        <v>103925.22933333502</v>
      </c>
    </row>
    <row r="168" spans="2:26">
      <c r="B168" s="3" t="s">
        <v>1110</v>
      </c>
      <c r="D168" s="3">
        <v>408</v>
      </c>
      <c r="E168" s="3" t="s">
        <v>1111</v>
      </c>
      <c r="F168" s="3">
        <v>2020</v>
      </c>
      <c r="G168" s="3">
        <v>10</v>
      </c>
      <c r="H168" s="3">
        <v>0</v>
      </c>
      <c r="I168" s="3" t="s">
        <v>52</v>
      </c>
      <c r="J168" s="3">
        <v>3</v>
      </c>
      <c r="K168" s="3">
        <f t="shared" si="58"/>
        <v>2023</v>
      </c>
      <c r="L168" s="168">
        <f t="shared" si="59"/>
        <v>2023.8333333333333</v>
      </c>
      <c r="M168" s="139">
        <v>15474.16</v>
      </c>
      <c r="N168" s="139">
        <f>M168-M168*H168</f>
        <v>15474.16</v>
      </c>
      <c r="O168" s="139">
        <f>N168/J168/12</f>
        <v>429.83777777777777</v>
      </c>
      <c r="P168" s="139">
        <f>+O168*12</f>
        <v>5158.0533333333333</v>
      </c>
      <c r="Q168" s="342">
        <f t="shared" si="63"/>
        <v>0</v>
      </c>
      <c r="R168" s="341"/>
      <c r="S168" s="342">
        <f t="shared" si="64"/>
        <v>15474.16</v>
      </c>
      <c r="T168" s="139">
        <f t="shared" si="65"/>
        <v>15474.16</v>
      </c>
      <c r="U168" s="139">
        <f>M168-T168</f>
        <v>0</v>
      </c>
      <c r="V168" s="11">
        <f>M168-T168</f>
        <v>0</v>
      </c>
    </row>
    <row r="171" spans="2:26">
      <c r="L171" s="168"/>
      <c r="M171" s="139"/>
      <c r="N171" s="139"/>
      <c r="O171" s="139"/>
      <c r="P171" s="139"/>
      <c r="Q171" s="139"/>
      <c r="R171" s="139"/>
      <c r="S171" s="139"/>
      <c r="T171" s="139"/>
      <c r="U171" s="139"/>
    </row>
    <row r="172" spans="2:26">
      <c r="E172" s="162" t="s">
        <v>82</v>
      </c>
      <c r="F172" s="162"/>
      <c r="G172" s="162"/>
      <c r="H172" s="162"/>
      <c r="I172" s="162"/>
      <c r="J172" s="162"/>
      <c r="K172" s="162"/>
      <c r="L172" s="176"/>
      <c r="M172" s="163">
        <f>+SUM(M130:M171)</f>
        <v>1472383.74</v>
      </c>
      <c r="N172" s="163">
        <f>+SUM(N130:N171)</f>
        <v>1471292.7272000001</v>
      </c>
      <c r="O172" s="163">
        <f>+SUM(O130:O171)</f>
        <v>15560.676968253967</v>
      </c>
      <c r="P172" s="163">
        <f>+SUM(P130:P171)</f>
        <v>186728.12361904766</v>
      </c>
      <c r="Q172" s="163">
        <f>+SUM(Q130:Q171)</f>
        <v>84549.628400000001</v>
      </c>
      <c r="R172" s="163"/>
      <c r="S172" s="163">
        <f>+SUM(S130:S171)</f>
        <v>1104308.2941833264</v>
      </c>
      <c r="T172" s="163">
        <f>+SUM(T130:T171)</f>
        <v>1188857.922583326</v>
      </c>
      <c r="U172" s="163">
        <f>+SUM(U130:U171)</f>
        <v>283525.8174166737</v>
      </c>
      <c r="V172" s="163">
        <f>+SUM(V130:V171)</f>
        <v>283525.8174166737</v>
      </c>
    </row>
    <row r="173" spans="2:26">
      <c r="L173" s="168"/>
      <c r="M173" s="139"/>
      <c r="N173" s="139"/>
      <c r="O173" s="139"/>
      <c r="P173" s="139"/>
      <c r="Q173" s="139"/>
      <c r="R173" s="139"/>
      <c r="S173" s="139"/>
      <c r="T173" s="139"/>
      <c r="U173" s="139"/>
    </row>
    <row r="174" spans="2:26">
      <c r="L174" s="168"/>
      <c r="M174" s="139"/>
      <c r="N174" s="139"/>
      <c r="O174" s="139"/>
      <c r="P174" s="139"/>
      <c r="Q174" s="139"/>
      <c r="R174" s="139"/>
      <c r="S174" s="139"/>
      <c r="T174" s="139"/>
      <c r="U174" s="139"/>
    </row>
    <row r="175" spans="2:26" ht="15.75">
      <c r="C175" s="3" t="s">
        <v>57</v>
      </c>
      <c r="D175" s="3" t="s">
        <v>57</v>
      </c>
      <c r="E175" s="219" t="s">
        <v>1309</v>
      </c>
      <c r="F175" s="3">
        <v>2008</v>
      </c>
      <c r="G175" s="3">
        <v>1</v>
      </c>
      <c r="H175" s="3">
        <v>0</v>
      </c>
      <c r="I175" s="3" t="s">
        <v>52</v>
      </c>
      <c r="J175" s="3">
        <v>7</v>
      </c>
      <c r="K175" s="3">
        <f>F175+J175</f>
        <v>2015</v>
      </c>
      <c r="L175" s="168"/>
      <c r="M175" s="139">
        <f>+'2111 Trks - Orig'!P122</f>
        <v>102685.552</v>
      </c>
      <c r="N175" s="139">
        <f>M175-M175*H175</f>
        <v>102685.552</v>
      </c>
      <c r="O175" s="139">
        <f>N175/J175/12</f>
        <v>1222.4470476190475</v>
      </c>
      <c r="P175" s="139">
        <f>+O175*12</f>
        <v>14669.36457142857</v>
      </c>
      <c r="Q175" s="342">
        <f t="shared" ref="Q175:Q176" si="68">IF(L175&lt;=$N$6,0,P175)</f>
        <v>0</v>
      </c>
      <c r="R175" s="341"/>
      <c r="S175" s="342">
        <f t="shared" ref="S175:S176" si="69">+IF($L175&lt;=$N$7,$M175,IF(($F175+($G175/12))&gt;=$N$7,0,((($N175-((($L175-$N$7)*12)*$O175))))))</f>
        <v>102685.552</v>
      </c>
      <c r="T175" s="139">
        <f t="shared" ref="T175:T176" si="70">IF(L175&lt;=$N$6,M175,Q175+S175)</f>
        <v>102685.552</v>
      </c>
      <c r="U175" s="139">
        <f>M175-T175</f>
        <v>0</v>
      </c>
    </row>
    <row r="176" spans="2:26" s="255" customFormat="1">
      <c r="D176" s="255" t="s">
        <v>178</v>
      </c>
      <c r="E176" s="255" t="s">
        <v>886</v>
      </c>
      <c r="F176" s="255">
        <v>2017</v>
      </c>
      <c r="G176" s="255">
        <v>10</v>
      </c>
      <c r="H176" s="255">
        <v>0</v>
      </c>
      <c r="I176" s="255" t="s">
        <v>52</v>
      </c>
      <c r="J176" s="255">
        <v>10</v>
      </c>
      <c r="K176" s="255">
        <f>F176+J176</f>
        <v>2027</v>
      </c>
      <c r="L176" s="256">
        <f>+K176+(G176/12)</f>
        <v>2027.8333333333333</v>
      </c>
      <c r="M176" s="257">
        <f>+'2111 Trks - Orig'!N122-'2111 Trks'!M175</f>
        <v>25671.388000000006</v>
      </c>
      <c r="N176" s="257">
        <f>M176-M176*H176</f>
        <v>25671.388000000006</v>
      </c>
      <c r="O176" s="257">
        <f>N176/J176/12</f>
        <v>213.9282333333334</v>
      </c>
      <c r="P176" s="257">
        <f>+O176*12</f>
        <v>2567.1388000000006</v>
      </c>
      <c r="Q176" s="342">
        <f t="shared" si="68"/>
        <v>2567.1388000000006</v>
      </c>
      <c r="R176" s="341"/>
      <c r="S176" s="342">
        <f t="shared" si="69"/>
        <v>16686.402200000004</v>
      </c>
      <c r="T176" s="139">
        <f t="shared" si="70"/>
        <v>19253.541000000005</v>
      </c>
      <c r="U176" s="258">
        <f>M176-T176</f>
        <v>6417.8470000000016</v>
      </c>
      <c r="V176" s="259">
        <f>M176-T176</f>
        <v>6417.8470000000016</v>
      </c>
    </row>
    <row r="177" spans="1:53">
      <c r="L177" s="168"/>
      <c r="M177" s="139"/>
      <c r="N177" s="139"/>
      <c r="O177" s="139"/>
      <c r="P177" s="139"/>
      <c r="Q177" s="139"/>
      <c r="R177" s="139"/>
      <c r="S177" s="139"/>
      <c r="T177" s="139"/>
      <c r="U177" s="139"/>
    </row>
    <row r="178" spans="1:53">
      <c r="E178" s="162" t="s">
        <v>1310</v>
      </c>
      <c r="F178" s="162"/>
      <c r="G178" s="162"/>
      <c r="H178" s="162"/>
      <c r="I178" s="162"/>
      <c r="J178" s="162"/>
      <c r="K178" s="162"/>
      <c r="L178" s="176"/>
      <c r="M178" s="163">
        <f>+SUM(M175:M177)</f>
        <v>128356.94</v>
      </c>
      <c r="N178" s="163">
        <f>+SUM(N175:N177)</f>
        <v>128356.94</v>
      </c>
      <c r="O178" s="163">
        <f>+SUM(O175:O177)</f>
        <v>1436.3752809523808</v>
      </c>
      <c r="P178" s="163">
        <f>+SUM(P175:P177)</f>
        <v>17236.503371428571</v>
      </c>
      <c r="Q178" s="163">
        <f>+SUM(Q175:Q177)</f>
        <v>2567.1388000000006</v>
      </c>
      <c r="R178" s="163"/>
      <c r="S178" s="163">
        <f>+SUM(S175:S177)</f>
        <v>119371.95420000001</v>
      </c>
      <c r="T178" s="163">
        <f>+SUM(T175:T177)</f>
        <v>121939.09299999999</v>
      </c>
      <c r="U178" s="163">
        <f>+SUM(U175:U177)</f>
        <v>6417.8470000000016</v>
      </c>
      <c r="V178" s="163">
        <f>+SUM(V175:V177)</f>
        <v>6417.8470000000016</v>
      </c>
    </row>
    <row r="179" spans="1:53">
      <c r="L179" s="168"/>
      <c r="M179" s="139"/>
      <c r="N179" s="139"/>
      <c r="O179" s="139"/>
      <c r="P179" s="139"/>
      <c r="Q179" s="139"/>
      <c r="R179" s="139"/>
      <c r="S179" s="139"/>
      <c r="T179" s="139"/>
      <c r="U179" s="139"/>
    </row>
    <row r="180" spans="1:53">
      <c r="E180" s="162" t="s">
        <v>210</v>
      </c>
      <c r="F180" s="162"/>
      <c r="G180" s="162"/>
      <c r="H180" s="162"/>
      <c r="I180" s="162"/>
      <c r="J180" s="162"/>
      <c r="K180" s="162"/>
      <c r="L180" s="176"/>
      <c r="M180" s="163">
        <f>+M101+M117+M127+M172+M178</f>
        <v>13810491.644999994</v>
      </c>
      <c r="N180" s="163">
        <f>+N101+N117+N127+N172+N178</f>
        <v>13809400.632199993</v>
      </c>
      <c r="O180" s="163">
        <f>+O101+O117+O127+O172+O178</f>
        <v>133447.34396798103</v>
      </c>
      <c r="P180" s="163">
        <f>+P101+P117+P127+P172+P178</f>
        <v>1601368.127615772</v>
      </c>
      <c r="Q180" s="163">
        <f>+Q101+Q117+Q127+Q172+Q178</f>
        <v>1097737.8598624386</v>
      </c>
      <c r="R180" s="163"/>
      <c r="S180" s="163">
        <f>+S101+S117+S127+S172+S178</f>
        <v>9555245.0181487687</v>
      </c>
      <c r="T180" s="163">
        <f>+T101+T117+T127+T172+T178</f>
        <v>10659417.394455651</v>
      </c>
      <c r="U180" s="163">
        <f>+U101+U117+U127+U172+U178</f>
        <v>3048346.5787110091</v>
      </c>
      <c r="V180" s="163">
        <f>+V101+V117+V127+V172+V178</f>
        <v>3048346.5787110091</v>
      </c>
    </row>
    <row r="181" spans="1:53">
      <c r="L181" s="168"/>
      <c r="M181" s="139"/>
      <c r="N181" s="139"/>
      <c r="O181" s="139"/>
      <c r="P181" s="139"/>
      <c r="Q181" s="139"/>
      <c r="R181" s="139"/>
      <c r="S181" s="139"/>
      <c r="T181" s="139"/>
      <c r="U181" s="139"/>
    </row>
    <row r="182" spans="1:53">
      <c r="E182" s="9" t="s">
        <v>1028</v>
      </c>
      <c r="L182" s="168"/>
      <c r="M182" s="139"/>
      <c r="N182" s="139"/>
      <c r="O182" s="139"/>
      <c r="P182" s="139"/>
      <c r="Q182" s="342">
        <f t="shared" ref="Q182:Q190" si="71">IF(L182&lt;=$N$6,0,P182)</f>
        <v>0</v>
      </c>
      <c r="R182" s="341"/>
      <c r="S182" s="342">
        <f t="shared" ref="S182:S190" si="72">+IF($L182&lt;=$N$7,$M182,IF(($F182+($G182/12))&gt;=$N$7,0,((($N182-((($L182-$N$7)*12)*$O182))))))</f>
        <v>0</v>
      </c>
      <c r="T182" s="139">
        <f t="shared" ref="T182:T190" si="73">IF(L182&lt;=$N$6,M182,Q182+S182)</f>
        <v>0</v>
      </c>
      <c r="U182" s="139"/>
    </row>
    <row r="183" spans="1:53" s="255" customFormat="1">
      <c r="A183" s="3"/>
      <c r="B183" s="3">
        <v>102188</v>
      </c>
      <c r="C183" s="3" t="s">
        <v>88</v>
      </c>
      <c r="D183" s="3">
        <v>624</v>
      </c>
      <c r="E183" s="3" t="s">
        <v>240</v>
      </c>
      <c r="F183" s="3">
        <v>2009</v>
      </c>
      <c r="G183" s="3">
        <v>5</v>
      </c>
      <c r="H183" s="3">
        <v>0</v>
      </c>
      <c r="I183" s="3" t="s">
        <v>52</v>
      </c>
      <c r="J183" s="3">
        <v>5</v>
      </c>
      <c r="K183" s="3">
        <f t="shared" ref="K183:K190" si="74">F183+J183</f>
        <v>2014</v>
      </c>
      <c r="L183" s="168">
        <f t="shared" ref="L183:L190" si="75">+K183+(G183/12)</f>
        <v>2014.4166666666667</v>
      </c>
      <c r="M183" s="139">
        <f>+'2111 Trks - Orig'!P132</f>
        <v>195507.34</v>
      </c>
      <c r="N183" s="139">
        <f t="shared" ref="N183:N190" si="76">M183-M183*H183</f>
        <v>195507.34</v>
      </c>
      <c r="O183" s="139">
        <f t="shared" ref="O183:O190" si="77">N183/J183/12</f>
        <v>3258.4556666666667</v>
      </c>
      <c r="P183" s="139">
        <f t="shared" ref="P183:P190" si="78">+O183*12</f>
        <v>39101.468000000001</v>
      </c>
      <c r="Q183" s="342">
        <f t="shared" si="71"/>
        <v>0</v>
      </c>
      <c r="R183" s="341"/>
      <c r="S183" s="342">
        <f t="shared" si="72"/>
        <v>195507.34</v>
      </c>
      <c r="T183" s="139">
        <f t="shared" si="73"/>
        <v>195507.34</v>
      </c>
      <c r="U183" s="139">
        <f t="shared" ref="U183:U190" si="79">M183-T183</f>
        <v>0</v>
      </c>
      <c r="V183" s="171">
        <f t="shared" ref="V183:V190" si="80">M183-T183</f>
        <v>0</v>
      </c>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row>
    <row r="184" spans="1:53">
      <c r="A184" s="255"/>
      <c r="B184" s="255"/>
      <c r="C184" s="255"/>
      <c r="D184" s="255">
        <v>624</v>
      </c>
      <c r="E184" s="255" t="s">
        <v>644</v>
      </c>
      <c r="F184" s="255">
        <v>2017</v>
      </c>
      <c r="G184" s="255">
        <v>10</v>
      </c>
      <c r="H184" s="255">
        <v>0</v>
      </c>
      <c r="I184" s="255" t="s">
        <v>52</v>
      </c>
      <c r="J184" s="255">
        <v>10</v>
      </c>
      <c r="K184" s="255">
        <f t="shared" si="74"/>
        <v>2027</v>
      </c>
      <c r="L184" s="256">
        <f t="shared" si="75"/>
        <v>2027.8333333333333</v>
      </c>
      <c r="M184" s="257">
        <f>+'2111 Trks - Orig'!N132-'2111 Trks'!M183</f>
        <v>96294.66</v>
      </c>
      <c r="N184" s="257">
        <f t="shared" si="76"/>
        <v>96294.66</v>
      </c>
      <c r="O184" s="257">
        <f t="shared" si="77"/>
        <v>802.45550000000003</v>
      </c>
      <c r="P184" s="257">
        <f t="shared" si="78"/>
        <v>9629.4660000000003</v>
      </c>
      <c r="Q184" s="342">
        <f t="shared" si="71"/>
        <v>9629.4660000000003</v>
      </c>
      <c r="R184" s="341"/>
      <c r="S184" s="342">
        <f t="shared" si="72"/>
        <v>62591.529000000002</v>
      </c>
      <c r="T184" s="139">
        <f t="shared" si="73"/>
        <v>72220.994999999995</v>
      </c>
      <c r="U184" s="258">
        <f t="shared" si="79"/>
        <v>24073.665000000008</v>
      </c>
      <c r="V184" s="259">
        <f t="shared" si="80"/>
        <v>24073.665000000008</v>
      </c>
      <c r="W184" s="255"/>
      <c r="X184" s="255"/>
      <c r="Y184" s="255"/>
      <c r="Z184" s="255"/>
      <c r="AA184" s="255"/>
      <c r="AB184" s="255"/>
      <c r="AC184" s="255"/>
      <c r="AD184" s="255"/>
      <c r="AE184" s="255"/>
      <c r="AF184" s="255"/>
      <c r="AG184" s="255"/>
      <c r="AH184" s="255"/>
      <c r="AI184" s="255"/>
      <c r="AJ184" s="255"/>
      <c r="AK184" s="255"/>
      <c r="AL184" s="255"/>
      <c r="AM184" s="255"/>
      <c r="AN184" s="255"/>
      <c r="AO184" s="255"/>
      <c r="AP184" s="255"/>
      <c r="AQ184" s="255"/>
      <c r="AR184" s="255"/>
      <c r="AS184" s="255"/>
      <c r="AT184" s="255"/>
      <c r="AU184" s="255"/>
      <c r="AV184" s="255"/>
      <c r="AW184" s="255"/>
      <c r="AX184" s="255"/>
      <c r="AY184" s="255"/>
      <c r="AZ184" s="255"/>
      <c r="BA184" s="255"/>
    </row>
    <row r="185" spans="1:53">
      <c r="B185" s="3">
        <v>89625</v>
      </c>
      <c r="C185" s="3" t="s">
        <v>55</v>
      </c>
      <c r="D185" s="3">
        <v>908</v>
      </c>
      <c r="E185" s="3" t="s">
        <v>207</v>
      </c>
      <c r="F185" s="3">
        <v>2011</v>
      </c>
      <c r="G185" s="3">
        <v>12</v>
      </c>
      <c r="H185" s="3">
        <v>0</v>
      </c>
      <c r="I185" s="3" t="s">
        <v>52</v>
      </c>
      <c r="J185" s="3">
        <v>7</v>
      </c>
      <c r="K185" s="3">
        <f t="shared" si="74"/>
        <v>2018</v>
      </c>
      <c r="L185" s="168">
        <f t="shared" si="75"/>
        <v>2019</v>
      </c>
      <c r="M185" s="139">
        <f>'2111 Trks - Orig'!P36</f>
        <v>227720.2</v>
      </c>
      <c r="N185" s="139">
        <f t="shared" si="76"/>
        <v>227720.2</v>
      </c>
      <c r="O185" s="139">
        <f t="shared" si="77"/>
        <v>2710.9547619047621</v>
      </c>
      <c r="P185" s="139">
        <f t="shared" si="78"/>
        <v>32531.457142857143</v>
      </c>
      <c r="Q185" s="342">
        <f t="shared" si="71"/>
        <v>0</v>
      </c>
      <c r="R185" s="341"/>
      <c r="S185" s="342">
        <f t="shared" si="72"/>
        <v>227720.2</v>
      </c>
      <c r="T185" s="139">
        <f t="shared" si="73"/>
        <v>227720.2</v>
      </c>
      <c r="U185" s="139">
        <f t="shared" si="79"/>
        <v>0</v>
      </c>
      <c r="V185" s="11">
        <f t="shared" si="80"/>
        <v>0</v>
      </c>
    </row>
    <row r="186" spans="1:53">
      <c r="A186" s="255"/>
      <c r="B186" s="255"/>
      <c r="C186" s="255"/>
      <c r="D186" s="255">
        <v>908</v>
      </c>
      <c r="E186" s="255" t="s">
        <v>636</v>
      </c>
      <c r="F186" s="255">
        <v>2017</v>
      </c>
      <c r="G186" s="255">
        <v>10</v>
      </c>
      <c r="H186" s="255">
        <v>0</v>
      </c>
      <c r="I186" s="255" t="s">
        <v>52</v>
      </c>
      <c r="J186" s="255">
        <v>10</v>
      </c>
      <c r="K186" s="255">
        <f t="shared" si="74"/>
        <v>2027</v>
      </c>
      <c r="L186" s="256">
        <f t="shared" si="75"/>
        <v>2027.8333333333333</v>
      </c>
      <c r="M186" s="257">
        <f>'2111 Trks - Orig'!N36-M185</f>
        <v>56930.049999999988</v>
      </c>
      <c r="N186" s="257">
        <f t="shared" si="76"/>
        <v>56930.049999999988</v>
      </c>
      <c r="O186" s="257">
        <f t="shared" si="77"/>
        <v>474.41708333333327</v>
      </c>
      <c r="P186" s="257">
        <f t="shared" si="78"/>
        <v>5693.0049999999992</v>
      </c>
      <c r="Q186" s="342">
        <f t="shared" si="71"/>
        <v>5693.0049999999992</v>
      </c>
      <c r="R186" s="341"/>
      <c r="S186" s="342">
        <f t="shared" si="72"/>
        <v>37004.532499999987</v>
      </c>
      <c r="T186" s="139">
        <f t="shared" si="73"/>
        <v>42697.537499999984</v>
      </c>
      <c r="U186" s="258">
        <f t="shared" si="79"/>
        <v>14232.512500000004</v>
      </c>
      <c r="V186" s="259">
        <f t="shared" si="80"/>
        <v>14232.512500000004</v>
      </c>
      <c r="W186" s="255"/>
      <c r="X186" s="255"/>
      <c r="Y186" s="255"/>
      <c r="Z186" s="255"/>
      <c r="AA186" s="255"/>
      <c r="AB186" s="255"/>
      <c r="AC186" s="255"/>
      <c r="AD186" s="255"/>
      <c r="AE186" s="255"/>
      <c r="AF186" s="255"/>
      <c r="AG186" s="255"/>
      <c r="AH186" s="255"/>
      <c r="AI186" s="255"/>
      <c r="AJ186" s="255"/>
      <c r="AK186" s="255"/>
      <c r="AL186" s="255"/>
      <c r="AM186" s="255"/>
      <c r="AN186" s="255"/>
      <c r="AO186" s="255"/>
      <c r="AP186" s="255"/>
      <c r="AQ186" s="255"/>
      <c r="AR186" s="255"/>
      <c r="AS186" s="255"/>
      <c r="AT186" s="255"/>
      <c r="AU186" s="255"/>
      <c r="AV186" s="255"/>
      <c r="AW186" s="255"/>
      <c r="AX186" s="255"/>
      <c r="AY186" s="255"/>
      <c r="AZ186" s="255"/>
      <c r="BA186" s="255"/>
    </row>
    <row r="187" spans="1:53" s="255" customFormat="1">
      <c r="A187" s="3"/>
      <c r="B187" s="3" t="s">
        <v>1162</v>
      </c>
      <c r="C187" s="3"/>
      <c r="D187" s="3">
        <v>917</v>
      </c>
      <c r="E187" s="3" t="s">
        <v>1164</v>
      </c>
      <c r="F187" s="3">
        <v>2021</v>
      </c>
      <c r="G187" s="3">
        <v>5</v>
      </c>
      <c r="H187" s="3">
        <v>0</v>
      </c>
      <c r="I187" s="3" t="s">
        <v>52</v>
      </c>
      <c r="J187" s="3">
        <v>10</v>
      </c>
      <c r="K187" s="3">
        <f t="shared" si="74"/>
        <v>2031</v>
      </c>
      <c r="L187" s="168">
        <f t="shared" si="75"/>
        <v>2031.4166666666667</v>
      </c>
      <c r="M187" s="139">
        <v>159549.45000000001</v>
      </c>
      <c r="N187" s="139">
        <f t="shared" si="76"/>
        <v>159549.45000000001</v>
      </c>
      <c r="O187" s="139">
        <f t="shared" si="77"/>
        <v>1329.5787500000001</v>
      </c>
      <c r="P187" s="139">
        <f t="shared" si="78"/>
        <v>15954.945000000002</v>
      </c>
      <c r="Q187" s="342">
        <f t="shared" si="71"/>
        <v>15954.945000000002</v>
      </c>
      <c r="R187" s="341"/>
      <c r="S187" s="342">
        <f t="shared" si="72"/>
        <v>46535.256249997576</v>
      </c>
      <c r="T187" s="139">
        <f t="shared" si="73"/>
        <v>62490.201249997575</v>
      </c>
      <c r="U187" s="139">
        <f t="shared" si="79"/>
        <v>97059.248750002444</v>
      </c>
      <c r="V187" s="11">
        <f t="shared" si="80"/>
        <v>97059.248750002444</v>
      </c>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row>
    <row r="188" spans="1:53">
      <c r="B188" s="3">
        <v>252175</v>
      </c>
      <c r="D188" s="3">
        <v>917</v>
      </c>
      <c r="E188" s="3" t="s">
        <v>1165</v>
      </c>
      <c r="F188" s="3">
        <v>2021</v>
      </c>
      <c r="G188" s="3">
        <v>5</v>
      </c>
      <c r="H188" s="3">
        <v>0</v>
      </c>
      <c r="I188" s="3" t="s">
        <v>52</v>
      </c>
      <c r="J188" s="3">
        <v>10</v>
      </c>
      <c r="K188" s="3">
        <f t="shared" si="74"/>
        <v>2031</v>
      </c>
      <c r="L188" s="168">
        <f t="shared" si="75"/>
        <v>2031.4166666666667</v>
      </c>
      <c r="M188" s="139">
        <v>183322.84</v>
      </c>
      <c r="N188" s="139">
        <f t="shared" si="76"/>
        <v>183322.84</v>
      </c>
      <c r="O188" s="139">
        <f t="shared" si="77"/>
        <v>1527.6903333333332</v>
      </c>
      <c r="P188" s="139">
        <f t="shared" si="78"/>
        <v>18332.284</v>
      </c>
      <c r="Q188" s="342">
        <f t="shared" si="71"/>
        <v>18332.284</v>
      </c>
      <c r="R188" s="341"/>
      <c r="S188" s="342">
        <f t="shared" si="72"/>
        <v>53469.161666663887</v>
      </c>
      <c r="T188" s="139">
        <f t="shared" si="73"/>
        <v>71801.445666663887</v>
      </c>
      <c r="U188" s="139">
        <f t="shared" si="79"/>
        <v>111521.39433333611</v>
      </c>
      <c r="V188" s="11">
        <f t="shared" si="80"/>
        <v>111521.39433333611</v>
      </c>
    </row>
    <row r="189" spans="1:53">
      <c r="B189" s="3" t="s">
        <v>1161</v>
      </c>
      <c r="D189" s="3">
        <v>916</v>
      </c>
      <c r="E189" s="3" t="s">
        <v>1163</v>
      </c>
      <c r="F189" s="3">
        <v>2021</v>
      </c>
      <c r="G189" s="3">
        <v>5</v>
      </c>
      <c r="H189" s="3">
        <v>0</v>
      </c>
      <c r="I189" s="3" t="s">
        <v>52</v>
      </c>
      <c r="J189" s="3">
        <v>10</v>
      </c>
      <c r="K189" s="3">
        <f t="shared" si="74"/>
        <v>2031</v>
      </c>
      <c r="L189" s="168">
        <f t="shared" si="75"/>
        <v>2031.4166666666667</v>
      </c>
      <c r="M189" s="139">
        <v>159549.45000000001</v>
      </c>
      <c r="N189" s="139">
        <f t="shared" si="76"/>
        <v>159549.45000000001</v>
      </c>
      <c r="O189" s="139">
        <f t="shared" si="77"/>
        <v>1329.5787500000001</v>
      </c>
      <c r="P189" s="139">
        <f t="shared" si="78"/>
        <v>15954.945000000002</v>
      </c>
      <c r="Q189" s="342">
        <f t="shared" si="71"/>
        <v>15954.945000000002</v>
      </c>
      <c r="R189" s="341"/>
      <c r="S189" s="342">
        <f t="shared" si="72"/>
        <v>46535.256249997576</v>
      </c>
      <c r="T189" s="139">
        <f t="shared" si="73"/>
        <v>62490.201249997575</v>
      </c>
      <c r="U189" s="139">
        <f t="shared" si="79"/>
        <v>97059.248750002444</v>
      </c>
      <c r="V189" s="11">
        <f t="shared" si="80"/>
        <v>97059.248750002444</v>
      </c>
    </row>
    <row r="190" spans="1:53">
      <c r="B190" s="3">
        <v>252176</v>
      </c>
      <c r="D190" s="3">
        <v>916</v>
      </c>
      <c r="E190" s="3" t="s">
        <v>1165</v>
      </c>
      <c r="F190" s="3">
        <v>2021</v>
      </c>
      <c r="G190" s="3">
        <v>5</v>
      </c>
      <c r="H190" s="3">
        <v>0</v>
      </c>
      <c r="I190" s="3" t="s">
        <v>52</v>
      </c>
      <c r="J190" s="3">
        <v>10</v>
      </c>
      <c r="K190" s="3">
        <f t="shared" si="74"/>
        <v>2031</v>
      </c>
      <c r="L190" s="168">
        <f t="shared" si="75"/>
        <v>2031.4166666666667</v>
      </c>
      <c r="M190" s="139">
        <v>183322.84</v>
      </c>
      <c r="N190" s="139">
        <f t="shared" si="76"/>
        <v>183322.84</v>
      </c>
      <c r="O190" s="139">
        <f t="shared" si="77"/>
        <v>1527.6903333333332</v>
      </c>
      <c r="P190" s="139">
        <f t="shared" si="78"/>
        <v>18332.284</v>
      </c>
      <c r="Q190" s="342">
        <f t="shared" si="71"/>
        <v>18332.284</v>
      </c>
      <c r="R190" s="341"/>
      <c r="S190" s="342">
        <f t="shared" si="72"/>
        <v>53469.161666663887</v>
      </c>
      <c r="T190" s="139">
        <f t="shared" si="73"/>
        <v>71801.445666663887</v>
      </c>
      <c r="U190" s="139">
        <f t="shared" si="79"/>
        <v>111521.39433333611</v>
      </c>
      <c r="V190" s="11">
        <f t="shared" si="80"/>
        <v>111521.39433333611</v>
      </c>
    </row>
    <row r="191" spans="1:53">
      <c r="L191" s="168"/>
      <c r="M191" s="139"/>
      <c r="N191" s="139"/>
      <c r="O191" s="139"/>
      <c r="P191" s="139"/>
      <c r="Q191" s="139"/>
      <c r="R191" s="139"/>
      <c r="S191" s="139"/>
      <c r="T191" s="139"/>
      <c r="U191" s="139"/>
    </row>
    <row r="192" spans="1:53">
      <c r="E192" s="162" t="s">
        <v>90</v>
      </c>
      <c r="F192" s="162"/>
      <c r="G192" s="162"/>
      <c r="H192" s="162"/>
      <c r="I192" s="162"/>
      <c r="J192" s="162"/>
      <c r="K192" s="162"/>
      <c r="L192" s="176"/>
      <c r="M192" s="163">
        <f>SUM(M183:M191)</f>
        <v>1262196.83</v>
      </c>
      <c r="N192" s="163">
        <f>SUM(N183:N191)</f>
        <v>1262196.83</v>
      </c>
      <c r="O192" s="163">
        <f>SUM(O183:O191)</f>
        <v>12960.821178571432</v>
      </c>
      <c r="P192" s="163">
        <f>SUM(P183:P191)</f>
        <v>155529.85414285713</v>
      </c>
      <c r="Q192" s="163">
        <f>SUM(Q183:Q191)</f>
        <v>83896.929000000004</v>
      </c>
      <c r="R192" s="163"/>
      <c r="S192" s="163">
        <f>SUM(S183:S191)</f>
        <v>722832.43733332283</v>
      </c>
      <c r="T192" s="163">
        <f>SUM(T183:T191)</f>
        <v>806729.36633332307</v>
      </c>
      <c r="U192" s="163">
        <f>SUM(U183:U191)</f>
        <v>455467.46366667707</v>
      </c>
      <c r="V192" s="163">
        <f>SUM(V183:V191)</f>
        <v>455467.46366667707</v>
      </c>
    </row>
    <row r="193" spans="2:24">
      <c r="D193" s="3" t="s">
        <v>57</v>
      </c>
      <c r="L193" s="168"/>
      <c r="M193" s="139"/>
      <c r="N193" s="139"/>
      <c r="O193" s="139"/>
      <c r="P193" s="139"/>
      <c r="Q193" s="139"/>
      <c r="R193" s="139"/>
      <c r="S193" s="139"/>
      <c r="T193" s="139"/>
      <c r="U193" s="139"/>
    </row>
    <row r="194" spans="2:24">
      <c r="L194" s="168"/>
      <c r="M194" s="139"/>
      <c r="N194" s="139"/>
      <c r="O194" s="139"/>
      <c r="P194" s="139"/>
      <c r="Q194" s="139"/>
      <c r="R194" s="139"/>
      <c r="S194" s="139"/>
      <c r="T194" s="139"/>
      <c r="U194" s="139"/>
    </row>
    <row r="195" spans="2:24">
      <c r="E195" s="1" t="s">
        <v>1066</v>
      </c>
      <c r="L195" s="168"/>
      <c r="M195" s="139"/>
      <c r="N195" s="139"/>
      <c r="O195" s="139"/>
      <c r="P195" s="139"/>
      <c r="Q195" s="139"/>
      <c r="R195" s="139"/>
      <c r="S195" s="139"/>
      <c r="T195" s="139"/>
      <c r="U195" s="139"/>
    </row>
    <row r="196" spans="2:24">
      <c r="B196" s="328">
        <v>225267</v>
      </c>
      <c r="C196" s="329"/>
      <c r="D196" s="3">
        <v>859</v>
      </c>
      <c r="E196" s="330" t="s">
        <v>1068</v>
      </c>
      <c r="F196" s="3">
        <v>2019</v>
      </c>
      <c r="G196" s="3">
        <v>12</v>
      </c>
      <c r="H196" s="3">
        <v>0</v>
      </c>
      <c r="I196" s="3" t="s">
        <v>52</v>
      </c>
      <c r="J196" s="3">
        <v>10</v>
      </c>
      <c r="K196" s="3">
        <f>F196+J196</f>
        <v>2029</v>
      </c>
      <c r="L196" s="168">
        <f>+K196+(G196/12)</f>
        <v>2030</v>
      </c>
      <c r="M196" s="139">
        <v>360568.03</v>
      </c>
      <c r="N196" s="139">
        <f>M196-M196*H196</f>
        <v>360568.03</v>
      </c>
      <c r="O196" s="139">
        <f>N196/J196/12</f>
        <v>3004.7335833333332</v>
      </c>
      <c r="P196" s="139">
        <f>+O196*12</f>
        <v>36056.803</v>
      </c>
      <c r="Q196" s="342">
        <f t="shared" ref="Q196:Q253" si="81">IF(L196&lt;=$N$6,0,P196)</f>
        <v>36056.803</v>
      </c>
      <c r="R196" s="341"/>
      <c r="S196" s="342">
        <f t="shared" ref="S196:S253" si="82">+IF($L196&lt;=$N$7,$M196,IF(($F196+($G196/12))&gt;=$N$7,0,((($N196-((($L196-$N$7)*12)*$O196))))))</f>
        <v>156246.14633333063</v>
      </c>
      <c r="T196" s="139">
        <f t="shared" ref="T196:T253" si="83">IF(L196&lt;=$N$6,M196,Q196+S196)</f>
        <v>192302.94933333062</v>
      </c>
      <c r="U196" s="139">
        <f>M196-T196</f>
        <v>168265.08066666941</v>
      </c>
      <c r="V196" s="11">
        <f>M196-T196</f>
        <v>168265.08066666941</v>
      </c>
    </row>
    <row r="197" spans="2:24">
      <c r="B197" s="328">
        <v>224757</v>
      </c>
      <c r="C197" s="329"/>
      <c r="D197" s="3">
        <v>858</v>
      </c>
      <c r="E197" s="330" t="s">
        <v>1068</v>
      </c>
      <c r="F197" s="3">
        <v>2019</v>
      </c>
      <c r="G197" s="3">
        <v>12</v>
      </c>
      <c r="H197" s="3">
        <v>0</v>
      </c>
      <c r="I197" s="3" t="s">
        <v>52</v>
      </c>
      <c r="J197" s="3">
        <v>10</v>
      </c>
      <c r="K197" s="3">
        <f>F197+J197</f>
        <v>2029</v>
      </c>
      <c r="L197" s="168">
        <f>+K197+(G197/12)</f>
        <v>2030</v>
      </c>
      <c r="M197" s="139">
        <v>360568.03</v>
      </c>
      <c r="N197" s="139">
        <f>M197-M197*H197</f>
        <v>360568.03</v>
      </c>
      <c r="O197" s="139">
        <f>N197/J197/12</f>
        <v>3004.7335833333332</v>
      </c>
      <c r="P197" s="139">
        <f>+O197*12</f>
        <v>36056.803</v>
      </c>
      <c r="Q197" s="342">
        <f t="shared" si="81"/>
        <v>36056.803</v>
      </c>
      <c r="R197" s="341"/>
      <c r="S197" s="342">
        <f t="shared" si="82"/>
        <v>156246.14633333063</v>
      </c>
      <c r="T197" s="139">
        <f t="shared" si="83"/>
        <v>192302.94933333062</v>
      </c>
      <c r="U197" s="139">
        <f>M197-T197</f>
        <v>168265.08066666941</v>
      </c>
      <c r="V197" s="11">
        <f>M197-T197</f>
        <v>168265.08066666941</v>
      </c>
    </row>
    <row r="198" spans="2:24">
      <c r="B198" s="328">
        <v>278078</v>
      </c>
      <c r="C198" s="329" t="s">
        <v>944</v>
      </c>
      <c r="D198" s="3">
        <v>819</v>
      </c>
      <c r="E198" s="3" t="s">
        <v>1237</v>
      </c>
      <c r="F198" s="3">
        <v>2010</v>
      </c>
      <c r="G198" s="3">
        <v>9</v>
      </c>
      <c r="H198" s="3">
        <v>0</v>
      </c>
      <c r="I198" s="3" t="s">
        <v>52</v>
      </c>
      <c r="J198" s="3">
        <v>10</v>
      </c>
      <c r="K198" s="3">
        <f t="shared" ref="K198:K209" si="84">F198+J198</f>
        <v>2020</v>
      </c>
      <c r="L198" s="168">
        <f t="shared" ref="L198:L209" si="85">+K198+(G198/12)</f>
        <v>2020.75</v>
      </c>
      <c r="M198" s="139">
        <f>143529.4</f>
        <v>143529.4</v>
      </c>
      <c r="N198" s="139">
        <f t="shared" ref="N198:N209" si="86">M198-M198*H198</f>
        <v>143529.4</v>
      </c>
      <c r="O198" s="139">
        <f t="shared" ref="O198:O209" si="87">N198/J198/12</f>
        <v>1196.0783333333331</v>
      </c>
      <c r="P198" s="139">
        <f t="shared" ref="P198:P209" si="88">+O198*12</f>
        <v>14352.939999999999</v>
      </c>
      <c r="Q198" s="342">
        <f t="shared" si="81"/>
        <v>0</v>
      </c>
      <c r="R198" s="341"/>
      <c r="S198" s="342">
        <f t="shared" si="82"/>
        <v>143529.4</v>
      </c>
      <c r="T198" s="139">
        <f t="shared" si="83"/>
        <v>143529.4</v>
      </c>
      <c r="U198" s="139">
        <f t="shared" ref="U198:U209" si="89">M198-T198</f>
        <v>0</v>
      </c>
      <c r="V198" s="11">
        <f t="shared" ref="V198:V209" si="90">M198-T198</f>
        <v>0</v>
      </c>
      <c r="W198" s="180"/>
      <c r="X198" s="180"/>
    </row>
    <row r="199" spans="2:24">
      <c r="B199" s="328">
        <v>278079</v>
      </c>
      <c r="C199" s="329">
        <v>278078</v>
      </c>
      <c r="D199" s="3">
        <v>819</v>
      </c>
      <c r="E199" s="3" t="s">
        <v>1238</v>
      </c>
      <c r="F199" s="3">
        <v>2010</v>
      </c>
      <c r="G199" s="3">
        <v>9</v>
      </c>
      <c r="H199" s="3">
        <v>0</v>
      </c>
      <c r="I199" s="3" t="s">
        <v>52</v>
      </c>
      <c r="J199" s="3">
        <v>10</v>
      </c>
      <c r="K199" s="3">
        <f t="shared" si="84"/>
        <v>2020</v>
      </c>
      <c r="L199" s="168">
        <f t="shared" si="85"/>
        <v>2020.75</v>
      </c>
      <c r="M199" s="139">
        <f>1916.25</f>
        <v>1916.25</v>
      </c>
      <c r="N199" s="139">
        <f t="shared" si="86"/>
        <v>1916.25</v>
      </c>
      <c r="O199" s="139">
        <f t="shared" si="87"/>
        <v>15.96875</v>
      </c>
      <c r="P199" s="139">
        <f t="shared" si="88"/>
        <v>191.625</v>
      </c>
      <c r="Q199" s="342">
        <f t="shared" si="81"/>
        <v>0</v>
      </c>
      <c r="R199" s="341"/>
      <c r="S199" s="342">
        <f t="shared" si="82"/>
        <v>1916.25</v>
      </c>
      <c r="T199" s="139">
        <f t="shared" si="83"/>
        <v>1916.25</v>
      </c>
      <c r="U199" s="139">
        <f t="shared" si="89"/>
        <v>0</v>
      </c>
      <c r="V199" s="11">
        <f t="shared" si="90"/>
        <v>0</v>
      </c>
      <c r="W199" s="180"/>
      <c r="X199" s="180"/>
    </row>
    <row r="200" spans="2:24">
      <c r="B200" s="328">
        <v>278080</v>
      </c>
      <c r="C200" s="329">
        <v>278078</v>
      </c>
      <c r="D200" s="3">
        <v>819</v>
      </c>
      <c r="E200" s="3" t="s">
        <v>1239</v>
      </c>
      <c r="F200" s="3">
        <v>2010</v>
      </c>
      <c r="G200" s="3">
        <v>9</v>
      </c>
      <c r="H200" s="3">
        <v>0</v>
      </c>
      <c r="I200" s="3" t="s">
        <v>52</v>
      </c>
      <c r="J200" s="3">
        <v>10</v>
      </c>
      <c r="K200" s="3">
        <f t="shared" si="84"/>
        <v>2020</v>
      </c>
      <c r="L200" s="168">
        <f t="shared" si="85"/>
        <v>2020.75</v>
      </c>
      <c r="M200" s="139">
        <f>134123.07</f>
        <v>134123.07</v>
      </c>
      <c r="N200" s="139">
        <f t="shared" si="86"/>
        <v>134123.07</v>
      </c>
      <c r="O200" s="139">
        <f t="shared" si="87"/>
        <v>1117.6922500000001</v>
      </c>
      <c r="P200" s="139">
        <f t="shared" si="88"/>
        <v>13412.307000000001</v>
      </c>
      <c r="Q200" s="342">
        <f t="shared" si="81"/>
        <v>0</v>
      </c>
      <c r="R200" s="341"/>
      <c r="S200" s="342">
        <f t="shared" si="82"/>
        <v>134123.07</v>
      </c>
      <c r="T200" s="139">
        <f t="shared" si="83"/>
        <v>134123.07</v>
      </c>
      <c r="U200" s="139">
        <f t="shared" si="89"/>
        <v>0</v>
      </c>
      <c r="V200" s="11">
        <f t="shared" si="90"/>
        <v>0</v>
      </c>
      <c r="W200" s="180"/>
      <c r="X200" s="180"/>
    </row>
    <row r="201" spans="2:24">
      <c r="B201" s="328">
        <v>278081</v>
      </c>
      <c r="C201" s="329" t="s">
        <v>944</v>
      </c>
      <c r="D201" s="3">
        <v>821</v>
      </c>
      <c r="E201" s="3" t="s">
        <v>1240</v>
      </c>
      <c r="F201" s="3">
        <v>2012</v>
      </c>
      <c r="G201" s="3">
        <v>9</v>
      </c>
      <c r="H201" s="3">
        <v>0</v>
      </c>
      <c r="I201" s="3" t="s">
        <v>52</v>
      </c>
      <c r="J201" s="3">
        <v>9</v>
      </c>
      <c r="K201" s="3">
        <f t="shared" si="84"/>
        <v>2021</v>
      </c>
      <c r="L201" s="168">
        <f t="shared" si="85"/>
        <v>2021.75</v>
      </c>
      <c r="M201" s="139">
        <f>317737.38</f>
        <v>317737.38</v>
      </c>
      <c r="N201" s="139">
        <f t="shared" si="86"/>
        <v>317737.38</v>
      </c>
      <c r="O201" s="139">
        <f t="shared" si="87"/>
        <v>2942.012777777778</v>
      </c>
      <c r="P201" s="139">
        <f t="shared" si="88"/>
        <v>35304.153333333335</v>
      </c>
      <c r="Q201" s="342">
        <f t="shared" si="81"/>
        <v>0</v>
      </c>
      <c r="R201" s="341"/>
      <c r="S201" s="342">
        <f t="shared" si="82"/>
        <v>317737.38</v>
      </c>
      <c r="T201" s="139">
        <f t="shared" si="83"/>
        <v>317737.38</v>
      </c>
      <c r="U201" s="139">
        <f t="shared" si="89"/>
        <v>0</v>
      </c>
      <c r="V201" s="11">
        <f t="shared" si="90"/>
        <v>0</v>
      </c>
      <c r="W201" s="180"/>
      <c r="X201" s="180"/>
    </row>
    <row r="202" spans="2:24">
      <c r="B202" s="328"/>
      <c r="C202" s="331">
        <v>278081</v>
      </c>
      <c r="D202" s="3">
        <v>821</v>
      </c>
      <c r="E202" s="3" t="s">
        <v>1241</v>
      </c>
      <c r="F202" s="3">
        <v>2012</v>
      </c>
      <c r="G202" s="3">
        <v>9</v>
      </c>
      <c r="H202" s="3">
        <v>0</v>
      </c>
      <c r="I202" s="3" t="s">
        <v>52</v>
      </c>
      <c r="J202" s="3">
        <v>9</v>
      </c>
      <c r="K202" s="3">
        <f t="shared" si="84"/>
        <v>2021</v>
      </c>
      <c r="L202" s="168">
        <f t="shared" si="85"/>
        <v>2021.75</v>
      </c>
      <c r="M202" s="139">
        <f>4462</f>
        <v>4462</v>
      </c>
      <c r="N202" s="139">
        <f t="shared" si="86"/>
        <v>4462</v>
      </c>
      <c r="O202" s="139">
        <f t="shared" si="87"/>
        <v>41.314814814814817</v>
      </c>
      <c r="P202" s="139">
        <f t="shared" si="88"/>
        <v>495.77777777777783</v>
      </c>
      <c r="Q202" s="342">
        <f t="shared" si="81"/>
        <v>0</v>
      </c>
      <c r="R202" s="341"/>
      <c r="S202" s="342">
        <f t="shared" si="82"/>
        <v>4462</v>
      </c>
      <c r="T202" s="139">
        <f t="shared" si="83"/>
        <v>4462</v>
      </c>
      <c r="U202" s="139">
        <f t="shared" si="89"/>
        <v>0</v>
      </c>
      <c r="V202" s="11">
        <f t="shared" si="90"/>
        <v>0</v>
      </c>
      <c r="W202" s="180"/>
      <c r="X202" s="180"/>
    </row>
    <row r="203" spans="2:24" ht="15.75">
      <c r="B203" s="328">
        <v>278086</v>
      </c>
      <c r="C203" s="329"/>
      <c r="D203" s="3">
        <v>824</v>
      </c>
      <c r="E203" s="3" t="s">
        <v>1242</v>
      </c>
      <c r="F203" s="3">
        <v>2014</v>
      </c>
      <c r="G203" s="3">
        <v>2</v>
      </c>
      <c r="H203" s="3">
        <v>0</v>
      </c>
      <c r="I203" s="3" t="s">
        <v>52</v>
      </c>
      <c r="J203" s="3">
        <v>10</v>
      </c>
      <c r="K203" s="3">
        <f t="shared" si="84"/>
        <v>2024</v>
      </c>
      <c r="L203" s="168">
        <f t="shared" si="85"/>
        <v>2024.1666666666667</v>
      </c>
      <c r="M203" s="139">
        <f>318992.86</f>
        <v>318992.86</v>
      </c>
      <c r="N203" s="139">
        <f t="shared" si="86"/>
        <v>318992.86</v>
      </c>
      <c r="O203" s="139">
        <f t="shared" si="87"/>
        <v>2658.2738333333332</v>
      </c>
      <c r="P203" s="139">
        <f t="shared" si="88"/>
        <v>31899.286</v>
      </c>
      <c r="Q203" s="342">
        <f t="shared" si="81"/>
        <v>0</v>
      </c>
      <c r="R203" s="341"/>
      <c r="S203" s="342">
        <f t="shared" si="82"/>
        <v>318992.86</v>
      </c>
      <c r="T203" s="139">
        <f t="shared" si="83"/>
        <v>318992.86</v>
      </c>
      <c r="U203" s="139">
        <f t="shared" si="89"/>
        <v>0</v>
      </c>
      <c r="V203" s="11">
        <f t="shared" si="90"/>
        <v>0</v>
      </c>
      <c r="W203" s="406">
        <v>42522</v>
      </c>
      <c r="X203" s="408">
        <f>+DATEDIF(W203,$V$6,"m")</f>
        <v>110</v>
      </c>
    </row>
    <row r="204" spans="2:24" ht="15.75">
      <c r="B204" s="328">
        <v>278087</v>
      </c>
      <c r="C204" s="329"/>
      <c r="D204" s="3">
        <v>828</v>
      </c>
      <c r="E204" s="3" t="s">
        <v>1242</v>
      </c>
      <c r="F204" s="3">
        <v>2014</v>
      </c>
      <c r="G204" s="3">
        <v>8</v>
      </c>
      <c r="H204" s="3">
        <v>0</v>
      </c>
      <c r="I204" s="3" t="s">
        <v>52</v>
      </c>
      <c r="J204" s="3">
        <v>10</v>
      </c>
      <c r="K204" s="3">
        <f t="shared" si="84"/>
        <v>2024</v>
      </c>
      <c r="L204" s="168">
        <f t="shared" si="85"/>
        <v>2024.6666666666667</v>
      </c>
      <c r="M204" s="139">
        <f>325021.64</f>
        <v>325021.64</v>
      </c>
      <c r="N204" s="139">
        <f t="shared" si="86"/>
        <v>325021.64</v>
      </c>
      <c r="O204" s="139">
        <f t="shared" si="87"/>
        <v>2708.5136666666667</v>
      </c>
      <c r="P204" s="139">
        <f t="shared" si="88"/>
        <v>32502.164000000001</v>
      </c>
      <c r="Q204" s="342">
        <f t="shared" si="81"/>
        <v>0</v>
      </c>
      <c r="R204" s="341"/>
      <c r="S204" s="342">
        <f t="shared" si="82"/>
        <v>314187.5853333284</v>
      </c>
      <c r="T204" s="139">
        <f t="shared" si="83"/>
        <v>325021.64</v>
      </c>
      <c r="U204" s="139">
        <f t="shared" si="89"/>
        <v>0</v>
      </c>
      <c r="V204" s="11">
        <f t="shared" si="90"/>
        <v>0</v>
      </c>
      <c r="W204" s="406">
        <v>42522</v>
      </c>
      <c r="X204" s="408"/>
    </row>
    <row r="205" spans="2:24" ht="15.75">
      <c r="B205" s="328">
        <v>278088</v>
      </c>
      <c r="C205" s="329"/>
      <c r="D205" s="3">
        <v>827</v>
      </c>
      <c r="E205" s="3" t="s">
        <v>1242</v>
      </c>
      <c r="F205" s="3">
        <v>2014</v>
      </c>
      <c r="G205" s="3">
        <v>10</v>
      </c>
      <c r="H205" s="3">
        <v>0</v>
      </c>
      <c r="I205" s="3" t="s">
        <v>52</v>
      </c>
      <c r="J205" s="3">
        <v>10</v>
      </c>
      <c r="K205" s="3">
        <f t="shared" si="84"/>
        <v>2024</v>
      </c>
      <c r="L205" s="168">
        <f t="shared" si="85"/>
        <v>2024.8333333333333</v>
      </c>
      <c r="M205" s="139">
        <f>325021.66</f>
        <v>325021.65999999997</v>
      </c>
      <c r="N205" s="139">
        <f t="shared" si="86"/>
        <v>325021.65999999997</v>
      </c>
      <c r="O205" s="139">
        <f t="shared" si="87"/>
        <v>2708.513833333333</v>
      </c>
      <c r="P205" s="139">
        <f t="shared" si="88"/>
        <v>32502.165999999997</v>
      </c>
      <c r="Q205" s="342">
        <f t="shared" si="81"/>
        <v>0</v>
      </c>
      <c r="R205" s="341"/>
      <c r="S205" s="342">
        <f t="shared" si="82"/>
        <v>308770.57699999999</v>
      </c>
      <c r="T205" s="139">
        <f t="shared" si="83"/>
        <v>325021.65999999997</v>
      </c>
      <c r="U205" s="139">
        <f t="shared" si="89"/>
        <v>0</v>
      </c>
      <c r="V205" s="11">
        <f t="shared" si="90"/>
        <v>0</v>
      </c>
      <c r="W205" s="406">
        <v>42522</v>
      </c>
      <c r="X205" s="408"/>
    </row>
    <row r="206" spans="2:24">
      <c r="B206" s="328">
        <v>278090</v>
      </c>
      <c r="C206" s="329"/>
      <c r="D206" s="3">
        <v>830</v>
      </c>
      <c r="E206" s="3" t="s">
        <v>1243</v>
      </c>
      <c r="F206" s="3">
        <v>2015</v>
      </c>
      <c r="G206" s="3">
        <v>5</v>
      </c>
      <c r="H206" s="3">
        <v>0</v>
      </c>
      <c r="I206" s="3" t="s">
        <v>52</v>
      </c>
      <c r="J206" s="3">
        <v>10</v>
      </c>
      <c r="K206" s="3">
        <f t="shared" si="84"/>
        <v>2025</v>
      </c>
      <c r="L206" s="168">
        <f t="shared" si="85"/>
        <v>2025.4166666666667</v>
      </c>
      <c r="M206" s="139">
        <f>329760.08</f>
        <v>329760.08</v>
      </c>
      <c r="N206" s="139">
        <f t="shared" si="86"/>
        <v>329760.08</v>
      </c>
      <c r="O206" s="139">
        <f t="shared" si="87"/>
        <v>2748.0006666666668</v>
      </c>
      <c r="P206" s="139">
        <f t="shared" si="88"/>
        <v>32976.008000000002</v>
      </c>
      <c r="Q206" s="342">
        <f t="shared" si="81"/>
        <v>32976.008000000002</v>
      </c>
      <c r="R206" s="341"/>
      <c r="S206" s="342">
        <f t="shared" si="82"/>
        <v>294036.07133332838</v>
      </c>
      <c r="T206" s="139">
        <f t="shared" si="83"/>
        <v>327012.07933332841</v>
      </c>
      <c r="U206" s="139">
        <f t="shared" si="89"/>
        <v>2748.0006666716072</v>
      </c>
      <c r="V206" s="11">
        <f t="shared" si="90"/>
        <v>2748.0006666716072</v>
      </c>
      <c r="W206" s="180"/>
      <c r="X206" s="180"/>
    </row>
    <row r="207" spans="2:24">
      <c r="B207" s="328">
        <v>278091</v>
      </c>
      <c r="C207" s="329"/>
      <c r="D207" s="3">
        <v>833</v>
      </c>
      <c r="E207" s="3" t="s">
        <v>1243</v>
      </c>
      <c r="F207" s="3">
        <v>2015</v>
      </c>
      <c r="G207" s="3">
        <v>11</v>
      </c>
      <c r="H207" s="3">
        <v>0</v>
      </c>
      <c r="I207" s="3" t="s">
        <v>52</v>
      </c>
      <c r="J207" s="3">
        <v>10</v>
      </c>
      <c r="K207" s="3">
        <f t="shared" si="84"/>
        <v>2025</v>
      </c>
      <c r="L207" s="168">
        <f t="shared" si="85"/>
        <v>2025.9166666666667</v>
      </c>
      <c r="M207" s="139">
        <f>326369.78</f>
        <v>326369.78000000003</v>
      </c>
      <c r="N207" s="139">
        <f t="shared" si="86"/>
        <v>326369.78000000003</v>
      </c>
      <c r="O207" s="139">
        <f t="shared" si="87"/>
        <v>2719.7481666666667</v>
      </c>
      <c r="P207" s="139">
        <f t="shared" si="88"/>
        <v>32636.978000000003</v>
      </c>
      <c r="Q207" s="342">
        <f t="shared" si="81"/>
        <v>32636.978000000003</v>
      </c>
      <c r="R207" s="341"/>
      <c r="S207" s="342">
        <f t="shared" si="82"/>
        <v>274694.56483332842</v>
      </c>
      <c r="T207" s="139">
        <f t="shared" si="83"/>
        <v>307331.54283332842</v>
      </c>
      <c r="U207" s="139">
        <f t="shared" si="89"/>
        <v>19038.237166671606</v>
      </c>
      <c r="V207" s="11">
        <f t="shared" si="90"/>
        <v>19038.237166671606</v>
      </c>
      <c r="W207" s="180"/>
      <c r="X207" s="180"/>
    </row>
    <row r="208" spans="2:24" ht="15.75">
      <c r="B208" s="328">
        <v>278092</v>
      </c>
      <c r="C208" s="329"/>
      <c r="D208" s="3">
        <v>834</v>
      </c>
      <c r="E208" s="3" t="s">
        <v>1243</v>
      </c>
      <c r="F208" s="3">
        <v>2015</v>
      </c>
      <c r="G208" s="3">
        <v>12</v>
      </c>
      <c r="H208" s="3">
        <v>0</v>
      </c>
      <c r="I208" s="3" t="s">
        <v>52</v>
      </c>
      <c r="J208" s="3">
        <v>9</v>
      </c>
      <c r="K208" s="3">
        <f t="shared" si="84"/>
        <v>2024</v>
      </c>
      <c r="L208" s="168">
        <f t="shared" si="85"/>
        <v>2025</v>
      </c>
      <c r="M208" s="139">
        <f>325233.34</f>
        <v>325233.34000000003</v>
      </c>
      <c r="N208" s="139">
        <f t="shared" si="86"/>
        <v>325233.34000000003</v>
      </c>
      <c r="O208" s="139">
        <f t="shared" si="87"/>
        <v>3011.4198148148153</v>
      </c>
      <c r="P208" s="139">
        <f t="shared" si="88"/>
        <v>36137.037777777783</v>
      </c>
      <c r="Q208" s="342">
        <f t="shared" si="81"/>
        <v>0</v>
      </c>
      <c r="R208" s="341"/>
      <c r="S208" s="342">
        <f t="shared" si="82"/>
        <v>301141.98148147878</v>
      </c>
      <c r="T208" s="139">
        <f t="shared" si="83"/>
        <v>325233.34000000003</v>
      </c>
      <c r="U208" s="139">
        <f t="shared" si="89"/>
        <v>0</v>
      </c>
      <c r="V208" s="11">
        <f t="shared" si="90"/>
        <v>0</v>
      </c>
      <c r="W208" s="406">
        <v>42522</v>
      </c>
      <c r="X208" s="408"/>
    </row>
    <row r="209" spans="2:24">
      <c r="B209" s="328">
        <v>278093</v>
      </c>
      <c r="C209" s="329"/>
      <c r="D209" s="3">
        <v>835</v>
      </c>
      <c r="E209" s="3" t="s">
        <v>1243</v>
      </c>
      <c r="F209" s="3">
        <v>2015</v>
      </c>
      <c r="G209" s="3">
        <v>12</v>
      </c>
      <c r="H209" s="3">
        <v>0</v>
      </c>
      <c r="I209" s="3" t="s">
        <v>52</v>
      </c>
      <c r="J209" s="3">
        <v>10</v>
      </c>
      <c r="K209" s="3">
        <f t="shared" si="84"/>
        <v>2025</v>
      </c>
      <c r="L209" s="168">
        <f t="shared" si="85"/>
        <v>2026</v>
      </c>
      <c r="M209" s="139">
        <f>325201.34</f>
        <v>325201.34000000003</v>
      </c>
      <c r="N209" s="139">
        <f t="shared" si="86"/>
        <v>325201.34000000003</v>
      </c>
      <c r="O209" s="139">
        <f t="shared" si="87"/>
        <v>2710.0111666666667</v>
      </c>
      <c r="P209" s="139">
        <f t="shared" si="88"/>
        <v>32520.133999999998</v>
      </c>
      <c r="Q209" s="342">
        <f t="shared" si="81"/>
        <v>32520.133999999998</v>
      </c>
      <c r="R209" s="341"/>
      <c r="S209" s="342">
        <f t="shared" si="82"/>
        <v>271001.11666666425</v>
      </c>
      <c r="T209" s="139">
        <f t="shared" si="83"/>
        <v>303521.25066666427</v>
      </c>
      <c r="U209" s="139">
        <f t="shared" si="89"/>
        <v>21680.089333335753</v>
      </c>
      <c r="V209" s="11">
        <f t="shared" si="90"/>
        <v>21680.089333335753</v>
      </c>
      <c r="W209" s="180"/>
      <c r="X209" s="180"/>
    </row>
    <row r="210" spans="2:24">
      <c r="C210" s="3" t="s">
        <v>99</v>
      </c>
      <c r="E210" s="3" t="s">
        <v>167</v>
      </c>
      <c r="F210" s="3">
        <v>2008</v>
      </c>
      <c r="G210" s="3">
        <v>3</v>
      </c>
      <c r="H210" s="3">
        <v>0.2</v>
      </c>
      <c r="I210" s="3" t="s">
        <v>52</v>
      </c>
      <c r="J210" s="3">
        <v>7</v>
      </c>
      <c r="K210" s="3">
        <f t="shared" ref="K210:K224" si="91">F210+J210</f>
        <v>2015</v>
      </c>
      <c r="L210" s="168">
        <f t="shared" ref="L210:L224" si="92">+K210+(G210/12)</f>
        <v>2015.25</v>
      </c>
      <c r="M210" s="139">
        <f>+'2111 Trks - Orig'!P158</f>
        <v>1344.9360000000001</v>
      </c>
      <c r="N210" s="139">
        <f t="shared" ref="N210:N224" si="93">M210-M210*H210</f>
        <v>1075.9488000000001</v>
      </c>
      <c r="O210" s="139">
        <f t="shared" ref="O210:O224" si="94">N210/J210/12</f>
        <v>12.808914285714287</v>
      </c>
      <c r="P210" s="139">
        <f t="shared" ref="P210:P224" si="95">+O210*12</f>
        <v>153.70697142857145</v>
      </c>
      <c r="Q210" s="342">
        <f t="shared" si="81"/>
        <v>0</v>
      </c>
      <c r="R210" s="341"/>
      <c r="S210" s="342">
        <f t="shared" si="82"/>
        <v>1344.9360000000001</v>
      </c>
      <c r="T210" s="139">
        <f t="shared" si="83"/>
        <v>1344.9360000000001</v>
      </c>
      <c r="U210" s="139">
        <f t="shared" ref="U210:U224" si="96">M210-T210</f>
        <v>0</v>
      </c>
      <c r="V210" s="11">
        <f t="shared" ref="V210:V224" si="97">M210-T210</f>
        <v>0</v>
      </c>
    </row>
    <row r="211" spans="2:24" s="255" customFormat="1">
      <c r="E211" s="255" t="s">
        <v>655</v>
      </c>
      <c r="F211" s="255">
        <v>2017</v>
      </c>
      <c r="G211" s="255">
        <v>10</v>
      </c>
      <c r="H211" s="255">
        <v>0</v>
      </c>
      <c r="I211" s="255" t="s">
        <v>52</v>
      </c>
      <c r="J211" s="255">
        <v>10</v>
      </c>
      <c r="K211" s="255">
        <f>F211+J211</f>
        <v>2027</v>
      </c>
      <c r="L211" s="256">
        <f>+K211+(G211/12)</f>
        <v>2027.8333333333333</v>
      </c>
      <c r="M211" s="257">
        <f>+'2111 Trks - Orig'!N158-'2111 Trks'!M210</f>
        <v>336.23399999999992</v>
      </c>
      <c r="N211" s="257">
        <f>M211-M211*H211</f>
        <v>336.23399999999992</v>
      </c>
      <c r="O211" s="257">
        <f>N211/J211/12</f>
        <v>2.8019499999999993</v>
      </c>
      <c r="P211" s="257">
        <f>+O211*12</f>
        <v>33.62339999999999</v>
      </c>
      <c r="Q211" s="342">
        <f t="shared" si="81"/>
        <v>33.62339999999999</v>
      </c>
      <c r="R211" s="341"/>
      <c r="S211" s="342">
        <f t="shared" si="82"/>
        <v>218.55209999999994</v>
      </c>
      <c r="T211" s="139">
        <f t="shared" si="83"/>
        <v>252.17549999999994</v>
      </c>
      <c r="U211" s="258">
        <f t="shared" si="96"/>
        <v>84.058499999999981</v>
      </c>
      <c r="V211" s="259">
        <f t="shared" si="97"/>
        <v>84.058499999999981</v>
      </c>
    </row>
    <row r="212" spans="2:24">
      <c r="C212" s="3" t="s">
        <v>99</v>
      </c>
      <c r="E212" s="3" t="s">
        <v>452</v>
      </c>
      <c r="F212" s="3">
        <v>2008</v>
      </c>
      <c r="G212" s="3">
        <v>4</v>
      </c>
      <c r="H212" s="3">
        <v>0.2</v>
      </c>
      <c r="I212" s="3" t="s">
        <v>52</v>
      </c>
      <c r="J212" s="3">
        <v>7</v>
      </c>
      <c r="K212" s="3">
        <f t="shared" si="91"/>
        <v>2015</v>
      </c>
      <c r="L212" s="168">
        <f t="shared" si="92"/>
        <v>2015.3333333333333</v>
      </c>
      <c r="M212" s="139">
        <f>+'2131 Trks - Orig'!P66</f>
        <v>896.62400000000002</v>
      </c>
      <c r="N212" s="139">
        <f t="shared" si="93"/>
        <v>717.29920000000004</v>
      </c>
      <c r="O212" s="139">
        <f t="shared" si="94"/>
        <v>8.5392761904761905</v>
      </c>
      <c r="P212" s="139">
        <f t="shared" si="95"/>
        <v>102.47131428571429</v>
      </c>
      <c r="Q212" s="342">
        <f t="shared" si="81"/>
        <v>0</v>
      </c>
      <c r="R212" s="341"/>
      <c r="S212" s="342">
        <f t="shared" si="82"/>
        <v>896.62400000000002</v>
      </c>
      <c r="T212" s="139">
        <f t="shared" si="83"/>
        <v>896.62400000000002</v>
      </c>
      <c r="U212" s="139">
        <f t="shared" si="96"/>
        <v>0</v>
      </c>
      <c r="V212" s="11">
        <f t="shared" si="97"/>
        <v>0</v>
      </c>
    </row>
    <row r="213" spans="2:24" s="255" customFormat="1">
      <c r="E213" s="255" t="s">
        <v>648</v>
      </c>
      <c r="F213" s="255">
        <v>2017</v>
      </c>
      <c r="G213" s="255">
        <v>10</v>
      </c>
      <c r="H213" s="255">
        <v>0</v>
      </c>
      <c r="I213" s="255" t="s">
        <v>52</v>
      </c>
      <c r="J213" s="255">
        <v>10</v>
      </c>
      <c r="K213" s="255">
        <f>F213+J213</f>
        <v>2027</v>
      </c>
      <c r="L213" s="256">
        <f>+K213+(G213/12)</f>
        <v>2027.8333333333333</v>
      </c>
      <c r="M213" s="257">
        <f>+'2131 Trks - Orig'!N66-'2111 Trks'!M212</f>
        <v>224.15599999999995</v>
      </c>
      <c r="N213" s="257">
        <f>M213-M213*H213</f>
        <v>224.15599999999995</v>
      </c>
      <c r="O213" s="257">
        <f>N213/J213/12</f>
        <v>1.8679666666666661</v>
      </c>
      <c r="P213" s="257">
        <f>+O213*12</f>
        <v>22.415599999999994</v>
      </c>
      <c r="Q213" s="342">
        <f t="shared" si="81"/>
        <v>22.415599999999994</v>
      </c>
      <c r="R213" s="341"/>
      <c r="S213" s="342">
        <f t="shared" si="82"/>
        <v>145.70139999999998</v>
      </c>
      <c r="T213" s="139">
        <f t="shared" si="83"/>
        <v>168.11699999999996</v>
      </c>
      <c r="U213" s="258">
        <f t="shared" si="96"/>
        <v>56.038999999999987</v>
      </c>
      <c r="V213" s="259">
        <f t="shared" si="97"/>
        <v>56.038999999999987</v>
      </c>
    </row>
    <row r="214" spans="2:24">
      <c r="B214" s="3" t="s">
        <v>489</v>
      </c>
      <c r="D214" s="3">
        <v>818</v>
      </c>
      <c r="E214" s="3" t="s">
        <v>458</v>
      </c>
      <c r="F214" s="3">
        <v>2010</v>
      </c>
      <c r="G214" s="3">
        <v>6</v>
      </c>
      <c r="H214" s="3">
        <v>0</v>
      </c>
      <c r="I214" s="3" t="s">
        <v>52</v>
      </c>
      <c r="J214" s="3">
        <v>10</v>
      </c>
      <c r="K214" s="3">
        <f>F214+J214</f>
        <v>2020</v>
      </c>
      <c r="L214" s="168">
        <f>+K214+(G214/12)</f>
        <v>2020.5</v>
      </c>
      <c r="M214" s="139">
        <f>138066.26+133793.45+137.06+1916.25</f>
        <v>273913.02</v>
      </c>
      <c r="N214" s="139">
        <f>M214-M214*H214</f>
        <v>273913.02</v>
      </c>
      <c r="O214" s="139">
        <f>N214/J214/12</f>
        <v>2282.6085000000003</v>
      </c>
      <c r="P214" s="139">
        <f>+O214*12</f>
        <v>27391.302000000003</v>
      </c>
      <c r="Q214" s="342">
        <f t="shared" si="81"/>
        <v>0</v>
      </c>
      <c r="R214" s="341"/>
      <c r="S214" s="342">
        <f t="shared" si="82"/>
        <v>273913.02</v>
      </c>
      <c r="T214" s="139">
        <f t="shared" si="83"/>
        <v>273913.02</v>
      </c>
      <c r="U214" s="139">
        <f t="shared" si="96"/>
        <v>0</v>
      </c>
      <c r="V214" s="11">
        <f t="shared" si="97"/>
        <v>0</v>
      </c>
    </row>
    <row r="215" spans="2:24">
      <c r="C215" s="3" t="s">
        <v>99</v>
      </c>
      <c r="E215" s="3" t="s">
        <v>223</v>
      </c>
      <c r="F215" s="3">
        <v>2011</v>
      </c>
      <c r="G215" s="3">
        <v>1</v>
      </c>
      <c r="H215" s="3">
        <v>0</v>
      </c>
      <c r="I215" s="3" t="s">
        <v>52</v>
      </c>
      <c r="J215" s="3">
        <v>7</v>
      </c>
      <c r="K215" s="3">
        <f t="shared" si="91"/>
        <v>2018</v>
      </c>
      <c r="L215" s="168">
        <f t="shared" si="92"/>
        <v>2018.0833333333333</v>
      </c>
      <c r="M215" s="139">
        <f>+'2111 Trks - Orig'!P161</f>
        <v>2276.5418181818181</v>
      </c>
      <c r="N215" s="139">
        <f t="shared" si="93"/>
        <v>2276.5418181818181</v>
      </c>
      <c r="O215" s="139">
        <f t="shared" si="94"/>
        <v>27.10168831168831</v>
      </c>
      <c r="P215" s="139">
        <f t="shared" si="95"/>
        <v>325.22025974025973</v>
      </c>
      <c r="Q215" s="342">
        <f t="shared" si="81"/>
        <v>0</v>
      </c>
      <c r="R215" s="341"/>
      <c r="S215" s="342">
        <f t="shared" si="82"/>
        <v>2276.5418181818181</v>
      </c>
      <c r="T215" s="139">
        <f t="shared" si="83"/>
        <v>2276.5418181818181</v>
      </c>
      <c r="U215" s="139">
        <f t="shared" si="96"/>
        <v>0</v>
      </c>
      <c r="V215" s="11">
        <f t="shared" si="97"/>
        <v>0</v>
      </c>
    </row>
    <row r="216" spans="2:24" s="255" customFormat="1">
      <c r="E216" s="255" t="s">
        <v>658</v>
      </c>
      <c r="F216" s="255">
        <v>2017</v>
      </c>
      <c r="G216" s="255">
        <v>10</v>
      </c>
      <c r="H216" s="255">
        <v>0</v>
      </c>
      <c r="I216" s="255" t="s">
        <v>52</v>
      </c>
      <c r="J216" s="255">
        <v>10</v>
      </c>
      <c r="K216" s="255">
        <f>F216+J216</f>
        <v>2027</v>
      </c>
      <c r="L216" s="256">
        <f>+K216+(G216/12)</f>
        <v>2027.8333333333333</v>
      </c>
      <c r="M216" s="257">
        <f>+'2111 Trks - Orig'!N161-'2111 Trks'!M215</f>
        <v>569.13545454545465</v>
      </c>
      <c r="N216" s="257">
        <f>M216-M216*H216</f>
        <v>569.13545454545465</v>
      </c>
      <c r="O216" s="257">
        <f>N216/J216/12</f>
        <v>4.7427954545454556</v>
      </c>
      <c r="P216" s="257">
        <f>+O216*12</f>
        <v>56.913545454545471</v>
      </c>
      <c r="Q216" s="342">
        <f t="shared" si="81"/>
        <v>56.913545454545471</v>
      </c>
      <c r="R216" s="341"/>
      <c r="S216" s="342">
        <f t="shared" si="82"/>
        <v>369.93804545454554</v>
      </c>
      <c r="T216" s="139">
        <f t="shared" si="83"/>
        <v>426.85159090909099</v>
      </c>
      <c r="U216" s="258">
        <f t="shared" si="96"/>
        <v>142.28386363636366</v>
      </c>
      <c r="V216" s="259">
        <f t="shared" si="97"/>
        <v>142.28386363636366</v>
      </c>
    </row>
    <row r="217" spans="2:24">
      <c r="B217" s="3">
        <v>173300</v>
      </c>
      <c r="C217" s="3" t="s">
        <v>99</v>
      </c>
      <c r="D217" s="3">
        <v>823</v>
      </c>
      <c r="E217" s="3" t="s">
        <v>309</v>
      </c>
      <c r="F217" s="3">
        <v>2014</v>
      </c>
      <c r="G217" s="3">
        <v>1</v>
      </c>
      <c r="H217" s="3">
        <v>0</v>
      </c>
      <c r="I217" s="3" t="s">
        <v>52</v>
      </c>
      <c r="J217" s="3">
        <v>7</v>
      </c>
      <c r="K217" s="3">
        <f t="shared" si="91"/>
        <v>2021</v>
      </c>
      <c r="L217" s="168">
        <f t="shared" si="92"/>
        <v>2021.0833333333333</v>
      </c>
      <c r="M217" s="139">
        <f>+'2131 Trks - Orig'!P69</f>
        <v>255341.32</v>
      </c>
      <c r="N217" s="139">
        <f t="shared" si="93"/>
        <v>255341.32</v>
      </c>
      <c r="O217" s="139">
        <f t="shared" si="94"/>
        <v>3039.7776190476193</v>
      </c>
      <c r="P217" s="139">
        <f t="shared" si="95"/>
        <v>36477.33142857143</v>
      </c>
      <c r="Q217" s="342">
        <f t="shared" si="81"/>
        <v>0</v>
      </c>
      <c r="R217" s="341"/>
      <c r="S217" s="342">
        <f t="shared" si="82"/>
        <v>255341.32</v>
      </c>
      <c r="T217" s="139">
        <f t="shared" si="83"/>
        <v>255341.32</v>
      </c>
      <c r="U217" s="139">
        <f t="shared" si="96"/>
        <v>0</v>
      </c>
      <c r="V217" s="11">
        <f t="shared" si="97"/>
        <v>0</v>
      </c>
    </row>
    <row r="218" spans="2:24" s="255" customFormat="1">
      <c r="D218" s="255">
        <v>823</v>
      </c>
      <c r="E218" s="255" t="s">
        <v>659</v>
      </c>
      <c r="F218" s="255">
        <v>2017</v>
      </c>
      <c r="G218" s="255">
        <v>10</v>
      </c>
      <c r="H218" s="255">
        <v>0</v>
      </c>
      <c r="I218" s="255" t="s">
        <v>52</v>
      </c>
      <c r="J218" s="255">
        <v>10</v>
      </c>
      <c r="K218" s="255">
        <f>F218+J218</f>
        <v>2027</v>
      </c>
      <c r="L218" s="256">
        <f>+K218+(G218/12)</f>
        <v>2027.8333333333333</v>
      </c>
      <c r="M218" s="257">
        <f>+'2131 Trks - Orig'!N69-'2111 Trks'!M217</f>
        <v>63835.330000000016</v>
      </c>
      <c r="N218" s="257">
        <f>M218-M218*H218</f>
        <v>63835.330000000016</v>
      </c>
      <c r="O218" s="257">
        <f>N218/J218/12</f>
        <v>531.96108333333348</v>
      </c>
      <c r="P218" s="257">
        <f>+O218*12</f>
        <v>6383.5330000000013</v>
      </c>
      <c r="Q218" s="342">
        <f t="shared" si="81"/>
        <v>6383.5330000000013</v>
      </c>
      <c r="R218" s="341"/>
      <c r="S218" s="342">
        <f t="shared" si="82"/>
        <v>41492.964500000009</v>
      </c>
      <c r="T218" s="139">
        <f t="shared" si="83"/>
        <v>47876.497500000012</v>
      </c>
      <c r="U218" s="258">
        <f t="shared" si="96"/>
        <v>15958.832500000004</v>
      </c>
      <c r="V218" s="259">
        <f t="shared" si="97"/>
        <v>15958.832500000004</v>
      </c>
    </row>
    <row r="219" spans="2:24">
      <c r="B219" s="3">
        <v>122580</v>
      </c>
      <c r="C219" s="3" t="s">
        <v>99</v>
      </c>
      <c r="D219" s="3">
        <v>831</v>
      </c>
      <c r="E219" s="3" t="s">
        <v>329</v>
      </c>
      <c r="F219" s="3">
        <v>2015</v>
      </c>
      <c r="G219" s="3">
        <v>5</v>
      </c>
      <c r="H219" s="3">
        <v>0</v>
      </c>
      <c r="I219" s="3" t="s">
        <v>52</v>
      </c>
      <c r="J219" s="3">
        <v>7</v>
      </c>
      <c r="K219" s="3">
        <f t="shared" si="91"/>
        <v>2022</v>
      </c>
      <c r="L219" s="168">
        <f t="shared" si="92"/>
        <v>2022.4166666666667</v>
      </c>
      <c r="M219" s="139">
        <f>+'2111 Trks - Orig'!P162</f>
        <v>261069.42400000003</v>
      </c>
      <c r="N219" s="139">
        <f t="shared" si="93"/>
        <v>261069.42400000003</v>
      </c>
      <c r="O219" s="139">
        <f t="shared" si="94"/>
        <v>3107.9693333333339</v>
      </c>
      <c r="P219" s="139">
        <f t="shared" si="95"/>
        <v>37295.632000000005</v>
      </c>
      <c r="Q219" s="342">
        <f t="shared" si="81"/>
        <v>0</v>
      </c>
      <c r="R219" s="341"/>
      <c r="S219" s="342">
        <f t="shared" si="82"/>
        <v>261069.42400000003</v>
      </c>
      <c r="T219" s="139">
        <f t="shared" si="83"/>
        <v>261069.42400000003</v>
      </c>
      <c r="U219" s="139">
        <f t="shared" si="96"/>
        <v>0</v>
      </c>
      <c r="V219" s="11">
        <f t="shared" si="97"/>
        <v>0</v>
      </c>
    </row>
    <row r="220" spans="2:24" s="255" customFormat="1">
      <c r="D220" s="255">
        <v>831</v>
      </c>
      <c r="E220" s="255" t="s">
        <v>660</v>
      </c>
      <c r="F220" s="255">
        <v>2017</v>
      </c>
      <c r="G220" s="255">
        <v>10</v>
      </c>
      <c r="H220" s="255">
        <v>0</v>
      </c>
      <c r="I220" s="255" t="s">
        <v>52</v>
      </c>
      <c r="J220" s="255">
        <v>10</v>
      </c>
      <c r="K220" s="255">
        <f>F220+J220</f>
        <v>2027</v>
      </c>
      <c r="L220" s="256">
        <f>+K220+(G220/12)</f>
        <v>2027.8333333333333</v>
      </c>
      <c r="M220" s="257">
        <f>+'2111 Trks - Orig'!N162-'2111 Trks'!M219</f>
        <v>65267.356</v>
      </c>
      <c r="N220" s="257">
        <f>M220-M220*H220</f>
        <v>65267.356</v>
      </c>
      <c r="O220" s="257">
        <f>N220/J220/12</f>
        <v>543.89463333333333</v>
      </c>
      <c r="P220" s="257">
        <f>+O220*12</f>
        <v>6526.7356</v>
      </c>
      <c r="Q220" s="342">
        <f t="shared" si="81"/>
        <v>6526.7356</v>
      </c>
      <c r="R220" s="341"/>
      <c r="S220" s="342">
        <f t="shared" si="82"/>
        <v>42423.7814</v>
      </c>
      <c r="T220" s="139">
        <f t="shared" si="83"/>
        <v>48950.517</v>
      </c>
      <c r="U220" s="258">
        <f t="shared" si="96"/>
        <v>16316.839</v>
      </c>
      <c r="V220" s="259">
        <f t="shared" si="97"/>
        <v>16316.839</v>
      </c>
    </row>
    <row r="221" spans="2:24">
      <c r="B221" s="3">
        <v>173308</v>
      </c>
      <c r="C221" s="3" t="s">
        <v>99</v>
      </c>
      <c r="D221" s="3">
        <v>832</v>
      </c>
      <c r="E221" s="3" t="s">
        <v>459</v>
      </c>
      <c r="F221" s="3">
        <v>2015</v>
      </c>
      <c r="G221" s="3">
        <v>5</v>
      </c>
      <c r="H221" s="3">
        <v>0</v>
      </c>
      <c r="I221" s="3" t="s">
        <v>52</v>
      </c>
      <c r="J221" s="3">
        <v>7</v>
      </c>
      <c r="K221" s="3">
        <f t="shared" si="91"/>
        <v>2022</v>
      </c>
      <c r="L221" s="168">
        <f t="shared" si="92"/>
        <v>2022.4166666666667</v>
      </c>
      <c r="M221" s="139">
        <f>+'2131 Trks - Orig'!P70</f>
        <v>261069.42400000003</v>
      </c>
      <c r="N221" s="139">
        <f t="shared" si="93"/>
        <v>261069.42400000003</v>
      </c>
      <c r="O221" s="139">
        <f t="shared" si="94"/>
        <v>3107.9693333333339</v>
      </c>
      <c r="P221" s="139">
        <f t="shared" si="95"/>
        <v>37295.632000000005</v>
      </c>
      <c r="Q221" s="342">
        <f t="shared" si="81"/>
        <v>0</v>
      </c>
      <c r="R221" s="341"/>
      <c r="S221" s="342">
        <f t="shared" si="82"/>
        <v>261069.42400000003</v>
      </c>
      <c r="T221" s="139">
        <f t="shared" si="83"/>
        <v>261069.42400000003</v>
      </c>
      <c r="U221" s="139">
        <f t="shared" si="96"/>
        <v>0</v>
      </c>
      <c r="V221" s="11">
        <f t="shared" si="97"/>
        <v>0</v>
      </c>
    </row>
    <row r="222" spans="2:24" s="255" customFormat="1">
      <c r="D222" s="255">
        <v>832</v>
      </c>
      <c r="E222" s="255" t="s">
        <v>661</v>
      </c>
      <c r="F222" s="255">
        <v>2017</v>
      </c>
      <c r="G222" s="255">
        <v>10</v>
      </c>
      <c r="H222" s="255">
        <v>0</v>
      </c>
      <c r="I222" s="255" t="s">
        <v>52</v>
      </c>
      <c r="J222" s="255">
        <v>10</v>
      </c>
      <c r="K222" s="255">
        <f>F222+J222</f>
        <v>2027</v>
      </c>
      <c r="L222" s="256">
        <f>+K222+(G222/12)</f>
        <v>2027.8333333333333</v>
      </c>
      <c r="M222" s="257">
        <f>+'2131 Trks - Orig'!N70-'2111 Trks'!M221</f>
        <v>65267.356</v>
      </c>
      <c r="N222" s="257">
        <f>M222-M222*H222</f>
        <v>65267.356</v>
      </c>
      <c r="O222" s="257">
        <f>N222/J222/12</f>
        <v>543.89463333333333</v>
      </c>
      <c r="P222" s="257">
        <f>+O222*12</f>
        <v>6526.7356</v>
      </c>
      <c r="Q222" s="342">
        <f t="shared" si="81"/>
        <v>6526.7356</v>
      </c>
      <c r="R222" s="341"/>
      <c r="S222" s="342">
        <f t="shared" si="82"/>
        <v>42423.7814</v>
      </c>
      <c r="T222" s="139">
        <f t="shared" si="83"/>
        <v>48950.517</v>
      </c>
      <c r="U222" s="258">
        <f t="shared" si="96"/>
        <v>16316.839</v>
      </c>
      <c r="V222" s="259">
        <f t="shared" si="97"/>
        <v>16316.839</v>
      </c>
    </row>
    <row r="223" spans="2:24">
      <c r="B223" s="3" t="s">
        <v>419</v>
      </c>
      <c r="E223" s="3" t="s">
        <v>421</v>
      </c>
      <c r="F223" s="3">
        <v>2016</v>
      </c>
      <c r="G223" s="3">
        <v>3</v>
      </c>
      <c r="H223" s="3">
        <v>0</v>
      </c>
      <c r="I223" s="3" t="s">
        <v>52</v>
      </c>
      <c r="J223" s="3">
        <v>1</v>
      </c>
      <c r="K223" s="3">
        <f t="shared" si="91"/>
        <v>2017</v>
      </c>
      <c r="L223" s="168">
        <f t="shared" si="92"/>
        <v>2017.25</v>
      </c>
      <c r="M223" s="139">
        <f>(25892.28+23056.62)/104*5</f>
        <v>2353.3125</v>
      </c>
      <c r="N223" s="139">
        <f t="shared" si="93"/>
        <v>2353.3125</v>
      </c>
      <c r="O223" s="139">
        <f t="shared" si="94"/>
        <v>196.109375</v>
      </c>
      <c r="P223" s="139">
        <f t="shared" si="95"/>
        <v>2353.3125</v>
      </c>
      <c r="Q223" s="342">
        <f t="shared" si="81"/>
        <v>0</v>
      </c>
      <c r="R223" s="341"/>
      <c r="S223" s="342">
        <f t="shared" si="82"/>
        <v>2353.3125</v>
      </c>
      <c r="T223" s="139">
        <f t="shared" si="83"/>
        <v>2353.3125</v>
      </c>
      <c r="U223" s="139">
        <f t="shared" si="96"/>
        <v>0</v>
      </c>
      <c r="V223" s="11">
        <f t="shared" si="97"/>
        <v>0</v>
      </c>
    </row>
    <row r="224" spans="2:24">
      <c r="B224" s="3">
        <v>132074</v>
      </c>
      <c r="C224" s="3" t="s">
        <v>99</v>
      </c>
      <c r="D224" s="3">
        <v>837</v>
      </c>
      <c r="E224" s="3" t="s">
        <v>390</v>
      </c>
      <c r="F224" s="3">
        <v>2016</v>
      </c>
      <c r="G224" s="3">
        <v>4</v>
      </c>
      <c r="H224" s="3">
        <v>0</v>
      </c>
      <c r="I224" s="3" t="s">
        <v>52</v>
      </c>
      <c r="J224" s="3">
        <v>10</v>
      </c>
      <c r="K224" s="3">
        <f t="shared" si="91"/>
        <v>2026</v>
      </c>
      <c r="L224" s="168">
        <f t="shared" si="92"/>
        <v>2026.3333333333333</v>
      </c>
      <c r="M224" s="139">
        <v>327729.76</v>
      </c>
      <c r="N224" s="139">
        <f t="shared" si="93"/>
        <v>327729.76</v>
      </c>
      <c r="O224" s="139">
        <f t="shared" si="94"/>
        <v>2731.0813333333335</v>
      </c>
      <c r="P224" s="139">
        <f t="shared" si="95"/>
        <v>32772.976000000002</v>
      </c>
      <c r="Q224" s="342">
        <f t="shared" si="81"/>
        <v>32772.976000000002</v>
      </c>
      <c r="R224" s="341"/>
      <c r="S224" s="342">
        <f t="shared" si="82"/>
        <v>262183.80800000002</v>
      </c>
      <c r="T224" s="139">
        <f t="shared" si="83"/>
        <v>294956.78400000004</v>
      </c>
      <c r="U224" s="139">
        <f t="shared" si="96"/>
        <v>32772.975999999966</v>
      </c>
      <c r="V224" s="11">
        <f t="shared" si="97"/>
        <v>32772.975999999966</v>
      </c>
    </row>
    <row r="225" spans="2:22">
      <c r="C225" s="3" t="s">
        <v>92</v>
      </c>
      <c r="E225" s="3" t="s">
        <v>93</v>
      </c>
      <c r="F225" s="3">
        <v>1990</v>
      </c>
      <c r="G225" s="3">
        <v>5</v>
      </c>
      <c r="H225" s="3">
        <v>0</v>
      </c>
      <c r="I225" s="3" t="s">
        <v>52</v>
      </c>
      <c r="J225" s="3">
        <v>5</v>
      </c>
      <c r="K225" s="3">
        <f t="shared" ref="K225:K247" si="98">F225+J225</f>
        <v>1995</v>
      </c>
      <c r="L225" s="168">
        <f t="shared" ref="L225:L247" si="99">+K225+(G225/12)</f>
        <v>1995.4166666666667</v>
      </c>
      <c r="M225" s="139">
        <v>5812.79</v>
      </c>
      <c r="N225" s="139">
        <f>M225-M225*H225</f>
        <v>5812.79</v>
      </c>
      <c r="O225" s="139">
        <f>N225/J225/12</f>
        <v>96.879833333333337</v>
      </c>
      <c r="P225" s="139">
        <f t="shared" ref="P225:P247" si="100">+O225*12</f>
        <v>1162.558</v>
      </c>
      <c r="Q225" s="342">
        <f t="shared" si="81"/>
        <v>0</v>
      </c>
      <c r="R225" s="341"/>
      <c r="S225" s="342">
        <f t="shared" si="82"/>
        <v>5812.79</v>
      </c>
      <c r="T225" s="139">
        <f t="shared" si="83"/>
        <v>5812.79</v>
      </c>
      <c r="U225" s="139">
        <f t="shared" ref="U225:U247" si="101">M225-T225</f>
        <v>0</v>
      </c>
    </row>
    <row r="226" spans="2:22">
      <c r="C226" s="3" t="s">
        <v>92</v>
      </c>
      <c r="E226" s="3" t="s">
        <v>70</v>
      </c>
      <c r="F226" s="3">
        <v>1990</v>
      </c>
      <c r="G226" s="3">
        <v>7</v>
      </c>
      <c r="H226" s="3">
        <v>0</v>
      </c>
      <c r="I226" s="3" t="s">
        <v>52</v>
      </c>
      <c r="J226" s="3">
        <v>5</v>
      </c>
      <c r="K226" s="3">
        <f t="shared" si="98"/>
        <v>1995</v>
      </c>
      <c r="L226" s="168">
        <f t="shared" si="99"/>
        <v>1995.5833333333333</v>
      </c>
      <c r="M226" s="139">
        <v>3727.73</v>
      </c>
      <c r="N226" s="139">
        <f t="shared" ref="N226:N247" si="102">M226-M226*H226</f>
        <v>3727.73</v>
      </c>
      <c r="O226" s="139">
        <f t="shared" ref="O226:O247" si="103">N226/J226/12</f>
        <v>62.12883333333334</v>
      </c>
      <c r="P226" s="139">
        <f t="shared" si="100"/>
        <v>745.54600000000005</v>
      </c>
      <c r="Q226" s="342">
        <f t="shared" si="81"/>
        <v>0</v>
      </c>
      <c r="R226" s="341"/>
      <c r="S226" s="342">
        <f t="shared" si="82"/>
        <v>3727.73</v>
      </c>
      <c r="T226" s="139">
        <f t="shared" si="83"/>
        <v>3727.73</v>
      </c>
      <c r="U226" s="139">
        <f t="shared" si="101"/>
        <v>0</v>
      </c>
    </row>
    <row r="227" spans="2:22">
      <c r="B227" s="3">
        <v>19646</v>
      </c>
      <c r="C227" s="3" t="s">
        <v>54</v>
      </c>
      <c r="D227" s="3">
        <v>605</v>
      </c>
      <c r="E227" s="3" t="s">
        <v>159</v>
      </c>
      <c r="F227" s="3">
        <v>2003</v>
      </c>
      <c r="G227" s="3">
        <v>1</v>
      </c>
      <c r="H227" s="3">
        <v>0</v>
      </c>
      <c r="I227" s="3" t="s">
        <v>52</v>
      </c>
      <c r="J227" s="3">
        <v>7</v>
      </c>
      <c r="K227" s="3">
        <f>F227+J227</f>
        <v>2010</v>
      </c>
      <c r="L227" s="168">
        <f>+K227+(G227/12)</f>
        <v>2010.0833333333333</v>
      </c>
      <c r="M227" s="139">
        <f>+'2111 Trks - Orig'!P15</f>
        <v>98761.616000000009</v>
      </c>
      <c r="N227" s="139">
        <f>M227-M227*H227</f>
        <v>98761.616000000009</v>
      </c>
      <c r="O227" s="139">
        <f>N227/J227/12</f>
        <v>1175.7335238095241</v>
      </c>
      <c r="P227" s="139">
        <f>+O227*12</f>
        <v>14108.80228571429</v>
      </c>
      <c r="Q227" s="342">
        <f t="shared" si="81"/>
        <v>0</v>
      </c>
      <c r="R227" s="341"/>
      <c r="S227" s="342">
        <f t="shared" si="82"/>
        <v>98761.616000000009</v>
      </c>
      <c r="T227" s="139">
        <f t="shared" si="83"/>
        <v>98761.616000000009</v>
      </c>
      <c r="U227" s="139">
        <f t="shared" si="101"/>
        <v>0</v>
      </c>
    </row>
    <row r="228" spans="2:22" s="255" customFormat="1">
      <c r="D228" s="255">
        <v>605</v>
      </c>
      <c r="E228" s="255" t="s">
        <v>620</v>
      </c>
      <c r="F228" s="255">
        <v>2017</v>
      </c>
      <c r="G228" s="255">
        <v>10</v>
      </c>
      <c r="H228" s="255">
        <v>0</v>
      </c>
      <c r="I228" s="255" t="s">
        <v>52</v>
      </c>
      <c r="J228" s="255">
        <v>10</v>
      </c>
      <c r="K228" s="255">
        <f>F228+J228</f>
        <v>2027</v>
      </c>
      <c r="L228" s="256">
        <f>+K228+(G228/12)</f>
        <v>2027.8333333333333</v>
      </c>
      <c r="M228" s="257">
        <f>+'2111 Trks - Orig'!N15-'2111 Trks'!M227</f>
        <v>24690.403999999995</v>
      </c>
      <c r="N228" s="257">
        <f>M228-M228*H228</f>
        <v>24690.403999999995</v>
      </c>
      <c r="O228" s="257">
        <f>N228/J228/12</f>
        <v>205.75336666666661</v>
      </c>
      <c r="P228" s="257">
        <f>+O228*12</f>
        <v>2469.0403999999994</v>
      </c>
      <c r="Q228" s="342">
        <f t="shared" si="81"/>
        <v>2469.0403999999994</v>
      </c>
      <c r="R228" s="341"/>
      <c r="S228" s="342">
        <f t="shared" si="82"/>
        <v>16048.762599999998</v>
      </c>
      <c r="T228" s="139">
        <f t="shared" si="83"/>
        <v>18517.802999999996</v>
      </c>
      <c r="U228" s="258">
        <f t="shared" si="101"/>
        <v>6172.6009999999987</v>
      </c>
      <c r="V228" s="259">
        <f>M228-T228</f>
        <v>6172.6009999999987</v>
      </c>
    </row>
    <row r="229" spans="2:22">
      <c r="C229" s="3" t="s">
        <v>92</v>
      </c>
      <c r="E229" s="3" t="s">
        <v>164</v>
      </c>
      <c r="F229" s="3">
        <v>2008</v>
      </c>
      <c r="G229" s="3">
        <v>3</v>
      </c>
      <c r="H229" s="3">
        <v>0</v>
      </c>
      <c r="I229" s="3" t="s">
        <v>52</v>
      </c>
      <c r="J229" s="3">
        <v>7</v>
      </c>
      <c r="K229" s="3">
        <f t="shared" si="98"/>
        <v>2015</v>
      </c>
      <c r="L229" s="168">
        <f t="shared" si="99"/>
        <v>2015.25</v>
      </c>
      <c r="M229" s="139">
        <f>+'2111 Trks - Orig'!P145</f>
        <v>2384.6400000000003</v>
      </c>
      <c r="N229" s="139">
        <f t="shared" si="102"/>
        <v>2384.6400000000003</v>
      </c>
      <c r="O229" s="139">
        <f t="shared" si="103"/>
        <v>28.388571428571435</v>
      </c>
      <c r="P229" s="139">
        <f t="shared" si="100"/>
        <v>340.66285714285721</v>
      </c>
      <c r="Q229" s="342">
        <f t="shared" si="81"/>
        <v>0</v>
      </c>
      <c r="R229" s="341"/>
      <c r="S229" s="342">
        <f t="shared" si="82"/>
        <v>2384.6400000000003</v>
      </c>
      <c r="T229" s="139">
        <f t="shared" si="83"/>
        <v>2384.6400000000003</v>
      </c>
      <c r="U229" s="139">
        <f t="shared" si="101"/>
        <v>0</v>
      </c>
      <c r="V229" s="171">
        <f t="shared" ref="V229:V247" si="104">M229-T229</f>
        <v>0</v>
      </c>
    </row>
    <row r="230" spans="2:22">
      <c r="B230" s="3" t="s">
        <v>497</v>
      </c>
      <c r="C230" s="3" t="s">
        <v>92</v>
      </c>
      <c r="E230" s="3" t="s">
        <v>452</v>
      </c>
      <c r="F230" s="3">
        <v>2008</v>
      </c>
      <c r="G230" s="3">
        <v>4</v>
      </c>
      <c r="H230" s="3">
        <v>0</v>
      </c>
      <c r="I230" s="3" t="s">
        <v>52</v>
      </c>
      <c r="J230" s="3">
        <v>7</v>
      </c>
      <c r="K230" s="3">
        <f t="shared" si="98"/>
        <v>2015</v>
      </c>
      <c r="L230" s="168">
        <f t="shared" si="99"/>
        <v>2015.3333333333333</v>
      </c>
      <c r="M230" s="139">
        <f>+'2131 Trks - Orig'!P56</f>
        <v>872.68799999999987</v>
      </c>
      <c r="N230" s="139">
        <f t="shared" si="102"/>
        <v>872.68799999999987</v>
      </c>
      <c r="O230" s="139">
        <f t="shared" si="103"/>
        <v>10.389142857142856</v>
      </c>
      <c r="P230" s="139">
        <f t="shared" si="100"/>
        <v>124.66971428571426</v>
      </c>
      <c r="Q230" s="342">
        <f t="shared" si="81"/>
        <v>0</v>
      </c>
      <c r="R230" s="341"/>
      <c r="S230" s="342">
        <f t="shared" si="82"/>
        <v>872.68799999999987</v>
      </c>
      <c r="T230" s="139">
        <f t="shared" si="83"/>
        <v>872.68799999999987</v>
      </c>
      <c r="U230" s="139">
        <f t="shared" si="101"/>
        <v>0</v>
      </c>
      <c r="V230" s="171">
        <f t="shared" si="104"/>
        <v>0</v>
      </c>
    </row>
    <row r="231" spans="2:22" s="255" customFormat="1">
      <c r="E231" s="255" t="s">
        <v>648</v>
      </c>
      <c r="F231" s="255">
        <v>2017</v>
      </c>
      <c r="G231" s="255">
        <v>10</v>
      </c>
      <c r="H231" s="255">
        <v>0</v>
      </c>
      <c r="I231" s="255" t="s">
        <v>52</v>
      </c>
      <c r="J231" s="255">
        <v>10</v>
      </c>
      <c r="K231" s="255">
        <f>F231+J231</f>
        <v>2027</v>
      </c>
      <c r="L231" s="256">
        <f>+K231+(G231/12)</f>
        <v>2027.8333333333333</v>
      </c>
      <c r="M231" s="257">
        <f>+'2131 Trks - Orig'!N56-'2111 Trks'!M230</f>
        <v>218.17200000000003</v>
      </c>
      <c r="N231" s="257">
        <f>M231-M231*H231</f>
        <v>218.17200000000003</v>
      </c>
      <c r="O231" s="257">
        <f>N231/J231/12</f>
        <v>1.8181000000000003</v>
      </c>
      <c r="P231" s="257">
        <f>+O231*12</f>
        <v>21.817200000000003</v>
      </c>
      <c r="Q231" s="342">
        <f t="shared" si="81"/>
        <v>21.817200000000003</v>
      </c>
      <c r="R231" s="341"/>
      <c r="S231" s="342">
        <f t="shared" si="82"/>
        <v>141.81180000000001</v>
      </c>
      <c r="T231" s="139">
        <f t="shared" si="83"/>
        <v>163.62900000000002</v>
      </c>
      <c r="U231" s="258">
        <f t="shared" si="101"/>
        <v>54.543000000000006</v>
      </c>
      <c r="V231" s="259">
        <f t="shared" si="104"/>
        <v>54.543000000000006</v>
      </c>
    </row>
    <row r="232" spans="2:22">
      <c r="D232" s="3">
        <v>4</v>
      </c>
      <c r="E232" s="3" t="s">
        <v>213</v>
      </c>
      <c r="F232" s="3">
        <v>2010</v>
      </c>
      <c r="G232" s="3">
        <v>7</v>
      </c>
      <c r="H232" s="3">
        <v>0</v>
      </c>
      <c r="I232" s="3" t="s">
        <v>52</v>
      </c>
      <c r="J232" s="3">
        <v>7</v>
      </c>
      <c r="K232" s="3">
        <f t="shared" si="98"/>
        <v>2017</v>
      </c>
      <c r="L232" s="168">
        <f t="shared" si="99"/>
        <v>2017.5833333333333</v>
      </c>
      <c r="M232" s="139">
        <f>+'2111 Trks - Orig'!P147</f>
        <v>1791.712</v>
      </c>
      <c r="N232" s="139">
        <f t="shared" si="102"/>
        <v>1791.712</v>
      </c>
      <c r="O232" s="139">
        <f t="shared" si="103"/>
        <v>21.329904761904761</v>
      </c>
      <c r="P232" s="139">
        <f t="shared" si="100"/>
        <v>255.95885714285714</v>
      </c>
      <c r="Q232" s="342">
        <f t="shared" si="81"/>
        <v>0</v>
      </c>
      <c r="R232" s="341"/>
      <c r="S232" s="342">
        <f t="shared" si="82"/>
        <v>1791.712</v>
      </c>
      <c r="T232" s="139">
        <f t="shared" si="83"/>
        <v>1791.712</v>
      </c>
      <c r="U232" s="139">
        <f t="shared" si="101"/>
        <v>0</v>
      </c>
      <c r="V232" s="171">
        <f t="shared" si="104"/>
        <v>0</v>
      </c>
    </row>
    <row r="233" spans="2:22" s="255" customFormat="1">
      <c r="D233" s="255">
        <v>4</v>
      </c>
      <c r="E233" s="255" t="s">
        <v>633</v>
      </c>
      <c r="F233" s="255">
        <v>2017</v>
      </c>
      <c r="G233" s="255">
        <v>10</v>
      </c>
      <c r="H233" s="255">
        <v>0</v>
      </c>
      <c r="I233" s="255" t="s">
        <v>52</v>
      </c>
      <c r="J233" s="255">
        <v>10</v>
      </c>
      <c r="K233" s="255">
        <f>F233+J233</f>
        <v>2027</v>
      </c>
      <c r="L233" s="256">
        <f>+K233+(G233/12)</f>
        <v>2027.8333333333333</v>
      </c>
      <c r="M233" s="257">
        <f>+'2111 Trks - Orig'!N147-'2111 Trks'!M232</f>
        <v>447.92799999999988</v>
      </c>
      <c r="N233" s="257">
        <f>M233-M233*H233</f>
        <v>447.92799999999988</v>
      </c>
      <c r="O233" s="257">
        <f>N233/J233/12</f>
        <v>3.7327333333333321</v>
      </c>
      <c r="P233" s="257">
        <f>+O233*12</f>
        <v>44.792799999999986</v>
      </c>
      <c r="Q233" s="342">
        <f t="shared" si="81"/>
        <v>44.792799999999986</v>
      </c>
      <c r="R233" s="341"/>
      <c r="S233" s="342">
        <f t="shared" si="82"/>
        <v>291.15319999999997</v>
      </c>
      <c r="T233" s="139">
        <f t="shared" si="83"/>
        <v>335.94599999999997</v>
      </c>
      <c r="U233" s="258">
        <f t="shared" si="101"/>
        <v>111.98199999999991</v>
      </c>
      <c r="V233" s="259">
        <f t="shared" si="104"/>
        <v>111.98199999999991</v>
      </c>
    </row>
    <row r="234" spans="2:22">
      <c r="B234" s="3">
        <v>173284</v>
      </c>
      <c r="C234" s="3" t="s">
        <v>54</v>
      </c>
      <c r="D234" s="3">
        <v>139</v>
      </c>
      <c r="E234" s="3" t="s">
        <v>453</v>
      </c>
      <c r="F234" s="3">
        <v>2011</v>
      </c>
      <c r="G234" s="3">
        <v>12</v>
      </c>
      <c r="H234" s="3">
        <v>0</v>
      </c>
      <c r="I234" s="3" t="s">
        <v>52</v>
      </c>
      <c r="J234" s="3">
        <v>7</v>
      </c>
      <c r="K234" s="3">
        <f t="shared" si="98"/>
        <v>2018</v>
      </c>
      <c r="L234" s="168">
        <f t="shared" si="99"/>
        <v>2019</v>
      </c>
      <c r="M234" s="139">
        <f>+'2131 Trks - Orig'!P57</f>
        <v>84586.551999999996</v>
      </c>
      <c r="N234" s="139">
        <f t="shared" si="102"/>
        <v>84586.551999999996</v>
      </c>
      <c r="O234" s="139">
        <f t="shared" si="103"/>
        <v>1006.9827619047619</v>
      </c>
      <c r="P234" s="139">
        <f t="shared" si="100"/>
        <v>12083.793142857143</v>
      </c>
      <c r="Q234" s="342">
        <f t="shared" si="81"/>
        <v>0</v>
      </c>
      <c r="R234" s="341"/>
      <c r="S234" s="342">
        <f t="shared" si="82"/>
        <v>84586.551999999996</v>
      </c>
      <c r="T234" s="139">
        <f t="shared" si="83"/>
        <v>84586.551999999996</v>
      </c>
      <c r="U234" s="139">
        <f t="shared" si="101"/>
        <v>0</v>
      </c>
      <c r="V234" s="171">
        <f t="shared" si="104"/>
        <v>0</v>
      </c>
    </row>
    <row r="235" spans="2:22">
      <c r="B235" s="3" t="s">
        <v>559</v>
      </c>
      <c r="D235" s="3">
        <v>139</v>
      </c>
      <c r="E235" s="3" t="s">
        <v>454</v>
      </c>
      <c r="F235" s="3">
        <v>2011</v>
      </c>
      <c r="G235" s="3">
        <v>12</v>
      </c>
      <c r="H235" s="3">
        <v>0</v>
      </c>
      <c r="I235" s="3" t="s">
        <v>52</v>
      </c>
      <c r="J235" s="3">
        <v>7</v>
      </c>
      <c r="K235" s="3">
        <f t="shared" si="98"/>
        <v>2018</v>
      </c>
      <c r="L235" s="168">
        <f t="shared" si="99"/>
        <v>2019</v>
      </c>
      <c r="M235" s="139">
        <f>+'2131 Trks - Orig'!P58</f>
        <v>1027.2</v>
      </c>
      <c r="N235" s="139">
        <f t="shared" si="102"/>
        <v>1027.2</v>
      </c>
      <c r="O235" s="139">
        <f t="shared" si="103"/>
        <v>12.22857142857143</v>
      </c>
      <c r="P235" s="139">
        <f t="shared" si="100"/>
        <v>146.74285714285716</v>
      </c>
      <c r="Q235" s="342">
        <f t="shared" si="81"/>
        <v>0</v>
      </c>
      <c r="R235" s="341"/>
      <c r="S235" s="342">
        <f t="shared" si="82"/>
        <v>1027.2</v>
      </c>
      <c r="T235" s="139">
        <f t="shared" si="83"/>
        <v>1027.2</v>
      </c>
      <c r="U235" s="139">
        <f t="shared" si="101"/>
        <v>0</v>
      </c>
      <c r="V235" s="171">
        <f t="shared" si="104"/>
        <v>0</v>
      </c>
    </row>
    <row r="236" spans="2:22" s="255" customFormat="1">
      <c r="D236" s="255">
        <v>139</v>
      </c>
      <c r="E236" s="255" t="s">
        <v>650</v>
      </c>
      <c r="F236" s="255">
        <v>2017</v>
      </c>
      <c r="G236" s="255">
        <v>10</v>
      </c>
      <c r="H236" s="255">
        <v>0</v>
      </c>
      <c r="I236" s="255" t="s">
        <v>52</v>
      </c>
      <c r="J236" s="255">
        <v>10</v>
      </c>
      <c r="K236" s="255">
        <f>F236+J236</f>
        <v>2027</v>
      </c>
      <c r="L236" s="256">
        <f>+K236+(G236/12)</f>
        <v>2027.8333333333333</v>
      </c>
      <c r="M236" s="257">
        <f>+SUM('2131 Trks - Orig'!N57:N58)-SUM('2111 Trks'!M234:M235)</f>
        <v>21403.438000000009</v>
      </c>
      <c r="N236" s="257">
        <f>M236-M236*H236</f>
        <v>21403.438000000009</v>
      </c>
      <c r="O236" s="257">
        <f>N236/J236/12</f>
        <v>178.36198333333343</v>
      </c>
      <c r="P236" s="257">
        <f>+O236*12</f>
        <v>2140.343800000001</v>
      </c>
      <c r="Q236" s="342">
        <f t="shared" si="81"/>
        <v>2140.343800000001</v>
      </c>
      <c r="R236" s="341"/>
      <c r="S236" s="342">
        <f t="shared" si="82"/>
        <v>13912.234700000005</v>
      </c>
      <c r="T236" s="139">
        <f t="shared" si="83"/>
        <v>16052.578500000005</v>
      </c>
      <c r="U236" s="258">
        <f t="shared" si="101"/>
        <v>5350.8595000000041</v>
      </c>
      <c r="V236" s="259">
        <f t="shared" si="104"/>
        <v>5350.8595000000041</v>
      </c>
    </row>
    <row r="237" spans="2:22">
      <c r="B237" s="3" t="s">
        <v>560</v>
      </c>
      <c r="E237" s="3" t="s">
        <v>558</v>
      </c>
      <c r="F237" s="3">
        <v>2011</v>
      </c>
      <c r="G237" s="3">
        <v>12</v>
      </c>
      <c r="H237" s="3">
        <v>0</v>
      </c>
      <c r="I237" s="3" t="s">
        <v>52</v>
      </c>
      <c r="J237" s="3">
        <v>5</v>
      </c>
      <c r="K237" s="3">
        <f t="shared" si="98"/>
        <v>2016</v>
      </c>
      <c r="L237" s="168">
        <f t="shared" si="99"/>
        <v>2017</v>
      </c>
      <c r="M237" s="139">
        <f>2568.41-M235</f>
        <v>1541.2099999999998</v>
      </c>
      <c r="N237" s="139">
        <f t="shared" si="102"/>
        <v>1541.2099999999998</v>
      </c>
      <c r="O237" s="139">
        <f t="shared" si="103"/>
        <v>25.686833333333329</v>
      </c>
      <c r="P237" s="139">
        <f t="shared" si="100"/>
        <v>308.24199999999996</v>
      </c>
      <c r="Q237" s="342">
        <f t="shared" si="81"/>
        <v>0</v>
      </c>
      <c r="R237" s="341"/>
      <c r="S237" s="342">
        <f t="shared" si="82"/>
        <v>1541.2099999999998</v>
      </c>
      <c r="T237" s="139">
        <f t="shared" si="83"/>
        <v>1541.2099999999998</v>
      </c>
      <c r="U237" s="139">
        <f t="shared" si="101"/>
        <v>0</v>
      </c>
      <c r="V237" s="171">
        <f t="shared" si="104"/>
        <v>0</v>
      </c>
    </row>
    <row r="238" spans="2:22">
      <c r="B238" s="3">
        <v>99657</v>
      </c>
      <c r="C238" s="3" t="s">
        <v>92</v>
      </c>
      <c r="D238" s="3">
        <v>822</v>
      </c>
      <c r="E238" s="3" t="s">
        <v>241</v>
      </c>
      <c r="F238" s="3">
        <v>2012</v>
      </c>
      <c r="G238" s="3">
        <v>12</v>
      </c>
      <c r="H238" s="3">
        <v>0</v>
      </c>
      <c r="I238" s="3" t="s">
        <v>52</v>
      </c>
      <c r="J238" s="3">
        <v>7</v>
      </c>
      <c r="K238" s="3">
        <f t="shared" si="98"/>
        <v>2019</v>
      </c>
      <c r="L238" s="168">
        <f t="shared" si="99"/>
        <v>2020</v>
      </c>
      <c r="M238" s="139">
        <f>+'2111 Trks - Orig'!P148</f>
        <v>250931.31200000001</v>
      </c>
      <c r="N238" s="139">
        <f t="shared" si="102"/>
        <v>250931.31200000001</v>
      </c>
      <c r="O238" s="139">
        <f t="shared" si="103"/>
        <v>2987.2775238095237</v>
      </c>
      <c r="P238" s="139">
        <f t="shared" si="100"/>
        <v>35847.330285714284</v>
      </c>
      <c r="Q238" s="342">
        <f t="shared" si="81"/>
        <v>0</v>
      </c>
      <c r="R238" s="341"/>
      <c r="S238" s="342">
        <f t="shared" si="82"/>
        <v>250931.31200000001</v>
      </c>
      <c r="T238" s="139">
        <f t="shared" si="83"/>
        <v>250931.31200000001</v>
      </c>
      <c r="U238" s="139">
        <f t="shared" si="101"/>
        <v>0</v>
      </c>
      <c r="V238" s="171">
        <f t="shared" si="104"/>
        <v>0</v>
      </c>
    </row>
    <row r="239" spans="2:22" s="255" customFormat="1">
      <c r="D239" s="255">
        <v>822</v>
      </c>
      <c r="E239" s="255" t="s">
        <v>652</v>
      </c>
      <c r="F239" s="255">
        <v>2017</v>
      </c>
      <c r="G239" s="255">
        <v>10</v>
      </c>
      <c r="H239" s="255">
        <v>0</v>
      </c>
      <c r="I239" s="255" t="s">
        <v>52</v>
      </c>
      <c r="J239" s="255">
        <v>10</v>
      </c>
      <c r="K239" s="255">
        <f>F239+J239</f>
        <v>2027</v>
      </c>
      <c r="L239" s="256">
        <f>+K239+(G239/12)</f>
        <v>2027.8333333333333</v>
      </c>
      <c r="M239" s="257">
        <f>+'2111 Trks - Orig'!N148-'2111 Trks'!M238</f>
        <v>62732.828000000009</v>
      </c>
      <c r="N239" s="257">
        <f>M239-M239*H239</f>
        <v>62732.828000000009</v>
      </c>
      <c r="O239" s="257">
        <f>N239/J239/12</f>
        <v>522.77356666666674</v>
      </c>
      <c r="P239" s="257">
        <f>+O239*12</f>
        <v>6273.2828000000009</v>
      </c>
      <c r="Q239" s="342">
        <f t="shared" si="81"/>
        <v>6273.2828000000009</v>
      </c>
      <c r="R239" s="341"/>
      <c r="S239" s="342">
        <f t="shared" si="82"/>
        <v>40776.338200000006</v>
      </c>
      <c r="T239" s="139">
        <f t="shared" si="83"/>
        <v>47049.621000000006</v>
      </c>
      <c r="U239" s="258">
        <f t="shared" si="101"/>
        <v>15683.207000000002</v>
      </c>
      <c r="V239" s="259">
        <f t="shared" si="104"/>
        <v>15683.207000000002</v>
      </c>
    </row>
    <row r="240" spans="2:22">
      <c r="B240" s="3">
        <v>110968</v>
      </c>
      <c r="C240" s="3" t="s">
        <v>92</v>
      </c>
      <c r="D240" s="3">
        <v>825</v>
      </c>
      <c r="E240" s="3" t="s">
        <v>309</v>
      </c>
      <c r="F240" s="3">
        <v>2014</v>
      </c>
      <c r="G240" s="3">
        <v>2</v>
      </c>
      <c r="H240" s="3">
        <v>0</v>
      </c>
      <c r="I240" s="3" t="s">
        <v>52</v>
      </c>
      <c r="J240" s="3">
        <v>7</v>
      </c>
      <c r="K240" s="3">
        <f t="shared" si="98"/>
        <v>2021</v>
      </c>
      <c r="L240" s="168">
        <f t="shared" si="99"/>
        <v>2021.1666666666667</v>
      </c>
      <c r="M240" s="139">
        <f>+'2111 Trks - Orig'!P149</f>
        <v>255194.288</v>
      </c>
      <c r="N240" s="139">
        <f t="shared" si="102"/>
        <v>255194.288</v>
      </c>
      <c r="O240" s="139">
        <f t="shared" si="103"/>
        <v>3038.0272380952379</v>
      </c>
      <c r="P240" s="139">
        <f t="shared" si="100"/>
        <v>36456.326857142856</v>
      </c>
      <c r="Q240" s="342">
        <f t="shared" si="81"/>
        <v>0</v>
      </c>
      <c r="R240" s="341"/>
      <c r="S240" s="342">
        <f t="shared" si="82"/>
        <v>255194.288</v>
      </c>
      <c r="T240" s="139">
        <f t="shared" si="83"/>
        <v>255194.288</v>
      </c>
      <c r="U240" s="139">
        <f t="shared" si="101"/>
        <v>0</v>
      </c>
      <c r="V240" s="171">
        <f t="shared" si="104"/>
        <v>0</v>
      </c>
    </row>
    <row r="241" spans="2:22" s="255" customFormat="1">
      <c r="D241" s="255">
        <v>825</v>
      </c>
      <c r="E241" s="255" t="s">
        <v>651</v>
      </c>
      <c r="F241" s="255">
        <v>2017</v>
      </c>
      <c r="G241" s="255">
        <v>10</v>
      </c>
      <c r="H241" s="255">
        <v>0</v>
      </c>
      <c r="I241" s="255" t="s">
        <v>52</v>
      </c>
      <c r="J241" s="255">
        <v>10</v>
      </c>
      <c r="K241" s="255">
        <f>F241+J241</f>
        <v>2027</v>
      </c>
      <c r="L241" s="256">
        <f>+K241+(G241/12)</f>
        <v>2027.8333333333333</v>
      </c>
      <c r="M241" s="257">
        <f>+'2111 Trks - Orig'!N149-'2111 Trks'!M240</f>
        <v>63798.571999999986</v>
      </c>
      <c r="N241" s="257">
        <f>M241-M241*H241</f>
        <v>63798.571999999986</v>
      </c>
      <c r="O241" s="257">
        <f>N241/J241/12</f>
        <v>531.65476666666655</v>
      </c>
      <c r="P241" s="257">
        <f>+O241*12</f>
        <v>6379.8571999999986</v>
      </c>
      <c r="Q241" s="342">
        <f t="shared" si="81"/>
        <v>6379.8571999999986</v>
      </c>
      <c r="R241" s="341"/>
      <c r="S241" s="342">
        <f t="shared" si="82"/>
        <v>41469.071799999991</v>
      </c>
      <c r="T241" s="139">
        <f t="shared" si="83"/>
        <v>47848.928999999989</v>
      </c>
      <c r="U241" s="258">
        <f t="shared" si="101"/>
        <v>15949.642999999996</v>
      </c>
      <c r="V241" s="259">
        <f t="shared" si="104"/>
        <v>15949.642999999996</v>
      </c>
    </row>
    <row r="242" spans="2:22">
      <c r="B242" s="3">
        <v>116566</v>
      </c>
      <c r="C242" s="3" t="s">
        <v>92</v>
      </c>
      <c r="D242" s="3">
        <v>826</v>
      </c>
      <c r="E242" s="3" t="s">
        <v>315</v>
      </c>
      <c r="F242" s="3">
        <v>2014</v>
      </c>
      <c r="G242" s="3">
        <v>10</v>
      </c>
      <c r="H242" s="3">
        <v>0</v>
      </c>
      <c r="I242" s="3" t="s">
        <v>52</v>
      </c>
      <c r="J242" s="3">
        <v>7</v>
      </c>
      <c r="K242" s="3">
        <f t="shared" si="98"/>
        <v>2021</v>
      </c>
      <c r="L242" s="168">
        <f t="shared" si="99"/>
        <v>2021.8333333333333</v>
      </c>
      <c r="M242" s="139">
        <f>+'2111 Trks - Orig'!P150</f>
        <v>260026.92799999999</v>
      </c>
      <c r="N242" s="139">
        <f t="shared" si="102"/>
        <v>260026.92799999999</v>
      </c>
      <c r="O242" s="139">
        <f t="shared" si="103"/>
        <v>3095.5586666666663</v>
      </c>
      <c r="P242" s="139">
        <f t="shared" si="100"/>
        <v>37146.703999999998</v>
      </c>
      <c r="Q242" s="342">
        <f t="shared" si="81"/>
        <v>0</v>
      </c>
      <c r="R242" s="341"/>
      <c r="S242" s="342">
        <f t="shared" si="82"/>
        <v>260026.92799999999</v>
      </c>
      <c r="T242" s="139">
        <f t="shared" si="83"/>
        <v>260026.92799999999</v>
      </c>
      <c r="U242" s="139">
        <f t="shared" si="101"/>
        <v>0</v>
      </c>
      <c r="V242" s="171">
        <f t="shared" si="104"/>
        <v>0</v>
      </c>
    </row>
    <row r="243" spans="2:22" s="255" customFormat="1">
      <c r="D243" s="255">
        <v>826</v>
      </c>
      <c r="E243" s="255" t="s">
        <v>653</v>
      </c>
      <c r="F243" s="255">
        <v>2017</v>
      </c>
      <c r="G243" s="255">
        <v>10</v>
      </c>
      <c r="H243" s="255">
        <v>0</v>
      </c>
      <c r="I243" s="255" t="s">
        <v>52</v>
      </c>
      <c r="J243" s="255">
        <v>10</v>
      </c>
      <c r="K243" s="255">
        <f>F243+J243</f>
        <v>2027</v>
      </c>
      <c r="L243" s="256">
        <f>+K243+(G243/12)</f>
        <v>2027.8333333333333</v>
      </c>
      <c r="M243" s="257">
        <f>+'2111 Trks - Orig'!N150-'2111 Trks'!M242</f>
        <v>65006.731999999989</v>
      </c>
      <c r="N243" s="257">
        <f>M243-M243*H243</f>
        <v>65006.731999999989</v>
      </c>
      <c r="O243" s="257">
        <f>N243/J243/12</f>
        <v>541.72276666666664</v>
      </c>
      <c r="P243" s="257">
        <f>+O243*12</f>
        <v>6500.6731999999993</v>
      </c>
      <c r="Q243" s="342">
        <f t="shared" si="81"/>
        <v>6500.6731999999993</v>
      </c>
      <c r="R243" s="341"/>
      <c r="S243" s="342">
        <f t="shared" si="82"/>
        <v>42254.375799999994</v>
      </c>
      <c r="T243" s="139">
        <f t="shared" si="83"/>
        <v>48755.048999999992</v>
      </c>
      <c r="U243" s="258">
        <f t="shared" si="101"/>
        <v>16251.682999999997</v>
      </c>
      <c r="V243" s="259">
        <f t="shared" si="104"/>
        <v>16251.682999999997</v>
      </c>
    </row>
    <row r="244" spans="2:22">
      <c r="B244" s="3">
        <v>173307</v>
      </c>
      <c r="D244" s="3">
        <v>829</v>
      </c>
      <c r="E244" s="3" t="s">
        <v>315</v>
      </c>
      <c r="F244" s="3">
        <v>2014</v>
      </c>
      <c r="G244" s="3">
        <v>10</v>
      </c>
      <c r="H244" s="3">
        <v>0</v>
      </c>
      <c r="I244" s="3" t="s">
        <v>52</v>
      </c>
      <c r="J244" s="3">
        <v>7</v>
      </c>
      <c r="K244" s="3">
        <f t="shared" si="98"/>
        <v>2021</v>
      </c>
      <c r="L244" s="168">
        <f t="shared" si="99"/>
        <v>2021.8333333333333</v>
      </c>
      <c r="M244" s="139">
        <f>+'2131 Trks - Orig'!P59</f>
        <v>259784.24</v>
      </c>
      <c r="N244" s="139">
        <f t="shared" si="102"/>
        <v>259784.24</v>
      </c>
      <c r="O244" s="139">
        <f t="shared" si="103"/>
        <v>3092.6695238095235</v>
      </c>
      <c r="P244" s="139">
        <f t="shared" si="100"/>
        <v>37112.034285714282</v>
      </c>
      <c r="Q244" s="342">
        <f t="shared" si="81"/>
        <v>0</v>
      </c>
      <c r="R244" s="341"/>
      <c r="S244" s="342">
        <f t="shared" si="82"/>
        <v>259784.24</v>
      </c>
      <c r="T244" s="139">
        <f t="shared" si="83"/>
        <v>259784.24</v>
      </c>
      <c r="U244" s="139">
        <f t="shared" si="101"/>
        <v>0</v>
      </c>
      <c r="V244" s="171">
        <f t="shared" si="104"/>
        <v>0</v>
      </c>
    </row>
    <row r="245" spans="2:22" s="255" customFormat="1">
      <c r="D245" s="255">
        <v>829</v>
      </c>
      <c r="E245" s="255" t="s">
        <v>654</v>
      </c>
      <c r="F245" s="255">
        <v>2017</v>
      </c>
      <c r="G245" s="255">
        <v>10</v>
      </c>
      <c r="H245" s="255">
        <v>0</v>
      </c>
      <c r="I245" s="255" t="s">
        <v>52</v>
      </c>
      <c r="J245" s="255">
        <v>10</v>
      </c>
      <c r="K245" s="255">
        <f>F245+J245</f>
        <v>2027</v>
      </c>
      <c r="L245" s="256">
        <f>+K245+(G245/12)</f>
        <v>2027.8333333333333</v>
      </c>
      <c r="M245" s="257">
        <f>+'2131 Trks - Orig'!N59-'2111 Trks'!M244</f>
        <v>64946.06</v>
      </c>
      <c r="N245" s="257">
        <f>M245-M245*H245</f>
        <v>64946.06</v>
      </c>
      <c r="O245" s="257">
        <f>N245/J245/12</f>
        <v>541.21716666666669</v>
      </c>
      <c r="P245" s="257">
        <f>+O245*12</f>
        <v>6494.6059999999998</v>
      </c>
      <c r="Q245" s="342">
        <f t="shared" si="81"/>
        <v>6494.6059999999998</v>
      </c>
      <c r="R245" s="341"/>
      <c r="S245" s="342">
        <f t="shared" si="82"/>
        <v>42214.938999999998</v>
      </c>
      <c r="T245" s="139">
        <f t="shared" si="83"/>
        <v>48709.544999999998</v>
      </c>
      <c r="U245" s="258">
        <f t="shared" si="101"/>
        <v>16236.514999999999</v>
      </c>
      <c r="V245" s="259">
        <f t="shared" si="104"/>
        <v>16236.514999999999</v>
      </c>
    </row>
    <row r="246" spans="2:22">
      <c r="B246" s="3" t="s">
        <v>419</v>
      </c>
      <c r="E246" s="3" t="s">
        <v>423</v>
      </c>
      <c r="F246" s="3">
        <v>2016</v>
      </c>
      <c r="G246" s="3">
        <v>3</v>
      </c>
      <c r="H246" s="3">
        <v>0</v>
      </c>
      <c r="I246" s="3" t="s">
        <v>52</v>
      </c>
      <c r="J246" s="3">
        <v>1</v>
      </c>
      <c r="K246" s="3">
        <f t="shared" si="98"/>
        <v>2017</v>
      </c>
      <c r="L246" s="168">
        <f t="shared" si="99"/>
        <v>2017.25</v>
      </c>
      <c r="M246" s="139">
        <f>(25892.28+23056.62)/104*8</f>
        <v>3765.2999999999997</v>
      </c>
      <c r="N246" s="139">
        <f t="shared" si="102"/>
        <v>3765.2999999999997</v>
      </c>
      <c r="O246" s="139">
        <f t="shared" si="103"/>
        <v>313.77499999999998</v>
      </c>
      <c r="P246" s="139">
        <f t="shared" si="100"/>
        <v>3765.2999999999997</v>
      </c>
      <c r="Q246" s="342">
        <f t="shared" si="81"/>
        <v>0</v>
      </c>
      <c r="R246" s="341"/>
      <c r="S246" s="342">
        <f t="shared" si="82"/>
        <v>3765.2999999999997</v>
      </c>
      <c r="T246" s="139">
        <f t="shared" si="83"/>
        <v>3765.2999999999997</v>
      </c>
      <c r="U246" s="139">
        <f t="shared" si="101"/>
        <v>0</v>
      </c>
      <c r="V246" s="171">
        <f t="shared" si="104"/>
        <v>0</v>
      </c>
    </row>
    <row r="247" spans="2:22">
      <c r="B247" s="3">
        <v>173318</v>
      </c>
      <c r="D247" s="3">
        <v>836</v>
      </c>
      <c r="E247" s="3" t="s">
        <v>455</v>
      </c>
      <c r="F247" s="3">
        <v>2016</v>
      </c>
      <c r="G247" s="3">
        <v>3</v>
      </c>
      <c r="H247" s="3">
        <v>0</v>
      </c>
      <c r="I247" s="3" t="s">
        <v>52</v>
      </c>
      <c r="J247" s="3">
        <v>10</v>
      </c>
      <c r="K247" s="3">
        <f t="shared" si="98"/>
        <v>2026</v>
      </c>
      <c r="L247" s="168">
        <f t="shared" si="99"/>
        <v>2026.25</v>
      </c>
      <c r="M247" s="139">
        <v>326844.58</v>
      </c>
      <c r="N247" s="139">
        <f t="shared" si="102"/>
        <v>326844.58</v>
      </c>
      <c r="O247" s="139">
        <f t="shared" si="103"/>
        <v>2723.7048333333337</v>
      </c>
      <c r="P247" s="139">
        <f t="shared" si="100"/>
        <v>32684.458000000006</v>
      </c>
      <c r="Q247" s="342">
        <f t="shared" si="81"/>
        <v>32684.458000000006</v>
      </c>
      <c r="R247" s="341"/>
      <c r="S247" s="342">
        <f t="shared" si="82"/>
        <v>264199.36883333087</v>
      </c>
      <c r="T247" s="139">
        <f t="shared" si="83"/>
        <v>296883.82683333085</v>
      </c>
      <c r="U247" s="139">
        <f t="shared" si="101"/>
        <v>29960.753166669165</v>
      </c>
      <c r="V247" s="171">
        <f t="shared" si="104"/>
        <v>29960.753166669165</v>
      </c>
    </row>
    <row r="248" spans="2:22">
      <c r="B248" s="3">
        <v>198526</v>
      </c>
      <c r="D248" s="3">
        <v>838</v>
      </c>
      <c r="E248" s="3" t="s">
        <v>566</v>
      </c>
      <c r="F248" s="3">
        <v>2016</v>
      </c>
      <c r="G248" s="3">
        <v>7</v>
      </c>
      <c r="H248" s="3">
        <v>0</v>
      </c>
      <c r="I248" s="3" t="s">
        <v>52</v>
      </c>
      <c r="J248" s="3">
        <v>9</v>
      </c>
      <c r="K248" s="3">
        <f t="shared" ref="K248:K253" si="105">F248+J248</f>
        <v>2025</v>
      </c>
      <c r="L248" s="168">
        <f t="shared" ref="L248:L253" si="106">+K248+(G248/12)</f>
        <v>2025.5833333333333</v>
      </c>
      <c r="M248" s="139">
        <v>327729.78000000003</v>
      </c>
      <c r="N248" s="139">
        <f t="shared" ref="N248:N253" si="107">M248-M248*H248</f>
        <v>327729.78000000003</v>
      </c>
      <c r="O248" s="139">
        <f t="shared" ref="O248:O253" si="108">N248/J248/12</f>
        <v>3034.5350000000003</v>
      </c>
      <c r="P248" s="139">
        <f t="shared" ref="P248:P253" si="109">+O248*12</f>
        <v>36414.420000000006</v>
      </c>
      <c r="Q248" s="342">
        <f t="shared" si="81"/>
        <v>36414.420000000006</v>
      </c>
      <c r="R248" s="341"/>
      <c r="S248" s="342">
        <f t="shared" si="82"/>
        <v>282211.755</v>
      </c>
      <c r="T248" s="139">
        <f t="shared" si="83"/>
        <v>318626.17499999999</v>
      </c>
      <c r="U248" s="139">
        <f t="shared" ref="U248:U253" si="110">M248-T248</f>
        <v>9103.6050000000396</v>
      </c>
      <c r="V248" s="11">
        <f t="shared" ref="V248:V253" si="111">M248-T248</f>
        <v>9103.6050000000396</v>
      </c>
    </row>
    <row r="249" spans="2:22">
      <c r="B249" s="3">
        <v>221745</v>
      </c>
      <c r="D249" s="3">
        <v>857</v>
      </c>
      <c r="E249" s="3" t="s">
        <v>1068</v>
      </c>
      <c r="F249" s="3">
        <v>2019</v>
      </c>
      <c r="G249" s="3">
        <v>10</v>
      </c>
      <c r="H249" s="3">
        <v>0</v>
      </c>
      <c r="I249" s="3" t="s">
        <v>52</v>
      </c>
      <c r="J249" s="3">
        <v>10</v>
      </c>
      <c r="K249" s="3">
        <f t="shared" si="105"/>
        <v>2029</v>
      </c>
      <c r="L249" s="168">
        <f t="shared" si="106"/>
        <v>2029.8333333333333</v>
      </c>
      <c r="M249" s="139">
        <f>360568.03+505.54</f>
        <v>361073.57</v>
      </c>
      <c r="N249" s="139">
        <f t="shared" si="107"/>
        <v>361073.57</v>
      </c>
      <c r="O249" s="139">
        <f t="shared" si="108"/>
        <v>3008.9464166666671</v>
      </c>
      <c r="P249" s="139">
        <f t="shared" si="109"/>
        <v>36107.357000000004</v>
      </c>
      <c r="Q249" s="342">
        <f t="shared" si="81"/>
        <v>36107.357000000004</v>
      </c>
      <c r="R249" s="341"/>
      <c r="S249" s="342">
        <f t="shared" si="82"/>
        <v>162483.10649999997</v>
      </c>
      <c r="T249" s="139">
        <f t="shared" si="83"/>
        <v>198590.46349999995</v>
      </c>
      <c r="U249" s="139">
        <f t="shared" si="110"/>
        <v>162483.10650000005</v>
      </c>
      <c r="V249" s="11">
        <f t="shared" si="111"/>
        <v>162483.10650000005</v>
      </c>
    </row>
    <row r="250" spans="2:22">
      <c r="B250" s="3" t="s">
        <v>1143</v>
      </c>
      <c r="D250" s="3">
        <v>867</v>
      </c>
      <c r="E250" s="3" t="s">
        <v>1306</v>
      </c>
      <c r="F250" s="3">
        <v>2021</v>
      </c>
      <c r="G250" s="3">
        <v>1</v>
      </c>
      <c r="H250" s="3">
        <v>0</v>
      </c>
      <c r="I250" s="3" t="s">
        <v>52</v>
      </c>
      <c r="J250" s="3">
        <v>10</v>
      </c>
      <c r="K250" s="3">
        <f t="shared" si="105"/>
        <v>2031</v>
      </c>
      <c r="L250" s="168">
        <f t="shared" si="106"/>
        <v>2031.0833333333333</v>
      </c>
      <c r="M250" s="139">
        <v>4187.6000000000004</v>
      </c>
      <c r="N250" s="139">
        <f t="shared" si="107"/>
        <v>4187.6000000000004</v>
      </c>
      <c r="O250" s="139">
        <f t="shared" si="108"/>
        <v>34.896666666666668</v>
      </c>
      <c r="P250" s="139">
        <f t="shared" si="109"/>
        <v>418.76</v>
      </c>
      <c r="Q250" s="342">
        <f t="shared" si="81"/>
        <v>418.76</v>
      </c>
      <c r="R250" s="341"/>
      <c r="S250" s="342">
        <f t="shared" si="82"/>
        <v>1360.9700000000003</v>
      </c>
      <c r="T250" s="139">
        <f t="shared" si="83"/>
        <v>1779.7300000000002</v>
      </c>
      <c r="U250" s="139">
        <f t="shared" si="110"/>
        <v>2407.87</v>
      </c>
      <c r="V250" s="11">
        <f t="shared" si="111"/>
        <v>2407.87</v>
      </c>
    </row>
    <row r="251" spans="2:22">
      <c r="B251" s="3" t="s">
        <v>1160</v>
      </c>
      <c r="D251" s="3">
        <v>867</v>
      </c>
      <c r="E251" s="3" t="s">
        <v>1305</v>
      </c>
      <c r="F251" s="3">
        <v>2021</v>
      </c>
      <c r="G251" s="3">
        <v>1</v>
      </c>
      <c r="H251" s="3">
        <v>0</v>
      </c>
      <c r="I251" s="3" t="s">
        <v>52</v>
      </c>
      <c r="J251" s="3">
        <v>10</v>
      </c>
      <c r="K251" s="3">
        <f t="shared" si="105"/>
        <v>2031</v>
      </c>
      <c r="L251" s="168">
        <f t="shared" si="106"/>
        <v>2031.0833333333333</v>
      </c>
      <c r="M251" s="139">
        <v>180368.65</v>
      </c>
      <c r="N251" s="139">
        <f t="shared" si="107"/>
        <v>180368.65</v>
      </c>
      <c r="O251" s="139">
        <f t="shared" si="108"/>
        <v>1503.0720833333332</v>
      </c>
      <c r="P251" s="139">
        <f t="shared" si="109"/>
        <v>18036.864999999998</v>
      </c>
      <c r="Q251" s="342">
        <f t="shared" si="81"/>
        <v>18036.864999999998</v>
      </c>
      <c r="R251" s="341"/>
      <c r="S251" s="342">
        <f t="shared" si="82"/>
        <v>58619.811249999999</v>
      </c>
      <c r="T251" s="139">
        <f t="shared" si="83"/>
        <v>76656.67624999999</v>
      </c>
      <c r="U251" s="139">
        <f t="shared" si="110"/>
        <v>103711.97375</v>
      </c>
      <c r="V251" s="11">
        <f t="shared" si="111"/>
        <v>103711.97375</v>
      </c>
    </row>
    <row r="252" spans="2:22">
      <c r="B252" s="3">
        <v>255684</v>
      </c>
      <c r="E252" s="3" t="s">
        <v>558</v>
      </c>
      <c r="F252" s="3">
        <v>2021</v>
      </c>
      <c r="G252" s="3">
        <v>7</v>
      </c>
      <c r="H252" s="3">
        <v>0</v>
      </c>
      <c r="I252" s="3" t="s">
        <v>52</v>
      </c>
      <c r="J252" s="3">
        <v>5</v>
      </c>
      <c r="K252" s="3">
        <f t="shared" si="105"/>
        <v>2026</v>
      </c>
      <c r="L252" s="168">
        <f t="shared" si="106"/>
        <v>2026.5833333333333</v>
      </c>
      <c r="M252" s="139">
        <v>1617.15</v>
      </c>
      <c r="N252" s="139">
        <f t="shared" si="107"/>
        <v>1617.15</v>
      </c>
      <c r="O252" s="139">
        <f t="shared" si="108"/>
        <v>26.952500000000001</v>
      </c>
      <c r="P252" s="139">
        <f t="shared" si="109"/>
        <v>323.43</v>
      </c>
      <c r="Q252" s="342">
        <f t="shared" si="81"/>
        <v>323.43</v>
      </c>
      <c r="R252" s="341"/>
      <c r="S252" s="342">
        <f t="shared" si="82"/>
        <v>889.43250000000012</v>
      </c>
      <c r="T252" s="139">
        <f t="shared" si="83"/>
        <v>1212.8625000000002</v>
      </c>
      <c r="U252" s="139">
        <f t="shared" si="110"/>
        <v>404.28749999999991</v>
      </c>
      <c r="V252" s="11">
        <f t="shared" si="111"/>
        <v>404.28749999999991</v>
      </c>
    </row>
    <row r="253" spans="2:22">
      <c r="B253" s="3">
        <v>255407</v>
      </c>
      <c r="D253" s="3">
        <v>868</v>
      </c>
      <c r="E253" s="3" t="s">
        <v>1175</v>
      </c>
      <c r="F253" s="3">
        <v>2021</v>
      </c>
      <c r="G253" s="3">
        <v>7</v>
      </c>
      <c r="H253" s="3">
        <v>0</v>
      </c>
      <c r="I253" s="3" t="s">
        <v>52</v>
      </c>
      <c r="J253" s="3">
        <v>10</v>
      </c>
      <c r="K253" s="3">
        <f t="shared" si="105"/>
        <v>2031</v>
      </c>
      <c r="L253" s="168">
        <f t="shared" si="106"/>
        <v>2031.5833333333333</v>
      </c>
      <c r="M253" s="139">
        <v>374630.77</v>
      </c>
      <c r="N253" s="139">
        <f t="shared" si="107"/>
        <v>374630.77</v>
      </c>
      <c r="O253" s="139">
        <f t="shared" si="108"/>
        <v>3121.9230833333336</v>
      </c>
      <c r="P253" s="139">
        <f t="shared" si="109"/>
        <v>37463.077000000005</v>
      </c>
      <c r="Q253" s="342">
        <f t="shared" si="81"/>
        <v>37463.077000000005</v>
      </c>
      <c r="R253" s="341"/>
      <c r="S253" s="342">
        <f t="shared" si="82"/>
        <v>103023.46175000002</v>
      </c>
      <c r="T253" s="139">
        <f t="shared" si="83"/>
        <v>140486.53875000001</v>
      </c>
      <c r="U253" s="139">
        <f t="shared" si="110"/>
        <v>234144.23125000001</v>
      </c>
      <c r="V253" s="11">
        <f t="shared" si="111"/>
        <v>234144.23125000001</v>
      </c>
    </row>
    <row r="254" spans="2:22">
      <c r="L254" s="168"/>
      <c r="M254" s="139"/>
      <c r="N254" s="139"/>
      <c r="O254" s="139"/>
      <c r="P254" s="139"/>
      <c r="Q254" s="139"/>
      <c r="R254" s="139"/>
      <c r="S254" s="139"/>
      <c r="T254" s="139"/>
      <c r="U254" s="139"/>
    </row>
    <row r="255" spans="2:22">
      <c r="E255" s="162" t="s">
        <v>1067</v>
      </c>
      <c r="F255" s="162"/>
      <c r="G255" s="162"/>
      <c r="H255" s="162"/>
      <c r="I255" s="162"/>
      <c r="J255" s="162"/>
      <c r="K255" s="162"/>
      <c r="L255" s="176"/>
      <c r="M255" s="163">
        <f t="shared" ref="M255:V255" si="112">SUM(M196:M254)</f>
        <v>8289903.2297727279</v>
      </c>
      <c r="N255" s="163">
        <f t="shared" si="112"/>
        <v>8289454.9177727271</v>
      </c>
      <c r="O255" s="163">
        <f t="shared" si="112"/>
        <v>77678.264637602246</v>
      </c>
      <c r="P255" s="163">
        <f t="shared" si="112"/>
        <v>932139.17565122677</v>
      </c>
      <c r="Q255" s="163">
        <f t="shared" si="112"/>
        <v>414342.4391454545</v>
      </c>
      <c r="R255" s="163">
        <f t="shared" si="112"/>
        <v>0</v>
      </c>
      <c r="S255" s="163">
        <f t="shared" si="112"/>
        <v>6744713.0774117587</v>
      </c>
      <c r="T255" s="163">
        <f t="shared" si="112"/>
        <v>7210232.0127424048</v>
      </c>
      <c r="U255" s="163">
        <f t="shared" si="112"/>
        <v>1079671.2170303233</v>
      </c>
      <c r="V255" s="163">
        <f t="shared" si="112"/>
        <v>1079671.2170303233</v>
      </c>
    </row>
    <row r="256" spans="2:22">
      <c r="L256" s="168"/>
      <c r="M256" s="139"/>
      <c r="N256" s="139"/>
      <c r="O256" s="139"/>
      <c r="P256" s="139"/>
      <c r="Q256" s="139"/>
      <c r="R256" s="139"/>
      <c r="S256" s="139"/>
      <c r="T256" s="139"/>
      <c r="U256" s="139"/>
    </row>
    <row r="257" spans="2:23">
      <c r="L257" s="168"/>
      <c r="M257" s="139"/>
      <c r="N257" s="139"/>
      <c r="O257" s="139"/>
      <c r="P257" s="139"/>
      <c r="Q257" s="139"/>
      <c r="R257" s="139"/>
      <c r="S257" s="139"/>
      <c r="T257" s="139"/>
      <c r="U257" s="139"/>
    </row>
    <row r="258" spans="2:23">
      <c r="E258" s="1" t="s">
        <v>160</v>
      </c>
      <c r="L258" s="168"/>
      <c r="M258" s="139"/>
      <c r="N258" s="139"/>
      <c r="O258" s="139"/>
      <c r="P258" s="139"/>
      <c r="Q258" s="139"/>
      <c r="R258" s="139"/>
      <c r="S258" s="139"/>
      <c r="T258" s="139"/>
      <c r="U258" s="139"/>
    </row>
    <row r="259" spans="2:23">
      <c r="C259" s="3" t="s">
        <v>72</v>
      </c>
      <c r="E259" s="3" t="s">
        <v>147</v>
      </c>
      <c r="F259" s="3">
        <v>2006</v>
      </c>
      <c r="G259" s="3">
        <v>6</v>
      </c>
      <c r="H259" s="3">
        <v>0.33</v>
      </c>
      <c r="I259" s="3" t="s">
        <v>52</v>
      </c>
      <c r="J259" s="3">
        <v>5</v>
      </c>
      <c r="K259" s="3">
        <f>F259+J259</f>
        <v>2011</v>
      </c>
      <c r="L259" s="168">
        <f>+K259+(G259/12)</f>
        <v>2011.5</v>
      </c>
      <c r="M259" s="139">
        <v>2720</v>
      </c>
      <c r="N259" s="139">
        <f>M259-M259*H259</f>
        <v>1822.4</v>
      </c>
      <c r="O259" s="139">
        <f>N259/J259/12</f>
        <v>30.373333333333335</v>
      </c>
      <c r="P259" s="139">
        <f>+O259*12</f>
        <v>364.48</v>
      </c>
      <c r="Q259" s="342">
        <f t="shared" ref="Q259:Q262" si="113">IF(L259&lt;=$N$6,0,P259)</f>
        <v>0</v>
      </c>
      <c r="R259" s="341"/>
      <c r="S259" s="342">
        <f t="shared" ref="S259:S262" si="114">+IF($L259&lt;=$N$7,$M259,IF(($F259+($G259/12))&gt;=$N$7,0,((($N259-((($L259-$N$7)*12)*$O259))))))</f>
        <v>2720</v>
      </c>
      <c r="T259" s="139">
        <f t="shared" ref="T259:T262" si="115">IF(L259&lt;=$N$6,M259,Q259+S259)</f>
        <v>2720</v>
      </c>
      <c r="U259" s="139">
        <f>+IF(Q259=0,0,((M259-S259)+(M259-T259))/2)</f>
        <v>0</v>
      </c>
    </row>
    <row r="260" spans="2:23">
      <c r="C260" s="3" t="s">
        <v>72</v>
      </c>
      <c r="D260" s="3" t="s">
        <v>227</v>
      </c>
      <c r="E260" s="3" t="s">
        <v>247</v>
      </c>
      <c r="F260" s="3">
        <v>2010</v>
      </c>
      <c r="G260" s="3">
        <v>4</v>
      </c>
      <c r="H260" s="3">
        <v>0</v>
      </c>
      <c r="I260" s="3" t="s">
        <v>52</v>
      </c>
      <c r="J260" s="3">
        <v>7</v>
      </c>
      <c r="K260" s="3">
        <f>F260+J260</f>
        <v>2017</v>
      </c>
      <c r="L260" s="168">
        <f>+K260+(G260/12)</f>
        <v>2017.3333333333333</v>
      </c>
      <c r="M260" s="139">
        <f>+'2111 Trks - Orig'!P171</f>
        <v>28396.799999999999</v>
      </c>
      <c r="N260" s="139">
        <f>M260-M260*H260</f>
        <v>28396.799999999999</v>
      </c>
      <c r="O260" s="139">
        <f>N260/J260/12</f>
        <v>338.05714285714288</v>
      </c>
      <c r="P260" s="139">
        <f>+O260*12</f>
        <v>4056.6857142857143</v>
      </c>
      <c r="Q260" s="342">
        <f t="shared" si="113"/>
        <v>0</v>
      </c>
      <c r="R260" s="341"/>
      <c r="S260" s="342">
        <f t="shared" si="114"/>
        <v>28396.799999999999</v>
      </c>
      <c r="T260" s="139">
        <f t="shared" si="115"/>
        <v>28396.799999999999</v>
      </c>
      <c r="U260" s="139">
        <f>+IF(Q260=0,0,((M260-S260)+(M260-T260))/2)</f>
        <v>0</v>
      </c>
    </row>
    <row r="261" spans="2:23" s="255" customFormat="1">
      <c r="D261" s="255" t="s">
        <v>227</v>
      </c>
      <c r="E261" s="255" t="s">
        <v>662</v>
      </c>
      <c r="F261" s="255">
        <v>2017</v>
      </c>
      <c r="G261" s="255">
        <v>10</v>
      </c>
      <c r="H261" s="255">
        <v>0</v>
      </c>
      <c r="I261" s="255" t="s">
        <v>52</v>
      </c>
      <c r="J261" s="255">
        <v>10</v>
      </c>
      <c r="K261" s="255">
        <f>F261+J261</f>
        <v>2027</v>
      </c>
      <c r="L261" s="256">
        <f>+K261+(G261/12)</f>
        <v>2027.8333333333333</v>
      </c>
      <c r="M261" s="257">
        <f>+'2111 Trks - Orig'!N171-'2111 Trks'!M260</f>
        <v>7099.2000000000007</v>
      </c>
      <c r="N261" s="257">
        <f>M261-M261*H261</f>
        <v>7099.2000000000007</v>
      </c>
      <c r="O261" s="257">
        <f>N261/J261/12</f>
        <v>59.160000000000004</v>
      </c>
      <c r="P261" s="257">
        <f>+O261*12</f>
        <v>709.92000000000007</v>
      </c>
      <c r="Q261" s="342">
        <f t="shared" si="113"/>
        <v>709.92000000000007</v>
      </c>
      <c r="R261" s="341"/>
      <c r="S261" s="342">
        <f t="shared" si="114"/>
        <v>4614.4800000000005</v>
      </c>
      <c r="T261" s="139">
        <f t="shared" si="115"/>
        <v>5324.4000000000005</v>
      </c>
      <c r="U261" s="258">
        <f>+IF(Q261=0,0,((M261-S261)+(M261-T261))/2)</f>
        <v>2129.7600000000002</v>
      </c>
      <c r="V261" s="259">
        <f>M261-T261</f>
        <v>1774.8000000000002</v>
      </c>
    </row>
    <row r="262" spans="2:23">
      <c r="B262" s="3" t="s">
        <v>419</v>
      </c>
      <c r="E262" s="3" t="s">
        <v>424</v>
      </c>
      <c r="F262" s="3">
        <v>2016</v>
      </c>
      <c r="G262" s="3">
        <v>3</v>
      </c>
      <c r="H262" s="3">
        <v>0</v>
      </c>
      <c r="I262" s="3" t="s">
        <v>52</v>
      </c>
      <c r="J262" s="3">
        <v>1</v>
      </c>
      <c r="K262" s="3">
        <f>F262+J262</f>
        <v>2017</v>
      </c>
      <c r="L262" s="168">
        <f>+K262+(G262/12)</f>
        <v>2017.25</v>
      </c>
      <c r="M262" s="139">
        <f>(25892.28+23056.62)/104*1</f>
        <v>470.66249999999997</v>
      </c>
      <c r="N262" s="139">
        <f>M262-M262*H262</f>
        <v>470.66249999999997</v>
      </c>
      <c r="O262" s="139">
        <f>N262/J262/12</f>
        <v>39.221874999999997</v>
      </c>
      <c r="P262" s="139">
        <f>+O262*12</f>
        <v>470.66249999999997</v>
      </c>
      <c r="Q262" s="342">
        <f t="shared" si="113"/>
        <v>0</v>
      </c>
      <c r="R262" s="341"/>
      <c r="S262" s="342">
        <f t="shared" si="114"/>
        <v>470.66249999999997</v>
      </c>
      <c r="T262" s="139">
        <f t="shared" si="115"/>
        <v>470.66249999999997</v>
      </c>
      <c r="U262" s="139">
        <f>+IF(Q262=0,0,((M262-S262)+(M262-T262))/2)</f>
        <v>0</v>
      </c>
    </row>
    <row r="263" spans="2:23">
      <c r="L263" s="168"/>
      <c r="M263" s="139"/>
      <c r="N263" s="139"/>
      <c r="O263" s="139"/>
      <c r="P263" s="139"/>
      <c r="Q263" s="139"/>
      <c r="R263" s="139"/>
      <c r="S263" s="139"/>
      <c r="T263" s="139"/>
      <c r="U263" s="139"/>
    </row>
    <row r="264" spans="2:23">
      <c r="E264" s="162" t="s">
        <v>161</v>
      </c>
      <c r="F264" s="162"/>
      <c r="G264" s="162"/>
      <c r="H264" s="162"/>
      <c r="I264" s="162"/>
      <c r="J264" s="162"/>
      <c r="K264" s="162"/>
      <c r="L264" s="176"/>
      <c r="M264" s="163">
        <f>SUM(M259:M263)</f>
        <v>38686.662499999999</v>
      </c>
      <c r="N264" s="163">
        <f t="shared" ref="N264:V264" si="116">SUM(N259:N263)</f>
        <v>37789.0625</v>
      </c>
      <c r="O264" s="163">
        <f t="shared" si="116"/>
        <v>466.81235119047625</v>
      </c>
      <c r="P264" s="163">
        <f t="shared" si="116"/>
        <v>5601.7482142857152</v>
      </c>
      <c r="Q264" s="163">
        <f t="shared" si="116"/>
        <v>709.92000000000007</v>
      </c>
      <c r="R264" s="163">
        <f t="shared" si="116"/>
        <v>0</v>
      </c>
      <c r="S264" s="163">
        <f t="shared" si="116"/>
        <v>36201.942499999997</v>
      </c>
      <c r="T264" s="163">
        <f t="shared" si="116"/>
        <v>36911.862499999996</v>
      </c>
      <c r="U264" s="163">
        <f t="shared" si="116"/>
        <v>2129.7600000000002</v>
      </c>
      <c r="V264" s="163">
        <f t="shared" si="116"/>
        <v>1774.8000000000002</v>
      </c>
    </row>
    <row r="265" spans="2:23">
      <c r="E265" s="1"/>
      <c r="F265" s="1"/>
      <c r="G265" s="1"/>
      <c r="H265" s="1"/>
      <c r="I265" s="1"/>
      <c r="J265" s="1"/>
      <c r="K265" s="1"/>
      <c r="L265" s="177"/>
      <c r="M265" s="178"/>
      <c r="N265" s="178"/>
      <c r="O265" s="178"/>
      <c r="P265" s="178"/>
      <c r="Q265" s="178"/>
      <c r="R265" s="178"/>
      <c r="S265" s="178"/>
      <c r="T265" s="178"/>
      <c r="U265" s="178"/>
      <c r="V265" s="178"/>
    </row>
    <row r="266" spans="2:23">
      <c r="E266" s="1" t="s">
        <v>1234</v>
      </c>
      <c r="F266" s="1"/>
      <c r="G266" s="1"/>
      <c r="H266" s="1"/>
      <c r="I266" s="1"/>
      <c r="J266" s="1"/>
      <c r="K266" s="1"/>
      <c r="L266" s="177"/>
      <c r="M266" s="178"/>
      <c r="N266" s="178"/>
      <c r="O266" s="178"/>
      <c r="P266" s="178"/>
      <c r="Q266" s="342">
        <f t="shared" ref="Q266:Q268" si="117">IF(L266&lt;=$N$6,0,P266)</f>
        <v>0</v>
      </c>
      <c r="R266" s="341"/>
      <c r="S266" s="342">
        <f t="shared" ref="S266:S268" si="118">+IF($L266&lt;=$N$7,$M266,IF(($F266+($G266/12))&gt;=$N$7,0,((($N266-((($L266-$N$7)*12)*$O266))))))</f>
        <v>0</v>
      </c>
      <c r="T266" s="139">
        <f t="shared" ref="T266:T268" si="119">IF(L266&lt;=$N$6,M266,Q266+S266)</f>
        <v>0</v>
      </c>
      <c r="U266" s="178"/>
      <c r="V266" s="178"/>
    </row>
    <row r="267" spans="2:23">
      <c r="B267" s="3">
        <v>109254</v>
      </c>
      <c r="C267" s="3" t="s">
        <v>298</v>
      </c>
      <c r="D267" s="3">
        <v>132</v>
      </c>
      <c r="E267" s="3" t="s">
        <v>299</v>
      </c>
      <c r="F267" s="3">
        <v>2010</v>
      </c>
      <c r="G267" s="3">
        <v>7</v>
      </c>
      <c r="H267" s="3">
        <v>0</v>
      </c>
      <c r="I267" s="3" t="s">
        <v>52</v>
      </c>
      <c r="J267" s="3">
        <v>5</v>
      </c>
      <c r="K267" s="3">
        <f>F267+J267</f>
        <v>2015</v>
      </c>
      <c r="L267" s="168">
        <f>+K267+(G267/12)</f>
        <v>2015.5833333333333</v>
      </c>
      <c r="M267" s="139">
        <f>+'2111 Trks - Orig'!P146</f>
        <v>31208.6</v>
      </c>
      <c r="N267" s="139">
        <f>M267-M267*H267</f>
        <v>31208.6</v>
      </c>
      <c r="O267" s="139">
        <f>N267/J267/12</f>
        <v>520.14333333333332</v>
      </c>
      <c r="P267" s="139">
        <f>+O267*12</f>
        <v>6241.7199999999993</v>
      </c>
      <c r="Q267" s="342">
        <f t="shared" si="117"/>
        <v>0</v>
      </c>
      <c r="R267" s="341"/>
      <c r="S267" s="342">
        <f t="shared" si="118"/>
        <v>31208.6</v>
      </c>
      <c r="T267" s="139">
        <f t="shared" si="119"/>
        <v>31208.6</v>
      </c>
      <c r="U267" s="139">
        <f>M267-T267</f>
        <v>0</v>
      </c>
      <c r="V267" s="171">
        <f>M267-T267</f>
        <v>0</v>
      </c>
    </row>
    <row r="268" spans="2:23" s="255" customFormat="1">
      <c r="D268" s="255">
        <v>132</v>
      </c>
      <c r="E268" s="255" t="s">
        <v>649</v>
      </c>
      <c r="F268" s="255">
        <v>2017</v>
      </c>
      <c r="G268" s="255">
        <v>10</v>
      </c>
      <c r="H268" s="255">
        <v>0</v>
      </c>
      <c r="I268" s="255" t="s">
        <v>52</v>
      </c>
      <c r="J268" s="255">
        <v>10</v>
      </c>
      <c r="K268" s="255">
        <f>F268+J268</f>
        <v>2027</v>
      </c>
      <c r="L268" s="256">
        <f>+K268+(G268/12)</f>
        <v>2027.8333333333333</v>
      </c>
      <c r="M268" s="257">
        <f>+'2111 Trks - Orig'!N146-'2111 Trks'!M267</f>
        <v>15371.400000000001</v>
      </c>
      <c r="N268" s="257">
        <f>M268-M268*H268</f>
        <v>15371.400000000001</v>
      </c>
      <c r="O268" s="257">
        <f>N268/J268/12</f>
        <v>128.095</v>
      </c>
      <c r="P268" s="257">
        <f>+O268*12</f>
        <v>1537.1399999999999</v>
      </c>
      <c r="Q268" s="342">
        <f t="shared" si="117"/>
        <v>1537.1399999999999</v>
      </c>
      <c r="R268" s="341"/>
      <c r="S268" s="342">
        <f t="shared" si="118"/>
        <v>9991.4100000000017</v>
      </c>
      <c r="T268" s="139">
        <f t="shared" si="119"/>
        <v>11528.550000000001</v>
      </c>
      <c r="U268" s="258">
        <f>M268-T268</f>
        <v>3842.8500000000004</v>
      </c>
      <c r="V268" s="259">
        <f>M268-T268</f>
        <v>3842.8500000000004</v>
      </c>
    </row>
    <row r="269" spans="2:23">
      <c r="E269" s="1"/>
      <c r="F269" s="1"/>
      <c r="G269" s="1"/>
      <c r="H269" s="1"/>
      <c r="I269" s="1"/>
      <c r="J269" s="1"/>
      <c r="K269" s="1"/>
      <c r="L269" s="177"/>
      <c r="M269" s="178"/>
      <c r="N269" s="178"/>
      <c r="O269" s="178"/>
      <c r="P269" s="178"/>
      <c r="Q269" s="178"/>
      <c r="R269" s="178"/>
      <c r="S269" s="178"/>
      <c r="T269" s="178"/>
      <c r="U269" s="178"/>
      <c r="V269" s="178"/>
    </row>
    <row r="270" spans="2:23">
      <c r="E270" s="162" t="s">
        <v>1235</v>
      </c>
      <c r="F270" s="162"/>
      <c r="G270" s="162"/>
      <c r="H270" s="162"/>
      <c r="I270" s="162"/>
      <c r="J270" s="162"/>
      <c r="K270" s="162"/>
      <c r="L270" s="176"/>
      <c r="M270" s="163">
        <f t="shared" ref="M270:V270" si="120">SUM(M267:M269)</f>
        <v>46580</v>
      </c>
      <c r="N270" s="163">
        <f t="shared" si="120"/>
        <v>46580</v>
      </c>
      <c r="O270" s="163">
        <f t="shared" si="120"/>
        <v>648.23833333333334</v>
      </c>
      <c r="P270" s="163">
        <f t="shared" si="120"/>
        <v>7778.8599999999988</v>
      </c>
      <c r="Q270" s="163">
        <f t="shared" si="120"/>
        <v>1537.1399999999999</v>
      </c>
      <c r="R270" s="163">
        <f t="shared" si="120"/>
        <v>0</v>
      </c>
      <c r="S270" s="163">
        <f t="shared" si="120"/>
        <v>41200.01</v>
      </c>
      <c r="T270" s="163">
        <f t="shared" si="120"/>
        <v>42737.15</v>
      </c>
      <c r="U270" s="163">
        <f t="shared" si="120"/>
        <v>3842.8500000000004</v>
      </c>
      <c r="V270" s="163">
        <f t="shared" si="120"/>
        <v>3842.8500000000004</v>
      </c>
    </row>
    <row r="271" spans="2:23">
      <c r="L271" s="168"/>
      <c r="M271" s="139"/>
      <c r="N271" s="139"/>
      <c r="O271" s="139"/>
      <c r="P271" s="139"/>
      <c r="Q271" s="139"/>
      <c r="R271" s="139"/>
      <c r="S271" s="139"/>
      <c r="T271" s="139"/>
      <c r="U271" s="139"/>
    </row>
    <row r="272" spans="2:23">
      <c r="E272" s="162" t="s">
        <v>336</v>
      </c>
      <c r="F272" s="162"/>
      <c r="G272" s="162"/>
      <c r="H272" s="162"/>
      <c r="I272" s="162"/>
      <c r="J272" s="162"/>
      <c r="K272" s="162"/>
      <c r="L272" s="176"/>
      <c r="M272" s="163">
        <f>+M264+M192+M180+M270+M255</f>
        <v>23447858.36727272</v>
      </c>
      <c r="N272" s="163">
        <f>+N264+N192+N180+N270+N255</f>
        <v>23445421.442472719</v>
      </c>
      <c r="O272" s="163">
        <f>+O264+O192+O180+O270+O255</f>
        <v>225201.48046867852</v>
      </c>
      <c r="P272" s="163">
        <f>+P264+P192+P180+P270+P255</f>
        <v>2702417.7656241418</v>
      </c>
      <c r="Q272" s="163">
        <f>+Q264+Q192+Q180+Q270+Q255</f>
        <v>1598224.2880078929</v>
      </c>
      <c r="R272" s="163"/>
      <c r="S272" s="163">
        <f>+S264+S192+S180+S270+S255</f>
        <v>17100192.485393848</v>
      </c>
      <c r="T272" s="163">
        <f>+T264+T192+T180+T270+T255</f>
        <v>18756027.78603138</v>
      </c>
      <c r="U272" s="163">
        <f>+U264+U192+U180+U270+U255</f>
        <v>4589457.8694080096</v>
      </c>
      <c r="V272" s="163">
        <f>+V264+V192+V180+V270+V255</f>
        <v>4589102.9094080096</v>
      </c>
      <c r="W272" s="11">
        <f>U272-V272</f>
        <v>354.95999999996275</v>
      </c>
    </row>
    <row r="273" spans="2:23">
      <c r="L273" s="168"/>
      <c r="M273" s="139"/>
      <c r="N273" s="139"/>
      <c r="O273" s="139"/>
      <c r="P273" s="139"/>
      <c r="Q273" s="139"/>
      <c r="R273" s="139"/>
      <c r="S273" s="139"/>
      <c r="T273" s="139"/>
      <c r="U273" s="139"/>
    </row>
    <row r="274" spans="2:23">
      <c r="E274" s="1" t="s">
        <v>1311</v>
      </c>
      <c r="L274" s="168"/>
      <c r="M274" s="139"/>
      <c r="N274" s="139"/>
      <c r="O274" s="139"/>
      <c r="P274" s="139"/>
      <c r="Q274" s="139"/>
      <c r="R274" s="139"/>
      <c r="S274" s="139"/>
      <c r="T274" s="139"/>
      <c r="U274" s="139"/>
    </row>
    <row r="275" spans="2:23">
      <c r="B275" s="3">
        <v>102188</v>
      </c>
      <c r="C275" s="3" t="s">
        <v>88</v>
      </c>
      <c r="D275" s="3">
        <v>624</v>
      </c>
      <c r="E275" s="3" t="s">
        <v>240</v>
      </c>
      <c r="F275" s="3">
        <v>2009</v>
      </c>
      <c r="G275" s="3">
        <v>5</v>
      </c>
      <c r="H275" s="3">
        <v>0</v>
      </c>
      <c r="I275" s="3" t="s">
        <v>52</v>
      </c>
      <c r="J275" s="3">
        <v>5</v>
      </c>
      <c r="K275" s="3">
        <f t="shared" ref="K275:K282" si="121">F275+J275</f>
        <v>2014</v>
      </c>
      <c r="L275" s="168">
        <f t="shared" ref="L275:L282" si="122">+K275+(G275/12)</f>
        <v>2014.4166666666667</v>
      </c>
      <c r="M275" s="139">
        <f>+'2111 Trks - Orig'!P132</f>
        <v>195507.34</v>
      </c>
      <c r="N275" s="139">
        <f t="shared" ref="N275:N282" si="123">M275-M275*H275</f>
        <v>195507.34</v>
      </c>
      <c r="O275" s="139">
        <f t="shared" ref="O275:O282" si="124">N275/J275/12</f>
        <v>3258.4556666666667</v>
      </c>
      <c r="P275" s="139">
        <f t="shared" ref="P275:P282" si="125">+O275*12</f>
        <v>39101.468000000001</v>
      </c>
      <c r="Q275" s="342">
        <f t="shared" ref="Q275:Q282" si="126">IF(L275&lt;=$N$6,0,P275)</f>
        <v>0</v>
      </c>
      <c r="R275" s="341"/>
      <c r="S275" s="342">
        <f t="shared" ref="S275:S282" si="127">+IF($L275&lt;=$N$7,$M275,IF(($F275+($G275/12))&gt;=$N$7,0,((($N275-((($L275-$N$7)*12)*$O275))))))</f>
        <v>195507.34</v>
      </c>
      <c r="T275" s="139">
        <f t="shared" ref="T275:T282" si="128">IF(L275&lt;=$N$6,M275,Q275+S275)</f>
        <v>195507.34</v>
      </c>
      <c r="U275" s="139">
        <f t="shared" ref="U275:U282" si="129">M275-T275</f>
        <v>0</v>
      </c>
      <c r="V275" s="171">
        <f t="shared" ref="V275:V282" si="130">M275-T275</f>
        <v>0</v>
      </c>
    </row>
    <row r="276" spans="2:23" s="255" customFormat="1">
      <c r="D276" s="255">
        <v>624</v>
      </c>
      <c r="E276" s="255" t="s">
        <v>644</v>
      </c>
      <c r="F276" s="255">
        <v>2017</v>
      </c>
      <c r="G276" s="255">
        <v>10</v>
      </c>
      <c r="H276" s="255">
        <v>0</v>
      </c>
      <c r="I276" s="255" t="s">
        <v>52</v>
      </c>
      <c r="J276" s="255">
        <v>10</v>
      </c>
      <c r="K276" s="255">
        <f t="shared" si="121"/>
        <v>2027</v>
      </c>
      <c r="L276" s="256">
        <f t="shared" si="122"/>
        <v>2027.8333333333333</v>
      </c>
      <c r="M276" s="257">
        <f>+'2111 Trks - Orig'!N132-'2111 Trks'!M275</f>
        <v>96294.66</v>
      </c>
      <c r="N276" s="257">
        <f t="shared" si="123"/>
        <v>96294.66</v>
      </c>
      <c r="O276" s="257">
        <f t="shared" si="124"/>
        <v>802.45550000000003</v>
      </c>
      <c r="P276" s="257">
        <f t="shared" si="125"/>
        <v>9629.4660000000003</v>
      </c>
      <c r="Q276" s="342">
        <f t="shared" si="126"/>
        <v>9629.4660000000003</v>
      </c>
      <c r="R276" s="341"/>
      <c r="S276" s="342">
        <f t="shared" si="127"/>
        <v>62591.529000000002</v>
      </c>
      <c r="T276" s="139">
        <f t="shared" si="128"/>
        <v>72220.994999999995</v>
      </c>
      <c r="U276" s="258">
        <f t="shared" si="129"/>
        <v>24073.665000000008</v>
      </c>
      <c r="V276" s="259">
        <f t="shared" si="130"/>
        <v>24073.665000000008</v>
      </c>
    </row>
    <row r="277" spans="2:23">
      <c r="B277" s="3" t="s">
        <v>1162</v>
      </c>
      <c r="D277" s="3">
        <v>917</v>
      </c>
      <c r="E277" s="3" t="s">
        <v>1164</v>
      </c>
      <c r="F277" s="3">
        <v>2021</v>
      </c>
      <c r="G277" s="3">
        <v>5</v>
      </c>
      <c r="H277" s="3">
        <v>0</v>
      </c>
      <c r="I277" s="3" t="s">
        <v>52</v>
      </c>
      <c r="J277" s="3">
        <v>10</v>
      </c>
      <c r="K277" s="3">
        <f t="shared" si="121"/>
        <v>2031</v>
      </c>
      <c r="L277" s="168">
        <f t="shared" si="122"/>
        <v>2031.4166666666667</v>
      </c>
      <c r="M277" s="139">
        <v>159549.45000000001</v>
      </c>
      <c r="N277" s="139">
        <f t="shared" si="123"/>
        <v>159549.45000000001</v>
      </c>
      <c r="O277" s="139">
        <f t="shared" si="124"/>
        <v>1329.5787500000001</v>
      </c>
      <c r="P277" s="139">
        <f t="shared" si="125"/>
        <v>15954.945000000002</v>
      </c>
      <c r="Q277" s="342">
        <f t="shared" si="126"/>
        <v>15954.945000000002</v>
      </c>
      <c r="R277" s="341"/>
      <c r="S277" s="342">
        <f t="shared" si="127"/>
        <v>46535.256249997576</v>
      </c>
      <c r="T277" s="139">
        <f t="shared" si="128"/>
        <v>62490.201249997575</v>
      </c>
      <c r="U277" s="139">
        <f t="shared" si="129"/>
        <v>97059.248750002444</v>
      </c>
      <c r="V277" s="11">
        <f t="shared" si="130"/>
        <v>97059.248750002444</v>
      </c>
    </row>
    <row r="278" spans="2:23">
      <c r="B278" s="3">
        <v>252175</v>
      </c>
      <c r="D278" s="3">
        <v>917</v>
      </c>
      <c r="E278" s="3" t="s">
        <v>1165</v>
      </c>
      <c r="F278" s="3">
        <v>2021</v>
      </c>
      <c r="G278" s="3">
        <v>5</v>
      </c>
      <c r="H278" s="3">
        <v>0</v>
      </c>
      <c r="I278" s="3" t="s">
        <v>52</v>
      </c>
      <c r="J278" s="3">
        <v>10</v>
      </c>
      <c r="K278" s="3">
        <f t="shared" si="121"/>
        <v>2031</v>
      </c>
      <c r="L278" s="168">
        <f t="shared" si="122"/>
        <v>2031.4166666666667</v>
      </c>
      <c r="M278" s="139">
        <v>183322.84</v>
      </c>
      <c r="N278" s="139">
        <f t="shared" si="123"/>
        <v>183322.84</v>
      </c>
      <c r="O278" s="139">
        <f t="shared" si="124"/>
        <v>1527.6903333333332</v>
      </c>
      <c r="P278" s="139">
        <f t="shared" si="125"/>
        <v>18332.284</v>
      </c>
      <c r="Q278" s="342">
        <f t="shared" si="126"/>
        <v>18332.284</v>
      </c>
      <c r="R278" s="341"/>
      <c r="S278" s="342">
        <f t="shared" si="127"/>
        <v>53469.161666663887</v>
      </c>
      <c r="T278" s="139">
        <f t="shared" si="128"/>
        <v>71801.445666663887</v>
      </c>
      <c r="U278" s="139">
        <f t="shared" si="129"/>
        <v>111521.39433333611</v>
      </c>
      <c r="V278" s="11">
        <f t="shared" si="130"/>
        <v>111521.39433333611</v>
      </c>
    </row>
    <row r="279" spans="2:23">
      <c r="B279" s="3">
        <v>89625</v>
      </c>
      <c r="C279" s="3" t="s">
        <v>55</v>
      </c>
      <c r="D279" s="3">
        <v>908</v>
      </c>
      <c r="E279" s="3" t="s">
        <v>207</v>
      </c>
      <c r="F279" s="3">
        <v>2011</v>
      </c>
      <c r="G279" s="3">
        <v>12</v>
      </c>
      <c r="H279" s="3">
        <v>0</v>
      </c>
      <c r="I279" s="3" t="s">
        <v>52</v>
      </c>
      <c r="J279" s="3">
        <v>7</v>
      </c>
      <c r="K279" s="3">
        <f t="shared" si="121"/>
        <v>2018</v>
      </c>
      <c r="L279" s="168">
        <f t="shared" si="122"/>
        <v>2019</v>
      </c>
      <c r="M279" s="139">
        <f>+'2111 Trks - Orig'!P36</f>
        <v>227720.2</v>
      </c>
      <c r="N279" s="139">
        <f t="shared" si="123"/>
        <v>227720.2</v>
      </c>
      <c r="O279" s="139">
        <f t="shared" si="124"/>
        <v>2710.9547619047621</v>
      </c>
      <c r="P279" s="139">
        <f t="shared" si="125"/>
        <v>32531.457142857143</v>
      </c>
      <c r="Q279" s="342">
        <f t="shared" si="126"/>
        <v>0</v>
      </c>
      <c r="R279" s="341"/>
      <c r="S279" s="342">
        <f t="shared" si="127"/>
        <v>227720.2</v>
      </c>
      <c r="T279" s="139">
        <f t="shared" si="128"/>
        <v>227720.2</v>
      </c>
      <c r="U279" s="139">
        <f t="shared" si="129"/>
        <v>0</v>
      </c>
      <c r="V279" s="11">
        <f t="shared" si="130"/>
        <v>0</v>
      </c>
    </row>
    <row r="280" spans="2:23" s="255" customFormat="1">
      <c r="D280" s="255">
        <v>908</v>
      </c>
      <c r="E280" s="255" t="s">
        <v>636</v>
      </c>
      <c r="F280" s="255">
        <v>2017</v>
      </c>
      <c r="G280" s="255">
        <v>10</v>
      </c>
      <c r="H280" s="255">
        <v>0</v>
      </c>
      <c r="I280" s="255" t="s">
        <v>52</v>
      </c>
      <c r="J280" s="255">
        <v>10</v>
      </c>
      <c r="K280" s="255">
        <f t="shared" si="121"/>
        <v>2027</v>
      </c>
      <c r="L280" s="256">
        <f t="shared" si="122"/>
        <v>2027.8333333333333</v>
      </c>
      <c r="M280" s="257">
        <f>+'2111 Trks - Orig'!N36-'2111 Trks'!M279</f>
        <v>56930.049999999988</v>
      </c>
      <c r="N280" s="257">
        <f t="shared" si="123"/>
        <v>56930.049999999988</v>
      </c>
      <c r="O280" s="257">
        <f t="shared" si="124"/>
        <v>474.41708333333327</v>
      </c>
      <c r="P280" s="257">
        <f t="shared" si="125"/>
        <v>5693.0049999999992</v>
      </c>
      <c r="Q280" s="342">
        <f t="shared" si="126"/>
        <v>5693.0049999999992</v>
      </c>
      <c r="R280" s="341"/>
      <c r="S280" s="342">
        <f t="shared" si="127"/>
        <v>37004.532499999987</v>
      </c>
      <c r="T280" s="139">
        <f t="shared" si="128"/>
        <v>42697.537499999984</v>
      </c>
      <c r="U280" s="258">
        <f t="shared" si="129"/>
        <v>14232.512500000004</v>
      </c>
      <c r="V280" s="259">
        <f t="shared" si="130"/>
        <v>14232.512500000004</v>
      </c>
    </row>
    <row r="281" spans="2:23">
      <c r="B281" s="3" t="s">
        <v>1161</v>
      </c>
      <c r="D281" s="3">
        <v>916</v>
      </c>
      <c r="E281" s="3" t="s">
        <v>1163</v>
      </c>
      <c r="F281" s="3">
        <v>2021</v>
      </c>
      <c r="G281" s="3">
        <v>5</v>
      </c>
      <c r="H281" s="3">
        <v>0</v>
      </c>
      <c r="I281" s="3" t="s">
        <v>52</v>
      </c>
      <c r="J281" s="3">
        <v>10</v>
      </c>
      <c r="K281" s="3">
        <f t="shared" si="121"/>
        <v>2031</v>
      </c>
      <c r="L281" s="168">
        <f t="shared" si="122"/>
        <v>2031.4166666666667</v>
      </c>
      <c r="M281" s="139">
        <v>159549.45000000001</v>
      </c>
      <c r="N281" s="139">
        <f t="shared" si="123"/>
        <v>159549.45000000001</v>
      </c>
      <c r="O281" s="139">
        <f t="shared" si="124"/>
        <v>1329.5787500000001</v>
      </c>
      <c r="P281" s="139">
        <f t="shared" si="125"/>
        <v>15954.945000000002</v>
      </c>
      <c r="Q281" s="342">
        <f t="shared" si="126"/>
        <v>15954.945000000002</v>
      </c>
      <c r="R281" s="341"/>
      <c r="S281" s="342">
        <f t="shared" si="127"/>
        <v>46535.256249997576</v>
      </c>
      <c r="T281" s="139">
        <f t="shared" si="128"/>
        <v>62490.201249997575</v>
      </c>
      <c r="U281" s="139">
        <f t="shared" si="129"/>
        <v>97059.248750002444</v>
      </c>
      <c r="V281" s="11">
        <f t="shared" si="130"/>
        <v>97059.248750002444</v>
      </c>
    </row>
    <row r="282" spans="2:23">
      <c r="B282" s="3">
        <v>252176</v>
      </c>
      <c r="D282" s="3">
        <v>916</v>
      </c>
      <c r="E282" s="3" t="s">
        <v>1165</v>
      </c>
      <c r="F282" s="3">
        <v>2021</v>
      </c>
      <c r="G282" s="3">
        <v>5</v>
      </c>
      <c r="H282" s="3">
        <v>0</v>
      </c>
      <c r="I282" s="3" t="s">
        <v>52</v>
      </c>
      <c r="J282" s="3">
        <v>10</v>
      </c>
      <c r="K282" s="3">
        <f t="shared" si="121"/>
        <v>2031</v>
      </c>
      <c r="L282" s="168">
        <f t="shared" si="122"/>
        <v>2031.4166666666667</v>
      </c>
      <c r="M282" s="139">
        <v>183322.84</v>
      </c>
      <c r="N282" s="139">
        <f t="shared" si="123"/>
        <v>183322.84</v>
      </c>
      <c r="O282" s="139">
        <f t="shared" si="124"/>
        <v>1527.6903333333332</v>
      </c>
      <c r="P282" s="139">
        <f t="shared" si="125"/>
        <v>18332.284</v>
      </c>
      <c r="Q282" s="342">
        <f t="shared" si="126"/>
        <v>18332.284</v>
      </c>
      <c r="R282" s="341"/>
      <c r="S282" s="342">
        <f t="shared" si="127"/>
        <v>53469.161666663887</v>
      </c>
      <c r="T282" s="139">
        <f t="shared" si="128"/>
        <v>71801.445666663887</v>
      </c>
      <c r="U282" s="139">
        <f t="shared" si="129"/>
        <v>111521.39433333611</v>
      </c>
      <c r="V282" s="11">
        <f t="shared" si="130"/>
        <v>111521.39433333611</v>
      </c>
    </row>
    <row r="283" spans="2:23">
      <c r="L283" s="168"/>
    </row>
    <row r="284" spans="2:23">
      <c r="E284" s="162" t="s">
        <v>1312</v>
      </c>
      <c r="F284" s="162"/>
      <c r="G284" s="162"/>
      <c r="H284" s="162"/>
      <c r="I284" s="162"/>
      <c r="J284" s="162"/>
      <c r="K284" s="162"/>
      <c r="L284" s="176"/>
      <c r="M284" s="163">
        <f t="shared" ref="M284:V284" si="131">SUM(M275:M283)</f>
        <v>1262196.83</v>
      </c>
      <c r="N284" s="163">
        <f t="shared" si="131"/>
        <v>1262196.83</v>
      </c>
      <c r="O284" s="163">
        <f t="shared" si="131"/>
        <v>12960.82117857143</v>
      </c>
      <c r="P284" s="163">
        <f t="shared" si="131"/>
        <v>155529.85414285713</v>
      </c>
      <c r="Q284" s="163">
        <f t="shared" si="131"/>
        <v>83896.929000000004</v>
      </c>
      <c r="R284" s="163">
        <f t="shared" si="131"/>
        <v>0</v>
      </c>
      <c r="S284" s="163">
        <f t="shared" si="131"/>
        <v>722832.43733332283</v>
      </c>
      <c r="T284" s="163">
        <f t="shared" si="131"/>
        <v>806729.36633332295</v>
      </c>
      <c r="U284" s="163">
        <f t="shared" si="131"/>
        <v>455467.46366667707</v>
      </c>
      <c r="V284" s="163">
        <f t="shared" si="131"/>
        <v>455467.46366667707</v>
      </c>
      <c r="W284" s="11"/>
    </row>
    <row r="285" spans="2:23">
      <c r="L285" s="168"/>
    </row>
    <row r="286" spans="2:23">
      <c r="L286" s="168"/>
    </row>
    <row r="287" spans="2:23">
      <c r="L287" s="168"/>
    </row>
    <row r="288" spans="2:23" outlineLevel="1">
      <c r="L288" s="168"/>
    </row>
    <row r="289" spans="1:22" outlineLevel="1">
      <c r="L289" s="168"/>
    </row>
    <row r="290" spans="1:22" outlineLevel="1">
      <c r="A290" s="184"/>
      <c r="L290" s="168"/>
    </row>
    <row r="291" spans="1:22" outlineLevel="1">
      <c r="B291" s="3" t="s">
        <v>488</v>
      </c>
      <c r="C291" s="3" t="s">
        <v>92</v>
      </c>
      <c r="D291" s="3">
        <v>802</v>
      </c>
      <c r="E291" s="3" t="s">
        <v>451</v>
      </c>
      <c r="F291" s="3">
        <v>2005</v>
      </c>
      <c r="G291" s="3">
        <v>3</v>
      </c>
      <c r="H291" s="3">
        <v>0</v>
      </c>
      <c r="I291" s="3" t="s">
        <v>52</v>
      </c>
      <c r="J291" s="3">
        <v>7</v>
      </c>
      <c r="K291" s="3">
        <f t="shared" ref="K291:K299" si="132">F291+J291</f>
        <v>2012</v>
      </c>
      <c r="L291" s="168">
        <f t="shared" ref="L291:L299" si="133">+K291+(G291/12)</f>
        <v>2012.25</v>
      </c>
      <c r="M291" s="139">
        <f>+'2131 Trks - Orig'!P55</f>
        <v>161804.33600000001</v>
      </c>
      <c r="N291" s="139">
        <f t="shared" ref="N291:N299" si="134">M291-M291*H291</f>
        <v>161804.33600000001</v>
      </c>
      <c r="O291" s="139">
        <f t="shared" ref="O291:O299" si="135">N291/J291/12</f>
        <v>1926.2420952380953</v>
      </c>
      <c r="P291" s="139">
        <f t="shared" ref="P291:P299" si="136">+O291*12</f>
        <v>23114.905142857144</v>
      </c>
      <c r="Q291" s="342">
        <f t="shared" ref="Q291:Q308" si="137">IF(L291&lt;=$N$6,0,P291)</f>
        <v>0</v>
      </c>
      <c r="R291" s="341"/>
      <c r="S291" s="342">
        <f t="shared" ref="S291:S308" si="138">+IF($L291&lt;=$N$7,$M291,IF(($F291+($G291/12))&gt;=$N$7,0,((($N291-((($L291-$N$7)*12)*$O291))))))</f>
        <v>161804.33600000001</v>
      </c>
      <c r="T291" s="139">
        <f t="shared" ref="T291:T308" si="139">IF(L291&lt;=$N$6,M291,Q291+S291)</f>
        <v>161804.33600000001</v>
      </c>
      <c r="U291" s="139">
        <f t="shared" ref="U291:U299" si="140">M291-T291</f>
        <v>0</v>
      </c>
      <c r="V291" s="171">
        <f t="shared" ref="V291:V299" si="141">M291-T291</f>
        <v>0</v>
      </c>
    </row>
    <row r="292" spans="1:22" s="255" customFormat="1" outlineLevel="1">
      <c r="D292" s="255">
        <v>802</v>
      </c>
      <c r="E292" s="255" t="s">
        <v>646</v>
      </c>
      <c r="F292" s="255">
        <v>2017</v>
      </c>
      <c r="G292" s="255">
        <v>10</v>
      </c>
      <c r="H292" s="255">
        <v>0</v>
      </c>
      <c r="I292" s="255" t="s">
        <v>52</v>
      </c>
      <c r="J292" s="255">
        <f>+IF(K291-$N$3&gt;=3,K291-$N$3,3)</f>
        <v>2009</v>
      </c>
      <c r="K292" s="255">
        <f t="shared" si="132"/>
        <v>4026</v>
      </c>
      <c r="L292" s="256">
        <f t="shared" si="133"/>
        <v>4026.8333333333335</v>
      </c>
      <c r="M292" s="257">
        <f>+'2131 Trks - Orig'!N55-'2111 Trks'!M291</f>
        <v>40451.084000000003</v>
      </c>
      <c r="N292" s="257">
        <f t="shared" si="134"/>
        <v>40451.084000000003</v>
      </c>
      <c r="O292" s="257">
        <f t="shared" si="135"/>
        <v>1.6779112327857975</v>
      </c>
      <c r="P292" s="257">
        <f t="shared" si="136"/>
        <v>20.134934793429569</v>
      </c>
      <c r="Q292" s="342">
        <f t="shared" si="137"/>
        <v>20.134934793429569</v>
      </c>
      <c r="R292" s="341"/>
      <c r="S292" s="342">
        <f t="shared" si="138"/>
        <v>130.87707615728141</v>
      </c>
      <c r="T292" s="139">
        <f t="shared" si="139"/>
        <v>151.01201095071099</v>
      </c>
      <c r="U292" s="258">
        <f t="shared" si="140"/>
        <v>40300.071989049291</v>
      </c>
      <c r="V292" s="259">
        <f t="shared" si="141"/>
        <v>40300.071989049291</v>
      </c>
    </row>
    <row r="293" spans="1:22" outlineLevel="1">
      <c r="B293" s="3">
        <v>173290</v>
      </c>
      <c r="C293" s="3" t="s">
        <v>54</v>
      </c>
      <c r="D293" s="3">
        <v>628</v>
      </c>
      <c r="E293" s="3" t="s">
        <v>439</v>
      </c>
      <c r="F293" s="3">
        <v>2012</v>
      </c>
      <c r="G293" s="3">
        <v>9</v>
      </c>
      <c r="H293" s="3">
        <v>0</v>
      </c>
      <c r="I293" s="3" t="s">
        <v>52</v>
      </c>
      <c r="J293" s="3">
        <v>7</v>
      </c>
      <c r="K293" s="3">
        <f t="shared" si="132"/>
        <v>2019</v>
      </c>
      <c r="L293" s="168">
        <f t="shared" si="133"/>
        <v>2019.75</v>
      </c>
      <c r="M293" s="139">
        <f>+'2131 Trks - Orig'!P25</f>
        <v>199801.60000000001</v>
      </c>
      <c r="N293" s="139">
        <f t="shared" si="134"/>
        <v>199801.60000000001</v>
      </c>
      <c r="O293" s="139">
        <f t="shared" si="135"/>
        <v>2378.5904761904762</v>
      </c>
      <c r="P293" s="139">
        <f t="shared" si="136"/>
        <v>28543.085714285713</v>
      </c>
      <c r="Q293" s="342">
        <f t="shared" si="137"/>
        <v>0</v>
      </c>
      <c r="R293" s="341"/>
      <c r="S293" s="342">
        <f t="shared" si="138"/>
        <v>199801.60000000001</v>
      </c>
      <c r="T293" s="139">
        <f t="shared" si="139"/>
        <v>199801.60000000001</v>
      </c>
      <c r="U293" s="139">
        <f t="shared" si="140"/>
        <v>0</v>
      </c>
      <c r="V293" s="171">
        <f t="shared" si="141"/>
        <v>0</v>
      </c>
    </row>
    <row r="294" spans="1:22" s="255" customFormat="1" outlineLevel="1">
      <c r="D294" s="255">
        <v>628</v>
      </c>
      <c r="E294" s="255" t="s">
        <v>638</v>
      </c>
      <c r="F294" s="255">
        <v>2017</v>
      </c>
      <c r="G294" s="255">
        <v>10</v>
      </c>
      <c r="H294" s="255">
        <v>0</v>
      </c>
      <c r="I294" s="255" t="s">
        <v>52</v>
      </c>
      <c r="J294" s="255">
        <f>+IF(K293-$N$3&gt;=3,K293-$N$3,3)</f>
        <v>2016</v>
      </c>
      <c r="K294" s="255">
        <f t="shared" si="132"/>
        <v>4033</v>
      </c>
      <c r="L294" s="256">
        <f t="shared" si="133"/>
        <v>4033.8333333333335</v>
      </c>
      <c r="M294" s="257">
        <f>+'2131 Trks - Orig'!N25-'2111 Trks'!M293</f>
        <v>49950.399999999994</v>
      </c>
      <c r="N294" s="257">
        <f t="shared" si="134"/>
        <v>49950.399999999994</v>
      </c>
      <c r="O294" s="257">
        <f t="shared" si="135"/>
        <v>2.0647486772486769</v>
      </c>
      <c r="P294" s="257">
        <f t="shared" si="136"/>
        <v>24.776984126984125</v>
      </c>
      <c r="Q294" s="342">
        <f t="shared" si="137"/>
        <v>24.776984126984125</v>
      </c>
      <c r="R294" s="341"/>
      <c r="S294" s="342">
        <f t="shared" si="138"/>
        <v>161.05039682539064</v>
      </c>
      <c r="T294" s="139">
        <f t="shared" si="139"/>
        <v>185.82738095237477</v>
      </c>
      <c r="U294" s="258">
        <f t="shared" si="140"/>
        <v>49764.57261904762</v>
      </c>
      <c r="V294" s="259">
        <f t="shared" si="141"/>
        <v>49764.57261904762</v>
      </c>
    </row>
    <row r="295" spans="1:22" outlineLevel="1">
      <c r="B295" s="3">
        <v>173296</v>
      </c>
      <c r="C295" s="3" t="s">
        <v>54</v>
      </c>
      <c r="D295" s="3">
        <v>629</v>
      </c>
      <c r="E295" s="3" t="s">
        <v>439</v>
      </c>
      <c r="F295" s="3">
        <v>2012</v>
      </c>
      <c r="G295" s="3">
        <v>12</v>
      </c>
      <c r="H295" s="3">
        <v>0</v>
      </c>
      <c r="I295" s="3" t="s">
        <v>52</v>
      </c>
      <c r="J295" s="3">
        <v>7</v>
      </c>
      <c r="K295" s="3">
        <f t="shared" si="132"/>
        <v>2019</v>
      </c>
      <c r="L295" s="168">
        <f t="shared" si="133"/>
        <v>2020</v>
      </c>
      <c r="M295" s="139">
        <f>+'2131 Trks - Orig'!P26</f>
        <v>199962.4</v>
      </c>
      <c r="N295" s="139">
        <f t="shared" si="134"/>
        <v>199962.4</v>
      </c>
      <c r="O295" s="139">
        <f t="shared" si="135"/>
        <v>2380.5047619047618</v>
      </c>
      <c r="P295" s="139">
        <f t="shared" si="136"/>
        <v>28566.057142857142</v>
      </c>
      <c r="Q295" s="342">
        <f t="shared" si="137"/>
        <v>0</v>
      </c>
      <c r="R295" s="341"/>
      <c r="S295" s="342">
        <f t="shared" si="138"/>
        <v>199962.4</v>
      </c>
      <c r="T295" s="139">
        <f t="shared" si="139"/>
        <v>199962.4</v>
      </c>
      <c r="U295" s="139">
        <f t="shared" si="140"/>
        <v>0</v>
      </c>
      <c r="V295" s="171">
        <f t="shared" si="141"/>
        <v>0</v>
      </c>
    </row>
    <row r="296" spans="1:22" s="255" customFormat="1" outlineLevel="1">
      <c r="D296" s="255">
        <v>629</v>
      </c>
      <c r="E296" s="255" t="s">
        <v>639</v>
      </c>
      <c r="F296" s="255">
        <v>2017</v>
      </c>
      <c r="G296" s="255">
        <v>10</v>
      </c>
      <c r="H296" s="255">
        <v>0</v>
      </c>
      <c r="I296" s="255" t="s">
        <v>52</v>
      </c>
      <c r="J296" s="255">
        <f>+IF(K295-$N$3&gt;=3,K295-$N$3,3)</f>
        <v>2016</v>
      </c>
      <c r="K296" s="255">
        <f t="shared" si="132"/>
        <v>4033</v>
      </c>
      <c r="L296" s="256">
        <f t="shared" si="133"/>
        <v>4033.8333333333335</v>
      </c>
      <c r="M296" s="257">
        <f>+'2131 Trks - Orig'!N26-'2111 Trks'!M295</f>
        <v>49990.600000000006</v>
      </c>
      <c r="N296" s="257">
        <f t="shared" si="134"/>
        <v>49990.600000000006</v>
      </c>
      <c r="O296" s="257">
        <f t="shared" si="135"/>
        <v>2.066410383597884</v>
      </c>
      <c r="P296" s="257">
        <f t="shared" si="136"/>
        <v>24.79692460317461</v>
      </c>
      <c r="Q296" s="342">
        <f t="shared" si="137"/>
        <v>24.79692460317461</v>
      </c>
      <c r="R296" s="341"/>
      <c r="S296" s="342">
        <f t="shared" si="138"/>
        <v>161.18000992062298</v>
      </c>
      <c r="T296" s="139">
        <f t="shared" si="139"/>
        <v>185.97693452379758</v>
      </c>
      <c r="U296" s="258">
        <f t="shared" si="140"/>
        <v>49804.623065476211</v>
      </c>
      <c r="V296" s="259">
        <f t="shared" si="141"/>
        <v>49804.623065476211</v>
      </c>
    </row>
    <row r="297" spans="1:22" outlineLevel="1">
      <c r="B297" s="3">
        <v>173079</v>
      </c>
      <c r="C297" s="3" t="s">
        <v>54</v>
      </c>
      <c r="D297" s="3">
        <v>153</v>
      </c>
      <c r="E297" s="3" t="s">
        <v>427</v>
      </c>
      <c r="F297" s="3">
        <v>1997</v>
      </c>
      <c r="G297" s="3">
        <v>7</v>
      </c>
      <c r="H297" s="3">
        <v>0</v>
      </c>
      <c r="I297" s="3" t="s">
        <v>52</v>
      </c>
      <c r="J297" s="3">
        <v>7</v>
      </c>
      <c r="K297" s="3">
        <f t="shared" si="132"/>
        <v>2004</v>
      </c>
      <c r="L297" s="168">
        <f t="shared" si="133"/>
        <v>2004.5833333333333</v>
      </c>
      <c r="M297" s="139">
        <v>95846</v>
      </c>
      <c r="N297" s="139">
        <f t="shared" si="134"/>
        <v>95846</v>
      </c>
      <c r="O297" s="139">
        <f t="shared" si="135"/>
        <v>1141.0238095238094</v>
      </c>
      <c r="P297" s="139">
        <f t="shared" si="136"/>
        <v>13692.285714285714</v>
      </c>
      <c r="Q297" s="342">
        <f t="shared" si="137"/>
        <v>0</v>
      </c>
      <c r="R297" s="341"/>
      <c r="S297" s="342">
        <f t="shared" si="138"/>
        <v>95846</v>
      </c>
      <c r="T297" s="139">
        <f t="shared" si="139"/>
        <v>95846</v>
      </c>
      <c r="U297" s="139">
        <f t="shared" si="140"/>
        <v>0</v>
      </c>
      <c r="V297" s="11">
        <f t="shared" si="141"/>
        <v>0</v>
      </c>
    </row>
    <row r="298" spans="1:22" s="255" customFormat="1" outlineLevel="1">
      <c r="D298" s="255">
        <v>153</v>
      </c>
      <c r="E298" s="255" t="s">
        <v>619</v>
      </c>
      <c r="F298" s="255">
        <v>2017</v>
      </c>
      <c r="G298" s="255">
        <v>10</v>
      </c>
      <c r="H298" s="255">
        <v>0</v>
      </c>
      <c r="I298" s="255" t="s">
        <v>52</v>
      </c>
      <c r="J298" s="255">
        <f>+IF(K297-$N$3&gt;=3,K297-$N$3,3)</f>
        <v>2001</v>
      </c>
      <c r="K298" s="255">
        <f t="shared" si="132"/>
        <v>4018</v>
      </c>
      <c r="L298" s="256">
        <f t="shared" si="133"/>
        <v>4018.8333333333335</v>
      </c>
      <c r="M298" s="257">
        <v>23962</v>
      </c>
      <c r="N298" s="257">
        <f t="shared" si="134"/>
        <v>23962</v>
      </c>
      <c r="O298" s="257">
        <f t="shared" si="135"/>
        <v>0.99791770781276024</v>
      </c>
      <c r="P298" s="257">
        <f t="shared" si="136"/>
        <v>11.975012493753123</v>
      </c>
      <c r="Q298" s="342">
        <f t="shared" si="137"/>
        <v>11.975012493753123</v>
      </c>
      <c r="R298" s="341"/>
      <c r="S298" s="342">
        <f t="shared" si="138"/>
        <v>77.837581209394557</v>
      </c>
      <c r="T298" s="139">
        <f t="shared" si="139"/>
        <v>89.812593703147684</v>
      </c>
      <c r="U298" s="258">
        <f t="shared" si="140"/>
        <v>23872.187406296853</v>
      </c>
      <c r="V298" s="259">
        <f t="shared" si="141"/>
        <v>23872.187406296853</v>
      </c>
    </row>
    <row r="299" spans="1:22" outlineLevel="1">
      <c r="B299" s="3">
        <v>173313</v>
      </c>
      <c r="D299" s="3">
        <v>153</v>
      </c>
      <c r="E299" s="3" t="s">
        <v>443</v>
      </c>
      <c r="F299" s="3">
        <v>2015</v>
      </c>
      <c r="G299" s="3">
        <v>10</v>
      </c>
      <c r="H299" s="3">
        <v>0</v>
      </c>
      <c r="I299" s="3" t="s">
        <v>52</v>
      </c>
      <c r="J299" s="3">
        <v>3</v>
      </c>
      <c r="K299" s="3">
        <f t="shared" si="132"/>
        <v>2018</v>
      </c>
      <c r="L299" s="168">
        <f t="shared" si="133"/>
        <v>2018.8333333333333</v>
      </c>
      <c r="M299" s="139">
        <v>7491</v>
      </c>
      <c r="N299" s="139">
        <f t="shared" si="134"/>
        <v>7491</v>
      </c>
      <c r="O299" s="139">
        <f t="shared" si="135"/>
        <v>208.08333333333334</v>
      </c>
      <c r="P299" s="139">
        <f t="shared" si="136"/>
        <v>2497</v>
      </c>
      <c r="Q299" s="342">
        <f t="shared" si="137"/>
        <v>0</v>
      </c>
      <c r="R299" s="341"/>
      <c r="S299" s="342">
        <f t="shared" si="138"/>
        <v>7491</v>
      </c>
      <c r="T299" s="139">
        <f t="shared" si="139"/>
        <v>7491</v>
      </c>
      <c r="U299" s="139">
        <f t="shared" si="140"/>
        <v>0</v>
      </c>
      <c r="V299" s="11">
        <f t="shared" si="141"/>
        <v>0</v>
      </c>
    </row>
    <row r="300" spans="1:22" outlineLevel="1">
      <c r="B300" s="3" t="s">
        <v>487</v>
      </c>
      <c r="C300" s="3" t="s">
        <v>92</v>
      </c>
      <c r="D300" s="3">
        <v>800</v>
      </c>
      <c r="E300" s="3" t="s">
        <v>449</v>
      </c>
      <c r="F300" s="3">
        <v>2004</v>
      </c>
      <c r="G300" s="3">
        <v>6</v>
      </c>
      <c r="H300" s="3">
        <v>0</v>
      </c>
      <c r="I300" s="3" t="s">
        <v>52</v>
      </c>
      <c r="J300" s="3">
        <v>7</v>
      </c>
      <c r="K300" s="3">
        <f t="shared" ref="K300:K308" si="142">F300+J300</f>
        <v>2011</v>
      </c>
      <c r="L300" s="168">
        <f t="shared" ref="L300:L308" si="143">+K300+(G300/12)</f>
        <v>2011.5</v>
      </c>
      <c r="M300" s="139">
        <f>+'2131 Trks - Orig'!P52</f>
        <v>87201.847999999998</v>
      </c>
      <c r="N300" s="139">
        <f t="shared" ref="N300:N308" si="144">M300-M300*H300</f>
        <v>87201.847999999998</v>
      </c>
      <c r="O300" s="139">
        <f t="shared" ref="O300:O308" si="145">N300/J300/12</f>
        <v>1038.117238095238</v>
      </c>
      <c r="P300" s="139">
        <f t="shared" ref="P300:P308" si="146">+O300*12</f>
        <v>12457.406857142856</v>
      </c>
      <c r="Q300" s="342">
        <f t="shared" si="137"/>
        <v>0</v>
      </c>
      <c r="R300" s="341"/>
      <c r="S300" s="342">
        <f t="shared" si="138"/>
        <v>87201.847999999998</v>
      </c>
      <c r="T300" s="139">
        <f t="shared" si="139"/>
        <v>87201.847999999998</v>
      </c>
      <c r="U300" s="139">
        <f t="shared" ref="U300:U308" si="147">M300-T300</f>
        <v>0</v>
      </c>
      <c r="V300" s="171">
        <f t="shared" ref="V300:V308" si="148">M300-T300</f>
        <v>0</v>
      </c>
    </row>
    <row r="301" spans="1:22" s="255" customFormat="1" outlineLevel="1">
      <c r="D301" s="255">
        <v>800</v>
      </c>
      <c r="E301" s="255" t="s">
        <v>645</v>
      </c>
      <c r="F301" s="255">
        <v>2017</v>
      </c>
      <c r="G301" s="255">
        <v>10</v>
      </c>
      <c r="H301" s="255">
        <v>0</v>
      </c>
      <c r="I301" s="255" t="s">
        <v>52</v>
      </c>
      <c r="J301" s="255">
        <f>+IF(K300-$N$3&gt;=3,K300-$N$3,3)</f>
        <v>2008</v>
      </c>
      <c r="K301" s="255">
        <f t="shared" si="142"/>
        <v>4025</v>
      </c>
      <c r="L301" s="256">
        <f t="shared" si="143"/>
        <v>4025.8333333333335</v>
      </c>
      <c r="M301" s="257">
        <f>+'2131 Trks - Orig'!N52-'2111 Trks'!M300</f>
        <v>21800.462</v>
      </c>
      <c r="N301" s="257">
        <f t="shared" si="144"/>
        <v>21800.462</v>
      </c>
      <c r="O301" s="257">
        <f t="shared" si="145"/>
        <v>0.9047336487383798</v>
      </c>
      <c r="P301" s="257">
        <f t="shared" si="146"/>
        <v>10.856803784860558</v>
      </c>
      <c r="Q301" s="342">
        <f t="shared" si="137"/>
        <v>10.856803784860558</v>
      </c>
      <c r="R301" s="341"/>
      <c r="S301" s="342">
        <f t="shared" si="138"/>
        <v>70.569224601589667</v>
      </c>
      <c r="T301" s="139">
        <f t="shared" si="139"/>
        <v>81.426028386450227</v>
      </c>
      <c r="U301" s="258">
        <f t="shared" si="147"/>
        <v>21719.03597161355</v>
      </c>
      <c r="V301" s="259">
        <f t="shared" si="148"/>
        <v>21719.03597161355</v>
      </c>
    </row>
    <row r="302" spans="1:22" outlineLevel="1">
      <c r="B302" s="3">
        <v>173224</v>
      </c>
      <c r="C302" s="3" t="s">
        <v>92</v>
      </c>
      <c r="D302" s="3">
        <v>800</v>
      </c>
      <c r="E302" s="3" t="s">
        <v>450</v>
      </c>
      <c r="F302" s="3">
        <v>2004</v>
      </c>
      <c r="G302" s="3">
        <v>6</v>
      </c>
      <c r="H302" s="3">
        <v>0</v>
      </c>
      <c r="I302" s="3" t="s">
        <v>52</v>
      </c>
      <c r="J302" s="3">
        <v>7</v>
      </c>
      <c r="K302" s="3">
        <f t="shared" si="142"/>
        <v>2011</v>
      </c>
      <c r="L302" s="168">
        <f t="shared" si="143"/>
        <v>2011.5</v>
      </c>
      <c r="M302" s="139">
        <f>+'2131 Trks - Orig'!P53</f>
        <v>62379.383999999998</v>
      </c>
      <c r="N302" s="139">
        <f t="shared" si="144"/>
        <v>62379.383999999998</v>
      </c>
      <c r="O302" s="139">
        <f t="shared" si="145"/>
        <v>742.61171428571424</v>
      </c>
      <c r="P302" s="139">
        <f t="shared" si="146"/>
        <v>8911.3405714285709</v>
      </c>
      <c r="Q302" s="342">
        <f t="shared" si="137"/>
        <v>0</v>
      </c>
      <c r="R302" s="341"/>
      <c r="S302" s="342">
        <f t="shared" si="138"/>
        <v>62379.383999999998</v>
      </c>
      <c r="T302" s="139">
        <f t="shared" si="139"/>
        <v>62379.383999999998</v>
      </c>
      <c r="U302" s="139">
        <f t="shared" si="147"/>
        <v>0</v>
      </c>
      <c r="V302" s="171">
        <f t="shared" si="148"/>
        <v>0</v>
      </c>
    </row>
    <row r="303" spans="1:22" s="255" customFormat="1" outlineLevel="1">
      <c r="D303" s="255">
        <v>800</v>
      </c>
      <c r="E303" s="255" t="s">
        <v>645</v>
      </c>
      <c r="F303" s="255">
        <v>2017</v>
      </c>
      <c r="G303" s="255">
        <v>10</v>
      </c>
      <c r="H303" s="255">
        <v>0</v>
      </c>
      <c r="I303" s="255" t="s">
        <v>52</v>
      </c>
      <c r="J303" s="255">
        <f>+IF(K302-$N$3&gt;=3,K302-$N$3,3)</f>
        <v>2008</v>
      </c>
      <c r="K303" s="255">
        <f t="shared" si="142"/>
        <v>4025</v>
      </c>
      <c r="L303" s="256">
        <f t="shared" si="143"/>
        <v>4025.8333333333335</v>
      </c>
      <c r="M303" s="257">
        <f>+'2131 Trks - Orig'!N53-'2111 Trks'!M302</f>
        <v>15594.845999999998</v>
      </c>
      <c r="N303" s="257">
        <f t="shared" si="144"/>
        <v>15594.845999999998</v>
      </c>
      <c r="O303" s="257">
        <f t="shared" si="145"/>
        <v>0.64719646414342613</v>
      </c>
      <c r="P303" s="257">
        <f t="shared" si="146"/>
        <v>7.766357569721114</v>
      </c>
      <c r="Q303" s="342">
        <f t="shared" si="137"/>
        <v>7.766357569721114</v>
      </c>
      <c r="R303" s="341"/>
      <c r="S303" s="342">
        <f t="shared" si="138"/>
        <v>50.481324203186887</v>
      </c>
      <c r="T303" s="139">
        <f t="shared" si="139"/>
        <v>58.247681772908003</v>
      </c>
      <c r="U303" s="258">
        <f t="shared" si="147"/>
        <v>15536.59831822709</v>
      </c>
      <c r="V303" s="259">
        <f t="shared" si="148"/>
        <v>15536.59831822709</v>
      </c>
    </row>
    <row r="304" spans="1:22" outlineLevel="1">
      <c r="B304" s="3">
        <v>236489</v>
      </c>
      <c r="D304" s="3">
        <v>800</v>
      </c>
      <c r="E304" s="3" t="s">
        <v>1076</v>
      </c>
      <c r="F304" s="3">
        <v>2020</v>
      </c>
      <c r="G304" s="3">
        <v>3</v>
      </c>
      <c r="H304" s="3">
        <v>0</v>
      </c>
      <c r="I304" s="3" t="s">
        <v>52</v>
      </c>
      <c r="J304" s="3">
        <v>3</v>
      </c>
      <c r="K304" s="3">
        <f t="shared" si="142"/>
        <v>2023</v>
      </c>
      <c r="L304" s="168">
        <f t="shared" si="143"/>
        <v>2023.25</v>
      </c>
      <c r="M304" s="139">
        <v>11688.67</v>
      </c>
      <c r="N304" s="139">
        <f t="shared" si="144"/>
        <v>11688.67</v>
      </c>
      <c r="O304" s="139">
        <f t="shared" si="145"/>
        <v>324.6852777777778</v>
      </c>
      <c r="P304" s="139">
        <f t="shared" si="146"/>
        <v>3896.2233333333334</v>
      </c>
      <c r="Q304" s="342">
        <f t="shared" si="137"/>
        <v>0</v>
      </c>
      <c r="R304" s="341"/>
      <c r="S304" s="342">
        <f t="shared" si="138"/>
        <v>11688.67</v>
      </c>
      <c r="T304" s="139">
        <f t="shared" si="139"/>
        <v>11688.67</v>
      </c>
      <c r="U304" s="139">
        <f t="shared" si="147"/>
        <v>0</v>
      </c>
      <c r="V304" s="171">
        <f t="shared" si="148"/>
        <v>0</v>
      </c>
    </row>
    <row r="305" spans="2:22" outlineLevel="1">
      <c r="B305" s="3">
        <v>173078</v>
      </c>
      <c r="C305" s="3" t="s">
        <v>156</v>
      </c>
      <c r="D305" s="3">
        <v>152</v>
      </c>
      <c r="E305" s="3" t="s">
        <v>426</v>
      </c>
      <c r="F305" s="3">
        <v>1997</v>
      </c>
      <c r="G305" s="3">
        <v>8</v>
      </c>
      <c r="H305" s="3">
        <v>0</v>
      </c>
      <c r="I305" s="3" t="s">
        <v>52</v>
      </c>
      <c r="J305" s="3">
        <v>7</v>
      </c>
      <c r="K305" s="3">
        <f t="shared" si="142"/>
        <v>2004</v>
      </c>
      <c r="L305" s="168">
        <f t="shared" si="143"/>
        <v>2004.6666666666667</v>
      </c>
      <c r="M305" s="139">
        <v>95846</v>
      </c>
      <c r="N305" s="139">
        <f t="shared" si="144"/>
        <v>95846</v>
      </c>
      <c r="O305" s="139">
        <f t="shared" si="145"/>
        <v>1141.0238095238094</v>
      </c>
      <c r="P305" s="139">
        <f t="shared" si="146"/>
        <v>13692.285714285714</v>
      </c>
      <c r="Q305" s="342">
        <f t="shared" si="137"/>
        <v>0</v>
      </c>
      <c r="R305" s="341"/>
      <c r="S305" s="342">
        <f t="shared" si="138"/>
        <v>95846</v>
      </c>
      <c r="T305" s="139">
        <f t="shared" si="139"/>
        <v>95846</v>
      </c>
      <c r="U305" s="139">
        <f t="shared" si="147"/>
        <v>0</v>
      </c>
      <c r="V305" s="11">
        <f t="shared" si="148"/>
        <v>0</v>
      </c>
    </row>
    <row r="306" spans="2:22" s="255" customFormat="1" outlineLevel="1">
      <c r="D306" s="255">
        <v>152</v>
      </c>
      <c r="E306" s="255" t="s">
        <v>605</v>
      </c>
      <c r="F306" s="255">
        <v>2017</v>
      </c>
      <c r="G306" s="255">
        <v>10</v>
      </c>
      <c r="H306" s="255">
        <v>0</v>
      </c>
      <c r="I306" s="255" t="s">
        <v>52</v>
      </c>
      <c r="J306" s="255">
        <f>+IF(K305-$N$3&gt;=3,K305-$N$3,3)</f>
        <v>2001</v>
      </c>
      <c r="K306" s="255">
        <f t="shared" si="142"/>
        <v>4018</v>
      </c>
      <c r="L306" s="256">
        <f t="shared" si="143"/>
        <v>4018.8333333333335</v>
      </c>
      <c r="M306" s="257">
        <v>23962</v>
      </c>
      <c r="N306" s="257">
        <f t="shared" si="144"/>
        <v>23962</v>
      </c>
      <c r="O306" s="257">
        <f t="shared" si="145"/>
        <v>0.99791770781276024</v>
      </c>
      <c r="P306" s="257">
        <f t="shared" si="146"/>
        <v>11.975012493753123</v>
      </c>
      <c r="Q306" s="342">
        <f t="shared" si="137"/>
        <v>11.975012493753123</v>
      </c>
      <c r="R306" s="341"/>
      <c r="S306" s="342">
        <f t="shared" si="138"/>
        <v>77.837581209394557</v>
      </c>
      <c r="T306" s="139">
        <f t="shared" si="139"/>
        <v>89.812593703147684</v>
      </c>
      <c r="U306" s="258">
        <f t="shared" si="147"/>
        <v>23872.187406296853</v>
      </c>
      <c r="V306" s="259">
        <f t="shared" si="148"/>
        <v>23872.187406296853</v>
      </c>
    </row>
    <row r="307" spans="2:22" outlineLevel="1">
      <c r="B307" s="3" t="s">
        <v>486</v>
      </c>
      <c r="C307" s="3" t="s">
        <v>55</v>
      </c>
      <c r="D307" s="3">
        <v>906</v>
      </c>
      <c r="E307" s="3" t="s">
        <v>437</v>
      </c>
      <c r="F307" s="3">
        <v>2008</v>
      </c>
      <c r="G307" s="3">
        <v>10</v>
      </c>
      <c r="H307" s="3">
        <v>0</v>
      </c>
      <c r="I307" s="3" t="s">
        <v>52</v>
      </c>
      <c r="J307" s="3">
        <v>7</v>
      </c>
      <c r="K307" s="3">
        <f t="shared" si="142"/>
        <v>2015</v>
      </c>
      <c r="L307" s="168">
        <f t="shared" si="143"/>
        <v>2015.8333333333333</v>
      </c>
      <c r="M307" s="139">
        <f>+'2131 Trks - Orig'!P23</f>
        <v>199436.17600000001</v>
      </c>
      <c r="N307" s="139">
        <f t="shared" si="144"/>
        <v>199436.17600000001</v>
      </c>
      <c r="O307" s="139">
        <f t="shared" si="145"/>
        <v>2374.2401904761905</v>
      </c>
      <c r="P307" s="139">
        <f t="shared" si="146"/>
        <v>28490.882285714288</v>
      </c>
      <c r="Q307" s="342">
        <f t="shared" si="137"/>
        <v>0</v>
      </c>
      <c r="R307" s="341"/>
      <c r="S307" s="342">
        <f t="shared" si="138"/>
        <v>199436.17600000001</v>
      </c>
      <c r="T307" s="139">
        <f t="shared" si="139"/>
        <v>199436.17600000001</v>
      </c>
      <c r="U307" s="139">
        <f t="shared" si="147"/>
        <v>0</v>
      </c>
      <c r="V307" s="11">
        <f t="shared" si="148"/>
        <v>0</v>
      </c>
    </row>
    <row r="308" spans="2:22" s="255" customFormat="1" outlineLevel="1">
      <c r="D308" s="255">
        <v>906</v>
      </c>
      <c r="E308" s="255" t="s">
        <v>631</v>
      </c>
      <c r="F308" s="255">
        <v>2017</v>
      </c>
      <c r="G308" s="255">
        <v>10</v>
      </c>
      <c r="H308" s="255">
        <v>0</v>
      </c>
      <c r="I308" s="255" t="s">
        <v>52</v>
      </c>
      <c r="J308" s="255">
        <f>+IF(K307-$N$3&gt;=3,K307-$N$3,3)</f>
        <v>2012</v>
      </c>
      <c r="K308" s="255">
        <f t="shared" si="142"/>
        <v>4029</v>
      </c>
      <c r="L308" s="256">
        <f t="shared" si="143"/>
        <v>4029.8333333333335</v>
      </c>
      <c r="M308" s="257">
        <f>+'2131 Trks - Orig'!N23-'2111 Trks'!M307</f>
        <v>49859.043999999994</v>
      </c>
      <c r="N308" s="257">
        <f t="shared" si="144"/>
        <v>49859.043999999994</v>
      </c>
      <c r="O308" s="257">
        <f t="shared" si="145"/>
        <v>2.0650697481776006</v>
      </c>
      <c r="P308" s="257">
        <f t="shared" si="146"/>
        <v>24.780836978131205</v>
      </c>
      <c r="Q308" s="342">
        <f t="shared" si="137"/>
        <v>24.780836978131205</v>
      </c>
      <c r="R308" s="341"/>
      <c r="S308" s="342">
        <f t="shared" si="138"/>
        <v>161.07544035785395</v>
      </c>
      <c r="T308" s="139">
        <f t="shared" si="139"/>
        <v>185.85627733598517</v>
      </c>
      <c r="U308" s="258">
        <f t="shared" si="147"/>
        <v>49673.187722664006</v>
      </c>
      <c r="V308" s="259">
        <f t="shared" si="148"/>
        <v>49673.187722664006</v>
      </c>
    </row>
    <row r="309" spans="2:22" ht="14.25" customHeight="1" outlineLevel="1"/>
    <row r="310" spans="2:22" outlineLevel="1"/>
    <row r="311" spans="2:22" outlineLevel="1"/>
    <row r="312" spans="2:22" outlineLevel="1"/>
    <row r="313" spans="2:22" outlineLevel="1"/>
    <row r="314" spans="2:22" outlineLevel="1">
      <c r="B314" s="184" t="s">
        <v>1338</v>
      </c>
    </row>
    <row r="315" spans="2:22" outlineLevel="1">
      <c r="B315" s="3" t="s">
        <v>1129</v>
      </c>
      <c r="E315" s="3" t="s">
        <v>1128</v>
      </c>
      <c r="F315" s="3">
        <v>2020</v>
      </c>
      <c r="G315" s="3">
        <v>12</v>
      </c>
      <c r="H315" s="3">
        <v>0</v>
      </c>
      <c r="I315" s="3" t="s">
        <v>52</v>
      </c>
      <c r="J315" s="3">
        <v>3</v>
      </c>
      <c r="K315" s="3">
        <f>F315+J315</f>
        <v>2023</v>
      </c>
      <c r="L315" s="168">
        <f>+K315+(G315/12)</f>
        <v>2024</v>
      </c>
      <c r="M315" s="139">
        <v>15122.24</v>
      </c>
      <c r="N315" s="139">
        <f>M315-M315*H315</f>
        <v>15122.24</v>
      </c>
      <c r="O315" s="139">
        <f>N315/J315/12</f>
        <v>420.06222222222226</v>
      </c>
      <c r="P315" s="139">
        <f>+O315*12</f>
        <v>5040.7466666666669</v>
      </c>
      <c r="Q315" s="342">
        <f t="shared" ref="Q315:Q348" si="149">IF(L315&lt;=$N$6,0,P315)</f>
        <v>0</v>
      </c>
      <c r="R315" s="341"/>
      <c r="S315" s="342">
        <f t="shared" ref="S315:S348" si="150">+IF($L315&lt;=$N$7,$M315,IF(($F315+($G315/12))&gt;=$N$7,0,((($N315-((($L315-$N$7)*12)*$O315))))))</f>
        <v>15122.24</v>
      </c>
      <c r="T315" s="139">
        <f t="shared" ref="T315:T348" si="151">IF(L315&lt;=$N$6,M315,Q315+S315)</f>
        <v>15122.24</v>
      </c>
      <c r="U315" s="139">
        <f>M315-T315</f>
        <v>0</v>
      </c>
      <c r="V315" s="11">
        <f>M315-T315</f>
        <v>0</v>
      </c>
    </row>
    <row r="316" spans="2:22" outlineLevel="1">
      <c r="B316" s="3" t="s">
        <v>1127</v>
      </c>
      <c r="E316" s="3" t="s">
        <v>1128</v>
      </c>
      <c r="F316" s="3">
        <v>2020</v>
      </c>
      <c r="G316" s="3">
        <v>12</v>
      </c>
      <c r="H316" s="3">
        <v>0</v>
      </c>
      <c r="I316" s="3" t="s">
        <v>52</v>
      </c>
      <c r="J316" s="3">
        <v>3</v>
      </c>
      <c r="K316" s="3">
        <f t="shared" ref="K316:K326" si="152">F316+J316</f>
        <v>2023</v>
      </c>
      <c r="L316" s="168">
        <f t="shared" ref="L316:L326" si="153">+K316+(G316/12)</f>
        <v>2024</v>
      </c>
      <c r="M316" s="139">
        <v>15122.24</v>
      </c>
      <c r="N316" s="139">
        <f>M316-M316*H316</f>
        <v>15122.24</v>
      </c>
      <c r="O316" s="139">
        <f>N316/J316/12</f>
        <v>420.06222222222226</v>
      </c>
      <c r="P316" s="139">
        <f>+O316*12</f>
        <v>5040.7466666666669</v>
      </c>
      <c r="Q316" s="342">
        <f t="shared" si="149"/>
        <v>0</v>
      </c>
      <c r="R316" s="341"/>
      <c r="S316" s="342">
        <f t="shared" si="150"/>
        <v>15122.24</v>
      </c>
      <c r="T316" s="139">
        <f t="shared" si="151"/>
        <v>15122.24</v>
      </c>
      <c r="U316" s="139">
        <f>M316-T316</f>
        <v>0</v>
      </c>
      <c r="V316" s="11">
        <f>M316-T316</f>
        <v>0</v>
      </c>
    </row>
    <row r="317" spans="2:22" outlineLevel="1">
      <c r="B317" s="3">
        <v>50277</v>
      </c>
      <c r="C317" s="3" t="s">
        <v>55</v>
      </c>
      <c r="D317" s="3">
        <v>905</v>
      </c>
      <c r="E317" s="3" t="s">
        <v>157</v>
      </c>
      <c r="F317" s="3">
        <v>2007</v>
      </c>
      <c r="G317" s="3">
        <v>3</v>
      </c>
      <c r="H317" s="3">
        <v>0</v>
      </c>
      <c r="I317" s="3" t="s">
        <v>52</v>
      </c>
      <c r="J317" s="3">
        <v>7</v>
      </c>
      <c r="K317" s="3">
        <f t="shared" si="152"/>
        <v>2014</v>
      </c>
      <c r="L317" s="168">
        <f t="shared" si="153"/>
        <v>2014.25</v>
      </c>
      <c r="M317" s="139">
        <f>+'2111 Trks - Orig'!P21</f>
        <v>185479.75200000001</v>
      </c>
      <c r="N317" s="139">
        <f t="shared" ref="N317:N338" si="154">M317-M317*H317</f>
        <v>185479.75200000001</v>
      </c>
      <c r="O317" s="139">
        <f t="shared" ref="O317:O326" si="155">N317/J317/12</f>
        <v>2208.0922857142859</v>
      </c>
      <c r="P317" s="139">
        <f t="shared" ref="P317:P326" si="156">+O317*12</f>
        <v>26497.107428571431</v>
      </c>
      <c r="Q317" s="342">
        <f t="shared" si="149"/>
        <v>0</v>
      </c>
      <c r="R317" s="341"/>
      <c r="S317" s="342">
        <f t="shared" si="150"/>
        <v>185479.75200000001</v>
      </c>
      <c r="T317" s="139">
        <f t="shared" si="151"/>
        <v>185479.75200000001</v>
      </c>
      <c r="U317" s="139">
        <f t="shared" ref="U317:U326" si="157">M317-T317</f>
        <v>0</v>
      </c>
      <c r="V317" s="11">
        <f>M317-T317</f>
        <v>0</v>
      </c>
    </row>
    <row r="318" spans="2:22" s="255" customFormat="1" outlineLevel="1">
      <c r="D318" s="255">
        <v>905</v>
      </c>
      <c r="E318" s="255" t="s">
        <v>625</v>
      </c>
      <c r="F318" s="255">
        <v>2017</v>
      </c>
      <c r="G318" s="255">
        <v>10</v>
      </c>
      <c r="H318" s="255">
        <v>0</v>
      </c>
      <c r="I318" s="255" t="s">
        <v>52</v>
      </c>
      <c r="J318" s="255">
        <f>+IF(K317-$N$3&gt;=3,K317-$N$3,3)</f>
        <v>2011</v>
      </c>
      <c r="K318" s="255">
        <f t="shared" si="152"/>
        <v>4028</v>
      </c>
      <c r="L318" s="256">
        <f t="shared" si="153"/>
        <v>4028.8333333333335</v>
      </c>
      <c r="M318" s="257">
        <f>+'2111 Trks - Orig'!N21-'2111 Trks'!M317</f>
        <v>46369.937999999995</v>
      </c>
      <c r="N318" s="257">
        <f t="shared" si="154"/>
        <v>46369.937999999995</v>
      </c>
      <c r="O318" s="257">
        <f t="shared" si="155"/>
        <v>1.9215124316260566</v>
      </c>
      <c r="P318" s="257">
        <f t="shared" si="156"/>
        <v>23.058149179512679</v>
      </c>
      <c r="Q318" s="342">
        <f t="shared" si="149"/>
        <v>23.058149179512679</v>
      </c>
      <c r="R318" s="341"/>
      <c r="S318" s="342">
        <f t="shared" si="150"/>
        <v>149.87796966682072</v>
      </c>
      <c r="T318" s="139">
        <f t="shared" si="151"/>
        <v>172.93611884633339</v>
      </c>
      <c r="U318" s="258">
        <f t="shared" si="157"/>
        <v>46197.001881153665</v>
      </c>
      <c r="V318" s="259">
        <f>M318-T318</f>
        <v>46197.001881153665</v>
      </c>
    </row>
    <row r="319" spans="2:22" outlineLevel="1">
      <c r="B319" s="3">
        <v>128794</v>
      </c>
      <c r="C319" s="3" t="s">
        <v>54</v>
      </c>
      <c r="D319" s="3">
        <v>143</v>
      </c>
      <c r="E319" s="3" t="s">
        <v>232</v>
      </c>
      <c r="F319" s="3">
        <v>1995</v>
      </c>
      <c r="G319" s="3">
        <v>9</v>
      </c>
      <c r="H319" s="3">
        <v>0</v>
      </c>
      <c r="I319" s="3" t="s">
        <v>52</v>
      </c>
      <c r="J319" s="3">
        <v>7</v>
      </c>
      <c r="K319" s="3">
        <f t="shared" si="152"/>
        <v>2002</v>
      </c>
      <c r="L319" s="130">
        <f t="shared" si="153"/>
        <v>2002.75</v>
      </c>
      <c r="M319" s="139">
        <v>85856</v>
      </c>
      <c r="N319" s="139">
        <f t="shared" si="154"/>
        <v>85856</v>
      </c>
      <c r="O319" s="139">
        <f t="shared" si="155"/>
        <v>1022.0952380952381</v>
      </c>
      <c r="P319" s="139">
        <f t="shared" si="156"/>
        <v>12265.142857142857</v>
      </c>
      <c r="Q319" s="342">
        <f t="shared" si="149"/>
        <v>0</v>
      </c>
      <c r="R319" s="341"/>
      <c r="S319" s="342">
        <f t="shared" si="150"/>
        <v>85856</v>
      </c>
      <c r="T319" s="139">
        <f t="shared" si="151"/>
        <v>85856</v>
      </c>
      <c r="U319" s="139">
        <f t="shared" si="157"/>
        <v>0</v>
      </c>
    </row>
    <row r="320" spans="2:22" s="255" customFormat="1" outlineLevel="1">
      <c r="D320" s="255">
        <v>143</v>
      </c>
      <c r="E320" s="255" t="s">
        <v>604</v>
      </c>
      <c r="F320" s="255">
        <v>2017</v>
      </c>
      <c r="G320" s="255">
        <v>10</v>
      </c>
      <c r="H320" s="255">
        <v>0</v>
      </c>
      <c r="I320" s="255" t="s">
        <v>52</v>
      </c>
      <c r="J320" s="255">
        <f>+IF(K319-$N$3&gt;=3,K319-$N$3,3)</f>
        <v>1999</v>
      </c>
      <c r="K320" s="255">
        <f t="shared" si="152"/>
        <v>4016</v>
      </c>
      <c r="L320" s="256">
        <f t="shared" si="153"/>
        <v>4016.8333333333335</v>
      </c>
      <c r="M320" s="257">
        <v>21464</v>
      </c>
      <c r="N320" s="257">
        <f t="shared" si="154"/>
        <v>21464</v>
      </c>
      <c r="O320" s="257">
        <f t="shared" si="155"/>
        <v>0.89478072369518091</v>
      </c>
      <c r="P320" s="257">
        <f t="shared" si="156"/>
        <v>10.737368684342171</v>
      </c>
      <c r="Q320" s="342">
        <f t="shared" si="149"/>
        <v>10.737368684342171</v>
      </c>
      <c r="R320" s="341"/>
      <c r="S320" s="342">
        <f t="shared" si="150"/>
        <v>69.792896448219835</v>
      </c>
      <c r="T320" s="139">
        <f t="shared" si="151"/>
        <v>80.530265132562008</v>
      </c>
      <c r="U320" s="258">
        <f t="shared" si="157"/>
        <v>21383.469734867438</v>
      </c>
      <c r="V320" s="259">
        <f t="shared" ref="V320:V326" si="158">M320-T320</f>
        <v>21383.469734867438</v>
      </c>
    </row>
    <row r="321" spans="2:23" outlineLevel="1">
      <c r="B321" s="3">
        <v>128796</v>
      </c>
      <c r="C321" s="3" t="s">
        <v>54</v>
      </c>
      <c r="D321" s="3">
        <v>143</v>
      </c>
      <c r="E321" s="3" t="s">
        <v>75</v>
      </c>
      <c r="F321" s="3">
        <v>2005</v>
      </c>
      <c r="G321" s="3">
        <v>12</v>
      </c>
      <c r="H321" s="3">
        <v>0</v>
      </c>
      <c r="I321" s="3" t="s">
        <v>52</v>
      </c>
      <c r="J321" s="3">
        <v>3</v>
      </c>
      <c r="K321" s="3">
        <f t="shared" si="152"/>
        <v>2008</v>
      </c>
      <c r="L321" s="168">
        <f t="shared" si="153"/>
        <v>2009</v>
      </c>
      <c r="M321" s="139">
        <v>6215</v>
      </c>
      <c r="N321" s="139">
        <f t="shared" si="154"/>
        <v>6215</v>
      </c>
      <c r="O321" s="139">
        <f t="shared" si="155"/>
        <v>172.63888888888889</v>
      </c>
      <c r="P321" s="139">
        <f t="shared" si="156"/>
        <v>2071.6666666666665</v>
      </c>
      <c r="Q321" s="342">
        <f t="shared" si="149"/>
        <v>0</v>
      </c>
      <c r="R321" s="341"/>
      <c r="S321" s="342">
        <f t="shared" si="150"/>
        <v>6215</v>
      </c>
      <c r="T321" s="139">
        <f t="shared" si="151"/>
        <v>6215</v>
      </c>
      <c r="U321" s="139">
        <f t="shared" si="157"/>
        <v>0</v>
      </c>
      <c r="V321" s="11">
        <f t="shared" si="158"/>
        <v>0</v>
      </c>
    </row>
    <row r="322" spans="2:23" outlineLevel="1">
      <c r="B322" s="3">
        <v>128795</v>
      </c>
      <c r="D322" s="3">
        <v>143</v>
      </c>
      <c r="E322" s="3" t="s">
        <v>330</v>
      </c>
      <c r="F322" s="3">
        <v>2015</v>
      </c>
      <c r="G322" s="3">
        <v>4</v>
      </c>
      <c r="H322" s="3">
        <v>0</v>
      </c>
      <c r="I322" s="3" t="s">
        <v>52</v>
      </c>
      <c r="J322" s="3">
        <v>3</v>
      </c>
      <c r="K322" s="3">
        <f t="shared" si="152"/>
        <v>2018</v>
      </c>
      <c r="L322" s="168">
        <f t="shared" si="153"/>
        <v>2018.3333333333333</v>
      </c>
      <c r="M322" s="139">
        <v>7051</v>
      </c>
      <c r="N322" s="139">
        <f t="shared" si="154"/>
        <v>7051</v>
      </c>
      <c r="O322" s="139">
        <f t="shared" si="155"/>
        <v>195.86111111111111</v>
      </c>
      <c r="P322" s="139">
        <f t="shared" si="156"/>
        <v>2350.3333333333335</v>
      </c>
      <c r="Q322" s="342">
        <f t="shared" si="149"/>
        <v>0</v>
      </c>
      <c r="R322" s="341"/>
      <c r="S322" s="342">
        <f t="shared" si="150"/>
        <v>7051</v>
      </c>
      <c r="T322" s="139">
        <f t="shared" si="151"/>
        <v>7051</v>
      </c>
      <c r="U322" s="139">
        <f t="shared" si="157"/>
        <v>0</v>
      </c>
      <c r="V322" s="11">
        <f t="shared" si="158"/>
        <v>0</v>
      </c>
    </row>
    <row r="323" spans="2:23" outlineLevel="1">
      <c r="B323" s="3">
        <v>173299</v>
      </c>
      <c r="C323" s="3" t="s">
        <v>55</v>
      </c>
      <c r="D323" s="3">
        <v>909</v>
      </c>
      <c r="E323" s="3" t="s">
        <v>440</v>
      </c>
      <c r="F323" s="3">
        <v>2013</v>
      </c>
      <c r="G323" s="3">
        <v>12</v>
      </c>
      <c r="H323" s="3">
        <v>0</v>
      </c>
      <c r="I323" s="3" t="s">
        <v>52</v>
      </c>
      <c r="J323" s="3">
        <v>7</v>
      </c>
      <c r="K323" s="3">
        <f t="shared" si="152"/>
        <v>2020</v>
      </c>
      <c r="L323" s="168">
        <f t="shared" si="153"/>
        <v>2021</v>
      </c>
      <c r="M323" s="139">
        <f>+'2131 Trks - Orig'!P27</f>
        <v>236861.008</v>
      </c>
      <c r="N323" s="139">
        <f t="shared" si="154"/>
        <v>236861.008</v>
      </c>
      <c r="O323" s="139">
        <f t="shared" si="155"/>
        <v>2819.7739047619048</v>
      </c>
      <c r="P323" s="139">
        <f t="shared" si="156"/>
        <v>33837.286857142855</v>
      </c>
      <c r="Q323" s="342">
        <f t="shared" si="149"/>
        <v>0</v>
      </c>
      <c r="R323" s="341"/>
      <c r="S323" s="342">
        <f t="shared" si="150"/>
        <v>236861.008</v>
      </c>
      <c r="T323" s="139">
        <f t="shared" si="151"/>
        <v>236861.008</v>
      </c>
      <c r="U323" s="139">
        <f t="shared" si="157"/>
        <v>0</v>
      </c>
      <c r="V323" s="11">
        <f t="shared" si="158"/>
        <v>0</v>
      </c>
    </row>
    <row r="324" spans="2:23" s="255" customFormat="1" outlineLevel="1">
      <c r="D324" s="255">
        <v>909</v>
      </c>
      <c r="E324" s="255" t="s">
        <v>640</v>
      </c>
      <c r="F324" s="255">
        <v>2017</v>
      </c>
      <c r="G324" s="255">
        <v>10</v>
      </c>
      <c r="H324" s="255">
        <v>0</v>
      </c>
      <c r="I324" s="255" t="s">
        <v>52</v>
      </c>
      <c r="J324" s="255">
        <f>+IF(K323-$N$3&gt;=3,K323-$N$3,3)</f>
        <v>2017</v>
      </c>
      <c r="K324" s="255">
        <f t="shared" si="152"/>
        <v>4034</v>
      </c>
      <c r="L324" s="256">
        <f t="shared" si="153"/>
        <v>4034.8333333333335</v>
      </c>
      <c r="M324" s="257">
        <f>+'2131 Trks - Orig'!N27-'2111 Trks'!M323</f>
        <v>59215.252000000008</v>
      </c>
      <c r="N324" s="257">
        <f t="shared" si="154"/>
        <v>59215.252000000008</v>
      </c>
      <c r="O324" s="257">
        <f t="shared" si="155"/>
        <v>2.4465068583705176</v>
      </c>
      <c r="P324" s="257">
        <f t="shared" si="156"/>
        <v>29.358082300446213</v>
      </c>
      <c r="Q324" s="342">
        <f t="shared" si="149"/>
        <v>29.358082300446213</v>
      </c>
      <c r="R324" s="341"/>
      <c r="S324" s="342">
        <f t="shared" si="150"/>
        <v>190.82753495289217</v>
      </c>
      <c r="T324" s="139">
        <f t="shared" si="151"/>
        <v>220.18561725333836</v>
      </c>
      <c r="U324" s="258">
        <f t="shared" si="157"/>
        <v>58995.066382746671</v>
      </c>
      <c r="V324" s="259">
        <f t="shared" si="158"/>
        <v>58995.066382746671</v>
      </c>
    </row>
    <row r="325" spans="2:23" outlineLevel="1">
      <c r="B325" s="3">
        <v>238414</v>
      </c>
      <c r="E325" s="3" t="s">
        <v>1083</v>
      </c>
      <c r="F325" s="3">
        <v>2020</v>
      </c>
      <c r="G325" s="3">
        <v>8</v>
      </c>
      <c r="H325" s="3">
        <v>0</v>
      </c>
      <c r="I325" s="3" t="s">
        <v>52</v>
      </c>
      <c r="J325" s="3">
        <v>3</v>
      </c>
      <c r="K325" s="3">
        <f t="shared" si="152"/>
        <v>2023</v>
      </c>
      <c r="L325" s="168">
        <f t="shared" si="153"/>
        <v>2023.6666666666667</v>
      </c>
      <c r="M325" s="139">
        <v>16485</v>
      </c>
      <c r="N325" s="139">
        <f t="shared" si="154"/>
        <v>16485</v>
      </c>
      <c r="O325" s="139">
        <f t="shared" si="155"/>
        <v>457.91666666666669</v>
      </c>
      <c r="P325" s="139">
        <f t="shared" si="156"/>
        <v>5495</v>
      </c>
      <c r="Q325" s="342">
        <f t="shared" si="149"/>
        <v>0</v>
      </c>
      <c r="R325" s="341"/>
      <c r="S325" s="342">
        <f t="shared" si="150"/>
        <v>16485</v>
      </c>
      <c r="T325" s="139">
        <f t="shared" si="151"/>
        <v>16485</v>
      </c>
      <c r="U325" s="139">
        <f t="shared" si="157"/>
        <v>0</v>
      </c>
      <c r="V325" s="11">
        <f t="shared" si="158"/>
        <v>0</v>
      </c>
      <c r="W325" s="3" t="s">
        <v>1124</v>
      </c>
    </row>
    <row r="326" spans="2:23" outlineLevel="1">
      <c r="B326" s="3">
        <v>238415</v>
      </c>
      <c r="E326" s="3" t="s">
        <v>1084</v>
      </c>
      <c r="F326" s="3">
        <v>2020</v>
      </c>
      <c r="G326" s="3">
        <v>8</v>
      </c>
      <c r="H326" s="3">
        <v>0</v>
      </c>
      <c r="I326" s="3" t="s">
        <v>52</v>
      </c>
      <c r="J326" s="3">
        <v>3</v>
      </c>
      <c r="K326" s="3">
        <f t="shared" si="152"/>
        <v>2023</v>
      </c>
      <c r="L326" s="168">
        <f t="shared" si="153"/>
        <v>2023.6666666666667</v>
      </c>
      <c r="M326" s="139">
        <v>16485</v>
      </c>
      <c r="N326" s="139">
        <f t="shared" si="154"/>
        <v>16485</v>
      </c>
      <c r="O326" s="139">
        <f t="shared" si="155"/>
        <v>457.91666666666669</v>
      </c>
      <c r="P326" s="139">
        <f t="shared" si="156"/>
        <v>5495</v>
      </c>
      <c r="Q326" s="342">
        <f t="shared" si="149"/>
        <v>0</v>
      </c>
      <c r="R326" s="341"/>
      <c r="S326" s="342">
        <f t="shared" si="150"/>
        <v>16485</v>
      </c>
      <c r="T326" s="139">
        <f t="shared" si="151"/>
        <v>16485</v>
      </c>
      <c r="U326" s="139">
        <f t="shared" si="157"/>
        <v>0</v>
      </c>
      <c r="V326" s="11">
        <f t="shared" si="158"/>
        <v>0</v>
      </c>
      <c r="W326" s="3" t="s">
        <v>1124</v>
      </c>
    </row>
    <row r="327" spans="2:23" outlineLevel="1">
      <c r="N327" s="139"/>
      <c r="O327" s="139"/>
      <c r="P327" s="139"/>
      <c r="Q327" s="342">
        <f t="shared" si="149"/>
        <v>0</v>
      </c>
      <c r="R327" s="341"/>
      <c r="S327" s="342">
        <f t="shared" si="150"/>
        <v>0</v>
      </c>
      <c r="T327" s="139">
        <f t="shared" si="151"/>
        <v>0</v>
      </c>
      <c r="U327" s="139"/>
      <c r="V327" s="11"/>
    </row>
    <row r="328" spans="2:23" outlineLevel="1">
      <c r="B328" s="184" t="s">
        <v>4098</v>
      </c>
      <c r="N328" s="139"/>
      <c r="O328" s="139"/>
      <c r="P328" s="139"/>
      <c r="Q328" s="342">
        <f t="shared" si="149"/>
        <v>0</v>
      </c>
      <c r="R328" s="341"/>
      <c r="S328" s="342">
        <f t="shared" si="150"/>
        <v>0</v>
      </c>
      <c r="T328" s="139">
        <f t="shared" si="151"/>
        <v>0</v>
      </c>
      <c r="U328" s="139"/>
      <c r="V328" s="11"/>
    </row>
    <row r="329" spans="2:23" outlineLevel="1">
      <c r="B329" s="3" t="s">
        <v>496</v>
      </c>
      <c r="C329" s="3" t="s">
        <v>99</v>
      </c>
      <c r="D329" s="3">
        <v>816</v>
      </c>
      <c r="E329" s="3" t="s">
        <v>457</v>
      </c>
      <c r="F329" s="3">
        <v>2009</v>
      </c>
      <c r="G329" s="3">
        <v>5</v>
      </c>
      <c r="H329" s="3">
        <v>0</v>
      </c>
      <c r="I329" s="3" t="s">
        <v>52</v>
      </c>
      <c r="J329" s="3">
        <v>5</v>
      </c>
      <c r="K329" s="3">
        <f t="shared" ref="K329:K338" si="159">F329+J329</f>
        <v>2014</v>
      </c>
      <c r="L329" s="168">
        <f t="shared" ref="L329:L338" si="160">+K329+(G329/12)</f>
        <v>2014.4166666666667</v>
      </c>
      <c r="M329" s="139">
        <v>142244.04180000001</v>
      </c>
      <c r="N329" s="139">
        <f t="shared" si="154"/>
        <v>142244.04180000001</v>
      </c>
      <c r="O329" s="139">
        <f t="shared" ref="O329:O338" si="161">N329/J329/12</f>
        <v>2370.7340300000001</v>
      </c>
      <c r="P329" s="139">
        <f t="shared" ref="P329:P338" si="162">+O329*12</f>
        <v>28448.808360000003</v>
      </c>
      <c r="Q329" s="342">
        <f t="shared" si="149"/>
        <v>0</v>
      </c>
      <c r="R329" s="341"/>
      <c r="S329" s="342">
        <f t="shared" si="150"/>
        <v>142244.04180000001</v>
      </c>
      <c r="T329" s="139">
        <f t="shared" si="151"/>
        <v>142244.04180000001</v>
      </c>
      <c r="U329" s="139">
        <f t="shared" ref="U329:U338" si="163">M329-T329</f>
        <v>0</v>
      </c>
      <c r="V329" s="11">
        <f t="shared" ref="V329:V338" si="164">M329-T329</f>
        <v>0</v>
      </c>
    </row>
    <row r="330" spans="2:23" outlineLevel="1">
      <c r="B330" s="255"/>
      <c r="C330" s="255"/>
      <c r="D330" s="255">
        <v>816</v>
      </c>
      <c r="E330" s="255" t="s">
        <v>657</v>
      </c>
      <c r="F330" s="255">
        <v>2017</v>
      </c>
      <c r="G330" s="255">
        <v>10</v>
      </c>
      <c r="H330" s="255">
        <v>0</v>
      </c>
      <c r="I330" s="255" t="s">
        <v>52</v>
      </c>
      <c r="J330" s="255">
        <f>+IF(K329-$N$3&gt;=3,K329-$N$3,3)</f>
        <v>2011</v>
      </c>
      <c r="K330" s="255">
        <f t="shared" si="159"/>
        <v>4028</v>
      </c>
      <c r="L330" s="256">
        <f t="shared" si="160"/>
        <v>4028.8333333333335</v>
      </c>
      <c r="M330" s="257">
        <v>70060.498200000002</v>
      </c>
      <c r="N330" s="257">
        <f t="shared" si="154"/>
        <v>70060.498200000002</v>
      </c>
      <c r="O330" s="257">
        <f t="shared" si="161"/>
        <v>2.903219716558926</v>
      </c>
      <c r="P330" s="257">
        <f t="shared" si="162"/>
        <v>34.838636598707112</v>
      </c>
      <c r="Q330" s="342">
        <f t="shared" si="149"/>
        <v>34.838636598707112</v>
      </c>
      <c r="R330" s="341"/>
      <c r="S330" s="342">
        <f t="shared" si="150"/>
        <v>226.45113789159223</v>
      </c>
      <c r="T330" s="139">
        <f t="shared" si="151"/>
        <v>261.28977449029935</v>
      </c>
      <c r="U330" s="257">
        <f t="shared" si="163"/>
        <v>69799.2084255097</v>
      </c>
      <c r="V330" s="285">
        <f t="shared" si="164"/>
        <v>69799.2084255097</v>
      </c>
    </row>
    <row r="331" spans="2:23" outlineLevel="1">
      <c r="B331" s="3">
        <v>58436</v>
      </c>
      <c r="C331" s="3" t="s">
        <v>170</v>
      </c>
      <c r="D331" s="3">
        <v>814</v>
      </c>
      <c r="E331" s="3" t="s">
        <v>177</v>
      </c>
      <c r="F331" s="3">
        <v>2008</v>
      </c>
      <c r="G331" s="3">
        <v>6</v>
      </c>
      <c r="H331" s="3">
        <v>0</v>
      </c>
      <c r="I331" s="3" t="s">
        <v>52</v>
      </c>
      <c r="J331" s="3">
        <v>7</v>
      </c>
      <c r="K331" s="3">
        <f t="shared" si="159"/>
        <v>2015</v>
      </c>
      <c r="L331" s="168">
        <f t="shared" si="160"/>
        <v>2015.5</v>
      </c>
      <c r="M331" s="139">
        <v>186208.408</v>
      </c>
      <c r="N331" s="139">
        <f t="shared" si="154"/>
        <v>186208.408</v>
      </c>
      <c r="O331" s="139">
        <f t="shared" si="161"/>
        <v>2216.766761904762</v>
      </c>
      <c r="P331" s="139">
        <f t="shared" si="162"/>
        <v>26601.201142857142</v>
      </c>
      <c r="Q331" s="342">
        <f t="shared" si="149"/>
        <v>0</v>
      </c>
      <c r="R331" s="341"/>
      <c r="S331" s="342">
        <f t="shared" si="150"/>
        <v>186208.408</v>
      </c>
      <c r="T331" s="139">
        <f t="shared" si="151"/>
        <v>186208.408</v>
      </c>
      <c r="U331" s="139">
        <f t="shared" si="163"/>
        <v>0</v>
      </c>
      <c r="V331" s="11">
        <f t="shared" si="164"/>
        <v>0</v>
      </c>
    </row>
    <row r="332" spans="2:23" outlineLevel="1">
      <c r="B332" s="255"/>
      <c r="C332" s="255"/>
      <c r="D332" s="255">
        <v>814</v>
      </c>
      <c r="E332" s="255" t="s">
        <v>656</v>
      </c>
      <c r="F332" s="255">
        <v>2017</v>
      </c>
      <c r="G332" s="255">
        <v>10</v>
      </c>
      <c r="H332" s="255">
        <v>0</v>
      </c>
      <c r="I332" s="255" t="s">
        <v>52</v>
      </c>
      <c r="J332" s="255">
        <f>+IF(K331-$N$3&gt;=3,K331-$N$3,3)</f>
        <v>2012</v>
      </c>
      <c r="K332" s="255">
        <f t="shared" si="159"/>
        <v>4029</v>
      </c>
      <c r="L332" s="256">
        <f t="shared" si="160"/>
        <v>4029.8333333333335</v>
      </c>
      <c r="M332" s="257">
        <v>46552.102000000014</v>
      </c>
      <c r="N332" s="257">
        <f t="shared" si="154"/>
        <v>46552.102000000014</v>
      </c>
      <c r="O332" s="257">
        <f t="shared" si="161"/>
        <v>1.9281023028495696</v>
      </c>
      <c r="P332" s="257">
        <f t="shared" si="162"/>
        <v>23.137227634194836</v>
      </c>
      <c r="Q332" s="342">
        <f t="shared" si="149"/>
        <v>23.137227634194836</v>
      </c>
      <c r="R332" s="341"/>
      <c r="S332" s="342">
        <f t="shared" si="150"/>
        <v>150.39197962226172</v>
      </c>
      <c r="T332" s="139">
        <f t="shared" si="151"/>
        <v>173.52920725645654</v>
      </c>
      <c r="U332" s="257">
        <f t="shared" si="163"/>
        <v>46378.572792743558</v>
      </c>
      <c r="V332" s="285">
        <f t="shared" si="164"/>
        <v>46378.572792743558</v>
      </c>
    </row>
    <row r="333" spans="2:23" outlineLevel="1">
      <c r="B333" s="3" t="s">
        <v>1230</v>
      </c>
      <c r="D333" s="3">
        <v>813</v>
      </c>
      <c r="E333" s="3" t="s">
        <v>1232</v>
      </c>
      <c r="F333" s="3">
        <v>2014</v>
      </c>
      <c r="G333" s="3">
        <v>10</v>
      </c>
      <c r="H333" s="3">
        <v>0</v>
      </c>
      <c r="I333" s="3" t="s">
        <v>52</v>
      </c>
      <c r="J333" s="267">
        <v>4.04</v>
      </c>
      <c r="K333" s="3">
        <f t="shared" si="159"/>
        <v>2018.04</v>
      </c>
      <c r="L333" s="168">
        <f t="shared" si="160"/>
        <v>2018.8733333333332</v>
      </c>
      <c r="M333" s="139">
        <v>16407.5</v>
      </c>
      <c r="N333" s="139">
        <f t="shared" si="154"/>
        <v>16407.5</v>
      </c>
      <c r="O333" s="139">
        <f t="shared" si="161"/>
        <v>338.43853135313532</v>
      </c>
      <c r="P333" s="139">
        <f t="shared" si="162"/>
        <v>4061.2623762376238</v>
      </c>
      <c r="Q333" s="342">
        <f t="shared" si="149"/>
        <v>0</v>
      </c>
      <c r="R333" s="341"/>
      <c r="S333" s="342">
        <f t="shared" si="150"/>
        <v>16407.5</v>
      </c>
      <c r="T333" s="139">
        <f t="shared" si="151"/>
        <v>16407.5</v>
      </c>
      <c r="U333" s="139">
        <f t="shared" si="163"/>
        <v>0</v>
      </c>
      <c r="V333" s="11">
        <f t="shared" si="164"/>
        <v>0</v>
      </c>
    </row>
    <row r="334" spans="2:23" outlineLevel="1">
      <c r="B334" s="3">
        <v>250647</v>
      </c>
      <c r="D334" s="3">
        <v>813</v>
      </c>
      <c r="E334" s="3" t="s">
        <v>1233</v>
      </c>
      <c r="F334" s="3">
        <v>2013</v>
      </c>
      <c r="G334" s="3">
        <v>6</v>
      </c>
      <c r="H334" s="3">
        <v>0</v>
      </c>
      <c r="I334" s="3" t="s">
        <v>52</v>
      </c>
      <c r="J334" s="3">
        <v>6</v>
      </c>
      <c r="K334" s="3">
        <f t="shared" si="159"/>
        <v>2019</v>
      </c>
      <c r="L334" s="168">
        <f t="shared" si="160"/>
        <v>2019.5</v>
      </c>
      <c r="M334" s="139">
        <v>181525</v>
      </c>
      <c r="N334" s="139">
        <f t="shared" si="154"/>
        <v>181525</v>
      </c>
      <c r="O334" s="139">
        <f t="shared" si="161"/>
        <v>2521.1805555555557</v>
      </c>
      <c r="P334" s="139">
        <f t="shared" si="162"/>
        <v>30254.166666666668</v>
      </c>
      <c r="Q334" s="342">
        <f t="shared" si="149"/>
        <v>0</v>
      </c>
      <c r="R334" s="341"/>
      <c r="S334" s="342">
        <f t="shared" si="150"/>
        <v>181525</v>
      </c>
      <c r="T334" s="139">
        <f t="shared" si="151"/>
        <v>181525</v>
      </c>
      <c r="U334" s="139">
        <f t="shared" si="163"/>
        <v>0</v>
      </c>
      <c r="V334" s="11">
        <f t="shared" si="164"/>
        <v>0</v>
      </c>
    </row>
    <row r="335" spans="2:23" outlineLevel="1">
      <c r="B335" s="3">
        <v>176459</v>
      </c>
      <c r="D335" s="3" t="s">
        <v>951</v>
      </c>
      <c r="E335" s="3" t="s">
        <v>952</v>
      </c>
      <c r="F335" s="3">
        <v>2017</v>
      </c>
      <c r="G335" s="3">
        <v>1</v>
      </c>
      <c r="H335" s="3">
        <v>0</v>
      </c>
      <c r="I335" s="3" t="s">
        <v>52</v>
      </c>
      <c r="J335" s="3">
        <v>10</v>
      </c>
      <c r="K335" s="3">
        <f t="shared" si="159"/>
        <v>2027</v>
      </c>
      <c r="L335" s="168">
        <f t="shared" si="160"/>
        <v>2027.0833333333333</v>
      </c>
      <c r="M335" s="139">
        <v>191235.68</v>
      </c>
      <c r="N335" s="139">
        <f t="shared" si="154"/>
        <v>191235.68</v>
      </c>
      <c r="O335" s="139">
        <f t="shared" si="161"/>
        <v>1593.6306666666667</v>
      </c>
      <c r="P335" s="139">
        <f t="shared" si="162"/>
        <v>19123.567999999999</v>
      </c>
      <c r="Q335" s="342">
        <f t="shared" si="149"/>
        <v>19123.567999999999</v>
      </c>
      <c r="R335" s="341"/>
      <c r="S335" s="342">
        <f t="shared" si="150"/>
        <v>138645.86799999999</v>
      </c>
      <c r="T335" s="139">
        <f t="shared" si="151"/>
        <v>157769.43599999999</v>
      </c>
      <c r="U335" s="139">
        <f t="shared" si="163"/>
        <v>33466.244000000006</v>
      </c>
      <c r="V335" s="11">
        <f t="shared" si="164"/>
        <v>33466.244000000006</v>
      </c>
    </row>
    <row r="336" spans="2:23" s="251" customFormat="1" outlineLevel="1">
      <c r="B336" s="327" t="s">
        <v>4165</v>
      </c>
      <c r="C336" s="326"/>
      <c r="D336" s="326">
        <v>806</v>
      </c>
      <c r="E336" s="251" t="s">
        <v>1244</v>
      </c>
      <c r="F336" s="251">
        <v>2005</v>
      </c>
      <c r="G336" s="251">
        <v>1</v>
      </c>
      <c r="H336" s="251">
        <v>0</v>
      </c>
      <c r="I336" s="251" t="s">
        <v>52</v>
      </c>
      <c r="J336" s="251">
        <v>10</v>
      </c>
      <c r="K336" s="251">
        <f t="shared" si="159"/>
        <v>2015</v>
      </c>
      <c r="L336" s="252">
        <f t="shared" si="160"/>
        <v>2015.0833333333333</v>
      </c>
      <c r="M336" s="253">
        <f>100692.45</f>
        <v>100692.45</v>
      </c>
      <c r="N336" s="253">
        <f t="shared" si="154"/>
        <v>100692.45</v>
      </c>
      <c r="O336" s="253">
        <f t="shared" si="161"/>
        <v>839.10374999999988</v>
      </c>
      <c r="P336" s="253">
        <f t="shared" si="162"/>
        <v>10069.244999999999</v>
      </c>
      <c r="Q336" s="342">
        <f t="shared" si="149"/>
        <v>0</v>
      </c>
      <c r="R336" s="341"/>
      <c r="S336" s="342">
        <f t="shared" si="150"/>
        <v>100692.45</v>
      </c>
      <c r="T336" s="139">
        <f t="shared" si="151"/>
        <v>100692.45</v>
      </c>
      <c r="U336" s="253">
        <f t="shared" si="163"/>
        <v>0</v>
      </c>
      <c r="V336" s="254">
        <f t="shared" si="164"/>
        <v>0</v>
      </c>
    </row>
    <row r="337" spans="2:24" s="251" customFormat="1" outlineLevel="1">
      <c r="B337" s="327" t="s">
        <v>4165</v>
      </c>
      <c r="C337" s="326"/>
      <c r="D337" s="326">
        <v>806</v>
      </c>
      <c r="E337" s="251" t="s">
        <v>1245</v>
      </c>
      <c r="F337" s="251">
        <v>2005</v>
      </c>
      <c r="G337" s="251">
        <v>2</v>
      </c>
      <c r="H337" s="251">
        <v>0</v>
      </c>
      <c r="I337" s="251" t="s">
        <v>52</v>
      </c>
      <c r="J337" s="251">
        <v>10</v>
      </c>
      <c r="K337" s="251">
        <f t="shared" si="159"/>
        <v>2015</v>
      </c>
      <c r="L337" s="252">
        <f t="shared" si="160"/>
        <v>2015.1666666666667</v>
      </c>
      <c r="M337" s="253">
        <f>97966.02</f>
        <v>97966.02</v>
      </c>
      <c r="N337" s="253">
        <f t="shared" si="154"/>
        <v>97966.02</v>
      </c>
      <c r="O337" s="253">
        <f t="shared" si="161"/>
        <v>816.38350000000003</v>
      </c>
      <c r="P337" s="253">
        <f t="shared" si="162"/>
        <v>9796.6020000000008</v>
      </c>
      <c r="Q337" s="342">
        <f t="shared" si="149"/>
        <v>0</v>
      </c>
      <c r="R337" s="341"/>
      <c r="S337" s="342">
        <f t="shared" si="150"/>
        <v>97966.02</v>
      </c>
      <c r="T337" s="139">
        <f t="shared" si="151"/>
        <v>97966.02</v>
      </c>
      <c r="U337" s="253">
        <f t="shared" si="163"/>
        <v>0</v>
      </c>
      <c r="V337" s="254">
        <f t="shared" si="164"/>
        <v>0</v>
      </c>
    </row>
    <row r="338" spans="2:24" s="251" customFormat="1" outlineLevel="1">
      <c r="B338" s="327" t="s">
        <v>4165</v>
      </c>
      <c r="C338" s="326"/>
      <c r="D338" s="326">
        <v>806</v>
      </c>
      <c r="E338" s="251" t="s">
        <v>1246</v>
      </c>
      <c r="F338" s="251">
        <v>2015</v>
      </c>
      <c r="G338" s="251">
        <v>2</v>
      </c>
      <c r="H338" s="251">
        <v>0</v>
      </c>
      <c r="I338" s="251" t="s">
        <v>52</v>
      </c>
      <c r="J338" s="251">
        <v>3</v>
      </c>
      <c r="K338" s="251">
        <f t="shared" si="159"/>
        <v>2018</v>
      </c>
      <c r="L338" s="252">
        <f t="shared" si="160"/>
        <v>2018.1666666666667</v>
      </c>
      <c r="M338" s="253">
        <f>7364.29</f>
        <v>7364.29</v>
      </c>
      <c r="N338" s="253">
        <f t="shared" si="154"/>
        <v>7364.29</v>
      </c>
      <c r="O338" s="253">
        <f t="shared" si="161"/>
        <v>204.5636111111111</v>
      </c>
      <c r="P338" s="253">
        <f t="shared" si="162"/>
        <v>2454.7633333333333</v>
      </c>
      <c r="Q338" s="342">
        <f t="shared" si="149"/>
        <v>0</v>
      </c>
      <c r="R338" s="341"/>
      <c r="S338" s="342">
        <f t="shared" si="150"/>
        <v>7364.29</v>
      </c>
      <c r="T338" s="139">
        <f t="shared" si="151"/>
        <v>7364.29</v>
      </c>
      <c r="U338" s="253">
        <f t="shared" si="163"/>
        <v>0</v>
      </c>
      <c r="V338" s="254">
        <f t="shared" si="164"/>
        <v>0</v>
      </c>
    </row>
    <row r="339" spans="2:24" outlineLevel="1">
      <c r="C339" s="3" t="s">
        <v>56</v>
      </c>
      <c r="D339" s="3">
        <v>411</v>
      </c>
      <c r="E339" s="3" t="s">
        <v>1329</v>
      </c>
      <c r="F339" s="3">
        <v>2004</v>
      </c>
      <c r="G339" s="3">
        <v>11</v>
      </c>
      <c r="H339" s="3">
        <v>0</v>
      </c>
      <c r="I339" s="3" t="s">
        <v>52</v>
      </c>
      <c r="J339" s="3">
        <v>10</v>
      </c>
      <c r="K339" s="3">
        <f>F339+J339</f>
        <v>2014</v>
      </c>
      <c r="L339" s="168">
        <f>+K339+(G339/12)</f>
        <v>2014.9166666666667</v>
      </c>
      <c r="M339" s="139">
        <v>86259.64</v>
      </c>
      <c r="N339" s="139">
        <f t="shared" ref="N339:N348" si="165">M339-M339*H339</f>
        <v>86259.64</v>
      </c>
      <c r="O339" s="139">
        <f t="shared" ref="O339:O348" si="166">N339/J339/12</f>
        <v>718.83033333333333</v>
      </c>
      <c r="P339" s="139">
        <f t="shared" ref="P339:P348" si="167">+O339*12</f>
        <v>8625.9639999999999</v>
      </c>
      <c r="Q339" s="342">
        <f t="shared" si="149"/>
        <v>0</v>
      </c>
      <c r="R339" s="341"/>
      <c r="S339" s="342">
        <f t="shared" si="150"/>
        <v>86259.64</v>
      </c>
      <c r="T339" s="139">
        <f t="shared" si="151"/>
        <v>86259.64</v>
      </c>
      <c r="U339" s="139">
        <f t="shared" ref="U339:U348" si="168">M339-T339</f>
        <v>0</v>
      </c>
      <c r="V339" s="11">
        <f t="shared" ref="V339:V348" si="169">M339-T339</f>
        <v>0</v>
      </c>
      <c r="W339" s="180" t="s">
        <v>1339</v>
      </c>
      <c r="X339" s="180">
        <v>118203</v>
      </c>
    </row>
    <row r="340" spans="2:24" outlineLevel="1">
      <c r="D340" s="3">
        <v>411</v>
      </c>
      <c r="E340" s="3" t="s">
        <v>1330</v>
      </c>
      <c r="F340" s="3">
        <v>2009</v>
      </c>
      <c r="G340" s="3">
        <v>1</v>
      </c>
      <c r="H340" s="3">
        <v>0</v>
      </c>
      <c r="I340" s="3" t="s">
        <v>52</v>
      </c>
      <c r="J340" s="3">
        <v>3</v>
      </c>
      <c r="K340" s="3">
        <f>F340+J340</f>
        <v>2012</v>
      </c>
      <c r="L340" s="168">
        <f>+K340+(G340/12)</f>
        <v>2012.0833333333333</v>
      </c>
      <c r="M340" s="139">
        <v>6818.83</v>
      </c>
      <c r="N340" s="139">
        <f t="shared" si="165"/>
        <v>6818.83</v>
      </c>
      <c r="O340" s="139">
        <f t="shared" si="166"/>
        <v>189.41194444444443</v>
      </c>
      <c r="P340" s="139">
        <f t="shared" si="167"/>
        <v>2272.9433333333332</v>
      </c>
      <c r="Q340" s="342">
        <f t="shared" si="149"/>
        <v>0</v>
      </c>
      <c r="R340" s="341"/>
      <c r="S340" s="342">
        <f t="shared" si="150"/>
        <v>6818.83</v>
      </c>
      <c r="T340" s="139">
        <f t="shared" si="151"/>
        <v>6818.83</v>
      </c>
      <c r="U340" s="139">
        <f t="shared" si="168"/>
        <v>0</v>
      </c>
      <c r="V340" s="11">
        <f t="shared" si="169"/>
        <v>0</v>
      </c>
      <c r="W340" s="180" t="s">
        <v>1339</v>
      </c>
      <c r="X340" s="180">
        <v>118204</v>
      </c>
    </row>
    <row r="341" spans="2:24" ht="14.25" customHeight="1" outlineLevel="1">
      <c r="C341" s="3" t="s">
        <v>56</v>
      </c>
      <c r="D341" s="3">
        <v>413</v>
      </c>
      <c r="E341" s="3" t="s">
        <v>1331</v>
      </c>
      <c r="F341" s="3">
        <v>2005</v>
      </c>
      <c r="G341" s="3">
        <v>12</v>
      </c>
      <c r="H341" s="3">
        <v>0</v>
      </c>
      <c r="I341" s="3" t="s">
        <v>52</v>
      </c>
      <c r="J341" s="3">
        <v>10</v>
      </c>
      <c r="K341" s="3">
        <f t="shared" ref="K341:K347" si="170">F341+J341</f>
        <v>2015</v>
      </c>
      <c r="L341" s="168">
        <f t="shared" ref="L341:L347" si="171">+K341+(G341/12)</f>
        <v>2016</v>
      </c>
      <c r="M341" s="139">
        <v>91406</v>
      </c>
      <c r="N341" s="139">
        <f t="shared" si="165"/>
        <v>91406</v>
      </c>
      <c r="O341" s="139">
        <f t="shared" si="166"/>
        <v>761.7166666666667</v>
      </c>
      <c r="P341" s="139">
        <f t="shared" si="167"/>
        <v>9140.6</v>
      </c>
      <c r="Q341" s="342">
        <f t="shared" si="149"/>
        <v>0</v>
      </c>
      <c r="R341" s="341"/>
      <c r="S341" s="342">
        <f t="shared" si="150"/>
        <v>91406</v>
      </c>
      <c r="T341" s="139">
        <f t="shared" si="151"/>
        <v>91406</v>
      </c>
      <c r="U341" s="139">
        <f t="shared" si="168"/>
        <v>0</v>
      </c>
      <c r="V341" s="11">
        <f t="shared" si="169"/>
        <v>0</v>
      </c>
      <c r="W341" s="180" t="s">
        <v>1339</v>
      </c>
      <c r="X341" s="180">
        <v>173403</v>
      </c>
    </row>
    <row r="342" spans="2:24" outlineLevel="1">
      <c r="C342" s="3" t="s">
        <v>56</v>
      </c>
      <c r="D342" s="3">
        <v>438</v>
      </c>
      <c r="E342" s="3" t="s">
        <v>1332</v>
      </c>
      <c r="F342" s="3">
        <v>2017</v>
      </c>
      <c r="G342" s="3">
        <v>5</v>
      </c>
      <c r="H342" s="3">
        <v>0</v>
      </c>
      <c r="I342" s="3" t="s">
        <v>52</v>
      </c>
      <c r="J342" s="3">
        <v>10</v>
      </c>
      <c r="K342" s="3">
        <f t="shared" si="170"/>
        <v>2027</v>
      </c>
      <c r="L342" s="168">
        <f t="shared" si="171"/>
        <v>2027.4166666666667</v>
      </c>
      <c r="M342" s="139">
        <v>233761.5</v>
      </c>
      <c r="N342" s="139">
        <f t="shared" si="165"/>
        <v>233761.5</v>
      </c>
      <c r="O342" s="139">
        <f t="shared" si="166"/>
        <v>1948.0125</v>
      </c>
      <c r="P342" s="139">
        <f t="shared" si="167"/>
        <v>23376.15</v>
      </c>
      <c r="Q342" s="342">
        <f t="shared" si="149"/>
        <v>23376.15</v>
      </c>
      <c r="R342" s="341"/>
      <c r="S342" s="342">
        <f t="shared" si="150"/>
        <v>161685.03749999646</v>
      </c>
      <c r="T342" s="139">
        <f t="shared" si="151"/>
        <v>185061.18749999645</v>
      </c>
      <c r="U342" s="139">
        <f t="shared" si="168"/>
        <v>48700.312500003551</v>
      </c>
      <c r="V342" s="11">
        <f t="shared" si="169"/>
        <v>48700.312500003551</v>
      </c>
      <c r="W342" s="180" t="s">
        <v>1339</v>
      </c>
      <c r="X342" s="180">
        <v>181722</v>
      </c>
    </row>
    <row r="343" spans="2:24" outlineLevel="1">
      <c r="C343" s="3" t="s">
        <v>56</v>
      </c>
      <c r="D343" s="3">
        <v>439</v>
      </c>
      <c r="E343" s="3" t="s">
        <v>1332</v>
      </c>
      <c r="F343" s="3">
        <v>2017</v>
      </c>
      <c r="G343" s="3">
        <v>9</v>
      </c>
      <c r="H343" s="3">
        <v>0</v>
      </c>
      <c r="I343" s="3" t="s">
        <v>52</v>
      </c>
      <c r="J343" s="3">
        <v>10</v>
      </c>
      <c r="K343" s="3">
        <f t="shared" si="170"/>
        <v>2027</v>
      </c>
      <c r="L343" s="168">
        <f t="shared" si="171"/>
        <v>2027.75</v>
      </c>
      <c r="M343" s="139">
        <v>232824.98</v>
      </c>
      <c r="N343" s="139">
        <f t="shared" si="165"/>
        <v>232824.98</v>
      </c>
      <c r="O343" s="139">
        <f t="shared" si="166"/>
        <v>1940.2081666666666</v>
      </c>
      <c r="P343" s="139">
        <f t="shared" si="167"/>
        <v>23282.498</v>
      </c>
      <c r="Q343" s="342">
        <f t="shared" si="149"/>
        <v>23282.498</v>
      </c>
      <c r="R343" s="341"/>
      <c r="S343" s="342">
        <f t="shared" si="150"/>
        <v>153276.4451666649</v>
      </c>
      <c r="T343" s="139">
        <f t="shared" si="151"/>
        <v>176558.94316666489</v>
      </c>
      <c r="U343" s="139">
        <f t="shared" si="168"/>
        <v>56266.036833335122</v>
      </c>
      <c r="V343" s="11">
        <f t="shared" si="169"/>
        <v>56266.036833335122</v>
      </c>
      <c r="W343" s="180" t="s">
        <v>1339</v>
      </c>
      <c r="X343" s="180">
        <v>186152</v>
      </c>
    </row>
    <row r="344" spans="2:24" outlineLevel="1">
      <c r="C344" s="3" t="s">
        <v>56</v>
      </c>
      <c r="D344" s="3">
        <v>429</v>
      </c>
      <c r="E344" s="3" t="s">
        <v>1333</v>
      </c>
      <c r="F344" s="3">
        <v>2018</v>
      </c>
      <c r="G344" s="3">
        <v>12</v>
      </c>
      <c r="H344" s="3">
        <v>0</v>
      </c>
      <c r="I344" s="3" t="s">
        <v>52</v>
      </c>
      <c r="J344" s="3">
        <v>10</v>
      </c>
      <c r="K344" s="3">
        <f t="shared" si="170"/>
        <v>2028</v>
      </c>
      <c r="L344" s="168">
        <f t="shared" si="171"/>
        <v>2029</v>
      </c>
      <c r="M344" s="139">
        <v>215350.51</v>
      </c>
      <c r="N344" s="139">
        <f t="shared" si="165"/>
        <v>215350.51</v>
      </c>
      <c r="O344" s="139">
        <f t="shared" si="166"/>
        <v>1794.5875833333332</v>
      </c>
      <c r="P344" s="139">
        <f t="shared" si="167"/>
        <v>21535.050999999999</v>
      </c>
      <c r="Q344" s="342">
        <f t="shared" si="149"/>
        <v>21535.050999999999</v>
      </c>
      <c r="R344" s="341"/>
      <c r="S344" s="342">
        <f t="shared" si="150"/>
        <v>114853.60533333171</v>
      </c>
      <c r="T344" s="139">
        <f t="shared" si="151"/>
        <v>136388.65633333172</v>
      </c>
      <c r="U344" s="139">
        <f t="shared" si="168"/>
        <v>78961.853666668292</v>
      </c>
      <c r="V344" s="11">
        <f t="shared" si="169"/>
        <v>78961.853666668292</v>
      </c>
      <c r="W344" s="180" t="s">
        <v>1339</v>
      </c>
      <c r="X344" s="180">
        <v>207233</v>
      </c>
    </row>
    <row r="345" spans="2:24" outlineLevel="1">
      <c r="C345" s="3" t="s">
        <v>56</v>
      </c>
      <c r="D345" s="3">
        <v>434</v>
      </c>
      <c r="E345" s="3" t="s">
        <v>1334</v>
      </c>
      <c r="F345" s="3">
        <v>2019</v>
      </c>
      <c r="G345" s="3">
        <v>6</v>
      </c>
      <c r="H345" s="3">
        <v>0</v>
      </c>
      <c r="I345" s="3" t="s">
        <v>52</v>
      </c>
      <c r="J345" s="3">
        <v>10</v>
      </c>
      <c r="K345" s="3">
        <f t="shared" si="170"/>
        <v>2029</v>
      </c>
      <c r="L345" s="168">
        <f t="shared" si="171"/>
        <v>2029.5</v>
      </c>
      <c r="M345" s="139">
        <v>257838.27</v>
      </c>
      <c r="N345" s="139">
        <f t="shared" si="165"/>
        <v>257838.27</v>
      </c>
      <c r="O345" s="139">
        <f t="shared" si="166"/>
        <v>2148.6522499999996</v>
      </c>
      <c r="P345" s="139">
        <f t="shared" si="167"/>
        <v>25783.826999999997</v>
      </c>
      <c r="Q345" s="342">
        <f t="shared" si="149"/>
        <v>25783.826999999997</v>
      </c>
      <c r="R345" s="341"/>
      <c r="S345" s="342">
        <f t="shared" si="150"/>
        <v>124621.83049999806</v>
      </c>
      <c r="T345" s="139">
        <f t="shared" si="151"/>
        <v>150405.65749999805</v>
      </c>
      <c r="U345" s="139">
        <f t="shared" si="168"/>
        <v>107432.61250000194</v>
      </c>
      <c r="V345" s="11">
        <f t="shared" si="169"/>
        <v>107432.61250000194</v>
      </c>
      <c r="W345" s="180" t="s">
        <v>1339</v>
      </c>
      <c r="X345" s="180">
        <v>218211</v>
      </c>
    </row>
    <row r="346" spans="2:24" outlineLevel="1">
      <c r="C346" s="3" t="s">
        <v>56</v>
      </c>
      <c r="D346" s="3">
        <v>449</v>
      </c>
      <c r="E346" s="3" t="s">
        <v>1335</v>
      </c>
      <c r="F346" s="3">
        <v>2020</v>
      </c>
      <c r="G346" s="3">
        <v>7</v>
      </c>
      <c r="H346" s="3">
        <v>0</v>
      </c>
      <c r="I346" s="3" t="s">
        <v>52</v>
      </c>
      <c r="J346" s="3">
        <v>10</v>
      </c>
      <c r="K346" s="3">
        <f t="shared" si="170"/>
        <v>2030</v>
      </c>
      <c r="L346" s="168">
        <f t="shared" si="171"/>
        <v>2030.5833333333333</v>
      </c>
      <c r="M346" s="140">
        <v>191291.21</v>
      </c>
      <c r="N346" s="139">
        <f t="shared" si="165"/>
        <v>191291.21</v>
      </c>
      <c r="O346" s="139">
        <f t="shared" si="166"/>
        <v>1594.0934166666666</v>
      </c>
      <c r="P346" s="139">
        <f t="shared" si="167"/>
        <v>19129.120999999999</v>
      </c>
      <c r="Q346" s="342">
        <f t="shared" si="149"/>
        <v>19129.120999999999</v>
      </c>
      <c r="R346" s="341"/>
      <c r="S346" s="342">
        <f t="shared" si="150"/>
        <v>71734.203750000001</v>
      </c>
      <c r="T346" s="139">
        <f t="shared" si="151"/>
        <v>90863.32475</v>
      </c>
      <c r="U346" s="139">
        <f t="shared" si="168"/>
        <v>100427.88524999999</v>
      </c>
      <c r="V346" s="11">
        <f t="shared" si="169"/>
        <v>100427.88524999999</v>
      </c>
      <c r="W346" s="180" t="s">
        <v>1339</v>
      </c>
      <c r="X346" s="180">
        <v>235328</v>
      </c>
    </row>
    <row r="347" spans="2:24">
      <c r="B347" s="3">
        <v>278095</v>
      </c>
      <c r="D347" s="3">
        <v>607</v>
      </c>
      <c r="E347" s="3" t="s">
        <v>1277</v>
      </c>
      <c r="F347" s="3">
        <v>2003</v>
      </c>
      <c r="G347" s="3">
        <v>4</v>
      </c>
      <c r="H347" s="3">
        <v>0</v>
      </c>
      <c r="I347" s="3" t="s">
        <v>52</v>
      </c>
      <c r="J347" s="3">
        <v>10</v>
      </c>
      <c r="K347" s="3">
        <f t="shared" si="170"/>
        <v>2013</v>
      </c>
      <c r="L347" s="168">
        <f t="shared" si="171"/>
        <v>2013.3333333333333</v>
      </c>
      <c r="M347" s="139">
        <v>123452.02</v>
      </c>
      <c r="N347" s="139">
        <f t="shared" si="165"/>
        <v>123452.02</v>
      </c>
      <c r="O347" s="139">
        <f t="shared" si="166"/>
        <v>1028.7668333333334</v>
      </c>
      <c r="P347" s="139">
        <f t="shared" si="167"/>
        <v>12345.202000000001</v>
      </c>
      <c r="Q347" s="342">
        <f t="shared" si="149"/>
        <v>0</v>
      </c>
      <c r="R347" s="341"/>
      <c r="S347" s="342">
        <f t="shared" si="150"/>
        <v>123452.02</v>
      </c>
      <c r="T347" s="139">
        <f t="shared" si="151"/>
        <v>123452.02</v>
      </c>
      <c r="U347" s="139">
        <f t="shared" si="168"/>
        <v>0</v>
      </c>
      <c r="V347" s="11">
        <f t="shared" si="169"/>
        <v>0</v>
      </c>
    </row>
    <row r="348" spans="2:24">
      <c r="B348" s="3">
        <v>187699</v>
      </c>
      <c r="D348" s="3">
        <v>607</v>
      </c>
      <c r="E348" s="3" t="s">
        <v>1277</v>
      </c>
      <c r="F348" s="3">
        <v>2003</v>
      </c>
      <c r="G348" s="3">
        <v>4</v>
      </c>
      <c r="H348" s="3">
        <v>0</v>
      </c>
      <c r="I348" s="3" t="s">
        <v>52</v>
      </c>
      <c r="J348" s="3">
        <v>10</v>
      </c>
      <c r="K348" s="3">
        <f>F348+J348</f>
        <v>2013</v>
      </c>
      <c r="L348" s="168">
        <f>+K348+(G348/12)</f>
        <v>2013.3333333333333</v>
      </c>
      <c r="M348" s="139">
        <v>123452.02</v>
      </c>
      <c r="N348" s="139">
        <f t="shared" si="165"/>
        <v>123452.02</v>
      </c>
      <c r="O348" s="139">
        <f t="shared" si="166"/>
        <v>1028.7668333333334</v>
      </c>
      <c r="P348" s="139">
        <f t="shared" si="167"/>
        <v>12345.202000000001</v>
      </c>
      <c r="Q348" s="342">
        <f t="shared" si="149"/>
        <v>0</v>
      </c>
      <c r="R348" s="341"/>
      <c r="S348" s="342">
        <f t="shared" si="150"/>
        <v>123452.02</v>
      </c>
      <c r="T348" s="139">
        <f t="shared" si="151"/>
        <v>123452.02</v>
      </c>
      <c r="U348" s="139">
        <f t="shared" si="168"/>
        <v>0</v>
      </c>
      <c r="V348" s="11">
        <f t="shared" si="169"/>
        <v>0</v>
      </c>
    </row>
  </sheetData>
  <autoFilter ref="B11:V284" xr:uid="{00000000-0001-0000-0700-000000000000}"/>
  <sortState xmlns:xlrd2="http://schemas.microsoft.com/office/spreadsheetml/2017/richdata2" ref="A191:BA199">
    <sortCondition ref="F191:F199"/>
  </sortState>
  <mergeCells count="1">
    <mergeCell ref="F9:G9"/>
  </mergeCells>
  <phoneticPr fontId="0" type="noConversion"/>
  <conditionalFormatting sqref="Z10">
    <cfRule type="cellIs" dxfId="1" priority="1" operator="lessThan">
      <formula>-1</formula>
    </cfRule>
    <cfRule type="cellIs" dxfId="0" priority="2" operator="greaterThan">
      <formula>1</formula>
    </cfRule>
  </conditionalFormatting>
  <pageMargins left="0.75" right="0.75" top="1" bottom="1" header="0.5" footer="0.5"/>
  <pageSetup scale="50" fitToHeight="0"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FFFF00"/>
  </sheetPr>
  <dimension ref="A1:W625"/>
  <sheetViews>
    <sheetView tabSelected="1" view="pageBreakPreview" topLeftCell="B1" zoomScale="60" zoomScaleNormal="100" workbookViewId="0">
      <selection activeCell="H4" sqref="H4:H6"/>
    </sheetView>
  </sheetViews>
  <sheetFormatPr defaultColWidth="8.88671875" defaultRowHeight="15"/>
  <cols>
    <col min="1" max="1" width="2.33203125" style="3" customWidth="1"/>
    <col min="2" max="2" width="5.21875" style="3" customWidth="1"/>
    <col min="3" max="3" width="10.88671875" style="20" customWidth="1"/>
    <col min="4" max="4" width="10.33203125" style="20" bestFit="1" customWidth="1"/>
    <col min="5" max="5" width="38.88671875" style="3" customWidth="1"/>
    <col min="6" max="9" width="8.77734375" style="3" customWidth="1"/>
    <col min="10" max="10" width="8.77734375" style="131" customWidth="1"/>
    <col min="11" max="11" width="8.77734375" style="3" customWidth="1"/>
    <col min="12" max="12" width="11.5546875" style="130" customWidth="1"/>
    <col min="13" max="13" width="12.6640625" style="3" bestFit="1" customWidth="1"/>
    <col min="14" max="16" width="12.77734375" style="3" customWidth="1"/>
    <col min="17" max="17" width="11" style="3" customWidth="1"/>
    <col min="18" max="18" width="1.5546875" style="3" customWidth="1"/>
    <col min="19" max="21" width="12.21875" style="3" customWidth="1"/>
    <col min="22" max="16384" width="8.88671875" style="3"/>
  </cols>
  <sheetData>
    <row r="1" spans="2:21" s="134" customFormat="1" ht="15.75">
      <c r="B1" s="134" t="s">
        <v>101</v>
      </c>
      <c r="C1" s="138"/>
      <c r="D1" s="138"/>
      <c r="J1" s="137"/>
      <c r="K1" s="134" t="s">
        <v>115</v>
      </c>
      <c r="L1" s="136"/>
    </row>
    <row r="2" spans="2:21" s="134" customFormat="1" ht="15.75">
      <c r="B2" s="134" t="s">
        <v>0</v>
      </c>
      <c r="C2" s="138"/>
      <c r="D2" s="138"/>
      <c r="I2" s="210"/>
      <c r="J2" s="14"/>
      <c r="K2" s="14"/>
      <c r="L2" s="211"/>
      <c r="N2" s="335">
        <f>+'2111 Trks'!N2</f>
        <v>4</v>
      </c>
      <c r="O2" s="339" t="s">
        <v>4166</v>
      </c>
    </row>
    <row r="3" spans="2:21" s="134" customFormat="1" ht="15.75">
      <c r="B3" s="557">
        <f>Summary!G6</f>
        <v>45747</v>
      </c>
      <c r="C3" s="557"/>
      <c r="D3" s="138"/>
      <c r="K3" s="1"/>
      <c r="L3" s="136"/>
      <c r="N3" s="335">
        <f>+'2111 Trks'!N3</f>
        <v>3</v>
      </c>
      <c r="O3" s="339" t="s">
        <v>4167</v>
      </c>
    </row>
    <row r="4" spans="2:21" s="134" customFormat="1" ht="15.75">
      <c r="C4" s="138"/>
      <c r="D4" s="138"/>
      <c r="N4" s="335">
        <f>+'2111 Trks'!N4</f>
        <v>2024</v>
      </c>
      <c r="O4" s="339" t="s">
        <v>888</v>
      </c>
    </row>
    <row r="5" spans="2:21" s="134" customFormat="1" ht="15.75">
      <c r="C5" s="138"/>
      <c r="D5" s="138"/>
      <c r="I5" s="1"/>
      <c r="J5" s="1"/>
      <c r="K5" s="1"/>
      <c r="L5" s="136"/>
      <c r="N5" s="335">
        <f>+'2111 Trks'!N5</f>
        <v>2025</v>
      </c>
      <c r="O5" s="339" t="s">
        <v>11</v>
      </c>
    </row>
    <row r="6" spans="2:21" s="134" customFormat="1" ht="15.75">
      <c r="C6" s="138"/>
      <c r="D6" s="138"/>
      <c r="J6" s="137"/>
      <c r="L6" s="136"/>
      <c r="N6" s="337">
        <f>+N5+(N3/12)</f>
        <v>2025.25</v>
      </c>
      <c r="O6" s="339" t="s">
        <v>4168</v>
      </c>
    </row>
    <row r="7" spans="2:21" s="1" customFormat="1">
      <c r="C7" s="132"/>
      <c r="D7" s="132"/>
      <c r="J7" s="5"/>
      <c r="L7" s="133"/>
      <c r="M7" s="161"/>
      <c r="N7" s="337">
        <f>+N4+(N2/12)</f>
        <v>2024.3333333333333</v>
      </c>
      <c r="O7" s="340" t="s">
        <v>4169</v>
      </c>
    </row>
    <row r="8" spans="2:21" s="1" customFormat="1">
      <c r="C8" s="132"/>
      <c r="D8" s="132"/>
      <c r="F8" s="151"/>
      <c r="G8" s="151"/>
      <c r="H8" s="151"/>
      <c r="I8" s="151"/>
      <c r="J8" s="151"/>
      <c r="K8" s="151"/>
      <c r="L8" s="153"/>
      <c r="M8" s="167"/>
      <c r="N8" s="151"/>
      <c r="O8" s="151"/>
      <c r="P8" s="151"/>
      <c r="Q8" s="151"/>
      <c r="R8" s="151"/>
      <c r="S8" s="151" t="s">
        <v>18</v>
      </c>
      <c r="T8" s="151" t="s">
        <v>118</v>
      </c>
      <c r="U8" s="151"/>
    </row>
    <row r="9" spans="2:21" s="1" customFormat="1">
      <c r="C9" s="132"/>
      <c r="D9" s="132" t="s">
        <v>57</v>
      </c>
      <c r="E9" s="1" t="s">
        <v>58</v>
      </c>
      <c r="F9" s="556" t="s">
        <v>597</v>
      </c>
      <c r="G9" s="556"/>
      <c r="H9" s="151" t="s">
        <v>23</v>
      </c>
      <c r="I9" s="151" t="s">
        <v>57</v>
      </c>
      <c r="J9" s="151"/>
      <c r="K9" s="151" t="s">
        <v>24</v>
      </c>
      <c r="L9" s="153"/>
      <c r="M9" s="151" t="s">
        <v>57</v>
      </c>
      <c r="N9" s="151" t="s">
        <v>57</v>
      </c>
      <c r="O9" s="151"/>
      <c r="P9" s="151"/>
      <c r="Q9" s="151"/>
      <c r="R9" s="151"/>
      <c r="S9" s="151" t="s">
        <v>117</v>
      </c>
      <c r="T9" s="151" t="s">
        <v>117</v>
      </c>
      <c r="U9" s="151" t="s">
        <v>38</v>
      </c>
    </row>
    <row r="10" spans="2:21" s="1" customFormat="1">
      <c r="C10" s="5"/>
      <c r="D10" s="5" t="s">
        <v>116</v>
      </c>
      <c r="F10" s="151"/>
      <c r="G10" s="151"/>
      <c r="H10" s="151" t="s">
        <v>29</v>
      </c>
      <c r="I10" s="151" t="s">
        <v>30</v>
      </c>
      <c r="J10" s="151" t="s">
        <v>64</v>
      </c>
      <c r="K10" s="151" t="s">
        <v>65</v>
      </c>
      <c r="L10" s="153" t="s">
        <v>599</v>
      </c>
      <c r="M10" s="151" t="s">
        <v>31</v>
      </c>
      <c r="N10" s="151" t="s">
        <v>67</v>
      </c>
      <c r="O10" s="151" t="s">
        <v>69</v>
      </c>
      <c r="P10" s="151" t="s">
        <v>598</v>
      </c>
      <c r="Q10" s="151" t="s">
        <v>33</v>
      </c>
      <c r="R10" s="151"/>
      <c r="S10" s="151" t="s">
        <v>67</v>
      </c>
      <c r="T10" s="151" t="s">
        <v>67</v>
      </c>
      <c r="U10" s="151" t="s">
        <v>45</v>
      </c>
    </row>
    <row r="11" spans="2:21" s="1" customFormat="1">
      <c r="C11" s="5" t="s">
        <v>53</v>
      </c>
      <c r="D11" s="5" t="s">
        <v>62</v>
      </c>
      <c r="E11" s="1" t="s">
        <v>63</v>
      </c>
      <c r="F11" s="151" t="s">
        <v>24</v>
      </c>
      <c r="G11" s="151" t="s">
        <v>39</v>
      </c>
      <c r="H11" s="151" t="s">
        <v>34</v>
      </c>
      <c r="I11" s="151" t="s">
        <v>40</v>
      </c>
      <c r="J11" s="151" t="s">
        <v>66</v>
      </c>
      <c r="K11" s="151" t="s">
        <v>67</v>
      </c>
      <c r="L11" s="153" t="s">
        <v>600</v>
      </c>
      <c r="M11" s="151" t="s">
        <v>42</v>
      </c>
      <c r="N11" s="151" t="s">
        <v>42</v>
      </c>
      <c r="O11" s="151" t="s">
        <v>67</v>
      </c>
      <c r="P11" s="151" t="s">
        <v>67</v>
      </c>
      <c r="Q11" s="151" t="s">
        <v>44</v>
      </c>
      <c r="R11" s="151"/>
      <c r="S11" s="154">
        <f>Summary!F6</f>
        <v>45383</v>
      </c>
      <c r="T11" s="154">
        <f>Summary!G6</f>
        <v>45747</v>
      </c>
      <c r="U11" s="154">
        <f>Summary!H6</f>
        <v>0</v>
      </c>
    </row>
    <row r="12" spans="2:21" ht="12" customHeight="1">
      <c r="D12" s="20">
        <v>12</v>
      </c>
      <c r="E12" s="3" t="s">
        <v>102</v>
      </c>
      <c r="F12" s="3">
        <v>2005</v>
      </c>
      <c r="G12" s="3">
        <v>5</v>
      </c>
      <c r="H12" s="3">
        <v>0</v>
      </c>
      <c r="I12" s="3" t="s">
        <v>52</v>
      </c>
      <c r="J12" s="131">
        <v>10</v>
      </c>
      <c r="K12" s="3">
        <f t="shared" ref="K12:K74" si="0">F12+J12</f>
        <v>2015</v>
      </c>
      <c r="L12" s="130">
        <f t="shared" ref="L12:L74" si="1">+K12+(G12/12)</f>
        <v>2015.4166666666667</v>
      </c>
      <c r="M12" s="139">
        <v>5379.07</v>
      </c>
      <c r="N12" s="139">
        <f t="shared" ref="N12:N74" si="2">M12-M12*H12</f>
        <v>5379.07</v>
      </c>
      <c r="O12" s="139">
        <f t="shared" ref="O12:O74" si="3">N12/J12/12</f>
        <v>44.825583333333327</v>
      </c>
      <c r="P12" s="139">
        <f t="shared" ref="P12:P74" si="4">+O12*12</f>
        <v>537.90699999999993</v>
      </c>
      <c r="Q12" s="342">
        <f>IF(L12&lt;=$N$6,0,P12)</f>
        <v>0</v>
      </c>
      <c r="R12" s="341"/>
      <c r="S12" s="342">
        <f t="shared" ref="S12:S75" si="5">+IF($L12&lt;=$N$7,$M12,IF(($F12+($G12/12))&gt;=$N$7,0,((($N12-((($L12-$N$7)*12)*$O12))))))</f>
        <v>5379.07</v>
      </c>
      <c r="T12" s="139">
        <f>IF(L12&lt;=$N$6,M12,Q12+S12)</f>
        <v>5379.07</v>
      </c>
      <c r="U12" s="139">
        <f>M12-T12</f>
        <v>0</v>
      </c>
    </row>
    <row r="13" spans="2:21" ht="12" customHeight="1">
      <c r="D13" s="20">
        <v>5</v>
      </c>
      <c r="E13" s="3" t="s">
        <v>102</v>
      </c>
      <c r="F13" s="3">
        <v>2005</v>
      </c>
      <c r="G13" s="3">
        <v>11</v>
      </c>
      <c r="H13" s="3">
        <v>0</v>
      </c>
      <c r="I13" s="3" t="s">
        <v>52</v>
      </c>
      <c r="J13" s="131">
        <v>10</v>
      </c>
      <c r="K13" s="3">
        <f t="shared" si="0"/>
        <v>2015</v>
      </c>
      <c r="L13" s="130">
        <f t="shared" si="1"/>
        <v>2015.9166666666667</v>
      </c>
      <c r="M13" s="139">
        <v>2148.8000000000002</v>
      </c>
      <c r="N13" s="139">
        <f t="shared" si="2"/>
        <v>2148.8000000000002</v>
      </c>
      <c r="O13" s="139">
        <f t="shared" si="3"/>
        <v>17.90666666666667</v>
      </c>
      <c r="P13" s="139">
        <f t="shared" si="4"/>
        <v>214.88000000000005</v>
      </c>
      <c r="Q13" s="342">
        <f t="shared" ref="Q13:Q76" si="6">IF(L13&lt;=$N$6,0,P13)</f>
        <v>0</v>
      </c>
      <c r="R13" s="341"/>
      <c r="S13" s="342">
        <f t="shared" si="5"/>
        <v>2148.8000000000002</v>
      </c>
      <c r="T13" s="139">
        <f t="shared" ref="T13:T76" si="7">IF(L13&lt;=$N$6,M13,Q13+S13)</f>
        <v>2148.8000000000002</v>
      </c>
      <c r="U13" s="139">
        <f t="shared" ref="U13:U74" si="8">M13-T13</f>
        <v>0</v>
      </c>
    </row>
    <row r="14" spans="2:21" ht="12" customHeight="1">
      <c r="D14" s="20">
        <v>28</v>
      </c>
      <c r="E14" s="3" t="s">
        <v>103</v>
      </c>
      <c r="F14" s="3">
        <v>2005</v>
      </c>
      <c r="G14" s="3">
        <v>8</v>
      </c>
      <c r="H14" s="3">
        <v>0</v>
      </c>
      <c r="I14" s="3" t="s">
        <v>52</v>
      </c>
      <c r="J14" s="131">
        <v>10</v>
      </c>
      <c r="K14" s="3">
        <f t="shared" si="0"/>
        <v>2015</v>
      </c>
      <c r="L14" s="130">
        <f t="shared" si="1"/>
        <v>2015.6666666666667</v>
      </c>
      <c r="M14" s="139">
        <v>12855.81</v>
      </c>
      <c r="N14" s="139">
        <f t="shared" si="2"/>
        <v>12855.81</v>
      </c>
      <c r="O14" s="139">
        <f t="shared" si="3"/>
        <v>107.13175</v>
      </c>
      <c r="P14" s="139">
        <f t="shared" si="4"/>
        <v>1285.5809999999999</v>
      </c>
      <c r="Q14" s="342">
        <f t="shared" si="6"/>
        <v>0</v>
      </c>
      <c r="R14" s="341"/>
      <c r="S14" s="342">
        <f t="shared" si="5"/>
        <v>12855.81</v>
      </c>
      <c r="T14" s="139">
        <f t="shared" si="7"/>
        <v>12855.81</v>
      </c>
      <c r="U14" s="139">
        <f t="shared" si="8"/>
        <v>0</v>
      </c>
    </row>
    <row r="15" spans="2:21" ht="12" customHeight="1">
      <c r="D15" s="20">
        <v>7</v>
      </c>
      <c r="E15" s="3" t="s">
        <v>104</v>
      </c>
      <c r="F15" s="3">
        <v>2005</v>
      </c>
      <c r="G15" s="3">
        <v>9</v>
      </c>
      <c r="H15" s="3">
        <v>0</v>
      </c>
      <c r="I15" s="3" t="s">
        <v>52</v>
      </c>
      <c r="J15" s="131">
        <v>10</v>
      </c>
      <c r="K15" s="3">
        <f t="shared" si="0"/>
        <v>2015</v>
      </c>
      <c r="L15" s="130">
        <f t="shared" si="1"/>
        <v>2015.75</v>
      </c>
      <c r="M15" s="139">
        <v>5940.48</v>
      </c>
      <c r="N15" s="139">
        <f t="shared" si="2"/>
        <v>5940.48</v>
      </c>
      <c r="O15" s="139">
        <f t="shared" si="3"/>
        <v>49.503999999999998</v>
      </c>
      <c r="P15" s="139">
        <f t="shared" si="4"/>
        <v>594.048</v>
      </c>
      <c r="Q15" s="342">
        <f t="shared" si="6"/>
        <v>0</v>
      </c>
      <c r="R15" s="341"/>
      <c r="S15" s="342">
        <f t="shared" si="5"/>
        <v>5940.48</v>
      </c>
      <c r="T15" s="139">
        <f t="shared" si="7"/>
        <v>5940.48</v>
      </c>
      <c r="U15" s="139">
        <f t="shared" si="8"/>
        <v>0</v>
      </c>
    </row>
    <row r="16" spans="2:21" ht="12" customHeight="1">
      <c r="D16" s="20">
        <v>8</v>
      </c>
      <c r="E16" s="3" t="s">
        <v>104</v>
      </c>
      <c r="F16" s="3">
        <v>2005</v>
      </c>
      <c r="G16" s="3">
        <v>11</v>
      </c>
      <c r="H16" s="3">
        <v>0</v>
      </c>
      <c r="I16" s="3" t="s">
        <v>52</v>
      </c>
      <c r="J16" s="131">
        <v>10</v>
      </c>
      <c r="K16" s="3">
        <f t="shared" si="0"/>
        <v>2015</v>
      </c>
      <c r="L16" s="130">
        <f t="shared" si="1"/>
        <v>2015.9166666666667</v>
      </c>
      <c r="M16" s="139">
        <v>6789.12</v>
      </c>
      <c r="N16" s="139">
        <f t="shared" si="2"/>
        <v>6789.12</v>
      </c>
      <c r="O16" s="139">
        <f t="shared" si="3"/>
        <v>56.576000000000001</v>
      </c>
      <c r="P16" s="139">
        <f t="shared" si="4"/>
        <v>678.91200000000003</v>
      </c>
      <c r="Q16" s="342">
        <f t="shared" si="6"/>
        <v>0</v>
      </c>
      <c r="R16" s="341"/>
      <c r="S16" s="342">
        <f t="shared" si="5"/>
        <v>6789.12</v>
      </c>
      <c r="T16" s="139">
        <f t="shared" si="7"/>
        <v>6789.12</v>
      </c>
      <c r="U16" s="139">
        <f t="shared" si="8"/>
        <v>0</v>
      </c>
    </row>
    <row r="17" spans="3:21" ht="12" customHeight="1">
      <c r="C17" s="20">
        <v>173206</v>
      </c>
      <c r="D17" s="20">
        <v>20</v>
      </c>
      <c r="E17" s="3" t="s">
        <v>461</v>
      </c>
      <c r="F17" s="3">
        <v>2005</v>
      </c>
      <c r="G17" s="3">
        <v>7</v>
      </c>
      <c r="H17" s="3">
        <v>0</v>
      </c>
      <c r="I17" s="3" t="s">
        <v>52</v>
      </c>
      <c r="J17" s="131">
        <v>10</v>
      </c>
      <c r="K17" s="3">
        <f t="shared" si="0"/>
        <v>2015</v>
      </c>
      <c r="L17" s="130">
        <f t="shared" si="1"/>
        <v>2015.5833333333333</v>
      </c>
      <c r="M17" s="139">
        <v>8268.7999999999993</v>
      </c>
      <c r="N17" s="139">
        <f t="shared" si="2"/>
        <v>8268.7999999999993</v>
      </c>
      <c r="O17" s="139">
        <f t="shared" si="3"/>
        <v>68.906666666666652</v>
      </c>
      <c r="P17" s="139">
        <f t="shared" si="4"/>
        <v>826.87999999999988</v>
      </c>
      <c r="Q17" s="342">
        <f t="shared" si="6"/>
        <v>0</v>
      </c>
      <c r="R17" s="341"/>
      <c r="S17" s="342">
        <f t="shared" si="5"/>
        <v>8268.7999999999993</v>
      </c>
      <c r="T17" s="139">
        <f t="shared" si="7"/>
        <v>8268.7999999999993</v>
      </c>
      <c r="U17" s="139">
        <f t="shared" si="8"/>
        <v>0</v>
      </c>
    </row>
    <row r="18" spans="3:21" ht="12" customHeight="1">
      <c r="C18" s="20">
        <v>173220</v>
      </c>
      <c r="D18" s="20">
        <v>10</v>
      </c>
      <c r="E18" s="3" t="s">
        <v>463</v>
      </c>
      <c r="F18" s="3">
        <v>2005</v>
      </c>
      <c r="G18" s="3">
        <v>12</v>
      </c>
      <c r="H18" s="3">
        <v>0</v>
      </c>
      <c r="I18" s="3" t="s">
        <v>52</v>
      </c>
      <c r="J18" s="131">
        <v>10</v>
      </c>
      <c r="K18" s="3">
        <f t="shared" si="0"/>
        <v>2015</v>
      </c>
      <c r="L18" s="130">
        <f t="shared" si="1"/>
        <v>2016</v>
      </c>
      <c r="M18" s="139">
        <v>5222.3999999999996</v>
      </c>
      <c r="N18" s="139">
        <f t="shared" si="2"/>
        <v>5222.3999999999996</v>
      </c>
      <c r="O18" s="139">
        <f t="shared" si="3"/>
        <v>43.52</v>
      </c>
      <c r="P18" s="139">
        <f t="shared" si="4"/>
        <v>522.24</v>
      </c>
      <c r="Q18" s="342">
        <f t="shared" si="6"/>
        <v>0</v>
      </c>
      <c r="R18" s="341"/>
      <c r="S18" s="342">
        <f t="shared" si="5"/>
        <v>5222.3999999999996</v>
      </c>
      <c r="T18" s="139">
        <f t="shared" si="7"/>
        <v>5222.3999999999996</v>
      </c>
      <c r="U18" s="139">
        <f t="shared" si="8"/>
        <v>0</v>
      </c>
    </row>
    <row r="19" spans="3:21" ht="12" customHeight="1">
      <c r="C19" s="20">
        <v>173211</v>
      </c>
      <c r="D19" s="20">
        <v>10</v>
      </c>
      <c r="E19" s="3" t="s">
        <v>464</v>
      </c>
      <c r="F19" s="3">
        <v>2005</v>
      </c>
      <c r="G19" s="3">
        <v>11</v>
      </c>
      <c r="H19" s="3">
        <v>0</v>
      </c>
      <c r="I19" s="3" t="s">
        <v>52</v>
      </c>
      <c r="J19" s="131">
        <v>10</v>
      </c>
      <c r="K19" s="3">
        <f t="shared" si="0"/>
        <v>2015</v>
      </c>
      <c r="L19" s="130">
        <f t="shared" si="1"/>
        <v>2015.9166666666667</v>
      </c>
      <c r="M19" s="139">
        <v>4308.4799999999996</v>
      </c>
      <c r="N19" s="139">
        <f t="shared" si="2"/>
        <v>4308.4799999999996</v>
      </c>
      <c r="O19" s="139">
        <f t="shared" si="3"/>
        <v>35.903999999999996</v>
      </c>
      <c r="P19" s="139">
        <f t="shared" si="4"/>
        <v>430.84799999999996</v>
      </c>
      <c r="Q19" s="342">
        <f t="shared" si="6"/>
        <v>0</v>
      </c>
      <c r="R19" s="341"/>
      <c r="S19" s="342">
        <f t="shared" si="5"/>
        <v>4308.4799999999996</v>
      </c>
      <c r="T19" s="139">
        <f t="shared" si="7"/>
        <v>4308.4799999999996</v>
      </c>
      <c r="U19" s="139">
        <f t="shared" si="8"/>
        <v>0</v>
      </c>
    </row>
    <row r="20" spans="3:21" ht="12" customHeight="1">
      <c r="C20" s="20">
        <v>173212</v>
      </c>
      <c r="D20" s="20">
        <v>5</v>
      </c>
      <c r="E20" s="3" t="s">
        <v>465</v>
      </c>
      <c r="F20" s="3">
        <v>2005</v>
      </c>
      <c r="G20" s="3">
        <v>11</v>
      </c>
      <c r="H20" s="3">
        <v>0</v>
      </c>
      <c r="I20" s="3" t="s">
        <v>52</v>
      </c>
      <c r="J20" s="131">
        <v>10</v>
      </c>
      <c r="K20" s="3">
        <f t="shared" si="0"/>
        <v>2015</v>
      </c>
      <c r="L20" s="130">
        <f t="shared" si="1"/>
        <v>2015.9166666666667</v>
      </c>
      <c r="M20" s="139">
        <v>2904.96</v>
      </c>
      <c r="N20" s="139">
        <f t="shared" si="2"/>
        <v>2904.96</v>
      </c>
      <c r="O20" s="139">
        <f t="shared" si="3"/>
        <v>24.207999999999998</v>
      </c>
      <c r="P20" s="139">
        <f t="shared" si="4"/>
        <v>290.49599999999998</v>
      </c>
      <c r="Q20" s="342">
        <f t="shared" si="6"/>
        <v>0</v>
      </c>
      <c r="R20" s="341"/>
      <c r="S20" s="342">
        <f t="shared" si="5"/>
        <v>2904.96</v>
      </c>
      <c r="T20" s="139">
        <f t="shared" si="7"/>
        <v>2904.96</v>
      </c>
      <c r="U20" s="139">
        <f t="shared" si="8"/>
        <v>0</v>
      </c>
    </row>
    <row r="21" spans="3:21" ht="12" customHeight="1">
      <c r="C21" s="20">
        <v>173201</v>
      </c>
      <c r="D21" s="20">
        <v>4</v>
      </c>
      <c r="E21" s="3" t="s">
        <v>466</v>
      </c>
      <c r="F21" s="3">
        <v>2005</v>
      </c>
      <c r="G21" s="3">
        <v>7</v>
      </c>
      <c r="H21" s="3">
        <v>0</v>
      </c>
      <c r="I21" s="3" t="s">
        <v>52</v>
      </c>
      <c r="J21" s="131">
        <v>10</v>
      </c>
      <c r="K21" s="3">
        <f t="shared" si="0"/>
        <v>2015</v>
      </c>
      <c r="L21" s="130">
        <f t="shared" si="1"/>
        <v>2015.5833333333333</v>
      </c>
      <c r="M21" s="139">
        <v>4186.62</v>
      </c>
      <c r="N21" s="139">
        <f t="shared" si="2"/>
        <v>4186.62</v>
      </c>
      <c r="O21" s="139">
        <f t="shared" si="3"/>
        <v>34.888500000000001</v>
      </c>
      <c r="P21" s="139">
        <f t="shared" si="4"/>
        <v>418.66200000000003</v>
      </c>
      <c r="Q21" s="342">
        <f t="shared" si="6"/>
        <v>0</v>
      </c>
      <c r="R21" s="341"/>
      <c r="S21" s="342">
        <f t="shared" si="5"/>
        <v>4186.62</v>
      </c>
      <c r="T21" s="139">
        <f t="shared" si="7"/>
        <v>4186.62</v>
      </c>
      <c r="U21" s="139">
        <f t="shared" si="8"/>
        <v>0</v>
      </c>
    </row>
    <row r="22" spans="3:21" ht="12" customHeight="1">
      <c r="C22" s="20" t="s">
        <v>591</v>
      </c>
      <c r="D22" s="20">
        <v>14</v>
      </c>
      <c r="E22" s="3" t="s">
        <v>592</v>
      </c>
      <c r="F22" s="3">
        <v>2005</v>
      </c>
      <c r="G22" s="3">
        <v>6</v>
      </c>
      <c r="H22" s="3">
        <v>0</v>
      </c>
      <c r="I22" s="3" t="s">
        <v>52</v>
      </c>
      <c r="J22" s="131">
        <v>3</v>
      </c>
      <c r="K22" s="3">
        <f t="shared" si="0"/>
        <v>2008</v>
      </c>
      <c r="L22" s="130">
        <f t="shared" si="1"/>
        <v>2008.5</v>
      </c>
      <c r="M22" s="139">
        <v>397.62</v>
      </c>
      <c r="N22" s="139">
        <f t="shared" si="2"/>
        <v>397.62</v>
      </c>
      <c r="O22" s="139">
        <f t="shared" si="3"/>
        <v>11.045</v>
      </c>
      <c r="P22" s="139">
        <f t="shared" si="4"/>
        <v>132.54</v>
      </c>
      <c r="Q22" s="342">
        <f t="shared" si="6"/>
        <v>0</v>
      </c>
      <c r="R22" s="341"/>
      <c r="S22" s="342">
        <f t="shared" si="5"/>
        <v>397.62</v>
      </c>
      <c r="T22" s="139">
        <f t="shared" si="7"/>
        <v>397.62</v>
      </c>
      <c r="U22" s="139">
        <f t="shared" si="8"/>
        <v>0</v>
      </c>
    </row>
    <row r="23" spans="3:21" ht="12" customHeight="1">
      <c r="C23" s="20">
        <v>35120</v>
      </c>
      <c r="D23" s="20">
        <v>28</v>
      </c>
      <c r="E23" s="3" t="s">
        <v>677</v>
      </c>
      <c r="F23" s="3">
        <v>2005</v>
      </c>
      <c r="G23" s="3">
        <v>6</v>
      </c>
      <c r="H23" s="3">
        <v>0</v>
      </c>
      <c r="I23" s="3" t="s">
        <v>52</v>
      </c>
      <c r="J23" s="131" t="s">
        <v>748</v>
      </c>
      <c r="K23" s="3">
        <f t="shared" si="0"/>
        <v>2017</v>
      </c>
      <c r="L23" s="130">
        <f t="shared" si="1"/>
        <v>2017.5</v>
      </c>
      <c r="M23" s="139">
        <v>12855.81</v>
      </c>
      <c r="N23" s="139">
        <f t="shared" si="2"/>
        <v>12855.81</v>
      </c>
      <c r="O23" s="139">
        <f t="shared" si="3"/>
        <v>89.276458333333323</v>
      </c>
      <c r="P23" s="139">
        <f t="shared" si="4"/>
        <v>1071.3174999999999</v>
      </c>
      <c r="Q23" s="342">
        <f t="shared" si="6"/>
        <v>0</v>
      </c>
      <c r="R23" s="341"/>
      <c r="S23" s="342">
        <f t="shared" si="5"/>
        <v>12855.81</v>
      </c>
      <c r="T23" s="139">
        <f t="shared" si="7"/>
        <v>12855.81</v>
      </c>
      <c r="U23" s="139">
        <f t="shared" si="8"/>
        <v>0</v>
      </c>
    </row>
    <row r="24" spans="3:21" ht="12" customHeight="1">
      <c r="C24" s="20">
        <v>37485</v>
      </c>
      <c r="D24" s="20">
        <v>14</v>
      </c>
      <c r="E24" s="3" t="s">
        <v>678</v>
      </c>
      <c r="F24" s="3">
        <v>2005</v>
      </c>
      <c r="G24" s="3">
        <v>9</v>
      </c>
      <c r="H24" s="3">
        <v>0</v>
      </c>
      <c r="I24" s="3" t="s">
        <v>52</v>
      </c>
      <c r="J24" s="131" t="s">
        <v>748</v>
      </c>
      <c r="K24" s="3">
        <f t="shared" si="0"/>
        <v>2017</v>
      </c>
      <c r="L24" s="130">
        <f t="shared" si="1"/>
        <v>2017.75</v>
      </c>
      <c r="M24" s="139">
        <v>8133.89</v>
      </c>
      <c r="N24" s="139">
        <f t="shared" si="2"/>
        <v>8133.89</v>
      </c>
      <c r="O24" s="139">
        <f t="shared" si="3"/>
        <v>56.485347222222224</v>
      </c>
      <c r="P24" s="139">
        <f t="shared" si="4"/>
        <v>677.82416666666666</v>
      </c>
      <c r="Q24" s="342">
        <f t="shared" si="6"/>
        <v>0</v>
      </c>
      <c r="R24" s="341"/>
      <c r="S24" s="342">
        <f t="shared" si="5"/>
        <v>8133.89</v>
      </c>
      <c r="T24" s="139">
        <f t="shared" si="7"/>
        <v>8133.89</v>
      </c>
      <c r="U24" s="139">
        <f t="shared" si="8"/>
        <v>0</v>
      </c>
    </row>
    <row r="25" spans="3:21" ht="12" customHeight="1">
      <c r="C25" s="20">
        <v>37486</v>
      </c>
      <c r="D25" s="20">
        <v>1</v>
      </c>
      <c r="E25" s="3" t="s">
        <v>678</v>
      </c>
      <c r="F25" s="3">
        <v>2005</v>
      </c>
      <c r="G25" s="3">
        <v>9</v>
      </c>
      <c r="H25" s="3">
        <v>0</v>
      </c>
      <c r="I25" s="3" t="s">
        <v>52</v>
      </c>
      <c r="J25" s="131" t="s">
        <v>748</v>
      </c>
      <c r="K25" s="3">
        <f t="shared" si="0"/>
        <v>2017</v>
      </c>
      <c r="L25" s="130">
        <f t="shared" si="1"/>
        <v>2017.75</v>
      </c>
      <c r="M25" s="139">
        <v>580.99</v>
      </c>
      <c r="N25" s="139">
        <f t="shared" si="2"/>
        <v>580.99</v>
      </c>
      <c r="O25" s="139">
        <f t="shared" si="3"/>
        <v>4.0346527777777776</v>
      </c>
      <c r="P25" s="139">
        <f t="shared" si="4"/>
        <v>48.415833333333332</v>
      </c>
      <c r="Q25" s="342">
        <f t="shared" si="6"/>
        <v>0</v>
      </c>
      <c r="R25" s="341"/>
      <c r="S25" s="342">
        <f t="shared" si="5"/>
        <v>580.99</v>
      </c>
      <c r="T25" s="139">
        <f t="shared" si="7"/>
        <v>580.99</v>
      </c>
      <c r="U25" s="139">
        <f t="shared" si="8"/>
        <v>0</v>
      </c>
    </row>
    <row r="26" spans="3:21" ht="12" customHeight="1">
      <c r="C26" s="20">
        <v>38171</v>
      </c>
      <c r="D26" s="20">
        <v>2</v>
      </c>
      <c r="E26" s="3" t="s">
        <v>679</v>
      </c>
      <c r="F26" s="3">
        <v>2005</v>
      </c>
      <c r="G26" s="3">
        <v>10</v>
      </c>
      <c r="H26" s="3">
        <v>0</v>
      </c>
      <c r="I26" s="3" t="s">
        <v>52</v>
      </c>
      <c r="J26" s="131" t="s">
        <v>748</v>
      </c>
      <c r="K26" s="3">
        <f t="shared" si="0"/>
        <v>2017</v>
      </c>
      <c r="L26" s="130">
        <f t="shared" si="1"/>
        <v>2017.8333333333333</v>
      </c>
      <c r="M26" s="139">
        <v>859.52</v>
      </c>
      <c r="N26" s="139">
        <f t="shared" si="2"/>
        <v>859.52</v>
      </c>
      <c r="O26" s="139">
        <f t="shared" si="3"/>
        <v>5.9688888888888885</v>
      </c>
      <c r="P26" s="139">
        <f t="shared" si="4"/>
        <v>71.626666666666665</v>
      </c>
      <c r="Q26" s="342">
        <f t="shared" si="6"/>
        <v>0</v>
      </c>
      <c r="R26" s="341"/>
      <c r="S26" s="342">
        <f t="shared" si="5"/>
        <v>859.52</v>
      </c>
      <c r="T26" s="139">
        <f t="shared" si="7"/>
        <v>859.52</v>
      </c>
      <c r="U26" s="139">
        <f t="shared" si="8"/>
        <v>0</v>
      </c>
    </row>
    <row r="27" spans="3:21" ht="12" customHeight="1">
      <c r="C27" s="20">
        <v>38172</v>
      </c>
      <c r="D27" s="20">
        <v>3</v>
      </c>
      <c r="E27" s="3" t="s">
        <v>680</v>
      </c>
      <c r="F27" s="3">
        <v>2005</v>
      </c>
      <c r="G27" s="3">
        <v>10</v>
      </c>
      <c r="H27" s="3">
        <v>0</v>
      </c>
      <c r="I27" s="3" t="s">
        <v>52</v>
      </c>
      <c r="J27" s="131" t="s">
        <v>748</v>
      </c>
      <c r="K27" s="3">
        <f t="shared" si="0"/>
        <v>2017</v>
      </c>
      <c r="L27" s="130">
        <f t="shared" si="1"/>
        <v>2017.8333333333333</v>
      </c>
      <c r="M27" s="139">
        <v>1289.28</v>
      </c>
      <c r="N27" s="139">
        <f t="shared" si="2"/>
        <v>1289.28</v>
      </c>
      <c r="O27" s="139">
        <f t="shared" si="3"/>
        <v>8.9533333333333331</v>
      </c>
      <c r="P27" s="139">
        <f t="shared" si="4"/>
        <v>107.44</v>
      </c>
      <c r="Q27" s="342">
        <f t="shared" si="6"/>
        <v>0</v>
      </c>
      <c r="R27" s="341"/>
      <c r="S27" s="342">
        <f t="shared" si="5"/>
        <v>1289.28</v>
      </c>
      <c r="T27" s="139">
        <f t="shared" si="7"/>
        <v>1289.28</v>
      </c>
      <c r="U27" s="139">
        <f t="shared" si="8"/>
        <v>0</v>
      </c>
    </row>
    <row r="28" spans="3:21" ht="12" customHeight="1">
      <c r="D28" s="20">
        <v>10</v>
      </c>
      <c r="E28" s="3" t="s">
        <v>148</v>
      </c>
      <c r="F28" s="3">
        <v>2006</v>
      </c>
      <c r="G28" s="3">
        <v>10</v>
      </c>
      <c r="H28" s="3">
        <v>0</v>
      </c>
      <c r="I28" s="3" t="s">
        <v>52</v>
      </c>
      <c r="J28" s="131">
        <v>10</v>
      </c>
      <c r="K28" s="3">
        <f t="shared" si="0"/>
        <v>2016</v>
      </c>
      <c r="L28" s="130">
        <f t="shared" si="1"/>
        <v>2016.8333333333333</v>
      </c>
      <c r="M28" s="139">
        <v>4406.3999999999996</v>
      </c>
      <c r="N28" s="139">
        <f t="shared" si="2"/>
        <v>4406.3999999999996</v>
      </c>
      <c r="O28" s="139">
        <f t="shared" si="3"/>
        <v>36.72</v>
      </c>
      <c r="P28" s="139">
        <f t="shared" si="4"/>
        <v>440.64</v>
      </c>
      <c r="Q28" s="342">
        <f t="shared" si="6"/>
        <v>0</v>
      </c>
      <c r="R28" s="341"/>
      <c r="S28" s="342">
        <f t="shared" si="5"/>
        <v>4406.3999999999996</v>
      </c>
      <c r="T28" s="139">
        <f t="shared" si="7"/>
        <v>4406.3999999999996</v>
      </c>
      <c r="U28" s="139">
        <f t="shared" si="8"/>
        <v>0</v>
      </c>
    </row>
    <row r="29" spans="3:21" ht="12" customHeight="1">
      <c r="D29" s="20">
        <v>15</v>
      </c>
      <c r="E29" s="3" t="s">
        <v>150</v>
      </c>
      <c r="F29" s="3">
        <v>2006</v>
      </c>
      <c r="G29" s="3">
        <v>12</v>
      </c>
      <c r="H29" s="3">
        <v>0</v>
      </c>
      <c r="I29" s="3" t="s">
        <v>52</v>
      </c>
      <c r="J29" s="131">
        <v>10</v>
      </c>
      <c r="K29" s="3">
        <f t="shared" si="0"/>
        <v>2016</v>
      </c>
      <c r="L29" s="130">
        <f t="shared" si="1"/>
        <v>2017</v>
      </c>
      <c r="M29" s="139">
        <v>7539.84</v>
      </c>
      <c r="N29" s="139">
        <f t="shared" si="2"/>
        <v>7539.84</v>
      </c>
      <c r="O29" s="139">
        <f t="shared" si="3"/>
        <v>62.832000000000001</v>
      </c>
      <c r="P29" s="139">
        <f t="shared" si="4"/>
        <v>753.98400000000004</v>
      </c>
      <c r="Q29" s="342">
        <f t="shared" si="6"/>
        <v>0</v>
      </c>
      <c r="R29" s="341"/>
      <c r="S29" s="342">
        <f t="shared" si="5"/>
        <v>7539.84</v>
      </c>
      <c r="T29" s="139">
        <f t="shared" si="7"/>
        <v>7539.84</v>
      </c>
      <c r="U29" s="139">
        <f t="shared" si="8"/>
        <v>0</v>
      </c>
    </row>
    <row r="30" spans="3:21" ht="12" customHeight="1">
      <c r="D30" s="20">
        <v>10</v>
      </c>
      <c r="E30" s="3" t="s">
        <v>103</v>
      </c>
      <c r="F30" s="3">
        <v>2006</v>
      </c>
      <c r="G30" s="3">
        <v>3</v>
      </c>
      <c r="H30" s="3">
        <v>0</v>
      </c>
      <c r="I30" s="3" t="s">
        <v>52</v>
      </c>
      <c r="J30" s="131">
        <v>10</v>
      </c>
      <c r="K30" s="3">
        <f t="shared" si="0"/>
        <v>2016</v>
      </c>
      <c r="L30" s="130">
        <f t="shared" si="1"/>
        <v>2016.25</v>
      </c>
      <c r="M30" s="139">
        <v>4591.3599999999997</v>
      </c>
      <c r="N30" s="139">
        <f t="shared" si="2"/>
        <v>4591.3599999999997</v>
      </c>
      <c r="O30" s="139">
        <f t="shared" si="3"/>
        <v>38.261333333333333</v>
      </c>
      <c r="P30" s="139">
        <f t="shared" si="4"/>
        <v>459.13599999999997</v>
      </c>
      <c r="Q30" s="342">
        <f t="shared" si="6"/>
        <v>0</v>
      </c>
      <c r="R30" s="341"/>
      <c r="S30" s="342">
        <f t="shared" si="5"/>
        <v>4591.3599999999997</v>
      </c>
      <c r="T30" s="139">
        <f t="shared" si="7"/>
        <v>4591.3599999999997</v>
      </c>
      <c r="U30" s="139">
        <f t="shared" si="8"/>
        <v>0</v>
      </c>
    </row>
    <row r="31" spans="3:21" ht="12" customHeight="1">
      <c r="D31" s="20">
        <v>35</v>
      </c>
      <c r="E31" s="3" t="s">
        <v>103</v>
      </c>
      <c r="F31" s="3">
        <v>2006</v>
      </c>
      <c r="G31" s="3">
        <v>5</v>
      </c>
      <c r="H31" s="3">
        <v>0</v>
      </c>
      <c r="I31" s="3" t="s">
        <v>52</v>
      </c>
      <c r="J31" s="131">
        <v>10</v>
      </c>
      <c r="K31" s="3">
        <f t="shared" si="0"/>
        <v>2016</v>
      </c>
      <c r="L31" s="130">
        <f t="shared" si="1"/>
        <v>2016.4166666666667</v>
      </c>
      <c r="M31" s="139">
        <v>16564.8</v>
      </c>
      <c r="N31" s="139">
        <f t="shared" si="2"/>
        <v>16564.8</v>
      </c>
      <c r="O31" s="139">
        <f t="shared" si="3"/>
        <v>138.04</v>
      </c>
      <c r="P31" s="139">
        <f t="shared" si="4"/>
        <v>1656.48</v>
      </c>
      <c r="Q31" s="342">
        <f t="shared" si="6"/>
        <v>0</v>
      </c>
      <c r="R31" s="341"/>
      <c r="S31" s="342">
        <f t="shared" si="5"/>
        <v>16564.8</v>
      </c>
      <c r="T31" s="139">
        <f t="shared" si="7"/>
        <v>16564.8</v>
      </c>
      <c r="U31" s="139">
        <f t="shared" si="8"/>
        <v>0</v>
      </c>
    </row>
    <row r="32" spans="3:21" ht="12" customHeight="1">
      <c r="D32" s="20">
        <v>15</v>
      </c>
      <c r="E32" s="3" t="s">
        <v>103</v>
      </c>
      <c r="F32" s="3">
        <v>2006</v>
      </c>
      <c r="G32" s="3">
        <v>12</v>
      </c>
      <c r="H32" s="3">
        <v>0</v>
      </c>
      <c r="I32" s="3" t="s">
        <v>52</v>
      </c>
      <c r="J32" s="131">
        <v>10</v>
      </c>
      <c r="K32" s="3">
        <f t="shared" si="0"/>
        <v>2016</v>
      </c>
      <c r="L32" s="130">
        <f t="shared" si="1"/>
        <v>2017</v>
      </c>
      <c r="M32" s="139">
        <v>7050.24</v>
      </c>
      <c r="N32" s="139">
        <f t="shared" si="2"/>
        <v>7050.24</v>
      </c>
      <c r="O32" s="139">
        <f t="shared" si="3"/>
        <v>58.752000000000002</v>
      </c>
      <c r="P32" s="139">
        <f t="shared" si="4"/>
        <v>705.024</v>
      </c>
      <c r="Q32" s="342">
        <f t="shared" si="6"/>
        <v>0</v>
      </c>
      <c r="R32" s="341"/>
      <c r="S32" s="342">
        <f t="shared" si="5"/>
        <v>7050.24</v>
      </c>
      <c r="T32" s="139">
        <f t="shared" si="7"/>
        <v>7050.24</v>
      </c>
      <c r="U32" s="139">
        <f t="shared" si="8"/>
        <v>0</v>
      </c>
    </row>
    <row r="33" spans="3:21" ht="12" customHeight="1">
      <c r="D33" s="20">
        <v>10</v>
      </c>
      <c r="E33" s="3" t="s">
        <v>149</v>
      </c>
      <c r="F33" s="3">
        <v>2006</v>
      </c>
      <c r="G33" s="3">
        <v>12</v>
      </c>
      <c r="H33" s="3">
        <v>0</v>
      </c>
      <c r="I33" s="3" t="s">
        <v>52</v>
      </c>
      <c r="J33" s="131">
        <v>10</v>
      </c>
      <c r="K33" s="3">
        <f t="shared" si="0"/>
        <v>2016</v>
      </c>
      <c r="L33" s="130">
        <f t="shared" si="1"/>
        <v>2017</v>
      </c>
      <c r="M33" s="139">
        <v>6299.52</v>
      </c>
      <c r="N33" s="139">
        <f t="shared" si="2"/>
        <v>6299.52</v>
      </c>
      <c r="O33" s="139">
        <f t="shared" si="3"/>
        <v>52.496000000000002</v>
      </c>
      <c r="P33" s="139">
        <f t="shared" si="4"/>
        <v>629.952</v>
      </c>
      <c r="Q33" s="342">
        <f t="shared" si="6"/>
        <v>0</v>
      </c>
      <c r="R33" s="341"/>
      <c r="S33" s="342">
        <f t="shared" si="5"/>
        <v>6299.52</v>
      </c>
      <c r="T33" s="139">
        <f t="shared" si="7"/>
        <v>6299.52</v>
      </c>
      <c r="U33" s="139">
        <f t="shared" si="8"/>
        <v>0</v>
      </c>
    </row>
    <row r="34" spans="3:21" ht="12" customHeight="1">
      <c r="D34" s="20">
        <v>5</v>
      </c>
      <c r="E34" s="3" t="s">
        <v>104</v>
      </c>
      <c r="F34" s="3">
        <v>2006</v>
      </c>
      <c r="G34" s="3">
        <v>3</v>
      </c>
      <c r="H34" s="3">
        <v>0</v>
      </c>
      <c r="I34" s="3" t="s">
        <v>52</v>
      </c>
      <c r="J34" s="131">
        <v>10</v>
      </c>
      <c r="K34" s="3">
        <f t="shared" si="0"/>
        <v>2016</v>
      </c>
      <c r="L34" s="130">
        <f t="shared" si="1"/>
        <v>2016.25</v>
      </c>
      <c r="M34" s="139">
        <v>4020.16</v>
      </c>
      <c r="N34" s="139">
        <f t="shared" si="2"/>
        <v>4020.16</v>
      </c>
      <c r="O34" s="139">
        <f t="shared" si="3"/>
        <v>33.501333333333328</v>
      </c>
      <c r="P34" s="139">
        <f t="shared" si="4"/>
        <v>402.01599999999996</v>
      </c>
      <c r="Q34" s="342">
        <f t="shared" si="6"/>
        <v>0</v>
      </c>
      <c r="R34" s="341"/>
      <c r="S34" s="342">
        <f t="shared" si="5"/>
        <v>4020.16</v>
      </c>
      <c r="T34" s="139">
        <f t="shared" si="7"/>
        <v>4020.16</v>
      </c>
      <c r="U34" s="139">
        <f t="shared" si="8"/>
        <v>0</v>
      </c>
    </row>
    <row r="35" spans="3:21" ht="12" customHeight="1">
      <c r="D35" s="20">
        <v>10</v>
      </c>
      <c r="E35" s="3" t="s">
        <v>104</v>
      </c>
      <c r="F35" s="3">
        <v>2006</v>
      </c>
      <c r="G35" s="3">
        <v>8</v>
      </c>
      <c r="H35" s="3">
        <v>0</v>
      </c>
      <c r="I35" s="3" t="s">
        <v>52</v>
      </c>
      <c r="J35" s="131">
        <v>10</v>
      </c>
      <c r="K35" s="3">
        <f t="shared" si="0"/>
        <v>2016</v>
      </c>
      <c r="L35" s="130">
        <f t="shared" si="1"/>
        <v>2016.6666666666667</v>
      </c>
      <c r="M35" s="139">
        <v>8432</v>
      </c>
      <c r="N35" s="139">
        <f t="shared" si="2"/>
        <v>8432</v>
      </c>
      <c r="O35" s="139">
        <f t="shared" si="3"/>
        <v>70.266666666666666</v>
      </c>
      <c r="P35" s="139">
        <f t="shared" si="4"/>
        <v>843.2</v>
      </c>
      <c r="Q35" s="342">
        <f t="shared" si="6"/>
        <v>0</v>
      </c>
      <c r="R35" s="341"/>
      <c r="S35" s="342">
        <f t="shared" si="5"/>
        <v>8432</v>
      </c>
      <c r="T35" s="139">
        <f t="shared" si="7"/>
        <v>8432</v>
      </c>
      <c r="U35" s="139">
        <f t="shared" si="8"/>
        <v>0</v>
      </c>
    </row>
    <row r="36" spans="3:21" ht="12" customHeight="1">
      <c r="C36" s="20">
        <v>173238</v>
      </c>
      <c r="D36" s="20">
        <v>10</v>
      </c>
      <c r="E36" s="3" t="s">
        <v>467</v>
      </c>
      <c r="F36" s="3">
        <v>2006</v>
      </c>
      <c r="G36" s="3">
        <v>12</v>
      </c>
      <c r="H36" s="3">
        <v>0</v>
      </c>
      <c r="I36" s="3" t="s">
        <v>52</v>
      </c>
      <c r="J36" s="131">
        <v>10</v>
      </c>
      <c r="K36" s="3">
        <f t="shared" si="0"/>
        <v>2016</v>
      </c>
      <c r="L36" s="130">
        <f t="shared" si="1"/>
        <v>2017</v>
      </c>
      <c r="M36" s="139">
        <v>4308.4799999999996</v>
      </c>
      <c r="N36" s="139">
        <f t="shared" si="2"/>
        <v>4308.4799999999996</v>
      </c>
      <c r="O36" s="139">
        <f t="shared" si="3"/>
        <v>35.903999999999996</v>
      </c>
      <c r="P36" s="139">
        <f t="shared" si="4"/>
        <v>430.84799999999996</v>
      </c>
      <c r="Q36" s="342">
        <f t="shared" si="6"/>
        <v>0</v>
      </c>
      <c r="R36" s="341"/>
      <c r="S36" s="342">
        <f t="shared" si="5"/>
        <v>4308.4799999999996</v>
      </c>
      <c r="T36" s="139">
        <f t="shared" si="7"/>
        <v>4308.4799999999996</v>
      </c>
      <c r="U36" s="139">
        <f t="shared" si="8"/>
        <v>0</v>
      </c>
    </row>
    <row r="37" spans="3:21" ht="12" customHeight="1">
      <c r="C37" s="20">
        <v>173237</v>
      </c>
      <c r="D37" s="20">
        <v>22</v>
      </c>
      <c r="E37" s="3" t="s">
        <v>468</v>
      </c>
      <c r="F37" s="3">
        <v>2006</v>
      </c>
      <c r="G37" s="3">
        <v>12</v>
      </c>
      <c r="H37" s="3">
        <v>0</v>
      </c>
      <c r="I37" s="3" t="s">
        <v>52</v>
      </c>
      <c r="J37" s="131">
        <v>10</v>
      </c>
      <c r="K37" s="3">
        <f t="shared" si="0"/>
        <v>2016</v>
      </c>
      <c r="L37" s="130">
        <f t="shared" si="1"/>
        <v>2017</v>
      </c>
      <c r="M37" s="139">
        <v>10340.35</v>
      </c>
      <c r="N37" s="139">
        <f t="shared" si="2"/>
        <v>10340.35</v>
      </c>
      <c r="O37" s="139">
        <f t="shared" si="3"/>
        <v>86.169583333333335</v>
      </c>
      <c r="P37" s="139">
        <f t="shared" si="4"/>
        <v>1034.0350000000001</v>
      </c>
      <c r="Q37" s="342">
        <f t="shared" si="6"/>
        <v>0</v>
      </c>
      <c r="R37" s="341"/>
      <c r="S37" s="342">
        <f t="shared" si="5"/>
        <v>10340.35</v>
      </c>
      <c r="T37" s="139">
        <f t="shared" si="7"/>
        <v>10340.35</v>
      </c>
      <c r="U37" s="139">
        <f t="shared" si="8"/>
        <v>0</v>
      </c>
    </row>
    <row r="38" spans="3:21" ht="12" customHeight="1">
      <c r="C38" s="20">
        <v>173226</v>
      </c>
      <c r="D38" s="20">
        <v>5</v>
      </c>
      <c r="E38" s="3" t="s">
        <v>465</v>
      </c>
      <c r="F38" s="3">
        <v>2006</v>
      </c>
      <c r="G38" s="3">
        <v>3</v>
      </c>
      <c r="H38" s="3">
        <v>0</v>
      </c>
      <c r="I38" s="3" t="s">
        <v>52</v>
      </c>
      <c r="J38" s="131">
        <v>10</v>
      </c>
      <c r="K38" s="3">
        <f t="shared" si="0"/>
        <v>2016</v>
      </c>
      <c r="L38" s="130">
        <f t="shared" si="1"/>
        <v>2016.25</v>
      </c>
      <c r="M38" s="139">
        <v>2970.24</v>
      </c>
      <c r="N38" s="139">
        <f t="shared" si="2"/>
        <v>2970.24</v>
      </c>
      <c r="O38" s="139">
        <f t="shared" si="3"/>
        <v>24.751999999999999</v>
      </c>
      <c r="P38" s="139">
        <f t="shared" si="4"/>
        <v>297.024</v>
      </c>
      <c r="Q38" s="342">
        <f t="shared" si="6"/>
        <v>0</v>
      </c>
      <c r="R38" s="341"/>
      <c r="S38" s="342">
        <f t="shared" si="5"/>
        <v>2970.24</v>
      </c>
      <c r="T38" s="139">
        <f t="shared" si="7"/>
        <v>2970.24</v>
      </c>
      <c r="U38" s="139">
        <f t="shared" si="8"/>
        <v>0</v>
      </c>
    </row>
    <row r="39" spans="3:21" ht="12" customHeight="1">
      <c r="C39" s="20">
        <v>173228</v>
      </c>
      <c r="D39" s="20">
        <v>10</v>
      </c>
      <c r="E39" s="3" t="s">
        <v>589</v>
      </c>
      <c r="F39" s="3">
        <v>2006</v>
      </c>
      <c r="G39" s="3">
        <v>3</v>
      </c>
      <c r="H39" s="3">
        <v>0</v>
      </c>
      <c r="I39" s="3" t="s">
        <v>52</v>
      </c>
      <c r="J39" s="131">
        <v>10</v>
      </c>
      <c r="K39" s="3">
        <f t="shared" si="0"/>
        <v>2016</v>
      </c>
      <c r="L39" s="130">
        <f t="shared" si="1"/>
        <v>2016.25</v>
      </c>
      <c r="M39" s="139">
        <v>8040.32</v>
      </c>
      <c r="N39" s="139">
        <f t="shared" si="2"/>
        <v>8040.32</v>
      </c>
      <c r="O39" s="139">
        <f t="shared" si="3"/>
        <v>67.002666666666656</v>
      </c>
      <c r="P39" s="139">
        <f t="shared" si="4"/>
        <v>804.03199999999993</v>
      </c>
      <c r="Q39" s="342">
        <f t="shared" si="6"/>
        <v>0</v>
      </c>
      <c r="R39" s="341"/>
      <c r="S39" s="342">
        <f t="shared" si="5"/>
        <v>8040.32</v>
      </c>
      <c r="T39" s="139">
        <f t="shared" si="7"/>
        <v>8040.32</v>
      </c>
      <c r="U39" s="139">
        <f t="shared" si="8"/>
        <v>0</v>
      </c>
    </row>
    <row r="40" spans="3:21" ht="12" customHeight="1">
      <c r="C40" s="20">
        <v>42250</v>
      </c>
      <c r="D40" s="20">
        <v>5</v>
      </c>
      <c r="E40" s="3" t="s">
        <v>471</v>
      </c>
      <c r="F40" s="3">
        <v>2006</v>
      </c>
      <c r="G40" s="3">
        <v>4</v>
      </c>
      <c r="H40" s="3">
        <v>0</v>
      </c>
      <c r="I40" s="3" t="s">
        <v>52</v>
      </c>
      <c r="J40" s="131" t="s">
        <v>748</v>
      </c>
      <c r="K40" s="3">
        <f t="shared" si="0"/>
        <v>2018</v>
      </c>
      <c r="L40" s="130">
        <f t="shared" si="1"/>
        <v>2018.3333333333333</v>
      </c>
      <c r="M40" s="139">
        <v>3046.4</v>
      </c>
      <c r="N40" s="139">
        <f t="shared" si="2"/>
        <v>3046.4</v>
      </c>
      <c r="O40" s="139">
        <f t="shared" si="3"/>
        <v>21.155555555555555</v>
      </c>
      <c r="P40" s="139">
        <f t="shared" si="4"/>
        <v>253.86666666666667</v>
      </c>
      <c r="Q40" s="342">
        <f t="shared" si="6"/>
        <v>0</v>
      </c>
      <c r="R40" s="341"/>
      <c r="S40" s="342">
        <f t="shared" si="5"/>
        <v>3046.4</v>
      </c>
      <c r="T40" s="139">
        <f t="shared" si="7"/>
        <v>3046.4</v>
      </c>
      <c r="U40" s="139">
        <f t="shared" si="8"/>
        <v>0</v>
      </c>
    </row>
    <row r="41" spans="3:21" ht="12" customHeight="1">
      <c r="C41" s="20">
        <v>43055</v>
      </c>
      <c r="D41" s="20">
        <v>8</v>
      </c>
      <c r="E41" s="3" t="s">
        <v>681</v>
      </c>
      <c r="F41" s="3">
        <v>2006</v>
      </c>
      <c r="G41" s="3">
        <v>4</v>
      </c>
      <c r="H41" s="3">
        <v>0</v>
      </c>
      <c r="I41" s="3" t="s">
        <v>52</v>
      </c>
      <c r="J41" s="131" t="s">
        <v>748</v>
      </c>
      <c r="K41" s="3">
        <f t="shared" si="0"/>
        <v>2018</v>
      </c>
      <c r="L41" s="130">
        <f t="shared" si="1"/>
        <v>2018.3333333333333</v>
      </c>
      <c r="M41" s="139">
        <v>3464.19</v>
      </c>
      <c r="N41" s="139">
        <f t="shared" si="2"/>
        <v>3464.19</v>
      </c>
      <c r="O41" s="139">
        <f t="shared" si="3"/>
        <v>24.056875000000002</v>
      </c>
      <c r="P41" s="139">
        <f t="shared" si="4"/>
        <v>288.6825</v>
      </c>
      <c r="Q41" s="342">
        <f t="shared" si="6"/>
        <v>0</v>
      </c>
      <c r="R41" s="341"/>
      <c r="S41" s="342">
        <f t="shared" si="5"/>
        <v>3464.19</v>
      </c>
      <c r="T41" s="139">
        <f t="shared" si="7"/>
        <v>3464.19</v>
      </c>
      <c r="U41" s="139">
        <f t="shared" si="8"/>
        <v>0</v>
      </c>
    </row>
    <row r="42" spans="3:21" ht="12" customHeight="1">
      <c r="C42" s="20">
        <v>43056</v>
      </c>
      <c r="D42" s="20">
        <v>7</v>
      </c>
      <c r="E42" s="3" t="s">
        <v>681</v>
      </c>
      <c r="F42" s="3">
        <v>2006</v>
      </c>
      <c r="G42" s="3">
        <v>4</v>
      </c>
      <c r="H42" s="3">
        <v>0</v>
      </c>
      <c r="I42" s="3" t="s">
        <v>52</v>
      </c>
      <c r="J42" s="131" t="s">
        <v>748</v>
      </c>
      <c r="K42" s="3">
        <f t="shared" si="0"/>
        <v>2018</v>
      </c>
      <c r="L42" s="130">
        <f t="shared" si="1"/>
        <v>2018.3333333333333</v>
      </c>
      <c r="M42" s="139">
        <v>3031.17</v>
      </c>
      <c r="N42" s="139">
        <f t="shared" si="2"/>
        <v>3031.17</v>
      </c>
      <c r="O42" s="139">
        <f t="shared" si="3"/>
        <v>21.049791666666668</v>
      </c>
      <c r="P42" s="139">
        <f t="shared" si="4"/>
        <v>252.59750000000003</v>
      </c>
      <c r="Q42" s="342">
        <f t="shared" si="6"/>
        <v>0</v>
      </c>
      <c r="R42" s="341"/>
      <c r="S42" s="342">
        <f t="shared" si="5"/>
        <v>3031.17</v>
      </c>
      <c r="T42" s="139">
        <f t="shared" si="7"/>
        <v>3031.17</v>
      </c>
      <c r="U42" s="139">
        <f t="shared" si="8"/>
        <v>0</v>
      </c>
    </row>
    <row r="43" spans="3:21" ht="12" customHeight="1">
      <c r="C43" s="20">
        <v>45288</v>
      </c>
      <c r="D43" s="20">
        <v>10</v>
      </c>
      <c r="E43" s="3" t="s">
        <v>682</v>
      </c>
      <c r="F43" s="3">
        <v>2006</v>
      </c>
      <c r="G43" s="3">
        <v>8</v>
      </c>
      <c r="H43" s="3">
        <v>0</v>
      </c>
      <c r="I43" s="3" t="s">
        <v>52</v>
      </c>
      <c r="J43" s="131" t="s">
        <v>748</v>
      </c>
      <c r="K43" s="3">
        <f t="shared" si="0"/>
        <v>2018</v>
      </c>
      <c r="L43" s="130">
        <f t="shared" si="1"/>
        <v>2018.6666666666667</v>
      </c>
      <c r="M43" s="139">
        <v>4700.16</v>
      </c>
      <c r="N43" s="139">
        <f t="shared" si="2"/>
        <v>4700.16</v>
      </c>
      <c r="O43" s="139">
        <f t="shared" si="3"/>
        <v>32.64</v>
      </c>
      <c r="P43" s="139">
        <f t="shared" si="4"/>
        <v>391.68</v>
      </c>
      <c r="Q43" s="342">
        <f t="shared" si="6"/>
        <v>0</v>
      </c>
      <c r="R43" s="341"/>
      <c r="S43" s="342">
        <f t="shared" si="5"/>
        <v>4700.16</v>
      </c>
      <c r="T43" s="139">
        <f t="shared" si="7"/>
        <v>4700.16</v>
      </c>
      <c r="U43" s="139">
        <f t="shared" si="8"/>
        <v>0</v>
      </c>
    </row>
    <row r="44" spans="3:21" ht="12" customHeight="1">
      <c r="C44" s="20">
        <v>47387</v>
      </c>
      <c r="D44" s="20">
        <v>10</v>
      </c>
      <c r="E44" s="3" t="s">
        <v>682</v>
      </c>
      <c r="F44" s="3">
        <v>2006</v>
      </c>
      <c r="G44" s="3">
        <v>8</v>
      </c>
      <c r="H44" s="3">
        <v>0</v>
      </c>
      <c r="I44" s="3" t="s">
        <v>52</v>
      </c>
      <c r="J44" s="131" t="s">
        <v>748</v>
      </c>
      <c r="K44" s="3">
        <f t="shared" si="0"/>
        <v>2018</v>
      </c>
      <c r="L44" s="130">
        <f t="shared" si="1"/>
        <v>2018.6666666666667</v>
      </c>
      <c r="M44" s="139">
        <v>4700.16</v>
      </c>
      <c r="N44" s="139">
        <f t="shared" si="2"/>
        <v>4700.16</v>
      </c>
      <c r="O44" s="139">
        <f t="shared" si="3"/>
        <v>32.64</v>
      </c>
      <c r="P44" s="139">
        <f t="shared" si="4"/>
        <v>391.68</v>
      </c>
      <c r="Q44" s="342">
        <f t="shared" si="6"/>
        <v>0</v>
      </c>
      <c r="R44" s="341"/>
      <c r="S44" s="342">
        <f t="shared" si="5"/>
        <v>4700.16</v>
      </c>
      <c r="T44" s="139">
        <f t="shared" si="7"/>
        <v>4700.16</v>
      </c>
      <c r="U44" s="139">
        <f t="shared" si="8"/>
        <v>0</v>
      </c>
    </row>
    <row r="45" spans="3:21" ht="12" customHeight="1">
      <c r="C45" s="20">
        <v>47402</v>
      </c>
      <c r="D45" s="20">
        <v>5</v>
      </c>
      <c r="E45" s="3" t="s">
        <v>683</v>
      </c>
      <c r="F45" s="3">
        <v>2006</v>
      </c>
      <c r="G45" s="3">
        <v>12</v>
      </c>
      <c r="H45" s="3">
        <v>0</v>
      </c>
      <c r="I45" s="3" t="s">
        <v>52</v>
      </c>
      <c r="J45" s="131" t="s">
        <v>748</v>
      </c>
      <c r="K45" s="3">
        <f t="shared" si="0"/>
        <v>2018</v>
      </c>
      <c r="L45" s="130">
        <f t="shared" si="1"/>
        <v>2019</v>
      </c>
      <c r="M45" s="139">
        <v>3149.76</v>
      </c>
      <c r="N45" s="139">
        <f t="shared" si="2"/>
        <v>3149.76</v>
      </c>
      <c r="O45" s="139">
        <f t="shared" si="3"/>
        <v>21.873333333333335</v>
      </c>
      <c r="P45" s="139">
        <f t="shared" si="4"/>
        <v>262.48</v>
      </c>
      <c r="Q45" s="342">
        <f t="shared" si="6"/>
        <v>0</v>
      </c>
      <c r="R45" s="341"/>
      <c r="S45" s="342">
        <f t="shared" si="5"/>
        <v>3149.76</v>
      </c>
      <c r="T45" s="139">
        <f t="shared" si="7"/>
        <v>3149.76</v>
      </c>
      <c r="U45" s="139">
        <f t="shared" si="8"/>
        <v>0</v>
      </c>
    </row>
    <row r="46" spans="3:21" ht="12" customHeight="1">
      <c r="C46" s="20">
        <v>47403</v>
      </c>
      <c r="D46" s="20">
        <v>5</v>
      </c>
      <c r="E46" s="3" t="s">
        <v>684</v>
      </c>
      <c r="F46" s="3">
        <v>2006</v>
      </c>
      <c r="G46" s="3">
        <v>12</v>
      </c>
      <c r="H46" s="3">
        <v>0</v>
      </c>
      <c r="I46" s="3" t="s">
        <v>52</v>
      </c>
      <c r="J46" s="131" t="s">
        <v>748</v>
      </c>
      <c r="K46" s="3">
        <f t="shared" si="0"/>
        <v>2018</v>
      </c>
      <c r="L46" s="130">
        <f t="shared" si="1"/>
        <v>2019</v>
      </c>
      <c r="M46" s="139">
        <v>4270.3999999999996</v>
      </c>
      <c r="N46" s="139">
        <f t="shared" si="2"/>
        <v>4270.3999999999996</v>
      </c>
      <c r="O46" s="139">
        <f t="shared" si="3"/>
        <v>29.655555555555551</v>
      </c>
      <c r="P46" s="139">
        <f t="shared" si="4"/>
        <v>355.86666666666662</v>
      </c>
      <c r="Q46" s="342">
        <f t="shared" si="6"/>
        <v>0</v>
      </c>
      <c r="R46" s="341"/>
      <c r="S46" s="342">
        <f t="shared" si="5"/>
        <v>4270.3999999999996</v>
      </c>
      <c r="T46" s="139">
        <f t="shared" si="7"/>
        <v>4270.3999999999996</v>
      </c>
      <c r="U46" s="139">
        <f t="shared" si="8"/>
        <v>0</v>
      </c>
    </row>
    <row r="47" spans="3:21" ht="12" customHeight="1">
      <c r="C47" s="20">
        <v>47555</v>
      </c>
      <c r="D47" s="20">
        <v>10</v>
      </c>
      <c r="E47" s="3" t="s">
        <v>685</v>
      </c>
      <c r="F47" s="3">
        <v>2006</v>
      </c>
      <c r="G47" s="3">
        <v>12</v>
      </c>
      <c r="H47" s="3">
        <v>0</v>
      </c>
      <c r="I47" s="3" t="s">
        <v>52</v>
      </c>
      <c r="J47" s="131" t="s">
        <v>748</v>
      </c>
      <c r="K47" s="3">
        <f t="shared" si="0"/>
        <v>2018</v>
      </c>
      <c r="L47" s="130">
        <f t="shared" si="1"/>
        <v>2019</v>
      </c>
      <c r="M47" s="139">
        <v>4700.16</v>
      </c>
      <c r="N47" s="139">
        <f t="shared" si="2"/>
        <v>4700.16</v>
      </c>
      <c r="O47" s="139">
        <f t="shared" si="3"/>
        <v>32.64</v>
      </c>
      <c r="P47" s="139">
        <f t="shared" si="4"/>
        <v>391.68</v>
      </c>
      <c r="Q47" s="342">
        <f t="shared" si="6"/>
        <v>0</v>
      </c>
      <c r="R47" s="341"/>
      <c r="S47" s="342">
        <f t="shared" si="5"/>
        <v>4700.16</v>
      </c>
      <c r="T47" s="139">
        <f t="shared" si="7"/>
        <v>4700.16</v>
      </c>
      <c r="U47" s="139">
        <f t="shared" si="8"/>
        <v>0</v>
      </c>
    </row>
    <row r="48" spans="3:21" ht="12" customHeight="1">
      <c r="C48" s="20">
        <v>173505</v>
      </c>
      <c r="D48" s="20">
        <v>10</v>
      </c>
      <c r="E48" s="3" t="s">
        <v>710</v>
      </c>
      <c r="F48" s="3">
        <v>2006</v>
      </c>
      <c r="G48" s="3">
        <v>3</v>
      </c>
      <c r="H48" s="3">
        <v>0</v>
      </c>
      <c r="I48" s="3" t="s">
        <v>52</v>
      </c>
      <c r="J48" s="131" t="s">
        <v>748</v>
      </c>
      <c r="K48" s="3">
        <f t="shared" si="0"/>
        <v>2018</v>
      </c>
      <c r="L48" s="130">
        <f t="shared" si="1"/>
        <v>2018.25</v>
      </c>
      <c r="M48" s="139">
        <v>6125.44</v>
      </c>
      <c r="N48" s="139">
        <f t="shared" si="2"/>
        <v>6125.44</v>
      </c>
      <c r="O48" s="139">
        <f t="shared" si="3"/>
        <v>42.537777777777777</v>
      </c>
      <c r="P48" s="139">
        <f t="shared" si="4"/>
        <v>510.45333333333332</v>
      </c>
      <c r="Q48" s="342">
        <f t="shared" si="6"/>
        <v>0</v>
      </c>
      <c r="R48" s="341"/>
      <c r="S48" s="342">
        <f t="shared" si="5"/>
        <v>6125.44</v>
      </c>
      <c r="T48" s="139">
        <f t="shared" si="7"/>
        <v>6125.44</v>
      </c>
      <c r="U48" s="139">
        <f t="shared" si="8"/>
        <v>0</v>
      </c>
    </row>
    <row r="49" spans="3:22" ht="12" customHeight="1">
      <c r="C49" s="20">
        <v>173509</v>
      </c>
      <c r="D49" s="20">
        <v>10</v>
      </c>
      <c r="E49" s="3" t="s">
        <v>696</v>
      </c>
      <c r="F49" s="3">
        <v>2006</v>
      </c>
      <c r="G49" s="3">
        <v>8</v>
      </c>
      <c r="H49" s="3">
        <v>0</v>
      </c>
      <c r="I49" s="3" t="s">
        <v>52</v>
      </c>
      <c r="J49" s="131" t="s">
        <v>748</v>
      </c>
      <c r="K49" s="3">
        <f t="shared" si="0"/>
        <v>2018</v>
      </c>
      <c r="L49" s="130">
        <f t="shared" si="1"/>
        <v>2018.6666666666667</v>
      </c>
      <c r="M49" s="139">
        <v>6266.88</v>
      </c>
      <c r="N49" s="139">
        <f t="shared" si="2"/>
        <v>6266.88</v>
      </c>
      <c r="O49" s="139">
        <f t="shared" si="3"/>
        <v>43.52</v>
      </c>
      <c r="P49" s="139">
        <f t="shared" si="4"/>
        <v>522.24</v>
      </c>
      <c r="Q49" s="342">
        <f t="shared" si="6"/>
        <v>0</v>
      </c>
      <c r="R49" s="341"/>
      <c r="S49" s="342">
        <f t="shared" si="5"/>
        <v>6266.88</v>
      </c>
      <c r="T49" s="139">
        <f t="shared" si="7"/>
        <v>6266.88</v>
      </c>
      <c r="U49" s="139">
        <f t="shared" si="8"/>
        <v>0</v>
      </c>
    </row>
    <row r="50" spans="3:22" ht="12" customHeight="1">
      <c r="C50" s="20">
        <v>173511</v>
      </c>
      <c r="D50" s="20">
        <v>10</v>
      </c>
      <c r="E50" s="3" t="s">
        <v>696</v>
      </c>
      <c r="F50" s="3">
        <v>2006</v>
      </c>
      <c r="G50" s="3">
        <v>8</v>
      </c>
      <c r="H50" s="3">
        <v>0</v>
      </c>
      <c r="I50" s="3" t="s">
        <v>52</v>
      </c>
      <c r="J50" s="131" t="s">
        <v>748</v>
      </c>
      <c r="K50" s="3">
        <f t="shared" si="0"/>
        <v>2018</v>
      </c>
      <c r="L50" s="130">
        <f t="shared" si="1"/>
        <v>2018.6666666666667</v>
      </c>
      <c r="M50" s="139">
        <v>6266.88</v>
      </c>
      <c r="N50" s="139">
        <f t="shared" si="2"/>
        <v>6266.88</v>
      </c>
      <c r="O50" s="139">
        <f t="shared" si="3"/>
        <v>43.52</v>
      </c>
      <c r="P50" s="139">
        <f t="shared" si="4"/>
        <v>522.24</v>
      </c>
      <c r="Q50" s="342">
        <f t="shared" si="6"/>
        <v>0</v>
      </c>
      <c r="R50" s="341"/>
      <c r="S50" s="342">
        <f t="shared" si="5"/>
        <v>6266.88</v>
      </c>
      <c r="T50" s="139">
        <f t="shared" si="7"/>
        <v>6266.88</v>
      </c>
      <c r="U50" s="139">
        <f t="shared" si="8"/>
        <v>0</v>
      </c>
    </row>
    <row r="51" spans="3:22" ht="12" customHeight="1">
      <c r="D51" s="20">
        <v>20</v>
      </c>
      <c r="E51" s="3" t="s">
        <v>148</v>
      </c>
      <c r="F51" s="3">
        <v>2007</v>
      </c>
      <c r="G51" s="3">
        <v>5</v>
      </c>
      <c r="H51" s="3">
        <v>0</v>
      </c>
      <c r="I51" s="3" t="s">
        <v>52</v>
      </c>
      <c r="J51" s="131">
        <v>10</v>
      </c>
      <c r="K51" s="3">
        <f t="shared" si="0"/>
        <v>2017</v>
      </c>
      <c r="L51" s="130">
        <f t="shared" si="1"/>
        <v>2017.4166666666667</v>
      </c>
      <c r="M51" s="139">
        <v>8820.9</v>
      </c>
      <c r="N51" s="139">
        <f t="shared" si="2"/>
        <v>8820.9</v>
      </c>
      <c r="O51" s="139">
        <f t="shared" si="3"/>
        <v>73.507499999999993</v>
      </c>
      <c r="P51" s="139">
        <f t="shared" si="4"/>
        <v>882.08999999999992</v>
      </c>
      <c r="Q51" s="342">
        <f t="shared" si="6"/>
        <v>0</v>
      </c>
      <c r="R51" s="341"/>
      <c r="S51" s="342">
        <f t="shared" si="5"/>
        <v>8820.9</v>
      </c>
      <c r="T51" s="139">
        <f t="shared" si="7"/>
        <v>8820.9</v>
      </c>
      <c r="U51" s="139">
        <f t="shared" si="8"/>
        <v>0</v>
      </c>
    </row>
    <row r="52" spans="3:22" ht="12" customHeight="1">
      <c r="D52" s="20">
        <v>10</v>
      </c>
      <c r="E52" s="3" t="s">
        <v>162</v>
      </c>
      <c r="F52" s="3">
        <v>2007</v>
      </c>
      <c r="G52" s="3">
        <v>12</v>
      </c>
      <c r="H52" s="3">
        <v>0</v>
      </c>
      <c r="I52" s="3" t="s">
        <v>52</v>
      </c>
      <c r="J52" s="131">
        <v>10</v>
      </c>
      <c r="K52" s="3">
        <f t="shared" si="0"/>
        <v>2017</v>
      </c>
      <c r="L52" s="130">
        <f t="shared" si="1"/>
        <v>2018</v>
      </c>
      <c r="M52" s="139">
        <v>4580.4799999999996</v>
      </c>
      <c r="N52" s="139">
        <f t="shared" si="2"/>
        <v>4580.4799999999996</v>
      </c>
      <c r="O52" s="139">
        <f t="shared" si="3"/>
        <v>38.170666666666662</v>
      </c>
      <c r="P52" s="139">
        <f t="shared" si="4"/>
        <v>458.04799999999994</v>
      </c>
      <c r="Q52" s="342">
        <f t="shared" si="6"/>
        <v>0</v>
      </c>
      <c r="R52" s="341"/>
      <c r="S52" s="342">
        <f t="shared" si="5"/>
        <v>4580.4799999999996</v>
      </c>
      <c r="T52" s="139">
        <f t="shared" si="7"/>
        <v>4580.4799999999996</v>
      </c>
      <c r="U52" s="139">
        <f t="shared" si="8"/>
        <v>0</v>
      </c>
    </row>
    <row r="53" spans="3:22" ht="12" customHeight="1">
      <c r="D53" s="20">
        <v>20</v>
      </c>
      <c r="E53" s="3" t="s">
        <v>103</v>
      </c>
      <c r="F53" s="3">
        <v>2007</v>
      </c>
      <c r="G53" s="3">
        <v>5</v>
      </c>
      <c r="H53" s="3">
        <v>0</v>
      </c>
      <c r="I53" s="3" t="s">
        <v>52</v>
      </c>
      <c r="J53" s="131">
        <v>10</v>
      </c>
      <c r="K53" s="3">
        <f t="shared" si="0"/>
        <v>2017</v>
      </c>
      <c r="L53" s="130">
        <f t="shared" si="1"/>
        <v>2017.4166666666667</v>
      </c>
      <c r="M53" s="139">
        <v>9474.2999999999993</v>
      </c>
      <c r="N53" s="139">
        <f t="shared" si="2"/>
        <v>9474.2999999999993</v>
      </c>
      <c r="O53" s="139">
        <f t="shared" si="3"/>
        <v>78.952500000000001</v>
      </c>
      <c r="P53" s="139">
        <f t="shared" si="4"/>
        <v>947.43000000000006</v>
      </c>
      <c r="Q53" s="342">
        <f t="shared" si="6"/>
        <v>0</v>
      </c>
      <c r="R53" s="341"/>
      <c r="S53" s="342">
        <f t="shared" si="5"/>
        <v>9474.2999999999993</v>
      </c>
      <c r="T53" s="139">
        <f t="shared" si="7"/>
        <v>9474.2999999999993</v>
      </c>
      <c r="U53" s="139">
        <f t="shared" si="8"/>
        <v>0</v>
      </c>
    </row>
    <row r="54" spans="3:22" ht="12" customHeight="1">
      <c r="D54" s="20">
        <v>35</v>
      </c>
      <c r="E54" s="3" t="s">
        <v>103</v>
      </c>
      <c r="F54" s="3">
        <v>2007</v>
      </c>
      <c r="G54" s="3">
        <v>9</v>
      </c>
      <c r="H54" s="3">
        <v>0</v>
      </c>
      <c r="I54" s="3" t="s">
        <v>52</v>
      </c>
      <c r="J54" s="131">
        <v>10</v>
      </c>
      <c r="K54" s="3">
        <f t="shared" si="0"/>
        <v>2017</v>
      </c>
      <c r="L54" s="130">
        <f t="shared" si="1"/>
        <v>2017.75</v>
      </c>
      <c r="M54" s="139">
        <v>16450.560000000001</v>
      </c>
      <c r="N54" s="139">
        <f t="shared" si="2"/>
        <v>16450.560000000001</v>
      </c>
      <c r="O54" s="139">
        <f t="shared" si="3"/>
        <v>137.08799999999999</v>
      </c>
      <c r="P54" s="139">
        <f t="shared" si="4"/>
        <v>1645.056</v>
      </c>
      <c r="Q54" s="342">
        <f t="shared" si="6"/>
        <v>0</v>
      </c>
      <c r="R54" s="341"/>
      <c r="S54" s="342">
        <f t="shared" si="5"/>
        <v>16450.560000000001</v>
      </c>
      <c r="T54" s="139">
        <f t="shared" si="7"/>
        <v>16450.560000000001</v>
      </c>
      <c r="U54" s="139">
        <f t="shared" si="8"/>
        <v>0</v>
      </c>
    </row>
    <row r="55" spans="3:22" ht="12" customHeight="1">
      <c r="D55" s="20">
        <v>5</v>
      </c>
      <c r="E55" s="3" t="s">
        <v>104</v>
      </c>
      <c r="F55" s="3">
        <v>2007</v>
      </c>
      <c r="G55" s="3">
        <v>6</v>
      </c>
      <c r="H55" s="3">
        <v>0</v>
      </c>
      <c r="I55" s="3" t="s">
        <v>52</v>
      </c>
      <c r="J55" s="131">
        <v>10</v>
      </c>
      <c r="K55" s="3">
        <f t="shared" si="0"/>
        <v>2017</v>
      </c>
      <c r="L55" s="130">
        <f t="shared" si="1"/>
        <v>2017.5</v>
      </c>
      <c r="M55" s="139">
        <v>4056.53</v>
      </c>
      <c r="N55" s="139">
        <f t="shared" si="2"/>
        <v>4056.53</v>
      </c>
      <c r="O55" s="139">
        <f t="shared" si="3"/>
        <v>33.804416666666668</v>
      </c>
      <c r="P55" s="139">
        <f t="shared" si="4"/>
        <v>405.65300000000002</v>
      </c>
      <c r="Q55" s="342">
        <f t="shared" si="6"/>
        <v>0</v>
      </c>
      <c r="R55" s="341"/>
      <c r="S55" s="342">
        <f t="shared" si="5"/>
        <v>4056.53</v>
      </c>
      <c r="T55" s="139">
        <f t="shared" si="7"/>
        <v>4056.53</v>
      </c>
      <c r="U55" s="139">
        <f t="shared" si="8"/>
        <v>0</v>
      </c>
    </row>
    <row r="56" spans="3:22" ht="12" customHeight="1">
      <c r="C56" s="20">
        <v>173239</v>
      </c>
      <c r="D56" s="20">
        <v>5</v>
      </c>
      <c r="E56" s="3" t="s">
        <v>465</v>
      </c>
      <c r="F56" s="3">
        <v>2007</v>
      </c>
      <c r="G56" s="3">
        <v>5</v>
      </c>
      <c r="H56" s="3">
        <v>0</v>
      </c>
      <c r="I56" s="3" t="s">
        <v>52</v>
      </c>
      <c r="J56" s="131">
        <v>10</v>
      </c>
      <c r="K56" s="3">
        <f t="shared" si="0"/>
        <v>2017</v>
      </c>
      <c r="L56" s="130">
        <f t="shared" si="1"/>
        <v>2017.4166666666667</v>
      </c>
      <c r="M56" s="139">
        <v>2885.85</v>
      </c>
      <c r="N56" s="139">
        <f t="shared" si="2"/>
        <v>2885.85</v>
      </c>
      <c r="O56" s="139">
        <f t="shared" si="3"/>
        <v>24.048749999999998</v>
      </c>
      <c r="P56" s="139">
        <f t="shared" si="4"/>
        <v>288.58499999999998</v>
      </c>
      <c r="Q56" s="342">
        <f t="shared" si="6"/>
        <v>0</v>
      </c>
      <c r="R56" s="341"/>
      <c r="S56" s="342">
        <f t="shared" si="5"/>
        <v>2885.85</v>
      </c>
      <c r="T56" s="139">
        <f t="shared" si="7"/>
        <v>2885.85</v>
      </c>
      <c r="U56" s="139">
        <f t="shared" si="8"/>
        <v>0</v>
      </c>
    </row>
    <row r="57" spans="3:22" ht="12" customHeight="1">
      <c r="C57" s="20" t="s">
        <v>590</v>
      </c>
      <c r="D57" s="20">
        <v>15</v>
      </c>
      <c r="E57" s="3" t="s">
        <v>466</v>
      </c>
      <c r="F57" s="3">
        <v>2007</v>
      </c>
      <c r="G57" s="3">
        <v>6</v>
      </c>
      <c r="H57" s="3">
        <v>0</v>
      </c>
      <c r="I57" s="3" t="s">
        <v>52</v>
      </c>
      <c r="J57" s="131">
        <v>10</v>
      </c>
      <c r="K57" s="3">
        <f t="shared" si="0"/>
        <v>2017</v>
      </c>
      <c r="L57" s="130">
        <f t="shared" si="1"/>
        <v>2017.5</v>
      </c>
      <c r="M57" s="139">
        <f>4867.83+7301.75</f>
        <v>12169.58</v>
      </c>
      <c r="N57" s="139">
        <f t="shared" si="2"/>
        <v>12169.58</v>
      </c>
      <c r="O57" s="139">
        <f t="shared" si="3"/>
        <v>101.41316666666667</v>
      </c>
      <c r="P57" s="139">
        <f t="shared" si="4"/>
        <v>1216.9580000000001</v>
      </c>
      <c r="Q57" s="342">
        <f t="shared" si="6"/>
        <v>0</v>
      </c>
      <c r="R57" s="341"/>
      <c r="S57" s="342">
        <f t="shared" si="5"/>
        <v>12169.58</v>
      </c>
      <c r="T57" s="139">
        <f t="shared" si="7"/>
        <v>12169.58</v>
      </c>
      <c r="U57" s="139">
        <f t="shared" si="8"/>
        <v>0</v>
      </c>
    </row>
    <row r="58" spans="3:22" ht="12" customHeight="1">
      <c r="C58" s="20">
        <v>50152</v>
      </c>
      <c r="D58" s="20">
        <v>10</v>
      </c>
      <c r="E58" s="3" t="s">
        <v>683</v>
      </c>
      <c r="F58" s="3">
        <v>2007</v>
      </c>
      <c r="G58" s="3">
        <v>5</v>
      </c>
      <c r="H58" s="3">
        <v>0</v>
      </c>
      <c r="I58" s="3" t="s">
        <v>52</v>
      </c>
      <c r="J58" s="131" t="s">
        <v>748</v>
      </c>
      <c r="K58" s="3">
        <f t="shared" si="0"/>
        <v>2019</v>
      </c>
      <c r="L58" s="130">
        <f t="shared" si="1"/>
        <v>2019.4166666666667</v>
      </c>
      <c r="M58" s="139">
        <v>5771.7</v>
      </c>
      <c r="N58" s="139">
        <f t="shared" si="2"/>
        <v>5771.7</v>
      </c>
      <c r="O58" s="139">
        <f t="shared" si="3"/>
        <v>40.081249999999997</v>
      </c>
      <c r="P58" s="139">
        <f t="shared" si="4"/>
        <v>480.97499999999997</v>
      </c>
      <c r="Q58" s="342">
        <f t="shared" si="6"/>
        <v>0</v>
      </c>
      <c r="R58" s="341"/>
      <c r="S58" s="342">
        <f t="shared" si="5"/>
        <v>5771.7</v>
      </c>
      <c r="T58" s="139">
        <f t="shared" si="7"/>
        <v>5771.7</v>
      </c>
      <c r="U58" s="139">
        <f t="shared" si="8"/>
        <v>0</v>
      </c>
      <c r="V58" s="11">
        <f>M58-T58</f>
        <v>0</v>
      </c>
    </row>
    <row r="59" spans="3:22" ht="12" customHeight="1">
      <c r="C59" s="20">
        <v>50279</v>
      </c>
      <c r="D59" s="20">
        <v>15</v>
      </c>
      <c r="E59" s="3" t="s">
        <v>681</v>
      </c>
      <c r="F59" s="3">
        <v>2007</v>
      </c>
      <c r="G59" s="3">
        <v>5</v>
      </c>
      <c r="H59" s="3">
        <v>0</v>
      </c>
      <c r="I59" s="3" t="s">
        <v>52</v>
      </c>
      <c r="J59" s="131" t="s">
        <v>748</v>
      </c>
      <c r="K59" s="3">
        <f t="shared" si="0"/>
        <v>2019</v>
      </c>
      <c r="L59" s="130">
        <f t="shared" si="1"/>
        <v>2019.4166666666667</v>
      </c>
      <c r="M59" s="139">
        <v>6615.68</v>
      </c>
      <c r="N59" s="139">
        <f t="shared" si="2"/>
        <v>6615.68</v>
      </c>
      <c r="O59" s="139">
        <f t="shared" si="3"/>
        <v>45.942222222222227</v>
      </c>
      <c r="P59" s="139">
        <f t="shared" si="4"/>
        <v>551.30666666666673</v>
      </c>
      <c r="Q59" s="342">
        <f t="shared" si="6"/>
        <v>0</v>
      </c>
      <c r="R59" s="341"/>
      <c r="S59" s="342">
        <f t="shared" si="5"/>
        <v>6615.68</v>
      </c>
      <c r="T59" s="139">
        <f t="shared" si="7"/>
        <v>6615.68</v>
      </c>
      <c r="U59" s="139">
        <f t="shared" si="8"/>
        <v>0</v>
      </c>
      <c r="V59" s="11">
        <f t="shared" ref="V59:V122" si="9">M59-T59</f>
        <v>0</v>
      </c>
    </row>
    <row r="60" spans="3:22" ht="12" customHeight="1">
      <c r="C60" s="20">
        <v>50280</v>
      </c>
      <c r="D60" s="20">
        <v>3</v>
      </c>
      <c r="E60" s="3" t="s">
        <v>681</v>
      </c>
      <c r="F60" s="3">
        <v>2007</v>
      </c>
      <c r="G60" s="3">
        <v>5</v>
      </c>
      <c r="H60" s="3">
        <v>0</v>
      </c>
      <c r="I60" s="3" t="s">
        <v>52</v>
      </c>
      <c r="J60" s="131" t="s">
        <v>748</v>
      </c>
      <c r="K60" s="3">
        <f t="shared" si="0"/>
        <v>2019</v>
      </c>
      <c r="L60" s="130">
        <f t="shared" si="1"/>
        <v>2019.4166666666667</v>
      </c>
      <c r="M60" s="139">
        <v>1323.14</v>
      </c>
      <c r="N60" s="139">
        <f t="shared" si="2"/>
        <v>1323.14</v>
      </c>
      <c r="O60" s="139">
        <f t="shared" si="3"/>
        <v>9.1884722222222219</v>
      </c>
      <c r="P60" s="139">
        <f t="shared" si="4"/>
        <v>110.26166666666666</v>
      </c>
      <c r="Q60" s="342">
        <f t="shared" si="6"/>
        <v>0</v>
      </c>
      <c r="R60" s="341"/>
      <c r="S60" s="342">
        <f t="shared" si="5"/>
        <v>1323.14</v>
      </c>
      <c r="T60" s="139">
        <f t="shared" si="7"/>
        <v>1323.14</v>
      </c>
      <c r="U60" s="139">
        <f t="shared" si="8"/>
        <v>0</v>
      </c>
      <c r="V60" s="11">
        <f t="shared" si="9"/>
        <v>0</v>
      </c>
    </row>
    <row r="61" spans="3:22" ht="12" customHeight="1">
      <c r="C61" s="20">
        <v>50281</v>
      </c>
      <c r="D61" s="20">
        <v>2</v>
      </c>
      <c r="E61" s="3" t="s">
        <v>681</v>
      </c>
      <c r="F61" s="3">
        <v>2007</v>
      </c>
      <c r="G61" s="3">
        <v>5</v>
      </c>
      <c r="H61" s="3">
        <v>0</v>
      </c>
      <c r="I61" s="3" t="s">
        <v>52</v>
      </c>
      <c r="J61" s="131" t="s">
        <v>748</v>
      </c>
      <c r="K61" s="3">
        <f t="shared" si="0"/>
        <v>2019</v>
      </c>
      <c r="L61" s="130">
        <f t="shared" si="1"/>
        <v>2019.4166666666667</v>
      </c>
      <c r="M61" s="139">
        <v>882.09</v>
      </c>
      <c r="N61" s="139">
        <f t="shared" si="2"/>
        <v>882.09</v>
      </c>
      <c r="O61" s="139">
        <f t="shared" si="3"/>
        <v>6.1256250000000003</v>
      </c>
      <c r="P61" s="139">
        <f t="shared" si="4"/>
        <v>73.507500000000007</v>
      </c>
      <c r="Q61" s="342">
        <f t="shared" si="6"/>
        <v>0</v>
      </c>
      <c r="R61" s="341"/>
      <c r="S61" s="342">
        <f t="shared" si="5"/>
        <v>882.09</v>
      </c>
      <c r="T61" s="139">
        <f t="shared" si="7"/>
        <v>882.09</v>
      </c>
      <c r="U61" s="139">
        <f t="shared" si="8"/>
        <v>0</v>
      </c>
      <c r="V61" s="11">
        <f t="shared" si="9"/>
        <v>0</v>
      </c>
    </row>
    <row r="62" spans="3:22" ht="12" customHeight="1">
      <c r="C62" s="20">
        <v>53659</v>
      </c>
      <c r="D62" s="20">
        <v>5</v>
      </c>
      <c r="E62" s="3" t="s">
        <v>682</v>
      </c>
      <c r="F62" s="3">
        <v>2007</v>
      </c>
      <c r="G62" s="3">
        <v>10</v>
      </c>
      <c r="H62" s="3">
        <v>0</v>
      </c>
      <c r="I62" s="3" t="s">
        <v>52</v>
      </c>
      <c r="J62" s="131" t="s">
        <v>748</v>
      </c>
      <c r="K62" s="3">
        <f t="shared" si="0"/>
        <v>2019</v>
      </c>
      <c r="L62" s="130">
        <f t="shared" si="1"/>
        <v>2019.8333333333333</v>
      </c>
      <c r="M62" s="139">
        <v>2395.8000000000002</v>
      </c>
      <c r="N62" s="139">
        <f t="shared" si="2"/>
        <v>2395.8000000000002</v>
      </c>
      <c r="O62" s="139">
        <f t="shared" si="3"/>
        <v>16.637499999999999</v>
      </c>
      <c r="P62" s="139">
        <f t="shared" si="4"/>
        <v>199.64999999999998</v>
      </c>
      <c r="Q62" s="342">
        <f t="shared" si="6"/>
        <v>0</v>
      </c>
      <c r="R62" s="341"/>
      <c r="S62" s="342">
        <f t="shared" si="5"/>
        <v>2395.8000000000002</v>
      </c>
      <c r="T62" s="139">
        <f t="shared" si="7"/>
        <v>2395.8000000000002</v>
      </c>
      <c r="U62" s="139">
        <f t="shared" si="8"/>
        <v>0</v>
      </c>
      <c r="V62" s="11">
        <f t="shared" si="9"/>
        <v>0</v>
      </c>
    </row>
    <row r="63" spans="3:22" ht="12" customHeight="1">
      <c r="C63" s="20">
        <v>53660</v>
      </c>
      <c r="D63" s="20">
        <v>15</v>
      </c>
      <c r="E63" s="3" t="s">
        <v>682</v>
      </c>
      <c r="F63" s="3">
        <v>2007</v>
      </c>
      <c r="G63" s="3">
        <v>10</v>
      </c>
      <c r="H63" s="3">
        <v>0</v>
      </c>
      <c r="I63" s="3" t="s">
        <v>52</v>
      </c>
      <c r="J63" s="131" t="s">
        <v>748</v>
      </c>
      <c r="K63" s="3">
        <f t="shared" si="0"/>
        <v>2019</v>
      </c>
      <c r="L63" s="130">
        <f t="shared" si="1"/>
        <v>2019.8333333333333</v>
      </c>
      <c r="M63" s="139">
        <v>7187.4</v>
      </c>
      <c r="N63" s="139">
        <f t="shared" si="2"/>
        <v>7187.4</v>
      </c>
      <c r="O63" s="139">
        <f t="shared" si="3"/>
        <v>49.912499999999994</v>
      </c>
      <c r="P63" s="139">
        <f t="shared" si="4"/>
        <v>598.94999999999993</v>
      </c>
      <c r="Q63" s="342">
        <f t="shared" si="6"/>
        <v>0</v>
      </c>
      <c r="R63" s="341"/>
      <c r="S63" s="342">
        <f t="shared" si="5"/>
        <v>7187.4</v>
      </c>
      <c r="T63" s="139">
        <f t="shared" si="7"/>
        <v>7187.4</v>
      </c>
      <c r="U63" s="139">
        <f t="shared" si="8"/>
        <v>0</v>
      </c>
      <c r="V63" s="11">
        <f t="shared" si="9"/>
        <v>0</v>
      </c>
    </row>
    <row r="64" spans="3:22" ht="12" customHeight="1">
      <c r="C64" s="20">
        <v>54696</v>
      </c>
      <c r="D64" s="20">
        <v>10</v>
      </c>
      <c r="E64" s="3" t="s">
        <v>686</v>
      </c>
      <c r="F64" s="3">
        <v>2007</v>
      </c>
      <c r="G64" s="3">
        <v>12</v>
      </c>
      <c r="H64" s="3">
        <v>0</v>
      </c>
      <c r="I64" s="3" t="s">
        <v>52</v>
      </c>
      <c r="J64" s="131" t="s">
        <v>748</v>
      </c>
      <c r="K64" s="3">
        <f t="shared" si="0"/>
        <v>2019</v>
      </c>
      <c r="L64" s="130">
        <f t="shared" si="1"/>
        <v>2020</v>
      </c>
      <c r="M64" s="139">
        <v>4765.4399999999996</v>
      </c>
      <c r="N64" s="139">
        <f t="shared" si="2"/>
        <v>4765.4399999999996</v>
      </c>
      <c r="O64" s="139">
        <f t="shared" si="3"/>
        <v>33.093333333333327</v>
      </c>
      <c r="P64" s="139">
        <f t="shared" si="4"/>
        <v>397.11999999999989</v>
      </c>
      <c r="Q64" s="342">
        <f t="shared" si="6"/>
        <v>0</v>
      </c>
      <c r="R64" s="341"/>
      <c r="S64" s="342">
        <f t="shared" si="5"/>
        <v>4765.4399999999996</v>
      </c>
      <c r="T64" s="139">
        <f t="shared" si="7"/>
        <v>4765.4399999999996</v>
      </c>
      <c r="U64" s="139">
        <f t="shared" si="8"/>
        <v>0</v>
      </c>
      <c r="V64" s="11">
        <f t="shared" si="9"/>
        <v>0</v>
      </c>
    </row>
    <row r="65" spans="3:22" ht="12" customHeight="1">
      <c r="C65" s="20">
        <v>54697</v>
      </c>
      <c r="D65" s="20">
        <v>20</v>
      </c>
      <c r="E65" s="3" t="s">
        <v>687</v>
      </c>
      <c r="F65" s="3">
        <v>2007</v>
      </c>
      <c r="G65" s="3">
        <v>12</v>
      </c>
      <c r="H65" s="3">
        <v>0</v>
      </c>
      <c r="I65" s="3" t="s">
        <v>52</v>
      </c>
      <c r="J65" s="131" t="s">
        <v>748</v>
      </c>
      <c r="K65" s="3">
        <f t="shared" si="0"/>
        <v>2019</v>
      </c>
      <c r="L65" s="130">
        <f t="shared" si="1"/>
        <v>2020</v>
      </c>
      <c r="M65" s="139">
        <v>16102.4</v>
      </c>
      <c r="N65" s="139">
        <f t="shared" si="2"/>
        <v>16102.4</v>
      </c>
      <c r="O65" s="139">
        <f t="shared" si="3"/>
        <v>111.82222222222221</v>
      </c>
      <c r="P65" s="139">
        <f t="shared" si="4"/>
        <v>1341.8666666666666</v>
      </c>
      <c r="Q65" s="342">
        <f t="shared" si="6"/>
        <v>0</v>
      </c>
      <c r="R65" s="341"/>
      <c r="S65" s="342">
        <f t="shared" si="5"/>
        <v>16102.4</v>
      </c>
      <c r="T65" s="139">
        <f t="shared" si="7"/>
        <v>16102.4</v>
      </c>
      <c r="U65" s="139">
        <f t="shared" si="8"/>
        <v>0</v>
      </c>
      <c r="V65" s="11">
        <f t="shared" si="9"/>
        <v>0</v>
      </c>
    </row>
    <row r="66" spans="3:22" ht="12" customHeight="1">
      <c r="C66" s="20">
        <v>73526</v>
      </c>
      <c r="D66" s="20">
        <v>10</v>
      </c>
      <c r="E66" s="3" t="s">
        <v>696</v>
      </c>
      <c r="F66" s="3">
        <v>2007</v>
      </c>
      <c r="G66" s="3">
        <v>2</v>
      </c>
      <c r="H66" s="3">
        <v>0</v>
      </c>
      <c r="I66" s="3" t="s">
        <v>52</v>
      </c>
      <c r="J66" s="131" t="s">
        <v>748</v>
      </c>
      <c r="K66" s="3">
        <f t="shared" si="0"/>
        <v>2019</v>
      </c>
      <c r="L66" s="130">
        <f t="shared" si="1"/>
        <v>2019.1666666666667</v>
      </c>
      <c r="M66" s="139">
        <v>5929.6</v>
      </c>
      <c r="N66" s="139">
        <f t="shared" si="2"/>
        <v>5929.6</v>
      </c>
      <c r="O66" s="139">
        <f t="shared" si="3"/>
        <v>41.177777777777784</v>
      </c>
      <c r="P66" s="139">
        <f t="shared" si="4"/>
        <v>494.13333333333344</v>
      </c>
      <c r="Q66" s="342">
        <f t="shared" si="6"/>
        <v>0</v>
      </c>
      <c r="R66" s="341"/>
      <c r="S66" s="342">
        <f t="shared" si="5"/>
        <v>5929.6</v>
      </c>
      <c r="T66" s="139">
        <f t="shared" si="7"/>
        <v>5929.6</v>
      </c>
      <c r="U66" s="139">
        <f t="shared" si="8"/>
        <v>0</v>
      </c>
      <c r="V66" s="11">
        <f t="shared" si="9"/>
        <v>0</v>
      </c>
    </row>
    <row r="67" spans="3:22" ht="12" customHeight="1">
      <c r="C67" s="20">
        <v>73527</v>
      </c>
      <c r="D67" s="20">
        <v>10</v>
      </c>
      <c r="E67" s="3" t="s">
        <v>696</v>
      </c>
      <c r="F67" s="3">
        <v>2007</v>
      </c>
      <c r="G67" s="3">
        <v>2</v>
      </c>
      <c r="H67" s="3">
        <v>0</v>
      </c>
      <c r="I67" s="3" t="s">
        <v>52</v>
      </c>
      <c r="J67" s="131" t="s">
        <v>748</v>
      </c>
      <c r="K67" s="3">
        <f t="shared" si="0"/>
        <v>2019</v>
      </c>
      <c r="L67" s="130">
        <f t="shared" si="1"/>
        <v>2019.1666666666667</v>
      </c>
      <c r="M67" s="139">
        <v>5929.6</v>
      </c>
      <c r="N67" s="139">
        <f t="shared" si="2"/>
        <v>5929.6</v>
      </c>
      <c r="O67" s="139">
        <f t="shared" si="3"/>
        <v>41.177777777777784</v>
      </c>
      <c r="P67" s="139">
        <f t="shared" si="4"/>
        <v>494.13333333333344</v>
      </c>
      <c r="Q67" s="342">
        <f t="shared" si="6"/>
        <v>0</v>
      </c>
      <c r="R67" s="341"/>
      <c r="S67" s="342">
        <f t="shared" si="5"/>
        <v>5929.6</v>
      </c>
      <c r="T67" s="139">
        <f t="shared" si="7"/>
        <v>5929.6</v>
      </c>
      <c r="U67" s="139">
        <f t="shared" si="8"/>
        <v>0</v>
      </c>
      <c r="V67" s="11">
        <f t="shared" si="9"/>
        <v>0</v>
      </c>
    </row>
    <row r="68" spans="3:22" ht="12" customHeight="1">
      <c r="D68" s="20">
        <v>12</v>
      </c>
      <c r="E68" s="3" t="s">
        <v>148</v>
      </c>
      <c r="F68" s="3">
        <v>2008</v>
      </c>
      <c r="G68" s="3">
        <v>10</v>
      </c>
      <c r="H68" s="3">
        <v>0</v>
      </c>
      <c r="I68" s="3" t="s">
        <v>52</v>
      </c>
      <c r="J68" s="131">
        <v>10</v>
      </c>
      <c r="K68" s="3">
        <f t="shared" si="0"/>
        <v>2018</v>
      </c>
      <c r="L68" s="130">
        <f t="shared" si="1"/>
        <v>2018.8333333333333</v>
      </c>
      <c r="M68" s="139">
        <f>990.08+4950.4</f>
        <v>5940.48</v>
      </c>
      <c r="N68" s="139">
        <f t="shared" si="2"/>
        <v>5940.48</v>
      </c>
      <c r="O68" s="139">
        <f t="shared" si="3"/>
        <v>49.503999999999998</v>
      </c>
      <c r="P68" s="139">
        <f t="shared" si="4"/>
        <v>594.048</v>
      </c>
      <c r="Q68" s="342">
        <f t="shared" si="6"/>
        <v>0</v>
      </c>
      <c r="R68" s="341"/>
      <c r="S68" s="342">
        <f t="shared" si="5"/>
        <v>5940.48</v>
      </c>
      <c r="T68" s="139">
        <f t="shared" si="7"/>
        <v>5940.48</v>
      </c>
      <c r="U68" s="139">
        <f t="shared" si="8"/>
        <v>0</v>
      </c>
      <c r="V68" s="11">
        <f t="shared" si="9"/>
        <v>0</v>
      </c>
    </row>
    <row r="69" spans="3:22" ht="12" customHeight="1">
      <c r="D69" s="20">
        <v>7</v>
      </c>
      <c r="E69" s="3" t="s">
        <v>162</v>
      </c>
      <c r="F69" s="3">
        <v>2008</v>
      </c>
      <c r="G69" s="3">
        <v>10</v>
      </c>
      <c r="H69" s="3">
        <v>0</v>
      </c>
      <c r="I69" s="3" t="s">
        <v>52</v>
      </c>
      <c r="J69" s="131">
        <v>10</v>
      </c>
      <c r="K69" s="3">
        <f t="shared" si="0"/>
        <v>2018</v>
      </c>
      <c r="L69" s="130">
        <f t="shared" si="1"/>
        <v>2018.8333333333333</v>
      </c>
      <c r="M69" s="139">
        <f>3655.68</f>
        <v>3655.68</v>
      </c>
      <c r="N69" s="139">
        <f t="shared" si="2"/>
        <v>3655.68</v>
      </c>
      <c r="O69" s="139">
        <f t="shared" si="3"/>
        <v>30.463999999999999</v>
      </c>
      <c r="P69" s="139">
        <f t="shared" si="4"/>
        <v>365.56799999999998</v>
      </c>
      <c r="Q69" s="342">
        <f t="shared" si="6"/>
        <v>0</v>
      </c>
      <c r="R69" s="341"/>
      <c r="S69" s="342">
        <f t="shared" si="5"/>
        <v>3655.68</v>
      </c>
      <c r="T69" s="139">
        <f t="shared" si="7"/>
        <v>3655.68</v>
      </c>
      <c r="U69" s="139">
        <f t="shared" si="8"/>
        <v>0</v>
      </c>
      <c r="V69" s="11">
        <f t="shared" si="9"/>
        <v>0</v>
      </c>
    </row>
    <row r="70" spans="3:22" ht="12" customHeight="1">
      <c r="D70" s="20">
        <v>30</v>
      </c>
      <c r="E70" s="3" t="s">
        <v>103</v>
      </c>
      <c r="F70" s="3">
        <v>2008</v>
      </c>
      <c r="G70" s="3">
        <v>3</v>
      </c>
      <c r="H70" s="3">
        <v>0</v>
      </c>
      <c r="I70" s="3" t="s">
        <v>52</v>
      </c>
      <c r="J70" s="131">
        <v>10</v>
      </c>
      <c r="K70" s="3">
        <f t="shared" si="0"/>
        <v>2018</v>
      </c>
      <c r="L70" s="130">
        <f t="shared" si="1"/>
        <v>2018.25</v>
      </c>
      <c r="M70" s="139">
        <v>14100.48</v>
      </c>
      <c r="N70" s="139">
        <f t="shared" si="2"/>
        <v>14100.48</v>
      </c>
      <c r="O70" s="139">
        <f t="shared" si="3"/>
        <v>117.504</v>
      </c>
      <c r="P70" s="139">
        <f t="shared" si="4"/>
        <v>1410.048</v>
      </c>
      <c r="Q70" s="342">
        <f t="shared" si="6"/>
        <v>0</v>
      </c>
      <c r="R70" s="341"/>
      <c r="S70" s="342">
        <f t="shared" si="5"/>
        <v>14100.48</v>
      </c>
      <c r="T70" s="139">
        <f t="shared" si="7"/>
        <v>14100.48</v>
      </c>
      <c r="U70" s="139">
        <f t="shared" si="8"/>
        <v>0</v>
      </c>
      <c r="V70" s="11">
        <f t="shared" si="9"/>
        <v>0</v>
      </c>
    </row>
    <row r="71" spans="3:22" ht="12" customHeight="1">
      <c r="D71" s="20">
        <v>13</v>
      </c>
      <c r="E71" s="3" t="s">
        <v>103</v>
      </c>
      <c r="F71" s="3">
        <v>2008</v>
      </c>
      <c r="G71" s="3">
        <v>10</v>
      </c>
      <c r="H71" s="3">
        <v>0</v>
      </c>
      <c r="I71" s="3" t="s">
        <v>52</v>
      </c>
      <c r="J71" s="131">
        <v>10</v>
      </c>
      <c r="K71" s="3">
        <f t="shared" si="0"/>
        <v>2018</v>
      </c>
      <c r="L71" s="130">
        <f t="shared" si="1"/>
        <v>2018.8333333333333</v>
      </c>
      <c r="M71" s="139">
        <v>7468.03</v>
      </c>
      <c r="N71" s="139">
        <f t="shared" si="2"/>
        <v>7468.03</v>
      </c>
      <c r="O71" s="139">
        <f t="shared" si="3"/>
        <v>62.233583333333335</v>
      </c>
      <c r="P71" s="139">
        <f t="shared" si="4"/>
        <v>746.803</v>
      </c>
      <c r="Q71" s="342">
        <f t="shared" si="6"/>
        <v>0</v>
      </c>
      <c r="R71" s="341"/>
      <c r="S71" s="342">
        <f t="shared" si="5"/>
        <v>7468.03</v>
      </c>
      <c r="T71" s="139">
        <f t="shared" si="7"/>
        <v>7468.03</v>
      </c>
      <c r="U71" s="139">
        <f t="shared" si="8"/>
        <v>0</v>
      </c>
      <c r="V71" s="11">
        <f t="shared" si="9"/>
        <v>0</v>
      </c>
    </row>
    <row r="72" spans="3:22" ht="12" customHeight="1">
      <c r="D72" s="20">
        <v>5</v>
      </c>
      <c r="E72" s="3" t="s">
        <v>149</v>
      </c>
      <c r="F72" s="3">
        <v>2008</v>
      </c>
      <c r="G72" s="3">
        <v>9</v>
      </c>
      <c r="H72" s="3">
        <v>0</v>
      </c>
      <c r="I72" s="3" t="s">
        <v>52</v>
      </c>
      <c r="J72" s="131">
        <v>10</v>
      </c>
      <c r="K72" s="3">
        <f t="shared" si="0"/>
        <v>2018</v>
      </c>
      <c r="L72" s="130">
        <f t="shared" si="1"/>
        <v>2018.75</v>
      </c>
      <c r="M72" s="139">
        <v>3726.4</v>
      </c>
      <c r="N72" s="139">
        <f t="shared" si="2"/>
        <v>3726.4</v>
      </c>
      <c r="O72" s="139">
        <f t="shared" si="3"/>
        <v>31.053333333333331</v>
      </c>
      <c r="P72" s="139">
        <f t="shared" si="4"/>
        <v>372.64</v>
      </c>
      <c r="Q72" s="342">
        <f t="shared" si="6"/>
        <v>0</v>
      </c>
      <c r="R72" s="341"/>
      <c r="S72" s="342">
        <f t="shared" si="5"/>
        <v>3726.4</v>
      </c>
      <c r="T72" s="139">
        <f t="shared" si="7"/>
        <v>3726.4</v>
      </c>
      <c r="U72" s="139">
        <f t="shared" si="8"/>
        <v>0</v>
      </c>
      <c r="V72" s="11">
        <f t="shared" si="9"/>
        <v>0</v>
      </c>
    </row>
    <row r="73" spans="3:22" ht="12" customHeight="1">
      <c r="D73" s="20">
        <v>10</v>
      </c>
      <c r="E73" s="3" t="s">
        <v>104</v>
      </c>
      <c r="F73" s="3">
        <v>2008</v>
      </c>
      <c r="G73" s="3">
        <v>3</v>
      </c>
      <c r="H73" s="3">
        <v>0</v>
      </c>
      <c r="I73" s="3" t="s">
        <v>52</v>
      </c>
      <c r="J73" s="131">
        <v>10</v>
      </c>
      <c r="K73" s="3">
        <f t="shared" si="0"/>
        <v>2018</v>
      </c>
      <c r="L73" s="130">
        <f t="shared" si="1"/>
        <v>2018.25</v>
      </c>
      <c r="M73" s="139">
        <v>8051.2</v>
      </c>
      <c r="N73" s="139">
        <f t="shared" si="2"/>
        <v>8051.2</v>
      </c>
      <c r="O73" s="139">
        <f t="shared" si="3"/>
        <v>67.093333333333334</v>
      </c>
      <c r="P73" s="139">
        <f t="shared" si="4"/>
        <v>805.12</v>
      </c>
      <c r="Q73" s="342">
        <f t="shared" si="6"/>
        <v>0</v>
      </c>
      <c r="R73" s="341"/>
      <c r="S73" s="342">
        <f t="shared" si="5"/>
        <v>8051.2</v>
      </c>
      <c r="T73" s="139">
        <f t="shared" si="7"/>
        <v>8051.2</v>
      </c>
      <c r="U73" s="139">
        <f t="shared" si="8"/>
        <v>0</v>
      </c>
      <c r="V73" s="11">
        <f t="shared" si="9"/>
        <v>0</v>
      </c>
    </row>
    <row r="74" spans="3:22" ht="12" customHeight="1">
      <c r="D74" s="20">
        <v>5</v>
      </c>
      <c r="E74" s="3" t="s">
        <v>104</v>
      </c>
      <c r="F74" s="3">
        <v>2008</v>
      </c>
      <c r="G74" s="3">
        <v>9</v>
      </c>
      <c r="H74" s="3">
        <v>0</v>
      </c>
      <c r="I74" s="3" t="s">
        <v>52</v>
      </c>
      <c r="J74" s="131">
        <v>10</v>
      </c>
      <c r="K74" s="3">
        <f t="shared" si="0"/>
        <v>2018</v>
      </c>
      <c r="L74" s="130">
        <f t="shared" si="1"/>
        <v>2018.75</v>
      </c>
      <c r="M74" s="139">
        <v>4977.6000000000004</v>
      </c>
      <c r="N74" s="139">
        <f t="shared" si="2"/>
        <v>4977.6000000000004</v>
      </c>
      <c r="O74" s="139">
        <f t="shared" si="3"/>
        <v>41.480000000000004</v>
      </c>
      <c r="P74" s="139">
        <f t="shared" si="4"/>
        <v>497.76000000000005</v>
      </c>
      <c r="Q74" s="342">
        <f t="shared" si="6"/>
        <v>0</v>
      </c>
      <c r="R74" s="341"/>
      <c r="S74" s="342">
        <f t="shared" si="5"/>
        <v>4977.6000000000004</v>
      </c>
      <c r="T74" s="139">
        <f t="shared" si="7"/>
        <v>4977.6000000000004</v>
      </c>
      <c r="U74" s="139">
        <f t="shared" si="8"/>
        <v>0</v>
      </c>
      <c r="V74" s="11">
        <f t="shared" si="9"/>
        <v>0</v>
      </c>
    </row>
    <row r="75" spans="3:22">
      <c r="Q75" s="342">
        <f t="shared" si="6"/>
        <v>0</v>
      </c>
      <c r="R75" s="341"/>
      <c r="S75" s="342">
        <f t="shared" si="5"/>
        <v>0</v>
      </c>
      <c r="T75" s="139">
        <f t="shared" si="7"/>
        <v>0</v>
      </c>
    </row>
    <row r="76" spans="3:22" ht="12" customHeight="1">
      <c r="D76" s="20">
        <v>3</v>
      </c>
      <c r="E76" s="3" t="s">
        <v>463</v>
      </c>
      <c r="F76" s="3">
        <v>2008</v>
      </c>
      <c r="G76" s="3">
        <v>10</v>
      </c>
      <c r="H76" s="3">
        <v>0</v>
      </c>
      <c r="I76" s="3" t="s">
        <v>52</v>
      </c>
      <c r="J76" s="131">
        <v>10</v>
      </c>
      <c r="K76" s="3">
        <f t="shared" ref="K76:K138" si="10">F76+J76</f>
        <v>2018</v>
      </c>
      <c r="L76" s="130">
        <f t="shared" ref="L76:L138" si="11">+K76+(G76/12)</f>
        <v>2018.8333333333333</v>
      </c>
      <c r="M76" s="139">
        <v>1566.72</v>
      </c>
      <c r="N76" s="139">
        <f t="shared" ref="N76:N138" si="12">M76-M76*H76</f>
        <v>1566.72</v>
      </c>
      <c r="O76" s="139">
        <f t="shared" ref="O76:O138" si="13">N76/J76/12</f>
        <v>13.055999999999999</v>
      </c>
      <c r="P76" s="139">
        <f t="shared" ref="P76:P138" si="14">+O76*12</f>
        <v>156.672</v>
      </c>
      <c r="Q76" s="342">
        <f t="shared" si="6"/>
        <v>0</v>
      </c>
      <c r="R76" s="341"/>
      <c r="S76" s="342">
        <f t="shared" ref="S76:S139" si="15">+IF($L76&lt;=$N$7,$M76,IF(($F76+($G76/12))&gt;=$N$7,0,((($N76-((($L76-$N$7)*12)*$O76))))))</f>
        <v>1566.72</v>
      </c>
      <c r="T76" s="139">
        <f t="shared" si="7"/>
        <v>1566.72</v>
      </c>
      <c r="U76" s="139">
        <f t="shared" ref="U76:U139" si="16">M76-T76</f>
        <v>0</v>
      </c>
      <c r="V76" s="11">
        <f t="shared" si="9"/>
        <v>0</v>
      </c>
    </row>
    <row r="77" spans="3:22" ht="12" customHeight="1">
      <c r="C77" s="20">
        <v>173261</v>
      </c>
      <c r="D77" s="20">
        <v>5</v>
      </c>
      <c r="E77" s="3" t="s">
        <v>469</v>
      </c>
      <c r="F77" s="3">
        <v>2008</v>
      </c>
      <c r="G77" s="3">
        <v>10</v>
      </c>
      <c r="H77" s="3">
        <v>0</v>
      </c>
      <c r="I77" s="3" t="s">
        <v>52</v>
      </c>
      <c r="J77" s="131">
        <v>10</v>
      </c>
      <c r="K77" s="3">
        <f t="shared" si="10"/>
        <v>2018</v>
      </c>
      <c r="L77" s="130">
        <f t="shared" si="11"/>
        <v>2018.8333333333333</v>
      </c>
      <c r="M77" s="139">
        <v>2872.32</v>
      </c>
      <c r="N77" s="139">
        <f t="shared" si="12"/>
        <v>2872.32</v>
      </c>
      <c r="O77" s="139">
        <f t="shared" si="13"/>
        <v>23.936000000000003</v>
      </c>
      <c r="P77" s="139">
        <f t="shared" si="14"/>
        <v>287.23200000000003</v>
      </c>
      <c r="Q77" s="342">
        <f t="shared" ref="Q77:Q140" si="17">IF(L77&lt;=$N$6,0,P77)</f>
        <v>0</v>
      </c>
      <c r="R77" s="341"/>
      <c r="S77" s="342">
        <f t="shared" si="15"/>
        <v>2872.32</v>
      </c>
      <c r="T77" s="139">
        <f t="shared" ref="T77:T140" si="18">IF(L77&lt;=$N$6,M77,Q77+S77)</f>
        <v>2872.32</v>
      </c>
      <c r="U77" s="139">
        <f t="shared" si="16"/>
        <v>0</v>
      </c>
      <c r="V77" s="11">
        <f t="shared" si="9"/>
        <v>0</v>
      </c>
    </row>
    <row r="78" spans="3:22" ht="12" customHeight="1">
      <c r="C78" s="20">
        <v>173255</v>
      </c>
      <c r="D78" s="20">
        <v>2</v>
      </c>
      <c r="E78" s="3" t="s">
        <v>470</v>
      </c>
      <c r="F78" s="3">
        <v>2008</v>
      </c>
      <c r="G78" s="3">
        <v>9</v>
      </c>
      <c r="H78" s="3">
        <v>0</v>
      </c>
      <c r="I78" s="3" t="s">
        <v>52</v>
      </c>
      <c r="J78" s="131">
        <v>10</v>
      </c>
      <c r="K78" s="3">
        <f t="shared" si="10"/>
        <v>2018</v>
      </c>
      <c r="L78" s="130">
        <f t="shared" si="11"/>
        <v>2018.75</v>
      </c>
      <c r="M78" s="139">
        <v>1490.56</v>
      </c>
      <c r="N78" s="139">
        <f t="shared" si="12"/>
        <v>1490.56</v>
      </c>
      <c r="O78" s="139">
        <f t="shared" si="13"/>
        <v>12.421333333333331</v>
      </c>
      <c r="P78" s="139">
        <f t="shared" si="14"/>
        <v>149.05599999999998</v>
      </c>
      <c r="Q78" s="342">
        <f t="shared" si="17"/>
        <v>0</v>
      </c>
      <c r="R78" s="341"/>
      <c r="S78" s="342">
        <f t="shared" si="15"/>
        <v>1490.56</v>
      </c>
      <c r="T78" s="139">
        <f t="shared" si="18"/>
        <v>1490.56</v>
      </c>
      <c r="U78" s="139">
        <f t="shared" si="16"/>
        <v>0</v>
      </c>
      <c r="V78" s="11">
        <f t="shared" si="9"/>
        <v>0</v>
      </c>
    </row>
    <row r="79" spans="3:22" ht="12" customHeight="1">
      <c r="C79" s="20">
        <v>173256</v>
      </c>
      <c r="D79" s="20">
        <v>2</v>
      </c>
      <c r="E79" s="3" t="s">
        <v>466</v>
      </c>
      <c r="F79" s="3">
        <v>2008</v>
      </c>
      <c r="G79" s="3">
        <v>9</v>
      </c>
      <c r="H79" s="3">
        <v>0</v>
      </c>
      <c r="I79" s="3" t="s">
        <v>52</v>
      </c>
      <c r="J79" s="131">
        <v>10</v>
      </c>
      <c r="K79" s="3">
        <f t="shared" si="10"/>
        <v>2018</v>
      </c>
      <c r="L79" s="130">
        <f t="shared" si="11"/>
        <v>2018.75</v>
      </c>
      <c r="M79" s="139">
        <v>1991.04</v>
      </c>
      <c r="N79" s="139">
        <f t="shared" si="12"/>
        <v>1991.04</v>
      </c>
      <c r="O79" s="139">
        <f t="shared" si="13"/>
        <v>16.591999999999999</v>
      </c>
      <c r="P79" s="139">
        <f t="shared" si="14"/>
        <v>199.10399999999998</v>
      </c>
      <c r="Q79" s="342">
        <f t="shared" si="17"/>
        <v>0</v>
      </c>
      <c r="R79" s="341"/>
      <c r="S79" s="342">
        <f t="shared" si="15"/>
        <v>1991.04</v>
      </c>
      <c r="T79" s="139">
        <f t="shared" si="18"/>
        <v>1991.04</v>
      </c>
      <c r="U79" s="139">
        <f t="shared" si="16"/>
        <v>0</v>
      </c>
      <c r="V79" s="11">
        <f t="shared" si="9"/>
        <v>0</v>
      </c>
    </row>
    <row r="80" spans="3:22" ht="12" customHeight="1">
      <c r="C80" s="20">
        <v>173251</v>
      </c>
      <c r="D80" s="20">
        <v>30</v>
      </c>
      <c r="E80" s="3" t="s">
        <v>326</v>
      </c>
      <c r="F80" s="3">
        <v>2008</v>
      </c>
      <c r="G80" s="3">
        <v>1</v>
      </c>
      <c r="H80" s="3">
        <v>0</v>
      </c>
      <c r="I80" s="3" t="s">
        <v>52</v>
      </c>
      <c r="J80" s="131">
        <v>12</v>
      </c>
      <c r="K80" s="3">
        <f t="shared" si="10"/>
        <v>2020</v>
      </c>
      <c r="L80" s="130">
        <f t="shared" si="11"/>
        <v>2020.0833333333333</v>
      </c>
      <c r="M80" s="139">
        <v>14100.48</v>
      </c>
      <c r="N80" s="139">
        <f t="shared" si="12"/>
        <v>14100.48</v>
      </c>
      <c r="O80" s="139">
        <f t="shared" si="13"/>
        <v>97.92</v>
      </c>
      <c r="P80" s="139">
        <f t="shared" si="14"/>
        <v>1175.04</v>
      </c>
      <c r="Q80" s="342">
        <f t="shared" si="17"/>
        <v>0</v>
      </c>
      <c r="R80" s="341"/>
      <c r="S80" s="342">
        <f t="shared" si="15"/>
        <v>14100.48</v>
      </c>
      <c r="T80" s="139">
        <f t="shared" si="18"/>
        <v>14100.48</v>
      </c>
      <c r="U80" s="139">
        <f t="shared" si="16"/>
        <v>0</v>
      </c>
      <c r="V80" s="11">
        <f t="shared" si="9"/>
        <v>0</v>
      </c>
    </row>
    <row r="81" spans="3:22" ht="12" customHeight="1">
      <c r="C81" s="20">
        <v>55948</v>
      </c>
      <c r="D81" s="20">
        <v>25</v>
      </c>
      <c r="E81" s="3" t="s">
        <v>688</v>
      </c>
      <c r="F81" s="3">
        <v>2008</v>
      </c>
      <c r="G81" s="3">
        <v>1</v>
      </c>
      <c r="H81" s="3">
        <v>0</v>
      </c>
      <c r="I81" s="3" t="s">
        <v>52</v>
      </c>
      <c r="J81" s="131" t="s">
        <v>748</v>
      </c>
      <c r="K81" s="3">
        <f t="shared" si="10"/>
        <v>2020</v>
      </c>
      <c r="L81" s="130">
        <f t="shared" si="11"/>
        <v>2020.0833333333333</v>
      </c>
      <c r="M81" s="139">
        <v>10771</v>
      </c>
      <c r="N81" s="139">
        <f t="shared" si="12"/>
        <v>10771</v>
      </c>
      <c r="O81" s="139">
        <f t="shared" si="13"/>
        <v>74.798611111111114</v>
      </c>
      <c r="P81" s="139">
        <f t="shared" si="14"/>
        <v>897.58333333333337</v>
      </c>
      <c r="Q81" s="342">
        <f t="shared" si="17"/>
        <v>0</v>
      </c>
      <c r="R81" s="341"/>
      <c r="S81" s="342">
        <f t="shared" si="15"/>
        <v>10771</v>
      </c>
      <c r="T81" s="139">
        <f t="shared" si="18"/>
        <v>10771</v>
      </c>
      <c r="U81" s="139">
        <f t="shared" si="16"/>
        <v>0</v>
      </c>
      <c r="V81" s="11">
        <f t="shared" si="9"/>
        <v>0</v>
      </c>
    </row>
    <row r="82" spans="3:22" ht="12" customHeight="1">
      <c r="C82" s="20">
        <v>56571</v>
      </c>
      <c r="D82" s="20">
        <v>2</v>
      </c>
      <c r="E82" s="3" t="s">
        <v>689</v>
      </c>
      <c r="F82" s="3">
        <v>2008</v>
      </c>
      <c r="G82" s="3">
        <v>3</v>
      </c>
      <c r="H82" s="3">
        <v>0</v>
      </c>
      <c r="I82" s="3" t="s">
        <v>52</v>
      </c>
      <c r="J82" s="131" t="s">
        <v>748</v>
      </c>
      <c r="K82" s="3">
        <f t="shared" si="10"/>
        <v>2020</v>
      </c>
      <c r="L82" s="130">
        <f t="shared" si="11"/>
        <v>2020.25</v>
      </c>
      <c r="M82" s="139">
        <v>10759.32</v>
      </c>
      <c r="N82" s="139">
        <f t="shared" si="12"/>
        <v>10759.32</v>
      </c>
      <c r="O82" s="139">
        <f t="shared" si="13"/>
        <v>74.717500000000001</v>
      </c>
      <c r="P82" s="139">
        <f t="shared" si="14"/>
        <v>896.61</v>
      </c>
      <c r="Q82" s="342">
        <f t="shared" si="17"/>
        <v>0</v>
      </c>
      <c r="R82" s="341"/>
      <c r="S82" s="342">
        <f t="shared" si="15"/>
        <v>10759.32</v>
      </c>
      <c r="T82" s="139">
        <f t="shared" si="18"/>
        <v>10759.32</v>
      </c>
      <c r="U82" s="139">
        <f t="shared" si="16"/>
        <v>0</v>
      </c>
      <c r="V82" s="11">
        <f t="shared" si="9"/>
        <v>0</v>
      </c>
    </row>
    <row r="83" spans="3:22" ht="12" customHeight="1">
      <c r="C83" s="20">
        <v>56643</v>
      </c>
      <c r="D83" s="20">
        <v>3</v>
      </c>
      <c r="E83" s="3" t="s">
        <v>689</v>
      </c>
      <c r="F83" s="3">
        <v>2008</v>
      </c>
      <c r="G83" s="3">
        <v>3</v>
      </c>
      <c r="H83" s="3">
        <v>0</v>
      </c>
      <c r="I83" s="3" t="s">
        <v>52</v>
      </c>
      <c r="J83" s="131" t="s">
        <v>748</v>
      </c>
      <c r="K83" s="3">
        <f t="shared" si="10"/>
        <v>2020</v>
      </c>
      <c r="L83" s="130">
        <f t="shared" si="11"/>
        <v>2020.25</v>
      </c>
      <c r="M83" s="139">
        <v>16138.98</v>
      </c>
      <c r="N83" s="139">
        <f t="shared" si="12"/>
        <v>16138.98</v>
      </c>
      <c r="O83" s="139">
        <f t="shared" si="13"/>
        <v>112.07625</v>
      </c>
      <c r="P83" s="139">
        <f t="shared" si="14"/>
        <v>1344.915</v>
      </c>
      <c r="Q83" s="342">
        <f t="shared" si="17"/>
        <v>0</v>
      </c>
      <c r="R83" s="341"/>
      <c r="S83" s="342">
        <f t="shared" si="15"/>
        <v>16138.98</v>
      </c>
      <c r="T83" s="139">
        <f t="shared" si="18"/>
        <v>16138.98</v>
      </c>
      <c r="U83" s="139">
        <f t="shared" si="16"/>
        <v>0</v>
      </c>
      <c r="V83" s="11">
        <f t="shared" si="9"/>
        <v>0</v>
      </c>
    </row>
    <row r="84" spans="3:22" ht="12" customHeight="1">
      <c r="C84" s="20">
        <v>59451</v>
      </c>
      <c r="D84" s="20">
        <v>3</v>
      </c>
      <c r="E84" s="3" t="s">
        <v>690</v>
      </c>
      <c r="F84" s="3">
        <v>2008</v>
      </c>
      <c r="G84" s="3">
        <v>9</v>
      </c>
      <c r="H84" s="3">
        <v>0</v>
      </c>
      <c r="I84" s="3" t="s">
        <v>52</v>
      </c>
      <c r="J84" s="131" t="s">
        <v>748</v>
      </c>
      <c r="K84" s="3">
        <f t="shared" si="10"/>
        <v>2020</v>
      </c>
      <c r="L84" s="130">
        <f t="shared" si="11"/>
        <v>2020.75</v>
      </c>
      <c r="M84" s="139">
        <v>2235.84</v>
      </c>
      <c r="N84" s="139">
        <f t="shared" si="12"/>
        <v>2235.84</v>
      </c>
      <c r="O84" s="139">
        <f t="shared" si="13"/>
        <v>15.526666666666669</v>
      </c>
      <c r="P84" s="139">
        <f t="shared" si="14"/>
        <v>186.32000000000002</v>
      </c>
      <c r="Q84" s="342">
        <f t="shared" si="17"/>
        <v>0</v>
      </c>
      <c r="R84" s="341"/>
      <c r="S84" s="342">
        <f t="shared" si="15"/>
        <v>2235.84</v>
      </c>
      <c r="T84" s="139">
        <f t="shared" si="18"/>
        <v>2235.84</v>
      </c>
      <c r="U84" s="139">
        <f t="shared" si="16"/>
        <v>0</v>
      </c>
      <c r="V84" s="11">
        <f t="shared" si="9"/>
        <v>0</v>
      </c>
    </row>
    <row r="85" spans="3:22" ht="12" customHeight="1">
      <c r="C85" s="20">
        <v>59452</v>
      </c>
      <c r="D85" s="20">
        <v>3</v>
      </c>
      <c r="E85" s="3" t="s">
        <v>691</v>
      </c>
      <c r="F85" s="3">
        <v>2008</v>
      </c>
      <c r="G85" s="3">
        <v>9</v>
      </c>
      <c r="H85" s="3">
        <v>0</v>
      </c>
      <c r="I85" s="3" t="s">
        <v>52</v>
      </c>
      <c r="J85" s="131" t="s">
        <v>748</v>
      </c>
      <c r="K85" s="3">
        <f t="shared" si="10"/>
        <v>2020</v>
      </c>
      <c r="L85" s="130">
        <f t="shared" si="11"/>
        <v>2020.75</v>
      </c>
      <c r="M85" s="139">
        <v>2986.56</v>
      </c>
      <c r="N85" s="139">
        <f t="shared" si="12"/>
        <v>2986.56</v>
      </c>
      <c r="O85" s="139">
        <f t="shared" si="13"/>
        <v>20.74</v>
      </c>
      <c r="P85" s="139">
        <f t="shared" si="14"/>
        <v>248.88</v>
      </c>
      <c r="Q85" s="342">
        <f t="shared" si="17"/>
        <v>0</v>
      </c>
      <c r="R85" s="341"/>
      <c r="S85" s="342">
        <f t="shared" si="15"/>
        <v>2986.56</v>
      </c>
      <c r="T85" s="139">
        <f t="shared" si="18"/>
        <v>2986.56</v>
      </c>
      <c r="U85" s="139">
        <f t="shared" si="16"/>
        <v>0</v>
      </c>
      <c r="V85" s="11">
        <f t="shared" si="9"/>
        <v>0</v>
      </c>
    </row>
    <row r="86" spans="3:22" ht="12" customHeight="1">
      <c r="C86" s="20">
        <v>60153</v>
      </c>
      <c r="D86" s="20">
        <v>5</v>
      </c>
      <c r="E86" s="3" t="s">
        <v>692</v>
      </c>
      <c r="F86" s="3">
        <v>2008</v>
      </c>
      <c r="G86" s="3">
        <v>10</v>
      </c>
      <c r="H86" s="3">
        <v>0</v>
      </c>
      <c r="I86" s="3" t="s">
        <v>52</v>
      </c>
      <c r="J86" s="131" t="s">
        <v>748</v>
      </c>
      <c r="K86" s="3">
        <f t="shared" si="10"/>
        <v>2020</v>
      </c>
      <c r="L86" s="130">
        <f t="shared" si="11"/>
        <v>2020.8333333333333</v>
      </c>
      <c r="M86" s="139">
        <v>2611.1999999999998</v>
      </c>
      <c r="N86" s="139">
        <f t="shared" si="12"/>
        <v>2611.1999999999998</v>
      </c>
      <c r="O86" s="139">
        <f t="shared" si="13"/>
        <v>18.133333333333333</v>
      </c>
      <c r="P86" s="139">
        <f t="shared" si="14"/>
        <v>217.6</v>
      </c>
      <c r="Q86" s="342">
        <f t="shared" si="17"/>
        <v>0</v>
      </c>
      <c r="R86" s="341"/>
      <c r="S86" s="342">
        <f t="shared" si="15"/>
        <v>2611.1999999999998</v>
      </c>
      <c r="T86" s="139">
        <f t="shared" si="18"/>
        <v>2611.1999999999998</v>
      </c>
      <c r="U86" s="139">
        <f t="shared" si="16"/>
        <v>0</v>
      </c>
      <c r="V86" s="11">
        <f t="shared" si="9"/>
        <v>0</v>
      </c>
    </row>
    <row r="87" spans="3:22" ht="12" customHeight="1">
      <c r="C87" s="20">
        <v>60155</v>
      </c>
      <c r="D87" s="20">
        <v>8</v>
      </c>
      <c r="E87" s="3" t="s">
        <v>693</v>
      </c>
      <c r="F87" s="3">
        <v>2008</v>
      </c>
      <c r="G87" s="3">
        <v>10</v>
      </c>
      <c r="H87" s="3">
        <v>0</v>
      </c>
      <c r="I87" s="3" t="s">
        <v>52</v>
      </c>
      <c r="J87" s="131" t="s">
        <v>748</v>
      </c>
      <c r="K87" s="3">
        <f t="shared" si="10"/>
        <v>2020</v>
      </c>
      <c r="L87" s="130">
        <f t="shared" si="11"/>
        <v>2020.8333333333333</v>
      </c>
      <c r="M87" s="139">
        <v>3960.32</v>
      </c>
      <c r="N87" s="139">
        <f t="shared" si="12"/>
        <v>3960.32</v>
      </c>
      <c r="O87" s="139">
        <f t="shared" si="13"/>
        <v>27.502222222222226</v>
      </c>
      <c r="P87" s="139">
        <f t="shared" si="14"/>
        <v>330.0266666666667</v>
      </c>
      <c r="Q87" s="342">
        <f t="shared" si="17"/>
        <v>0</v>
      </c>
      <c r="R87" s="341"/>
      <c r="S87" s="342">
        <f t="shared" si="15"/>
        <v>3960.32</v>
      </c>
      <c r="T87" s="139">
        <f t="shared" si="18"/>
        <v>3960.32</v>
      </c>
      <c r="U87" s="139">
        <f t="shared" si="16"/>
        <v>0</v>
      </c>
      <c r="V87" s="11">
        <f t="shared" si="9"/>
        <v>0</v>
      </c>
    </row>
    <row r="88" spans="3:22" ht="12" customHeight="1">
      <c r="C88" s="20">
        <v>60156</v>
      </c>
      <c r="D88" s="20">
        <v>1</v>
      </c>
      <c r="E88" s="3" t="s">
        <v>694</v>
      </c>
      <c r="F88" s="3">
        <v>2008</v>
      </c>
      <c r="G88" s="3">
        <v>10</v>
      </c>
      <c r="H88" s="3">
        <v>0</v>
      </c>
      <c r="I88" s="3" t="s">
        <v>52</v>
      </c>
      <c r="J88" s="131" t="s">
        <v>748</v>
      </c>
      <c r="K88" s="3">
        <f t="shared" si="10"/>
        <v>2020</v>
      </c>
      <c r="L88" s="130">
        <f t="shared" si="11"/>
        <v>2020.8333333333333</v>
      </c>
      <c r="M88" s="139">
        <v>574.46</v>
      </c>
      <c r="N88" s="139">
        <f t="shared" si="12"/>
        <v>574.46</v>
      </c>
      <c r="O88" s="139">
        <f t="shared" si="13"/>
        <v>3.9893055555555557</v>
      </c>
      <c r="P88" s="139">
        <f t="shared" si="14"/>
        <v>47.87166666666667</v>
      </c>
      <c r="Q88" s="342">
        <f t="shared" si="17"/>
        <v>0</v>
      </c>
      <c r="R88" s="341"/>
      <c r="S88" s="342">
        <f t="shared" si="15"/>
        <v>574.46</v>
      </c>
      <c r="T88" s="139">
        <f t="shared" si="18"/>
        <v>574.46</v>
      </c>
      <c r="U88" s="139">
        <f t="shared" si="16"/>
        <v>0</v>
      </c>
      <c r="V88" s="11">
        <f t="shared" si="9"/>
        <v>0</v>
      </c>
    </row>
    <row r="89" spans="3:22" ht="12" customHeight="1">
      <c r="C89" s="20">
        <v>60157</v>
      </c>
      <c r="D89" s="20">
        <v>6</v>
      </c>
      <c r="E89" s="3" t="s">
        <v>695</v>
      </c>
      <c r="F89" s="3">
        <v>2008</v>
      </c>
      <c r="G89" s="3">
        <v>10</v>
      </c>
      <c r="H89" s="3">
        <v>0</v>
      </c>
      <c r="I89" s="3" t="s">
        <v>52</v>
      </c>
      <c r="J89" s="131" t="s">
        <v>748</v>
      </c>
      <c r="K89" s="3">
        <f t="shared" si="10"/>
        <v>2020</v>
      </c>
      <c r="L89" s="130">
        <f t="shared" si="11"/>
        <v>2020.8333333333333</v>
      </c>
      <c r="M89" s="139">
        <v>3446.78</v>
      </c>
      <c r="N89" s="139">
        <f t="shared" si="12"/>
        <v>3446.78</v>
      </c>
      <c r="O89" s="139">
        <f t="shared" si="13"/>
        <v>23.935972222222222</v>
      </c>
      <c r="P89" s="139">
        <f t="shared" si="14"/>
        <v>287.23166666666668</v>
      </c>
      <c r="Q89" s="342">
        <f t="shared" si="17"/>
        <v>0</v>
      </c>
      <c r="R89" s="341"/>
      <c r="S89" s="342">
        <f t="shared" si="15"/>
        <v>3446.78</v>
      </c>
      <c r="T89" s="139">
        <f t="shared" si="18"/>
        <v>3446.78</v>
      </c>
      <c r="U89" s="139">
        <f t="shared" si="16"/>
        <v>0</v>
      </c>
      <c r="V89" s="11">
        <f t="shared" si="9"/>
        <v>0</v>
      </c>
    </row>
    <row r="90" spans="3:22" ht="12" customHeight="1">
      <c r="C90" s="20">
        <v>128809</v>
      </c>
      <c r="D90" s="20">
        <v>5</v>
      </c>
      <c r="E90" s="3" t="s">
        <v>709</v>
      </c>
      <c r="F90" s="3">
        <v>2008</v>
      </c>
      <c r="G90" s="3">
        <v>11</v>
      </c>
      <c r="H90" s="3">
        <v>0</v>
      </c>
      <c r="I90" s="3" t="s">
        <v>52</v>
      </c>
      <c r="J90" s="131" t="s">
        <v>748</v>
      </c>
      <c r="K90" s="3">
        <f t="shared" si="10"/>
        <v>2020</v>
      </c>
      <c r="L90" s="130">
        <f t="shared" si="11"/>
        <v>2020.9166666666667</v>
      </c>
      <c r="M90" s="139">
        <v>452.27</v>
      </c>
      <c r="N90" s="139">
        <f t="shared" si="12"/>
        <v>452.27</v>
      </c>
      <c r="O90" s="139">
        <f t="shared" si="13"/>
        <v>3.1407638888888889</v>
      </c>
      <c r="P90" s="139">
        <f t="shared" si="14"/>
        <v>37.689166666666665</v>
      </c>
      <c r="Q90" s="342">
        <f t="shared" si="17"/>
        <v>0</v>
      </c>
      <c r="R90" s="341"/>
      <c r="S90" s="342">
        <f t="shared" si="15"/>
        <v>452.27</v>
      </c>
      <c r="T90" s="139">
        <f t="shared" si="18"/>
        <v>452.27</v>
      </c>
      <c r="U90" s="139">
        <f t="shared" si="16"/>
        <v>0</v>
      </c>
      <c r="V90" s="11">
        <f t="shared" si="9"/>
        <v>0</v>
      </c>
    </row>
    <row r="91" spans="3:22" ht="12" customHeight="1">
      <c r="C91" s="20">
        <v>173522</v>
      </c>
      <c r="D91" s="20">
        <v>20</v>
      </c>
      <c r="E91" s="3" t="s">
        <v>711</v>
      </c>
      <c r="F91" s="3">
        <v>2008</v>
      </c>
      <c r="G91" s="3">
        <v>1</v>
      </c>
      <c r="H91" s="3">
        <v>0</v>
      </c>
      <c r="I91" s="3" t="s">
        <v>52</v>
      </c>
      <c r="J91" s="131" t="s">
        <v>748</v>
      </c>
      <c r="K91" s="3">
        <f t="shared" si="10"/>
        <v>2020</v>
      </c>
      <c r="L91" s="130">
        <f t="shared" si="11"/>
        <v>2020.0833333333333</v>
      </c>
      <c r="M91" s="139">
        <v>12250.88</v>
      </c>
      <c r="N91" s="139">
        <f t="shared" si="12"/>
        <v>12250.88</v>
      </c>
      <c r="O91" s="139">
        <f t="shared" si="13"/>
        <v>85.075555555555553</v>
      </c>
      <c r="P91" s="139">
        <f t="shared" si="14"/>
        <v>1020.9066666666666</v>
      </c>
      <c r="Q91" s="342">
        <f t="shared" si="17"/>
        <v>0</v>
      </c>
      <c r="R91" s="341"/>
      <c r="S91" s="342">
        <f t="shared" si="15"/>
        <v>12250.88</v>
      </c>
      <c r="T91" s="139">
        <f t="shared" si="18"/>
        <v>12250.88</v>
      </c>
      <c r="U91" s="139">
        <f t="shared" si="16"/>
        <v>0</v>
      </c>
      <c r="V91" s="11">
        <f t="shared" si="9"/>
        <v>0</v>
      </c>
    </row>
    <row r="92" spans="3:22" ht="12" customHeight="1">
      <c r="C92" s="20">
        <v>173538</v>
      </c>
      <c r="D92" s="20">
        <v>36</v>
      </c>
      <c r="E92" s="3" t="s">
        <v>712</v>
      </c>
      <c r="F92" s="3">
        <v>2008</v>
      </c>
      <c r="G92" s="3">
        <v>7</v>
      </c>
      <c r="H92" s="3">
        <v>0</v>
      </c>
      <c r="I92" s="3" t="s">
        <v>52</v>
      </c>
      <c r="J92" s="131" t="s">
        <v>748</v>
      </c>
      <c r="K92" s="3">
        <f t="shared" si="10"/>
        <v>2020</v>
      </c>
      <c r="L92" s="130">
        <f t="shared" si="11"/>
        <v>2020.5833333333333</v>
      </c>
      <c r="M92" s="139">
        <v>26712.58</v>
      </c>
      <c r="N92" s="139">
        <f t="shared" si="12"/>
        <v>26712.58</v>
      </c>
      <c r="O92" s="139">
        <f t="shared" si="13"/>
        <v>185.50402777777779</v>
      </c>
      <c r="P92" s="139">
        <f t="shared" si="14"/>
        <v>2226.0483333333336</v>
      </c>
      <c r="Q92" s="342">
        <f t="shared" si="17"/>
        <v>0</v>
      </c>
      <c r="R92" s="341"/>
      <c r="S92" s="342">
        <f t="shared" si="15"/>
        <v>26712.58</v>
      </c>
      <c r="T92" s="139">
        <f t="shared" si="18"/>
        <v>26712.58</v>
      </c>
      <c r="U92" s="139">
        <f t="shared" si="16"/>
        <v>0</v>
      </c>
      <c r="V92" s="11">
        <f t="shared" si="9"/>
        <v>0</v>
      </c>
    </row>
    <row r="93" spans="3:22" ht="12" customHeight="1">
      <c r="D93" s="20">
        <v>40</v>
      </c>
      <c r="E93" s="3" t="s">
        <v>103</v>
      </c>
      <c r="F93" s="3">
        <v>2009</v>
      </c>
      <c r="G93" s="3">
        <v>12</v>
      </c>
      <c r="H93" s="3">
        <v>0</v>
      </c>
      <c r="I93" s="3" t="s">
        <v>52</v>
      </c>
      <c r="J93" s="131">
        <v>10</v>
      </c>
      <c r="K93" s="3">
        <f t="shared" si="10"/>
        <v>2019</v>
      </c>
      <c r="L93" s="130">
        <f t="shared" si="11"/>
        <v>2020</v>
      </c>
      <c r="M93" s="139">
        <v>20723.28</v>
      </c>
      <c r="N93" s="139">
        <f t="shared" si="12"/>
        <v>20723.28</v>
      </c>
      <c r="O93" s="139">
        <f t="shared" si="13"/>
        <v>172.69399999999999</v>
      </c>
      <c r="P93" s="139">
        <f t="shared" si="14"/>
        <v>2072.328</v>
      </c>
      <c r="Q93" s="342">
        <f t="shared" si="17"/>
        <v>0</v>
      </c>
      <c r="R93" s="341"/>
      <c r="S93" s="342">
        <f t="shared" si="15"/>
        <v>20723.28</v>
      </c>
      <c r="T93" s="139">
        <f t="shared" si="18"/>
        <v>20723.28</v>
      </c>
      <c r="U93" s="139">
        <f t="shared" si="16"/>
        <v>0</v>
      </c>
      <c r="V93" s="11">
        <f t="shared" si="9"/>
        <v>0</v>
      </c>
    </row>
    <row r="94" spans="3:22" ht="12" customHeight="1">
      <c r="D94" s="20">
        <v>40</v>
      </c>
      <c r="E94" s="3" t="s">
        <v>104</v>
      </c>
      <c r="F94" s="3">
        <v>2009</v>
      </c>
      <c r="G94" s="3">
        <v>12</v>
      </c>
      <c r="H94" s="3">
        <v>0</v>
      </c>
      <c r="I94" s="3" t="s">
        <v>52</v>
      </c>
      <c r="J94" s="131">
        <v>10</v>
      </c>
      <c r="K94" s="3">
        <f t="shared" si="10"/>
        <v>2019</v>
      </c>
      <c r="L94" s="130">
        <f t="shared" si="11"/>
        <v>2020</v>
      </c>
      <c r="M94" s="139">
        <v>34626.239999999998</v>
      </c>
      <c r="N94" s="139">
        <f t="shared" si="12"/>
        <v>34626.239999999998</v>
      </c>
      <c r="O94" s="139">
        <f t="shared" si="13"/>
        <v>288.55199999999996</v>
      </c>
      <c r="P94" s="139">
        <f t="shared" si="14"/>
        <v>3462.6239999999998</v>
      </c>
      <c r="Q94" s="342">
        <f t="shared" si="17"/>
        <v>0</v>
      </c>
      <c r="R94" s="341"/>
      <c r="S94" s="342">
        <f t="shared" si="15"/>
        <v>34626.239999999998</v>
      </c>
      <c r="T94" s="139">
        <f t="shared" si="18"/>
        <v>34626.239999999998</v>
      </c>
      <c r="U94" s="139">
        <f t="shared" si="16"/>
        <v>0</v>
      </c>
      <c r="V94" s="11">
        <f t="shared" si="9"/>
        <v>0</v>
      </c>
    </row>
    <row r="95" spans="3:22" ht="12" customHeight="1">
      <c r="D95" s="20">
        <v>30</v>
      </c>
      <c r="E95" s="3" t="s">
        <v>148</v>
      </c>
      <c r="F95" s="3">
        <v>2010</v>
      </c>
      <c r="G95" s="3">
        <v>6</v>
      </c>
      <c r="H95" s="3">
        <v>0</v>
      </c>
      <c r="I95" s="3" t="s">
        <v>52</v>
      </c>
      <c r="J95" s="131">
        <v>10</v>
      </c>
      <c r="K95" s="3">
        <f t="shared" si="10"/>
        <v>2020</v>
      </c>
      <c r="L95" s="130">
        <f t="shared" si="11"/>
        <v>2020.5</v>
      </c>
      <c r="M95" s="139">
        <f>448.13+6721.95+6273.82+0.7</f>
        <v>13444.6</v>
      </c>
      <c r="N95" s="139">
        <f t="shared" si="12"/>
        <v>13444.6</v>
      </c>
      <c r="O95" s="139">
        <f t="shared" si="13"/>
        <v>112.03833333333334</v>
      </c>
      <c r="P95" s="139">
        <f t="shared" si="14"/>
        <v>1344.46</v>
      </c>
      <c r="Q95" s="342">
        <f t="shared" si="17"/>
        <v>0</v>
      </c>
      <c r="R95" s="341"/>
      <c r="S95" s="342">
        <f t="shared" si="15"/>
        <v>13444.6</v>
      </c>
      <c r="T95" s="139">
        <f t="shared" si="18"/>
        <v>13444.6</v>
      </c>
      <c r="U95" s="139">
        <f t="shared" si="16"/>
        <v>0</v>
      </c>
      <c r="V95" s="11">
        <f t="shared" si="9"/>
        <v>0</v>
      </c>
    </row>
    <row r="96" spans="3:22" ht="12" customHeight="1">
      <c r="D96" s="20">
        <v>18</v>
      </c>
      <c r="E96" s="3" t="s">
        <v>192</v>
      </c>
      <c r="F96" s="3">
        <v>2010</v>
      </c>
      <c r="G96" s="3">
        <v>12</v>
      </c>
      <c r="H96" s="3">
        <v>0</v>
      </c>
      <c r="I96" s="3" t="s">
        <v>52</v>
      </c>
      <c r="J96" s="131">
        <v>10</v>
      </c>
      <c r="K96" s="3">
        <f t="shared" si="10"/>
        <v>2020</v>
      </c>
      <c r="L96" s="130">
        <f t="shared" si="11"/>
        <v>2021</v>
      </c>
      <c r="M96" s="139">
        <f>4131.54+4131.54</f>
        <v>8263.08</v>
      </c>
      <c r="N96" s="139">
        <f t="shared" si="12"/>
        <v>8263.08</v>
      </c>
      <c r="O96" s="139">
        <f t="shared" si="13"/>
        <v>68.858999999999995</v>
      </c>
      <c r="P96" s="139">
        <f t="shared" si="14"/>
        <v>826.30799999999999</v>
      </c>
      <c r="Q96" s="342">
        <f t="shared" si="17"/>
        <v>0</v>
      </c>
      <c r="R96" s="341"/>
      <c r="S96" s="342">
        <f t="shared" si="15"/>
        <v>8263.08</v>
      </c>
      <c r="T96" s="139">
        <f t="shared" si="18"/>
        <v>8263.08</v>
      </c>
      <c r="U96" s="139">
        <f t="shared" si="16"/>
        <v>0</v>
      </c>
      <c r="V96" s="11">
        <f t="shared" si="9"/>
        <v>0</v>
      </c>
    </row>
    <row r="97" spans="3:22" ht="12" customHeight="1">
      <c r="D97" s="20">
        <v>15</v>
      </c>
      <c r="E97" s="3" t="s">
        <v>162</v>
      </c>
      <c r="F97" s="3">
        <v>2010</v>
      </c>
      <c r="G97" s="3">
        <v>5</v>
      </c>
      <c r="H97" s="3">
        <v>0</v>
      </c>
      <c r="I97" s="3" t="s">
        <v>52</v>
      </c>
      <c r="J97" s="131">
        <v>10</v>
      </c>
      <c r="K97" s="3">
        <f t="shared" si="10"/>
        <v>2020</v>
      </c>
      <c r="L97" s="130">
        <f t="shared" si="11"/>
        <v>2020.4166666666667</v>
      </c>
      <c r="M97" s="139">
        <f>4645.25+1393.58+929.05</f>
        <v>6967.88</v>
      </c>
      <c r="N97" s="139">
        <f t="shared" si="12"/>
        <v>6967.88</v>
      </c>
      <c r="O97" s="139">
        <f t="shared" si="13"/>
        <v>58.065666666666665</v>
      </c>
      <c r="P97" s="139">
        <f t="shared" si="14"/>
        <v>696.78800000000001</v>
      </c>
      <c r="Q97" s="342">
        <f t="shared" si="17"/>
        <v>0</v>
      </c>
      <c r="R97" s="341"/>
      <c r="S97" s="342">
        <f t="shared" si="15"/>
        <v>6967.88</v>
      </c>
      <c r="T97" s="139">
        <f t="shared" si="18"/>
        <v>6967.88</v>
      </c>
      <c r="U97" s="139">
        <f t="shared" si="16"/>
        <v>0</v>
      </c>
      <c r="V97" s="11">
        <f t="shared" si="9"/>
        <v>0</v>
      </c>
    </row>
    <row r="98" spans="3:22" ht="12" customHeight="1">
      <c r="C98" s="20" t="s">
        <v>222</v>
      </c>
      <c r="D98" s="20">
        <v>10</v>
      </c>
      <c r="E98" s="3" t="s">
        <v>221</v>
      </c>
      <c r="F98" s="3">
        <v>2010</v>
      </c>
      <c r="G98" s="3">
        <v>6</v>
      </c>
      <c r="H98" s="3">
        <v>0</v>
      </c>
      <c r="I98" s="3" t="s">
        <v>52</v>
      </c>
      <c r="J98" s="131">
        <v>10</v>
      </c>
      <c r="K98" s="3">
        <f t="shared" si="10"/>
        <v>2020</v>
      </c>
      <c r="L98" s="130">
        <f t="shared" si="11"/>
        <v>2020.5</v>
      </c>
      <c r="M98" s="139">
        <v>5027.8</v>
      </c>
      <c r="N98" s="139">
        <f t="shared" si="12"/>
        <v>5027.8</v>
      </c>
      <c r="O98" s="139">
        <f t="shared" si="13"/>
        <v>41.898333333333333</v>
      </c>
      <c r="P98" s="139">
        <f t="shared" si="14"/>
        <v>502.78</v>
      </c>
      <c r="Q98" s="342">
        <f t="shared" si="17"/>
        <v>0</v>
      </c>
      <c r="R98" s="341"/>
      <c r="S98" s="342">
        <f t="shared" si="15"/>
        <v>5027.8</v>
      </c>
      <c r="T98" s="139">
        <f t="shared" si="18"/>
        <v>5027.8</v>
      </c>
      <c r="U98" s="139">
        <f t="shared" si="16"/>
        <v>0</v>
      </c>
      <c r="V98" s="11">
        <f t="shared" si="9"/>
        <v>0</v>
      </c>
    </row>
    <row r="99" spans="3:22" ht="12" customHeight="1">
      <c r="D99" s="20">
        <v>30</v>
      </c>
      <c r="E99" s="3" t="s">
        <v>103</v>
      </c>
      <c r="F99" s="3">
        <v>2010</v>
      </c>
      <c r="G99" s="3">
        <v>5</v>
      </c>
      <c r="H99" s="3">
        <v>0</v>
      </c>
      <c r="I99" s="3" t="s">
        <v>52</v>
      </c>
      <c r="J99" s="131">
        <v>10</v>
      </c>
      <c r="K99" s="3">
        <f t="shared" si="10"/>
        <v>2020</v>
      </c>
      <c r="L99" s="130">
        <f t="shared" si="11"/>
        <v>2020.4166666666667</v>
      </c>
      <c r="M99" s="139">
        <f>2032.98+5584+508.25+7115.43</f>
        <v>15240.66</v>
      </c>
      <c r="N99" s="139">
        <f t="shared" si="12"/>
        <v>15240.66</v>
      </c>
      <c r="O99" s="139">
        <f t="shared" si="13"/>
        <v>127.0055</v>
      </c>
      <c r="P99" s="139">
        <f t="shared" si="14"/>
        <v>1524.066</v>
      </c>
      <c r="Q99" s="342">
        <f t="shared" si="17"/>
        <v>0</v>
      </c>
      <c r="R99" s="341"/>
      <c r="S99" s="342">
        <f t="shared" si="15"/>
        <v>15240.66</v>
      </c>
      <c r="T99" s="139">
        <f t="shared" si="18"/>
        <v>15240.66</v>
      </c>
      <c r="U99" s="139">
        <f t="shared" si="16"/>
        <v>0</v>
      </c>
      <c r="V99" s="11">
        <f t="shared" si="9"/>
        <v>0</v>
      </c>
    </row>
    <row r="100" spans="3:22" ht="12" customHeight="1">
      <c r="D100" s="20">
        <v>28</v>
      </c>
      <c r="E100" s="3" t="s">
        <v>193</v>
      </c>
      <c r="F100" s="3">
        <v>2010</v>
      </c>
      <c r="G100" s="3">
        <v>12</v>
      </c>
      <c r="H100" s="3">
        <v>0</v>
      </c>
      <c r="I100" s="3" t="s">
        <v>52</v>
      </c>
      <c r="J100" s="131">
        <v>10</v>
      </c>
      <c r="K100" s="3">
        <f t="shared" si="10"/>
        <v>2020</v>
      </c>
      <c r="L100" s="130">
        <f t="shared" si="11"/>
        <v>2021</v>
      </c>
      <c r="M100" s="139">
        <v>8394.24</v>
      </c>
      <c r="N100" s="139">
        <f t="shared" si="12"/>
        <v>8394.24</v>
      </c>
      <c r="O100" s="139">
        <f t="shared" si="13"/>
        <v>69.951999999999998</v>
      </c>
      <c r="P100" s="139">
        <f t="shared" si="14"/>
        <v>839.42399999999998</v>
      </c>
      <c r="Q100" s="342">
        <f t="shared" si="17"/>
        <v>0</v>
      </c>
      <c r="R100" s="341"/>
      <c r="S100" s="342">
        <f t="shared" si="15"/>
        <v>8394.24</v>
      </c>
      <c r="T100" s="139">
        <f t="shared" si="18"/>
        <v>8394.24</v>
      </c>
      <c r="U100" s="139">
        <f t="shared" si="16"/>
        <v>0</v>
      </c>
      <c r="V100" s="11">
        <f t="shared" si="9"/>
        <v>0</v>
      </c>
    </row>
    <row r="101" spans="3:22" ht="12" customHeight="1">
      <c r="D101" s="20">
        <f>14+13+9+14</f>
        <v>50</v>
      </c>
      <c r="E101" s="3" t="s">
        <v>191</v>
      </c>
      <c r="F101" s="3">
        <v>2010</v>
      </c>
      <c r="G101" s="3">
        <v>9</v>
      </c>
      <c r="H101" s="3">
        <v>0</v>
      </c>
      <c r="I101" s="3" t="s">
        <v>52</v>
      </c>
      <c r="J101" s="131">
        <v>10</v>
      </c>
      <c r="K101" s="3">
        <f t="shared" si="10"/>
        <v>2020</v>
      </c>
      <c r="L101" s="130">
        <f t="shared" si="11"/>
        <v>2020.75</v>
      </c>
      <c r="M101" s="139">
        <f>8875.16+8241.22+5705.46+8875.16</f>
        <v>31696.999999999996</v>
      </c>
      <c r="N101" s="139">
        <f t="shared" si="12"/>
        <v>31696.999999999996</v>
      </c>
      <c r="O101" s="139">
        <f t="shared" si="13"/>
        <v>264.14166666666665</v>
      </c>
      <c r="P101" s="139">
        <f t="shared" si="14"/>
        <v>3169.7</v>
      </c>
      <c r="Q101" s="342">
        <f t="shared" si="17"/>
        <v>0</v>
      </c>
      <c r="R101" s="341"/>
      <c r="S101" s="342">
        <f t="shared" si="15"/>
        <v>31696.999999999996</v>
      </c>
      <c r="T101" s="139">
        <f t="shared" si="18"/>
        <v>31696.999999999996</v>
      </c>
      <c r="U101" s="139">
        <f t="shared" si="16"/>
        <v>0</v>
      </c>
      <c r="V101" s="11">
        <f t="shared" si="9"/>
        <v>0</v>
      </c>
    </row>
    <row r="102" spans="3:22" ht="12" customHeight="1">
      <c r="C102" s="20">
        <v>173277</v>
      </c>
      <c r="D102" s="20">
        <v>10</v>
      </c>
      <c r="E102" s="3" t="s">
        <v>467</v>
      </c>
      <c r="F102" s="3">
        <v>2010</v>
      </c>
      <c r="G102" s="3">
        <v>6</v>
      </c>
      <c r="H102" s="3">
        <v>0</v>
      </c>
      <c r="I102" s="3" t="s">
        <v>52</v>
      </c>
      <c r="J102" s="131">
        <v>10</v>
      </c>
      <c r="K102" s="3">
        <f t="shared" si="10"/>
        <v>2020</v>
      </c>
      <c r="L102" s="130">
        <f t="shared" si="11"/>
        <v>2020.5</v>
      </c>
      <c r="M102" s="139">
        <v>4109.68</v>
      </c>
      <c r="N102" s="139">
        <f t="shared" si="12"/>
        <v>4109.68</v>
      </c>
      <c r="O102" s="139">
        <f t="shared" si="13"/>
        <v>34.247333333333337</v>
      </c>
      <c r="P102" s="139">
        <f t="shared" si="14"/>
        <v>410.96800000000007</v>
      </c>
      <c r="Q102" s="342">
        <f t="shared" si="17"/>
        <v>0</v>
      </c>
      <c r="R102" s="341"/>
      <c r="S102" s="342">
        <f t="shared" si="15"/>
        <v>4109.68</v>
      </c>
      <c r="T102" s="139">
        <f t="shared" si="18"/>
        <v>4109.68</v>
      </c>
      <c r="U102" s="139">
        <f t="shared" si="16"/>
        <v>0</v>
      </c>
      <c r="V102" s="11">
        <f t="shared" si="9"/>
        <v>0</v>
      </c>
    </row>
    <row r="103" spans="3:22" ht="12" customHeight="1">
      <c r="C103" s="20">
        <v>173278</v>
      </c>
      <c r="D103" s="20">
        <v>9</v>
      </c>
      <c r="E103" s="3" t="s">
        <v>463</v>
      </c>
      <c r="F103" s="3">
        <v>2010</v>
      </c>
      <c r="G103" s="3">
        <v>6</v>
      </c>
      <c r="H103" s="3">
        <v>0</v>
      </c>
      <c r="I103" s="3" t="s">
        <v>52</v>
      </c>
      <c r="J103" s="131">
        <v>10</v>
      </c>
      <c r="K103" s="3">
        <f t="shared" si="10"/>
        <v>2020</v>
      </c>
      <c r="L103" s="130">
        <f t="shared" si="11"/>
        <v>2020.5</v>
      </c>
      <c r="M103" s="139">
        <v>4033.17</v>
      </c>
      <c r="N103" s="139">
        <f t="shared" si="12"/>
        <v>4033.17</v>
      </c>
      <c r="O103" s="139">
        <f t="shared" si="13"/>
        <v>33.609749999999998</v>
      </c>
      <c r="P103" s="139">
        <f t="shared" si="14"/>
        <v>403.31700000000001</v>
      </c>
      <c r="Q103" s="342">
        <f t="shared" si="17"/>
        <v>0</v>
      </c>
      <c r="R103" s="341"/>
      <c r="S103" s="342">
        <f t="shared" si="15"/>
        <v>4033.17</v>
      </c>
      <c r="T103" s="139">
        <f t="shared" si="18"/>
        <v>4033.17</v>
      </c>
      <c r="U103" s="139">
        <f t="shared" si="16"/>
        <v>0</v>
      </c>
      <c r="V103" s="11">
        <f t="shared" si="9"/>
        <v>0</v>
      </c>
    </row>
    <row r="104" spans="3:22" ht="12" customHeight="1">
      <c r="C104" s="20" t="s">
        <v>491</v>
      </c>
      <c r="D104" s="20">
        <v>16</v>
      </c>
      <c r="E104" s="3" t="s">
        <v>466</v>
      </c>
      <c r="F104" s="3">
        <v>2010</v>
      </c>
      <c r="G104" s="3">
        <v>5</v>
      </c>
      <c r="H104" s="3">
        <v>0</v>
      </c>
      <c r="I104" s="3" t="s">
        <v>52</v>
      </c>
      <c r="J104" s="131">
        <v>10</v>
      </c>
      <c r="K104" s="3">
        <f t="shared" si="10"/>
        <v>2020</v>
      </c>
      <c r="L104" s="130">
        <f t="shared" si="11"/>
        <v>2020.4166666666667</v>
      </c>
      <c r="M104" s="139">
        <v>13640.64</v>
      </c>
      <c r="N104" s="139">
        <f t="shared" si="12"/>
        <v>13640.64</v>
      </c>
      <c r="O104" s="139">
        <f t="shared" si="13"/>
        <v>113.67199999999998</v>
      </c>
      <c r="P104" s="139">
        <f t="shared" si="14"/>
        <v>1364.0639999999999</v>
      </c>
      <c r="Q104" s="342">
        <f t="shared" si="17"/>
        <v>0</v>
      </c>
      <c r="R104" s="341"/>
      <c r="S104" s="342">
        <f t="shared" si="15"/>
        <v>13640.64</v>
      </c>
      <c r="T104" s="139">
        <f t="shared" si="18"/>
        <v>13640.64</v>
      </c>
      <c r="U104" s="139">
        <f t="shared" si="16"/>
        <v>0</v>
      </c>
      <c r="V104" s="11">
        <f t="shared" si="9"/>
        <v>0</v>
      </c>
    </row>
    <row r="105" spans="3:22" ht="12" customHeight="1">
      <c r="C105" s="20">
        <v>75235</v>
      </c>
      <c r="D105" s="20">
        <v>13</v>
      </c>
      <c r="E105" s="3" t="s">
        <v>697</v>
      </c>
      <c r="F105" s="3">
        <v>2010</v>
      </c>
      <c r="G105" s="3">
        <v>6</v>
      </c>
      <c r="H105" s="3">
        <v>0</v>
      </c>
      <c r="I105" s="3" t="s">
        <v>52</v>
      </c>
      <c r="J105" s="131" t="s">
        <v>748</v>
      </c>
      <c r="K105" s="3">
        <f t="shared" si="10"/>
        <v>2022</v>
      </c>
      <c r="L105" s="130">
        <f t="shared" si="11"/>
        <v>2022.5</v>
      </c>
      <c r="M105" s="139">
        <v>6607.19</v>
      </c>
      <c r="N105" s="139">
        <f t="shared" si="12"/>
        <v>6607.19</v>
      </c>
      <c r="O105" s="139">
        <f t="shared" si="13"/>
        <v>45.883263888888884</v>
      </c>
      <c r="P105" s="139">
        <f t="shared" si="14"/>
        <v>550.59916666666663</v>
      </c>
      <c r="Q105" s="342">
        <f t="shared" si="17"/>
        <v>0</v>
      </c>
      <c r="R105" s="341"/>
      <c r="S105" s="342">
        <f t="shared" si="15"/>
        <v>6607.19</v>
      </c>
      <c r="T105" s="139">
        <f t="shared" si="18"/>
        <v>6607.19</v>
      </c>
      <c r="U105" s="139">
        <f t="shared" si="16"/>
        <v>0</v>
      </c>
      <c r="V105" s="11">
        <f t="shared" si="9"/>
        <v>0</v>
      </c>
    </row>
    <row r="106" spans="3:22" ht="12" customHeight="1">
      <c r="C106" s="20">
        <v>75236</v>
      </c>
      <c r="D106" s="20">
        <v>7</v>
      </c>
      <c r="E106" s="3" t="s">
        <v>697</v>
      </c>
      <c r="F106" s="3">
        <v>2010</v>
      </c>
      <c r="G106" s="3">
        <v>6</v>
      </c>
      <c r="H106" s="3">
        <v>0</v>
      </c>
      <c r="I106" s="3" t="s">
        <v>52</v>
      </c>
      <c r="J106" s="131" t="s">
        <v>748</v>
      </c>
      <c r="K106" s="3">
        <f t="shared" si="10"/>
        <v>2022</v>
      </c>
      <c r="L106" s="130">
        <f t="shared" si="11"/>
        <v>2022.5</v>
      </c>
      <c r="M106" s="139">
        <v>3557.72</v>
      </c>
      <c r="N106" s="139">
        <f t="shared" si="12"/>
        <v>3557.72</v>
      </c>
      <c r="O106" s="139">
        <f t="shared" si="13"/>
        <v>24.706388888888885</v>
      </c>
      <c r="P106" s="139">
        <f t="shared" si="14"/>
        <v>296.47666666666663</v>
      </c>
      <c r="Q106" s="342">
        <f t="shared" si="17"/>
        <v>0</v>
      </c>
      <c r="R106" s="341"/>
      <c r="S106" s="342">
        <f t="shared" si="15"/>
        <v>3557.72</v>
      </c>
      <c r="T106" s="139">
        <f t="shared" si="18"/>
        <v>3557.72</v>
      </c>
      <c r="U106" s="139">
        <f t="shared" si="16"/>
        <v>0</v>
      </c>
      <c r="V106" s="11">
        <f t="shared" si="9"/>
        <v>0</v>
      </c>
    </row>
    <row r="107" spans="3:22" ht="12" customHeight="1">
      <c r="C107" s="20">
        <v>77222</v>
      </c>
      <c r="D107" s="20">
        <v>13</v>
      </c>
      <c r="E107" s="3" t="s">
        <v>698</v>
      </c>
      <c r="F107" s="3">
        <v>2010</v>
      </c>
      <c r="G107" s="3">
        <v>9</v>
      </c>
      <c r="H107" s="3">
        <v>0</v>
      </c>
      <c r="I107" s="3" t="s">
        <v>52</v>
      </c>
      <c r="J107" s="131" t="s">
        <v>748</v>
      </c>
      <c r="K107" s="3">
        <f t="shared" si="10"/>
        <v>2022</v>
      </c>
      <c r="L107" s="130">
        <f t="shared" si="11"/>
        <v>2022.75</v>
      </c>
      <c r="M107" s="139">
        <v>9804.2099999999991</v>
      </c>
      <c r="N107" s="139">
        <f t="shared" si="12"/>
        <v>9804.2099999999991</v>
      </c>
      <c r="O107" s="139">
        <f t="shared" si="13"/>
        <v>68.084791666666661</v>
      </c>
      <c r="P107" s="139">
        <f t="shared" si="14"/>
        <v>817.01749999999993</v>
      </c>
      <c r="Q107" s="342">
        <f t="shared" si="17"/>
        <v>0</v>
      </c>
      <c r="R107" s="341"/>
      <c r="S107" s="342">
        <f t="shared" si="15"/>
        <v>9804.2099999999991</v>
      </c>
      <c r="T107" s="139">
        <f t="shared" si="18"/>
        <v>9804.2099999999991</v>
      </c>
      <c r="U107" s="139">
        <f t="shared" si="16"/>
        <v>0</v>
      </c>
      <c r="V107" s="11">
        <f t="shared" si="9"/>
        <v>0</v>
      </c>
    </row>
    <row r="108" spans="3:22" ht="12" customHeight="1">
      <c r="C108" s="20">
        <v>77223</v>
      </c>
      <c r="D108" s="20">
        <v>13</v>
      </c>
      <c r="E108" s="3" t="s">
        <v>699</v>
      </c>
      <c r="F108" s="3">
        <v>2010</v>
      </c>
      <c r="G108" s="3">
        <v>9</v>
      </c>
      <c r="H108" s="3">
        <v>0</v>
      </c>
      <c r="I108" s="3" t="s">
        <v>52</v>
      </c>
      <c r="J108" s="131" t="s">
        <v>748</v>
      </c>
      <c r="K108" s="3">
        <f t="shared" si="10"/>
        <v>2022</v>
      </c>
      <c r="L108" s="130">
        <f t="shared" si="11"/>
        <v>2022.75</v>
      </c>
      <c r="M108" s="139">
        <v>9804.2099999999991</v>
      </c>
      <c r="N108" s="139">
        <f t="shared" si="12"/>
        <v>9804.2099999999991</v>
      </c>
      <c r="O108" s="139">
        <f t="shared" si="13"/>
        <v>68.084791666666661</v>
      </c>
      <c r="P108" s="139">
        <f t="shared" si="14"/>
        <v>817.01749999999993</v>
      </c>
      <c r="Q108" s="342">
        <f t="shared" si="17"/>
        <v>0</v>
      </c>
      <c r="R108" s="341"/>
      <c r="S108" s="342">
        <f t="shared" si="15"/>
        <v>9804.2099999999991</v>
      </c>
      <c r="T108" s="139">
        <f t="shared" si="18"/>
        <v>9804.2099999999991</v>
      </c>
      <c r="U108" s="139">
        <f t="shared" si="16"/>
        <v>0</v>
      </c>
      <c r="V108" s="11">
        <f t="shared" si="9"/>
        <v>0</v>
      </c>
    </row>
    <row r="109" spans="3:22" ht="12" customHeight="1">
      <c r="C109" s="20">
        <v>77224</v>
      </c>
      <c r="D109" s="20">
        <v>4</v>
      </c>
      <c r="E109" s="3" t="s">
        <v>700</v>
      </c>
      <c r="F109" s="3">
        <v>2010</v>
      </c>
      <c r="G109" s="3">
        <v>9</v>
      </c>
      <c r="H109" s="3">
        <v>0</v>
      </c>
      <c r="I109" s="3" t="s">
        <v>52</v>
      </c>
      <c r="J109" s="131" t="s">
        <v>748</v>
      </c>
      <c r="K109" s="3">
        <f t="shared" si="10"/>
        <v>2022</v>
      </c>
      <c r="L109" s="130">
        <f t="shared" si="11"/>
        <v>2022.75</v>
      </c>
      <c r="M109" s="139">
        <v>3016.68</v>
      </c>
      <c r="N109" s="139">
        <f t="shared" si="12"/>
        <v>3016.68</v>
      </c>
      <c r="O109" s="139">
        <f t="shared" si="13"/>
        <v>20.949166666666667</v>
      </c>
      <c r="P109" s="139">
        <f t="shared" si="14"/>
        <v>251.39</v>
      </c>
      <c r="Q109" s="342">
        <f t="shared" si="17"/>
        <v>0</v>
      </c>
      <c r="R109" s="341"/>
      <c r="S109" s="342">
        <f t="shared" si="15"/>
        <v>3016.68</v>
      </c>
      <c r="T109" s="139">
        <f t="shared" si="18"/>
        <v>3016.68</v>
      </c>
      <c r="U109" s="139">
        <f t="shared" si="16"/>
        <v>0</v>
      </c>
      <c r="V109" s="11">
        <f t="shared" si="9"/>
        <v>0</v>
      </c>
    </row>
    <row r="110" spans="3:22" ht="12" customHeight="1">
      <c r="C110" s="20">
        <v>173558</v>
      </c>
      <c r="D110" s="20">
        <v>4</v>
      </c>
      <c r="E110" s="3" t="s">
        <v>713</v>
      </c>
      <c r="F110" s="3">
        <v>2010</v>
      </c>
      <c r="G110" s="3">
        <v>8</v>
      </c>
      <c r="H110" s="3">
        <v>0</v>
      </c>
      <c r="I110" s="3" t="s">
        <v>52</v>
      </c>
      <c r="J110" s="131" t="s">
        <v>748</v>
      </c>
      <c r="K110" s="3">
        <f t="shared" si="10"/>
        <v>2022</v>
      </c>
      <c r="L110" s="130">
        <f t="shared" si="11"/>
        <v>2022.6666666666667</v>
      </c>
      <c r="M110" s="139">
        <v>3410.16</v>
      </c>
      <c r="N110" s="139">
        <f t="shared" si="12"/>
        <v>3410.16</v>
      </c>
      <c r="O110" s="139">
        <f t="shared" si="13"/>
        <v>23.681666666666668</v>
      </c>
      <c r="P110" s="139">
        <f t="shared" si="14"/>
        <v>284.18</v>
      </c>
      <c r="Q110" s="342">
        <f t="shared" si="17"/>
        <v>0</v>
      </c>
      <c r="R110" s="341"/>
      <c r="S110" s="342">
        <f t="shared" si="15"/>
        <v>3410.16</v>
      </c>
      <c r="T110" s="139">
        <f t="shared" si="18"/>
        <v>3410.16</v>
      </c>
      <c r="U110" s="139">
        <f t="shared" si="16"/>
        <v>0</v>
      </c>
      <c r="V110" s="11">
        <f t="shared" si="9"/>
        <v>0</v>
      </c>
    </row>
    <row r="111" spans="3:22" ht="12" customHeight="1">
      <c r="C111" s="20">
        <v>173559</v>
      </c>
      <c r="D111" s="20">
        <v>6</v>
      </c>
      <c r="E111" s="3" t="s">
        <v>713</v>
      </c>
      <c r="F111" s="3">
        <v>2010</v>
      </c>
      <c r="G111" s="3">
        <v>8</v>
      </c>
      <c r="H111" s="3">
        <v>0</v>
      </c>
      <c r="I111" s="3" t="s">
        <v>52</v>
      </c>
      <c r="J111" s="131" t="s">
        <v>748</v>
      </c>
      <c r="K111" s="3">
        <f t="shared" si="10"/>
        <v>2022</v>
      </c>
      <c r="L111" s="130">
        <f t="shared" si="11"/>
        <v>2022.6666666666667</v>
      </c>
      <c r="M111" s="139">
        <v>5115.24</v>
      </c>
      <c r="N111" s="139">
        <f t="shared" si="12"/>
        <v>5115.24</v>
      </c>
      <c r="O111" s="139">
        <f t="shared" si="13"/>
        <v>35.522500000000001</v>
      </c>
      <c r="P111" s="139">
        <f t="shared" si="14"/>
        <v>426.27</v>
      </c>
      <c r="Q111" s="342">
        <f t="shared" si="17"/>
        <v>0</v>
      </c>
      <c r="R111" s="341"/>
      <c r="S111" s="342">
        <f t="shared" si="15"/>
        <v>5115.24</v>
      </c>
      <c r="T111" s="139">
        <f t="shared" si="18"/>
        <v>5115.24</v>
      </c>
      <c r="U111" s="139">
        <f t="shared" si="16"/>
        <v>0</v>
      </c>
      <c r="V111" s="11">
        <f t="shared" si="9"/>
        <v>0</v>
      </c>
    </row>
    <row r="112" spans="3:22" ht="12" customHeight="1">
      <c r="C112" s="20">
        <v>173560</v>
      </c>
      <c r="D112" s="20">
        <v>1</v>
      </c>
      <c r="E112" s="3" t="s">
        <v>713</v>
      </c>
      <c r="F112" s="3">
        <v>2010</v>
      </c>
      <c r="G112" s="3">
        <v>8</v>
      </c>
      <c r="H112" s="3">
        <v>0</v>
      </c>
      <c r="I112" s="3" t="s">
        <v>52</v>
      </c>
      <c r="J112" s="131" t="s">
        <v>748</v>
      </c>
      <c r="K112" s="3">
        <f t="shared" si="10"/>
        <v>2022</v>
      </c>
      <c r="L112" s="130">
        <f t="shared" si="11"/>
        <v>2022.6666666666667</v>
      </c>
      <c r="M112" s="139">
        <v>852.54</v>
      </c>
      <c r="N112" s="139">
        <f t="shared" si="12"/>
        <v>852.54</v>
      </c>
      <c r="O112" s="139">
        <f t="shared" si="13"/>
        <v>5.9204166666666671</v>
      </c>
      <c r="P112" s="139">
        <f t="shared" si="14"/>
        <v>71.045000000000002</v>
      </c>
      <c r="Q112" s="342">
        <f t="shared" si="17"/>
        <v>0</v>
      </c>
      <c r="R112" s="341"/>
      <c r="S112" s="342">
        <f t="shared" si="15"/>
        <v>852.54</v>
      </c>
      <c r="T112" s="139">
        <f t="shared" si="18"/>
        <v>852.54</v>
      </c>
      <c r="U112" s="139">
        <f t="shared" si="16"/>
        <v>0</v>
      </c>
      <c r="V112" s="11">
        <f t="shared" si="9"/>
        <v>0</v>
      </c>
    </row>
    <row r="113" spans="3:22" ht="12" customHeight="1">
      <c r="C113" s="20">
        <v>173561</v>
      </c>
      <c r="D113" s="20">
        <v>9</v>
      </c>
      <c r="E113" s="3" t="s">
        <v>714</v>
      </c>
      <c r="F113" s="3">
        <v>2010</v>
      </c>
      <c r="G113" s="3">
        <v>8</v>
      </c>
      <c r="H113" s="3">
        <v>0</v>
      </c>
      <c r="I113" s="3" t="s">
        <v>52</v>
      </c>
      <c r="J113" s="131" t="s">
        <v>748</v>
      </c>
      <c r="K113" s="3">
        <f t="shared" si="10"/>
        <v>2022</v>
      </c>
      <c r="L113" s="130">
        <f t="shared" si="11"/>
        <v>2022.6666666666667</v>
      </c>
      <c r="M113" s="139">
        <v>7672.86</v>
      </c>
      <c r="N113" s="139">
        <f t="shared" si="12"/>
        <v>7672.86</v>
      </c>
      <c r="O113" s="139">
        <f t="shared" si="13"/>
        <v>53.283749999999998</v>
      </c>
      <c r="P113" s="139">
        <f t="shared" si="14"/>
        <v>639.40499999999997</v>
      </c>
      <c r="Q113" s="342">
        <f t="shared" si="17"/>
        <v>0</v>
      </c>
      <c r="R113" s="341"/>
      <c r="S113" s="342">
        <f t="shared" si="15"/>
        <v>7672.86</v>
      </c>
      <c r="T113" s="139">
        <f t="shared" si="18"/>
        <v>7672.86</v>
      </c>
      <c r="U113" s="139">
        <f t="shared" si="16"/>
        <v>0</v>
      </c>
      <c r="V113" s="11">
        <f t="shared" si="9"/>
        <v>0</v>
      </c>
    </row>
    <row r="114" spans="3:22" ht="12" customHeight="1">
      <c r="C114" s="20">
        <v>173562</v>
      </c>
      <c r="D114" s="20">
        <v>14</v>
      </c>
      <c r="E114" s="3" t="s">
        <v>715</v>
      </c>
      <c r="F114" s="3">
        <v>2010</v>
      </c>
      <c r="G114" s="3">
        <v>8</v>
      </c>
      <c r="H114" s="3">
        <v>0</v>
      </c>
      <c r="I114" s="3" t="s">
        <v>52</v>
      </c>
      <c r="J114" s="131" t="s">
        <v>748</v>
      </c>
      <c r="K114" s="3">
        <f t="shared" si="10"/>
        <v>2022</v>
      </c>
      <c r="L114" s="130">
        <f t="shared" si="11"/>
        <v>2022.6666666666667</v>
      </c>
      <c r="M114" s="139">
        <v>8875.16</v>
      </c>
      <c r="N114" s="139">
        <f t="shared" si="12"/>
        <v>8875.16</v>
      </c>
      <c r="O114" s="139">
        <f t="shared" si="13"/>
        <v>61.633055555555558</v>
      </c>
      <c r="P114" s="139">
        <f t="shared" si="14"/>
        <v>739.59666666666669</v>
      </c>
      <c r="Q114" s="342">
        <f t="shared" si="17"/>
        <v>0</v>
      </c>
      <c r="R114" s="341"/>
      <c r="S114" s="342">
        <f t="shared" si="15"/>
        <v>8875.16</v>
      </c>
      <c r="T114" s="139">
        <f t="shared" si="18"/>
        <v>8875.16</v>
      </c>
      <c r="U114" s="139">
        <f t="shared" si="16"/>
        <v>0</v>
      </c>
      <c r="V114" s="11">
        <f t="shared" si="9"/>
        <v>0</v>
      </c>
    </row>
    <row r="115" spans="3:22" ht="12" customHeight="1">
      <c r="C115" s="20">
        <v>173563</v>
      </c>
      <c r="D115" s="20">
        <v>1</v>
      </c>
      <c r="E115" s="3" t="s">
        <v>715</v>
      </c>
      <c r="F115" s="3">
        <v>2010</v>
      </c>
      <c r="G115" s="3">
        <v>8</v>
      </c>
      <c r="H115" s="3">
        <v>0</v>
      </c>
      <c r="I115" s="3" t="s">
        <v>52</v>
      </c>
      <c r="J115" s="131" t="s">
        <v>748</v>
      </c>
      <c r="K115" s="3">
        <f t="shared" si="10"/>
        <v>2022</v>
      </c>
      <c r="L115" s="130">
        <f t="shared" si="11"/>
        <v>2022.6666666666667</v>
      </c>
      <c r="M115" s="139">
        <v>633.94000000000005</v>
      </c>
      <c r="N115" s="139">
        <f t="shared" si="12"/>
        <v>633.94000000000005</v>
      </c>
      <c r="O115" s="139">
        <f t="shared" si="13"/>
        <v>4.4023611111111114</v>
      </c>
      <c r="P115" s="139">
        <f t="shared" si="14"/>
        <v>52.828333333333333</v>
      </c>
      <c r="Q115" s="342">
        <f t="shared" si="17"/>
        <v>0</v>
      </c>
      <c r="R115" s="341"/>
      <c r="S115" s="342">
        <f t="shared" si="15"/>
        <v>633.94000000000005</v>
      </c>
      <c r="T115" s="139">
        <f t="shared" si="18"/>
        <v>633.94000000000005</v>
      </c>
      <c r="U115" s="139">
        <f t="shared" si="16"/>
        <v>0</v>
      </c>
      <c r="V115" s="11">
        <f t="shared" si="9"/>
        <v>0</v>
      </c>
    </row>
    <row r="116" spans="3:22" ht="12" customHeight="1">
      <c r="D116" s="20">
        <v>12</v>
      </c>
      <c r="E116" s="3" t="s">
        <v>194</v>
      </c>
      <c r="F116" s="3">
        <v>2011</v>
      </c>
      <c r="G116" s="3">
        <v>1</v>
      </c>
      <c r="H116" s="3">
        <v>0</v>
      </c>
      <c r="I116" s="3" t="s">
        <v>52</v>
      </c>
      <c r="J116" s="131">
        <v>10</v>
      </c>
      <c r="K116" s="3">
        <f t="shared" si="10"/>
        <v>2021</v>
      </c>
      <c r="L116" s="130">
        <f t="shared" si="11"/>
        <v>2021.0833333333333</v>
      </c>
      <c r="M116" s="139">
        <f>4886+590</f>
        <v>5476</v>
      </c>
      <c r="N116" s="139">
        <f t="shared" si="12"/>
        <v>5476</v>
      </c>
      <c r="O116" s="139">
        <f t="shared" si="13"/>
        <v>45.633333333333333</v>
      </c>
      <c r="P116" s="139">
        <f t="shared" si="14"/>
        <v>547.6</v>
      </c>
      <c r="Q116" s="342">
        <f t="shared" si="17"/>
        <v>0</v>
      </c>
      <c r="R116" s="341"/>
      <c r="S116" s="342">
        <f t="shared" si="15"/>
        <v>5476</v>
      </c>
      <c r="T116" s="139">
        <f t="shared" si="18"/>
        <v>5476</v>
      </c>
      <c r="U116" s="139">
        <f t="shared" si="16"/>
        <v>0</v>
      </c>
      <c r="V116" s="11">
        <f t="shared" si="9"/>
        <v>0</v>
      </c>
    </row>
    <row r="117" spans="3:22" ht="12" customHeight="1">
      <c r="D117" s="20">
        <v>15</v>
      </c>
      <c r="E117" s="3" t="s">
        <v>162</v>
      </c>
      <c r="F117" s="3">
        <v>2011</v>
      </c>
      <c r="G117" s="3">
        <v>10</v>
      </c>
      <c r="H117" s="3">
        <v>0</v>
      </c>
      <c r="I117" s="3" t="s">
        <v>52</v>
      </c>
      <c r="J117" s="131">
        <v>10</v>
      </c>
      <c r="K117" s="3">
        <f t="shared" si="10"/>
        <v>2021</v>
      </c>
      <c r="L117" s="130">
        <f t="shared" si="11"/>
        <v>2021.8333333333333</v>
      </c>
      <c r="M117" s="139">
        <v>7295.78</v>
      </c>
      <c r="N117" s="139">
        <f t="shared" si="12"/>
        <v>7295.78</v>
      </c>
      <c r="O117" s="139">
        <f t="shared" si="13"/>
        <v>60.798166666666667</v>
      </c>
      <c r="P117" s="139">
        <f t="shared" si="14"/>
        <v>729.57799999999997</v>
      </c>
      <c r="Q117" s="342">
        <f t="shared" si="17"/>
        <v>0</v>
      </c>
      <c r="R117" s="341"/>
      <c r="S117" s="342">
        <f t="shared" si="15"/>
        <v>7295.78</v>
      </c>
      <c r="T117" s="139">
        <f t="shared" si="18"/>
        <v>7295.78</v>
      </c>
      <c r="U117" s="139">
        <f t="shared" si="16"/>
        <v>0</v>
      </c>
      <c r="V117" s="11">
        <f t="shared" si="9"/>
        <v>0</v>
      </c>
    </row>
    <row r="118" spans="3:22" ht="12" customHeight="1">
      <c r="D118" s="20">
        <v>45</v>
      </c>
      <c r="E118" s="3" t="s">
        <v>215</v>
      </c>
      <c r="F118" s="3">
        <v>2011</v>
      </c>
      <c r="G118" s="3">
        <v>6</v>
      </c>
      <c r="H118" s="3">
        <v>0</v>
      </c>
      <c r="I118" s="3" t="s">
        <v>52</v>
      </c>
      <c r="J118" s="131">
        <v>10</v>
      </c>
      <c r="K118" s="3">
        <f t="shared" si="10"/>
        <v>2021</v>
      </c>
      <c r="L118" s="130">
        <f t="shared" si="11"/>
        <v>2021.5</v>
      </c>
      <c r="M118" s="139">
        <v>35855.870000000003</v>
      </c>
      <c r="N118" s="139">
        <f t="shared" si="12"/>
        <v>35855.870000000003</v>
      </c>
      <c r="O118" s="139">
        <f t="shared" si="13"/>
        <v>298.79891666666668</v>
      </c>
      <c r="P118" s="139">
        <f t="shared" si="14"/>
        <v>3585.5870000000004</v>
      </c>
      <c r="Q118" s="342">
        <f t="shared" si="17"/>
        <v>0</v>
      </c>
      <c r="R118" s="341"/>
      <c r="S118" s="342">
        <f t="shared" si="15"/>
        <v>35855.870000000003</v>
      </c>
      <c r="T118" s="139">
        <f t="shared" si="18"/>
        <v>35855.870000000003</v>
      </c>
      <c r="U118" s="139">
        <f t="shared" si="16"/>
        <v>0</v>
      </c>
      <c r="V118" s="11">
        <f t="shared" si="9"/>
        <v>0</v>
      </c>
    </row>
    <row r="119" spans="3:22" ht="12" customHeight="1">
      <c r="D119" s="20">
        <v>30</v>
      </c>
      <c r="E119" s="3" t="s">
        <v>216</v>
      </c>
      <c r="F119" s="3">
        <v>2011</v>
      </c>
      <c r="G119" s="3">
        <v>11</v>
      </c>
      <c r="H119" s="3">
        <v>0</v>
      </c>
      <c r="I119" s="3" t="s">
        <v>52</v>
      </c>
      <c r="J119" s="131">
        <v>10</v>
      </c>
      <c r="K119" s="3">
        <f t="shared" si="10"/>
        <v>2021</v>
      </c>
      <c r="L119" s="130">
        <f t="shared" si="11"/>
        <v>2021.9166666666667</v>
      </c>
      <c r="M119" s="139">
        <f>5891.27+1683.22+5891.27+5891.27+5891.27</f>
        <v>25248.300000000003</v>
      </c>
      <c r="N119" s="139">
        <f t="shared" si="12"/>
        <v>25248.300000000003</v>
      </c>
      <c r="O119" s="139">
        <f t="shared" si="13"/>
        <v>210.40250000000003</v>
      </c>
      <c r="P119" s="139">
        <f t="shared" si="14"/>
        <v>2524.8300000000004</v>
      </c>
      <c r="Q119" s="342">
        <f t="shared" si="17"/>
        <v>0</v>
      </c>
      <c r="R119" s="341"/>
      <c r="S119" s="342">
        <f t="shared" si="15"/>
        <v>25248.300000000003</v>
      </c>
      <c r="T119" s="139">
        <f t="shared" si="18"/>
        <v>25248.300000000003</v>
      </c>
      <c r="U119" s="139">
        <f t="shared" si="16"/>
        <v>0</v>
      </c>
      <c r="V119" s="11">
        <f t="shared" si="9"/>
        <v>0</v>
      </c>
    </row>
    <row r="120" spans="3:22" ht="12" customHeight="1">
      <c r="C120" s="20">
        <v>86796</v>
      </c>
      <c r="D120" s="20">
        <v>33</v>
      </c>
      <c r="E120" s="3" t="s">
        <v>675</v>
      </c>
      <c r="F120" s="3">
        <v>2011</v>
      </c>
      <c r="G120" s="3">
        <v>9</v>
      </c>
      <c r="H120" s="3">
        <v>0</v>
      </c>
      <c r="I120" s="3" t="s">
        <v>52</v>
      </c>
      <c r="J120" s="131" t="s">
        <v>748</v>
      </c>
      <c r="K120" s="3">
        <f t="shared" si="10"/>
        <v>2023</v>
      </c>
      <c r="L120" s="130">
        <f t="shared" si="11"/>
        <v>2023.75</v>
      </c>
      <c r="M120" s="139">
        <v>15076.84</v>
      </c>
      <c r="N120" s="139">
        <f t="shared" si="12"/>
        <v>15076.84</v>
      </c>
      <c r="O120" s="139">
        <f t="shared" si="13"/>
        <v>104.70027777777779</v>
      </c>
      <c r="P120" s="139">
        <f t="shared" si="14"/>
        <v>1256.4033333333334</v>
      </c>
      <c r="Q120" s="342">
        <f t="shared" si="17"/>
        <v>0</v>
      </c>
      <c r="R120" s="341"/>
      <c r="S120" s="342">
        <f t="shared" si="15"/>
        <v>15076.84</v>
      </c>
      <c r="T120" s="139">
        <f t="shared" si="18"/>
        <v>15076.84</v>
      </c>
      <c r="U120" s="139">
        <f t="shared" si="16"/>
        <v>0</v>
      </c>
      <c r="V120" s="11">
        <f t="shared" si="9"/>
        <v>0</v>
      </c>
    </row>
    <row r="121" spans="3:22" ht="12" customHeight="1">
      <c r="C121" s="20">
        <v>86797</v>
      </c>
      <c r="D121" s="20">
        <v>8</v>
      </c>
      <c r="E121" s="3" t="s">
        <v>701</v>
      </c>
      <c r="F121" s="3">
        <v>2011</v>
      </c>
      <c r="G121" s="3">
        <v>10</v>
      </c>
      <c r="H121" s="3">
        <v>0</v>
      </c>
      <c r="I121" s="3" t="s">
        <v>52</v>
      </c>
      <c r="J121" s="131" t="s">
        <v>748</v>
      </c>
      <c r="K121" s="3">
        <f t="shared" si="10"/>
        <v>2023</v>
      </c>
      <c r="L121" s="130">
        <f t="shared" si="11"/>
        <v>2023.8333333333333</v>
      </c>
      <c r="M121" s="139">
        <v>3654.99</v>
      </c>
      <c r="N121" s="139">
        <f t="shared" si="12"/>
        <v>3654.99</v>
      </c>
      <c r="O121" s="139">
        <f t="shared" si="13"/>
        <v>25.381874999999997</v>
      </c>
      <c r="P121" s="139">
        <f t="shared" si="14"/>
        <v>304.58249999999998</v>
      </c>
      <c r="Q121" s="342">
        <f t="shared" si="17"/>
        <v>0</v>
      </c>
      <c r="R121" s="341"/>
      <c r="S121" s="342">
        <f t="shared" si="15"/>
        <v>3654.99</v>
      </c>
      <c r="T121" s="139">
        <f t="shared" si="18"/>
        <v>3654.99</v>
      </c>
      <c r="U121" s="139">
        <f t="shared" si="16"/>
        <v>0</v>
      </c>
      <c r="V121" s="11">
        <f t="shared" si="9"/>
        <v>0</v>
      </c>
    </row>
    <row r="122" spans="3:22" ht="12" customHeight="1">
      <c r="C122" s="20">
        <v>86798</v>
      </c>
      <c r="D122" s="20">
        <v>15</v>
      </c>
      <c r="E122" s="3" t="s">
        <v>675</v>
      </c>
      <c r="F122" s="3">
        <v>2011</v>
      </c>
      <c r="G122" s="3">
        <v>9</v>
      </c>
      <c r="H122" s="3">
        <v>0</v>
      </c>
      <c r="I122" s="3" t="s">
        <v>52</v>
      </c>
      <c r="J122" s="131" t="s">
        <v>748</v>
      </c>
      <c r="K122" s="3">
        <f t="shared" si="10"/>
        <v>2023</v>
      </c>
      <c r="L122" s="130">
        <f t="shared" si="11"/>
        <v>2023.75</v>
      </c>
      <c r="M122" s="139">
        <v>6857.68</v>
      </c>
      <c r="N122" s="139">
        <f t="shared" si="12"/>
        <v>6857.68</v>
      </c>
      <c r="O122" s="139">
        <f t="shared" si="13"/>
        <v>47.622777777777777</v>
      </c>
      <c r="P122" s="139">
        <f t="shared" si="14"/>
        <v>571.47333333333336</v>
      </c>
      <c r="Q122" s="342">
        <f t="shared" si="17"/>
        <v>0</v>
      </c>
      <c r="R122" s="341"/>
      <c r="S122" s="342">
        <f t="shared" si="15"/>
        <v>6857.68</v>
      </c>
      <c r="T122" s="139">
        <f t="shared" si="18"/>
        <v>6857.68</v>
      </c>
      <c r="U122" s="139">
        <f t="shared" si="16"/>
        <v>0</v>
      </c>
      <c r="V122" s="11">
        <f t="shared" si="9"/>
        <v>0</v>
      </c>
    </row>
    <row r="123" spans="3:22" ht="12" customHeight="1">
      <c r="C123" s="20">
        <v>87395</v>
      </c>
      <c r="D123" s="20">
        <v>9</v>
      </c>
      <c r="E123" s="3" t="s">
        <v>702</v>
      </c>
      <c r="F123" s="3">
        <v>2011</v>
      </c>
      <c r="G123" s="3">
        <v>10</v>
      </c>
      <c r="H123" s="3">
        <v>0</v>
      </c>
      <c r="I123" s="3" t="s">
        <v>52</v>
      </c>
      <c r="J123" s="131" t="s">
        <v>748</v>
      </c>
      <c r="K123" s="3">
        <f t="shared" si="10"/>
        <v>2023</v>
      </c>
      <c r="L123" s="130">
        <f t="shared" si="11"/>
        <v>2023.8333333333333</v>
      </c>
      <c r="M123" s="139">
        <v>5902.2</v>
      </c>
      <c r="N123" s="139">
        <f t="shared" si="12"/>
        <v>5902.2</v>
      </c>
      <c r="O123" s="139">
        <f t="shared" si="13"/>
        <v>40.987499999999997</v>
      </c>
      <c r="P123" s="139">
        <f t="shared" si="14"/>
        <v>491.84999999999997</v>
      </c>
      <c r="Q123" s="342">
        <f t="shared" si="17"/>
        <v>0</v>
      </c>
      <c r="R123" s="341"/>
      <c r="S123" s="342">
        <f t="shared" si="15"/>
        <v>5902.2</v>
      </c>
      <c r="T123" s="139">
        <f t="shared" si="18"/>
        <v>5902.2</v>
      </c>
      <c r="U123" s="139">
        <f t="shared" si="16"/>
        <v>0</v>
      </c>
      <c r="V123" s="11">
        <f t="shared" ref="V123:V186" si="19">M123-T123</f>
        <v>0</v>
      </c>
    </row>
    <row r="124" spans="3:22" ht="12" customHeight="1">
      <c r="C124" s="20">
        <v>87396</v>
      </c>
      <c r="D124" s="20">
        <v>9</v>
      </c>
      <c r="E124" s="3" t="s">
        <v>702</v>
      </c>
      <c r="F124" s="3">
        <v>2011</v>
      </c>
      <c r="G124" s="3">
        <v>10</v>
      </c>
      <c r="H124" s="3">
        <v>0</v>
      </c>
      <c r="I124" s="3" t="s">
        <v>52</v>
      </c>
      <c r="J124" s="131" t="s">
        <v>748</v>
      </c>
      <c r="K124" s="3">
        <f t="shared" si="10"/>
        <v>2023</v>
      </c>
      <c r="L124" s="130">
        <f t="shared" si="11"/>
        <v>2023.8333333333333</v>
      </c>
      <c r="M124" s="139">
        <v>5902.2</v>
      </c>
      <c r="N124" s="139">
        <f t="shared" si="12"/>
        <v>5902.2</v>
      </c>
      <c r="O124" s="139">
        <f t="shared" si="13"/>
        <v>40.987499999999997</v>
      </c>
      <c r="P124" s="139">
        <f t="shared" si="14"/>
        <v>491.84999999999997</v>
      </c>
      <c r="Q124" s="342">
        <f t="shared" si="17"/>
        <v>0</v>
      </c>
      <c r="R124" s="341"/>
      <c r="S124" s="342">
        <f t="shared" si="15"/>
        <v>5902.2</v>
      </c>
      <c r="T124" s="139">
        <f t="shared" si="18"/>
        <v>5902.2</v>
      </c>
      <c r="U124" s="139">
        <f t="shared" si="16"/>
        <v>0</v>
      </c>
      <c r="V124" s="11">
        <f t="shared" si="19"/>
        <v>0</v>
      </c>
    </row>
    <row r="125" spans="3:22" ht="12" customHeight="1">
      <c r="C125" s="20">
        <v>87397</v>
      </c>
      <c r="D125" s="20">
        <v>2</v>
      </c>
      <c r="E125" s="3" t="s">
        <v>702</v>
      </c>
      <c r="F125" s="3">
        <v>2011</v>
      </c>
      <c r="G125" s="3">
        <v>10</v>
      </c>
      <c r="H125" s="3">
        <v>0</v>
      </c>
      <c r="I125" s="3" t="s">
        <v>52</v>
      </c>
      <c r="J125" s="131" t="s">
        <v>748</v>
      </c>
      <c r="K125" s="3">
        <f t="shared" si="10"/>
        <v>2023</v>
      </c>
      <c r="L125" s="130">
        <f t="shared" si="11"/>
        <v>2023.8333333333333</v>
      </c>
      <c r="M125" s="139">
        <v>1311.6</v>
      </c>
      <c r="N125" s="139">
        <f t="shared" si="12"/>
        <v>1311.6</v>
      </c>
      <c r="O125" s="139">
        <f t="shared" si="13"/>
        <v>9.1083333333333325</v>
      </c>
      <c r="P125" s="139">
        <f t="shared" si="14"/>
        <v>109.29999999999998</v>
      </c>
      <c r="Q125" s="342">
        <f t="shared" si="17"/>
        <v>0</v>
      </c>
      <c r="R125" s="341"/>
      <c r="S125" s="342">
        <f t="shared" si="15"/>
        <v>1311.6</v>
      </c>
      <c r="T125" s="139">
        <f t="shared" si="18"/>
        <v>1311.6</v>
      </c>
      <c r="U125" s="139">
        <f t="shared" si="16"/>
        <v>0</v>
      </c>
      <c r="V125" s="11">
        <f t="shared" si="19"/>
        <v>0</v>
      </c>
    </row>
    <row r="126" spans="3:22" ht="12" customHeight="1">
      <c r="C126" s="20">
        <v>87398</v>
      </c>
      <c r="D126" s="20">
        <v>8</v>
      </c>
      <c r="E126" s="3" t="s">
        <v>703</v>
      </c>
      <c r="F126" s="3">
        <v>2011</v>
      </c>
      <c r="G126" s="3">
        <v>10</v>
      </c>
      <c r="H126" s="3">
        <v>0</v>
      </c>
      <c r="I126" s="3" t="s">
        <v>52</v>
      </c>
      <c r="J126" s="131" t="s">
        <v>748</v>
      </c>
      <c r="K126" s="3">
        <f t="shared" si="10"/>
        <v>2023</v>
      </c>
      <c r="L126" s="130">
        <f t="shared" si="11"/>
        <v>2023.8333333333333</v>
      </c>
      <c r="M126" s="139">
        <v>4153.3999999999996</v>
      </c>
      <c r="N126" s="139">
        <f t="shared" si="12"/>
        <v>4153.3999999999996</v>
      </c>
      <c r="O126" s="139">
        <f t="shared" si="13"/>
        <v>28.843055555555551</v>
      </c>
      <c r="P126" s="139">
        <f t="shared" si="14"/>
        <v>346.11666666666662</v>
      </c>
      <c r="Q126" s="342">
        <f t="shared" si="17"/>
        <v>0</v>
      </c>
      <c r="R126" s="341"/>
      <c r="S126" s="342">
        <f t="shared" si="15"/>
        <v>4153.3999999999996</v>
      </c>
      <c r="T126" s="139">
        <f t="shared" si="18"/>
        <v>4153.3999999999996</v>
      </c>
      <c r="U126" s="139">
        <f t="shared" si="16"/>
        <v>0</v>
      </c>
      <c r="V126" s="11">
        <f t="shared" si="19"/>
        <v>0</v>
      </c>
    </row>
    <row r="127" spans="3:22" ht="12" customHeight="1">
      <c r="C127" s="20">
        <v>87399</v>
      </c>
      <c r="D127" s="20">
        <v>16</v>
      </c>
      <c r="E127" s="3" t="s">
        <v>703</v>
      </c>
      <c r="F127" s="3">
        <v>2011</v>
      </c>
      <c r="G127" s="3">
        <v>10</v>
      </c>
      <c r="H127" s="3">
        <v>0</v>
      </c>
      <c r="I127" s="3" t="s">
        <v>52</v>
      </c>
      <c r="J127" s="131" t="s">
        <v>748</v>
      </c>
      <c r="K127" s="3">
        <f t="shared" si="10"/>
        <v>2023</v>
      </c>
      <c r="L127" s="130">
        <f t="shared" si="11"/>
        <v>2023.8333333333333</v>
      </c>
      <c r="M127" s="139">
        <v>8306.7999999999993</v>
      </c>
      <c r="N127" s="139">
        <f t="shared" si="12"/>
        <v>8306.7999999999993</v>
      </c>
      <c r="O127" s="139">
        <f t="shared" si="13"/>
        <v>57.686111111111103</v>
      </c>
      <c r="P127" s="139">
        <f t="shared" si="14"/>
        <v>692.23333333333323</v>
      </c>
      <c r="Q127" s="342">
        <f t="shared" si="17"/>
        <v>0</v>
      </c>
      <c r="R127" s="341"/>
      <c r="S127" s="342">
        <f t="shared" si="15"/>
        <v>8306.7999999999993</v>
      </c>
      <c r="T127" s="139">
        <f t="shared" si="18"/>
        <v>8306.7999999999993</v>
      </c>
      <c r="U127" s="139">
        <f t="shared" si="16"/>
        <v>0</v>
      </c>
      <c r="V127" s="11">
        <f t="shared" si="19"/>
        <v>0</v>
      </c>
    </row>
    <row r="128" spans="3:22" ht="12" customHeight="1">
      <c r="C128" s="20">
        <v>87400</v>
      </c>
      <c r="D128" s="20">
        <v>20</v>
      </c>
      <c r="E128" s="3" t="s">
        <v>703</v>
      </c>
      <c r="F128" s="3">
        <v>2011</v>
      </c>
      <c r="G128" s="3">
        <v>10</v>
      </c>
      <c r="H128" s="3">
        <v>0</v>
      </c>
      <c r="I128" s="3" t="s">
        <v>52</v>
      </c>
      <c r="J128" s="131" t="s">
        <v>748</v>
      </c>
      <c r="K128" s="3">
        <f t="shared" si="10"/>
        <v>2023</v>
      </c>
      <c r="L128" s="130">
        <f t="shared" si="11"/>
        <v>2023.8333333333333</v>
      </c>
      <c r="M128" s="139">
        <v>10383.5</v>
      </c>
      <c r="N128" s="139">
        <f t="shared" si="12"/>
        <v>10383.5</v>
      </c>
      <c r="O128" s="139">
        <f t="shared" si="13"/>
        <v>72.107638888888886</v>
      </c>
      <c r="P128" s="139">
        <f t="shared" si="14"/>
        <v>865.29166666666663</v>
      </c>
      <c r="Q128" s="342">
        <f t="shared" si="17"/>
        <v>0</v>
      </c>
      <c r="R128" s="341"/>
      <c r="S128" s="342">
        <f t="shared" si="15"/>
        <v>10383.5</v>
      </c>
      <c r="T128" s="139">
        <f t="shared" si="18"/>
        <v>10383.5</v>
      </c>
      <c r="U128" s="139">
        <f t="shared" si="16"/>
        <v>0</v>
      </c>
      <c r="V128" s="11">
        <f t="shared" si="19"/>
        <v>0</v>
      </c>
    </row>
    <row r="129" spans="3:22" ht="12" customHeight="1">
      <c r="C129" s="20">
        <v>87401</v>
      </c>
      <c r="D129" s="20">
        <v>16</v>
      </c>
      <c r="E129" s="3" t="s">
        <v>703</v>
      </c>
      <c r="F129" s="3">
        <v>2011</v>
      </c>
      <c r="G129" s="3">
        <v>10</v>
      </c>
      <c r="H129" s="3">
        <v>0</v>
      </c>
      <c r="I129" s="3" t="s">
        <v>52</v>
      </c>
      <c r="J129" s="131" t="s">
        <v>748</v>
      </c>
      <c r="K129" s="3">
        <f t="shared" si="10"/>
        <v>2023</v>
      </c>
      <c r="L129" s="130">
        <f t="shared" si="11"/>
        <v>2023.8333333333333</v>
      </c>
      <c r="M129" s="139">
        <v>8306.7999999999993</v>
      </c>
      <c r="N129" s="139">
        <f t="shared" si="12"/>
        <v>8306.7999999999993</v>
      </c>
      <c r="O129" s="139">
        <f t="shared" si="13"/>
        <v>57.686111111111103</v>
      </c>
      <c r="P129" s="139">
        <f t="shared" si="14"/>
        <v>692.23333333333323</v>
      </c>
      <c r="Q129" s="342">
        <f t="shared" si="17"/>
        <v>0</v>
      </c>
      <c r="R129" s="341"/>
      <c r="S129" s="342">
        <f t="shared" si="15"/>
        <v>8306.7999999999993</v>
      </c>
      <c r="T129" s="139">
        <f t="shared" si="18"/>
        <v>8306.7999999999993</v>
      </c>
      <c r="U129" s="139">
        <f t="shared" si="16"/>
        <v>0</v>
      </c>
      <c r="V129" s="11">
        <f t="shared" si="19"/>
        <v>0</v>
      </c>
    </row>
    <row r="130" spans="3:22" ht="12" customHeight="1">
      <c r="C130" s="20">
        <v>173606</v>
      </c>
      <c r="D130" s="20">
        <v>15</v>
      </c>
      <c r="E130" s="3" t="s">
        <v>675</v>
      </c>
      <c r="F130" s="3">
        <v>2011</v>
      </c>
      <c r="G130" s="3">
        <v>9</v>
      </c>
      <c r="H130" s="3">
        <v>0</v>
      </c>
      <c r="I130" s="3" t="s">
        <v>52</v>
      </c>
      <c r="J130" s="131" t="s">
        <v>748</v>
      </c>
      <c r="K130" s="3">
        <f t="shared" si="10"/>
        <v>2023</v>
      </c>
      <c r="L130" s="130">
        <f t="shared" si="11"/>
        <v>2023.75</v>
      </c>
      <c r="M130" s="139">
        <v>7156.09</v>
      </c>
      <c r="N130" s="139">
        <f t="shared" si="12"/>
        <v>7156.09</v>
      </c>
      <c r="O130" s="139">
        <f t="shared" si="13"/>
        <v>49.695069444444442</v>
      </c>
      <c r="P130" s="139">
        <f t="shared" si="14"/>
        <v>596.34083333333331</v>
      </c>
      <c r="Q130" s="342">
        <f t="shared" si="17"/>
        <v>0</v>
      </c>
      <c r="R130" s="341"/>
      <c r="S130" s="342">
        <f t="shared" si="15"/>
        <v>7156.09</v>
      </c>
      <c r="T130" s="139">
        <f t="shared" si="18"/>
        <v>7156.09</v>
      </c>
      <c r="U130" s="139">
        <f t="shared" si="16"/>
        <v>0</v>
      </c>
      <c r="V130" s="11">
        <f t="shared" si="19"/>
        <v>0</v>
      </c>
    </row>
    <row r="131" spans="3:22" ht="12" customHeight="1">
      <c r="C131" s="20">
        <v>95844</v>
      </c>
      <c r="D131" s="20">
        <v>18</v>
      </c>
      <c r="E131" s="3" t="s">
        <v>704</v>
      </c>
      <c r="F131" s="3">
        <v>2012</v>
      </c>
      <c r="G131" s="3">
        <v>8</v>
      </c>
      <c r="H131" s="3">
        <v>0</v>
      </c>
      <c r="I131" s="3" t="s">
        <v>52</v>
      </c>
      <c r="J131" s="131" t="s">
        <v>748</v>
      </c>
      <c r="K131" s="3">
        <f t="shared" si="10"/>
        <v>2024</v>
      </c>
      <c r="L131" s="130">
        <f t="shared" si="11"/>
        <v>2024.6666666666667</v>
      </c>
      <c r="M131" s="139">
        <v>9353.7000000000007</v>
      </c>
      <c r="N131" s="139">
        <f t="shared" si="12"/>
        <v>9353.7000000000007</v>
      </c>
      <c r="O131" s="139">
        <f t="shared" si="13"/>
        <v>64.956249999999997</v>
      </c>
      <c r="P131" s="139">
        <f t="shared" si="14"/>
        <v>779.47499999999991</v>
      </c>
      <c r="Q131" s="342">
        <f t="shared" si="17"/>
        <v>0</v>
      </c>
      <c r="R131" s="341"/>
      <c r="S131" s="342">
        <f t="shared" si="15"/>
        <v>9093.8749999998818</v>
      </c>
      <c r="T131" s="139">
        <f t="shared" si="18"/>
        <v>9353.7000000000007</v>
      </c>
      <c r="U131" s="139">
        <f t="shared" si="16"/>
        <v>0</v>
      </c>
      <c r="V131" s="11">
        <f t="shared" si="19"/>
        <v>0</v>
      </c>
    </row>
    <row r="132" spans="3:22" ht="12" customHeight="1">
      <c r="C132" s="20">
        <v>95845</v>
      </c>
      <c r="D132" s="20">
        <v>15</v>
      </c>
      <c r="E132" s="3" t="s">
        <v>705</v>
      </c>
      <c r="F132" s="3">
        <v>2012</v>
      </c>
      <c r="G132" s="3">
        <v>8</v>
      </c>
      <c r="H132" s="3">
        <v>0</v>
      </c>
      <c r="I132" s="3" t="s">
        <v>52</v>
      </c>
      <c r="J132" s="131" t="s">
        <v>748</v>
      </c>
      <c r="K132" s="3">
        <f t="shared" si="10"/>
        <v>2024</v>
      </c>
      <c r="L132" s="130">
        <f t="shared" si="11"/>
        <v>2024.6666666666667</v>
      </c>
      <c r="M132" s="139">
        <v>6810.15</v>
      </c>
      <c r="N132" s="139">
        <f t="shared" si="12"/>
        <v>6810.15</v>
      </c>
      <c r="O132" s="139">
        <f t="shared" si="13"/>
        <v>47.29270833333333</v>
      </c>
      <c r="P132" s="139">
        <f t="shared" si="14"/>
        <v>567.51249999999993</v>
      </c>
      <c r="Q132" s="342">
        <f t="shared" si="17"/>
        <v>0</v>
      </c>
      <c r="R132" s="341"/>
      <c r="S132" s="342">
        <f t="shared" si="15"/>
        <v>6620.9791666665806</v>
      </c>
      <c r="T132" s="139">
        <f t="shared" si="18"/>
        <v>6810.15</v>
      </c>
      <c r="U132" s="139">
        <f t="shared" si="16"/>
        <v>0</v>
      </c>
      <c r="V132" s="11">
        <f t="shared" si="19"/>
        <v>0</v>
      </c>
    </row>
    <row r="133" spans="3:22" ht="12" customHeight="1">
      <c r="C133" s="20">
        <v>95846</v>
      </c>
      <c r="D133" s="20">
        <v>3</v>
      </c>
      <c r="E133" s="3" t="s">
        <v>706</v>
      </c>
      <c r="F133" s="3">
        <v>2012</v>
      </c>
      <c r="G133" s="3">
        <v>8</v>
      </c>
      <c r="H133" s="3">
        <v>0</v>
      </c>
      <c r="I133" s="3" t="s">
        <v>52</v>
      </c>
      <c r="J133" s="131" t="s">
        <v>748</v>
      </c>
      <c r="K133" s="3">
        <f t="shared" si="10"/>
        <v>2024</v>
      </c>
      <c r="L133" s="130">
        <f t="shared" si="11"/>
        <v>2024.6666666666667</v>
      </c>
      <c r="M133" s="139">
        <v>1444.08</v>
      </c>
      <c r="N133" s="139">
        <f t="shared" si="12"/>
        <v>1444.08</v>
      </c>
      <c r="O133" s="139">
        <f t="shared" si="13"/>
        <v>10.028333333333332</v>
      </c>
      <c r="P133" s="139">
        <f t="shared" si="14"/>
        <v>120.33999999999999</v>
      </c>
      <c r="Q133" s="342">
        <f t="shared" si="17"/>
        <v>0</v>
      </c>
      <c r="R133" s="341"/>
      <c r="S133" s="342">
        <f t="shared" si="15"/>
        <v>1403.9666666666483</v>
      </c>
      <c r="T133" s="139">
        <f t="shared" si="18"/>
        <v>1444.08</v>
      </c>
      <c r="U133" s="139">
        <f t="shared" si="16"/>
        <v>0</v>
      </c>
      <c r="V133" s="11">
        <f t="shared" si="19"/>
        <v>0</v>
      </c>
    </row>
    <row r="134" spans="3:22" ht="12" customHeight="1">
      <c r="C134" s="20">
        <v>95847</v>
      </c>
      <c r="D134" s="20">
        <v>2</v>
      </c>
      <c r="E134" s="3" t="s">
        <v>706</v>
      </c>
      <c r="F134" s="3">
        <v>2012</v>
      </c>
      <c r="G134" s="3">
        <v>8</v>
      </c>
      <c r="H134" s="3">
        <v>0</v>
      </c>
      <c r="I134" s="3" t="s">
        <v>52</v>
      </c>
      <c r="J134" s="131" t="s">
        <v>748</v>
      </c>
      <c r="K134" s="3">
        <f t="shared" si="10"/>
        <v>2024</v>
      </c>
      <c r="L134" s="130">
        <f t="shared" si="11"/>
        <v>2024.6666666666667</v>
      </c>
      <c r="M134" s="139">
        <v>962.72</v>
      </c>
      <c r="N134" s="139">
        <f t="shared" si="12"/>
        <v>962.72</v>
      </c>
      <c r="O134" s="139">
        <f t="shared" si="13"/>
        <v>6.6855555555555561</v>
      </c>
      <c r="P134" s="139">
        <f t="shared" si="14"/>
        <v>80.226666666666674</v>
      </c>
      <c r="Q134" s="342">
        <f t="shared" si="17"/>
        <v>0</v>
      </c>
      <c r="R134" s="341"/>
      <c r="S134" s="342">
        <f t="shared" si="15"/>
        <v>935.9777777777656</v>
      </c>
      <c r="T134" s="139">
        <f t="shared" si="18"/>
        <v>962.72</v>
      </c>
      <c r="U134" s="139">
        <f t="shared" si="16"/>
        <v>0</v>
      </c>
      <c r="V134" s="11">
        <f t="shared" si="19"/>
        <v>0</v>
      </c>
    </row>
    <row r="135" spans="3:22" ht="12" customHeight="1">
      <c r="C135" s="20">
        <v>173570</v>
      </c>
      <c r="D135" s="20">
        <v>5</v>
      </c>
      <c r="E135" s="3" t="s">
        <v>716</v>
      </c>
      <c r="F135" s="3">
        <v>2012</v>
      </c>
      <c r="G135" s="3">
        <v>6</v>
      </c>
      <c r="H135" s="3">
        <v>0</v>
      </c>
      <c r="I135" s="3" t="s">
        <v>52</v>
      </c>
      <c r="J135" s="131" t="s">
        <v>748</v>
      </c>
      <c r="K135" s="3">
        <f t="shared" si="10"/>
        <v>2024</v>
      </c>
      <c r="L135" s="130">
        <f t="shared" si="11"/>
        <v>2024.5</v>
      </c>
      <c r="M135" s="139">
        <v>4758.8999999999996</v>
      </c>
      <c r="N135" s="139">
        <f t="shared" si="12"/>
        <v>4758.8999999999996</v>
      </c>
      <c r="O135" s="139">
        <f t="shared" si="13"/>
        <v>33.047916666666666</v>
      </c>
      <c r="P135" s="139">
        <f t="shared" si="14"/>
        <v>396.57499999999999</v>
      </c>
      <c r="Q135" s="342">
        <f t="shared" si="17"/>
        <v>0</v>
      </c>
      <c r="R135" s="341"/>
      <c r="S135" s="342">
        <f t="shared" si="15"/>
        <v>4692.8041666666359</v>
      </c>
      <c r="T135" s="139">
        <f t="shared" si="18"/>
        <v>4758.8999999999996</v>
      </c>
      <c r="U135" s="139">
        <f t="shared" si="16"/>
        <v>0</v>
      </c>
      <c r="V135" s="11">
        <f t="shared" si="19"/>
        <v>0</v>
      </c>
    </row>
    <row r="136" spans="3:22" ht="12" customHeight="1">
      <c r="C136" s="20">
        <v>173571</v>
      </c>
      <c r="D136" s="20">
        <v>6</v>
      </c>
      <c r="E136" s="3" t="s">
        <v>716</v>
      </c>
      <c r="F136" s="3">
        <v>2012</v>
      </c>
      <c r="G136" s="3">
        <v>6</v>
      </c>
      <c r="H136" s="3">
        <v>0</v>
      </c>
      <c r="I136" s="3" t="s">
        <v>52</v>
      </c>
      <c r="J136" s="131" t="s">
        <v>748</v>
      </c>
      <c r="K136" s="3">
        <f t="shared" si="10"/>
        <v>2024</v>
      </c>
      <c r="L136" s="130">
        <f t="shared" si="11"/>
        <v>2024.5</v>
      </c>
      <c r="M136" s="139">
        <v>5710.68</v>
      </c>
      <c r="N136" s="139">
        <f t="shared" si="12"/>
        <v>5710.68</v>
      </c>
      <c r="O136" s="139">
        <f t="shared" si="13"/>
        <v>39.657500000000006</v>
      </c>
      <c r="P136" s="139">
        <f t="shared" si="14"/>
        <v>475.8900000000001</v>
      </c>
      <c r="Q136" s="342">
        <f t="shared" si="17"/>
        <v>0</v>
      </c>
      <c r="R136" s="341"/>
      <c r="S136" s="342">
        <f t="shared" si="15"/>
        <v>5631.3649999999643</v>
      </c>
      <c r="T136" s="139">
        <f t="shared" si="18"/>
        <v>5710.68</v>
      </c>
      <c r="U136" s="139">
        <f t="shared" si="16"/>
        <v>0</v>
      </c>
      <c r="V136" s="11">
        <f t="shared" si="19"/>
        <v>0</v>
      </c>
    </row>
    <row r="137" spans="3:22" ht="12" customHeight="1">
      <c r="C137" s="20">
        <v>173572</v>
      </c>
      <c r="D137" s="20">
        <v>4</v>
      </c>
      <c r="E137" s="3" t="s">
        <v>716</v>
      </c>
      <c r="F137" s="3">
        <v>2012</v>
      </c>
      <c r="G137" s="3">
        <v>6</v>
      </c>
      <c r="H137" s="3">
        <v>0</v>
      </c>
      <c r="I137" s="3" t="s">
        <v>52</v>
      </c>
      <c r="J137" s="131" t="s">
        <v>748</v>
      </c>
      <c r="K137" s="3">
        <f t="shared" si="10"/>
        <v>2024</v>
      </c>
      <c r="L137" s="130">
        <f t="shared" si="11"/>
        <v>2024.5</v>
      </c>
      <c r="M137" s="139">
        <v>3807.12</v>
      </c>
      <c r="N137" s="139">
        <f t="shared" si="12"/>
        <v>3807.12</v>
      </c>
      <c r="O137" s="139">
        <f t="shared" si="13"/>
        <v>26.438333333333333</v>
      </c>
      <c r="P137" s="139">
        <f t="shared" si="14"/>
        <v>317.26</v>
      </c>
      <c r="Q137" s="342">
        <f t="shared" si="17"/>
        <v>0</v>
      </c>
      <c r="R137" s="341"/>
      <c r="S137" s="342">
        <f t="shared" si="15"/>
        <v>3754.2433333333092</v>
      </c>
      <c r="T137" s="139">
        <f t="shared" si="18"/>
        <v>3807.12</v>
      </c>
      <c r="U137" s="139">
        <f t="shared" si="16"/>
        <v>0</v>
      </c>
      <c r="V137" s="11">
        <f t="shared" si="19"/>
        <v>0</v>
      </c>
    </row>
    <row r="138" spans="3:22" ht="12" customHeight="1">
      <c r="C138" s="20">
        <v>173573</v>
      </c>
      <c r="D138" s="20">
        <v>5</v>
      </c>
      <c r="E138" s="3" t="s">
        <v>717</v>
      </c>
      <c r="F138" s="3">
        <v>2012</v>
      </c>
      <c r="G138" s="3">
        <v>6</v>
      </c>
      <c r="H138" s="3">
        <v>0</v>
      </c>
      <c r="I138" s="3" t="s">
        <v>52</v>
      </c>
      <c r="J138" s="131" t="s">
        <v>748</v>
      </c>
      <c r="K138" s="3">
        <f t="shared" si="10"/>
        <v>2024</v>
      </c>
      <c r="L138" s="130">
        <f t="shared" si="11"/>
        <v>2024.5</v>
      </c>
      <c r="M138" s="139">
        <v>2598.25</v>
      </c>
      <c r="N138" s="139">
        <f t="shared" si="12"/>
        <v>2598.25</v>
      </c>
      <c r="O138" s="139">
        <f t="shared" si="13"/>
        <v>18.043402777777779</v>
      </c>
      <c r="P138" s="139">
        <f t="shared" si="14"/>
        <v>216.52083333333334</v>
      </c>
      <c r="Q138" s="342">
        <f t="shared" si="17"/>
        <v>0</v>
      </c>
      <c r="R138" s="341"/>
      <c r="S138" s="342">
        <f t="shared" si="15"/>
        <v>2562.163194444428</v>
      </c>
      <c r="T138" s="139">
        <f t="shared" si="18"/>
        <v>2598.25</v>
      </c>
      <c r="U138" s="139">
        <f t="shared" si="16"/>
        <v>0</v>
      </c>
      <c r="V138" s="11">
        <f t="shared" si="19"/>
        <v>0</v>
      </c>
    </row>
    <row r="139" spans="3:22" ht="12" customHeight="1">
      <c r="C139" s="20">
        <v>173574</v>
      </c>
      <c r="D139" s="20">
        <v>10</v>
      </c>
      <c r="E139" s="3" t="s">
        <v>718</v>
      </c>
      <c r="F139" s="3">
        <v>2012</v>
      </c>
      <c r="G139" s="3">
        <v>6</v>
      </c>
      <c r="H139" s="3">
        <v>0</v>
      </c>
      <c r="I139" s="3" t="s">
        <v>52</v>
      </c>
      <c r="J139" s="131" t="s">
        <v>748</v>
      </c>
      <c r="K139" s="3">
        <f t="shared" ref="K139:K202" si="20">F139+J139</f>
        <v>2024</v>
      </c>
      <c r="L139" s="130">
        <f t="shared" ref="L139:L202" si="21">+K139+(G139/12)</f>
        <v>2024.5</v>
      </c>
      <c r="M139" s="139">
        <v>5196.5</v>
      </c>
      <c r="N139" s="139">
        <f t="shared" ref="N139:N202" si="22">M139-M139*H139</f>
        <v>5196.5</v>
      </c>
      <c r="O139" s="139">
        <f t="shared" ref="O139:O202" si="23">N139/J139/12</f>
        <v>36.086805555555557</v>
      </c>
      <c r="P139" s="139">
        <f t="shared" ref="P139:P202" si="24">+O139*12</f>
        <v>433.04166666666669</v>
      </c>
      <c r="Q139" s="342">
        <f t="shared" si="17"/>
        <v>0</v>
      </c>
      <c r="R139" s="341"/>
      <c r="S139" s="342">
        <f t="shared" si="15"/>
        <v>5124.3263888888559</v>
      </c>
      <c r="T139" s="139">
        <f t="shared" si="18"/>
        <v>5196.5</v>
      </c>
      <c r="U139" s="139">
        <f t="shared" si="16"/>
        <v>0</v>
      </c>
      <c r="V139" s="11">
        <f t="shared" si="19"/>
        <v>0</v>
      </c>
    </row>
    <row r="140" spans="3:22" ht="12" customHeight="1">
      <c r="C140" s="20">
        <v>173575</v>
      </c>
      <c r="D140" s="20">
        <v>4</v>
      </c>
      <c r="E140" s="3" t="s">
        <v>715</v>
      </c>
      <c r="F140" s="3">
        <v>2012</v>
      </c>
      <c r="G140" s="3">
        <v>6</v>
      </c>
      <c r="H140" s="3">
        <v>0</v>
      </c>
      <c r="I140" s="3" t="s">
        <v>52</v>
      </c>
      <c r="J140" s="131" t="s">
        <v>748</v>
      </c>
      <c r="K140" s="3">
        <f t="shared" si="20"/>
        <v>2024</v>
      </c>
      <c r="L140" s="130">
        <f t="shared" si="21"/>
        <v>2024.5</v>
      </c>
      <c r="M140" s="139">
        <v>2669.36</v>
      </c>
      <c r="N140" s="139">
        <f t="shared" si="22"/>
        <v>2669.36</v>
      </c>
      <c r="O140" s="139">
        <f t="shared" si="23"/>
        <v>18.537222222222223</v>
      </c>
      <c r="P140" s="139">
        <f t="shared" si="24"/>
        <v>222.44666666666666</v>
      </c>
      <c r="Q140" s="342">
        <f t="shared" si="17"/>
        <v>0</v>
      </c>
      <c r="R140" s="341"/>
      <c r="S140" s="342">
        <f t="shared" ref="S140:S203" si="25">+IF($L140&lt;=$N$7,$M140,IF(($F140+($G140/12))&gt;=$N$7,0,((($N140-((($L140-$N$7)*12)*$O140))))))</f>
        <v>2632.2855555555388</v>
      </c>
      <c r="T140" s="139">
        <f t="shared" si="18"/>
        <v>2669.36</v>
      </c>
      <c r="U140" s="139">
        <f t="shared" ref="U140:U203" si="26">M140-T140</f>
        <v>0</v>
      </c>
      <c r="V140" s="11">
        <f t="shared" si="19"/>
        <v>0</v>
      </c>
    </row>
    <row r="141" spans="3:22" ht="12" customHeight="1">
      <c r="C141" s="20">
        <v>173576</v>
      </c>
      <c r="D141" s="20">
        <v>8</v>
      </c>
      <c r="E141" s="3" t="s">
        <v>719</v>
      </c>
      <c r="F141" s="3">
        <v>2012</v>
      </c>
      <c r="G141" s="3">
        <v>6</v>
      </c>
      <c r="H141" s="3">
        <v>0</v>
      </c>
      <c r="I141" s="3" t="s">
        <v>52</v>
      </c>
      <c r="J141" s="131" t="s">
        <v>748</v>
      </c>
      <c r="K141" s="3">
        <f t="shared" si="20"/>
        <v>2024</v>
      </c>
      <c r="L141" s="130">
        <f t="shared" si="21"/>
        <v>2024.5</v>
      </c>
      <c r="M141" s="139">
        <v>5338.72</v>
      </c>
      <c r="N141" s="139">
        <f t="shared" si="22"/>
        <v>5338.72</v>
      </c>
      <c r="O141" s="139">
        <f t="shared" si="23"/>
        <v>37.074444444444445</v>
      </c>
      <c r="P141" s="139">
        <f t="shared" si="24"/>
        <v>444.89333333333332</v>
      </c>
      <c r="Q141" s="342">
        <f t="shared" ref="Q141:Q204" si="27">IF(L141&lt;=$N$6,0,P141)</f>
        <v>0</v>
      </c>
      <c r="R141" s="341"/>
      <c r="S141" s="342">
        <f t="shared" si="25"/>
        <v>5264.5711111110777</v>
      </c>
      <c r="T141" s="139">
        <f t="shared" ref="T141:T204" si="28">IF(L141&lt;=$N$6,M141,Q141+S141)</f>
        <v>5338.72</v>
      </c>
      <c r="U141" s="139">
        <f t="shared" si="26"/>
        <v>0</v>
      </c>
      <c r="V141" s="11">
        <f t="shared" si="19"/>
        <v>0</v>
      </c>
    </row>
    <row r="142" spans="3:22" ht="12" customHeight="1">
      <c r="C142" s="20">
        <v>173577</v>
      </c>
      <c r="D142" s="20">
        <v>3</v>
      </c>
      <c r="E142" s="3" t="s">
        <v>715</v>
      </c>
      <c r="F142" s="3">
        <v>2012</v>
      </c>
      <c r="G142" s="3">
        <v>6</v>
      </c>
      <c r="H142" s="3">
        <v>0</v>
      </c>
      <c r="I142" s="3" t="s">
        <v>52</v>
      </c>
      <c r="J142" s="131" t="s">
        <v>748</v>
      </c>
      <c r="K142" s="3">
        <f t="shared" si="20"/>
        <v>2024</v>
      </c>
      <c r="L142" s="130">
        <f t="shared" si="21"/>
        <v>2024.5</v>
      </c>
      <c r="M142" s="139">
        <v>2002.02</v>
      </c>
      <c r="N142" s="139">
        <f t="shared" si="22"/>
        <v>2002.02</v>
      </c>
      <c r="O142" s="139">
        <f t="shared" si="23"/>
        <v>13.902916666666668</v>
      </c>
      <c r="P142" s="139">
        <f t="shared" si="24"/>
        <v>166.83500000000001</v>
      </c>
      <c r="Q142" s="342">
        <f t="shared" si="27"/>
        <v>0</v>
      </c>
      <c r="R142" s="341"/>
      <c r="S142" s="342">
        <f t="shared" si="25"/>
        <v>1974.2141666666539</v>
      </c>
      <c r="T142" s="139">
        <f t="shared" si="28"/>
        <v>2002.02</v>
      </c>
      <c r="U142" s="139">
        <f t="shared" si="26"/>
        <v>0</v>
      </c>
      <c r="V142" s="11">
        <f t="shared" si="19"/>
        <v>0</v>
      </c>
    </row>
    <row r="143" spans="3:22" ht="12" customHeight="1">
      <c r="C143" s="20">
        <v>173578</v>
      </c>
      <c r="D143" s="20">
        <v>21</v>
      </c>
      <c r="E143" s="3" t="s">
        <v>720</v>
      </c>
      <c r="F143" s="3">
        <v>2012</v>
      </c>
      <c r="G143" s="3">
        <v>8</v>
      </c>
      <c r="H143" s="3">
        <v>0</v>
      </c>
      <c r="I143" s="3" t="s">
        <v>52</v>
      </c>
      <c r="J143" s="131" t="s">
        <v>748</v>
      </c>
      <c r="K143" s="3">
        <f t="shared" si="20"/>
        <v>2024</v>
      </c>
      <c r="L143" s="130">
        <f t="shared" si="21"/>
        <v>2024.6666666666667</v>
      </c>
      <c r="M143" s="139">
        <v>11257.26</v>
      </c>
      <c r="N143" s="139">
        <f t="shared" si="22"/>
        <v>11257.26</v>
      </c>
      <c r="O143" s="139">
        <f t="shared" si="23"/>
        <v>78.175416666666663</v>
      </c>
      <c r="P143" s="139">
        <f t="shared" si="24"/>
        <v>938.10500000000002</v>
      </c>
      <c r="Q143" s="342">
        <f t="shared" si="27"/>
        <v>0</v>
      </c>
      <c r="R143" s="341"/>
      <c r="S143" s="342">
        <f t="shared" si="25"/>
        <v>10944.558333333191</v>
      </c>
      <c r="T143" s="139">
        <f t="shared" si="28"/>
        <v>11257.26</v>
      </c>
      <c r="U143" s="139">
        <f t="shared" si="26"/>
        <v>0</v>
      </c>
      <c r="V143" s="11">
        <f t="shared" si="19"/>
        <v>0</v>
      </c>
    </row>
    <row r="144" spans="3:22" ht="12" customHeight="1">
      <c r="C144" s="20">
        <v>173579</v>
      </c>
      <c r="D144" s="20">
        <v>22</v>
      </c>
      <c r="E144" s="3" t="s">
        <v>721</v>
      </c>
      <c r="F144" s="3">
        <v>2012</v>
      </c>
      <c r="G144" s="3">
        <v>8</v>
      </c>
      <c r="H144" s="3">
        <v>0</v>
      </c>
      <c r="I144" s="3" t="s">
        <v>52</v>
      </c>
      <c r="J144" s="131" t="s">
        <v>748</v>
      </c>
      <c r="K144" s="3">
        <f t="shared" si="20"/>
        <v>2024</v>
      </c>
      <c r="L144" s="130">
        <f t="shared" si="21"/>
        <v>2024.6666666666667</v>
      </c>
      <c r="M144" s="139">
        <v>11793.32</v>
      </c>
      <c r="N144" s="139">
        <f t="shared" si="22"/>
        <v>11793.32</v>
      </c>
      <c r="O144" s="139">
        <f t="shared" si="23"/>
        <v>81.898055555555558</v>
      </c>
      <c r="P144" s="139">
        <f t="shared" si="24"/>
        <v>982.77666666666664</v>
      </c>
      <c r="Q144" s="342">
        <f t="shared" si="27"/>
        <v>0</v>
      </c>
      <c r="R144" s="341"/>
      <c r="S144" s="342">
        <f t="shared" si="25"/>
        <v>11465.727777777629</v>
      </c>
      <c r="T144" s="139">
        <f t="shared" si="28"/>
        <v>11793.32</v>
      </c>
      <c r="U144" s="139">
        <f t="shared" si="26"/>
        <v>0</v>
      </c>
      <c r="V144" s="11">
        <f t="shared" si="19"/>
        <v>0</v>
      </c>
    </row>
    <row r="145" spans="3:22" ht="12" customHeight="1">
      <c r="C145" s="20">
        <v>173584</v>
      </c>
      <c r="D145" s="20">
        <v>22</v>
      </c>
      <c r="E145" s="3" t="s">
        <v>722</v>
      </c>
      <c r="F145" s="3">
        <v>2012</v>
      </c>
      <c r="G145" s="3">
        <v>8</v>
      </c>
      <c r="H145" s="3">
        <v>0</v>
      </c>
      <c r="I145" s="3" t="s">
        <v>52</v>
      </c>
      <c r="J145" s="131" t="s">
        <v>748</v>
      </c>
      <c r="K145" s="3">
        <f t="shared" si="20"/>
        <v>2024</v>
      </c>
      <c r="L145" s="130">
        <f t="shared" si="21"/>
        <v>2024.6666666666667</v>
      </c>
      <c r="M145" s="139">
        <v>11793.32</v>
      </c>
      <c r="N145" s="139">
        <f t="shared" si="22"/>
        <v>11793.32</v>
      </c>
      <c r="O145" s="139">
        <f t="shared" si="23"/>
        <v>81.898055555555558</v>
      </c>
      <c r="P145" s="139">
        <f t="shared" si="24"/>
        <v>982.77666666666664</v>
      </c>
      <c r="Q145" s="342">
        <f t="shared" si="27"/>
        <v>0</v>
      </c>
      <c r="R145" s="341"/>
      <c r="S145" s="342">
        <f t="shared" si="25"/>
        <v>11465.727777777629</v>
      </c>
      <c r="T145" s="139">
        <f t="shared" si="28"/>
        <v>11793.32</v>
      </c>
      <c r="U145" s="139">
        <f t="shared" si="26"/>
        <v>0</v>
      </c>
      <c r="V145" s="11">
        <f t="shared" si="19"/>
        <v>0</v>
      </c>
    </row>
    <row r="146" spans="3:22" ht="12" customHeight="1">
      <c r="C146" s="20">
        <v>102853</v>
      </c>
      <c r="D146" s="20">
        <v>20</v>
      </c>
      <c r="E146" s="3" t="s">
        <v>265</v>
      </c>
      <c r="F146" s="3">
        <v>2013</v>
      </c>
      <c r="G146" s="3">
        <v>3</v>
      </c>
      <c r="H146" s="3">
        <v>0</v>
      </c>
      <c r="I146" s="3" t="s">
        <v>52</v>
      </c>
      <c r="J146" s="131">
        <v>10</v>
      </c>
      <c r="K146" s="3">
        <f t="shared" si="20"/>
        <v>2023</v>
      </c>
      <c r="L146" s="130">
        <f t="shared" si="21"/>
        <v>2023.25</v>
      </c>
      <c r="M146" s="139">
        <v>9189.6</v>
      </c>
      <c r="N146" s="139">
        <f t="shared" si="22"/>
        <v>9189.6</v>
      </c>
      <c r="O146" s="139">
        <f t="shared" si="23"/>
        <v>76.58</v>
      </c>
      <c r="P146" s="139">
        <f t="shared" si="24"/>
        <v>918.96</v>
      </c>
      <c r="Q146" s="342">
        <f t="shared" si="27"/>
        <v>0</v>
      </c>
      <c r="R146" s="341"/>
      <c r="S146" s="342">
        <f t="shared" si="25"/>
        <v>9189.6</v>
      </c>
      <c r="T146" s="139">
        <f t="shared" si="28"/>
        <v>9189.6</v>
      </c>
      <c r="U146" s="139">
        <f t="shared" si="26"/>
        <v>0</v>
      </c>
      <c r="V146" s="11">
        <f t="shared" si="19"/>
        <v>0</v>
      </c>
    </row>
    <row r="147" spans="3:22" ht="12" customHeight="1">
      <c r="C147" s="20">
        <v>103267</v>
      </c>
      <c r="D147" s="20">
        <v>10</v>
      </c>
      <c r="E147" s="3" t="s">
        <v>269</v>
      </c>
      <c r="F147" s="3">
        <v>2013</v>
      </c>
      <c r="G147" s="3">
        <v>3</v>
      </c>
      <c r="H147" s="3">
        <v>0</v>
      </c>
      <c r="I147" s="3" t="s">
        <v>52</v>
      </c>
      <c r="J147" s="131">
        <v>10</v>
      </c>
      <c r="K147" s="3">
        <f t="shared" si="20"/>
        <v>2023</v>
      </c>
      <c r="L147" s="130">
        <f t="shared" si="21"/>
        <v>2023.25</v>
      </c>
      <c r="M147" s="139">
        <v>4649.5</v>
      </c>
      <c r="N147" s="139">
        <f t="shared" si="22"/>
        <v>4649.5</v>
      </c>
      <c r="O147" s="139">
        <f t="shared" si="23"/>
        <v>38.74583333333333</v>
      </c>
      <c r="P147" s="139">
        <f t="shared" si="24"/>
        <v>464.94999999999993</v>
      </c>
      <c r="Q147" s="342">
        <f t="shared" si="27"/>
        <v>0</v>
      </c>
      <c r="R147" s="341"/>
      <c r="S147" s="342">
        <f t="shared" si="25"/>
        <v>4649.5</v>
      </c>
      <c r="T147" s="139">
        <f t="shared" si="28"/>
        <v>4649.5</v>
      </c>
      <c r="U147" s="139">
        <f t="shared" si="26"/>
        <v>0</v>
      </c>
      <c r="V147" s="11">
        <f t="shared" si="19"/>
        <v>0</v>
      </c>
    </row>
    <row r="148" spans="3:22" ht="12" customHeight="1">
      <c r="C148" s="20">
        <v>102964</v>
      </c>
      <c r="D148" s="20">
        <v>20</v>
      </c>
      <c r="E148" s="3" t="s">
        <v>264</v>
      </c>
      <c r="F148" s="3">
        <v>2013</v>
      </c>
      <c r="G148" s="3">
        <v>3</v>
      </c>
      <c r="H148" s="3">
        <v>0</v>
      </c>
      <c r="I148" s="3" t="s">
        <v>52</v>
      </c>
      <c r="J148" s="131">
        <v>10</v>
      </c>
      <c r="K148" s="3">
        <f t="shared" si="20"/>
        <v>2023</v>
      </c>
      <c r="L148" s="130">
        <f t="shared" si="21"/>
        <v>2023.25</v>
      </c>
      <c r="M148" s="139">
        <v>11815.2</v>
      </c>
      <c r="N148" s="139">
        <f t="shared" si="22"/>
        <v>11815.2</v>
      </c>
      <c r="O148" s="139">
        <f t="shared" si="23"/>
        <v>98.46</v>
      </c>
      <c r="P148" s="139">
        <f t="shared" si="24"/>
        <v>1181.52</v>
      </c>
      <c r="Q148" s="342">
        <f t="shared" si="27"/>
        <v>0</v>
      </c>
      <c r="R148" s="341"/>
      <c r="S148" s="342">
        <f t="shared" si="25"/>
        <v>11815.2</v>
      </c>
      <c r="T148" s="139">
        <f t="shared" si="28"/>
        <v>11815.2</v>
      </c>
      <c r="U148" s="139">
        <f t="shared" si="26"/>
        <v>0</v>
      </c>
      <c r="V148" s="11">
        <f t="shared" si="19"/>
        <v>0</v>
      </c>
    </row>
    <row r="149" spans="3:22" ht="12" customHeight="1">
      <c r="C149" s="20">
        <v>102854</v>
      </c>
      <c r="D149" s="20">
        <v>5</v>
      </c>
      <c r="E149" s="3" t="s">
        <v>264</v>
      </c>
      <c r="F149" s="3">
        <v>2013</v>
      </c>
      <c r="G149" s="3">
        <v>3</v>
      </c>
      <c r="H149" s="3">
        <v>0</v>
      </c>
      <c r="I149" s="3" t="s">
        <v>52</v>
      </c>
      <c r="J149" s="131">
        <v>10</v>
      </c>
      <c r="K149" s="3">
        <f t="shared" si="20"/>
        <v>2023</v>
      </c>
      <c r="L149" s="130">
        <f t="shared" si="21"/>
        <v>2023.25</v>
      </c>
      <c r="M149" s="139">
        <v>2953.8</v>
      </c>
      <c r="N149" s="139">
        <f t="shared" si="22"/>
        <v>2953.8</v>
      </c>
      <c r="O149" s="139">
        <f t="shared" si="23"/>
        <v>24.614999999999998</v>
      </c>
      <c r="P149" s="139">
        <f t="shared" si="24"/>
        <v>295.38</v>
      </c>
      <c r="Q149" s="342">
        <f t="shared" si="27"/>
        <v>0</v>
      </c>
      <c r="R149" s="341"/>
      <c r="S149" s="342">
        <f t="shared" si="25"/>
        <v>2953.8</v>
      </c>
      <c r="T149" s="139">
        <f t="shared" si="28"/>
        <v>2953.8</v>
      </c>
      <c r="U149" s="139">
        <f t="shared" si="26"/>
        <v>0</v>
      </c>
      <c r="V149" s="11">
        <f t="shared" si="19"/>
        <v>0</v>
      </c>
    </row>
    <row r="150" spans="3:22" ht="12" customHeight="1">
      <c r="C150" s="20">
        <v>103580</v>
      </c>
      <c r="D150" s="20">
        <v>10</v>
      </c>
      <c r="E150" s="3" t="s">
        <v>271</v>
      </c>
      <c r="F150" s="3">
        <v>2013</v>
      </c>
      <c r="G150" s="3">
        <v>4</v>
      </c>
      <c r="H150" s="3">
        <v>0</v>
      </c>
      <c r="I150" s="3" t="s">
        <v>52</v>
      </c>
      <c r="J150" s="131">
        <v>10</v>
      </c>
      <c r="K150" s="3">
        <f t="shared" si="20"/>
        <v>2023</v>
      </c>
      <c r="L150" s="130">
        <f t="shared" si="21"/>
        <v>2023.3333333333333</v>
      </c>
      <c r="M150" s="139">
        <v>6782.8</v>
      </c>
      <c r="N150" s="139">
        <f t="shared" si="22"/>
        <v>6782.8</v>
      </c>
      <c r="O150" s="139">
        <f t="shared" si="23"/>
        <v>56.523333333333333</v>
      </c>
      <c r="P150" s="139">
        <f t="shared" si="24"/>
        <v>678.28</v>
      </c>
      <c r="Q150" s="342">
        <f t="shared" si="27"/>
        <v>0</v>
      </c>
      <c r="R150" s="341"/>
      <c r="S150" s="342">
        <f t="shared" si="25"/>
        <v>6782.8</v>
      </c>
      <c r="T150" s="139">
        <f t="shared" si="28"/>
        <v>6782.8</v>
      </c>
      <c r="U150" s="139">
        <f t="shared" si="26"/>
        <v>0</v>
      </c>
      <c r="V150" s="11">
        <f t="shared" si="19"/>
        <v>0</v>
      </c>
    </row>
    <row r="151" spans="3:22" ht="12" customHeight="1">
      <c r="C151" s="20">
        <v>103334</v>
      </c>
      <c r="D151" s="20">
        <v>8</v>
      </c>
      <c r="E151" s="3" t="s">
        <v>270</v>
      </c>
      <c r="F151" s="3">
        <v>2013</v>
      </c>
      <c r="G151" s="3">
        <v>3</v>
      </c>
      <c r="H151" s="3">
        <v>0</v>
      </c>
      <c r="I151" s="3" t="s">
        <v>52</v>
      </c>
      <c r="J151" s="131">
        <v>10</v>
      </c>
      <c r="K151" s="3">
        <f t="shared" si="20"/>
        <v>2023</v>
      </c>
      <c r="L151" s="130">
        <f t="shared" si="21"/>
        <v>2023.25</v>
      </c>
      <c r="M151" s="139">
        <v>6957.84</v>
      </c>
      <c r="N151" s="139">
        <f t="shared" si="22"/>
        <v>6957.84</v>
      </c>
      <c r="O151" s="139">
        <f t="shared" si="23"/>
        <v>57.981999999999999</v>
      </c>
      <c r="P151" s="139">
        <f t="shared" si="24"/>
        <v>695.78399999999999</v>
      </c>
      <c r="Q151" s="342">
        <f t="shared" si="27"/>
        <v>0</v>
      </c>
      <c r="R151" s="341"/>
      <c r="S151" s="342">
        <f t="shared" si="25"/>
        <v>6957.84</v>
      </c>
      <c r="T151" s="139">
        <f t="shared" si="28"/>
        <v>6957.84</v>
      </c>
      <c r="U151" s="139">
        <f t="shared" si="26"/>
        <v>0</v>
      </c>
      <c r="V151" s="11">
        <f t="shared" si="19"/>
        <v>0</v>
      </c>
    </row>
    <row r="152" spans="3:22" ht="12" customHeight="1">
      <c r="C152" s="20">
        <v>103335</v>
      </c>
      <c r="D152" s="20">
        <v>11</v>
      </c>
      <c r="E152" s="3" t="s">
        <v>270</v>
      </c>
      <c r="F152" s="3">
        <v>2013</v>
      </c>
      <c r="G152" s="3">
        <v>3</v>
      </c>
      <c r="H152" s="3">
        <v>0</v>
      </c>
      <c r="I152" s="3" t="s">
        <v>52</v>
      </c>
      <c r="J152" s="131">
        <v>10</v>
      </c>
      <c r="K152" s="3">
        <f t="shared" si="20"/>
        <v>2023</v>
      </c>
      <c r="L152" s="130">
        <f t="shared" si="21"/>
        <v>2023.25</v>
      </c>
      <c r="M152" s="139">
        <v>9567.0300000000007</v>
      </c>
      <c r="N152" s="139">
        <f t="shared" si="22"/>
        <v>9567.0300000000007</v>
      </c>
      <c r="O152" s="139">
        <f t="shared" si="23"/>
        <v>79.725250000000003</v>
      </c>
      <c r="P152" s="139">
        <f t="shared" si="24"/>
        <v>956.70299999999997</v>
      </c>
      <c r="Q152" s="342">
        <f t="shared" si="27"/>
        <v>0</v>
      </c>
      <c r="R152" s="341"/>
      <c r="S152" s="342">
        <f t="shared" si="25"/>
        <v>9567.0300000000007</v>
      </c>
      <c r="T152" s="139">
        <f t="shared" si="28"/>
        <v>9567.0300000000007</v>
      </c>
      <c r="U152" s="139">
        <f t="shared" si="26"/>
        <v>0</v>
      </c>
      <c r="V152" s="11">
        <f t="shared" si="19"/>
        <v>0</v>
      </c>
    </row>
    <row r="153" spans="3:22" ht="12" customHeight="1">
      <c r="C153" s="20">
        <v>103336</v>
      </c>
      <c r="D153" s="20">
        <v>6</v>
      </c>
      <c r="E153" s="3" t="s">
        <v>270</v>
      </c>
      <c r="F153" s="3">
        <v>2013</v>
      </c>
      <c r="G153" s="3">
        <v>3</v>
      </c>
      <c r="H153" s="3">
        <v>0</v>
      </c>
      <c r="I153" s="3" t="s">
        <v>52</v>
      </c>
      <c r="J153" s="131">
        <v>10</v>
      </c>
      <c r="K153" s="3">
        <f t="shared" si="20"/>
        <v>2023</v>
      </c>
      <c r="L153" s="130">
        <f t="shared" si="21"/>
        <v>2023.25</v>
      </c>
      <c r="M153" s="139">
        <v>5218.38</v>
      </c>
      <c r="N153" s="139">
        <f t="shared" si="22"/>
        <v>5218.38</v>
      </c>
      <c r="O153" s="139">
        <f t="shared" si="23"/>
        <v>43.486499999999999</v>
      </c>
      <c r="P153" s="139">
        <f t="shared" si="24"/>
        <v>521.83799999999997</v>
      </c>
      <c r="Q153" s="342">
        <f t="shared" si="27"/>
        <v>0</v>
      </c>
      <c r="R153" s="341"/>
      <c r="S153" s="342">
        <f t="shared" si="25"/>
        <v>5218.38</v>
      </c>
      <c r="T153" s="139">
        <f t="shared" si="28"/>
        <v>5218.38</v>
      </c>
      <c r="U153" s="139">
        <f t="shared" si="26"/>
        <v>0</v>
      </c>
      <c r="V153" s="11">
        <f t="shared" si="19"/>
        <v>0</v>
      </c>
    </row>
    <row r="154" spans="3:22" ht="12" customHeight="1">
      <c r="C154" s="20">
        <v>173315</v>
      </c>
      <c r="D154" s="20">
        <v>4</v>
      </c>
      <c r="E154" s="3" t="s">
        <v>471</v>
      </c>
      <c r="F154" s="3">
        <v>2013</v>
      </c>
      <c r="G154" s="3">
        <v>6</v>
      </c>
      <c r="H154" s="3">
        <v>0</v>
      </c>
      <c r="I154" s="3" t="s">
        <v>52</v>
      </c>
      <c r="J154" s="131">
        <v>12</v>
      </c>
      <c r="K154" s="3">
        <f t="shared" si="20"/>
        <v>2025</v>
      </c>
      <c r="L154" s="130">
        <f t="shared" si="21"/>
        <v>2025.5</v>
      </c>
      <c r="M154" s="139">
        <v>2713.12</v>
      </c>
      <c r="N154" s="139">
        <f t="shared" si="22"/>
        <v>2713.12</v>
      </c>
      <c r="O154" s="139">
        <f t="shared" si="23"/>
        <v>18.841111111111111</v>
      </c>
      <c r="P154" s="139">
        <f t="shared" si="24"/>
        <v>226.09333333333333</v>
      </c>
      <c r="Q154" s="342">
        <f t="shared" si="27"/>
        <v>226.09333333333333</v>
      </c>
      <c r="R154" s="341"/>
      <c r="S154" s="342">
        <f t="shared" si="25"/>
        <v>2449.3444444444272</v>
      </c>
      <c r="T154" s="139">
        <f t="shared" si="28"/>
        <v>2675.4377777777604</v>
      </c>
      <c r="U154" s="139">
        <f t="shared" si="26"/>
        <v>37.682222222239488</v>
      </c>
      <c r="V154" s="11">
        <f t="shared" si="19"/>
        <v>37.682222222239488</v>
      </c>
    </row>
    <row r="155" spans="3:22" ht="12" customHeight="1">
      <c r="C155" s="20">
        <v>128803</v>
      </c>
      <c r="D155" s="20">
        <v>6</v>
      </c>
      <c r="E155" s="3" t="s">
        <v>471</v>
      </c>
      <c r="F155" s="3">
        <v>2013</v>
      </c>
      <c r="G155" s="3">
        <v>6</v>
      </c>
      <c r="H155" s="3">
        <v>0</v>
      </c>
      <c r="I155" s="3" t="s">
        <v>52</v>
      </c>
      <c r="J155" s="131" t="s">
        <v>748</v>
      </c>
      <c r="K155" s="3">
        <f t="shared" si="20"/>
        <v>2025</v>
      </c>
      <c r="L155" s="130">
        <f t="shared" si="21"/>
        <v>2025.5</v>
      </c>
      <c r="M155" s="139">
        <v>4069.68</v>
      </c>
      <c r="N155" s="139">
        <f t="shared" si="22"/>
        <v>4069.68</v>
      </c>
      <c r="O155" s="139">
        <f t="shared" si="23"/>
        <v>28.261666666666667</v>
      </c>
      <c r="P155" s="139">
        <f t="shared" si="24"/>
        <v>339.14</v>
      </c>
      <c r="Q155" s="342">
        <f t="shared" si="27"/>
        <v>339.14</v>
      </c>
      <c r="R155" s="341"/>
      <c r="S155" s="342">
        <f t="shared" si="25"/>
        <v>3674.016666666641</v>
      </c>
      <c r="T155" s="139">
        <f t="shared" si="28"/>
        <v>4013.1566666666408</v>
      </c>
      <c r="U155" s="139">
        <f t="shared" si="26"/>
        <v>56.523333333359005</v>
      </c>
      <c r="V155" s="11">
        <f t="shared" si="19"/>
        <v>56.523333333359005</v>
      </c>
    </row>
    <row r="156" spans="3:22" ht="12" customHeight="1">
      <c r="C156" s="20">
        <v>128807</v>
      </c>
      <c r="D156" s="20">
        <v>20</v>
      </c>
      <c r="E156" s="3" t="s">
        <v>708</v>
      </c>
      <c r="F156" s="3">
        <v>2013</v>
      </c>
      <c r="G156" s="3">
        <v>5</v>
      </c>
      <c r="H156" s="3">
        <v>0</v>
      </c>
      <c r="I156" s="3" t="s">
        <v>52</v>
      </c>
      <c r="J156" s="131" t="s">
        <v>748</v>
      </c>
      <c r="K156" s="3">
        <f t="shared" si="20"/>
        <v>2025</v>
      </c>
      <c r="L156" s="130">
        <f t="shared" si="21"/>
        <v>2025.4166666666667</v>
      </c>
      <c r="M156" s="139">
        <v>9189.6</v>
      </c>
      <c r="N156" s="139">
        <f t="shared" si="22"/>
        <v>9189.6</v>
      </c>
      <c r="O156" s="139">
        <f t="shared" si="23"/>
        <v>63.81666666666667</v>
      </c>
      <c r="P156" s="139">
        <f t="shared" si="24"/>
        <v>765.80000000000007</v>
      </c>
      <c r="Q156" s="342">
        <f t="shared" si="27"/>
        <v>765.80000000000007</v>
      </c>
      <c r="R156" s="341"/>
      <c r="S156" s="342">
        <f t="shared" si="25"/>
        <v>8359.9833333332172</v>
      </c>
      <c r="T156" s="139">
        <f t="shared" si="28"/>
        <v>9125.7833333332164</v>
      </c>
      <c r="U156" s="139">
        <f t="shared" si="26"/>
        <v>63.816666666783931</v>
      </c>
      <c r="V156" s="11">
        <f t="shared" si="19"/>
        <v>63.816666666783931</v>
      </c>
    </row>
    <row r="157" spans="3:22" ht="12" customHeight="1">
      <c r="C157" s="20">
        <v>173589</v>
      </c>
      <c r="D157" s="20">
        <v>8</v>
      </c>
      <c r="E157" s="3" t="s">
        <v>723</v>
      </c>
      <c r="F157" s="3">
        <v>2013</v>
      </c>
      <c r="G157" s="3">
        <v>4</v>
      </c>
      <c r="H157" s="3">
        <v>0</v>
      </c>
      <c r="I157" s="3" t="s">
        <v>52</v>
      </c>
      <c r="J157" s="131" t="s">
        <v>748</v>
      </c>
      <c r="K157" s="3">
        <f t="shared" si="20"/>
        <v>2025</v>
      </c>
      <c r="L157" s="130">
        <f t="shared" si="21"/>
        <v>2025.3333333333333</v>
      </c>
      <c r="M157" s="139">
        <v>7307.92</v>
      </c>
      <c r="N157" s="139">
        <f t="shared" si="22"/>
        <v>7307.92</v>
      </c>
      <c r="O157" s="139">
        <f t="shared" si="23"/>
        <v>50.749444444444443</v>
      </c>
      <c r="P157" s="139">
        <f t="shared" si="24"/>
        <v>608.99333333333334</v>
      </c>
      <c r="Q157" s="342">
        <f t="shared" si="27"/>
        <v>608.99333333333334</v>
      </c>
      <c r="R157" s="341"/>
      <c r="S157" s="342">
        <f t="shared" si="25"/>
        <v>6698.9266666666663</v>
      </c>
      <c r="T157" s="139">
        <f t="shared" si="28"/>
        <v>7307.92</v>
      </c>
      <c r="U157" s="139">
        <f t="shared" si="26"/>
        <v>0</v>
      </c>
      <c r="V157" s="11">
        <f t="shared" si="19"/>
        <v>0</v>
      </c>
    </row>
    <row r="158" spans="3:22" ht="12" customHeight="1">
      <c r="C158" s="20">
        <v>173590</v>
      </c>
      <c r="D158" s="20">
        <v>8</v>
      </c>
      <c r="E158" s="3" t="s">
        <v>723</v>
      </c>
      <c r="F158" s="3">
        <v>2013</v>
      </c>
      <c r="G158" s="3">
        <v>4</v>
      </c>
      <c r="H158" s="3">
        <v>0</v>
      </c>
      <c r="I158" s="3" t="s">
        <v>52</v>
      </c>
      <c r="J158" s="131" t="s">
        <v>748</v>
      </c>
      <c r="K158" s="3">
        <f t="shared" si="20"/>
        <v>2025</v>
      </c>
      <c r="L158" s="130">
        <f t="shared" si="21"/>
        <v>2025.3333333333333</v>
      </c>
      <c r="M158" s="139">
        <v>7307.92</v>
      </c>
      <c r="N158" s="139">
        <f t="shared" si="22"/>
        <v>7307.92</v>
      </c>
      <c r="O158" s="139">
        <f t="shared" si="23"/>
        <v>50.749444444444443</v>
      </c>
      <c r="P158" s="139">
        <f t="shared" si="24"/>
        <v>608.99333333333334</v>
      </c>
      <c r="Q158" s="342">
        <f t="shared" si="27"/>
        <v>608.99333333333334</v>
      </c>
      <c r="R158" s="341"/>
      <c r="S158" s="342">
        <f t="shared" si="25"/>
        <v>6698.9266666666663</v>
      </c>
      <c r="T158" s="139">
        <f t="shared" si="28"/>
        <v>7307.92</v>
      </c>
      <c r="U158" s="139">
        <f t="shared" si="26"/>
        <v>0</v>
      </c>
      <c r="V158" s="11">
        <f t="shared" si="19"/>
        <v>0</v>
      </c>
    </row>
    <row r="159" spans="3:22" ht="12" customHeight="1">
      <c r="C159" s="20">
        <v>173591</v>
      </c>
      <c r="D159" s="20">
        <v>4</v>
      </c>
      <c r="E159" s="3" t="s">
        <v>724</v>
      </c>
      <c r="F159" s="3">
        <v>2013</v>
      </c>
      <c r="G159" s="3">
        <v>4</v>
      </c>
      <c r="H159" s="3">
        <v>0</v>
      </c>
      <c r="I159" s="3" t="s">
        <v>52</v>
      </c>
      <c r="J159" s="131" t="s">
        <v>748</v>
      </c>
      <c r="K159" s="3">
        <f t="shared" si="20"/>
        <v>2025</v>
      </c>
      <c r="L159" s="130">
        <f t="shared" si="21"/>
        <v>2025.3333333333333</v>
      </c>
      <c r="M159" s="139">
        <v>3653.96</v>
      </c>
      <c r="N159" s="139">
        <f t="shared" si="22"/>
        <v>3653.96</v>
      </c>
      <c r="O159" s="139">
        <f t="shared" si="23"/>
        <v>25.374722222222221</v>
      </c>
      <c r="P159" s="139">
        <f t="shared" si="24"/>
        <v>304.49666666666667</v>
      </c>
      <c r="Q159" s="342">
        <f t="shared" si="27"/>
        <v>304.49666666666667</v>
      </c>
      <c r="R159" s="341"/>
      <c r="S159" s="342">
        <f t="shared" si="25"/>
        <v>3349.4633333333331</v>
      </c>
      <c r="T159" s="139">
        <f t="shared" si="28"/>
        <v>3653.96</v>
      </c>
      <c r="U159" s="139">
        <f t="shared" si="26"/>
        <v>0</v>
      </c>
      <c r="V159" s="11">
        <f t="shared" si="19"/>
        <v>0</v>
      </c>
    </row>
    <row r="160" spans="3:22" ht="12" customHeight="1">
      <c r="C160" s="20">
        <v>173595</v>
      </c>
      <c r="D160" s="20">
        <v>25</v>
      </c>
      <c r="E160" s="3" t="s">
        <v>725</v>
      </c>
      <c r="F160" s="3">
        <v>2013</v>
      </c>
      <c r="G160" s="3">
        <v>5</v>
      </c>
      <c r="H160" s="3">
        <v>0</v>
      </c>
      <c r="I160" s="3" t="s">
        <v>52</v>
      </c>
      <c r="J160" s="131" t="s">
        <v>748</v>
      </c>
      <c r="K160" s="3">
        <f t="shared" si="20"/>
        <v>2025</v>
      </c>
      <c r="L160" s="130">
        <f t="shared" si="21"/>
        <v>2025.4166666666667</v>
      </c>
      <c r="M160" s="139">
        <v>14769</v>
      </c>
      <c r="N160" s="139">
        <f t="shared" si="22"/>
        <v>14769</v>
      </c>
      <c r="O160" s="139">
        <f t="shared" si="23"/>
        <v>102.5625</v>
      </c>
      <c r="P160" s="139">
        <f t="shared" si="24"/>
        <v>1230.75</v>
      </c>
      <c r="Q160" s="342">
        <f t="shared" si="27"/>
        <v>1230.75</v>
      </c>
      <c r="R160" s="341"/>
      <c r="S160" s="342">
        <f t="shared" si="25"/>
        <v>13435.687499999814</v>
      </c>
      <c r="T160" s="139">
        <f t="shared" si="28"/>
        <v>14666.437499999814</v>
      </c>
      <c r="U160" s="139">
        <f t="shared" si="26"/>
        <v>102.56250000018554</v>
      </c>
      <c r="V160" s="11">
        <f t="shared" si="19"/>
        <v>102.56250000018554</v>
      </c>
    </row>
    <row r="161" spans="3:22" ht="12" customHeight="1">
      <c r="C161" s="20">
        <v>173596</v>
      </c>
      <c r="D161" s="20">
        <v>9</v>
      </c>
      <c r="E161" s="3" t="s">
        <v>687</v>
      </c>
      <c r="F161" s="3">
        <v>2013</v>
      </c>
      <c r="G161" s="3">
        <v>5</v>
      </c>
      <c r="H161" s="3">
        <v>0</v>
      </c>
      <c r="I161" s="3" t="s">
        <v>52</v>
      </c>
      <c r="J161" s="131" t="s">
        <v>748</v>
      </c>
      <c r="K161" s="3">
        <f t="shared" si="20"/>
        <v>2025</v>
      </c>
      <c r="L161" s="130">
        <f t="shared" si="21"/>
        <v>2025.4166666666667</v>
      </c>
      <c r="M161" s="139">
        <v>7827.57</v>
      </c>
      <c r="N161" s="139">
        <f t="shared" si="22"/>
        <v>7827.57</v>
      </c>
      <c r="O161" s="139">
        <f t="shared" si="23"/>
        <v>54.358125000000001</v>
      </c>
      <c r="P161" s="139">
        <f t="shared" si="24"/>
        <v>652.29750000000001</v>
      </c>
      <c r="Q161" s="342">
        <f t="shared" si="27"/>
        <v>652.29750000000001</v>
      </c>
      <c r="R161" s="341"/>
      <c r="S161" s="342">
        <f t="shared" si="25"/>
        <v>7120.9143749999012</v>
      </c>
      <c r="T161" s="139">
        <f t="shared" si="28"/>
        <v>7773.2118749999008</v>
      </c>
      <c r="U161" s="139">
        <f t="shared" si="26"/>
        <v>54.35812500009888</v>
      </c>
      <c r="V161" s="11">
        <f t="shared" si="19"/>
        <v>54.35812500009888</v>
      </c>
    </row>
    <row r="162" spans="3:22" ht="12" customHeight="1">
      <c r="C162" s="20">
        <v>173597</v>
      </c>
      <c r="D162" s="20">
        <v>10</v>
      </c>
      <c r="E162" s="3" t="s">
        <v>687</v>
      </c>
      <c r="F162" s="3">
        <v>2013</v>
      </c>
      <c r="G162" s="3">
        <v>5</v>
      </c>
      <c r="H162" s="3">
        <v>0</v>
      </c>
      <c r="I162" s="3" t="s">
        <v>52</v>
      </c>
      <c r="J162" s="131" t="s">
        <v>748</v>
      </c>
      <c r="K162" s="3">
        <f t="shared" si="20"/>
        <v>2025</v>
      </c>
      <c r="L162" s="130">
        <f t="shared" si="21"/>
        <v>2025.4166666666667</v>
      </c>
      <c r="M162" s="139">
        <v>8697.2999999999993</v>
      </c>
      <c r="N162" s="139">
        <f t="shared" si="22"/>
        <v>8697.2999999999993</v>
      </c>
      <c r="O162" s="139">
        <f t="shared" si="23"/>
        <v>60.397916666666667</v>
      </c>
      <c r="P162" s="139">
        <f t="shared" si="24"/>
        <v>724.77499999999998</v>
      </c>
      <c r="Q162" s="342">
        <f t="shared" si="27"/>
        <v>724.77499999999998</v>
      </c>
      <c r="R162" s="341"/>
      <c r="S162" s="342">
        <f t="shared" si="25"/>
        <v>7912.1270833332228</v>
      </c>
      <c r="T162" s="139">
        <f t="shared" si="28"/>
        <v>8636.9020833332233</v>
      </c>
      <c r="U162" s="139">
        <f t="shared" si="26"/>
        <v>60.397916666775927</v>
      </c>
      <c r="V162" s="11">
        <f t="shared" si="19"/>
        <v>60.397916666775927</v>
      </c>
    </row>
    <row r="163" spans="3:22" ht="12" customHeight="1">
      <c r="C163" s="20">
        <v>173598</v>
      </c>
      <c r="D163" s="20">
        <v>1</v>
      </c>
      <c r="E163" s="3" t="s">
        <v>726</v>
      </c>
      <c r="F163" s="3">
        <v>2013</v>
      </c>
      <c r="G163" s="3">
        <v>5</v>
      </c>
      <c r="H163" s="3">
        <v>0</v>
      </c>
      <c r="I163" s="3" t="s">
        <v>52</v>
      </c>
      <c r="J163" s="131" t="s">
        <v>748</v>
      </c>
      <c r="K163" s="3">
        <f t="shared" si="20"/>
        <v>2025</v>
      </c>
      <c r="L163" s="130">
        <f t="shared" si="21"/>
        <v>2025.4166666666667</v>
      </c>
      <c r="M163" s="139">
        <v>869.73</v>
      </c>
      <c r="N163" s="139">
        <f t="shared" si="22"/>
        <v>869.73</v>
      </c>
      <c r="O163" s="139">
        <f t="shared" si="23"/>
        <v>6.0397916666666669</v>
      </c>
      <c r="P163" s="139">
        <f t="shared" si="24"/>
        <v>72.477500000000006</v>
      </c>
      <c r="Q163" s="342">
        <f t="shared" si="27"/>
        <v>72.477500000000006</v>
      </c>
      <c r="R163" s="341"/>
      <c r="S163" s="342">
        <f t="shared" si="25"/>
        <v>791.21270833332233</v>
      </c>
      <c r="T163" s="139">
        <f t="shared" si="28"/>
        <v>863.69020833332229</v>
      </c>
      <c r="U163" s="139">
        <f t="shared" si="26"/>
        <v>6.0397916666777292</v>
      </c>
      <c r="V163" s="11">
        <f t="shared" si="19"/>
        <v>6.0397916666777292</v>
      </c>
    </row>
    <row r="164" spans="3:22" ht="12" customHeight="1">
      <c r="C164" s="20">
        <v>173599</v>
      </c>
      <c r="D164" s="20">
        <v>9</v>
      </c>
      <c r="E164" s="3" t="s">
        <v>726</v>
      </c>
      <c r="F164" s="3">
        <v>2013</v>
      </c>
      <c r="G164" s="3">
        <v>6</v>
      </c>
      <c r="H164" s="3">
        <v>0</v>
      </c>
      <c r="I164" s="3" t="s">
        <v>52</v>
      </c>
      <c r="J164" s="131" t="s">
        <v>748</v>
      </c>
      <c r="K164" s="3">
        <f t="shared" si="20"/>
        <v>2025</v>
      </c>
      <c r="L164" s="130">
        <f t="shared" si="21"/>
        <v>2025.5</v>
      </c>
      <c r="M164" s="139">
        <v>8221.41</v>
      </c>
      <c r="N164" s="139">
        <f t="shared" si="22"/>
        <v>8221.41</v>
      </c>
      <c r="O164" s="139">
        <f t="shared" si="23"/>
        <v>57.093124999999993</v>
      </c>
      <c r="P164" s="139">
        <f t="shared" si="24"/>
        <v>685.11749999999995</v>
      </c>
      <c r="Q164" s="342">
        <f t="shared" si="27"/>
        <v>685.11749999999995</v>
      </c>
      <c r="R164" s="341"/>
      <c r="S164" s="342">
        <f t="shared" si="25"/>
        <v>7422.106249999948</v>
      </c>
      <c r="T164" s="139">
        <f t="shared" si="28"/>
        <v>8107.2237499999483</v>
      </c>
      <c r="U164" s="139">
        <f t="shared" si="26"/>
        <v>114.18625000005159</v>
      </c>
      <c r="V164" s="11">
        <f t="shared" si="19"/>
        <v>114.18625000005159</v>
      </c>
    </row>
    <row r="165" spans="3:22" ht="12" customHeight="1">
      <c r="C165" s="20">
        <v>173600</v>
      </c>
      <c r="D165" s="20">
        <v>6</v>
      </c>
      <c r="E165" s="3" t="s">
        <v>687</v>
      </c>
      <c r="F165" s="3">
        <v>2013</v>
      </c>
      <c r="G165" s="3">
        <v>6</v>
      </c>
      <c r="H165" s="3">
        <v>0</v>
      </c>
      <c r="I165" s="3" t="s">
        <v>52</v>
      </c>
      <c r="J165" s="131" t="s">
        <v>748</v>
      </c>
      <c r="K165" s="3">
        <f t="shared" si="20"/>
        <v>2025</v>
      </c>
      <c r="L165" s="130">
        <f t="shared" si="21"/>
        <v>2025.5</v>
      </c>
      <c r="M165" s="139">
        <v>5480.94</v>
      </c>
      <c r="N165" s="139">
        <f t="shared" si="22"/>
        <v>5480.94</v>
      </c>
      <c r="O165" s="139">
        <f t="shared" si="23"/>
        <v>38.062083333333327</v>
      </c>
      <c r="P165" s="139">
        <f t="shared" si="24"/>
        <v>456.74499999999989</v>
      </c>
      <c r="Q165" s="342">
        <f t="shared" si="27"/>
        <v>456.74499999999989</v>
      </c>
      <c r="R165" s="341"/>
      <c r="S165" s="342">
        <f t="shared" si="25"/>
        <v>4948.0708333332987</v>
      </c>
      <c r="T165" s="139">
        <f t="shared" si="28"/>
        <v>5404.8158333332985</v>
      </c>
      <c r="U165" s="139">
        <f t="shared" si="26"/>
        <v>76.124166666701058</v>
      </c>
      <c r="V165" s="11">
        <f t="shared" si="19"/>
        <v>76.124166666701058</v>
      </c>
    </row>
    <row r="166" spans="3:22" ht="12" customHeight="1">
      <c r="C166" s="20">
        <v>173601</v>
      </c>
      <c r="D166" s="20">
        <v>9</v>
      </c>
      <c r="E166" s="3" t="s">
        <v>727</v>
      </c>
      <c r="F166" s="3">
        <v>2013</v>
      </c>
      <c r="G166" s="3">
        <v>6</v>
      </c>
      <c r="H166" s="3">
        <v>0</v>
      </c>
      <c r="I166" s="3" t="s">
        <v>52</v>
      </c>
      <c r="J166" s="131" t="s">
        <v>748</v>
      </c>
      <c r="K166" s="3">
        <f t="shared" si="20"/>
        <v>2025</v>
      </c>
      <c r="L166" s="130">
        <f t="shared" si="21"/>
        <v>2025.5</v>
      </c>
      <c r="M166" s="139">
        <v>4873.7700000000004</v>
      </c>
      <c r="N166" s="139">
        <f t="shared" si="22"/>
        <v>4873.7700000000004</v>
      </c>
      <c r="O166" s="139">
        <f t="shared" si="23"/>
        <v>33.845625000000005</v>
      </c>
      <c r="P166" s="139">
        <f t="shared" si="24"/>
        <v>406.14750000000004</v>
      </c>
      <c r="Q166" s="342">
        <f t="shared" si="27"/>
        <v>406.14750000000004</v>
      </c>
      <c r="R166" s="341"/>
      <c r="S166" s="342">
        <f t="shared" si="25"/>
        <v>4399.9312499999696</v>
      </c>
      <c r="T166" s="139">
        <f t="shared" si="28"/>
        <v>4806.0787499999697</v>
      </c>
      <c r="U166" s="139">
        <f t="shared" si="26"/>
        <v>67.691250000030777</v>
      </c>
      <c r="V166" s="11">
        <f t="shared" si="19"/>
        <v>67.691250000030777</v>
      </c>
    </row>
    <row r="167" spans="3:22" ht="12" customHeight="1">
      <c r="C167" s="20">
        <v>173602</v>
      </c>
      <c r="D167" s="20">
        <v>1</v>
      </c>
      <c r="E167" s="3" t="s">
        <v>728</v>
      </c>
      <c r="F167" s="3">
        <v>2013</v>
      </c>
      <c r="G167" s="3">
        <v>6</v>
      </c>
      <c r="H167" s="3">
        <v>0</v>
      </c>
      <c r="I167" s="3" t="s">
        <v>52</v>
      </c>
      <c r="J167" s="131" t="s">
        <v>748</v>
      </c>
      <c r="K167" s="3">
        <f t="shared" si="20"/>
        <v>2025</v>
      </c>
      <c r="L167" s="130">
        <f t="shared" si="21"/>
        <v>2025.5</v>
      </c>
      <c r="M167" s="139">
        <v>541.53</v>
      </c>
      <c r="N167" s="139">
        <f t="shared" si="22"/>
        <v>541.53</v>
      </c>
      <c r="O167" s="139">
        <f t="shared" si="23"/>
        <v>3.7606249999999997</v>
      </c>
      <c r="P167" s="139">
        <f t="shared" si="24"/>
        <v>45.127499999999998</v>
      </c>
      <c r="Q167" s="342">
        <f t="shared" si="27"/>
        <v>45.127499999999998</v>
      </c>
      <c r="R167" s="341"/>
      <c r="S167" s="342">
        <f t="shared" si="25"/>
        <v>488.88124999999656</v>
      </c>
      <c r="T167" s="139">
        <f t="shared" si="28"/>
        <v>534.00874999999655</v>
      </c>
      <c r="U167" s="139">
        <f t="shared" si="26"/>
        <v>7.5212500000034197</v>
      </c>
      <c r="V167" s="11">
        <f t="shared" si="19"/>
        <v>7.5212500000034197</v>
      </c>
    </row>
    <row r="168" spans="3:22" ht="12" customHeight="1">
      <c r="C168" s="20">
        <v>173603</v>
      </c>
      <c r="D168" s="20">
        <v>10</v>
      </c>
      <c r="E168" s="3" t="s">
        <v>729</v>
      </c>
      <c r="F168" s="3">
        <v>2013</v>
      </c>
      <c r="G168" s="3">
        <v>6</v>
      </c>
      <c r="H168" s="3">
        <v>0</v>
      </c>
      <c r="I168" s="3" t="s">
        <v>52</v>
      </c>
      <c r="J168" s="131" t="s">
        <v>748</v>
      </c>
      <c r="K168" s="3">
        <f t="shared" si="20"/>
        <v>2025</v>
      </c>
      <c r="L168" s="130">
        <f t="shared" si="21"/>
        <v>2025.5</v>
      </c>
      <c r="M168" s="139">
        <v>5907.6</v>
      </c>
      <c r="N168" s="139">
        <f t="shared" si="22"/>
        <v>5907.6</v>
      </c>
      <c r="O168" s="139">
        <f t="shared" si="23"/>
        <v>41.024999999999999</v>
      </c>
      <c r="P168" s="139">
        <f t="shared" si="24"/>
        <v>492.29999999999995</v>
      </c>
      <c r="Q168" s="342">
        <f t="shared" si="27"/>
        <v>492.29999999999995</v>
      </c>
      <c r="R168" s="341"/>
      <c r="S168" s="342">
        <f t="shared" si="25"/>
        <v>5333.2499999999627</v>
      </c>
      <c r="T168" s="139">
        <f t="shared" si="28"/>
        <v>5825.5499999999629</v>
      </c>
      <c r="U168" s="139">
        <f t="shared" si="26"/>
        <v>82.050000000037471</v>
      </c>
      <c r="V168" s="11">
        <f t="shared" si="19"/>
        <v>82.050000000037471</v>
      </c>
    </row>
    <row r="169" spans="3:22" ht="12" customHeight="1">
      <c r="C169" s="20">
        <v>173604</v>
      </c>
      <c r="D169" s="20">
        <v>21</v>
      </c>
      <c r="E169" s="3" t="s">
        <v>729</v>
      </c>
      <c r="F169" s="3">
        <v>2013</v>
      </c>
      <c r="G169" s="3">
        <v>6</v>
      </c>
      <c r="H169" s="3">
        <v>0</v>
      </c>
      <c r="I169" s="3" t="s">
        <v>52</v>
      </c>
      <c r="J169" s="131" t="s">
        <v>748</v>
      </c>
      <c r="K169" s="3">
        <f t="shared" si="20"/>
        <v>2025</v>
      </c>
      <c r="L169" s="130">
        <f t="shared" si="21"/>
        <v>2025.5</v>
      </c>
      <c r="M169" s="139">
        <v>12405.96</v>
      </c>
      <c r="N169" s="139">
        <f t="shared" si="22"/>
        <v>12405.96</v>
      </c>
      <c r="O169" s="139">
        <f t="shared" si="23"/>
        <v>86.152499999999989</v>
      </c>
      <c r="P169" s="139">
        <f t="shared" si="24"/>
        <v>1033.83</v>
      </c>
      <c r="Q169" s="342">
        <f t="shared" si="27"/>
        <v>1033.83</v>
      </c>
      <c r="R169" s="341"/>
      <c r="S169" s="342">
        <f t="shared" si="25"/>
        <v>11199.824999999921</v>
      </c>
      <c r="T169" s="139">
        <f t="shared" si="28"/>
        <v>12233.654999999921</v>
      </c>
      <c r="U169" s="139">
        <f t="shared" si="26"/>
        <v>172.30500000007851</v>
      </c>
      <c r="V169" s="11">
        <f t="shared" si="19"/>
        <v>172.30500000007851</v>
      </c>
    </row>
    <row r="170" spans="3:22" ht="12" customHeight="1">
      <c r="C170" s="20">
        <v>173605</v>
      </c>
      <c r="D170" s="20">
        <v>9</v>
      </c>
      <c r="E170" s="3" t="s">
        <v>729</v>
      </c>
      <c r="F170" s="3">
        <v>2013</v>
      </c>
      <c r="G170" s="3">
        <v>6</v>
      </c>
      <c r="H170" s="3">
        <v>0</v>
      </c>
      <c r="I170" s="3" t="s">
        <v>52</v>
      </c>
      <c r="J170" s="131" t="s">
        <v>748</v>
      </c>
      <c r="K170" s="3">
        <f t="shared" si="20"/>
        <v>2025</v>
      </c>
      <c r="L170" s="130">
        <f t="shared" si="21"/>
        <v>2025.5</v>
      </c>
      <c r="M170" s="139">
        <v>5316.84</v>
      </c>
      <c r="N170" s="139">
        <f t="shared" si="22"/>
        <v>5316.84</v>
      </c>
      <c r="O170" s="139">
        <f t="shared" si="23"/>
        <v>36.922499999999999</v>
      </c>
      <c r="P170" s="139">
        <f t="shared" si="24"/>
        <v>443.07</v>
      </c>
      <c r="Q170" s="342">
        <f t="shared" si="27"/>
        <v>443.07</v>
      </c>
      <c r="R170" s="341"/>
      <c r="S170" s="342">
        <f t="shared" si="25"/>
        <v>4799.9249999999665</v>
      </c>
      <c r="T170" s="139">
        <f t="shared" si="28"/>
        <v>5242.9949999999662</v>
      </c>
      <c r="U170" s="139">
        <f t="shared" si="26"/>
        <v>73.845000000033906</v>
      </c>
      <c r="V170" s="11">
        <f t="shared" si="19"/>
        <v>73.845000000033906</v>
      </c>
    </row>
    <row r="171" spans="3:22" ht="12" customHeight="1">
      <c r="C171" s="20">
        <v>110503</v>
      </c>
      <c r="D171" s="20">
        <v>10</v>
      </c>
      <c r="E171" s="3" t="s">
        <v>269</v>
      </c>
      <c r="F171" s="3">
        <v>2014</v>
      </c>
      <c r="G171" s="3">
        <v>1</v>
      </c>
      <c r="H171" s="3">
        <v>0</v>
      </c>
      <c r="I171" s="3" t="s">
        <v>52</v>
      </c>
      <c r="J171" s="131">
        <v>10</v>
      </c>
      <c r="K171" s="3">
        <f t="shared" si="20"/>
        <v>2024</v>
      </c>
      <c r="L171" s="130">
        <f t="shared" si="21"/>
        <v>2024.0833333333333</v>
      </c>
      <c r="M171" s="139">
        <v>4649.5</v>
      </c>
      <c r="N171" s="139">
        <f t="shared" si="22"/>
        <v>4649.5</v>
      </c>
      <c r="O171" s="139">
        <f t="shared" si="23"/>
        <v>38.74583333333333</v>
      </c>
      <c r="P171" s="139">
        <f t="shared" si="24"/>
        <v>464.94999999999993</v>
      </c>
      <c r="Q171" s="342">
        <f t="shared" si="27"/>
        <v>0</v>
      </c>
      <c r="R171" s="341"/>
      <c r="S171" s="342">
        <f t="shared" si="25"/>
        <v>4649.5</v>
      </c>
      <c r="T171" s="139">
        <f t="shared" si="28"/>
        <v>4649.5</v>
      </c>
      <c r="U171" s="139">
        <f t="shared" si="26"/>
        <v>0</v>
      </c>
      <c r="V171" s="11">
        <f t="shared" si="19"/>
        <v>0</v>
      </c>
    </row>
    <row r="172" spans="3:22" ht="12" customHeight="1">
      <c r="C172" s="20">
        <v>128810</v>
      </c>
      <c r="D172" s="20">
        <v>10</v>
      </c>
      <c r="E172" s="3" t="s">
        <v>271</v>
      </c>
      <c r="F172" s="3">
        <v>2014</v>
      </c>
      <c r="G172" s="3">
        <v>5</v>
      </c>
      <c r="H172" s="3">
        <v>0</v>
      </c>
      <c r="I172" s="3" t="s">
        <v>52</v>
      </c>
      <c r="J172" s="131">
        <v>10</v>
      </c>
      <c r="K172" s="3">
        <f t="shared" si="20"/>
        <v>2024</v>
      </c>
      <c r="L172" s="130">
        <f t="shared" si="21"/>
        <v>2024.4166666666667</v>
      </c>
      <c r="M172" s="139">
        <v>7548.6</v>
      </c>
      <c r="N172" s="139">
        <f t="shared" si="22"/>
        <v>7548.6</v>
      </c>
      <c r="O172" s="139">
        <f t="shared" si="23"/>
        <v>62.905000000000001</v>
      </c>
      <c r="P172" s="139">
        <f t="shared" si="24"/>
        <v>754.86</v>
      </c>
      <c r="Q172" s="342">
        <f t="shared" si="27"/>
        <v>0</v>
      </c>
      <c r="R172" s="341"/>
      <c r="S172" s="342">
        <f t="shared" si="25"/>
        <v>7485.694999999886</v>
      </c>
      <c r="T172" s="139">
        <f t="shared" si="28"/>
        <v>7548.6</v>
      </c>
      <c r="U172" s="139">
        <f t="shared" si="26"/>
        <v>0</v>
      </c>
      <c r="V172" s="11">
        <f t="shared" si="19"/>
        <v>0</v>
      </c>
    </row>
    <row r="173" spans="3:22" ht="12" customHeight="1">
      <c r="C173" s="20">
        <v>128804</v>
      </c>
      <c r="D173" s="20">
        <v>25</v>
      </c>
      <c r="E173" s="3" t="s">
        <v>708</v>
      </c>
      <c r="F173" s="3">
        <v>2014</v>
      </c>
      <c r="G173" s="3">
        <v>5</v>
      </c>
      <c r="H173" s="3">
        <v>0</v>
      </c>
      <c r="I173" s="3" t="s">
        <v>52</v>
      </c>
      <c r="J173" s="131" t="s">
        <v>748</v>
      </c>
      <c r="K173" s="3">
        <f t="shared" si="20"/>
        <v>2026</v>
      </c>
      <c r="L173" s="130">
        <f t="shared" si="21"/>
        <v>2026.4166666666667</v>
      </c>
      <c r="M173" s="139">
        <v>11951.95</v>
      </c>
      <c r="N173" s="139">
        <f t="shared" si="22"/>
        <v>11951.95</v>
      </c>
      <c r="O173" s="139">
        <f t="shared" si="23"/>
        <v>82.999652777777783</v>
      </c>
      <c r="P173" s="139">
        <f t="shared" si="24"/>
        <v>995.99583333333339</v>
      </c>
      <c r="Q173" s="342">
        <f t="shared" si="27"/>
        <v>995.99583333333339</v>
      </c>
      <c r="R173" s="341"/>
      <c r="S173" s="342">
        <f t="shared" si="25"/>
        <v>9876.9586805554063</v>
      </c>
      <c r="T173" s="139">
        <f t="shared" si="28"/>
        <v>10872.954513888741</v>
      </c>
      <c r="U173" s="139">
        <f t="shared" si="26"/>
        <v>1078.9954861112601</v>
      </c>
      <c r="V173" s="11">
        <f t="shared" si="19"/>
        <v>1078.9954861112601</v>
      </c>
    </row>
    <row r="174" spans="3:22" ht="12" customHeight="1">
      <c r="C174" s="20">
        <v>173608</v>
      </c>
      <c r="D174" s="20">
        <v>21</v>
      </c>
      <c r="E174" s="3" t="s">
        <v>730</v>
      </c>
      <c r="F174" s="3">
        <v>2014</v>
      </c>
      <c r="G174" s="3">
        <v>5</v>
      </c>
      <c r="H174" s="3">
        <v>0</v>
      </c>
      <c r="I174" s="3" t="s">
        <v>52</v>
      </c>
      <c r="J174" s="131" t="s">
        <v>748</v>
      </c>
      <c r="K174" s="3">
        <f t="shared" si="20"/>
        <v>2026</v>
      </c>
      <c r="L174" s="130">
        <f t="shared" si="21"/>
        <v>2026.4166666666667</v>
      </c>
      <c r="M174" s="139">
        <v>12084.32</v>
      </c>
      <c r="N174" s="139">
        <f t="shared" si="22"/>
        <v>12084.32</v>
      </c>
      <c r="O174" s="139">
        <f t="shared" si="23"/>
        <v>83.918888888888887</v>
      </c>
      <c r="P174" s="139">
        <f t="shared" si="24"/>
        <v>1007.0266666666666</v>
      </c>
      <c r="Q174" s="342">
        <f t="shared" si="27"/>
        <v>1007.0266666666666</v>
      </c>
      <c r="R174" s="341"/>
      <c r="S174" s="342">
        <f t="shared" si="25"/>
        <v>9986.3477777776243</v>
      </c>
      <c r="T174" s="139">
        <f t="shared" si="28"/>
        <v>10993.374444444291</v>
      </c>
      <c r="U174" s="139">
        <f t="shared" si="26"/>
        <v>1090.9455555557088</v>
      </c>
      <c r="V174" s="11">
        <f t="shared" si="19"/>
        <v>1090.9455555557088</v>
      </c>
    </row>
    <row r="175" spans="3:22" ht="12" customHeight="1">
      <c r="C175" s="20">
        <v>173609</v>
      </c>
      <c r="D175" s="20">
        <v>4</v>
      </c>
      <c r="E175" s="3" t="s">
        <v>731</v>
      </c>
      <c r="F175" s="3">
        <v>2014</v>
      </c>
      <c r="G175" s="3">
        <v>5</v>
      </c>
      <c r="H175" s="3">
        <v>0</v>
      </c>
      <c r="I175" s="3" t="s">
        <v>52</v>
      </c>
      <c r="J175" s="131" t="s">
        <v>748</v>
      </c>
      <c r="K175" s="3">
        <f t="shared" si="20"/>
        <v>2026</v>
      </c>
      <c r="L175" s="130">
        <f t="shared" si="21"/>
        <v>2026.4166666666667</v>
      </c>
      <c r="M175" s="139">
        <v>2301.7800000000002</v>
      </c>
      <c r="N175" s="139">
        <f t="shared" si="22"/>
        <v>2301.7800000000002</v>
      </c>
      <c r="O175" s="139">
        <f t="shared" si="23"/>
        <v>15.984583333333335</v>
      </c>
      <c r="P175" s="139">
        <f t="shared" si="24"/>
        <v>191.81500000000003</v>
      </c>
      <c r="Q175" s="342">
        <f t="shared" si="27"/>
        <v>191.81500000000003</v>
      </c>
      <c r="R175" s="341"/>
      <c r="S175" s="342">
        <f t="shared" si="25"/>
        <v>1902.1654166666376</v>
      </c>
      <c r="T175" s="139">
        <f t="shared" si="28"/>
        <v>2093.9804166666377</v>
      </c>
      <c r="U175" s="139">
        <f t="shared" si="26"/>
        <v>207.79958333336253</v>
      </c>
      <c r="V175" s="11">
        <f t="shared" si="19"/>
        <v>207.79958333336253</v>
      </c>
    </row>
    <row r="176" spans="3:22" ht="12" customHeight="1">
      <c r="C176" s="20">
        <v>173610</v>
      </c>
      <c r="D176" s="20">
        <v>17</v>
      </c>
      <c r="E176" s="3" t="s">
        <v>730</v>
      </c>
      <c r="F176" s="3">
        <v>2014</v>
      </c>
      <c r="G176" s="3">
        <v>5</v>
      </c>
      <c r="H176" s="3">
        <v>0</v>
      </c>
      <c r="I176" s="3" t="s">
        <v>52</v>
      </c>
      <c r="J176" s="131" t="s">
        <v>748</v>
      </c>
      <c r="K176" s="3">
        <f t="shared" si="20"/>
        <v>2026</v>
      </c>
      <c r="L176" s="130">
        <f t="shared" si="21"/>
        <v>2026.4166666666667</v>
      </c>
      <c r="M176" s="139">
        <v>10266.1</v>
      </c>
      <c r="N176" s="139">
        <f t="shared" si="22"/>
        <v>10266.1</v>
      </c>
      <c r="O176" s="139">
        <f t="shared" si="23"/>
        <v>71.292361111111106</v>
      </c>
      <c r="P176" s="139">
        <f t="shared" si="24"/>
        <v>855.50833333333321</v>
      </c>
      <c r="Q176" s="342">
        <f t="shared" si="27"/>
        <v>855.50833333333321</v>
      </c>
      <c r="R176" s="341"/>
      <c r="S176" s="342">
        <f t="shared" si="25"/>
        <v>8483.7909722220938</v>
      </c>
      <c r="T176" s="139">
        <f t="shared" si="28"/>
        <v>9339.2993055554271</v>
      </c>
      <c r="U176" s="139">
        <f t="shared" si="26"/>
        <v>926.80069444457331</v>
      </c>
      <c r="V176" s="11">
        <f t="shared" si="19"/>
        <v>926.80069444457331</v>
      </c>
    </row>
    <row r="177" spans="3:22" ht="12" customHeight="1">
      <c r="C177" s="20">
        <v>173611</v>
      </c>
      <c r="D177" s="20">
        <v>3</v>
      </c>
      <c r="E177" s="3" t="s">
        <v>731</v>
      </c>
      <c r="F177" s="3">
        <v>2014</v>
      </c>
      <c r="G177" s="3">
        <v>5</v>
      </c>
      <c r="H177" s="3">
        <v>0</v>
      </c>
      <c r="I177" s="3" t="s">
        <v>52</v>
      </c>
      <c r="J177" s="131" t="s">
        <v>748</v>
      </c>
      <c r="K177" s="3">
        <f t="shared" si="20"/>
        <v>2026</v>
      </c>
      <c r="L177" s="130">
        <f t="shared" si="21"/>
        <v>2026.4166666666667</v>
      </c>
      <c r="M177" s="139">
        <v>1811.66</v>
      </c>
      <c r="N177" s="139">
        <f t="shared" si="22"/>
        <v>1811.66</v>
      </c>
      <c r="O177" s="139">
        <f t="shared" si="23"/>
        <v>12.580972222222222</v>
      </c>
      <c r="P177" s="139">
        <f t="shared" si="24"/>
        <v>150.97166666666666</v>
      </c>
      <c r="Q177" s="342">
        <f t="shared" si="27"/>
        <v>150.97166666666666</v>
      </c>
      <c r="R177" s="341"/>
      <c r="S177" s="342">
        <f t="shared" si="25"/>
        <v>1497.1356944444217</v>
      </c>
      <c r="T177" s="139">
        <f t="shared" si="28"/>
        <v>1648.1073611110883</v>
      </c>
      <c r="U177" s="139">
        <f t="shared" si="26"/>
        <v>163.55263888891182</v>
      </c>
      <c r="V177" s="11">
        <f t="shared" si="19"/>
        <v>163.55263888891182</v>
      </c>
    </row>
    <row r="178" spans="3:22" ht="12" customHeight="1">
      <c r="C178" s="20">
        <v>173612</v>
      </c>
      <c r="D178" s="20">
        <v>10</v>
      </c>
      <c r="E178" s="3" t="s">
        <v>326</v>
      </c>
      <c r="F178" s="3">
        <v>2014</v>
      </c>
      <c r="G178" s="3">
        <v>5</v>
      </c>
      <c r="H178" s="3">
        <v>0</v>
      </c>
      <c r="I178" s="3" t="s">
        <v>52</v>
      </c>
      <c r="J178" s="131" t="s">
        <v>748</v>
      </c>
      <c r="K178" s="3">
        <f t="shared" si="20"/>
        <v>2026</v>
      </c>
      <c r="L178" s="130">
        <f t="shared" si="21"/>
        <v>2026.4166666666667</v>
      </c>
      <c r="M178" s="139">
        <v>4966.76</v>
      </c>
      <c r="N178" s="139">
        <f t="shared" si="22"/>
        <v>4966.76</v>
      </c>
      <c r="O178" s="139">
        <f t="shared" si="23"/>
        <v>34.491388888888892</v>
      </c>
      <c r="P178" s="139">
        <f t="shared" si="24"/>
        <v>413.8966666666667</v>
      </c>
      <c r="Q178" s="342">
        <f t="shared" si="27"/>
        <v>413.8966666666667</v>
      </c>
      <c r="R178" s="341"/>
      <c r="S178" s="342">
        <f t="shared" si="25"/>
        <v>4104.4752777777148</v>
      </c>
      <c r="T178" s="139">
        <f t="shared" si="28"/>
        <v>4518.3719444443814</v>
      </c>
      <c r="U178" s="139">
        <f t="shared" si="26"/>
        <v>448.38805555561885</v>
      </c>
      <c r="V178" s="11">
        <f t="shared" si="19"/>
        <v>448.38805555561885</v>
      </c>
    </row>
    <row r="179" spans="3:22" ht="12" customHeight="1">
      <c r="C179" s="20">
        <v>125264</v>
      </c>
      <c r="D179" s="20">
        <v>15</v>
      </c>
      <c r="E179" s="3" t="s">
        <v>327</v>
      </c>
      <c r="F179" s="3">
        <v>2015</v>
      </c>
      <c r="G179" s="3">
        <v>7</v>
      </c>
      <c r="H179" s="3">
        <v>0</v>
      </c>
      <c r="I179" s="3" t="s">
        <v>52</v>
      </c>
      <c r="J179" s="131">
        <v>10</v>
      </c>
      <c r="K179" s="3">
        <f t="shared" si="20"/>
        <v>2025</v>
      </c>
      <c r="L179" s="130">
        <f t="shared" si="21"/>
        <v>2025.5833333333333</v>
      </c>
      <c r="M179" s="139">
        <v>8766.75</v>
      </c>
      <c r="N179" s="139">
        <f t="shared" si="22"/>
        <v>8766.75</v>
      </c>
      <c r="O179" s="139">
        <f t="shared" si="23"/>
        <v>73.056249999999991</v>
      </c>
      <c r="P179" s="139">
        <f t="shared" si="24"/>
        <v>876.67499999999995</v>
      </c>
      <c r="Q179" s="342">
        <f t="shared" si="27"/>
        <v>876.67499999999995</v>
      </c>
      <c r="R179" s="341"/>
      <c r="S179" s="342">
        <f t="shared" si="25"/>
        <v>7670.90625</v>
      </c>
      <c r="T179" s="139">
        <f t="shared" si="28"/>
        <v>8547.5812499999993</v>
      </c>
      <c r="U179" s="139">
        <f t="shared" si="26"/>
        <v>219.16875000000073</v>
      </c>
      <c r="V179" s="11">
        <f t="shared" si="19"/>
        <v>219.16875000000073</v>
      </c>
    </row>
    <row r="180" spans="3:22" ht="12" customHeight="1">
      <c r="C180" s="20">
        <v>173311</v>
      </c>
      <c r="D180" s="20">
        <v>30</v>
      </c>
      <c r="E180" s="3" t="s">
        <v>472</v>
      </c>
      <c r="F180" s="3">
        <v>2015</v>
      </c>
      <c r="G180" s="3">
        <v>6</v>
      </c>
      <c r="H180" s="3">
        <v>0</v>
      </c>
      <c r="I180" s="3" t="s">
        <v>52</v>
      </c>
      <c r="J180" s="131">
        <v>10</v>
      </c>
      <c r="K180" s="3">
        <f t="shared" si="20"/>
        <v>2025</v>
      </c>
      <c r="L180" s="130">
        <f t="shared" si="21"/>
        <v>2025.5</v>
      </c>
      <c r="M180" s="139">
        <v>14342.34</v>
      </c>
      <c r="N180" s="139">
        <f t="shared" si="22"/>
        <v>14342.34</v>
      </c>
      <c r="O180" s="139">
        <f t="shared" si="23"/>
        <v>119.51949999999999</v>
      </c>
      <c r="P180" s="139">
        <f t="shared" si="24"/>
        <v>1434.2339999999999</v>
      </c>
      <c r="Q180" s="342">
        <f t="shared" si="27"/>
        <v>1434.2339999999999</v>
      </c>
      <c r="R180" s="341"/>
      <c r="S180" s="342">
        <f t="shared" si="25"/>
        <v>12669.066999999892</v>
      </c>
      <c r="T180" s="139">
        <f t="shared" si="28"/>
        <v>14103.300999999892</v>
      </c>
      <c r="U180" s="139">
        <f t="shared" si="26"/>
        <v>239.03900000010799</v>
      </c>
      <c r="V180" s="11">
        <f t="shared" si="19"/>
        <v>239.03900000010799</v>
      </c>
    </row>
    <row r="181" spans="3:22" ht="12" customHeight="1">
      <c r="C181" s="20">
        <v>124135</v>
      </c>
      <c r="D181" s="20">
        <v>49</v>
      </c>
      <c r="E181" s="3" t="s">
        <v>271</v>
      </c>
      <c r="F181" s="3">
        <v>2015</v>
      </c>
      <c r="G181" s="3">
        <v>7</v>
      </c>
      <c r="H181" s="3">
        <v>0</v>
      </c>
      <c r="I181" s="3" t="s">
        <v>52</v>
      </c>
      <c r="J181" s="131">
        <v>10</v>
      </c>
      <c r="K181" s="3">
        <f t="shared" si="20"/>
        <v>2025</v>
      </c>
      <c r="L181" s="130">
        <f t="shared" si="21"/>
        <v>2025.5833333333333</v>
      </c>
      <c r="M181" s="139">
        <v>0</v>
      </c>
      <c r="N181" s="139">
        <f t="shared" si="22"/>
        <v>0</v>
      </c>
      <c r="O181" s="139">
        <f t="shared" si="23"/>
        <v>0</v>
      </c>
      <c r="P181" s="139">
        <f t="shared" si="24"/>
        <v>0</v>
      </c>
      <c r="Q181" s="342">
        <f t="shared" si="27"/>
        <v>0</v>
      </c>
      <c r="R181" s="341"/>
      <c r="S181" s="342">
        <f t="shared" si="25"/>
        <v>0</v>
      </c>
      <c r="T181" s="139">
        <f t="shared" si="28"/>
        <v>0</v>
      </c>
      <c r="U181" s="139">
        <f t="shared" si="26"/>
        <v>0</v>
      </c>
      <c r="V181" s="11">
        <f t="shared" si="19"/>
        <v>0</v>
      </c>
    </row>
    <row r="182" spans="3:22" ht="12" customHeight="1">
      <c r="C182" s="20">
        <v>124136</v>
      </c>
      <c r="D182" s="20">
        <v>41</v>
      </c>
      <c r="E182" s="3" t="s">
        <v>265</v>
      </c>
      <c r="F182" s="3">
        <v>2015</v>
      </c>
      <c r="G182" s="3">
        <v>7</v>
      </c>
      <c r="H182" s="3">
        <v>0</v>
      </c>
      <c r="I182" s="3" t="s">
        <v>52</v>
      </c>
      <c r="J182" s="131">
        <v>10</v>
      </c>
      <c r="K182" s="3">
        <f t="shared" si="20"/>
        <v>2025</v>
      </c>
      <c r="L182" s="130">
        <f t="shared" si="21"/>
        <v>2025.5833333333333</v>
      </c>
      <c r="M182" s="139">
        <v>0</v>
      </c>
      <c r="N182" s="139">
        <f t="shared" si="22"/>
        <v>0</v>
      </c>
      <c r="O182" s="139">
        <f t="shared" si="23"/>
        <v>0</v>
      </c>
      <c r="P182" s="139">
        <f t="shared" si="24"/>
        <v>0</v>
      </c>
      <c r="Q182" s="342">
        <f t="shared" si="27"/>
        <v>0</v>
      </c>
      <c r="R182" s="341"/>
      <c r="S182" s="342">
        <f t="shared" si="25"/>
        <v>0</v>
      </c>
      <c r="T182" s="139">
        <f t="shared" si="28"/>
        <v>0</v>
      </c>
      <c r="U182" s="139">
        <f t="shared" si="26"/>
        <v>0</v>
      </c>
      <c r="V182" s="11">
        <f t="shared" si="19"/>
        <v>0</v>
      </c>
    </row>
    <row r="183" spans="3:22" ht="12" customHeight="1">
      <c r="C183" s="20">
        <v>124141</v>
      </c>
      <c r="D183" s="20">
        <v>38</v>
      </c>
      <c r="E183" s="3" t="s">
        <v>270</v>
      </c>
      <c r="F183" s="3">
        <v>2015</v>
      </c>
      <c r="G183" s="3">
        <v>7</v>
      </c>
      <c r="H183" s="3">
        <v>0</v>
      </c>
      <c r="I183" s="3" t="s">
        <v>52</v>
      </c>
      <c r="J183" s="131">
        <v>10</v>
      </c>
      <c r="K183" s="3">
        <f t="shared" si="20"/>
        <v>2025</v>
      </c>
      <c r="L183" s="130">
        <f t="shared" si="21"/>
        <v>2025.5833333333333</v>
      </c>
      <c r="M183" s="139">
        <v>0</v>
      </c>
      <c r="N183" s="139">
        <f t="shared" si="22"/>
        <v>0</v>
      </c>
      <c r="O183" s="139">
        <f t="shared" si="23"/>
        <v>0</v>
      </c>
      <c r="P183" s="139">
        <f t="shared" si="24"/>
        <v>0</v>
      </c>
      <c r="Q183" s="342">
        <f t="shared" si="27"/>
        <v>0</v>
      </c>
      <c r="R183" s="341"/>
      <c r="S183" s="342">
        <f t="shared" si="25"/>
        <v>0</v>
      </c>
      <c r="T183" s="139">
        <f t="shared" si="28"/>
        <v>0</v>
      </c>
      <c r="U183" s="139">
        <f t="shared" si="26"/>
        <v>0</v>
      </c>
      <c r="V183" s="11">
        <f t="shared" si="19"/>
        <v>0</v>
      </c>
    </row>
    <row r="184" spans="3:22" ht="12" customHeight="1">
      <c r="C184" s="20">
        <v>128764</v>
      </c>
      <c r="D184" s="20">
        <v>21</v>
      </c>
      <c r="E184" s="3" t="s">
        <v>707</v>
      </c>
      <c r="F184" s="3">
        <v>2015</v>
      </c>
      <c r="G184" s="3">
        <v>11</v>
      </c>
      <c r="H184" s="3">
        <v>0</v>
      </c>
      <c r="I184" s="3" t="s">
        <v>52</v>
      </c>
      <c r="J184" s="131" t="s">
        <v>748</v>
      </c>
      <c r="K184" s="3">
        <f t="shared" si="20"/>
        <v>2027</v>
      </c>
      <c r="L184" s="130">
        <f t="shared" si="21"/>
        <v>2027.9166666666667</v>
      </c>
      <c r="M184" s="139">
        <v>31649.41</v>
      </c>
      <c r="N184" s="139">
        <f t="shared" si="22"/>
        <v>31649.41</v>
      </c>
      <c r="O184" s="139">
        <f t="shared" si="23"/>
        <v>219.78756944444444</v>
      </c>
      <c r="P184" s="139">
        <f t="shared" si="24"/>
        <v>2637.4508333333333</v>
      </c>
      <c r="Q184" s="342">
        <f t="shared" si="27"/>
        <v>2637.4508333333333</v>
      </c>
      <c r="R184" s="341"/>
      <c r="S184" s="342">
        <f t="shared" si="25"/>
        <v>22198.54451388849</v>
      </c>
      <c r="T184" s="139">
        <f t="shared" si="28"/>
        <v>24835.995347221822</v>
      </c>
      <c r="U184" s="139">
        <f t="shared" si="26"/>
        <v>6813.4146527781777</v>
      </c>
      <c r="V184" s="11">
        <f t="shared" si="19"/>
        <v>6813.4146527781777</v>
      </c>
    </row>
    <row r="185" spans="3:22" ht="12" customHeight="1">
      <c r="C185" s="20">
        <v>173618</v>
      </c>
      <c r="D185" s="20">
        <v>8</v>
      </c>
      <c r="E185" s="3" t="s">
        <v>732</v>
      </c>
      <c r="F185" s="3">
        <v>2015</v>
      </c>
      <c r="G185" s="3">
        <v>5</v>
      </c>
      <c r="H185" s="3">
        <v>0</v>
      </c>
      <c r="I185" s="3" t="s">
        <v>52</v>
      </c>
      <c r="J185" s="131">
        <v>7</v>
      </c>
      <c r="K185" s="3">
        <f t="shared" si="20"/>
        <v>2022</v>
      </c>
      <c r="L185" s="130">
        <f t="shared" si="21"/>
        <v>2022.4166666666667</v>
      </c>
      <c r="M185" s="139">
        <v>18379.2</v>
      </c>
      <c r="N185" s="139">
        <f t="shared" si="22"/>
        <v>18379.2</v>
      </c>
      <c r="O185" s="139">
        <f t="shared" si="23"/>
        <v>218.79999999999998</v>
      </c>
      <c r="P185" s="139">
        <f t="shared" si="24"/>
        <v>2625.6</v>
      </c>
      <c r="Q185" s="342">
        <f t="shared" si="27"/>
        <v>0</v>
      </c>
      <c r="R185" s="341"/>
      <c r="S185" s="342">
        <f t="shared" si="25"/>
        <v>18379.2</v>
      </c>
      <c r="T185" s="139">
        <f t="shared" si="28"/>
        <v>18379.2</v>
      </c>
      <c r="U185" s="139">
        <f t="shared" si="26"/>
        <v>0</v>
      </c>
      <c r="V185" s="11">
        <f t="shared" si="19"/>
        <v>0</v>
      </c>
    </row>
    <row r="186" spans="3:22" ht="12" customHeight="1">
      <c r="C186" s="20">
        <v>173619</v>
      </c>
      <c r="D186" s="20">
        <v>25</v>
      </c>
      <c r="E186" s="3" t="s">
        <v>733</v>
      </c>
      <c r="F186" s="3">
        <v>2015</v>
      </c>
      <c r="G186" s="3">
        <v>6</v>
      </c>
      <c r="H186" s="3">
        <v>0</v>
      </c>
      <c r="I186" s="3" t="s">
        <v>52</v>
      </c>
      <c r="J186" s="131" t="s">
        <v>748</v>
      </c>
      <c r="K186" s="3">
        <f t="shared" si="20"/>
        <v>2027</v>
      </c>
      <c r="L186" s="130">
        <f t="shared" si="21"/>
        <v>2027.5</v>
      </c>
      <c r="M186" s="139">
        <v>15097.2</v>
      </c>
      <c r="N186" s="139">
        <f t="shared" si="22"/>
        <v>15097.2</v>
      </c>
      <c r="O186" s="139">
        <f t="shared" si="23"/>
        <v>104.84166666666668</v>
      </c>
      <c r="P186" s="139">
        <f t="shared" si="24"/>
        <v>1258.1000000000001</v>
      </c>
      <c r="Q186" s="342">
        <f t="shared" si="27"/>
        <v>1258.1000000000001</v>
      </c>
      <c r="R186" s="341"/>
      <c r="S186" s="342">
        <f t="shared" si="25"/>
        <v>11113.216666666573</v>
      </c>
      <c r="T186" s="139">
        <f t="shared" si="28"/>
        <v>12371.316666666573</v>
      </c>
      <c r="U186" s="139">
        <f t="shared" si="26"/>
        <v>2725.8833333334278</v>
      </c>
      <c r="V186" s="11">
        <f t="shared" si="19"/>
        <v>2725.8833333334278</v>
      </c>
    </row>
    <row r="187" spans="3:22" ht="12" customHeight="1">
      <c r="C187" s="20">
        <v>173620</v>
      </c>
      <c r="D187" s="20">
        <v>25</v>
      </c>
      <c r="E187" s="3" t="s">
        <v>733</v>
      </c>
      <c r="F187" s="3">
        <v>2015</v>
      </c>
      <c r="G187" s="3">
        <v>6</v>
      </c>
      <c r="H187" s="3">
        <v>0</v>
      </c>
      <c r="I187" s="3" t="s">
        <v>52</v>
      </c>
      <c r="J187" s="131" t="s">
        <v>748</v>
      </c>
      <c r="K187" s="3">
        <f t="shared" si="20"/>
        <v>2027</v>
      </c>
      <c r="L187" s="130">
        <f t="shared" si="21"/>
        <v>2027.5</v>
      </c>
      <c r="M187" s="139">
        <v>14386.09</v>
      </c>
      <c r="N187" s="139">
        <f t="shared" si="22"/>
        <v>14386.09</v>
      </c>
      <c r="O187" s="139">
        <f t="shared" si="23"/>
        <v>99.903402777777785</v>
      </c>
      <c r="P187" s="139">
        <f t="shared" si="24"/>
        <v>1198.8408333333334</v>
      </c>
      <c r="Q187" s="342">
        <f t="shared" si="27"/>
        <v>1198.8408333333334</v>
      </c>
      <c r="R187" s="341"/>
      <c r="S187" s="342">
        <f t="shared" si="25"/>
        <v>10589.760694444354</v>
      </c>
      <c r="T187" s="139">
        <f t="shared" si="28"/>
        <v>11788.601527777688</v>
      </c>
      <c r="U187" s="139">
        <f t="shared" si="26"/>
        <v>2597.4884722223123</v>
      </c>
      <c r="V187" s="11">
        <f t="shared" ref="V187:V276" si="29">M187-T187</f>
        <v>2597.4884722223123</v>
      </c>
    </row>
    <row r="188" spans="3:22" ht="12" customHeight="1">
      <c r="C188" s="20">
        <v>173625</v>
      </c>
      <c r="D188" s="20">
        <v>25</v>
      </c>
      <c r="E188" s="3" t="s">
        <v>734</v>
      </c>
      <c r="F188" s="3">
        <v>2015</v>
      </c>
      <c r="G188" s="3">
        <v>9</v>
      </c>
      <c r="H188" s="3">
        <v>0</v>
      </c>
      <c r="I188" s="3" t="s">
        <v>52</v>
      </c>
      <c r="J188" s="131" t="s">
        <v>748</v>
      </c>
      <c r="K188" s="3">
        <f t="shared" si="20"/>
        <v>2027</v>
      </c>
      <c r="L188" s="130">
        <f t="shared" si="21"/>
        <v>2027.75</v>
      </c>
      <c r="M188" s="139">
        <v>14386.1</v>
      </c>
      <c r="N188" s="139">
        <f t="shared" si="22"/>
        <v>14386.1</v>
      </c>
      <c r="O188" s="139">
        <f t="shared" si="23"/>
        <v>99.90347222222222</v>
      </c>
      <c r="P188" s="139">
        <f t="shared" si="24"/>
        <v>1198.8416666666667</v>
      </c>
      <c r="Q188" s="342">
        <f t="shared" si="27"/>
        <v>1198.8416666666667</v>
      </c>
      <c r="R188" s="341"/>
      <c r="S188" s="342">
        <f t="shared" si="25"/>
        <v>10290.057638888798</v>
      </c>
      <c r="T188" s="139">
        <f t="shared" si="28"/>
        <v>11488.899305555466</v>
      </c>
      <c r="U188" s="139">
        <f t="shared" si="26"/>
        <v>2897.2006944445347</v>
      </c>
      <c r="V188" s="11">
        <f t="shared" si="29"/>
        <v>2897.2006944445347</v>
      </c>
    </row>
    <row r="189" spans="3:22" ht="12" customHeight="1">
      <c r="C189" s="20">
        <v>173631</v>
      </c>
      <c r="D189" s="20">
        <v>6</v>
      </c>
      <c r="E189" s="3" t="s">
        <v>735</v>
      </c>
      <c r="F189" s="3">
        <v>2015</v>
      </c>
      <c r="G189" s="3">
        <v>7</v>
      </c>
      <c r="H189" s="3">
        <v>0</v>
      </c>
      <c r="I189" s="3" t="s">
        <v>52</v>
      </c>
      <c r="J189" s="131" t="s">
        <v>748</v>
      </c>
      <c r="K189" s="3">
        <f t="shared" si="20"/>
        <v>2027</v>
      </c>
      <c r="L189" s="130">
        <f t="shared" si="21"/>
        <v>2027.5833333333333</v>
      </c>
      <c r="M189" s="139">
        <v>4322.6899999999996</v>
      </c>
      <c r="N189" s="139">
        <f t="shared" si="22"/>
        <v>4322.6899999999996</v>
      </c>
      <c r="O189" s="139">
        <f t="shared" si="23"/>
        <v>30.018680555555552</v>
      </c>
      <c r="P189" s="139">
        <f t="shared" si="24"/>
        <v>360.22416666666663</v>
      </c>
      <c r="Q189" s="342">
        <f t="shared" si="27"/>
        <v>360.22416666666663</v>
      </c>
      <c r="R189" s="341"/>
      <c r="S189" s="342">
        <f t="shared" si="25"/>
        <v>3151.9614583333332</v>
      </c>
      <c r="T189" s="139">
        <f t="shared" si="28"/>
        <v>3512.1856250000001</v>
      </c>
      <c r="U189" s="139">
        <f t="shared" si="26"/>
        <v>810.50437499999953</v>
      </c>
      <c r="V189" s="11">
        <f t="shared" si="29"/>
        <v>810.50437499999953</v>
      </c>
    </row>
    <row r="190" spans="3:22" ht="12" customHeight="1">
      <c r="C190" s="20">
        <v>173632</v>
      </c>
      <c r="D190" s="20">
        <v>3</v>
      </c>
      <c r="E190" s="3" t="s">
        <v>736</v>
      </c>
      <c r="F190" s="3">
        <v>2015</v>
      </c>
      <c r="G190" s="3">
        <v>7</v>
      </c>
      <c r="H190" s="3">
        <v>0</v>
      </c>
      <c r="I190" s="3" t="s">
        <v>52</v>
      </c>
      <c r="J190" s="131" t="s">
        <v>748</v>
      </c>
      <c r="K190" s="3">
        <f t="shared" si="20"/>
        <v>2027</v>
      </c>
      <c r="L190" s="130">
        <f t="shared" si="21"/>
        <v>2027.5833333333333</v>
      </c>
      <c r="M190" s="139">
        <v>2506.4499999999998</v>
      </c>
      <c r="N190" s="139">
        <f t="shared" si="22"/>
        <v>2506.4499999999998</v>
      </c>
      <c r="O190" s="139">
        <f t="shared" si="23"/>
        <v>17.405902777777776</v>
      </c>
      <c r="P190" s="139">
        <f t="shared" si="24"/>
        <v>208.87083333333331</v>
      </c>
      <c r="Q190" s="342">
        <f t="shared" si="27"/>
        <v>208.87083333333331</v>
      </c>
      <c r="R190" s="341"/>
      <c r="S190" s="342">
        <f t="shared" si="25"/>
        <v>1827.6197916666665</v>
      </c>
      <c r="T190" s="139">
        <f t="shared" si="28"/>
        <v>2036.4906249999999</v>
      </c>
      <c r="U190" s="139">
        <f t="shared" si="26"/>
        <v>469.95937499999991</v>
      </c>
      <c r="V190" s="11">
        <f t="shared" si="29"/>
        <v>469.95937499999991</v>
      </c>
    </row>
    <row r="191" spans="3:22" ht="12" customHeight="1">
      <c r="C191" s="20">
        <v>173634</v>
      </c>
      <c r="D191" s="20">
        <v>20</v>
      </c>
      <c r="E191" s="3" t="s">
        <v>737</v>
      </c>
      <c r="F191" s="3">
        <v>2015</v>
      </c>
      <c r="G191" s="3">
        <v>9</v>
      </c>
      <c r="H191" s="3">
        <v>0</v>
      </c>
      <c r="I191" s="3" t="s">
        <v>52</v>
      </c>
      <c r="J191" s="131" t="s">
        <v>748</v>
      </c>
      <c r="K191" s="3">
        <f t="shared" si="20"/>
        <v>2027</v>
      </c>
      <c r="L191" s="130">
        <f t="shared" si="21"/>
        <v>2027.75</v>
      </c>
      <c r="M191" s="139">
        <v>17175.8</v>
      </c>
      <c r="N191" s="139">
        <f t="shared" si="22"/>
        <v>17175.8</v>
      </c>
      <c r="O191" s="139">
        <f t="shared" si="23"/>
        <v>119.27638888888889</v>
      </c>
      <c r="P191" s="139">
        <f t="shared" si="24"/>
        <v>1431.3166666666666</v>
      </c>
      <c r="Q191" s="342">
        <f t="shared" si="27"/>
        <v>1431.3166666666666</v>
      </c>
      <c r="R191" s="341"/>
      <c r="S191" s="342">
        <f t="shared" si="25"/>
        <v>12285.468055555446</v>
      </c>
      <c r="T191" s="139">
        <f t="shared" si="28"/>
        <v>13716.784722222113</v>
      </c>
      <c r="U191" s="139">
        <f t="shared" si="26"/>
        <v>3459.0152777778858</v>
      </c>
      <c r="V191" s="11">
        <f t="shared" si="29"/>
        <v>3459.0152777778858</v>
      </c>
    </row>
    <row r="192" spans="3:22" ht="12" customHeight="1">
      <c r="C192" s="20">
        <v>173642</v>
      </c>
      <c r="D192" s="20">
        <v>14</v>
      </c>
      <c r="E192" s="3" t="s">
        <v>735</v>
      </c>
      <c r="F192" s="3">
        <v>2015</v>
      </c>
      <c r="G192" s="3">
        <v>7</v>
      </c>
      <c r="H192" s="3">
        <v>0</v>
      </c>
      <c r="I192" s="3" t="s">
        <v>52</v>
      </c>
      <c r="J192" s="131" t="s">
        <v>748</v>
      </c>
      <c r="K192" s="3">
        <f t="shared" si="20"/>
        <v>2027</v>
      </c>
      <c r="L192" s="130">
        <f t="shared" si="21"/>
        <v>2027.5833333333333</v>
      </c>
      <c r="M192" s="139">
        <v>10088.219999999999</v>
      </c>
      <c r="N192" s="139">
        <f t="shared" si="22"/>
        <v>10088.219999999999</v>
      </c>
      <c r="O192" s="139">
        <f t="shared" si="23"/>
        <v>70.057083333333324</v>
      </c>
      <c r="P192" s="139">
        <f t="shared" si="24"/>
        <v>840.68499999999995</v>
      </c>
      <c r="Q192" s="342">
        <f t="shared" si="27"/>
        <v>840.68499999999995</v>
      </c>
      <c r="R192" s="341"/>
      <c r="S192" s="342">
        <f t="shared" si="25"/>
        <v>7355.9937499999996</v>
      </c>
      <c r="T192" s="139">
        <f t="shared" si="28"/>
        <v>8196.6787499999991</v>
      </c>
      <c r="U192" s="139">
        <f t="shared" si="26"/>
        <v>1891.5412500000002</v>
      </c>
      <c r="V192" s="11">
        <f t="shared" si="29"/>
        <v>1891.5412500000002</v>
      </c>
    </row>
    <row r="193" spans="3:22" ht="12" customHeight="1">
      <c r="C193" s="20">
        <v>173653</v>
      </c>
      <c r="D193" s="20">
        <v>8</v>
      </c>
      <c r="E193" s="3" t="s">
        <v>738</v>
      </c>
      <c r="F193" s="3">
        <v>2016</v>
      </c>
      <c r="G193" s="3">
        <v>5</v>
      </c>
      <c r="H193" s="3">
        <v>0</v>
      </c>
      <c r="I193" s="3" t="s">
        <v>52</v>
      </c>
      <c r="J193" s="131" t="s">
        <v>748</v>
      </c>
      <c r="K193" s="3">
        <f t="shared" si="20"/>
        <v>2028</v>
      </c>
      <c r="L193" s="130">
        <f t="shared" si="21"/>
        <v>2028.4166666666667</v>
      </c>
      <c r="M193" s="139">
        <v>5671.3</v>
      </c>
      <c r="N193" s="139">
        <f t="shared" si="22"/>
        <v>5671.3</v>
      </c>
      <c r="O193" s="139">
        <f t="shared" si="23"/>
        <v>39.384027777777781</v>
      </c>
      <c r="P193" s="139">
        <f t="shared" si="24"/>
        <v>472.60833333333335</v>
      </c>
      <c r="Q193" s="342">
        <f t="shared" si="27"/>
        <v>472.60833333333335</v>
      </c>
      <c r="R193" s="341"/>
      <c r="S193" s="342">
        <f t="shared" si="25"/>
        <v>3741.4826388888173</v>
      </c>
      <c r="T193" s="139">
        <f t="shared" si="28"/>
        <v>4214.0909722221504</v>
      </c>
      <c r="U193" s="139">
        <f t="shared" si="26"/>
        <v>1457.2090277778498</v>
      </c>
      <c r="V193" s="11">
        <f t="shared" si="29"/>
        <v>1457.2090277778498</v>
      </c>
    </row>
    <row r="194" spans="3:22" ht="12" customHeight="1">
      <c r="C194" s="20">
        <v>173654</v>
      </c>
      <c r="D194" s="20">
        <v>12</v>
      </c>
      <c r="E194" s="3" t="s">
        <v>676</v>
      </c>
      <c r="F194" s="3">
        <v>2016</v>
      </c>
      <c r="G194" s="3">
        <v>5</v>
      </c>
      <c r="H194" s="3">
        <v>0</v>
      </c>
      <c r="I194" s="3" t="s">
        <v>52</v>
      </c>
      <c r="J194" s="131" t="s">
        <v>748</v>
      </c>
      <c r="K194" s="3">
        <f t="shared" si="20"/>
        <v>2028</v>
      </c>
      <c r="L194" s="130">
        <f t="shared" si="21"/>
        <v>2028.4166666666667</v>
      </c>
      <c r="M194" s="139">
        <v>8506.94</v>
      </c>
      <c r="N194" s="139">
        <f t="shared" si="22"/>
        <v>8506.94</v>
      </c>
      <c r="O194" s="139">
        <f t="shared" si="23"/>
        <v>59.075972222222227</v>
      </c>
      <c r="P194" s="139">
        <f t="shared" si="24"/>
        <v>708.91166666666675</v>
      </c>
      <c r="Q194" s="342">
        <f t="shared" si="27"/>
        <v>708.91166666666675</v>
      </c>
      <c r="R194" s="341"/>
      <c r="S194" s="342">
        <f t="shared" si="25"/>
        <v>5612.2173611110038</v>
      </c>
      <c r="T194" s="139">
        <f t="shared" si="28"/>
        <v>6321.1290277776707</v>
      </c>
      <c r="U194" s="139">
        <f t="shared" si="26"/>
        <v>2185.8109722223298</v>
      </c>
      <c r="V194" s="11">
        <f t="shared" si="29"/>
        <v>2185.8109722223298</v>
      </c>
    </row>
    <row r="195" spans="3:22" ht="12" customHeight="1">
      <c r="C195" s="20">
        <v>173656</v>
      </c>
      <c r="D195" s="20">
        <v>70</v>
      </c>
      <c r="E195" s="3" t="s">
        <v>739</v>
      </c>
      <c r="F195" s="3">
        <v>2016</v>
      </c>
      <c r="G195" s="3">
        <v>5</v>
      </c>
      <c r="H195" s="3">
        <v>0</v>
      </c>
      <c r="I195" s="3" t="s">
        <v>52</v>
      </c>
      <c r="J195" s="131" t="s">
        <v>748</v>
      </c>
      <c r="K195" s="3">
        <f t="shared" si="20"/>
        <v>2028</v>
      </c>
      <c r="L195" s="130">
        <f t="shared" si="21"/>
        <v>2028.4166666666667</v>
      </c>
      <c r="M195" s="139">
        <v>41692.339999999997</v>
      </c>
      <c r="N195" s="139">
        <f t="shared" si="22"/>
        <v>41692.339999999997</v>
      </c>
      <c r="O195" s="139">
        <f t="shared" si="23"/>
        <v>289.53013888888887</v>
      </c>
      <c r="P195" s="139">
        <f t="shared" si="24"/>
        <v>3474.3616666666667</v>
      </c>
      <c r="Q195" s="342">
        <f t="shared" si="27"/>
        <v>3474.3616666666667</v>
      </c>
      <c r="R195" s="341"/>
      <c r="S195" s="342">
        <f t="shared" si="25"/>
        <v>27505.363194443915</v>
      </c>
      <c r="T195" s="139">
        <f t="shared" si="28"/>
        <v>30979.724861110582</v>
      </c>
      <c r="U195" s="139">
        <f t="shared" si="26"/>
        <v>10712.615138889414</v>
      </c>
      <c r="V195" s="11">
        <f t="shared" si="29"/>
        <v>10712.615138889414</v>
      </c>
    </row>
    <row r="196" spans="3:22" ht="12" customHeight="1">
      <c r="C196" s="20">
        <v>173657</v>
      </c>
      <c r="D196" s="20">
        <v>40</v>
      </c>
      <c r="E196" s="3" t="s">
        <v>740</v>
      </c>
      <c r="F196" s="3">
        <v>2016</v>
      </c>
      <c r="G196" s="3">
        <v>5</v>
      </c>
      <c r="H196" s="3">
        <v>0</v>
      </c>
      <c r="I196" s="3" t="s">
        <v>52</v>
      </c>
      <c r="J196" s="131" t="s">
        <v>748</v>
      </c>
      <c r="K196" s="3">
        <f t="shared" si="20"/>
        <v>2028</v>
      </c>
      <c r="L196" s="130">
        <f t="shared" si="21"/>
        <v>2028.4166666666667</v>
      </c>
      <c r="M196" s="139">
        <v>20567.2</v>
      </c>
      <c r="N196" s="139">
        <f t="shared" si="22"/>
        <v>20567.2</v>
      </c>
      <c r="O196" s="139">
        <f t="shared" si="23"/>
        <v>142.82777777777778</v>
      </c>
      <c r="P196" s="139">
        <f t="shared" si="24"/>
        <v>1713.9333333333334</v>
      </c>
      <c r="Q196" s="342">
        <f t="shared" si="27"/>
        <v>1713.9333333333334</v>
      </c>
      <c r="R196" s="341"/>
      <c r="S196" s="342">
        <f t="shared" si="25"/>
        <v>13568.638888888629</v>
      </c>
      <c r="T196" s="139">
        <f t="shared" si="28"/>
        <v>15282.572222221963</v>
      </c>
      <c r="U196" s="139">
        <f t="shared" si="26"/>
        <v>5284.6277777780379</v>
      </c>
      <c r="V196" s="11">
        <f t="shared" si="29"/>
        <v>5284.6277777780379</v>
      </c>
    </row>
    <row r="197" spans="3:22" ht="12" customHeight="1">
      <c r="C197" s="20">
        <v>173658</v>
      </c>
      <c r="D197" s="20">
        <v>30</v>
      </c>
      <c r="E197" s="3" t="s">
        <v>741</v>
      </c>
      <c r="F197" s="3">
        <v>2016</v>
      </c>
      <c r="G197" s="3">
        <v>5</v>
      </c>
      <c r="H197" s="3">
        <v>0</v>
      </c>
      <c r="I197" s="3" t="s">
        <v>52</v>
      </c>
      <c r="J197" s="131" t="s">
        <v>748</v>
      </c>
      <c r="K197" s="3">
        <f t="shared" si="20"/>
        <v>2028</v>
      </c>
      <c r="L197" s="130">
        <f t="shared" si="21"/>
        <v>2028.4166666666667</v>
      </c>
      <c r="M197" s="139">
        <v>25435.5</v>
      </c>
      <c r="N197" s="139">
        <f t="shared" si="22"/>
        <v>25435.5</v>
      </c>
      <c r="O197" s="139">
        <f t="shared" si="23"/>
        <v>176.63541666666666</v>
      </c>
      <c r="P197" s="139">
        <f t="shared" si="24"/>
        <v>2119.625</v>
      </c>
      <c r="Q197" s="342">
        <f t="shared" si="27"/>
        <v>2119.625</v>
      </c>
      <c r="R197" s="341"/>
      <c r="S197" s="342">
        <f t="shared" si="25"/>
        <v>16780.364583333012</v>
      </c>
      <c r="T197" s="139">
        <f t="shared" si="28"/>
        <v>18899.989583333012</v>
      </c>
      <c r="U197" s="139">
        <f t="shared" si="26"/>
        <v>6535.510416666988</v>
      </c>
      <c r="V197" s="11">
        <f t="shared" si="29"/>
        <v>6535.510416666988</v>
      </c>
    </row>
    <row r="198" spans="3:22" ht="12" customHeight="1">
      <c r="C198" s="20">
        <v>173659</v>
      </c>
      <c r="D198" s="20">
        <v>13</v>
      </c>
      <c r="E198" s="3" t="s">
        <v>741</v>
      </c>
      <c r="F198" s="3">
        <v>2016</v>
      </c>
      <c r="G198" s="3">
        <v>5</v>
      </c>
      <c r="H198" s="3">
        <v>0</v>
      </c>
      <c r="I198" s="3" t="s">
        <v>52</v>
      </c>
      <c r="J198" s="131" t="s">
        <v>748</v>
      </c>
      <c r="K198" s="3">
        <f t="shared" si="20"/>
        <v>2028</v>
      </c>
      <c r="L198" s="130">
        <f t="shared" si="21"/>
        <v>2028.4166666666667</v>
      </c>
      <c r="M198" s="139">
        <v>11576.71</v>
      </c>
      <c r="N198" s="139">
        <f t="shared" si="22"/>
        <v>11576.71</v>
      </c>
      <c r="O198" s="139">
        <f t="shared" si="23"/>
        <v>80.393819444444446</v>
      </c>
      <c r="P198" s="139">
        <f t="shared" si="24"/>
        <v>964.72583333333341</v>
      </c>
      <c r="Q198" s="342">
        <f t="shared" si="27"/>
        <v>964.72583333333341</v>
      </c>
      <c r="R198" s="341"/>
      <c r="S198" s="342">
        <f t="shared" si="25"/>
        <v>7637.4128472220746</v>
      </c>
      <c r="T198" s="139">
        <f t="shared" si="28"/>
        <v>8602.1386805554084</v>
      </c>
      <c r="U198" s="139">
        <f t="shared" si="26"/>
        <v>2974.5713194445907</v>
      </c>
      <c r="V198" s="11">
        <f t="shared" si="29"/>
        <v>2974.5713194445907</v>
      </c>
    </row>
    <row r="199" spans="3:22" ht="12" customHeight="1">
      <c r="C199" s="20">
        <v>173662</v>
      </c>
      <c r="D199" s="20">
        <v>12</v>
      </c>
      <c r="E199" s="3" t="s">
        <v>713</v>
      </c>
      <c r="F199" s="3">
        <v>2016</v>
      </c>
      <c r="G199" s="3">
        <v>4</v>
      </c>
      <c r="H199" s="3">
        <v>0</v>
      </c>
      <c r="I199" s="3" t="s">
        <v>52</v>
      </c>
      <c r="J199" s="131" t="s">
        <v>748</v>
      </c>
      <c r="K199" s="3">
        <f t="shared" si="20"/>
        <v>2028</v>
      </c>
      <c r="L199" s="130">
        <f t="shared" si="21"/>
        <v>2028.3333333333333</v>
      </c>
      <c r="M199" s="139">
        <v>10458.64</v>
      </c>
      <c r="N199" s="139">
        <f t="shared" si="22"/>
        <v>10458.64</v>
      </c>
      <c r="O199" s="139">
        <f t="shared" si="23"/>
        <v>72.629444444444445</v>
      </c>
      <c r="P199" s="139">
        <f t="shared" si="24"/>
        <v>871.55333333333328</v>
      </c>
      <c r="Q199" s="342">
        <f t="shared" si="27"/>
        <v>871.55333333333328</v>
      </c>
      <c r="R199" s="341"/>
      <c r="S199" s="342">
        <f t="shared" si="25"/>
        <v>6972.4266666666663</v>
      </c>
      <c r="T199" s="139">
        <f t="shared" si="28"/>
        <v>7843.98</v>
      </c>
      <c r="U199" s="139">
        <f t="shared" si="26"/>
        <v>2614.66</v>
      </c>
      <c r="V199" s="11">
        <f t="shared" si="29"/>
        <v>2614.66</v>
      </c>
    </row>
    <row r="200" spans="3:22" ht="12" customHeight="1">
      <c r="C200" s="20">
        <v>173663</v>
      </c>
      <c r="D200" s="20">
        <v>13</v>
      </c>
      <c r="E200" s="3" t="s">
        <v>742</v>
      </c>
      <c r="F200" s="3">
        <v>2016</v>
      </c>
      <c r="G200" s="3">
        <v>4</v>
      </c>
      <c r="H200" s="3">
        <v>0</v>
      </c>
      <c r="I200" s="3" t="s">
        <v>52</v>
      </c>
      <c r="J200" s="131" t="s">
        <v>748</v>
      </c>
      <c r="K200" s="3">
        <f t="shared" si="20"/>
        <v>2028</v>
      </c>
      <c r="L200" s="130">
        <f t="shared" si="21"/>
        <v>2028.3333333333333</v>
      </c>
      <c r="M200" s="139">
        <v>8619.26</v>
      </c>
      <c r="N200" s="139">
        <f t="shared" si="22"/>
        <v>8619.26</v>
      </c>
      <c r="O200" s="139">
        <f t="shared" si="23"/>
        <v>59.855972222222221</v>
      </c>
      <c r="P200" s="139">
        <f t="shared" si="24"/>
        <v>718.27166666666665</v>
      </c>
      <c r="Q200" s="342">
        <f t="shared" si="27"/>
        <v>718.27166666666665</v>
      </c>
      <c r="R200" s="341"/>
      <c r="S200" s="342">
        <f t="shared" si="25"/>
        <v>5746.1733333333341</v>
      </c>
      <c r="T200" s="139">
        <f t="shared" si="28"/>
        <v>6464.4450000000006</v>
      </c>
      <c r="U200" s="139">
        <f t="shared" si="26"/>
        <v>2154.8149999999996</v>
      </c>
      <c r="V200" s="11">
        <f t="shared" si="29"/>
        <v>2154.8149999999996</v>
      </c>
    </row>
    <row r="201" spans="3:22" ht="12" customHeight="1">
      <c r="C201" s="20">
        <v>173670</v>
      </c>
      <c r="D201" s="20">
        <v>30</v>
      </c>
      <c r="E201" s="3" t="s">
        <v>743</v>
      </c>
      <c r="F201" s="3">
        <v>2016</v>
      </c>
      <c r="G201" s="3">
        <v>12</v>
      </c>
      <c r="H201" s="3">
        <v>0</v>
      </c>
      <c r="I201" s="3" t="s">
        <v>52</v>
      </c>
      <c r="J201" s="131" t="s">
        <v>748</v>
      </c>
      <c r="K201" s="3">
        <f t="shared" si="20"/>
        <v>2028</v>
      </c>
      <c r="L201" s="130">
        <f t="shared" si="21"/>
        <v>2029</v>
      </c>
      <c r="M201" s="139">
        <v>19199.7</v>
      </c>
      <c r="N201" s="139">
        <f t="shared" si="22"/>
        <v>19199.7</v>
      </c>
      <c r="O201" s="139">
        <f t="shared" si="23"/>
        <v>133.33125000000001</v>
      </c>
      <c r="P201" s="139">
        <f t="shared" si="24"/>
        <v>1599.9750000000001</v>
      </c>
      <c r="Q201" s="342">
        <f t="shared" si="27"/>
        <v>1599.9750000000001</v>
      </c>
      <c r="R201" s="341"/>
      <c r="S201" s="342">
        <f t="shared" si="25"/>
        <v>11733.149999999878</v>
      </c>
      <c r="T201" s="139">
        <f t="shared" si="28"/>
        <v>13333.124999999878</v>
      </c>
      <c r="U201" s="139">
        <f t="shared" si="26"/>
        <v>5866.5750000001226</v>
      </c>
      <c r="V201" s="11">
        <f t="shared" si="29"/>
        <v>5866.5750000001226</v>
      </c>
    </row>
    <row r="202" spans="3:22" ht="12" customHeight="1">
      <c r="C202" s="20">
        <v>190183</v>
      </c>
      <c r="D202" s="20">
        <v>15</v>
      </c>
      <c r="E202" s="3" t="s">
        <v>534</v>
      </c>
      <c r="F202" s="3">
        <v>2017</v>
      </c>
      <c r="G202" s="3">
        <v>12</v>
      </c>
      <c r="H202" s="3">
        <v>0</v>
      </c>
      <c r="I202" s="3" t="s">
        <v>52</v>
      </c>
      <c r="J202" s="131">
        <v>12</v>
      </c>
      <c r="K202" s="3">
        <f t="shared" si="20"/>
        <v>2029</v>
      </c>
      <c r="L202" s="130">
        <f t="shared" si="21"/>
        <v>2030</v>
      </c>
      <c r="M202" s="139">
        <v>12736.29</v>
      </c>
      <c r="N202" s="139">
        <f t="shared" si="22"/>
        <v>12736.29</v>
      </c>
      <c r="O202" s="139">
        <f t="shared" si="23"/>
        <v>88.446458333333339</v>
      </c>
      <c r="P202" s="139">
        <f t="shared" si="24"/>
        <v>1061.3575000000001</v>
      </c>
      <c r="Q202" s="342">
        <f t="shared" si="27"/>
        <v>1061.3575000000001</v>
      </c>
      <c r="R202" s="341"/>
      <c r="S202" s="342">
        <f t="shared" si="25"/>
        <v>6721.9308333332538</v>
      </c>
      <c r="T202" s="139">
        <f t="shared" si="28"/>
        <v>7783.2883333332538</v>
      </c>
      <c r="U202" s="139">
        <f t="shared" si="26"/>
        <v>4953.001666666747</v>
      </c>
      <c r="V202" s="11">
        <f t="shared" si="29"/>
        <v>4953.001666666747</v>
      </c>
    </row>
    <row r="203" spans="3:22" ht="12" customHeight="1">
      <c r="C203" s="20">
        <v>190182</v>
      </c>
      <c r="D203" s="20">
        <v>19</v>
      </c>
      <c r="E203" s="3" t="s">
        <v>471</v>
      </c>
      <c r="F203" s="3">
        <v>2017</v>
      </c>
      <c r="G203" s="3">
        <v>12</v>
      </c>
      <c r="H203" s="3">
        <v>0</v>
      </c>
      <c r="I203" s="3" t="s">
        <v>52</v>
      </c>
      <c r="J203" s="131">
        <v>12</v>
      </c>
      <c r="K203" s="3">
        <f t="shared" ref="K203:K227" si="30">F203+J203</f>
        <v>2029</v>
      </c>
      <c r="L203" s="130">
        <f t="shared" ref="L203:L227" si="31">+K203+(G203/12)</f>
        <v>2030</v>
      </c>
      <c r="M203" s="139">
        <v>14023.45</v>
      </c>
      <c r="N203" s="139">
        <f t="shared" ref="N203:N226" si="32">M203-M203*H203</f>
        <v>14023.45</v>
      </c>
      <c r="O203" s="139">
        <f t="shared" ref="O203:O226" si="33">N203/J203/12</f>
        <v>97.385069444444454</v>
      </c>
      <c r="P203" s="139">
        <f t="shared" ref="P203:P226" si="34">+O203*12</f>
        <v>1168.6208333333334</v>
      </c>
      <c r="Q203" s="342">
        <f t="shared" si="27"/>
        <v>1168.6208333333334</v>
      </c>
      <c r="R203" s="341"/>
      <c r="S203" s="342">
        <f t="shared" si="25"/>
        <v>7401.2652777776893</v>
      </c>
      <c r="T203" s="139">
        <f t="shared" si="28"/>
        <v>8569.8861111110236</v>
      </c>
      <c r="U203" s="139">
        <f t="shared" si="26"/>
        <v>5453.5638888889771</v>
      </c>
      <c r="V203" s="11">
        <f t="shared" si="29"/>
        <v>5453.5638888889771</v>
      </c>
    </row>
    <row r="204" spans="3:22" ht="12" customHeight="1">
      <c r="C204" s="20">
        <v>190181</v>
      </c>
      <c r="D204" s="20">
        <v>1</v>
      </c>
      <c r="E204" s="3" t="s">
        <v>535</v>
      </c>
      <c r="F204" s="3">
        <v>2017</v>
      </c>
      <c r="G204" s="3">
        <v>12</v>
      </c>
      <c r="H204" s="3">
        <v>0</v>
      </c>
      <c r="I204" s="3" t="s">
        <v>52</v>
      </c>
      <c r="J204" s="131">
        <v>12</v>
      </c>
      <c r="K204" s="3">
        <f t="shared" si="30"/>
        <v>2029</v>
      </c>
      <c r="L204" s="130">
        <f t="shared" si="31"/>
        <v>2030</v>
      </c>
      <c r="M204" s="139">
        <v>738.08</v>
      </c>
      <c r="N204" s="139">
        <f t="shared" si="32"/>
        <v>738.08</v>
      </c>
      <c r="O204" s="139">
        <f t="shared" si="33"/>
        <v>5.1255555555555556</v>
      </c>
      <c r="P204" s="139">
        <f t="shared" si="34"/>
        <v>61.506666666666668</v>
      </c>
      <c r="Q204" s="342">
        <f t="shared" si="27"/>
        <v>61.506666666666668</v>
      </c>
      <c r="R204" s="341"/>
      <c r="S204" s="342">
        <f t="shared" ref="S204:S251" si="35">+IF($L204&lt;=$N$7,$M204,IF(($F204+($G204/12))&gt;=$N$7,0,((($N204-((($L204-$N$7)*12)*$O204))))))</f>
        <v>389.54222222221762</v>
      </c>
      <c r="T204" s="139">
        <f t="shared" si="28"/>
        <v>451.04888888888428</v>
      </c>
      <c r="U204" s="139">
        <f t="shared" ref="U204:U238" si="36">M204-T204</f>
        <v>287.03111111111576</v>
      </c>
      <c r="V204" s="11">
        <f t="shared" si="29"/>
        <v>287.03111111111576</v>
      </c>
    </row>
    <row r="205" spans="3:22" ht="12" customHeight="1">
      <c r="C205" s="20">
        <v>190180</v>
      </c>
      <c r="D205" s="20">
        <v>1</v>
      </c>
      <c r="E205" s="3" t="s">
        <v>327</v>
      </c>
      <c r="F205" s="3">
        <v>2017</v>
      </c>
      <c r="G205" s="3">
        <v>12</v>
      </c>
      <c r="H205" s="3">
        <v>0</v>
      </c>
      <c r="I205" s="3" t="s">
        <v>52</v>
      </c>
      <c r="J205" s="131">
        <v>12</v>
      </c>
      <c r="K205" s="3">
        <f t="shared" si="30"/>
        <v>2029</v>
      </c>
      <c r="L205" s="130">
        <f t="shared" si="31"/>
        <v>2030</v>
      </c>
      <c r="M205" s="139">
        <v>677.85</v>
      </c>
      <c r="N205" s="139">
        <f t="shared" si="32"/>
        <v>677.85</v>
      </c>
      <c r="O205" s="139">
        <f t="shared" si="33"/>
        <v>4.7072916666666673</v>
      </c>
      <c r="P205" s="139">
        <f t="shared" si="34"/>
        <v>56.487500000000011</v>
      </c>
      <c r="Q205" s="342">
        <f t="shared" ref="Q205:Q251" si="37">IF(L205&lt;=$N$6,0,P205)</f>
        <v>56.487500000000011</v>
      </c>
      <c r="R205" s="341"/>
      <c r="S205" s="342">
        <f t="shared" si="35"/>
        <v>357.75416666666234</v>
      </c>
      <c r="T205" s="139">
        <f t="shared" ref="T205:T251" si="38">IF(L205&lt;=$N$6,M205,Q205+S205)</f>
        <v>414.24166666666235</v>
      </c>
      <c r="U205" s="139">
        <f t="shared" si="36"/>
        <v>263.60833333333767</v>
      </c>
      <c r="V205" s="11">
        <f t="shared" si="29"/>
        <v>263.60833333333767</v>
      </c>
    </row>
    <row r="206" spans="3:22" ht="12" customHeight="1">
      <c r="C206" s="20">
        <v>190070</v>
      </c>
      <c r="D206" s="20">
        <v>25</v>
      </c>
      <c r="E206" s="3" t="s">
        <v>536</v>
      </c>
      <c r="F206" s="3">
        <v>2017</v>
      </c>
      <c r="G206" s="3">
        <v>12</v>
      </c>
      <c r="H206" s="3">
        <v>0</v>
      </c>
      <c r="I206" s="3" t="s">
        <v>52</v>
      </c>
      <c r="J206" s="131">
        <v>12</v>
      </c>
      <c r="K206" s="3">
        <f t="shared" si="30"/>
        <v>2029</v>
      </c>
      <c r="L206" s="130">
        <f t="shared" si="31"/>
        <v>2030</v>
      </c>
      <c r="M206" s="139">
        <v>16723.55</v>
      </c>
      <c r="N206" s="139">
        <f t="shared" si="32"/>
        <v>16723.55</v>
      </c>
      <c r="O206" s="139">
        <f t="shared" si="33"/>
        <v>116.13576388888889</v>
      </c>
      <c r="P206" s="139">
        <f t="shared" si="34"/>
        <v>1393.6291666666666</v>
      </c>
      <c r="Q206" s="342">
        <f t="shared" si="37"/>
        <v>1393.6291666666666</v>
      </c>
      <c r="R206" s="341"/>
      <c r="S206" s="342">
        <f t="shared" si="35"/>
        <v>8826.31805555545</v>
      </c>
      <c r="T206" s="139">
        <f t="shared" si="38"/>
        <v>10219.947222222116</v>
      </c>
      <c r="U206" s="139">
        <f t="shared" si="36"/>
        <v>6503.6027777778836</v>
      </c>
      <c r="V206" s="11">
        <f t="shared" si="29"/>
        <v>6503.6027777778836</v>
      </c>
    </row>
    <row r="207" spans="3:22" ht="12" customHeight="1">
      <c r="C207" s="20">
        <v>190069</v>
      </c>
      <c r="D207" s="20">
        <v>25</v>
      </c>
      <c r="E207" s="3" t="s">
        <v>537</v>
      </c>
      <c r="F207" s="3">
        <v>2017</v>
      </c>
      <c r="G207" s="3">
        <v>12</v>
      </c>
      <c r="H207" s="3">
        <v>0</v>
      </c>
      <c r="I207" s="3" t="s">
        <v>52</v>
      </c>
      <c r="J207" s="131">
        <v>12</v>
      </c>
      <c r="K207" s="3">
        <f t="shared" si="30"/>
        <v>2029</v>
      </c>
      <c r="L207" s="130">
        <f t="shared" si="31"/>
        <v>2030</v>
      </c>
      <c r="M207" s="139">
        <v>15212.43</v>
      </c>
      <c r="N207" s="139">
        <f t="shared" si="32"/>
        <v>15212.43</v>
      </c>
      <c r="O207" s="139">
        <f t="shared" si="33"/>
        <v>105.64187500000001</v>
      </c>
      <c r="P207" s="139">
        <f t="shared" si="34"/>
        <v>1267.7025000000001</v>
      </c>
      <c r="Q207" s="342">
        <f t="shared" si="37"/>
        <v>1267.7025000000001</v>
      </c>
      <c r="R207" s="341"/>
      <c r="S207" s="342">
        <f t="shared" si="35"/>
        <v>8028.7824999999029</v>
      </c>
      <c r="T207" s="139">
        <f t="shared" si="38"/>
        <v>9296.4849999999024</v>
      </c>
      <c r="U207" s="139">
        <f t="shared" si="36"/>
        <v>5915.9450000000979</v>
      </c>
      <c r="V207" s="11">
        <f t="shared" si="29"/>
        <v>5915.9450000000979</v>
      </c>
    </row>
    <row r="208" spans="3:22" ht="12" customHeight="1">
      <c r="C208" s="20">
        <v>190068</v>
      </c>
      <c r="D208" s="20">
        <v>19</v>
      </c>
      <c r="E208" s="3" t="s">
        <v>472</v>
      </c>
      <c r="F208" s="3">
        <v>2017</v>
      </c>
      <c r="G208" s="3">
        <v>12</v>
      </c>
      <c r="H208" s="3">
        <v>0</v>
      </c>
      <c r="I208" s="3" t="s">
        <v>52</v>
      </c>
      <c r="J208" s="131">
        <v>12</v>
      </c>
      <c r="K208" s="3">
        <f t="shared" si="30"/>
        <v>2029</v>
      </c>
      <c r="L208" s="130">
        <f t="shared" si="31"/>
        <v>2030</v>
      </c>
      <c r="M208" s="139">
        <v>12188.71</v>
      </c>
      <c r="N208" s="139">
        <f t="shared" si="32"/>
        <v>12188.71</v>
      </c>
      <c r="O208" s="139">
        <f t="shared" si="33"/>
        <v>84.643819444444446</v>
      </c>
      <c r="P208" s="139">
        <f t="shared" si="34"/>
        <v>1015.7258333333334</v>
      </c>
      <c r="Q208" s="342">
        <f t="shared" si="37"/>
        <v>1015.7258333333334</v>
      </c>
      <c r="R208" s="341"/>
      <c r="S208" s="342">
        <f t="shared" si="35"/>
        <v>6432.9302777777002</v>
      </c>
      <c r="T208" s="139">
        <f t="shared" si="38"/>
        <v>7448.6561111110332</v>
      </c>
      <c r="U208" s="139">
        <f t="shared" si="36"/>
        <v>4740.053888888966</v>
      </c>
      <c r="V208" s="11">
        <f t="shared" si="29"/>
        <v>4740.053888888966</v>
      </c>
    </row>
    <row r="209" spans="3:22" ht="12" customHeight="1">
      <c r="C209" s="20">
        <v>190067</v>
      </c>
      <c r="D209" s="20">
        <v>25</v>
      </c>
      <c r="E209" s="3" t="s">
        <v>534</v>
      </c>
      <c r="F209" s="3">
        <v>2017</v>
      </c>
      <c r="G209" s="3">
        <v>10</v>
      </c>
      <c r="H209" s="3">
        <v>0</v>
      </c>
      <c r="I209" s="3" t="s">
        <v>52</v>
      </c>
      <c r="J209" s="131">
        <v>12</v>
      </c>
      <c r="K209" s="3">
        <f t="shared" si="30"/>
        <v>2029</v>
      </c>
      <c r="L209" s="130">
        <f t="shared" si="31"/>
        <v>2029.8333333333333</v>
      </c>
      <c r="M209" s="139">
        <v>22541.040000000001</v>
      </c>
      <c r="N209" s="139">
        <f t="shared" si="32"/>
        <v>22541.040000000001</v>
      </c>
      <c r="O209" s="139">
        <f t="shared" si="33"/>
        <v>156.535</v>
      </c>
      <c r="P209" s="139">
        <f t="shared" si="34"/>
        <v>1878.42</v>
      </c>
      <c r="Q209" s="342">
        <f t="shared" si="37"/>
        <v>1878.42</v>
      </c>
      <c r="R209" s="341"/>
      <c r="S209" s="342">
        <f t="shared" si="35"/>
        <v>12209.730000000001</v>
      </c>
      <c r="T209" s="139">
        <f t="shared" si="38"/>
        <v>14088.150000000001</v>
      </c>
      <c r="U209" s="139">
        <f t="shared" si="36"/>
        <v>8452.89</v>
      </c>
      <c r="V209" s="11">
        <f t="shared" si="29"/>
        <v>8452.89</v>
      </c>
    </row>
    <row r="210" spans="3:22" ht="12" customHeight="1">
      <c r="C210" s="20">
        <v>188020</v>
      </c>
      <c r="D210" s="20">
        <v>12</v>
      </c>
      <c r="E210" s="3" t="s">
        <v>538</v>
      </c>
      <c r="F210" s="3">
        <v>2017</v>
      </c>
      <c r="G210" s="3">
        <v>5</v>
      </c>
      <c r="H210" s="3">
        <v>0</v>
      </c>
      <c r="I210" s="3" t="s">
        <v>52</v>
      </c>
      <c r="J210" s="131">
        <v>12</v>
      </c>
      <c r="K210" s="3">
        <f t="shared" si="30"/>
        <v>2029</v>
      </c>
      <c r="L210" s="130">
        <f t="shared" si="31"/>
        <v>2029.4166666666667</v>
      </c>
      <c r="M210" s="139">
        <v>10576.78</v>
      </c>
      <c r="N210" s="139">
        <f t="shared" si="32"/>
        <v>10576.78</v>
      </c>
      <c r="O210" s="139">
        <f t="shared" si="33"/>
        <v>73.449861111111119</v>
      </c>
      <c r="P210" s="139">
        <f t="shared" si="34"/>
        <v>881.39833333333343</v>
      </c>
      <c r="Q210" s="342">
        <f t="shared" si="37"/>
        <v>881.39833333333343</v>
      </c>
      <c r="R210" s="341"/>
      <c r="S210" s="342">
        <f t="shared" si="35"/>
        <v>6096.338472222089</v>
      </c>
      <c r="T210" s="139">
        <f t="shared" si="38"/>
        <v>6977.7368055554225</v>
      </c>
      <c r="U210" s="139">
        <f t="shared" si="36"/>
        <v>3599.0431944445781</v>
      </c>
      <c r="V210" s="11">
        <f t="shared" si="29"/>
        <v>3599.0431944445781</v>
      </c>
    </row>
    <row r="211" spans="3:22" ht="12" customHeight="1">
      <c r="C211" s="20">
        <v>188019</v>
      </c>
      <c r="D211" s="20">
        <v>9</v>
      </c>
      <c r="E211" s="3" t="s">
        <v>538</v>
      </c>
      <c r="F211" s="3">
        <v>2017</v>
      </c>
      <c r="G211" s="3">
        <v>5</v>
      </c>
      <c r="H211" s="3">
        <v>0</v>
      </c>
      <c r="I211" s="3" t="s">
        <v>52</v>
      </c>
      <c r="J211" s="131">
        <v>12</v>
      </c>
      <c r="K211" s="3">
        <f t="shared" si="30"/>
        <v>2029</v>
      </c>
      <c r="L211" s="130">
        <f t="shared" si="31"/>
        <v>2029.4166666666667</v>
      </c>
      <c r="M211" s="139">
        <v>7932.58</v>
      </c>
      <c r="N211" s="139">
        <f t="shared" si="32"/>
        <v>7932.58</v>
      </c>
      <c r="O211" s="139">
        <f t="shared" si="33"/>
        <v>55.087361111111107</v>
      </c>
      <c r="P211" s="139">
        <f t="shared" si="34"/>
        <v>661.04833333333329</v>
      </c>
      <c r="Q211" s="342">
        <f t="shared" si="37"/>
        <v>661.04833333333329</v>
      </c>
      <c r="R211" s="341"/>
      <c r="S211" s="342">
        <f t="shared" si="35"/>
        <v>4572.2509722221221</v>
      </c>
      <c r="T211" s="139">
        <f t="shared" si="38"/>
        <v>5233.2993055554552</v>
      </c>
      <c r="U211" s="139">
        <f t="shared" si="36"/>
        <v>2699.2806944445447</v>
      </c>
      <c r="V211" s="11">
        <f t="shared" si="29"/>
        <v>2699.2806944445447</v>
      </c>
    </row>
    <row r="212" spans="3:22" ht="12" customHeight="1">
      <c r="C212" s="20">
        <v>188018</v>
      </c>
      <c r="D212" s="20">
        <v>9</v>
      </c>
      <c r="E212" s="3" t="s">
        <v>538</v>
      </c>
      <c r="F212" s="3">
        <v>2017</v>
      </c>
      <c r="G212" s="3">
        <v>5</v>
      </c>
      <c r="H212" s="3">
        <v>0</v>
      </c>
      <c r="I212" s="3" t="s">
        <v>52</v>
      </c>
      <c r="J212" s="131">
        <v>12</v>
      </c>
      <c r="K212" s="3">
        <f t="shared" si="30"/>
        <v>2029</v>
      </c>
      <c r="L212" s="130">
        <f t="shared" si="31"/>
        <v>2029.4166666666667</v>
      </c>
      <c r="M212" s="139">
        <v>7932.58</v>
      </c>
      <c r="N212" s="139">
        <f t="shared" si="32"/>
        <v>7932.58</v>
      </c>
      <c r="O212" s="139">
        <f t="shared" si="33"/>
        <v>55.087361111111107</v>
      </c>
      <c r="P212" s="139">
        <f t="shared" si="34"/>
        <v>661.04833333333329</v>
      </c>
      <c r="Q212" s="342">
        <f t="shared" si="37"/>
        <v>661.04833333333329</v>
      </c>
      <c r="R212" s="341"/>
      <c r="S212" s="342">
        <f t="shared" si="35"/>
        <v>4572.2509722221221</v>
      </c>
      <c r="T212" s="139">
        <f t="shared" si="38"/>
        <v>5233.2993055554552</v>
      </c>
      <c r="U212" s="139">
        <f t="shared" si="36"/>
        <v>2699.2806944445447</v>
      </c>
      <c r="V212" s="11">
        <f t="shared" si="29"/>
        <v>2699.2806944445447</v>
      </c>
    </row>
    <row r="213" spans="3:22" ht="12" customHeight="1">
      <c r="C213" s="20">
        <v>184458</v>
      </c>
      <c r="D213" s="20">
        <v>40</v>
      </c>
      <c r="E213" s="3" t="s">
        <v>543</v>
      </c>
      <c r="F213" s="3">
        <v>2017</v>
      </c>
      <c r="G213" s="3">
        <v>3</v>
      </c>
      <c r="H213" s="3">
        <v>0</v>
      </c>
      <c r="I213" s="3" t="s">
        <v>52</v>
      </c>
      <c r="J213" s="131">
        <v>12</v>
      </c>
      <c r="K213" s="3">
        <f t="shared" si="30"/>
        <v>2029</v>
      </c>
      <c r="L213" s="130">
        <f t="shared" si="31"/>
        <v>2029.25</v>
      </c>
      <c r="M213" s="139">
        <v>23674.15</v>
      </c>
      <c r="N213" s="139">
        <f t="shared" si="32"/>
        <v>23674.15</v>
      </c>
      <c r="O213" s="139">
        <f t="shared" si="33"/>
        <v>164.40381944444445</v>
      </c>
      <c r="P213" s="139">
        <f t="shared" si="34"/>
        <v>1972.8458333333333</v>
      </c>
      <c r="Q213" s="342">
        <f t="shared" si="37"/>
        <v>1972.8458333333333</v>
      </c>
      <c r="R213" s="341"/>
      <c r="S213" s="342">
        <f t="shared" si="35"/>
        <v>13974.32465277763</v>
      </c>
      <c r="T213" s="139">
        <f t="shared" si="38"/>
        <v>15947.170486110963</v>
      </c>
      <c r="U213" s="139">
        <f t="shared" si="36"/>
        <v>7726.9795138890386</v>
      </c>
      <c r="V213" s="11">
        <f t="shared" si="29"/>
        <v>7726.9795138890386</v>
      </c>
    </row>
    <row r="214" spans="3:22" ht="12" customHeight="1">
      <c r="C214" s="20">
        <v>185707</v>
      </c>
      <c r="D214" s="20">
        <v>10</v>
      </c>
      <c r="E214" s="3" t="s">
        <v>744</v>
      </c>
      <c r="F214" s="3">
        <v>2017</v>
      </c>
      <c r="G214" s="3">
        <v>4</v>
      </c>
      <c r="H214" s="3">
        <v>0</v>
      </c>
      <c r="I214" s="3" t="s">
        <v>52</v>
      </c>
      <c r="J214" s="131" t="s">
        <v>748</v>
      </c>
      <c r="K214" s="3">
        <f t="shared" si="30"/>
        <v>2029</v>
      </c>
      <c r="L214" s="130">
        <f t="shared" si="31"/>
        <v>2029.3333333333333</v>
      </c>
      <c r="M214" s="139">
        <v>10677.44</v>
      </c>
      <c r="N214" s="139">
        <f t="shared" si="32"/>
        <v>10677.44</v>
      </c>
      <c r="O214" s="139">
        <f t="shared" si="33"/>
        <v>74.148888888888891</v>
      </c>
      <c r="P214" s="139">
        <f t="shared" si="34"/>
        <v>889.78666666666663</v>
      </c>
      <c r="Q214" s="342">
        <f t="shared" si="37"/>
        <v>889.78666666666663</v>
      </c>
      <c r="R214" s="341"/>
      <c r="S214" s="342">
        <f t="shared" si="35"/>
        <v>6228.5066666666671</v>
      </c>
      <c r="T214" s="139">
        <f t="shared" si="38"/>
        <v>7118.293333333334</v>
      </c>
      <c r="U214" s="139">
        <f t="shared" si="36"/>
        <v>3559.1466666666665</v>
      </c>
      <c r="V214" s="11">
        <f t="shared" si="29"/>
        <v>3559.1466666666665</v>
      </c>
    </row>
    <row r="215" spans="3:22" ht="12" customHeight="1">
      <c r="C215" s="20">
        <v>188276</v>
      </c>
      <c r="D215" s="20">
        <v>11</v>
      </c>
      <c r="E215" s="3" t="s">
        <v>745</v>
      </c>
      <c r="F215" s="3">
        <v>2017</v>
      </c>
      <c r="G215" s="3">
        <v>1</v>
      </c>
      <c r="H215" s="3">
        <v>0</v>
      </c>
      <c r="I215" s="3" t="s">
        <v>52</v>
      </c>
      <c r="J215" s="131" t="s">
        <v>748</v>
      </c>
      <c r="K215" s="3">
        <f t="shared" si="30"/>
        <v>2029</v>
      </c>
      <c r="L215" s="130">
        <f t="shared" si="31"/>
        <v>2029.0833333333333</v>
      </c>
      <c r="M215" s="139">
        <v>5886.98</v>
      </c>
      <c r="N215" s="139">
        <f t="shared" si="32"/>
        <v>5886.98</v>
      </c>
      <c r="O215" s="139">
        <f t="shared" si="33"/>
        <v>40.881805555555552</v>
      </c>
      <c r="P215" s="139">
        <f t="shared" si="34"/>
        <v>490.58166666666659</v>
      </c>
      <c r="Q215" s="342">
        <f t="shared" si="37"/>
        <v>490.58166666666659</v>
      </c>
      <c r="R215" s="341"/>
      <c r="S215" s="342">
        <f t="shared" si="35"/>
        <v>3556.717083333333</v>
      </c>
      <c r="T215" s="139">
        <f t="shared" si="38"/>
        <v>4047.2987499999995</v>
      </c>
      <c r="U215" s="139">
        <f t="shared" si="36"/>
        <v>1839.6812500000001</v>
      </c>
      <c r="V215" s="11">
        <f t="shared" si="29"/>
        <v>1839.6812500000001</v>
      </c>
    </row>
    <row r="216" spans="3:22" ht="12" customHeight="1">
      <c r="C216" s="20">
        <v>188277</v>
      </c>
      <c r="D216" s="20">
        <v>35</v>
      </c>
      <c r="E216" s="3" t="s">
        <v>674</v>
      </c>
      <c r="F216" s="3">
        <v>2017</v>
      </c>
      <c r="G216" s="3">
        <v>1</v>
      </c>
      <c r="H216" s="3">
        <v>0</v>
      </c>
      <c r="I216" s="3" t="s">
        <v>52</v>
      </c>
      <c r="J216" s="131" t="s">
        <v>748</v>
      </c>
      <c r="K216" s="3">
        <f t="shared" si="30"/>
        <v>2029</v>
      </c>
      <c r="L216" s="130">
        <f t="shared" si="31"/>
        <v>2029.0833333333333</v>
      </c>
      <c r="M216" s="139">
        <v>19535.39</v>
      </c>
      <c r="N216" s="139">
        <f t="shared" si="32"/>
        <v>19535.39</v>
      </c>
      <c r="O216" s="139">
        <f t="shared" si="33"/>
        <v>135.66243055555555</v>
      </c>
      <c r="P216" s="139">
        <f t="shared" si="34"/>
        <v>1627.9491666666665</v>
      </c>
      <c r="Q216" s="342">
        <f t="shared" si="37"/>
        <v>1627.9491666666665</v>
      </c>
      <c r="R216" s="341"/>
      <c r="S216" s="342">
        <f t="shared" si="35"/>
        <v>11802.631458333333</v>
      </c>
      <c r="T216" s="139">
        <f t="shared" si="38"/>
        <v>13430.580625000001</v>
      </c>
      <c r="U216" s="139">
        <f t="shared" si="36"/>
        <v>6104.8093749999989</v>
      </c>
      <c r="V216" s="11">
        <f t="shared" si="29"/>
        <v>6104.8093749999989</v>
      </c>
    </row>
    <row r="217" spans="3:22" ht="12" customHeight="1">
      <c r="C217" s="20">
        <v>188278</v>
      </c>
      <c r="D217" s="20">
        <v>29</v>
      </c>
      <c r="E217" s="3" t="s">
        <v>745</v>
      </c>
      <c r="F217" s="3">
        <v>2017</v>
      </c>
      <c r="G217" s="3">
        <v>1</v>
      </c>
      <c r="H217" s="3">
        <v>0</v>
      </c>
      <c r="I217" s="3" t="s">
        <v>52</v>
      </c>
      <c r="J217" s="131" t="s">
        <v>748</v>
      </c>
      <c r="K217" s="3">
        <f t="shared" si="30"/>
        <v>2029</v>
      </c>
      <c r="L217" s="130">
        <f t="shared" si="31"/>
        <v>2029.0833333333333</v>
      </c>
      <c r="M217" s="139">
        <v>15265.78</v>
      </c>
      <c r="N217" s="139">
        <f t="shared" si="32"/>
        <v>15265.78</v>
      </c>
      <c r="O217" s="139">
        <f t="shared" si="33"/>
        <v>106.0123611111111</v>
      </c>
      <c r="P217" s="139">
        <f t="shared" si="34"/>
        <v>1272.1483333333333</v>
      </c>
      <c r="Q217" s="342">
        <f t="shared" si="37"/>
        <v>1272.1483333333333</v>
      </c>
      <c r="R217" s="341"/>
      <c r="S217" s="342">
        <f t="shared" si="35"/>
        <v>9223.0754166666666</v>
      </c>
      <c r="T217" s="139">
        <f t="shared" si="38"/>
        <v>10495.223749999999</v>
      </c>
      <c r="U217" s="139">
        <f t="shared" si="36"/>
        <v>4770.5562500000015</v>
      </c>
      <c r="V217" s="11">
        <f t="shared" si="29"/>
        <v>4770.5562500000015</v>
      </c>
    </row>
    <row r="218" spans="3:22" ht="12" customHeight="1">
      <c r="C218" s="20">
        <v>188279</v>
      </c>
      <c r="D218" s="20">
        <v>30</v>
      </c>
      <c r="E218" s="3" t="s">
        <v>746</v>
      </c>
      <c r="F218" s="3">
        <v>2017</v>
      </c>
      <c r="G218" s="3">
        <v>1</v>
      </c>
      <c r="H218" s="3">
        <v>0</v>
      </c>
      <c r="I218" s="3" t="s">
        <v>52</v>
      </c>
      <c r="J218" s="131" t="s">
        <v>748</v>
      </c>
      <c r="K218" s="3">
        <f t="shared" si="30"/>
        <v>2029</v>
      </c>
      <c r="L218" s="130">
        <f t="shared" si="31"/>
        <v>2029.0833333333333</v>
      </c>
      <c r="M218" s="139">
        <v>16054.75</v>
      </c>
      <c r="N218" s="139">
        <f t="shared" si="32"/>
        <v>16054.75</v>
      </c>
      <c r="O218" s="139">
        <f t="shared" si="33"/>
        <v>111.49131944444444</v>
      </c>
      <c r="P218" s="139">
        <f t="shared" si="34"/>
        <v>1337.8958333333333</v>
      </c>
      <c r="Q218" s="342">
        <f t="shared" si="37"/>
        <v>1337.8958333333333</v>
      </c>
      <c r="R218" s="341"/>
      <c r="S218" s="342">
        <f t="shared" si="35"/>
        <v>9699.7447916666679</v>
      </c>
      <c r="T218" s="139">
        <f t="shared" si="38"/>
        <v>11037.640625000002</v>
      </c>
      <c r="U218" s="139">
        <f t="shared" si="36"/>
        <v>5017.1093749999982</v>
      </c>
      <c r="V218" s="11">
        <f t="shared" si="29"/>
        <v>5017.1093749999982</v>
      </c>
    </row>
    <row r="219" spans="3:22" ht="12" customHeight="1">
      <c r="C219" s="20">
        <v>188280</v>
      </c>
      <c r="D219" s="20">
        <v>15</v>
      </c>
      <c r="E219" s="3" t="s">
        <v>674</v>
      </c>
      <c r="F219" s="3">
        <v>2017</v>
      </c>
      <c r="G219" s="3">
        <v>1</v>
      </c>
      <c r="H219" s="3">
        <v>0</v>
      </c>
      <c r="I219" s="3" t="s">
        <v>52</v>
      </c>
      <c r="J219" s="131" t="s">
        <v>748</v>
      </c>
      <c r="K219" s="3">
        <f t="shared" si="30"/>
        <v>2029</v>
      </c>
      <c r="L219" s="130">
        <f t="shared" si="31"/>
        <v>2029.0833333333333</v>
      </c>
      <c r="M219" s="139">
        <v>8240.7000000000007</v>
      </c>
      <c r="N219" s="139">
        <f t="shared" si="32"/>
        <v>8240.7000000000007</v>
      </c>
      <c r="O219" s="139">
        <f t="shared" si="33"/>
        <v>57.227083333333333</v>
      </c>
      <c r="P219" s="139">
        <f t="shared" si="34"/>
        <v>686.72500000000002</v>
      </c>
      <c r="Q219" s="342">
        <f t="shared" si="37"/>
        <v>686.72500000000002</v>
      </c>
      <c r="R219" s="341"/>
      <c r="S219" s="342">
        <f t="shared" si="35"/>
        <v>4978.7562500000004</v>
      </c>
      <c r="T219" s="139">
        <f t="shared" si="38"/>
        <v>5665.4812500000007</v>
      </c>
      <c r="U219" s="139">
        <f t="shared" si="36"/>
        <v>2575.21875</v>
      </c>
      <c r="V219" s="11">
        <f t="shared" si="29"/>
        <v>2575.21875</v>
      </c>
    </row>
    <row r="220" spans="3:22" ht="12" customHeight="1">
      <c r="C220" s="20">
        <v>197020</v>
      </c>
      <c r="D220" s="20">
        <v>20</v>
      </c>
      <c r="E220" s="3" t="s">
        <v>531</v>
      </c>
      <c r="F220" s="3">
        <v>2018</v>
      </c>
      <c r="G220" s="3">
        <v>3</v>
      </c>
      <c r="H220" s="3">
        <v>0</v>
      </c>
      <c r="I220" s="3" t="s">
        <v>52</v>
      </c>
      <c r="J220" s="131">
        <v>12</v>
      </c>
      <c r="K220" s="3">
        <f t="shared" si="30"/>
        <v>2030</v>
      </c>
      <c r="L220" s="130">
        <f t="shared" si="31"/>
        <v>2030.25</v>
      </c>
      <c r="M220" s="139">
        <v>18996.43</v>
      </c>
      <c r="N220" s="139">
        <f t="shared" si="32"/>
        <v>18996.43</v>
      </c>
      <c r="O220" s="139">
        <f t="shared" si="33"/>
        <v>131.91965277777777</v>
      </c>
      <c r="P220" s="139">
        <f t="shared" si="34"/>
        <v>1583.0358333333334</v>
      </c>
      <c r="Q220" s="342">
        <f t="shared" si="37"/>
        <v>1583.0358333333334</v>
      </c>
      <c r="R220" s="341"/>
      <c r="S220" s="342">
        <f t="shared" si="35"/>
        <v>9630.1346527776586</v>
      </c>
      <c r="T220" s="139">
        <f t="shared" si="38"/>
        <v>11213.170486110992</v>
      </c>
      <c r="U220" s="139">
        <f t="shared" si="36"/>
        <v>7783.2595138890083</v>
      </c>
      <c r="V220" s="11">
        <f t="shared" si="29"/>
        <v>7783.2595138890083</v>
      </c>
    </row>
    <row r="221" spans="3:22" ht="12" customHeight="1">
      <c r="C221" s="20">
        <v>197019</v>
      </c>
      <c r="D221" s="20">
        <v>18</v>
      </c>
      <c r="E221" s="3" t="s">
        <v>532</v>
      </c>
      <c r="F221" s="3">
        <v>2018</v>
      </c>
      <c r="G221" s="3">
        <v>3</v>
      </c>
      <c r="H221" s="3">
        <v>0</v>
      </c>
      <c r="I221" s="3" t="s">
        <v>52</v>
      </c>
      <c r="J221" s="131">
        <v>12</v>
      </c>
      <c r="K221" s="3">
        <f t="shared" si="30"/>
        <v>2030</v>
      </c>
      <c r="L221" s="130">
        <f t="shared" si="31"/>
        <v>2030.25</v>
      </c>
      <c r="M221" s="139">
        <v>14958.12</v>
      </c>
      <c r="N221" s="139">
        <f t="shared" si="32"/>
        <v>14958.12</v>
      </c>
      <c r="O221" s="139">
        <f t="shared" si="33"/>
        <v>103.87583333333333</v>
      </c>
      <c r="P221" s="139">
        <f t="shared" si="34"/>
        <v>1246.51</v>
      </c>
      <c r="Q221" s="342">
        <f t="shared" si="37"/>
        <v>1246.51</v>
      </c>
      <c r="R221" s="341"/>
      <c r="S221" s="342">
        <f t="shared" si="35"/>
        <v>7582.9358333332393</v>
      </c>
      <c r="T221" s="139">
        <f t="shared" si="38"/>
        <v>8829.4458333332386</v>
      </c>
      <c r="U221" s="139">
        <f t="shared" si="36"/>
        <v>6128.6741666667622</v>
      </c>
      <c r="V221" s="11">
        <f t="shared" si="29"/>
        <v>6128.6741666667622</v>
      </c>
    </row>
    <row r="222" spans="3:22" ht="12" customHeight="1">
      <c r="C222" s="20">
        <v>197018</v>
      </c>
      <c r="D222" s="20">
        <v>15</v>
      </c>
      <c r="E222" s="3" t="s">
        <v>533</v>
      </c>
      <c r="F222" s="3">
        <v>2018</v>
      </c>
      <c r="G222" s="3">
        <v>3</v>
      </c>
      <c r="H222" s="3">
        <v>0</v>
      </c>
      <c r="I222" s="3" t="s">
        <v>52</v>
      </c>
      <c r="J222" s="131">
        <v>12</v>
      </c>
      <c r="K222" s="3">
        <f t="shared" si="30"/>
        <v>2030</v>
      </c>
      <c r="L222" s="130">
        <f t="shared" si="31"/>
        <v>2030.25</v>
      </c>
      <c r="M222" s="139">
        <v>9539.17</v>
      </c>
      <c r="N222" s="139">
        <f t="shared" si="32"/>
        <v>9539.17</v>
      </c>
      <c r="O222" s="139">
        <f t="shared" si="33"/>
        <v>66.244236111111107</v>
      </c>
      <c r="P222" s="139">
        <f t="shared" si="34"/>
        <v>794.93083333333334</v>
      </c>
      <c r="Q222" s="342">
        <f t="shared" si="37"/>
        <v>794.93083333333334</v>
      </c>
      <c r="R222" s="341"/>
      <c r="S222" s="342">
        <f t="shared" si="35"/>
        <v>4835.8292361110516</v>
      </c>
      <c r="T222" s="139">
        <f t="shared" si="38"/>
        <v>5630.7600694443845</v>
      </c>
      <c r="U222" s="139">
        <f t="shared" si="36"/>
        <v>3908.4099305556156</v>
      </c>
      <c r="V222" s="11">
        <f t="shared" si="29"/>
        <v>3908.4099305556156</v>
      </c>
    </row>
    <row r="223" spans="3:22" ht="12" customHeight="1">
      <c r="C223" s="20">
        <v>199096</v>
      </c>
      <c r="D223" s="20">
        <v>15</v>
      </c>
      <c r="E223" s="3" t="s">
        <v>540</v>
      </c>
      <c r="F223" s="3">
        <v>2018</v>
      </c>
      <c r="G223" s="3">
        <v>5</v>
      </c>
      <c r="H223" s="3">
        <v>0</v>
      </c>
      <c r="I223" s="3" t="s">
        <v>52</v>
      </c>
      <c r="J223" s="131">
        <v>12</v>
      </c>
      <c r="K223" s="3">
        <f t="shared" si="30"/>
        <v>2030</v>
      </c>
      <c r="L223" s="130">
        <f t="shared" si="31"/>
        <v>2030.4166666666667</v>
      </c>
      <c r="M223" s="139">
        <v>13539.32</v>
      </c>
      <c r="N223" s="139">
        <f t="shared" si="32"/>
        <v>13539.32</v>
      </c>
      <c r="O223" s="139">
        <f t="shared" si="33"/>
        <v>94.023055555555558</v>
      </c>
      <c r="P223" s="139">
        <f t="shared" si="34"/>
        <v>1128.2766666666666</v>
      </c>
      <c r="Q223" s="342">
        <f t="shared" si="37"/>
        <v>1128.2766666666666</v>
      </c>
      <c r="R223" s="341"/>
      <c r="S223" s="342">
        <f t="shared" si="35"/>
        <v>6675.6369444442726</v>
      </c>
      <c r="T223" s="139">
        <f t="shared" si="38"/>
        <v>7803.9136111109392</v>
      </c>
      <c r="U223" s="139">
        <f t="shared" si="36"/>
        <v>5735.4063888890605</v>
      </c>
      <c r="V223" s="11">
        <f t="shared" si="29"/>
        <v>5735.4063888890605</v>
      </c>
    </row>
    <row r="224" spans="3:22" ht="12" customHeight="1">
      <c r="C224" s="20">
        <v>199095</v>
      </c>
      <c r="D224" s="20">
        <v>15</v>
      </c>
      <c r="E224" s="3" t="s">
        <v>541</v>
      </c>
      <c r="F224" s="3">
        <v>2018</v>
      </c>
      <c r="G224" s="3">
        <v>5</v>
      </c>
      <c r="H224" s="3">
        <v>0</v>
      </c>
      <c r="I224" s="3" t="s">
        <v>52</v>
      </c>
      <c r="J224" s="131">
        <v>12</v>
      </c>
      <c r="K224" s="3">
        <f t="shared" si="30"/>
        <v>2030</v>
      </c>
      <c r="L224" s="130">
        <f t="shared" si="31"/>
        <v>2030.4166666666667</v>
      </c>
      <c r="M224" s="139">
        <v>11547.28</v>
      </c>
      <c r="N224" s="139">
        <f t="shared" si="32"/>
        <v>11547.28</v>
      </c>
      <c r="O224" s="139">
        <f t="shared" si="33"/>
        <v>80.189444444444447</v>
      </c>
      <c r="P224" s="139">
        <f t="shared" si="34"/>
        <v>962.27333333333331</v>
      </c>
      <c r="Q224" s="342">
        <f t="shared" si="37"/>
        <v>962.27333333333331</v>
      </c>
      <c r="R224" s="341"/>
      <c r="S224" s="342">
        <f t="shared" si="35"/>
        <v>5693.4505555554106</v>
      </c>
      <c r="T224" s="139">
        <f t="shared" si="38"/>
        <v>6655.7238888887441</v>
      </c>
      <c r="U224" s="139">
        <f t="shared" si="36"/>
        <v>4891.5561111112565</v>
      </c>
      <c r="V224" s="11">
        <f t="shared" si="29"/>
        <v>4891.5561111112565</v>
      </c>
    </row>
    <row r="225" spans="3:22" ht="12" customHeight="1">
      <c r="C225" s="20">
        <v>203952</v>
      </c>
      <c r="D225" s="20">
        <v>17</v>
      </c>
      <c r="E225" s="3" t="s">
        <v>946</v>
      </c>
      <c r="F225" s="3">
        <v>2018</v>
      </c>
      <c r="G225" s="3">
        <v>8</v>
      </c>
      <c r="H225" s="3">
        <v>0</v>
      </c>
      <c r="I225" s="3" t="s">
        <v>52</v>
      </c>
      <c r="J225" s="131">
        <v>12</v>
      </c>
      <c r="K225" s="3">
        <f t="shared" si="30"/>
        <v>2030</v>
      </c>
      <c r="L225" s="130">
        <f t="shared" si="31"/>
        <v>2030.6666666666667</v>
      </c>
      <c r="M225" s="139">
        <v>19932.96</v>
      </c>
      <c r="N225" s="139">
        <f t="shared" si="32"/>
        <v>19932.96</v>
      </c>
      <c r="O225" s="139">
        <f t="shared" si="33"/>
        <v>138.42333333333332</v>
      </c>
      <c r="P225" s="139">
        <f t="shared" si="34"/>
        <v>1661.08</v>
      </c>
      <c r="Q225" s="342">
        <f t="shared" si="37"/>
        <v>1661.08</v>
      </c>
      <c r="R225" s="341"/>
      <c r="S225" s="342">
        <f t="shared" si="35"/>
        <v>9412.7866666664158</v>
      </c>
      <c r="T225" s="139">
        <f t="shared" si="38"/>
        <v>11073.866666666416</v>
      </c>
      <c r="U225" s="139">
        <f t="shared" si="36"/>
        <v>8859.0933333335834</v>
      </c>
      <c r="V225" s="11">
        <f t="shared" si="29"/>
        <v>8859.0933333335834</v>
      </c>
    </row>
    <row r="226" spans="3:22" ht="12" customHeight="1">
      <c r="C226" s="20">
        <v>203951</v>
      </c>
      <c r="D226" s="20">
        <v>45</v>
      </c>
      <c r="E226" s="3" t="s">
        <v>947</v>
      </c>
      <c r="F226" s="3">
        <v>2018</v>
      </c>
      <c r="G226" s="3">
        <v>8</v>
      </c>
      <c r="H226" s="3">
        <v>0</v>
      </c>
      <c r="I226" s="3" t="s">
        <v>52</v>
      </c>
      <c r="J226" s="131">
        <v>12</v>
      </c>
      <c r="K226" s="3">
        <f t="shared" si="30"/>
        <v>2030</v>
      </c>
      <c r="L226" s="130">
        <f t="shared" si="31"/>
        <v>2030.6666666666667</v>
      </c>
      <c r="M226" s="139">
        <v>30114.18</v>
      </c>
      <c r="N226" s="139">
        <f t="shared" si="32"/>
        <v>30114.18</v>
      </c>
      <c r="O226" s="139">
        <f t="shared" si="33"/>
        <v>209.12625</v>
      </c>
      <c r="P226" s="139">
        <f t="shared" si="34"/>
        <v>2509.5149999999999</v>
      </c>
      <c r="Q226" s="342">
        <f t="shared" si="37"/>
        <v>2509.5149999999999</v>
      </c>
      <c r="R226" s="341"/>
      <c r="S226" s="342">
        <f t="shared" si="35"/>
        <v>14220.584999999621</v>
      </c>
      <c r="T226" s="139">
        <f t="shared" si="38"/>
        <v>16730.09999999962</v>
      </c>
      <c r="U226" s="139">
        <f t="shared" si="36"/>
        <v>13384.08000000038</v>
      </c>
      <c r="V226" s="11">
        <f t="shared" si="29"/>
        <v>13384.08000000038</v>
      </c>
    </row>
    <row r="227" spans="3:22" ht="12" customHeight="1">
      <c r="C227" s="20">
        <v>223804</v>
      </c>
      <c r="D227" s="20">
        <v>13</v>
      </c>
      <c r="E227" s="3" t="s">
        <v>1051</v>
      </c>
      <c r="F227" s="3">
        <v>2019</v>
      </c>
      <c r="G227" s="3">
        <v>10</v>
      </c>
      <c r="H227" s="3">
        <v>0</v>
      </c>
      <c r="I227" s="3" t="s">
        <v>52</v>
      </c>
      <c r="J227" s="131">
        <v>12</v>
      </c>
      <c r="K227" s="3">
        <f t="shared" si="30"/>
        <v>2031</v>
      </c>
      <c r="L227" s="130">
        <f t="shared" si="31"/>
        <v>2031.8333333333333</v>
      </c>
      <c r="M227" s="166">
        <v>12740.06</v>
      </c>
      <c r="N227" s="139">
        <f t="shared" ref="N227:N235" si="39">M227-M227*H227</f>
        <v>12740.06</v>
      </c>
      <c r="O227" s="139">
        <f t="shared" ref="O227:O235" si="40">N227/J227/12</f>
        <v>88.472638888888881</v>
      </c>
      <c r="P227" s="139">
        <f t="shared" ref="P227:P235" si="41">+O227*12</f>
        <v>1061.6716666666666</v>
      </c>
      <c r="Q227" s="342">
        <f t="shared" si="37"/>
        <v>1061.6716666666666</v>
      </c>
      <c r="R227" s="341"/>
      <c r="S227" s="342">
        <f t="shared" si="35"/>
        <v>4777.5225</v>
      </c>
      <c r="T227" s="139">
        <f t="shared" si="38"/>
        <v>5839.1941666666662</v>
      </c>
      <c r="U227" s="139">
        <f t="shared" si="36"/>
        <v>6900.8658333333333</v>
      </c>
      <c r="V227" s="11">
        <f t="shared" ref="V227:V235" si="42">M227-T227</f>
        <v>6900.8658333333333</v>
      </c>
    </row>
    <row r="228" spans="3:22" ht="12" customHeight="1">
      <c r="C228" s="20">
        <v>223803</v>
      </c>
      <c r="D228" s="20">
        <v>7</v>
      </c>
      <c r="E228" s="3" t="s">
        <v>1051</v>
      </c>
      <c r="F228" s="3">
        <v>2019</v>
      </c>
      <c r="G228" s="3">
        <v>10</v>
      </c>
      <c r="H228" s="3">
        <v>0</v>
      </c>
      <c r="I228" s="3" t="s">
        <v>52</v>
      </c>
      <c r="J228" s="131">
        <v>12</v>
      </c>
      <c r="K228" s="3">
        <f t="shared" ref="K228:K247" si="43">F228+J228</f>
        <v>2031</v>
      </c>
      <c r="L228" s="130">
        <f t="shared" ref="L228:L247" si="44">+K228+(G228/12)</f>
        <v>2031.8333333333333</v>
      </c>
      <c r="M228" s="166">
        <v>6860.03</v>
      </c>
      <c r="N228" s="139">
        <f t="shared" si="39"/>
        <v>6860.03</v>
      </c>
      <c r="O228" s="139">
        <f t="shared" si="40"/>
        <v>47.639097222222226</v>
      </c>
      <c r="P228" s="139">
        <f t="shared" si="41"/>
        <v>571.66916666666668</v>
      </c>
      <c r="Q228" s="342">
        <f t="shared" si="37"/>
        <v>571.66916666666668</v>
      </c>
      <c r="R228" s="341"/>
      <c r="S228" s="342">
        <f t="shared" si="35"/>
        <v>2572.5112499999996</v>
      </c>
      <c r="T228" s="139">
        <f t="shared" si="38"/>
        <v>3144.1804166666661</v>
      </c>
      <c r="U228" s="139">
        <f t="shared" si="36"/>
        <v>3715.8495833333336</v>
      </c>
      <c r="V228" s="11">
        <f t="shared" si="42"/>
        <v>3715.8495833333336</v>
      </c>
    </row>
    <row r="229" spans="3:22" ht="12" customHeight="1">
      <c r="C229" s="20">
        <v>223802</v>
      </c>
      <c r="D229" s="20">
        <v>15</v>
      </c>
      <c r="E229" s="3" t="s">
        <v>1052</v>
      </c>
      <c r="F229" s="3">
        <v>2019</v>
      </c>
      <c r="G229" s="3">
        <v>10</v>
      </c>
      <c r="H229" s="3">
        <v>0</v>
      </c>
      <c r="I229" s="3" t="s">
        <v>52</v>
      </c>
      <c r="J229" s="131">
        <v>12</v>
      </c>
      <c r="K229" s="3">
        <f t="shared" si="43"/>
        <v>2031</v>
      </c>
      <c r="L229" s="130">
        <f t="shared" si="44"/>
        <v>2031.8333333333333</v>
      </c>
      <c r="M229" s="166">
        <v>11040.4</v>
      </c>
      <c r="N229" s="139">
        <f t="shared" si="39"/>
        <v>11040.4</v>
      </c>
      <c r="O229" s="139">
        <f t="shared" si="40"/>
        <v>76.669444444444437</v>
      </c>
      <c r="P229" s="139">
        <f t="shared" si="41"/>
        <v>920.0333333333333</v>
      </c>
      <c r="Q229" s="342">
        <f t="shared" si="37"/>
        <v>920.0333333333333</v>
      </c>
      <c r="R229" s="341"/>
      <c r="S229" s="342">
        <f t="shared" si="35"/>
        <v>4140.1500000000005</v>
      </c>
      <c r="T229" s="139">
        <f t="shared" si="38"/>
        <v>5060.1833333333343</v>
      </c>
      <c r="U229" s="139">
        <f t="shared" si="36"/>
        <v>5980.2166666666653</v>
      </c>
      <c r="V229" s="11">
        <f t="shared" si="42"/>
        <v>5980.2166666666653</v>
      </c>
    </row>
    <row r="230" spans="3:22" ht="12" customHeight="1">
      <c r="C230" s="20">
        <v>223801</v>
      </c>
      <c r="D230" s="20">
        <v>20</v>
      </c>
      <c r="E230" s="3" t="s">
        <v>1053</v>
      </c>
      <c r="F230" s="3">
        <v>2019</v>
      </c>
      <c r="G230" s="3">
        <v>10</v>
      </c>
      <c r="H230" s="3">
        <v>0</v>
      </c>
      <c r="I230" s="3" t="s">
        <v>52</v>
      </c>
      <c r="J230" s="131">
        <v>12</v>
      </c>
      <c r="K230" s="3">
        <f t="shared" si="43"/>
        <v>2031</v>
      </c>
      <c r="L230" s="130">
        <f t="shared" si="44"/>
        <v>2031.8333333333333</v>
      </c>
      <c r="M230" s="166">
        <v>12566.49</v>
      </c>
      <c r="N230" s="139">
        <f t="shared" si="39"/>
        <v>12566.49</v>
      </c>
      <c r="O230" s="139">
        <f t="shared" si="40"/>
        <v>87.267291666666665</v>
      </c>
      <c r="P230" s="139">
        <f t="shared" si="41"/>
        <v>1047.2075</v>
      </c>
      <c r="Q230" s="342">
        <f t="shared" si="37"/>
        <v>1047.2075</v>
      </c>
      <c r="R230" s="341"/>
      <c r="S230" s="342">
        <f t="shared" si="35"/>
        <v>4712.4337500000001</v>
      </c>
      <c r="T230" s="139">
        <f t="shared" si="38"/>
        <v>5759.6412500000006</v>
      </c>
      <c r="U230" s="139">
        <f t="shared" si="36"/>
        <v>6806.8487499999992</v>
      </c>
      <c r="V230" s="11">
        <f t="shared" si="42"/>
        <v>6806.8487499999992</v>
      </c>
    </row>
    <row r="231" spans="3:22" ht="12" customHeight="1">
      <c r="C231" s="20">
        <v>223800</v>
      </c>
      <c r="D231" s="20">
        <v>15</v>
      </c>
      <c r="E231" s="3" t="s">
        <v>1054</v>
      </c>
      <c r="F231" s="3">
        <v>2019</v>
      </c>
      <c r="G231" s="3">
        <v>10</v>
      </c>
      <c r="H231" s="3">
        <v>0</v>
      </c>
      <c r="I231" s="3" t="s">
        <v>52</v>
      </c>
      <c r="J231" s="131">
        <v>12</v>
      </c>
      <c r="K231" s="3">
        <f t="shared" si="43"/>
        <v>2031</v>
      </c>
      <c r="L231" s="130">
        <f t="shared" si="44"/>
        <v>2031.8333333333333</v>
      </c>
      <c r="M231" s="166">
        <v>8765.4699999999993</v>
      </c>
      <c r="N231" s="139">
        <f t="shared" si="39"/>
        <v>8765.4699999999993</v>
      </c>
      <c r="O231" s="139">
        <f t="shared" si="40"/>
        <v>60.871319444444445</v>
      </c>
      <c r="P231" s="139">
        <f t="shared" si="41"/>
        <v>730.45583333333332</v>
      </c>
      <c r="Q231" s="342">
        <f t="shared" si="37"/>
        <v>730.45583333333332</v>
      </c>
      <c r="R231" s="341"/>
      <c r="S231" s="342">
        <f t="shared" si="35"/>
        <v>3287.0512499999995</v>
      </c>
      <c r="T231" s="139">
        <f t="shared" si="38"/>
        <v>4017.507083333333</v>
      </c>
      <c r="U231" s="139">
        <f t="shared" si="36"/>
        <v>4747.9629166666664</v>
      </c>
      <c r="V231" s="11">
        <f t="shared" si="42"/>
        <v>4747.9629166666664</v>
      </c>
    </row>
    <row r="232" spans="3:22" ht="12" customHeight="1">
      <c r="C232" s="20">
        <v>223799</v>
      </c>
      <c r="D232" s="20">
        <v>20</v>
      </c>
      <c r="E232" s="3" t="s">
        <v>1055</v>
      </c>
      <c r="F232" s="3">
        <v>2019</v>
      </c>
      <c r="G232" s="3">
        <v>10</v>
      </c>
      <c r="H232" s="3">
        <v>0</v>
      </c>
      <c r="I232" s="3" t="s">
        <v>52</v>
      </c>
      <c r="J232" s="131">
        <v>12</v>
      </c>
      <c r="K232" s="3">
        <f t="shared" si="43"/>
        <v>2031</v>
      </c>
      <c r="L232" s="130">
        <f t="shared" si="44"/>
        <v>2031.8333333333333</v>
      </c>
      <c r="M232" s="166">
        <v>10874.03</v>
      </c>
      <c r="N232" s="139">
        <f t="shared" si="39"/>
        <v>10874.03</v>
      </c>
      <c r="O232" s="139">
        <f t="shared" si="40"/>
        <v>75.514097222222219</v>
      </c>
      <c r="P232" s="139">
        <f t="shared" si="41"/>
        <v>906.16916666666657</v>
      </c>
      <c r="Q232" s="342">
        <f t="shared" si="37"/>
        <v>906.16916666666657</v>
      </c>
      <c r="R232" s="341"/>
      <c r="S232" s="342">
        <f t="shared" si="35"/>
        <v>4077.7612500000014</v>
      </c>
      <c r="T232" s="139">
        <f t="shared" si="38"/>
        <v>4983.930416666668</v>
      </c>
      <c r="U232" s="139">
        <f t="shared" si="36"/>
        <v>5890.0995833333327</v>
      </c>
      <c r="V232" s="11">
        <f t="shared" si="42"/>
        <v>5890.0995833333327</v>
      </c>
    </row>
    <row r="233" spans="3:22" ht="12" customHeight="1">
      <c r="C233" s="20">
        <v>223798</v>
      </c>
      <c r="D233" s="20">
        <v>8</v>
      </c>
      <c r="E233" s="3" t="s">
        <v>1056</v>
      </c>
      <c r="F233" s="3">
        <v>2019</v>
      </c>
      <c r="G233" s="3">
        <v>10</v>
      </c>
      <c r="H233" s="3">
        <v>0</v>
      </c>
      <c r="I233" s="3" t="s">
        <v>52</v>
      </c>
      <c r="J233" s="131">
        <v>12</v>
      </c>
      <c r="K233" s="3">
        <f t="shared" si="43"/>
        <v>2031</v>
      </c>
      <c r="L233" s="130">
        <f t="shared" si="44"/>
        <v>2031.8333333333333</v>
      </c>
      <c r="M233" s="166">
        <v>4965.05</v>
      </c>
      <c r="N233" s="139">
        <f t="shared" si="39"/>
        <v>4965.05</v>
      </c>
      <c r="O233" s="139">
        <f t="shared" si="40"/>
        <v>34.479513888888889</v>
      </c>
      <c r="P233" s="139">
        <f t="shared" si="41"/>
        <v>413.75416666666666</v>
      </c>
      <c r="Q233" s="342">
        <f t="shared" si="37"/>
        <v>413.75416666666666</v>
      </c>
      <c r="R233" s="341"/>
      <c r="S233" s="342">
        <f t="shared" si="35"/>
        <v>1861.8937500000002</v>
      </c>
      <c r="T233" s="139">
        <f t="shared" si="38"/>
        <v>2275.6479166666668</v>
      </c>
      <c r="U233" s="139">
        <f t="shared" si="36"/>
        <v>2689.4020833333334</v>
      </c>
      <c r="V233" s="11">
        <f t="shared" si="42"/>
        <v>2689.4020833333334</v>
      </c>
    </row>
    <row r="234" spans="3:22" ht="12" customHeight="1">
      <c r="C234" s="20">
        <v>223797</v>
      </c>
      <c r="D234" s="20">
        <v>15</v>
      </c>
      <c r="E234" s="3" t="s">
        <v>1057</v>
      </c>
      <c r="F234" s="3">
        <v>2019</v>
      </c>
      <c r="G234" s="3">
        <v>10</v>
      </c>
      <c r="H234" s="3">
        <v>0</v>
      </c>
      <c r="I234" s="3" t="s">
        <v>52</v>
      </c>
      <c r="J234" s="131">
        <v>12</v>
      </c>
      <c r="K234" s="3">
        <f t="shared" si="43"/>
        <v>2031</v>
      </c>
      <c r="L234" s="130">
        <f t="shared" si="44"/>
        <v>2031.8333333333333</v>
      </c>
      <c r="M234" s="166">
        <v>8270.92</v>
      </c>
      <c r="N234" s="139">
        <f t="shared" si="39"/>
        <v>8270.92</v>
      </c>
      <c r="O234" s="139">
        <f t="shared" si="40"/>
        <v>57.436944444444443</v>
      </c>
      <c r="P234" s="139">
        <f t="shared" si="41"/>
        <v>689.24333333333334</v>
      </c>
      <c r="Q234" s="342">
        <f t="shared" si="37"/>
        <v>689.24333333333334</v>
      </c>
      <c r="R234" s="341"/>
      <c r="S234" s="342">
        <f t="shared" si="35"/>
        <v>3101.5950000000003</v>
      </c>
      <c r="T234" s="139">
        <f t="shared" si="38"/>
        <v>3790.8383333333336</v>
      </c>
      <c r="U234" s="139">
        <f t="shared" si="36"/>
        <v>4480.0816666666669</v>
      </c>
      <c r="V234" s="11">
        <f t="shared" si="42"/>
        <v>4480.0816666666669</v>
      </c>
    </row>
    <row r="235" spans="3:22" ht="12" customHeight="1">
      <c r="C235" s="20">
        <v>223796</v>
      </c>
      <c r="D235" s="20">
        <v>20</v>
      </c>
      <c r="E235" s="3" t="s">
        <v>1058</v>
      </c>
      <c r="F235" s="3">
        <v>2019</v>
      </c>
      <c r="G235" s="3">
        <v>10</v>
      </c>
      <c r="H235" s="3">
        <v>0</v>
      </c>
      <c r="I235" s="3" t="s">
        <v>52</v>
      </c>
      <c r="J235" s="131">
        <v>12</v>
      </c>
      <c r="K235" s="3">
        <f t="shared" si="43"/>
        <v>2031</v>
      </c>
      <c r="L235" s="130">
        <f t="shared" si="44"/>
        <v>2031.8333333333333</v>
      </c>
      <c r="M235" s="166">
        <v>10632.25</v>
      </c>
      <c r="N235" s="139">
        <f t="shared" si="39"/>
        <v>10632.25</v>
      </c>
      <c r="O235" s="139">
        <f t="shared" si="40"/>
        <v>73.835069444444443</v>
      </c>
      <c r="P235" s="139">
        <f t="shared" si="41"/>
        <v>886.02083333333326</v>
      </c>
      <c r="Q235" s="342">
        <f t="shared" si="37"/>
        <v>886.02083333333326</v>
      </c>
      <c r="R235" s="341"/>
      <c r="S235" s="342">
        <f t="shared" si="35"/>
        <v>3987.09375</v>
      </c>
      <c r="T235" s="139">
        <f t="shared" si="38"/>
        <v>4873.114583333333</v>
      </c>
      <c r="U235" s="139">
        <f t="shared" si="36"/>
        <v>5759.135416666667</v>
      </c>
      <c r="V235" s="11">
        <f t="shared" si="42"/>
        <v>5759.135416666667</v>
      </c>
    </row>
    <row r="236" spans="3:22" ht="12" customHeight="1">
      <c r="C236" s="20">
        <v>231041</v>
      </c>
      <c r="D236" s="20">
        <v>15</v>
      </c>
      <c r="E236" s="3" t="s">
        <v>1056</v>
      </c>
      <c r="F236" s="3">
        <v>2020</v>
      </c>
      <c r="G236" s="3">
        <v>1</v>
      </c>
      <c r="H236" s="3">
        <v>0</v>
      </c>
      <c r="I236" s="3" t="s">
        <v>52</v>
      </c>
      <c r="J236" s="131">
        <v>12</v>
      </c>
      <c r="K236" s="3">
        <f t="shared" si="43"/>
        <v>2032</v>
      </c>
      <c r="L236" s="130">
        <f t="shared" si="44"/>
        <v>2032.0833333333333</v>
      </c>
      <c r="M236" s="139">
        <f>[10]Assets!S51</f>
        <v>9561.2999999999993</v>
      </c>
      <c r="N236" s="139">
        <f>M236-M236*H236</f>
        <v>9561.2999999999993</v>
      </c>
      <c r="O236" s="139">
        <f>N236/J236/12</f>
        <v>66.39791666666666</v>
      </c>
      <c r="P236" s="139">
        <f>+O236*12</f>
        <v>796.77499999999986</v>
      </c>
      <c r="Q236" s="342">
        <f t="shared" si="37"/>
        <v>796.77499999999986</v>
      </c>
      <c r="R236" s="341"/>
      <c r="S236" s="342">
        <f t="shared" si="35"/>
        <v>3386.2937499999998</v>
      </c>
      <c r="T236" s="139">
        <f t="shared" si="38"/>
        <v>4183.0687499999995</v>
      </c>
      <c r="U236" s="139">
        <f t="shared" si="36"/>
        <v>5378.2312499999998</v>
      </c>
      <c r="V236" s="11">
        <f>M236-T236</f>
        <v>5378.2312499999998</v>
      </c>
    </row>
    <row r="237" spans="3:22" ht="12" customHeight="1">
      <c r="C237" s="20">
        <v>231040</v>
      </c>
      <c r="D237" s="20">
        <v>10</v>
      </c>
      <c r="E237" s="3" t="s">
        <v>1052</v>
      </c>
      <c r="F237" s="3">
        <v>2020</v>
      </c>
      <c r="G237" s="3">
        <v>1</v>
      </c>
      <c r="H237" s="3">
        <v>0</v>
      </c>
      <c r="I237" s="3" t="s">
        <v>52</v>
      </c>
      <c r="J237" s="131">
        <v>12</v>
      </c>
      <c r="K237" s="3">
        <f t="shared" si="43"/>
        <v>2032</v>
      </c>
      <c r="L237" s="130">
        <f t="shared" si="44"/>
        <v>2032.0833333333333</v>
      </c>
      <c r="M237" s="139">
        <f>[10]Assets!S52</f>
        <v>8572.2000000000007</v>
      </c>
      <c r="N237" s="139">
        <f>M237-M237*H237</f>
        <v>8572.2000000000007</v>
      </c>
      <c r="O237" s="139">
        <f>N237/J237/12</f>
        <v>59.529166666666669</v>
      </c>
      <c r="P237" s="139">
        <f>+O237*12</f>
        <v>714.35</v>
      </c>
      <c r="Q237" s="342">
        <f t="shared" si="37"/>
        <v>714.35</v>
      </c>
      <c r="R237" s="341"/>
      <c r="S237" s="342">
        <f t="shared" si="35"/>
        <v>3035.9875000000002</v>
      </c>
      <c r="T237" s="139">
        <f t="shared" si="38"/>
        <v>3750.3375000000001</v>
      </c>
      <c r="U237" s="139">
        <f t="shared" si="36"/>
        <v>4821.8625000000011</v>
      </c>
      <c r="V237" s="11">
        <f>M237-T237</f>
        <v>4821.8625000000011</v>
      </c>
    </row>
    <row r="238" spans="3:22" ht="12" customHeight="1">
      <c r="C238" s="20">
        <v>231039</v>
      </c>
      <c r="D238" s="20">
        <v>10</v>
      </c>
      <c r="E238" s="3" t="s">
        <v>1053</v>
      </c>
      <c r="F238" s="3">
        <v>2020</v>
      </c>
      <c r="G238" s="3">
        <v>1</v>
      </c>
      <c r="H238" s="3">
        <v>0</v>
      </c>
      <c r="I238" s="3" t="s">
        <v>52</v>
      </c>
      <c r="J238" s="131">
        <v>12</v>
      </c>
      <c r="K238" s="3">
        <f t="shared" si="43"/>
        <v>2032</v>
      </c>
      <c r="L238" s="130">
        <f t="shared" si="44"/>
        <v>2032.0833333333333</v>
      </c>
      <c r="M238" s="139">
        <f>[10]Assets!S53</f>
        <v>6758.85</v>
      </c>
      <c r="N238" s="139">
        <f>M238-M238*H238</f>
        <v>6758.85</v>
      </c>
      <c r="O238" s="139">
        <f>N238/J238/12</f>
        <v>46.936458333333341</v>
      </c>
      <c r="P238" s="139">
        <f>+O238*12</f>
        <v>563.23750000000007</v>
      </c>
      <c r="Q238" s="342">
        <f t="shared" si="37"/>
        <v>563.23750000000007</v>
      </c>
      <c r="R238" s="341"/>
      <c r="S238" s="342">
        <f t="shared" si="35"/>
        <v>2393.7593749999996</v>
      </c>
      <c r="T238" s="139">
        <f t="shared" si="38"/>
        <v>2956.9968749999998</v>
      </c>
      <c r="U238" s="139">
        <f t="shared" si="36"/>
        <v>3801.8531250000005</v>
      </c>
      <c r="V238" s="11">
        <f>M238-T238</f>
        <v>3801.8531250000005</v>
      </c>
    </row>
    <row r="239" spans="3:22" ht="12" customHeight="1">
      <c r="C239" s="20">
        <v>238418</v>
      </c>
      <c r="D239" s="20">
        <v>10</v>
      </c>
      <c r="E239" s="3" t="s">
        <v>1085</v>
      </c>
      <c r="F239" s="3">
        <v>2020</v>
      </c>
      <c r="G239" s="3">
        <v>8</v>
      </c>
      <c r="H239" s="3">
        <v>0</v>
      </c>
      <c r="I239" s="3" t="s">
        <v>52</v>
      </c>
      <c r="J239" s="131">
        <v>12</v>
      </c>
      <c r="K239" s="3">
        <f t="shared" si="43"/>
        <v>2032</v>
      </c>
      <c r="L239" s="130">
        <f t="shared" si="44"/>
        <v>2032.6666666666667</v>
      </c>
      <c r="M239" s="139">
        <v>5769.75</v>
      </c>
      <c r="N239" s="139">
        <f t="shared" ref="N239:N246" si="45">M239-M239*H239</f>
        <v>5769.75</v>
      </c>
      <c r="O239" s="139">
        <f t="shared" ref="O239:O246" si="46">N239/J239/12</f>
        <v>40.067708333333336</v>
      </c>
      <c r="P239" s="139">
        <f t="shared" ref="P239:P246" si="47">+O239*12</f>
        <v>480.8125</v>
      </c>
      <c r="Q239" s="342">
        <f t="shared" si="37"/>
        <v>480.8125</v>
      </c>
      <c r="R239" s="341"/>
      <c r="S239" s="342">
        <f t="shared" si="35"/>
        <v>1762.9791666665938</v>
      </c>
      <c r="T239" s="139">
        <f t="shared" si="38"/>
        <v>2243.7916666665938</v>
      </c>
      <c r="U239" s="139">
        <f t="shared" ref="U239:U246" si="48">M239-T239</f>
        <v>3525.9583333334062</v>
      </c>
      <c r="V239" s="11">
        <f t="shared" ref="V239:V246" si="49">M239-T239</f>
        <v>3525.9583333334062</v>
      </c>
    </row>
    <row r="240" spans="3:22" ht="12" customHeight="1">
      <c r="C240" s="20">
        <v>238419</v>
      </c>
      <c r="D240" s="20">
        <v>10</v>
      </c>
      <c r="E240" s="3" t="s">
        <v>738</v>
      </c>
      <c r="F240" s="3">
        <v>2020</v>
      </c>
      <c r="G240" s="3">
        <v>8</v>
      </c>
      <c r="H240" s="3">
        <v>0</v>
      </c>
      <c r="I240" s="3" t="s">
        <v>52</v>
      </c>
      <c r="J240" s="131">
        <v>12</v>
      </c>
      <c r="K240" s="3">
        <f t="shared" si="43"/>
        <v>2032</v>
      </c>
      <c r="L240" s="130">
        <f t="shared" si="44"/>
        <v>2032.6666666666667</v>
      </c>
      <c r="M240" s="139">
        <v>7308.35</v>
      </c>
      <c r="N240" s="139">
        <f t="shared" si="45"/>
        <v>7308.35</v>
      </c>
      <c r="O240" s="139">
        <f t="shared" si="46"/>
        <v>50.752430555555556</v>
      </c>
      <c r="P240" s="139">
        <f t="shared" si="47"/>
        <v>609.0291666666667</v>
      </c>
      <c r="Q240" s="342">
        <f t="shared" si="37"/>
        <v>609.0291666666667</v>
      </c>
      <c r="R240" s="341"/>
      <c r="S240" s="342">
        <f t="shared" si="35"/>
        <v>2233.1069444443528</v>
      </c>
      <c r="T240" s="139">
        <f t="shared" si="38"/>
        <v>2842.1361111110195</v>
      </c>
      <c r="U240" s="139">
        <f t="shared" si="48"/>
        <v>4466.2138888889804</v>
      </c>
      <c r="V240" s="11">
        <f t="shared" si="49"/>
        <v>4466.2138888889804</v>
      </c>
    </row>
    <row r="241" spans="3:22" ht="12" customHeight="1">
      <c r="C241" s="20">
        <v>239903</v>
      </c>
      <c r="D241" s="20">
        <v>8</v>
      </c>
      <c r="E241" s="3" t="s">
        <v>1090</v>
      </c>
      <c r="F241" s="3">
        <v>2020</v>
      </c>
      <c r="G241" s="3">
        <v>8</v>
      </c>
      <c r="H241" s="3">
        <v>0</v>
      </c>
      <c r="I241" s="3" t="s">
        <v>52</v>
      </c>
      <c r="J241" s="131">
        <v>12</v>
      </c>
      <c r="K241" s="3">
        <f t="shared" si="43"/>
        <v>2032</v>
      </c>
      <c r="L241" s="130">
        <f t="shared" si="44"/>
        <v>2032.6666666666667</v>
      </c>
      <c r="M241" s="139">
        <v>7385.28</v>
      </c>
      <c r="N241" s="139">
        <f t="shared" si="45"/>
        <v>7385.28</v>
      </c>
      <c r="O241" s="139">
        <f t="shared" si="46"/>
        <v>51.286666666666662</v>
      </c>
      <c r="P241" s="139">
        <f t="shared" si="47"/>
        <v>615.43999999999994</v>
      </c>
      <c r="Q241" s="342">
        <f t="shared" si="37"/>
        <v>615.43999999999994</v>
      </c>
      <c r="R241" s="341"/>
      <c r="S241" s="342">
        <f t="shared" si="35"/>
        <v>2256.61333333324</v>
      </c>
      <c r="T241" s="139">
        <f t="shared" si="38"/>
        <v>2872.0533333332401</v>
      </c>
      <c r="U241" s="139">
        <f t="shared" si="48"/>
        <v>4513.2266666667601</v>
      </c>
      <c r="V241" s="11">
        <f t="shared" si="49"/>
        <v>4513.2266666667601</v>
      </c>
    </row>
    <row r="242" spans="3:22" ht="12" customHeight="1">
      <c r="C242" s="20">
        <v>239904</v>
      </c>
      <c r="D242" s="20">
        <v>9</v>
      </c>
      <c r="E242" s="3" t="s">
        <v>1091</v>
      </c>
      <c r="F242" s="3">
        <v>2020</v>
      </c>
      <c r="G242" s="3">
        <v>8</v>
      </c>
      <c r="H242" s="3">
        <v>0</v>
      </c>
      <c r="I242" s="3" t="s">
        <v>52</v>
      </c>
      <c r="J242" s="131">
        <v>12</v>
      </c>
      <c r="K242" s="3">
        <f t="shared" si="43"/>
        <v>2032</v>
      </c>
      <c r="L242" s="130">
        <f t="shared" si="44"/>
        <v>2032.6666666666667</v>
      </c>
      <c r="M242" s="139">
        <v>8852.4500000000007</v>
      </c>
      <c r="N242" s="139">
        <f t="shared" si="45"/>
        <v>8852.4500000000007</v>
      </c>
      <c r="O242" s="139">
        <f t="shared" si="46"/>
        <v>61.475347222222233</v>
      </c>
      <c r="P242" s="139">
        <f t="shared" si="47"/>
        <v>737.70416666666677</v>
      </c>
      <c r="Q242" s="342">
        <f t="shared" si="37"/>
        <v>737.70416666666677</v>
      </c>
      <c r="R242" s="341"/>
      <c r="S242" s="342">
        <f t="shared" si="35"/>
        <v>2704.9152777776653</v>
      </c>
      <c r="T242" s="139">
        <f t="shared" si="38"/>
        <v>3442.6194444443322</v>
      </c>
      <c r="U242" s="139">
        <f t="shared" si="48"/>
        <v>5409.830555555669</v>
      </c>
      <c r="V242" s="11">
        <f t="shared" si="49"/>
        <v>5409.830555555669</v>
      </c>
    </row>
    <row r="243" spans="3:22" ht="12" customHeight="1">
      <c r="C243" s="20">
        <v>239905</v>
      </c>
      <c r="D243" s="20">
        <v>15</v>
      </c>
      <c r="E243" s="3" t="s">
        <v>1092</v>
      </c>
      <c r="F243" s="3">
        <v>2020</v>
      </c>
      <c r="G243" s="3">
        <v>8</v>
      </c>
      <c r="H243" s="3">
        <v>0</v>
      </c>
      <c r="I243" s="3" t="s">
        <v>52</v>
      </c>
      <c r="J243" s="131">
        <v>12</v>
      </c>
      <c r="K243" s="3">
        <f t="shared" si="43"/>
        <v>2032</v>
      </c>
      <c r="L243" s="130">
        <f t="shared" si="44"/>
        <v>2032.6666666666667</v>
      </c>
      <c r="M243" s="139">
        <v>9149.18</v>
      </c>
      <c r="N243" s="139">
        <f t="shared" si="45"/>
        <v>9149.18</v>
      </c>
      <c r="O243" s="139">
        <f t="shared" si="46"/>
        <v>63.535972222222227</v>
      </c>
      <c r="P243" s="139">
        <f t="shared" si="47"/>
        <v>762.43166666666673</v>
      </c>
      <c r="Q243" s="342">
        <f t="shared" si="37"/>
        <v>762.43166666666673</v>
      </c>
      <c r="R243" s="341"/>
      <c r="S243" s="342">
        <f t="shared" si="35"/>
        <v>2795.5827777776622</v>
      </c>
      <c r="T243" s="139">
        <f t="shared" si="38"/>
        <v>3558.014444444329</v>
      </c>
      <c r="U243" s="139">
        <f t="shared" si="48"/>
        <v>5591.1655555556717</v>
      </c>
      <c r="V243" s="11">
        <f t="shared" si="49"/>
        <v>5591.1655555556717</v>
      </c>
    </row>
    <row r="244" spans="3:22" ht="12" customHeight="1">
      <c r="C244" s="20">
        <v>240060</v>
      </c>
      <c r="D244" s="20">
        <v>7</v>
      </c>
      <c r="E244" s="3" t="s">
        <v>1090</v>
      </c>
      <c r="F244" s="3">
        <v>2020</v>
      </c>
      <c r="G244" s="3">
        <v>8</v>
      </c>
      <c r="H244" s="3">
        <v>0</v>
      </c>
      <c r="I244" s="3" t="s">
        <v>52</v>
      </c>
      <c r="J244" s="131">
        <v>12</v>
      </c>
      <c r="K244" s="3">
        <f t="shared" si="43"/>
        <v>2032</v>
      </c>
      <c r="L244" s="130">
        <f t="shared" si="44"/>
        <v>2032.6666666666667</v>
      </c>
      <c r="M244" s="139">
        <v>6462.12</v>
      </c>
      <c r="N244" s="139">
        <f t="shared" si="45"/>
        <v>6462.12</v>
      </c>
      <c r="O244" s="139">
        <f t="shared" si="46"/>
        <v>44.875833333333333</v>
      </c>
      <c r="P244" s="139">
        <f t="shared" si="47"/>
        <v>538.51</v>
      </c>
      <c r="Q244" s="342">
        <f t="shared" si="37"/>
        <v>538.51</v>
      </c>
      <c r="R244" s="341"/>
      <c r="S244" s="342">
        <f t="shared" si="35"/>
        <v>1974.536666666585</v>
      </c>
      <c r="T244" s="139">
        <f t="shared" si="38"/>
        <v>2513.0466666665852</v>
      </c>
      <c r="U244" s="139">
        <f t="shared" si="48"/>
        <v>3949.0733333334147</v>
      </c>
      <c r="V244" s="11">
        <f t="shared" si="49"/>
        <v>3949.0733333334147</v>
      </c>
    </row>
    <row r="245" spans="3:22" ht="12" customHeight="1">
      <c r="C245" s="20">
        <v>240061</v>
      </c>
      <c r="D245" s="20">
        <v>1</v>
      </c>
      <c r="E245" s="3" t="s">
        <v>1091</v>
      </c>
      <c r="F245" s="3">
        <v>2020</v>
      </c>
      <c r="G245" s="3">
        <v>8</v>
      </c>
      <c r="H245" s="3">
        <v>0</v>
      </c>
      <c r="I245" s="3" t="s">
        <v>52</v>
      </c>
      <c r="J245" s="131">
        <v>12</v>
      </c>
      <c r="K245" s="3">
        <f t="shared" si="43"/>
        <v>2032</v>
      </c>
      <c r="L245" s="130">
        <f t="shared" si="44"/>
        <v>2032.6666666666667</v>
      </c>
      <c r="M245" s="139">
        <v>983.61</v>
      </c>
      <c r="N245" s="139">
        <f t="shared" si="45"/>
        <v>983.61</v>
      </c>
      <c r="O245" s="139">
        <f t="shared" si="46"/>
        <v>6.8306250000000004</v>
      </c>
      <c r="P245" s="139">
        <f t="shared" si="47"/>
        <v>81.967500000000001</v>
      </c>
      <c r="Q245" s="342">
        <f t="shared" si="37"/>
        <v>81.967500000000001</v>
      </c>
      <c r="R245" s="341"/>
      <c r="S245" s="342">
        <f t="shared" si="35"/>
        <v>300.54749999998751</v>
      </c>
      <c r="T245" s="139">
        <f t="shared" si="38"/>
        <v>382.51499999998748</v>
      </c>
      <c r="U245" s="139">
        <f t="shared" si="48"/>
        <v>601.09500000001253</v>
      </c>
      <c r="V245" s="11">
        <f t="shared" si="49"/>
        <v>601.09500000001253</v>
      </c>
    </row>
    <row r="246" spans="3:22" ht="12" customHeight="1">
      <c r="C246" s="20">
        <v>240062</v>
      </c>
      <c r="D246" s="20">
        <v>10</v>
      </c>
      <c r="E246" s="3" t="s">
        <v>1093</v>
      </c>
      <c r="F246" s="3">
        <v>2020</v>
      </c>
      <c r="G246" s="3">
        <v>8</v>
      </c>
      <c r="H246" s="3">
        <v>0</v>
      </c>
      <c r="I246" s="3" t="s">
        <v>52</v>
      </c>
      <c r="J246" s="131">
        <v>12</v>
      </c>
      <c r="K246" s="3">
        <f t="shared" si="43"/>
        <v>2032</v>
      </c>
      <c r="L246" s="130">
        <f t="shared" si="44"/>
        <v>2032.6666666666667</v>
      </c>
      <c r="M246" s="139">
        <v>6484.1</v>
      </c>
      <c r="N246" s="139">
        <f t="shared" si="45"/>
        <v>6484.1</v>
      </c>
      <c r="O246" s="139">
        <f t="shared" si="46"/>
        <v>45.028472222222227</v>
      </c>
      <c r="P246" s="139">
        <f t="shared" si="47"/>
        <v>540.3416666666667</v>
      </c>
      <c r="Q246" s="342">
        <f t="shared" si="37"/>
        <v>540.3416666666667</v>
      </c>
      <c r="R246" s="341"/>
      <c r="S246" s="342">
        <f t="shared" si="35"/>
        <v>1981.2527777776959</v>
      </c>
      <c r="T246" s="139">
        <f t="shared" si="38"/>
        <v>2521.5944444443626</v>
      </c>
      <c r="U246" s="139">
        <f t="shared" si="48"/>
        <v>3962.5055555556378</v>
      </c>
      <c r="V246" s="11">
        <f t="shared" si="49"/>
        <v>3962.5055555556378</v>
      </c>
    </row>
    <row r="247" spans="3:22" ht="12" customHeight="1">
      <c r="C247" s="20">
        <v>247899</v>
      </c>
      <c r="D247" s="20">
        <v>30</v>
      </c>
      <c r="E247" s="3" t="s">
        <v>1144</v>
      </c>
      <c r="F247" s="3">
        <v>2021</v>
      </c>
      <c r="G247" s="3">
        <v>2</v>
      </c>
      <c r="H247" s="3">
        <v>0</v>
      </c>
      <c r="I247" s="3" t="s">
        <v>52</v>
      </c>
      <c r="J247" s="131">
        <v>12</v>
      </c>
      <c r="K247" s="3">
        <f t="shared" si="43"/>
        <v>2033</v>
      </c>
      <c r="L247" s="130">
        <f t="shared" si="44"/>
        <v>2033.1666666666667</v>
      </c>
      <c r="M247" s="139">
        <v>20538.12</v>
      </c>
      <c r="N247" s="139">
        <f>M247-M247*H247</f>
        <v>20538.12</v>
      </c>
      <c r="O247" s="139">
        <f>N247/J247/12</f>
        <v>142.62583333333333</v>
      </c>
      <c r="P247" s="139">
        <f>+O247*12</f>
        <v>1711.51</v>
      </c>
      <c r="Q247" s="342">
        <f t="shared" si="37"/>
        <v>1711.51</v>
      </c>
      <c r="R247" s="341"/>
      <c r="S247" s="342">
        <f t="shared" si="35"/>
        <v>5419.7816666664057</v>
      </c>
      <c r="T247" s="139">
        <f t="shared" si="38"/>
        <v>7131.2916666664059</v>
      </c>
      <c r="U247" s="139">
        <f>M247-T247</f>
        <v>13406.828333333593</v>
      </c>
      <c r="V247" s="11">
        <f>M247-T247</f>
        <v>13406.828333333593</v>
      </c>
    </row>
    <row r="248" spans="3:22" ht="12" customHeight="1">
      <c r="C248" s="20">
        <v>247903</v>
      </c>
      <c r="D248" s="20">
        <v>10</v>
      </c>
      <c r="E248" s="3" t="s">
        <v>1145</v>
      </c>
      <c r="F248" s="3">
        <v>2021</v>
      </c>
      <c r="G248" s="3">
        <v>2</v>
      </c>
      <c r="H248" s="3">
        <v>0</v>
      </c>
      <c r="I248" s="3" t="s">
        <v>52</v>
      </c>
      <c r="J248" s="131">
        <v>12</v>
      </c>
      <c r="K248" s="3">
        <f>F248+J248</f>
        <v>2033</v>
      </c>
      <c r="L248" s="130">
        <f>+K248+(G248/12)</f>
        <v>2033.1666666666667</v>
      </c>
      <c r="M248" s="139">
        <v>12351.66</v>
      </c>
      <c r="N248" s="139">
        <f>M248-M248*H248</f>
        <v>12351.66</v>
      </c>
      <c r="O248" s="139">
        <f>N248/J248/12</f>
        <v>85.775416666666672</v>
      </c>
      <c r="P248" s="139">
        <f>+O248*12</f>
        <v>1029.3050000000001</v>
      </c>
      <c r="Q248" s="342">
        <f t="shared" si="37"/>
        <v>1029.3050000000001</v>
      </c>
      <c r="R248" s="341"/>
      <c r="S248" s="342">
        <f t="shared" si="35"/>
        <v>3259.4658333331772</v>
      </c>
      <c r="T248" s="139">
        <f t="shared" si="38"/>
        <v>4288.7708333331775</v>
      </c>
      <c r="U248" s="139">
        <f>M248-T248</f>
        <v>8062.8891666668223</v>
      </c>
      <c r="V248" s="11">
        <f>M248-T248</f>
        <v>8062.8891666668223</v>
      </c>
    </row>
    <row r="249" spans="3:22" ht="12" customHeight="1">
      <c r="C249" s="20">
        <v>247902</v>
      </c>
      <c r="D249" s="20">
        <v>5</v>
      </c>
      <c r="E249" s="3" t="s">
        <v>1146</v>
      </c>
      <c r="F249" s="3">
        <v>2021</v>
      </c>
      <c r="G249" s="3">
        <v>2</v>
      </c>
      <c r="H249" s="3">
        <v>0</v>
      </c>
      <c r="I249" s="3" t="s">
        <v>52</v>
      </c>
      <c r="J249" s="131">
        <v>12</v>
      </c>
      <c r="K249" s="3">
        <f>F249+J249</f>
        <v>2033</v>
      </c>
      <c r="L249" s="130">
        <f>+K249+(G249/12)</f>
        <v>2033.1666666666667</v>
      </c>
      <c r="M249" s="139">
        <v>4477.87</v>
      </c>
      <c r="N249" s="139">
        <f>M249-M249*H249</f>
        <v>4477.87</v>
      </c>
      <c r="O249" s="139">
        <f>N249/J249/12</f>
        <v>31.096319444444443</v>
      </c>
      <c r="P249" s="139">
        <f>+O249*12</f>
        <v>373.15583333333331</v>
      </c>
      <c r="Q249" s="342">
        <f t="shared" si="37"/>
        <v>373.15583333333331</v>
      </c>
      <c r="R249" s="341"/>
      <c r="S249" s="342">
        <f t="shared" si="35"/>
        <v>1181.6601388888325</v>
      </c>
      <c r="T249" s="139">
        <f t="shared" si="38"/>
        <v>1554.8159722221658</v>
      </c>
      <c r="U249" s="139">
        <f>M249-T249</f>
        <v>2923.0540277778341</v>
      </c>
      <c r="V249" s="11">
        <f>M249-T249</f>
        <v>2923.0540277778341</v>
      </c>
    </row>
    <row r="250" spans="3:22" ht="12" customHeight="1">
      <c r="C250" s="20">
        <v>247901</v>
      </c>
      <c r="D250" s="20">
        <v>20</v>
      </c>
      <c r="E250" s="3" t="s">
        <v>1147</v>
      </c>
      <c r="F250" s="3">
        <v>2021</v>
      </c>
      <c r="G250" s="3">
        <v>2</v>
      </c>
      <c r="H250" s="3">
        <v>0</v>
      </c>
      <c r="I250" s="3" t="s">
        <v>52</v>
      </c>
      <c r="J250" s="131">
        <v>12</v>
      </c>
      <c r="K250" s="3">
        <f>F250+J250</f>
        <v>2033</v>
      </c>
      <c r="L250" s="130">
        <f>+K250+(G250/12)</f>
        <v>2033.1666666666667</v>
      </c>
      <c r="M250" s="139">
        <v>14636.48</v>
      </c>
      <c r="N250" s="139">
        <f>M250-M250*H250</f>
        <v>14636.48</v>
      </c>
      <c r="O250" s="139">
        <f>N250/J250/12</f>
        <v>101.64222222222223</v>
      </c>
      <c r="P250" s="139">
        <f>+O250*12</f>
        <v>1219.7066666666667</v>
      </c>
      <c r="Q250" s="342">
        <f t="shared" si="37"/>
        <v>1219.7066666666667</v>
      </c>
      <c r="R250" s="341"/>
      <c r="S250" s="342">
        <f t="shared" si="35"/>
        <v>3862.4044444442588</v>
      </c>
      <c r="T250" s="139">
        <f t="shared" si="38"/>
        <v>5082.1111111109258</v>
      </c>
      <c r="U250" s="139">
        <f>M250-T250</f>
        <v>9554.3688888890738</v>
      </c>
      <c r="V250" s="11">
        <f>M250-T250</f>
        <v>9554.3688888890738</v>
      </c>
    </row>
    <row r="251" spans="3:22" ht="12" customHeight="1">
      <c r="C251" s="20">
        <v>247900</v>
      </c>
      <c r="D251" s="20">
        <v>45</v>
      </c>
      <c r="E251" s="3" t="s">
        <v>1148</v>
      </c>
      <c r="F251" s="3">
        <v>2021</v>
      </c>
      <c r="G251" s="3">
        <v>2</v>
      </c>
      <c r="H251" s="3">
        <v>0</v>
      </c>
      <c r="I251" s="3" t="s">
        <v>52</v>
      </c>
      <c r="J251" s="131">
        <v>12</v>
      </c>
      <c r="K251" s="3">
        <f>F251+J251</f>
        <v>2033</v>
      </c>
      <c r="L251" s="130">
        <f>+K251+(G251/12)</f>
        <v>2033.1666666666667</v>
      </c>
      <c r="M251" s="139">
        <v>32734.26</v>
      </c>
      <c r="N251" s="139">
        <f>M251-M251*H251</f>
        <v>32734.26</v>
      </c>
      <c r="O251" s="139">
        <f>N251/J251/12</f>
        <v>227.32124999999999</v>
      </c>
      <c r="P251" s="139">
        <f>+O251*12</f>
        <v>2727.855</v>
      </c>
      <c r="Q251" s="342">
        <f t="shared" si="37"/>
        <v>2727.855</v>
      </c>
      <c r="R251" s="341"/>
      <c r="S251" s="342">
        <f t="shared" si="35"/>
        <v>8638.2074999995857</v>
      </c>
      <c r="T251" s="139">
        <f t="shared" si="38"/>
        <v>11366.062499999585</v>
      </c>
      <c r="U251" s="139">
        <f>M251-T251</f>
        <v>21368.197500000413</v>
      </c>
      <c r="V251" s="11">
        <f>M251-T251</f>
        <v>21368.197500000413</v>
      </c>
    </row>
    <row r="252" spans="3:22" ht="12" customHeight="1">
      <c r="M252" s="139"/>
      <c r="N252" s="139"/>
      <c r="O252" s="139"/>
      <c r="P252" s="139"/>
      <c r="Q252" s="139"/>
      <c r="R252" s="139"/>
      <c r="S252" s="139"/>
      <c r="T252" s="139"/>
      <c r="U252" s="139"/>
      <c r="V252" s="11"/>
    </row>
    <row r="253" spans="3:22" ht="12" customHeight="1">
      <c r="M253" s="139"/>
      <c r="N253" s="139"/>
      <c r="O253" s="139"/>
      <c r="P253" s="139"/>
      <c r="Q253" s="139"/>
      <c r="R253" s="139"/>
      <c r="S253" s="139"/>
      <c r="T253" s="139"/>
      <c r="U253" s="139"/>
      <c r="V253" s="11"/>
    </row>
    <row r="254" spans="3:22" ht="12" customHeight="1">
      <c r="C254" s="173" t="s">
        <v>105</v>
      </c>
      <c r="D254" s="209">
        <f>SUM(D12:D253)</f>
        <v>3372</v>
      </c>
      <c r="E254" s="162"/>
      <c r="F254" s="162"/>
      <c r="G254" s="162"/>
      <c r="H254" s="162"/>
      <c r="I254" s="162"/>
      <c r="J254" s="174"/>
      <c r="K254" s="162"/>
      <c r="L254" s="175"/>
      <c r="M254" s="163">
        <f t="shared" ref="M254:V254" si="50">SUM(M12:M253)</f>
        <v>2069174.3000000007</v>
      </c>
      <c r="N254" s="163">
        <f t="shared" si="50"/>
        <v>2069174.3000000007</v>
      </c>
      <c r="O254" s="163">
        <f t="shared" si="50"/>
        <v>15287.233777777783</v>
      </c>
      <c r="P254" s="163">
        <f t="shared" si="50"/>
        <v>183446.8053333335</v>
      </c>
      <c r="Q254" s="163">
        <f t="shared" si="50"/>
        <v>85799.428999999946</v>
      </c>
      <c r="R254" s="163">
        <f t="shared" si="50"/>
        <v>0</v>
      </c>
      <c r="S254" s="163">
        <f t="shared" si="50"/>
        <v>1638423.3580416576</v>
      </c>
      <c r="T254" s="163">
        <f t="shared" si="50"/>
        <v>1726215.006624992</v>
      </c>
      <c r="U254" s="163">
        <f t="shared" si="50"/>
        <v>342959.29337500769</v>
      </c>
      <c r="V254" s="163">
        <f t="shared" si="50"/>
        <v>342959.29337500769</v>
      </c>
    </row>
    <row r="255" spans="3:22" ht="12" customHeight="1">
      <c r="M255" s="139"/>
      <c r="N255" s="139"/>
      <c r="O255" s="139"/>
      <c r="P255" s="139"/>
      <c r="Q255" s="139"/>
      <c r="R255" s="139"/>
      <c r="S255" s="139"/>
      <c r="T255" s="139"/>
      <c r="U255" s="139"/>
      <c r="V255" s="11"/>
    </row>
    <row r="256" spans="3:22" s="1" customFormat="1" ht="12" customHeight="1">
      <c r="C256" s="132"/>
      <c r="D256" s="132"/>
      <c r="E256" s="1" t="s">
        <v>106</v>
      </c>
      <c r="J256" s="5"/>
      <c r="L256" s="133"/>
      <c r="M256" s="140"/>
      <c r="N256" s="140"/>
      <c r="O256" s="140"/>
      <c r="P256" s="140"/>
      <c r="Q256" s="140"/>
      <c r="R256" s="140"/>
      <c r="S256" s="140"/>
      <c r="T256" s="140"/>
      <c r="U256" s="140"/>
      <c r="V256" s="11"/>
    </row>
    <row r="257" spans="3:22" ht="12" customHeight="1">
      <c r="M257" s="139"/>
      <c r="N257" s="139"/>
      <c r="O257" s="139"/>
      <c r="P257" s="139"/>
      <c r="Q257" s="139"/>
      <c r="R257" s="139"/>
      <c r="S257" s="139"/>
      <c r="T257" s="139"/>
      <c r="U257" s="139"/>
      <c r="V257" s="11"/>
    </row>
    <row r="258" spans="3:22" ht="12" customHeight="1">
      <c r="D258" s="20">
        <v>5</v>
      </c>
      <c r="E258" s="3" t="s">
        <v>107</v>
      </c>
      <c r="F258" s="3">
        <v>2005</v>
      </c>
      <c r="G258" s="3">
        <v>9</v>
      </c>
      <c r="H258" s="3">
        <v>0</v>
      </c>
      <c r="I258" s="3" t="s">
        <v>52</v>
      </c>
      <c r="J258" s="131">
        <v>10</v>
      </c>
      <c r="K258" s="3">
        <f t="shared" ref="K258:K289" si="51">F258+J258</f>
        <v>2015</v>
      </c>
      <c r="L258" s="130">
        <f t="shared" ref="L258:L289" si="52">+K258+(G258/12)</f>
        <v>2015.75</v>
      </c>
      <c r="M258" s="139">
        <v>26030.400000000001</v>
      </c>
      <c r="N258" s="139">
        <f t="shared" ref="N258:N289" si="53">M258-M258*H258</f>
        <v>26030.400000000001</v>
      </c>
      <c r="O258" s="139">
        <f t="shared" ref="O258:O281" si="54">N258/J258/12</f>
        <v>216.92</v>
      </c>
      <c r="P258" s="139">
        <f t="shared" ref="P258:P281" si="55">+O258*12</f>
        <v>2603.04</v>
      </c>
      <c r="Q258" s="342">
        <f t="shared" ref="Q258:Q321" si="56">IF(L258&lt;=$N$6,0,P258)</f>
        <v>0</v>
      </c>
      <c r="R258" s="341"/>
      <c r="S258" s="342">
        <f t="shared" ref="S258:S321" si="57">+IF($L258&lt;=$N$7,$M258,IF(($F258+($G258/12))&gt;=$N$7,0,((($N258-((($L258-$N$7)*12)*$O258))))))</f>
        <v>26030.400000000001</v>
      </c>
      <c r="T258" s="139">
        <f t="shared" ref="T258:T321" si="58">IF(L258&lt;=$N$6,M258,Q258+S258)</f>
        <v>26030.400000000001</v>
      </c>
      <c r="U258" s="139">
        <f t="shared" ref="U258:U321" si="59">M258-T258</f>
        <v>0</v>
      </c>
      <c r="V258" s="11">
        <f t="shared" si="29"/>
        <v>0</v>
      </c>
    </row>
    <row r="259" spans="3:22" ht="12" customHeight="1">
      <c r="D259" s="20">
        <v>5</v>
      </c>
      <c r="E259" s="3" t="s">
        <v>107</v>
      </c>
      <c r="F259" s="3">
        <v>2005</v>
      </c>
      <c r="G259" s="3">
        <v>9</v>
      </c>
      <c r="H259" s="3">
        <v>0</v>
      </c>
      <c r="I259" s="3" t="s">
        <v>52</v>
      </c>
      <c r="J259" s="131">
        <v>10</v>
      </c>
      <c r="K259" s="3">
        <f t="shared" si="51"/>
        <v>2015</v>
      </c>
      <c r="L259" s="130">
        <f t="shared" si="52"/>
        <v>2015.75</v>
      </c>
      <c r="M259" s="139">
        <v>26030.400000000001</v>
      </c>
      <c r="N259" s="139">
        <f t="shared" si="53"/>
        <v>26030.400000000001</v>
      </c>
      <c r="O259" s="139">
        <f t="shared" si="54"/>
        <v>216.92</v>
      </c>
      <c r="P259" s="139">
        <f t="shared" si="55"/>
        <v>2603.04</v>
      </c>
      <c r="Q259" s="342">
        <f t="shared" si="56"/>
        <v>0</v>
      </c>
      <c r="R259" s="341"/>
      <c r="S259" s="342">
        <f t="shared" si="57"/>
        <v>26030.400000000001</v>
      </c>
      <c r="T259" s="139">
        <f t="shared" si="58"/>
        <v>26030.400000000001</v>
      </c>
      <c r="U259" s="139">
        <f t="shared" si="59"/>
        <v>0</v>
      </c>
      <c r="V259" s="11">
        <f t="shared" si="29"/>
        <v>0</v>
      </c>
    </row>
    <row r="260" spans="3:22" ht="12" customHeight="1">
      <c r="D260" s="20">
        <v>5</v>
      </c>
      <c r="E260" s="3" t="s">
        <v>108</v>
      </c>
      <c r="F260" s="3">
        <v>2005</v>
      </c>
      <c r="G260" s="3">
        <v>11</v>
      </c>
      <c r="H260" s="3">
        <v>0</v>
      </c>
      <c r="I260" s="3" t="s">
        <v>52</v>
      </c>
      <c r="J260" s="131">
        <v>10</v>
      </c>
      <c r="K260" s="3">
        <f t="shared" si="51"/>
        <v>2015</v>
      </c>
      <c r="L260" s="130">
        <f t="shared" si="52"/>
        <v>2015.9166666666667</v>
      </c>
      <c r="M260" s="139">
        <v>25459.200000000001</v>
      </c>
      <c r="N260" s="139">
        <f t="shared" si="53"/>
        <v>25459.200000000001</v>
      </c>
      <c r="O260" s="139">
        <f t="shared" si="54"/>
        <v>212.16</v>
      </c>
      <c r="P260" s="139">
        <f t="shared" si="55"/>
        <v>2545.92</v>
      </c>
      <c r="Q260" s="342">
        <f t="shared" si="56"/>
        <v>0</v>
      </c>
      <c r="R260" s="341"/>
      <c r="S260" s="342">
        <f t="shared" si="57"/>
        <v>25459.200000000001</v>
      </c>
      <c r="T260" s="139">
        <f t="shared" si="58"/>
        <v>25459.200000000001</v>
      </c>
      <c r="U260" s="139">
        <f t="shared" si="59"/>
        <v>0</v>
      </c>
      <c r="V260" s="11">
        <f t="shared" si="29"/>
        <v>0</v>
      </c>
    </row>
    <row r="261" spans="3:22" ht="12" customHeight="1">
      <c r="C261" s="20">
        <v>173205</v>
      </c>
      <c r="D261" s="20">
        <v>5</v>
      </c>
      <c r="E261" s="3" t="s">
        <v>108</v>
      </c>
      <c r="F261" s="3">
        <v>2005</v>
      </c>
      <c r="G261" s="3">
        <v>7</v>
      </c>
      <c r="H261" s="3">
        <v>0</v>
      </c>
      <c r="I261" s="3" t="s">
        <v>52</v>
      </c>
      <c r="J261" s="131">
        <v>10</v>
      </c>
      <c r="K261" s="3">
        <f t="shared" si="51"/>
        <v>2015</v>
      </c>
      <c r="L261" s="130">
        <f t="shared" si="52"/>
        <v>2015.5833333333333</v>
      </c>
      <c r="M261" s="139">
        <v>26933.439999999999</v>
      </c>
      <c r="N261" s="139">
        <f t="shared" si="53"/>
        <v>26933.439999999999</v>
      </c>
      <c r="O261" s="139">
        <f t="shared" si="54"/>
        <v>224.44533333333334</v>
      </c>
      <c r="P261" s="139">
        <f t="shared" si="55"/>
        <v>2693.3440000000001</v>
      </c>
      <c r="Q261" s="342">
        <f t="shared" si="56"/>
        <v>0</v>
      </c>
      <c r="R261" s="341"/>
      <c r="S261" s="342">
        <f t="shared" si="57"/>
        <v>26933.439999999999</v>
      </c>
      <c r="T261" s="139">
        <f t="shared" si="58"/>
        <v>26933.439999999999</v>
      </c>
      <c r="U261" s="139">
        <f t="shared" si="59"/>
        <v>0</v>
      </c>
      <c r="V261" s="11">
        <f t="shared" si="29"/>
        <v>0</v>
      </c>
    </row>
    <row r="262" spans="3:22" ht="12" customHeight="1">
      <c r="D262" s="20">
        <v>5</v>
      </c>
      <c r="E262" s="3" t="s">
        <v>107</v>
      </c>
      <c r="F262" s="3">
        <v>2006</v>
      </c>
      <c r="G262" s="3">
        <v>10</v>
      </c>
      <c r="H262" s="3">
        <v>0</v>
      </c>
      <c r="I262" s="3" t="s">
        <v>52</v>
      </c>
      <c r="J262" s="131">
        <v>10</v>
      </c>
      <c r="K262" s="3">
        <f t="shared" si="51"/>
        <v>2016</v>
      </c>
      <c r="L262" s="130">
        <f t="shared" si="52"/>
        <v>2016.8333333333333</v>
      </c>
      <c r="M262" s="139">
        <f>15079.68+10053.12</f>
        <v>25132.800000000003</v>
      </c>
      <c r="N262" s="139">
        <f t="shared" si="53"/>
        <v>25132.800000000003</v>
      </c>
      <c r="O262" s="139">
        <f t="shared" si="54"/>
        <v>209.44000000000003</v>
      </c>
      <c r="P262" s="139">
        <f t="shared" si="55"/>
        <v>2513.2800000000002</v>
      </c>
      <c r="Q262" s="342">
        <f t="shared" si="56"/>
        <v>0</v>
      </c>
      <c r="R262" s="341"/>
      <c r="S262" s="342">
        <f t="shared" si="57"/>
        <v>25132.800000000003</v>
      </c>
      <c r="T262" s="139">
        <f t="shared" si="58"/>
        <v>25132.800000000003</v>
      </c>
      <c r="U262" s="139">
        <f t="shared" si="59"/>
        <v>0</v>
      </c>
      <c r="V262" s="11">
        <f t="shared" si="29"/>
        <v>0</v>
      </c>
    </row>
    <row r="263" spans="3:22" ht="12" customHeight="1">
      <c r="D263" s="20">
        <v>5</v>
      </c>
      <c r="E263" s="3" t="s">
        <v>108</v>
      </c>
      <c r="F263" s="3">
        <v>2006</v>
      </c>
      <c r="G263" s="3">
        <v>5</v>
      </c>
      <c r="H263" s="3">
        <v>0</v>
      </c>
      <c r="I263" s="3" t="s">
        <v>52</v>
      </c>
      <c r="J263" s="131">
        <v>10</v>
      </c>
      <c r="K263" s="3">
        <f t="shared" si="51"/>
        <v>2016</v>
      </c>
      <c r="L263" s="130">
        <f t="shared" si="52"/>
        <v>2016.4166666666667</v>
      </c>
      <c r="M263" s="139">
        <v>24752</v>
      </c>
      <c r="N263" s="139">
        <f t="shared" si="53"/>
        <v>24752</v>
      </c>
      <c r="O263" s="139">
        <f t="shared" si="54"/>
        <v>206.26666666666665</v>
      </c>
      <c r="P263" s="139">
        <f t="shared" si="55"/>
        <v>2475.1999999999998</v>
      </c>
      <c r="Q263" s="342">
        <f t="shared" si="56"/>
        <v>0</v>
      </c>
      <c r="R263" s="341"/>
      <c r="S263" s="342">
        <f t="shared" si="57"/>
        <v>24752</v>
      </c>
      <c r="T263" s="139">
        <f t="shared" si="58"/>
        <v>24752</v>
      </c>
      <c r="U263" s="139">
        <f t="shared" si="59"/>
        <v>0</v>
      </c>
      <c r="V263" s="11">
        <f t="shared" si="29"/>
        <v>0</v>
      </c>
    </row>
    <row r="264" spans="3:22" ht="12" customHeight="1">
      <c r="C264" s="20">
        <v>173227</v>
      </c>
      <c r="D264" s="20">
        <v>5</v>
      </c>
      <c r="E264" s="3" t="s">
        <v>473</v>
      </c>
      <c r="F264" s="3">
        <v>2006</v>
      </c>
      <c r="G264" s="3">
        <v>3</v>
      </c>
      <c r="H264" s="3">
        <v>0</v>
      </c>
      <c r="I264" s="3" t="s">
        <v>52</v>
      </c>
      <c r="J264" s="131">
        <v>10</v>
      </c>
      <c r="K264" s="3">
        <f t="shared" si="51"/>
        <v>2016</v>
      </c>
      <c r="L264" s="130">
        <f t="shared" si="52"/>
        <v>2016.25</v>
      </c>
      <c r="M264" s="139">
        <v>25704</v>
      </c>
      <c r="N264" s="139">
        <f t="shared" si="53"/>
        <v>25704</v>
      </c>
      <c r="O264" s="139">
        <f t="shared" si="54"/>
        <v>214.20000000000002</v>
      </c>
      <c r="P264" s="139">
        <f t="shared" si="55"/>
        <v>2570.4</v>
      </c>
      <c r="Q264" s="342">
        <f t="shared" si="56"/>
        <v>0</v>
      </c>
      <c r="R264" s="341"/>
      <c r="S264" s="342">
        <f t="shared" si="57"/>
        <v>25704</v>
      </c>
      <c r="T264" s="139">
        <f t="shared" si="58"/>
        <v>25704</v>
      </c>
      <c r="U264" s="139">
        <f t="shared" si="59"/>
        <v>0</v>
      </c>
      <c r="V264" s="11">
        <f t="shared" si="29"/>
        <v>0</v>
      </c>
    </row>
    <row r="265" spans="3:22" ht="12" customHeight="1">
      <c r="D265" s="20">
        <v>10</v>
      </c>
      <c r="E265" s="3" t="s">
        <v>108</v>
      </c>
      <c r="F265" s="3">
        <v>2007</v>
      </c>
      <c r="G265" s="3">
        <v>3</v>
      </c>
      <c r="H265" s="3">
        <v>0</v>
      </c>
      <c r="I265" s="3" t="s">
        <v>52</v>
      </c>
      <c r="J265" s="131">
        <v>10</v>
      </c>
      <c r="K265" s="3">
        <f t="shared" si="51"/>
        <v>2017</v>
      </c>
      <c r="L265" s="130">
        <f t="shared" si="52"/>
        <v>2017.25</v>
      </c>
      <c r="M265" s="139">
        <v>51408</v>
      </c>
      <c r="N265" s="139">
        <f t="shared" si="53"/>
        <v>51408</v>
      </c>
      <c r="O265" s="139">
        <f t="shared" si="54"/>
        <v>428.40000000000003</v>
      </c>
      <c r="P265" s="139">
        <f t="shared" si="55"/>
        <v>5140.8</v>
      </c>
      <c r="Q265" s="342">
        <f t="shared" si="56"/>
        <v>0</v>
      </c>
      <c r="R265" s="341"/>
      <c r="S265" s="342">
        <f t="shared" si="57"/>
        <v>51408</v>
      </c>
      <c r="T265" s="139">
        <f t="shared" si="58"/>
        <v>51408</v>
      </c>
      <c r="U265" s="139">
        <f t="shared" si="59"/>
        <v>0</v>
      </c>
      <c r="V265" s="11">
        <f t="shared" si="29"/>
        <v>0</v>
      </c>
    </row>
    <row r="266" spans="3:22" ht="12" customHeight="1">
      <c r="C266" s="20">
        <v>173246</v>
      </c>
      <c r="D266" s="20">
        <v>5</v>
      </c>
      <c r="E266" s="3" t="s">
        <v>108</v>
      </c>
      <c r="F266" s="3">
        <v>2007</v>
      </c>
      <c r="G266" s="3">
        <v>8</v>
      </c>
      <c r="H266" s="3">
        <v>0</v>
      </c>
      <c r="I266" s="3" t="s">
        <v>52</v>
      </c>
      <c r="J266" s="131">
        <v>10</v>
      </c>
      <c r="K266" s="3">
        <f t="shared" si="51"/>
        <v>2017</v>
      </c>
      <c r="L266" s="130">
        <f t="shared" si="52"/>
        <v>2017.6666666666667</v>
      </c>
      <c r="M266" s="139">
        <v>25704</v>
      </c>
      <c r="N266" s="139">
        <f t="shared" si="53"/>
        <v>25704</v>
      </c>
      <c r="O266" s="139">
        <f t="shared" si="54"/>
        <v>214.20000000000002</v>
      </c>
      <c r="P266" s="139">
        <f t="shared" si="55"/>
        <v>2570.4</v>
      </c>
      <c r="Q266" s="342">
        <f t="shared" si="56"/>
        <v>0</v>
      </c>
      <c r="R266" s="341"/>
      <c r="S266" s="342">
        <f t="shared" si="57"/>
        <v>25704</v>
      </c>
      <c r="T266" s="139">
        <f t="shared" si="58"/>
        <v>25704</v>
      </c>
      <c r="U266" s="139">
        <f t="shared" si="59"/>
        <v>0</v>
      </c>
      <c r="V266" s="11">
        <f t="shared" si="29"/>
        <v>0</v>
      </c>
    </row>
    <row r="267" spans="3:22" ht="12" customHeight="1">
      <c r="C267" s="20" t="s">
        <v>490</v>
      </c>
      <c r="D267" s="20">
        <v>5</v>
      </c>
      <c r="E267" s="3" t="s">
        <v>108</v>
      </c>
      <c r="F267" s="3">
        <v>2008</v>
      </c>
      <c r="G267" s="3">
        <v>1</v>
      </c>
      <c r="H267" s="3">
        <v>0</v>
      </c>
      <c r="I267" s="3" t="s">
        <v>52</v>
      </c>
      <c r="J267" s="131">
        <v>10</v>
      </c>
      <c r="K267" s="3">
        <f t="shared" si="51"/>
        <v>2018</v>
      </c>
      <c r="L267" s="130">
        <f t="shared" si="52"/>
        <v>2018.0833333333333</v>
      </c>
      <c r="M267" s="139">
        <f>10759.32+16138.98</f>
        <v>26898.3</v>
      </c>
      <c r="N267" s="139">
        <f t="shared" si="53"/>
        <v>26898.3</v>
      </c>
      <c r="O267" s="139">
        <f t="shared" si="54"/>
        <v>224.1525</v>
      </c>
      <c r="P267" s="139">
        <f t="shared" si="55"/>
        <v>2689.83</v>
      </c>
      <c r="Q267" s="342">
        <f t="shared" si="56"/>
        <v>0</v>
      </c>
      <c r="R267" s="341"/>
      <c r="S267" s="342">
        <f t="shared" si="57"/>
        <v>26898.3</v>
      </c>
      <c r="T267" s="139">
        <f t="shared" si="58"/>
        <v>26898.3</v>
      </c>
      <c r="U267" s="139">
        <f t="shared" si="59"/>
        <v>0</v>
      </c>
      <c r="V267" s="11">
        <f t="shared" si="29"/>
        <v>0</v>
      </c>
    </row>
    <row r="268" spans="3:22" ht="12" customHeight="1">
      <c r="D268" s="20">
        <v>3</v>
      </c>
      <c r="E268" s="3" t="s">
        <v>474</v>
      </c>
      <c r="F268" s="3">
        <v>2010</v>
      </c>
      <c r="G268" s="3">
        <v>12</v>
      </c>
      <c r="H268" s="3">
        <v>0</v>
      </c>
      <c r="I268" s="3" t="s">
        <v>52</v>
      </c>
      <c r="J268" s="131">
        <v>10</v>
      </c>
      <c r="K268" s="3">
        <f t="shared" si="51"/>
        <v>2020</v>
      </c>
      <c r="L268" s="130">
        <f t="shared" si="52"/>
        <v>2021</v>
      </c>
      <c r="M268" s="139">
        <f>15520.6+7760.3</f>
        <v>23280.9</v>
      </c>
      <c r="N268" s="139">
        <f t="shared" si="53"/>
        <v>23280.9</v>
      </c>
      <c r="O268" s="139">
        <f t="shared" si="54"/>
        <v>194.00750000000002</v>
      </c>
      <c r="P268" s="139">
        <f t="shared" si="55"/>
        <v>2328.09</v>
      </c>
      <c r="Q268" s="342">
        <f t="shared" si="56"/>
        <v>0</v>
      </c>
      <c r="R268" s="341"/>
      <c r="S268" s="342">
        <f t="shared" si="57"/>
        <v>23280.9</v>
      </c>
      <c r="T268" s="139">
        <f t="shared" si="58"/>
        <v>23280.9</v>
      </c>
      <c r="U268" s="139">
        <f t="shared" si="59"/>
        <v>0</v>
      </c>
      <c r="V268" s="11">
        <f t="shared" si="29"/>
        <v>0</v>
      </c>
    </row>
    <row r="269" spans="3:22" ht="12" customHeight="1">
      <c r="C269" s="20">
        <v>115362</v>
      </c>
      <c r="D269" s="20">
        <v>1</v>
      </c>
      <c r="E269" s="3" t="s">
        <v>108</v>
      </c>
      <c r="F269" s="3">
        <v>2014</v>
      </c>
      <c r="G269" s="3">
        <v>8</v>
      </c>
      <c r="H269" s="3">
        <v>0</v>
      </c>
      <c r="I269" s="3" t="s">
        <v>52</v>
      </c>
      <c r="J269" s="131">
        <v>10</v>
      </c>
      <c r="K269" s="3">
        <f t="shared" si="51"/>
        <v>2024</v>
      </c>
      <c r="L269" s="130">
        <f t="shared" si="52"/>
        <v>2024.6666666666667</v>
      </c>
      <c r="M269" s="139">
        <v>6969.68</v>
      </c>
      <c r="N269" s="139">
        <f t="shared" si="53"/>
        <v>6969.68</v>
      </c>
      <c r="O269" s="139">
        <f t="shared" si="54"/>
        <v>58.080666666666673</v>
      </c>
      <c r="P269" s="139">
        <f t="shared" si="55"/>
        <v>696.96800000000007</v>
      </c>
      <c r="Q269" s="342">
        <f t="shared" si="56"/>
        <v>0</v>
      </c>
      <c r="R269" s="341"/>
      <c r="S269" s="342">
        <f t="shared" si="57"/>
        <v>6737.3573333332279</v>
      </c>
      <c r="T269" s="139">
        <f t="shared" si="58"/>
        <v>6969.68</v>
      </c>
      <c r="U269" s="139">
        <f t="shared" si="59"/>
        <v>0</v>
      </c>
      <c r="V269" s="11">
        <f t="shared" si="29"/>
        <v>0</v>
      </c>
    </row>
    <row r="270" spans="3:22" ht="12" customHeight="1">
      <c r="C270" s="20">
        <v>115361</v>
      </c>
      <c r="D270" s="20">
        <v>1</v>
      </c>
      <c r="E270" s="3" t="s">
        <v>108</v>
      </c>
      <c r="F270" s="3">
        <v>2014</v>
      </c>
      <c r="G270" s="3">
        <v>8</v>
      </c>
      <c r="H270" s="3">
        <v>0</v>
      </c>
      <c r="I270" s="3" t="s">
        <v>52</v>
      </c>
      <c r="J270" s="131">
        <v>10</v>
      </c>
      <c r="K270" s="3">
        <f t="shared" si="51"/>
        <v>2024</v>
      </c>
      <c r="L270" s="130">
        <f t="shared" si="52"/>
        <v>2024.6666666666667</v>
      </c>
      <c r="M270" s="139">
        <v>6969.68</v>
      </c>
      <c r="N270" s="139">
        <f t="shared" si="53"/>
        <v>6969.68</v>
      </c>
      <c r="O270" s="139">
        <f t="shared" si="54"/>
        <v>58.080666666666673</v>
      </c>
      <c r="P270" s="139">
        <f t="shared" si="55"/>
        <v>696.96800000000007</v>
      </c>
      <c r="Q270" s="342">
        <f t="shared" si="56"/>
        <v>0</v>
      </c>
      <c r="R270" s="341"/>
      <c r="S270" s="342">
        <f t="shared" si="57"/>
        <v>6737.3573333332279</v>
      </c>
      <c r="T270" s="139">
        <f t="shared" si="58"/>
        <v>6969.68</v>
      </c>
      <c r="U270" s="139">
        <f t="shared" si="59"/>
        <v>0</v>
      </c>
      <c r="V270" s="11">
        <f t="shared" si="29"/>
        <v>0</v>
      </c>
    </row>
    <row r="271" spans="3:22" ht="12" customHeight="1">
      <c r="C271" s="20">
        <v>118361</v>
      </c>
      <c r="D271" s="20">
        <v>48</v>
      </c>
      <c r="E271" s="3" t="s">
        <v>319</v>
      </c>
      <c r="F271" s="3">
        <v>2014</v>
      </c>
      <c r="G271" s="3">
        <v>12</v>
      </c>
      <c r="H271" s="3">
        <v>0</v>
      </c>
      <c r="I271" s="3" t="s">
        <v>52</v>
      </c>
      <c r="J271" s="131">
        <v>5</v>
      </c>
      <c r="K271" s="3">
        <f t="shared" si="51"/>
        <v>2019</v>
      </c>
      <c r="L271" s="130">
        <f t="shared" si="52"/>
        <v>2020</v>
      </c>
      <c r="M271" s="139">
        <v>59251.040000000001</v>
      </c>
      <c r="N271" s="139">
        <f t="shared" si="53"/>
        <v>59251.040000000001</v>
      </c>
      <c r="O271" s="139">
        <f t="shared" si="54"/>
        <v>987.51733333333334</v>
      </c>
      <c r="P271" s="139">
        <f t="shared" si="55"/>
        <v>11850.208000000001</v>
      </c>
      <c r="Q271" s="342">
        <f t="shared" si="56"/>
        <v>0</v>
      </c>
      <c r="R271" s="341"/>
      <c r="S271" s="342">
        <f t="shared" si="57"/>
        <v>59251.040000000001</v>
      </c>
      <c r="T271" s="139">
        <f t="shared" si="58"/>
        <v>59251.040000000001</v>
      </c>
      <c r="U271" s="139">
        <f t="shared" si="59"/>
        <v>0</v>
      </c>
      <c r="V271" s="11">
        <f t="shared" si="29"/>
        <v>0</v>
      </c>
    </row>
    <row r="272" spans="3:22" ht="12" customHeight="1">
      <c r="C272" s="20">
        <v>122888</v>
      </c>
      <c r="D272" s="20">
        <v>5</v>
      </c>
      <c r="E272" s="3" t="s">
        <v>325</v>
      </c>
      <c r="F272" s="3">
        <v>2015</v>
      </c>
      <c r="G272" s="3">
        <v>4</v>
      </c>
      <c r="H272" s="3">
        <v>0</v>
      </c>
      <c r="I272" s="3" t="s">
        <v>52</v>
      </c>
      <c r="J272" s="131">
        <v>10</v>
      </c>
      <c r="K272" s="3">
        <f t="shared" si="51"/>
        <v>2025</v>
      </c>
      <c r="L272" s="130">
        <f t="shared" si="52"/>
        <v>2025.3333333333333</v>
      </c>
      <c r="M272" s="139">
        <v>30270</v>
      </c>
      <c r="N272" s="139">
        <f t="shared" si="53"/>
        <v>30270</v>
      </c>
      <c r="O272" s="139">
        <f t="shared" si="54"/>
        <v>252.25</v>
      </c>
      <c r="P272" s="139">
        <f t="shared" si="55"/>
        <v>3027</v>
      </c>
      <c r="Q272" s="342">
        <f t="shared" si="56"/>
        <v>3027</v>
      </c>
      <c r="R272" s="341"/>
      <c r="S272" s="342">
        <f t="shared" si="57"/>
        <v>27243</v>
      </c>
      <c r="T272" s="139">
        <f t="shared" si="58"/>
        <v>30270</v>
      </c>
      <c r="U272" s="139">
        <f t="shared" si="59"/>
        <v>0</v>
      </c>
      <c r="V272" s="11">
        <f t="shared" si="29"/>
        <v>0</v>
      </c>
    </row>
    <row r="273" spans="3:22" ht="12" customHeight="1">
      <c r="C273" s="20">
        <v>189381</v>
      </c>
      <c r="D273" s="20">
        <v>2</v>
      </c>
      <c r="E273" s="3" t="s">
        <v>747</v>
      </c>
      <c r="F273" s="3">
        <v>2017</v>
      </c>
      <c r="G273" s="3">
        <v>6</v>
      </c>
      <c r="H273" s="3">
        <v>0</v>
      </c>
      <c r="I273" s="3" t="s">
        <v>52</v>
      </c>
      <c r="J273" s="131" t="s">
        <v>748</v>
      </c>
      <c r="K273" s="3">
        <f t="shared" si="51"/>
        <v>2029</v>
      </c>
      <c r="L273" s="130">
        <f t="shared" si="52"/>
        <v>2029.5</v>
      </c>
      <c r="M273" s="139">
        <v>8304</v>
      </c>
      <c r="N273" s="139">
        <f t="shared" si="53"/>
        <v>8304</v>
      </c>
      <c r="O273" s="139">
        <f t="shared" si="54"/>
        <v>57.666666666666664</v>
      </c>
      <c r="P273" s="139">
        <f t="shared" si="55"/>
        <v>692</v>
      </c>
      <c r="Q273" s="342">
        <f t="shared" si="56"/>
        <v>692</v>
      </c>
      <c r="R273" s="341"/>
      <c r="S273" s="342">
        <f t="shared" si="57"/>
        <v>4728.6666666666142</v>
      </c>
      <c r="T273" s="139">
        <f t="shared" si="58"/>
        <v>5420.6666666666142</v>
      </c>
      <c r="U273" s="139">
        <f t="shared" si="59"/>
        <v>2883.3333333333858</v>
      </c>
      <c r="V273" s="11">
        <f t="shared" si="29"/>
        <v>2883.3333333333858</v>
      </c>
    </row>
    <row r="274" spans="3:22" ht="12" customHeight="1">
      <c r="C274" s="20">
        <v>16550</v>
      </c>
      <c r="D274" s="20">
        <v>1</v>
      </c>
      <c r="E274" s="3" t="s">
        <v>752</v>
      </c>
      <c r="F274" s="3">
        <v>2002</v>
      </c>
      <c r="G274" s="3">
        <v>7</v>
      </c>
      <c r="H274" s="3">
        <v>0</v>
      </c>
      <c r="I274" s="3" t="s">
        <v>52</v>
      </c>
      <c r="J274" s="131" t="s">
        <v>748</v>
      </c>
      <c r="K274" s="3">
        <f t="shared" si="51"/>
        <v>2014</v>
      </c>
      <c r="L274" s="130">
        <f t="shared" si="52"/>
        <v>2014.5833333333333</v>
      </c>
      <c r="M274" s="139">
        <v>3372.8</v>
      </c>
      <c r="N274" s="139">
        <f t="shared" si="53"/>
        <v>3372.8</v>
      </c>
      <c r="O274" s="139">
        <f t="shared" si="54"/>
        <v>23.422222222222221</v>
      </c>
      <c r="P274" s="139">
        <f t="shared" si="55"/>
        <v>281.06666666666666</v>
      </c>
      <c r="Q274" s="342">
        <f t="shared" si="56"/>
        <v>0</v>
      </c>
      <c r="R274" s="341"/>
      <c r="S274" s="342">
        <f t="shared" si="57"/>
        <v>3372.8</v>
      </c>
      <c r="T274" s="139">
        <f t="shared" si="58"/>
        <v>3372.8</v>
      </c>
      <c r="U274" s="139">
        <f t="shared" si="59"/>
        <v>0</v>
      </c>
      <c r="V274" s="11">
        <f t="shared" si="29"/>
        <v>0</v>
      </c>
    </row>
    <row r="275" spans="3:22" ht="12" customHeight="1">
      <c r="C275" s="20">
        <v>35620</v>
      </c>
      <c r="D275" s="20">
        <v>5</v>
      </c>
      <c r="E275" s="3" t="s">
        <v>753</v>
      </c>
      <c r="F275" s="3">
        <v>2005</v>
      </c>
      <c r="G275" s="3">
        <v>7</v>
      </c>
      <c r="H275" s="3">
        <v>0</v>
      </c>
      <c r="I275" s="3" t="s">
        <v>52</v>
      </c>
      <c r="J275" s="131" t="s">
        <v>748</v>
      </c>
      <c r="K275" s="3">
        <f t="shared" si="51"/>
        <v>2017</v>
      </c>
      <c r="L275" s="130">
        <f t="shared" si="52"/>
        <v>2017.5833333333333</v>
      </c>
      <c r="M275" s="139">
        <v>26030.400000000001</v>
      </c>
      <c r="N275" s="139">
        <f t="shared" si="53"/>
        <v>26030.400000000001</v>
      </c>
      <c r="O275" s="139">
        <f t="shared" si="54"/>
        <v>180.76666666666668</v>
      </c>
      <c r="P275" s="139">
        <f t="shared" si="55"/>
        <v>2169.2000000000003</v>
      </c>
      <c r="Q275" s="342">
        <f t="shared" si="56"/>
        <v>0</v>
      </c>
      <c r="R275" s="341"/>
      <c r="S275" s="342">
        <f t="shared" si="57"/>
        <v>26030.400000000001</v>
      </c>
      <c r="T275" s="139">
        <f t="shared" si="58"/>
        <v>26030.400000000001</v>
      </c>
      <c r="U275" s="139">
        <f t="shared" si="59"/>
        <v>0</v>
      </c>
      <c r="V275" s="11">
        <f t="shared" si="29"/>
        <v>0</v>
      </c>
    </row>
    <row r="276" spans="3:22" ht="12" customHeight="1">
      <c r="C276" s="20">
        <v>43156</v>
      </c>
      <c r="D276" s="20">
        <v>2</v>
      </c>
      <c r="E276" s="3" t="s">
        <v>754</v>
      </c>
      <c r="F276" s="3">
        <v>2006</v>
      </c>
      <c r="G276" s="3">
        <v>4</v>
      </c>
      <c r="H276" s="3">
        <v>0</v>
      </c>
      <c r="I276" s="3" t="s">
        <v>52</v>
      </c>
      <c r="J276" s="131" t="s">
        <v>748</v>
      </c>
      <c r="K276" s="3">
        <f t="shared" si="51"/>
        <v>2018</v>
      </c>
      <c r="L276" s="130">
        <f t="shared" si="52"/>
        <v>2018.3333333333333</v>
      </c>
      <c r="M276" s="139">
        <v>9900.7999999999993</v>
      </c>
      <c r="N276" s="139">
        <f t="shared" si="53"/>
        <v>9900.7999999999993</v>
      </c>
      <c r="O276" s="139">
        <f t="shared" si="54"/>
        <v>68.755555555555546</v>
      </c>
      <c r="P276" s="139">
        <f t="shared" si="55"/>
        <v>825.06666666666661</v>
      </c>
      <c r="Q276" s="342">
        <f t="shared" si="56"/>
        <v>0</v>
      </c>
      <c r="R276" s="341"/>
      <c r="S276" s="342">
        <f t="shared" si="57"/>
        <v>9900.7999999999993</v>
      </c>
      <c r="T276" s="139">
        <f t="shared" si="58"/>
        <v>9900.7999999999993</v>
      </c>
      <c r="U276" s="139">
        <f t="shared" si="59"/>
        <v>0</v>
      </c>
      <c r="V276" s="11">
        <f t="shared" si="29"/>
        <v>0</v>
      </c>
    </row>
    <row r="277" spans="3:22" ht="12" customHeight="1">
      <c r="C277" s="20">
        <v>43159</v>
      </c>
      <c r="D277" s="20">
        <v>2</v>
      </c>
      <c r="E277" s="3" t="s">
        <v>754</v>
      </c>
      <c r="F277" s="3">
        <v>2006</v>
      </c>
      <c r="G277" s="3">
        <v>4</v>
      </c>
      <c r="H277" s="3">
        <v>0</v>
      </c>
      <c r="I277" s="3" t="s">
        <v>52</v>
      </c>
      <c r="J277" s="131" t="s">
        <v>748</v>
      </c>
      <c r="K277" s="3">
        <f t="shared" si="51"/>
        <v>2018</v>
      </c>
      <c r="L277" s="130">
        <f t="shared" si="52"/>
        <v>2018.3333333333333</v>
      </c>
      <c r="M277" s="139">
        <v>9900.7999999999993</v>
      </c>
      <c r="N277" s="139">
        <f t="shared" si="53"/>
        <v>9900.7999999999993</v>
      </c>
      <c r="O277" s="139">
        <f t="shared" si="54"/>
        <v>68.755555555555546</v>
      </c>
      <c r="P277" s="139">
        <f t="shared" si="55"/>
        <v>825.06666666666661</v>
      </c>
      <c r="Q277" s="342">
        <f t="shared" si="56"/>
        <v>0</v>
      </c>
      <c r="R277" s="341"/>
      <c r="S277" s="342">
        <f t="shared" si="57"/>
        <v>9900.7999999999993</v>
      </c>
      <c r="T277" s="139">
        <f t="shared" si="58"/>
        <v>9900.7999999999993</v>
      </c>
      <c r="U277" s="139">
        <f t="shared" si="59"/>
        <v>0</v>
      </c>
      <c r="V277" s="11">
        <f t="shared" ref="V277:V340" si="60">M277-T277</f>
        <v>0</v>
      </c>
    </row>
    <row r="278" spans="3:22" ht="12" customHeight="1">
      <c r="C278" s="20">
        <v>44004</v>
      </c>
      <c r="D278" s="20">
        <v>3</v>
      </c>
      <c r="E278" s="3" t="s">
        <v>754</v>
      </c>
      <c r="F278" s="3">
        <v>2006</v>
      </c>
      <c r="G278" s="3">
        <v>5</v>
      </c>
      <c r="H278" s="3">
        <v>0</v>
      </c>
      <c r="I278" s="3" t="s">
        <v>52</v>
      </c>
      <c r="J278" s="131" t="s">
        <v>748</v>
      </c>
      <c r="K278" s="3">
        <f t="shared" si="51"/>
        <v>2018</v>
      </c>
      <c r="L278" s="130">
        <f t="shared" si="52"/>
        <v>2018.4166666666667</v>
      </c>
      <c r="M278" s="139">
        <v>14851.2</v>
      </c>
      <c r="N278" s="139">
        <f t="shared" si="53"/>
        <v>14851.2</v>
      </c>
      <c r="O278" s="139">
        <f t="shared" si="54"/>
        <v>103.13333333333334</v>
      </c>
      <c r="P278" s="139">
        <f t="shared" si="55"/>
        <v>1237.6000000000001</v>
      </c>
      <c r="Q278" s="342">
        <f t="shared" si="56"/>
        <v>0</v>
      </c>
      <c r="R278" s="341"/>
      <c r="S278" s="342">
        <f t="shared" si="57"/>
        <v>14851.2</v>
      </c>
      <c r="T278" s="139">
        <f t="shared" si="58"/>
        <v>14851.2</v>
      </c>
      <c r="U278" s="139">
        <f t="shared" si="59"/>
        <v>0</v>
      </c>
      <c r="V278" s="11">
        <f t="shared" si="60"/>
        <v>0</v>
      </c>
    </row>
    <row r="279" spans="3:22" ht="12" customHeight="1">
      <c r="C279" s="20">
        <v>44005</v>
      </c>
      <c r="D279" s="20">
        <v>2</v>
      </c>
      <c r="E279" s="3" t="s">
        <v>754</v>
      </c>
      <c r="F279" s="3">
        <v>2006</v>
      </c>
      <c r="G279" s="3">
        <v>5</v>
      </c>
      <c r="H279" s="3">
        <v>0</v>
      </c>
      <c r="I279" s="3" t="s">
        <v>52</v>
      </c>
      <c r="J279" s="131" t="s">
        <v>748</v>
      </c>
      <c r="K279" s="3">
        <f t="shared" si="51"/>
        <v>2018</v>
      </c>
      <c r="L279" s="130">
        <f t="shared" si="52"/>
        <v>2018.4166666666667</v>
      </c>
      <c r="M279" s="139">
        <v>9900.7999999999993</v>
      </c>
      <c r="N279" s="139">
        <f t="shared" si="53"/>
        <v>9900.7999999999993</v>
      </c>
      <c r="O279" s="139">
        <f t="shared" si="54"/>
        <v>68.755555555555546</v>
      </c>
      <c r="P279" s="139">
        <f t="shared" si="55"/>
        <v>825.06666666666661</v>
      </c>
      <c r="Q279" s="342">
        <f t="shared" si="56"/>
        <v>0</v>
      </c>
      <c r="R279" s="341"/>
      <c r="S279" s="342">
        <f t="shared" si="57"/>
        <v>9900.7999999999993</v>
      </c>
      <c r="T279" s="139">
        <f t="shared" si="58"/>
        <v>9900.7999999999993</v>
      </c>
      <c r="U279" s="139">
        <f t="shared" si="59"/>
        <v>0</v>
      </c>
      <c r="V279" s="11">
        <f t="shared" si="60"/>
        <v>0</v>
      </c>
    </row>
    <row r="280" spans="3:22" ht="12" customHeight="1">
      <c r="C280" s="20">
        <v>50575</v>
      </c>
      <c r="D280" s="20">
        <v>15</v>
      </c>
      <c r="E280" s="3" t="s">
        <v>755</v>
      </c>
      <c r="F280" s="3">
        <v>2007</v>
      </c>
      <c r="G280" s="3">
        <v>6</v>
      </c>
      <c r="H280" s="3">
        <v>0</v>
      </c>
      <c r="I280" s="3" t="s">
        <v>52</v>
      </c>
      <c r="J280" s="131" t="s">
        <v>748</v>
      </c>
      <c r="K280" s="3">
        <f t="shared" si="51"/>
        <v>2019</v>
      </c>
      <c r="L280" s="130">
        <f t="shared" si="52"/>
        <v>2019.5</v>
      </c>
      <c r="M280" s="139">
        <v>77112</v>
      </c>
      <c r="N280" s="139">
        <f t="shared" si="53"/>
        <v>77112</v>
      </c>
      <c r="O280" s="139">
        <f t="shared" si="54"/>
        <v>535.5</v>
      </c>
      <c r="P280" s="139">
        <f t="shared" si="55"/>
        <v>6426</v>
      </c>
      <c r="Q280" s="342">
        <f t="shared" si="56"/>
        <v>0</v>
      </c>
      <c r="R280" s="341"/>
      <c r="S280" s="342">
        <f t="shared" si="57"/>
        <v>77112</v>
      </c>
      <c r="T280" s="139">
        <f t="shared" si="58"/>
        <v>77112</v>
      </c>
      <c r="U280" s="139">
        <f t="shared" si="59"/>
        <v>0</v>
      </c>
      <c r="V280" s="11">
        <f t="shared" si="60"/>
        <v>0</v>
      </c>
    </row>
    <row r="281" spans="3:22" ht="12" customHeight="1">
      <c r="C281" s="20">
        <v>88231</v>
      </c>
      <c r="D281" s="20">
        <v>30</v>
      </c>
      <c r="E281" s="3" t="s">
        <v>756</v>
      </c>
      <c r="F281" s="3">
        <v>2011</v>
      </c>
      <c r="G281" s="3">
        <v>12</v>
      </c>
      <c r="H281" s="3">
        <v>0</v>
      </c>
      <c r="I281" s="3" t="s">
        <v>52</v>
      </c>
      <c r="J281" s="131">
        <v>5</v>
      </c>
      <c r="K281" s="3">
        <f t="shared" si="51"/>
        <v>2016</v>
      </c>
      <c r="L281" s="130">
        <f t="shared" si="52"/>
        <v>2017</v>
      </c>
      <c r="M281" s="139">
        <v>26356.25</v>
      </c>
      <c r="N281" s="139">
        <f t="shared" si="53"/>
        <v>26356.25</v>
      </c>
      <c r="O281" s="139">
        <f t="shared" si="54"/>
        <v>439.27083333333331</v>
      </c>
      <c r="P281" s="139">
        <f t="shared" si="55"/>
        <v>5271.25</v>
      </c>
      <c r="Q281" s="342">
        <f t="shared" si="56"/>
        <v>0</v>
      </c>
      <c r="R281" s="341"/>
      <c r="S281" s="342">
        <f t="shared" si="57"/>
        <v>26356.25</v>
      </c>
      <c r="T281" s="139">
        <f t="shared" si="58"/>
        <v>26356.25</v>
      </c>
      <c r="U281" s="139">
        <f t="shared" si="59"/>
        <v>0</v>
      </c>
      <c r="V281" s="11">
        <f t="shared" si="60"/>
        <v>0</v>
      </c>
    </row>
    <row r="282" spans="3:22" ht="12" customHeight="1">
      <c r="C282" s="20">
        <v>124134</v>
      </c>
      <c r="D282" s="20">
        <v>6</v>
      </c>
      <c r="E282" s="3" t="s">
        <v>757</v>
      </c>
      <c r="F282" s="3">
        <v>2015</v>
      </c>
      <c r="G282" s="3">
        <v>7</v>
      </c>
      <c r="H282" s="3">
        <v>0</v>
      </c>
      <c r="I282" s="3" t="s">
        <v>52</v>
      </c>
      <c r="J282" s="131" t="s">
        <v>749</v>
      </c>
      <c r="K282" s="3">
        <f t="shared" si="51"/>
        <v>2015</v>
      </c>
      <c r="L282" s="130">
        <f t="shared" si="52"/>
        <v>2015.5833333333333</v>
      </c>
      <c r="M282" s="139">
        <v>0</v>
      </c>
      <c r="N282" s="139">
        <f t="shared" si="53"/>
        <v>0</v>
      </c>
      <c r="O282" s="139">
        <v>0</v>
      </c>
      <c r="P282" s="139">
        <v>0</v>
      </c>
      <c r="Q282" s="342">
        <f t="shared" si="56"/>
        <v>0</v>
      </c>
      <c r="R282" s="341"/>
      <c r="S282" s="342">
        <f t="shared" si="57"/>
        <v>0</v>
      </c>
      <c r="T282" s="139">
        <f t="shared" si="58"/>
        <v>0</v>
      </c>
      <c r="U282" s="139">
        <f t="shared" si="59"/>
        <v>0</v>
      </c>
      <c r="V282" s="11">
        <f t="shared" si="60"/>
        <v>0</v>
      </c>
    </row>
    <row r="283" spans="3:22" ht="12" customHeight="1">
      <c r="C283" s="20">
        <v>124138</v>
      </c>
      <c r="D283" s="20">
        <v>1</v>
      </c>
      <c r="E283" s="3" t="s">
        <v>758</v>
      </c>
      <c r="F283" s="3">
        <v>2015</v>
      </c>
      <c r="G283" s="3">
        <v>7</v>
      </c>
      <c r="H283" s="3">
        <v>0</v>
      </c>
      <c r="I283" s="3" t="s">
        <v>52</v>
      </c>
      <c r="J283" s="131" t="s">
        <v>749</v>
      </c>
      <c r="K283" s="3">
        <f t="shared" si="51"/>
        <v>2015</v>
      </c>
      <c r="L283" s="130">
        <f t="shared" si="52"/>
        <v>2015.5833333333333</v>
      </c>
      <c r="M283" s="139">
        <v>0</v>
      </c>
      <c r="N283" s="139">
        <f t="shared" si="53"/>
        <v>0</v>
      </c>
      <c r="O283" s="139">
        <v>0</v>
      </c>
      <c r="P283" s="139">
        <f t="shared" ref="P283:P314" si="61">+O283*12</f>
        <v>0</v>
      </c>
      <c r="Q283" s="342">
        <f t="shared" si="56"/>
        <v>0</v>
      </c>
      <c r="R283" s="341"/>
      <c r="S283" s="342">
        <f t="shared" si="57"/>
        <v>0</v>
      </c>
      <c r="T283" s="139">
        <f t="shared" si="58"/>
        <v>0</v>
      </c>
      <c r="U283" s="139">
        <f t="shared" si="59"/>
        <v>0</v>
      </c>
      <c r="V283" s="11">
        <f t="shared" si="60"/>
        <v>0</v>
      </c>
    </row>
    <row r="284" spans="3:22" ht="12" customHeight="1">
      <c r="C284" s="20">
        <v>124139</v>
      </c>
      <c r="D284" s="20">
        <v>2</v>
      </c>
      <c r="E284" s="3" t="s">
        <v>759</v>
      </c>
      <c r="F284" s="3">
        <v>2015</v>
      </c>
      <c r="G284" s="3">
        <v>7</v>
      </c>
      <c r="H284" s="3">
        <v>0</v>
      </c>
      <c r="I284" s="3" t="s">
        <v>52</v>
      </c>
      <c r="J284" s="131" t="s">
        <v>749</v>
      </c>
      <c r="K284" s="3">
        <f t="shared" si="51"/>
        <v>2015</v>
      </c>
      <c r="L284" s="130">
        <f t="shared" si="52"/>
        <v>2015.5833333333333</v>
      </c>
      <c r="M284" s="139">
        <v>0</v>
      </c>
      <c r="N284" s="139">
        <f t="shared" si="53"/>
        <v>0</v>
      </c>
      <c r="O284" s="139">
        <v>0</v>
      </c>
      <c r="P284" s="139">
        <f t="shared" si="61"/>
        <v>0</v>
      </c>
      <c r="Q284" s="342">
        <f t="shared" si="56"/>
        <v>0</v>
      </c>
      <c r="R284" s="341"/>
      <c r="S284" s="342">
        <f t="shared" si="57"/>
        <v>0</v>
      </c>
      <c r="T284" s="139">
        <f t="shared" si="58"/>
        <v>0</v>
      </c>
      <c r="U284" s="139">
        <f t="shared" si="59"/>
        <v>0</v>
      </c>
      <c r="V284" s="11">
        <f t="shared" si="60"/>
        <v>0</v>
      </c>
    </row>
    <row r="285" spans="3:22" ht="12" customHeight="1">
      <c r="C285" s="20">
        <v>124140</v>
      </c>
      <c r="D285" s="20">
        <v>28</v>
      </c>
      <c r="E285" s="3" t="s">
        <v>760</v>
      </c>
      <c r="F285" s="3">
        <v>2015</v>
      </c>
      <c r="G285" s="3">
        <v>7</v>
      </c>
      <c r="H285" s="3">
        <v>0</v>
      </c>
      <c r="I285" s="3" t="s">
        <v>52</v>
      </c>
      <c r="J285" s="131" t="s">
        <v>749</v>
      </c>
      <c r="K285" s="3">
        <f t="shared" si="51"/>
        <v>2015</v>
      </c>
      <c r="L285" s="130">
        <f t="shared" si="52"/>
        <v>2015.5833333333333</v>
      </c>
      <c r="M285" s="139">
        <v>0</v>
      </c>
      <c r="N285" s="139">
        <f t="shared" si="53"/>
        <v>0</v>
      </c>
      <c r="O285" s="139">
        <v>0</v>
      </c>
      <c r="P285" s="139">
        <f t="shared" si="61"/>
        <v>0</v>
      </c>
      <c r="Q285" s="342">
        <f t="shared" si="56"/>
        <v>0</v>
      </c>
      <c r="R285" s="341"/>
      <c r="S285" s="342">
        <f t="shared" si="57"/>
        <v>0</v>
      </c>
      <c r="T285" s="139">
        <f t="shared" si="58"/>
        <v>0</v>
      </c>
      <c r="U285" s="139">
        <f t="shared" si="59"/>
        <v>0</v>
      </c>
      <c r="V285" s="11">
        <f t="shared" si="60"/>
        <v>0</v>
      </c>
    </row>
    <row r="286" spans="3:22" ht="12" customHeight="1">
      <c r="C286" s="20">
        <v>124142</v>
      </c>
      <c r="D286" s="20">
        <v>58</v>
      </c>
      <c r="E286" s="3" t="s">
        <v>761</v>
      </c>
      <c r="F286" s="3">
        <v>2015</v>
      </c>
      <c r="G286" s="3">
        <v>7</v>
      </c>
      <c r="H286" s="3">
        <v>0</v>
      </c>
      <c r="I286" s="3" t="s">
        <v>52</v>
      </c>
      <c r="J286" s="131" t="s">
        <v>749</v>
      </c>
      <c r="K286" s="3">
        <f t="shared" si="51"/>
        <v>2015</v>
      </c>
      <c r="L286" s="130">
        <f t="shared" si="52"/>
        <v>2015.5833333333333</v>
      </c>
      <c r="M286" s="139">
        <v>0</v>
      </c>
      <c r="N286" s="139">
        <f t="shared" si="53"/>
        <v>0</v>
      </c>
      <c r="O286" s="139">
        <v>0</v>
      </c>
      <c r="P286" s="139">
        <f t="shared" si="61"/>
        <v>0</v>
      </c>
      <c r="Q286" s="342">
        <f t="shared" si="56"/>
        <v>0</v>
      </c>
      <c r="R286" s="341"/>
      <c r="S286" s="342">
        <f t="shared" si="57"/>
        <v>0</v>
      </c>
      <c r="T286" s="139">
        <f t="shared" si="58"/>
        <v>0</v>
      </c>
      <c r="U286" s="139">
        <f t="shared" si="59"/>
        <v>0</v>
      </c>
      <c r="V286" s="11">
        <f t="shared" si="60"/>
        <v>0</v>
      </c>
    </row>
    <row r="287" spans="3:22" ht="12" customHeight="1">
      <c r="C287" s="20">
        <v>124721</v>
      </c>
      <c r="D287" s="20">
        <v>8</v>
      </c>
      <c r="E287" s="3" t="s">
        <v>762</v>
      </c>
      <c r="F287" s="3">
        <v>2015</v>
      </c>
      <c r="G287" s="3">
        <v>4</v>
      </c>
      <c r="H287" s="3">
        <v>0</v>
      </c>
      <c r="I287" s="3" t="s">
        <v>52</v>
      </c>
      <c r="J287" s="131" t="s">
        <v>748</v>
      </c>
      <c r="K287" s="3">
        <f t="shared" si="51"/>
        <v>2027</v>
      </c>
      <c r="L287" s="130">
        <f t="shared" si="52"/>
        <v>2027.3333333333333</v>
      </c>
      <c r="M287" s="139">
        <v>48072</v>
      </c>
      <c r="N287" s="139">
        <f t="shared" si="53"/>
        <v>48072</v>
      </c>
      <c r="O287" s="139">
        <f t="shared" ref="O287:O318" si="62">N287/J287/12</f>
        <v>333.83333333333331</v>
      </c>
      <c r="P287" s="139">
        <f t="shared" si="61"/>
        <v>4006</v>
      </c>
      <c r="Q287" s="342">
        <f t="shared" si="56"/>
        <v>4006</v>
      </c>
      <c r="R287" s="341"/>
      <c r="S287" s="342">
        <f t="shared" si="57"/>
        <v>36054</v>
      </c>
      <c r="T287" s="139">
        <f t="shared" si="58"/>
        <v>40060</v>
      </c>
      <c r="U287" s="139">
        <f t="shared" si="59"/>
        <v>8012</v>
      </c>
      <c r="V287" s="11">
        <f t="shared" si="60"/>
        <v>8012</v>
      </c>
    </row>
    <row r="288" spans="3:22" ht="12" customHeight="1">
      <c r="C288" s="20">
        <v>169357</v>
      </c>
      <c r="D288" s="20">
        <v>6</v>
      </c>
      <c r="E288" s="3" t="s">
        <v>763</v>
      </c>
      <c r="F288" s="3">
        <v>2016</v>
      </c>
      <c r="G288" s="3">
        <v>9</v>
      </c>
      <c r="H288" s="3">
        <v>0</v>
      </c>
      <c r="I288" s="3" t="s">
        <v>52</v>
      </c>
      <c r="J288" s="131" t="s">
        <v>748</v>
      </c>
      <c r="K288" s="3">
        <f t="shared" si="51"/>
        <v>2028</v>
      </c>
      <c r="L288" s="130">
        <f t="shared" si="52"/>
        <v>2028.75</v>
      </c>
      <c r="M288" s="139">
        <v>41291</v>
      </c>
      <c r="N288" s="139">
        <f t="shared" si="53"/>
        <v>41291</v>
      </c>
      <c r="O288" s="139">
        <f t="shared" si="62"/>
        <v>286.74305555555554</v>
      </c>
      <c r="P288" s="139">
        <f t="shared" si="61"/>
        <v>3440.9166666666665</v>
      </c>
      <c r="Q288" s="342">
        <f t="shared" si="56"/>
        <v>3440.9166666666665</v>
      </c>
      <c r="R288" s="341"/>
      <c r="S288" s="342">
        <f t="shared" si="57"/>
        <v>26093.618055555293</v>
      </c>
      <c r="T288" s="139">
        <f t="shared" si="58"/>
        <v>29534.534722221961</v>
      </c>
      <c r="U288" s="139">
        <f t="shared" si="59"/>
        <v>11756.465277778039</v>
      </c>
      <c r="V288" s="11">
        <f t="shared" si="60"/>
        <v>11756.465277778039</v>
      </c>
    </row>
    <row r="289" spans="3:22" ht="12" customHeight="1">
      <c r="C289" s="20">
        <v>169358</v>
      </c>
      <c r="D289" s="20">
        <v>6</v>
      </c>
      <c r="E289" s="3" t="s">
        <v>764</v>
      </c>
      <c r="F289" s="3">
        <v>2016</v>
      </c>
      <c r="G289" s="3">
        <v>9</v>
      </c>
      <c r="H289" s="3">
        <v>0</v>
      </c>
      <c r="I289" s="3" t="s">
        <v>52</v>
      </c>
      <c r="J289" s="131" t="s">
        <v>748</v>
      </c>
      <c r="K289" s="3">
        <f t="shared" si="51"/>
        <v>2028</v>
      </c>
      <c r="L289" s="130">
        <f t="shared" si="52"/>
        <v>2028.75</v>
      </c>
      <c r="M289" s="139">
        <v>33621</v>
      </c>
      <c r="N289" s="139">
        <f t="shared" si="53"/>
        <v>33621</v>
      </c>
      <c r="O289" s="139">
        <f t="shared" si="62"/>
        <v>233.47916666666666</v>
      </c>
      <c r="P289" s="139">
        <f t="shared" si="61"/>
        <v>2801.75</v>
      </c>
      <c r="Q289" s="342">
        <f t="shared" si="56"/>
        <v>2801.75</v>
      </c>
      <c r="R289" s="341"/>
      <c r="S289" s="342">
        <f t="shared" si="57"/>
        <v>21246.604166666453</v>
      </c>
      <c r="T289" s="139">
        <f t="shared" si="58"/>
        <v>24048.354166666453</v>
      </c>
      <c r="U289" s="139">
        <f t="shared" si="59"/>
        <v>9572.6458333335468</v>
      </c>
      <c r="V289" s="11">
        <f t="shared" si="60"/>
        <v>9572.6458333335468</v>
      </c>
    </row>
    <row r="290" spans="3:22" ht="12" customHeight="1">
      <c r="C290" s="20">
        <v>173480</v>
      </c>
      <c r="D290" s="20">
        <v>3</v>
      </c>
      <c r="E290" s="3" t="s">
        <v>765</v>
      </c>
      <c r="F290" s="3">
        <v>2002</v>
      </c>
      <c r="G290" s="3">
        <v>6</v>
      </c>
      <c r="H290" s="3">
        <v>0</v>
      </c>
      <c r="I290" s="3" t="s">
        <v>52</v>
      </c>
      <c r="J290" s="131" t="s">
        <v>748</v>
      </c>
      <c r="K290" s="3">
        <f t="shared" ref="K290:K321" si="63">F290+J290</f>
        <v>2014</v>
      </c>
      <c r="L290" s="130">
        <f t="shared" ref="L290:L321" si="64">+K290+(G290/12)</f>
        <v>2014.5</v>
      </c>
      <c r="M290" s="139">
        <v>10118.4</v>
      </c>
      <c r="N290" s="139">
        <f t="shared" ref="N290:N321" si="65">M290-M290*H290</f>
        <v>10118.4</v>
      </c>
      <c r="O290" s="139">
        <f t="shared" si="62"/>
        <v>70.266666666666666</v>
      </c>
      <c r="P290" s="139">
        <f t="shared" si="61"/>
        <v>843.2</v>
      </c>
      <c r="Q290" s="342">
        <f t="shared" si="56"/>
        <v>0</v>
      </c>
      <c r="R290" s="341"/>
      <c r="S290" s="342">
        <f t="shared" si="57"/>
        <v>10118.4</v>
      </c>
      <c r="T290" s="139">
        <f t="shared" si="58"/>
        <v>10118.4</v>
      </c>
      <c r="U290" s="139">
        <f t="shared" si="59"/>
        <v>0</v>
      </c>
      <c r="V290" s="11">
        <f t="shared" si="60"/>
        <v>0</v>
      </c>
    </row>
    <row r="291" spans="3:22" ht="12" customHeight="1">
      <c r="C291" s="20">
        <v>173481</v>
      </c>
      <c r="D291" s="20">
        <v>1</v>
      </c>
      <c r="E291" s="3" t="s">
        <v>766</v>
      </c>
      <c r="F291" s="3">
        <v>2002</v>
      </c>
      <c r="G291" s="3">
        <v>7</v>
      </c>
      <c r="H291" s="3">
        <v>0</v>
      </c>
      <c r="I291" s="3" t="s">
        <v>52</v>
      </c>
      <c r="J291" s="131" t="s">
        <v>748</v>
      </c>
      <c r="K291" s="3">
        <f t="shared" si="63"/>
        <v>2014</v>
      </c>
      <c r="L291" s="130">
        <f t="shared" si="64"/>
        <v>2014.5833333333333</v>
      </c>
      <c r="M291" s="139">
        <v>3372.8</v>
      </c>
      <c r="N291" s="139">
        <f t="shared" si="65"/>
        <v>3372.8</v>
      </c>
      <c r="O291" s="139">
        <f t="shared" si="62"/>
        <v>23.422222222222221</v>
      </c>
      <c r="P291" s="139">
        <f t="shared" si="61"/>
        <v>281.06666666666666</v>
      </c>
      <c r="Q291" s="342">
        <f t="shared" si="56"/>
        <v>0</v>
      </c>
      <c r="R291" s="341"/>
      <c r="S291" s="342">
        <f t="shared" si="57"/>
        <v>3372.8</v>
      </c>
      <c r="T291" s="139">
        <f t="shared" si="58"/>
        <v>3372.8</v>
      </c>
      <c r="U291" s="139">
        <f t="shared" si="59"/>
        <v>0</v>
      </c>
      <c r="V291" s="11">
        <f t="shared" si="60"/>
        <v>0</v>
      </c>
    </row>
    <row r="292" spans="3:22" ht="12" customHeight="1">
      <c r="C292" s="20">
        <v>173482</v>
      </c>
      <c r="D292" s="20">
        <v>20</v>
      </c>
      <c r="E292" s="3" t="s">
        <v>767</v>
      </c>
      <c r="F292" s="3">
        <v>2004</v>
      </c>
      <c r="G292" s="3">
        <v>3</v>
      </c>
      <c r="H292" s="3">
        <v>0</v>
      </c>
      <c r="I292" s="3" t="s">
        <v>52</v>
      </c>
      <c r="J292" s="131" t="s">
        <v>748</v>
      </c>
      <c r="K292" s="3">
        <f t="shared" si="63"/>
        <v>2016</v>
      </c>
      <c r="L292" s="130">
        <f t="shared" si="64"/>
        <v>2016.25</v>
      </c>
      <c r="M292" s="139">
        <v>98137.600000000006</v>
      </c>
      <c r="N292" s="139">
        <f t="shared" si="65"/>
        <v>98137.600000000006</v>
      </c>
      <c r="O292" s="139">
        <f t="shared" si="62"/>
        <v>681.51111111111118</v>
      </c>
      <c r="P292" s="139">
        <f t="shared" si="61"/>
        <v>8178.1333333333341</v>
      </c>
      <c r="Q292" s="342">
        <f t="shared" si="56"/>
        <v>0</v>
      </c>
      <c r="R292" s="341"/>
      <c r="S292" s="342">
        <f t="shared" si="57"/>
        <v>98137.600000000006</v>
      </c>
      <c r="T292" s="139">
        <f t="shared" si="58"/>
        <v>98137.600000000006</v>
      </c>
      <c r="U292" s="139">
        <f t="shared" si="59"/>
        <v>0</v>
      </c>
      <c r="V292" s="11">
        <f t="shared" si="60"/>
        <v>0</v>
      </c>
    </row>
    <row r="293" spans="3:22" ht="12" customHeight="1">
      <c r="C293" s="20">
        <v>173483</v>
      </c>
      <c r="D293" s="20">
        <v>4</v>
      </c>
      <c r="E293" s="3" t="s">
        <v>768</v>
      </c>
      <c r="F293" s="3">
        <v>2004</v>
      </c>
      <c r="G293" s="3">
        <v>7</v>
      </c>
      <c r="H293" s="3">
        <v>0</v>
      </c>
      <c r="I293" s="3" t="s">
        <v>52</v>
      </c>
      <c r="J293" s="131" t="s">
        <v>748</v>
      </c>
      <c r="K293" s="3">
        <f t="shared" si="63"/>
        <v>2016</v>
      </c>
      <c r="L293" s="130">
        <f t="shared" si="64"/>
        <v>2016.5833333333333</v>
      </c>
      <c r="M293" s="139">
        <v>21733.89</v>
      </c>
      <c r="N293" s="139">
        <f t="shared" si="65"/>
        <v>21733.89</v>
      </c>
      <c r="O293" s="139">
        <f t="shared" si="62"/>
        <v>150.92979166666666</v>
      </c>
      <c r="P293" s="139">
        <f t="shared" si="61"/>
        <v>1811.1574999999998</v>
      </c>
      <c r="Q293" s="342">
        <f t="shared" si="56"/>
        <v>0</v>
      </c>
      <c r="R293" s="341"/>
      <c r="S293" s="342">
        <f t="shared" si="57"/>
        <v>21733.89</v>
      </c>
      <c r="T293" s="139">
        <f t="shared" si="58"/>
        <v>21733.89</v>
      </c>
      <c r="U293" s="139">
        <f t="shared" si="59"/>
        <v>0</v>
      </c>
      <c r="V293" s="11">
        <f t="shared" si="60"/>
        <v>0</v>
      </c>
    </row>
    <row r="294" spans="3:22" ht="12" customHeight="1">
      <c r="C294" s="20">
        <v>173484</v>
      </c>
      <c r="D294" s="20">
        <v>6</v>
      </c>
      <c r="E294" s="3" t="s">
        <v>769</v>
      </c>
      <c r="F294" s="3">
        <v>2004</v>
      </c>
      <c r="G294" s="3">
        <v>9</v>
      </c>
      <c r="H294" s="3">
        <v>0</v>
      </c>
      <c r="I294" s="3" t="s">
        <v>52</v>
      </c>
      <c r="J294" s="131" t="s">
        <v>748</v>
      </c>
      <c r="K294" s="3">
        <f t="shared" si="63"/>
        <v>2016</v>
      </c>
      <c r="L294" s="130">
        <f t="shared" si="64"/>
        <v>2016.75</v>
      </c>
      <c r="M294" s="139">
        <v>6392.19</v>
      </c>
      <c r="N294" s="139">
        <f t="shared" si="65"/>
        <v>6392.19</v>
      </c>
      <c r="O294" s="139">
        <f t="shared" si="62"/>
        <v>44.390208333333334</v>
      </c>
      <c r="P294" s="139">
        <f t="shared" si="61"/>
        <v>532.6825</v>
      </c>
      <c r="Q294" s="342">
        <f t="shared" si="56"/>
        <v>0</v>
      </c>
      <c r="R294" s="341"/>
      <c r="S294" s="342">
        <f t="shared" si="57"/>
        <v>6392.19</v>
      </c>
      <c r="T294" s="139">
        <f t="shared" si="58"/>
        <v>6392.19</v>
      </c>
      <c r="U294" s="139">
        <f t="shared" si="59"/>
        <v>0</v>
      </c>
      <c r="V294" s="11">
        <f t="shared" si="60"/>
        <v>0</v>
      </c>
    </row>
    <row r="295" spans="3:22" ht="12" customHeight="1">
      <c r="C295" s="20">
        <v>173485</v>
      </c>
      <c r="D295" s="20">
        <v>5</v>
      </c>
      <c r="E295" s="3" t="s">
        <v>770</v>
      </c>
      <c r="F295" s="3">
        <v>2005</v>
      </c>
      <c r="G295" s="3">
        <v>3</v>
      </c>
      <c r="H295" s="3">
        <v>0</v>
      </c>
      <c r="I295" s="3" t="s">
        <v>52</v>
      </c>
      <c r="J295" s="131" t="s">
        <v>748</v>
      </c>
      <c r="K295" s="3">
        <f t="shared" si="63"/>
        <v>2017</v>
      </c>
      <c r="L295" s="130">
        <f t="shared" si="64"/>
        <v>2017.25</v>
      </c>
      <c r="M295" s="139">
        <v>30648.959999999999</v>
      </c>
      <c r="N295" s="139">
        <f t="shared" si="65"/>
        <v>30648.959999999999</v>
      </c>
      <c r="O295" s="139">
        <f t="shared" si="62"/>
        <v>212.84</v>
      </c>
      <c r="P295" s="139">
        <f t="shared" si="61"/>
        <v>2554.08</v>
      </c>
      <c r="Q295" s="342">
        <f t="shared" si="56"/>
        <v>0</v>
      </c>
      <c r="R295" s="341"/>
      <c r="S295" s="342">
        <f t="shared" si="57"/>
        <v>30648.959999999999</v>
      </c>
      <c r="T295" s="139">
        <f t="shared" si="58"/>
        <v>30648.959999999999</v>
      </c>
      <c r="U295" s="139">
        <f t="shared" si="59"/>
        <v>0</v>
      </c>
      <c r="V295" s="11">
        <f t="shared" si="60"/>
        <v>0</v>
      </c>
    </row>
    <row r="296" spans="3:22" ht="12" customHeight="1">
      <c r="C296" s="20">
        <v>173486</v>
      </c>
      <c r="D296" s="20">
        <v>25</v>
      </c>
      <c r="E296" s="3" t="s">
        <v>771</v>
      </c>
      <c r="F296" s="3">
        <v>2005</v>
      </c>
      <c r="G296" s="3">
        <v>6</v>
      </c>
      <c r="H296" s="3">
        <v>0</v>
      </c>
      <c r="I296" s="3" t="s">
        <v>52</v>
      </c>
      <c r="J296" s="131" t="s">
        <v>748</v>
      </c>
      <c r="K296" s="3">
        <f t="shared" si="63"/>
        <v>2017</v>
      </c>
      <c r="L296" s="130">
        <f t="shared" si="64"/>
        <v>2017.5</v>
      </c>
      <c r="M296" s="139">
        <v>156454.39999999999</v>
      </c>
      <c r="N296" s="139">
        <f t="shared" si="65"/>
        <v>156454.39999999999</v>
      </c>
      <c r="O296" s="139">
        <f t="shared" si="62"/>
        <v>1086.4888888888888</v>
      </c>
      <c r="P296" s="139">
        <f t="shared" si="61"/>
        <v>13037.866666666665</v>
      </c>
      <c r="Q296" s="342">
        <f t="shared" si="56"/>
        <v>0</v>
      </c>
      <c r="R296" s="341"/>
      <c r="S296" s="342">
        <f t="shared" si="57"/>
        <v>156454.39999999999</v>
      </c>
      <c r="T296" s="139">
        <f t="shared" si="58"/>
        <v>156454.39999999999</v>
      </c>
      <c r="U296" s="139">
        <f t="shared" si="59"/>
        <v>0</v>
      </c>
      <c r="V296" s="11">
        <f t="shared" si="60"/>
        <v>0</v>
      </c>
    </row>
    <row r="297" spans="3:22" ht="12" customHeight="1">
      <c r="C297" s="20">
        <v>173504</v>
      </c>
      <c r="D297" s="20">
        <v>10</v>
      </c>
      <c r="E297" s="3" t="s">
        <v>772</v>
      </c>
      <c r="F297" s="3">
        <v>2006</v>
      </c>
      <c r="G297" s="3">
        <v>3</v>
      </c>
      <c r="H297" s="3">
        <v>0</v>
      </c>
      <c r="I297" s="3" t="s">
        <v>52</v>
      </c>
      <c r="J297" s="131" t="s">
        <v>748</v>
      </c>
      <c r="K297" s="3">
        <f t="shared" si="63"/>
        <v>2018</v>
      </c>
      <c r="L297" s="130">
        <f t="shared" si="64"/>
        <v>2018.25</v>
      </c>
      <c r="M297" s="139">
        <v>62016</v>
      </c>
      <c r="N297" s="139">
        <f t="shared" si="65"/>
        <v>62016</v>
      </c>
      <c r="O297" s="139">
        <f t="shared" si="62"/>
        <v>430.66666666666669</v>
      </c>
      <c r="P297" s="139">
        <f t="shared" si="61"/>
        <v>5168</v>
      </c>
      <c r="Q297" s="342">
        <f t="shared" si="56"/>
        <v>0</v>
      </c>
      <c r="R297" s="341"/>
      <c r="S297" s="342">
        <f t="shared" si="57"/>
        <v>62016</v>
      </c>
      <c r="T297" s="139">
        <f t="shared" si="58"/>
        <v>62016</v>
      </c>
      <c r="U297" s="139">
        <f t="shared" si="59"/>
        <v>0</v>
      </c>
      <c r="V297" s="11">
        <f t="shared" si="60"/>
        <v>0</v>
      </c>
    </row>
    <row r="298" spans="3:22" ht="12" customHeight="1">
      <c r="C298" s="20">
        <v>173510</v>
      </c>
      <c r="D298" s="20">
        <v>10</v>
      </c>
      <c r="E298" s="3" t="s">
        <v>773</v>
      </c>
      <c r="F298" s="3">
        <v>2006</v>
      </c>
      <c r="G298" s="3">
        <v>8</v>
      </c>
      <c r="H298" s="3">
        <v>0</v>
      </c>
      <c r="I298" s="3" t="s">
        <v>52</v>
      </c>
      <c r="J298" s="131" t="s">
        <v>748</v>
      </c>
      <c r="K298" s="3">
        <f t="shared" si="63"/>
        <v>2018</v>
      </c>
      <c r="L298" s="130">
        <f t="shared" si="64"/>
        <v>2018.6666666666667</v>
      </c>
      <c r="M298" s="139">
        <v>63386.879999999997</v>
      </c>
      <c r="N298" s="139">
        <f t="shared" si="65"/>
        <v>63386.879999999997</v>
      </c>
      <c r="O298" s="139">
        <f t="shared" si="62"/>
        <v>440.18666666666667</v>
      </c>
      <c r="P298" s="139">
        <f t="shared" si="61"/>
        <v>5282.24</v>
      </c>
      <c r="Q298" s="342">
        <f t="shared" si="56"/>
        <v>0</v>
      </c>
      <c r="R298" s="341"/>
      <c r="S298" s="342">
        <f t="shared" si="57"/>
        <v>63386.879999999997</v>
      </c>
      <c r="T298" s="139">
        <f t="shared" si="58"/>
        <v>63386.879999999997</v>
      </c>
      <c r="U298" s="139">
        <f t="shared" si="59"/>
        <v>0</v>
      </c>
      <c r="V298" s="11">
        <f t="shared" si="60"/>
        <v>0</v>
      </c>
    </row>
    <row r="299" spans="3:22" ht="12" customHeight="1">
      <c r="C299" s="20">
        <v>173512</v>
      </c>
      <c r="D299" s="20">
        <v>10</v>
      </c>
      <c r="E299" s="3" t="s">
        <v>773</v>
      </c>
      <c r="F299" s="3">
        <v>2006</v>
      </c>
      <c r="G299" s="3">
        <v>8</v>
      </c>
      <c r="H299" s="3">
        <v>0</v>
      </c>
      <c r="I299" s="3" t="s">
        <v>52</v>
      </c>
      <c r="J299" s="131" t="s">
        <v>748</v>
      </c>
      <c r="K299" s="3">
        <f t="shared" si="63"/>
        <v>2018</v>
      </c>
      <c r="L299" s="130">
        <f t="shared" si="64"/>
        <v>2018.6666666666667</v>
      </c>
      <c r="M299" s="139">
        <v>63386.879999999997</v>
      </c>
      <c r="N299" s="139">
        <f t="shared" si="65"/>
        <v>63386.879999999997</v>
      </c>
      <c r="O299" s="139">
        <f t="shared" si="62"/>
        <v>440.18666666666667</v>
      </c>
      <c r="P299" s="139">
        <f t="shared" si="61"/>
        <v>5282.24</v>
      </c>
      <c r="Q299" s="342">
        <f t="shared" si="56"/>
        <v>0</v>
      </c>
      <c r="R299" s="341"/>
      <c r="S299" s="342">
        <f t="shared" si="57"/>
        <v>63386.879999999997</v>
      </c>
      <c r="T299" s="139">
        <f t="shared" si="58"/>
        <v>63386.879999999997</v>
      </c>
      <c r="U299" s="139">
        <f t="shared" si="59"/>
        <v>0</v>
      </c>
      <c r="V299" s="11">
        <f t="shared" si="60"/>
        <v>0</v>
      </c>
    </row>
    <row r="300" spans="3:22" ht="12" customHeight="1">
      <c r="C300" s="20">
        <v>173515</v>
      </c>
      <c r="D300" s="20">
        <v>8</v>
      </c>
      <c r="E300" s="3" t="s">
        <v>774</v>
      </c>
      <c r="F300" s="3">
        <v>2007</v>
      </c>
      <c r="G300" s="3">
        <v>2</v>
      </c>
      <c r="H300" s="3">
        <v>0</v>
      </c>
      <c r="I300" s="3" t="s">
        <v>52</v>
      </c>
      <c r="J300" s="131" t="s">
        <v>748</v>
      </c>
      <c r="K300" s="3">
        <f t="shared" si="63"/>
        <v>2019</v>
      </c>
      <c r="L300" s="130">
        <f t="shared" si="64"/>
        <v>2019.1666666666667</v>
      </c>
      <c r="M300" s="139">
        <v>49839.1</v>
      </c>
      <c r="N300" s="139">
        <f t="shared" si="65"/>
        <v>49839.1</v>
      </c>
      <c r="O300" s="139">
        <f t="shared" si="62"/>
        <v>346.10486111111112</v>
      </c>
      <c r="P300" s="139">
        <f t="shared" si="61"/>
        <v>4153.2583333333332</v>
      </c>
      <c r="Q300" s="342">
        <f t="shared" si="56"/>
        <v>0</v>
      </c>
      <c r="R300" s="341"/>
      <c r="S300" s="342">
        <f t="shared" si="57"/>
        <v>49839.1</v>
      </c>
      <c r="T300" s="139">
        <f t="shared" si="58"/>
        <v>49839.1</v>
      </c>
      <c r="U300" s="139">
        <f t="shared" si="59"/>
        <v>0</v>
      </c>
      <c r="V300" s="11">
        <f t="shared" si="60"/>
        <v>0</v>
      </c>
    </row>
    <row r="301" spans="3:22" ht="12" customHeight="1">
      <c r="C301" s="20">
        <v>173518</v>
      </c>
      <c r="D301" s="20">
        <v>16</v>
      </c>
      <c r="E301" s="3" t="s">
        <v>775</v>
      </c>
      <c r="F301" s="3">
        <v>2007</v>
      </c>
      <c r="G301" s="3">
        <v>2</v>
      </c>
      <c r="H301" s="3">
        <v>0</v>
      </c>
      <c r="I301" s="3" t="s">
        <v>52</v>
      </c>
      <c r="J301" s="131" t="s">
        <v>748</v>
      </c>
      <c r="K301" s="3">
        <f t="shared" si="63"/>
        <v>2019</v>
      </c>
      <c r="L301" s="130">
        <f t="shared" si="64"/>
        <v>2019.1666666666667</v>
      </c>
      <c r="M301" s="139">
        <v>119836.67</v>
      </c>
      <c r="N301" s="139">
        <f t="shared" si="65"/>
        <v>119836.67</v>
      </c>
      <c r="O301" s="139">
        <f t="shared" si="62"/>
        <v>832.19909722222212</v>
      </c>
      <c r="P301" s="139">
        <f t="shared" si="61"/>
        <v>9986.3891666666659</v>
      </c>
      <c r="Q301" s="342">
        <f t="shared" si="56"/>
        <v>0</v>
      </c>
      <c r="R301" s="341"/>
      <c r="S301" s="342">
        <f t="shared" si="57"/>
        <v>119836.67</v>
      </c>
      <c r="T301" s="139">
        <f t="shared" si="58"/>
        <v>119836.67</v>
      </c>
      <c r="U301" s="139">
        <f t="shared" si="59"/>
        <v>0</v>
      </c>
      <c r="V301" s="11">
        <f t="shared" si="60"/>
        <v>0</v>
      </c>
    </row>
    <row r="302" spans="3:22" ht="12" customHeight="1">
      <c r="C302" s="20">
        <v>173519</v>
      </c>
      <c r="D302" s="20">
        <v>10</v>
      </c>
      <c r="E302" s="3" t="s">
        <v>776</v>
      </c>
      <c r="F302" s="3">
        <v>2007</v>
      </c>
      <c r="G302" s="3">
        <v>4</v>
      </c>
      <c r="H302" s="3">
        <v>0</v>
      </c>
      <c r="I302" s="3" t="s">
        <v>52</v>
      </c>
      <c r="J302" s="131" t="s">
        <v>748</v>
      </c>
      <c r="K302" s="3">
        <f t="shared" si="63"/>
        <v>2019</v>
      </c>
      <c r="L302" s="130">
        <f t="shared" si="64"/>
        <v>2019.3333333333333</v>
      </c>
      <c r="M302" s="139">
        <v>61210.879999999997</v>
      </c>
      <c r="N302" s="139">
        <f t="shared" si="65"/>
        <v>61210.879999999997</v>
      </c>
      <c r="O302" s="139">
        <f t="shared" si="62"/>
        <v>425.07555555555558</v>
      </c>
      <c r="P302" s="139">
        <f t="shared" si="61"/>
        <v>5100.9066666666668</v>
      </c>
      <c r="Q302" s="342">
        <f t="shared" si="56"/>
        <v>0</v>
      </c>
      <c r="R302" s="341"/>
      <c r="S302" s="342">
        <f t="shared" si="57"/>
        <v>61210.879999999997</v>
      </c>
      <c r="T302" s="139">
        <f t="shared" si="58"/>
        <v>61210.879999999997</v>
      </c>
      <c r="U302" s="139">
        <f t="shared" si="59"/>
        <v>0</v>
      </c>
      <c r="V302" s="11">
        <f t="shared" si="60"/>
        <v>0</v>
      </c>
    </row>
    <row r="303" spans="3:22" ht="12" customHeight="1">
      <c r="C303" s="20">
        <v>173521</v>
      </c>
      <c r="D303" s="20">
        <v>10</v>
      </c>
      <c r="E303" s="3" t="s">
        <v>775</v>
      </c>
      <c r="F303" s="3">
        <v>2007</v>
      </c>
      <c r="G303" s="3">
        <v>7</v>
      </c>
      <c r="H303" s="3">
        <v>0</v>
      </c>
      <c r="I303" s="3" t="s">
        <v>52</v>
      </c>
      <c r="J303" s="131" t="s">
        <v>748</v>
      </c>
      <c r="K303" s="3">
        <f t="shared" si="63"/>
        <v>2019</v>
      </c>
      <c r="L303" s="130">
        <f t="shared" si="64"/>
        <v>2019.5833333333333</v>
      </c>
      <c r="M303" s="139">
        <v>61210.879999999997</v>
      </c>
      <c r="N303" s="139">
        <f t="shared" si="65"/>
        <v>61210.879999999997</v>
      </c>
      <c r="O303" s="139">
        <f t="shared" si="62"/>
        <v>425.07555555555558</v>
      </c>
      <c r="P303" s="139">
        <f t="shared" si="61"/>
        <v>5100.9066666666668</v>
      </c>
      <c r="Q303" s="342">
        <f t="shared" si="56"/>
        <v>0</v>
      </c>
      <c r="R303" s="341"/>
      <c r="S303" s="342">
        <f t="shared" si="57"/>
        <v>61210.879999999997</v>
      </c>
      <c r="T303" s="139">
        <f t="shared" si="58"/>
        <v>61210.879999999997</v>
      </c>
      <c r="U303" s="139">
        <f t="shared" si="59"/>
        <v>0</v>
      </c>
      <c r="V303" s="11">
        <f t="shared" si="60"/>
        <v>0</v>
      </c>
    </row>
    <row r="304" spans="3:22" ht="12" customHeight="1">
      <c r="C304" s="20">
        <v>173523</v>
      </c>
      <c r="D304" s="20">
        <v>3</v>
      </c>
      <c r="E304" s="3" t="s">
        <v>777</v>
      </c>
      <c r="F304" s="3">
        <v>2008</v>
      </c>
      <c r="G304" s="3">
        <v>2</v>
      </c>
      <c r="H304" s="3">
        <v>0</v>
      </c>
      <c r="I304" s="3" t="s">
        <v>52</v>
      </c>
      <c r="J304" s="131" t="s">
        <v>748</v>
      </c>
      <c r="K304" s="3">
        <f t="shared" si="63"/>
        <v>2020</v>
      </c>
      <c r="L304" s="130">
        <f t="shared" si="64"/>
        <v>2020.1666666666667</v>
      </c>
      <c r="M304" s="139">
        <v>16138.98</v>
      </c>
      <c r="N304" s="139">
        <f t="shared" si="65"/>
        <v>16138.98</v>
      </c>
      <c r="O304" s="139">
        <f t="shared" si="62"/>
        <v>112.07625</v>
      </c>
      <c r="P304" s="139">
        <f t="shared" si="61"/>
        <v>1344.915</v>
      </c>
      <c r="Q304" s="342">
        <f t="shared" si="56"/>
        <v>0</v>
      </c>
      <c r="R304" s="341"/>
      <c r="S304" s="342">
        <f t="shared" si="57"/>
        <v>16138.98</v>
      </c>
      <c r="T304" s="139">
        <f t="shared" si="58"/>
        <v>16138.98</v>
      </c>
      <c r="U304" s="139">
        <f t="shared" si="59"/>
        <v>0</v>
      </c>
      <c r="V304" s="11">
        <f t="shared" si="60"/>
        <v>0</v>
      </c>
    </row>
    <row r="305" spans="3:22" ht="12" customHeight="1">
      <c r="C305" s="20">
        <v>173524</v>
      </c>
      <c r="D305" s="20">
        <v>2</v>
      </c>
      <c r="E305" s="3" t="s">
        <v>778</v>
      </c>
      <c r="F305" s="3">
        <v>2008</v>
      </c>
      <c r="G305" s="3">
        <v>2</v>
      </c>
      <c r="H305" s="3">
        <v>0</v>
      </c>
      <c r="I305" s="3" t="s">
        <v>52</v>
      </c>
      <c r="J305" s="131" t="s">
        <v>748</v>
      </c>
      <c r="K305" s="3">
        <f t="shared" si="63"/>
        <v>2020</v>
      </c>
      <c r="L305" s="130">
        <f t="shared" si="64"/>
        <v>2020.1666666666667</v>
      </c>
      <c r="M305" s="139">
        <v>10759.02</v>
      </c>
      <c r="N305" s="139">
        <f t="shared" si="65"/>
        <v>10759.02</v>
      </c>
      <c r="O305" s="139">
        <f t="shared" si="62"/>
        <v>74.71541666666667</v>
      </c>
      <c r="P305" s="139">
        <f t="shared" si="61"/>
        <v>896.58500000000004</v>
      </c>
      <c r="Q305" s="342">
        <f t="shared" si="56"/>
        <v>0</v>
      </c>
      <c r="R305" s="341"/>
      <c r="S305" s="342">
        <f t="shared" si="57"/>
        <v>10759.02</v>
      </c>
      <c r="T305" s="139">
        <f t="shared" si="58"/>
        <v>10759.02</v>
      </c>
      <c r="U305" s="139">
        <f t="shared" si="59"/>
        <v>0</v>
      </c>
      <c r="V305" s="11">
        <f t="shared" si="60"/>
        <v>0</v>
      </c>
    </row>
    <row r="306" spans="3:22" ht="12" customHeight="1">
      <c r="C306" s="20">
        <v>173528</v>
      </c>
      <c r="D306" s="20">
        <v>2</v>
      </c>
      <c r="E306" s="3" t="s">
        <v>779</v>
      </c>
      <c r="F306" s="3">
        <v>2008</v>
      </c>
      <c r="G306" s="3">
        <v>6</v>
      </c>
      <c r="H306" s="3">
        <v>0</v>
      </c>
      <c r="I306" s="3" t="s">
        <v>52</v>
      </c>
      <c r="J306" s="131" t="s">
        <v>748</v>
      </c>
      <c r="K306" s="3">
        <f t="shared" si="63"/>
        <v>2020</v>
      </c>
      <c r="L306" s="130">
        <f t="shared" si="64"/>
        <v>2020.5</v>
      </c>
      <c r="M306" s="139">
        <v>12818.4</v>
      </c>
      <c r="N306" s="139">
        <f t="shared" si="65"/>
        <v>12818.4</v>
      </c>
      <c r="O306" s="139">
        <f t="shared" si="62"/>
        <v>89.016666666666666</v>
      </c>
      <c r="P306" s="139">
        <f t="shared" si="61"/>
        <v>1068.2</v>
      </c>
      <c r="Q306" s="342">
        <f t="shared" si="56"/>
        <v>0</v>
      </c>
      <c r="R306" s="341"/>
      <c r="S306" s="342">
        <f t="shared" si="57"/>
        <v>12818.4</v>
      </c>
      <c r="T306" s="139">
        <f t="shared" si="58"/>
        <v>12818.4</v>
      </c>
      <c r="U306" s="139">
        <f t="shared" si="59"/>
        <v>0</v>
      </c>
      <c r="V306" s="11">
        <f t="shared" si="60"/>
        <v>0</v>
      </c>
    </row>
    <row r="307" spans="3:22" ht="12" customHeight="1">
      <c r="C307" s="20">
        <v>173529</v>
      </c>
      <c r="D307" s="20">
        <v>2</v>
      </c>
      <c r="E307" s="3" t="s">
        <v>779</v>
      </c>
      <c r="F307" s="3">
        <v>2008</v>
      </c>
      <c r="G307" s="3">
        <v>6</v>
      </c>
      <c r="H307" s="3">
        <v>0</v>
      </c>
      <c r="I307" s="3" t="s">
        <v>52</v>
      </c>
      <c r="J307" s="131" t="s">
        <v>748</v>
      </c>
      <c r="K307" s="3">
        <f t="shared" si="63"/>
        <v>2020</v>
      </c>
      <c r="L307" s="130">
        <f t="shared" si="64"/>
        <v>2020.5</v>
      </c>
      <c r="M307" s="139">
        <v>12818.4</v>
      </c>
      <c r="N307" s="139">
        <f t="shared" si="65"/>
        <v>12818.4</v>
      </c>
      <c r="O307" s="139">
        <f t="shared" si="62"/>
        <v>89.016666666666666</v>
      </c>
      <c r="P307" s="139">
        <f t="shared" si="61"/>
        <v>1068.2</v>
      </c>
      <c r="Q307" s="342">
        <f t="shared" si="56"/>
        <v>0</v>
      </c>
      <c r="R307" s="341"/>
      <c r="S307" s="342">
        <f t="shared" si="57"/>
        <v>12818.4</v>
      </c>
      <c r="T307" s="139">
        <f t="shared" si="58"/>
        <v>12818.4</v>
      </c>
      <c r="U307" s="139">
        <f t="shared" si="59"/>
        <v>0</v>
      </c>
      <c r="V307" s="11">
        <f t="shared" si="60"/>
        <v>0</v>
      </c>
    </row>
    <row r="308" spans="3:22" ht="12" customHeight="1">
      <c r="C308" s="20">
        <v>173530</v>
      </c>
      <c r="D308" s="20">
        <v>2</v>
      </c>
      <c r="E308" s="3" t="s">
        <v>779</v>
      </c>
      <c r="F308" s="3">
        <v>2008</v>
      </c>
      <c r="G308" s="3">
        <v>6</v>
      </c>
      <c r="H308" s="3">
        <v>0</v>
      </c>
      <c r="I308" s="3" t="s">
        <v>52</v>
      </c>
      <c r="J308" s="131" t="s">
        <v>748</v>
      </c>
      <c r="K308" s="3">
        <f t="shared" si="63"/>
        <v>2020</v>
      </c>
      <c r="L308" s="130">
        <f t="shared" si="64"/>
        <v>2020.5</v>
      </c>
      <c r="M308" s="139">
        <v>12818.4</v>
      </c>
      <c r="N308" s="139">
        <f t="shared" si="65"/>
        <v>12818.4</v>
      </c>
      <c r="O308" s="139">
        <f t="shared" si="62"/>
        <v>89.016666666666666</v>
      </c>
      <c r="P308" s="139">
        <f t="shared" si="61"/>
        <v>1068.2</v>
      </c>
      <c r="Q308" s="342">
        <f t="shared" si="56"/>
        <v>0</v>
      </c>
      <c r="R308" s="341"/>
      <c r="S308" s="342">
        <f t="shared" si="57"/>
        <v>12818.4</v>
      </c>
      <c r="T308" s="139">
        <f t="shared" si="58"/>
        <v>12818.4</v>
      </c>
      <c r="U308" s="139">
        <f t="shared" si="59"/>
        <v>0</v>
      </c>
      <c r="V308" s="11">
        <f t="shared" si="60"/>
        <v>0</v>
      </c>
    </row>
    <row r="309" spans="3:22" ht="12" customHeight="1">
      <c r="C309" s="20">
        <v>173531</v>
      </c>
      <c r="D309" s="20">
        <v>2</v>
      </c>
      <c r="E309" s="3" t="s">
        <v>779</v>
      </c>
      <c r="F309" s="3">
        <v>2008</v>
      </c>
      <c r="G309" s="3">
        <v>6</v>
      </c>
      <c r="H309" s="3">
        <v>0</v>
      </c>
      <c r="I309" s="3" t="s">
        <v>52</v>
      </c>
      <c r="J309" s="131" t="s">
        <v>748</v>
      </c>
      <c r="K309" s="3">
        <f t="shared" si="63"/>
        <v>2020</v>
      </c>
      <c r="L309" s="130">
        <f t="shared" si="64"/>
        <v>2020.5</v>
      </c>
      <c r="M309" s="139">
        <v>12818.4</v>
      </c>
      <c r="N309" s="139">
        <f t="shared" si="65"/>
        <v>12818.4</v>
      </c>
      <c r="O309" s="139">
        <f t="shared" si="62"/>
        <v>89.016666666666666</v>
      </c>
      <c r="P309" s="139">
        <f t="shared" si="61"/>
        <v>1068.2</v>
      </c>
      <c r="Q309" s="342">
        <f t="shared" si="56"/>
        <v>0</v>
      </c>
      <c r="R309" s="341"/>
      <c r="S309" s="342">
        <f t="shared" si="57"/>
        <v>12818.4</v>
      </c>
      <c r="T309" s="139">
        <f t="shared" si="58"/>
        <v>12818.4</v>
      </c>
      <c r="U309" s="139">
        <f t="shared" si="59"/>
        <v>0</v>
      </c>
      <c r="V309" s="11">
        <f t="shared" si="60"/>
        <v>0</v>
      </c>
    </row>
    <row r="310" spans="3:22" ht="12" customHeight="1">
      <c r="C310" s="20">
        <v>173532</v>
      </c>
      <c r="D310" s="20">
        <v>2</v>
      </c>
      <c r="E310" s="3" t="s">
        <v>779</v>
      </c>
      <c r="F310" s="3">
        <v>2008</v>
      </c>
      <c r="G310" s="3">
        <v>6</v>
      </c>
      <c r="H310" s="3">
        <v>0</v>
      </c>
      <c r="I310" s="3" t="s">
        <v>52</v>
      </c>
      <c r="J310" s="131" t="s">
        <v>748</v>
      </c>
      <c r="K310" s="3">
        <f t="shared" si="63"/>
        <v>2020</v>
      </c>
      <c r="L310" s="130">
        <f t="shared" si="64"/>
        <v>2020.5</v>
      </c>
      <c r="M310" s="139">
        <v>12818.4</v>
      </c>
      <c r="N310" s="139">
        <f t="shared" si="65"/>
        <v>12818.4</v>
      </c>
      <c r="O310" s="139">
        <f t="shared" si="62"/>
        <v>89.016666666666666</v>
      </c>
      <c r="P310" s="139">
        <f t="shared" si="61"/>
        <v>1068.2</v>
      </c>
      <c r="Q310" s="342">
        <f t="shared" si="56"/>
        <v>0</v>
      </c>
      <c r="R310" s="341"/>
      <c r="S310" s="342">
        <f t="shared" si="57"/>
        <v>12818.4</v>
      </c>
      <c r="T310" s="139">
        <f t="shared" si="58"/>
        <v>12818.4</v>
      </c>
      <c r="U310" s="139">
        <f t="shared" si="59"/>
        <v>0</v>
      </c>
      <c r="V310" s="11">
        <f t="shared" si="60"/>
        <v>0</v>
      </c>
    </row>
    <row r="311" spans="3:22" ht="12" customHeight="1">
      <c r="C311" s="20">
        <v>173533</v>
      </c>
      <c r="D311" s="20">
        <v>2</v>
      </c>
      <c r="E311" s="3" t="s">
        <v>779</v>
      </c>
      <c r="F311" s="3">
        <v>2008</v>
      </c>
      <c r="G311" s="3">
        <v>6</v>
      </c>
      <c r="H311" s="3">
        <v>0</v>
      </c>
      <c r="I311" s="3" t="s">
        <v>52</v>
      </c>
      <c r="J311" s="131" t="s">
        <v>748</v>
      </c>
      <c r="K311" s="3">
        <f t="shared" si="63"/>
        <v>2020</v>
      </c>
      <c r="L311" s="130">
        <f t="shared" si="64"/>
        <v>2020.5</v>
      </c>
      <c r="M311" s="139">
        <v>12818.4</v>
      </c>
      <c r="N311" s="139">
        <f t="shared" si="65"/>
        <v>12818.4</v>
      </c>
      <c r="O311" s="139">
        <f t="shared" si="62"/>
        <v>89.016666666666666</v>
      </c>
      <c r="P311" s="139">
        <f t="shared" si="61"/>
        <v>1068.2</v>
      </c>
      <c r="Q311" s="342">
        <f t="shared" si="56"/>
        <v>0</v>
      </c>
      <c r="R311" s="341"/>
      <c r="S311" s="342">
        <f t="shared" si="57"/>
        <v>12818.4</v>
      </c>
      <c r="T311" s="139">
        <f t="shared" si="58"/>
        <v>12818.4</v>
      </c>
      <c r="U311" s="139">
        <f t="shared" si="59"/>
        <v>0</v>
      </c>
      <c r="V311" s="11">
        <f t="shared" si="60"/>
        <v>0</v>
      </c>
    </row>
    <row r="312" spans="3:22" ht="12" customHeight="1">
      <c r="C312" s="20">
        <v>173534</v>
      </c>
      <c r="D312" s="20">
        <v>2</v>
      </c>
      <c r="E312" s="3" t="s">
        <v>779</v>
      </c>
      <c r="F312" s="3">
        <v>2008</v>
      </c>
      <c r="G312" s="3">
        <v>6</v>
      </c>
      <c r="H312" s="3">
        <v>0</v>
      </c>
      <c r="I312" s="3" t="s">
        <v>52</v>
      </c>
      <c r="J312" s="131" t="s">
        <v>748</v>
      </c>
      <c r="K312" s="3">
        <f t="shared" si="63"/>
        <v>2020</v>
      </c>
      <c r="L312" s="130">
        <f t="shared" si="64"/>
        <v>2020.5</v>
      </c>
      <c r="M312" s="139">
        <v>12818.4</v>
      </c>
      <c r="N312" s="139">
        <f t="shared" si="65"/>
        <v>12818.4</v>
      </c>
      <c r="O312" s="139">
        <f t="shared" si="62"/>
        <v>89.016666666666666</v>
      </c>
      <c r="P312" s="139">
        <f t="shared" si="61"/>
        <v>1068.2</v>
      </c>
      <c r="Q312" s="342">
        <f t="shared" si="56"/>
        <v>0</v>
      </c>
      <c r="R312" s="341"/>
      <c r="S312" s="342">
        <f t="shared" si="57"/>
        <v>12818.4</v>
      </c>
      <c r="T312" s="139">
        <f t="shared" si="58"/>
        <v>12818.4</v>
      </c>
      <c r="U312" s="139">
        <f t="shared" si="59"/>
        <v>0</v>
      </c>
      <c r="V312" s="11">
        <f t="shared" si="60"/>
        <v>0</v>
      </c>
    </row>
    <row r="313" spans="3:22" ht="12" customHeight="1">
      <c r="C313" s="20">
        <v>173535</v>
      </c>
      <c r="D313" s="20">
        <v>2</v>
      </c>
      <c r="E313" s="3" t="s">
        <v>779</v>
      </c>
      <c r="F313" s="3">
        <v>2008</v>
      </c>
      <c r="G313" s="3">
        <v>6</v>
      </c>
      <c r="H313" s="3">
        <v>0</v>
      </c>
      <c r="I313" s="3" t="s">
        <v>52</v>
      </c>
      <c r="J313" s="131" t="s">
        <v>748</v>
      </c>
      <c r="K313" s="3">
        <f t="shared" si="63"/>
        <v>2020</v>
      </c>
      <c r="L313" s="130">
        <f t="shared" si="64"/>
        <v>2020.5</v>
      </c>
      <c r="M313" s="139">
        <v>12818.4</v>
      </c>
      <c r="N313" s="139">
        <f t="shared" si="65"/>
        <v>12818.4</v>
      </c>
      <c r="O313" s="139">
        <f t="shared" si="62"/>
        <v>89.016666666666666</v>
      </c>
      <c r="P313" s="139">
        <f t="shared" si="61"/>
        <v>1068.2</v>
      </c>
      <c r="Q313" s="342">
        <f t="shared" si="56"/>
        <v>0</v>
      </c>
      <c r="R313" s="341"/>
      <c r="S313" s="342">
        <f t="shared" si="57"/>
        <v>12818.4</v>
      </c>
      <c r="T313" s="139">
        <f t="shared" si="58"/>
        <v>12818.4</v>
      </c>
      <c r="U313" s="139">
        <f t="shared" si="59"/>
        <v>0</v>
      </c>
      <c r="V313" s="11">
        <f t="shared" si="60"/>
        <v>0</v>
      </c>
    </row>
    <row r="314" spans="3:22" ht="12" customHeight="1">
      <c r="C314" s="20">
        <v>173536</v>
      </c>
      <c r="D314" s="20">
        <v>2</v>
      </c>
      <c r="E314" s="3" t="s">
        <v>779</v>
      </c>
      <c r="F314" s="3">
        <v>2008</v>
      </c>
      <c r="G314" s="3">
        <v>6</v>
      </c>
      <c r="H314" s="3">
        <v>0</v>
      </c>
      <c r="I314" s="3" t="s">
        <v>52</v>
      </c>
      <c r="J314" s="131" t="s">
        <v>748</v>
      </c>
      <c r="K314" s="3">
        <f t="shared" si="63"/>
        <v>2020</v>
      </c>
      <c r="L314" s="130">
        <f t="shared" si="64"/>
        <v>2020.5</v>
      </c>
      <c r="M314" s="139">
        <v>12818.4</v>
      </c>
      <c r="N314" s="139">
        <f t="shared" si="65"/>
        <v>12818.4</v>
      </c>
      <c r="O314" s="139">
        <f t="shared" si="62"/>
        <v>89.016666666666666</v>
      </c>
      <c r="P314" s="139">
        <f t="shared" si="61"/>
        <v>1068.2</v>
      </c>
      <c r="Q314" s="342">
        <f t="shared" si="56"/>
        <v>0</v>
      </c>
      <c r="R314" s="341"/>
      <c r="S314" s="342">
        <f t="shared" si="57"/>
        <v>12818.4</v>
      </c>
      <c r="T314" s="139">
        <f t="shared" si="58"/>
        <v>12818.4</v>
      </c>
      <c r="U314" s="139">
        <f t="shared" si="59"/>
        <v>0</v>
      </c>
      <c r="V314" s="11">
        <f t="shared" si="60"/>
        <v>0</v>
      </c>
    </row>
    <row r="315" spans="3:22" ht="12" customHeight="1">
      <c r="C315" s="20">
        <v>173537</v>
      </c>
      <c r="D315" s="20">
        <v>2</v>
      </c>
      <c r="E315" s="3" t="s">
        <v>779</v>
      </c>
      <c r="F315" s="3">
        <v>2008</v>
      </c>
      <c r="G315" s="3">
        <v>6</v>
      </c>
      <c r="H315" s="3">
        <v>0</v>
      </c>
      <c r="I315" s="3" t="s">
        <v>52</v>
      </c>
      <c r="J315" s="131" t="s">
        <v>748</v>
      </c>
      <c r="K315" s="3">
        <f t="shared" si="63"/>
        <v>2020</v>
      </c>
      <c r="L315" s="130">
        <f t="shared" si="64"/>
        <v>2020.5</v>
      </c>
      <c r="M315" s="139">
        <v>12818.4</v>
      </c>
      <c r="N315" s="139">
        <f t="shared" si="65"/>
        <v>12818.4</v>
      </c>
      <c r="O315" s="139">
        <f t="shared" si="62"/>
        <v>89.016666666666666</v>
      </c>
      <c r="P315" s="139">
        <f t="shared" ref="P315:P346" si="66">+O315*12</f>
        <v>1068.2</v>
      </c>
      <c r="Q315" s="342">
        <f t="shared" si="56"/>
        <v>0</v>
      </c>
      <c r="R315" s="341"/>
      <c r="S315" s="342">
        <f t="shared" si="57"/>
        <v>12818.4</v>
      </c>
      <c r="T315" s="139">
        <f t="shared" si="58"/>
        <v>12818.4</v>
      </c>
      <c r="U315" s="139">
        <f t="shared" si="59"/>
        <v>0</v>
      </c>
      <c r="V315" s="11">
        <f t="shared" si="60"/>
        <v>0</v>
      </c>
    </row>
    <row r="316" spans="3:22" ht="12" customHeight="1">
      <c r="C316" s="20">
        <v>173552</v>
      </c>
      <c r="D316" s="20">
        <v>7</v>
      </c>
      <c r="E316" s="3" t="s">
        <v>780</v>
      </c>
      <c r="F316" s="3">
        <v>2004</v>
      </c>
      <c r="G316" s="3">
        <v>8</v>
      </c>
      <c r="H316" s="3">
        <v>0</v>
      </c>
      <c r="I316" s="3" t="s">
        <v>52</v>
      </c>
      <c r="J316" s="131" t="s">
        <v>748</v>
      </c>
      <c r="K316" s="3">
        <f t="shared" si="63"/>
        <v>2016</v>
      </c>
      <c r="L316" s="130">
        <f t="shared" si="64"/>
        <v>2016.6666666666667</v>
      </c>
      <c r="M316" s="139">
        <v>33320</v>
      </c>
      <c r="N316" s="139">
        <f t="shared" si="65"/>
        <v>33320</v>
      </c>
      <c r="O316" s="139">
        <f t="shared" si="62"/>
        <v>231.38888888888889</v>
      </c>
      <c r="P316" s="139">
        <f t="shared" si="66"/>
        <v>2776.6666666666665</v>
      </c>
      <c r="Q316" s="342">
        <f t="shared" si="56"/>
        <v>0</v>
      </c>
      <c r="R316" s="341"/>
      <c r="S316" s="342">
        <f t="shared" si="57"/>
        <v>33320</v>
      </c>
      <c r="T316" s="139">
        <f t="shared" si="58"/>
        <v>33320</v>
      </c>
      <c r="U316" s="139">
        <f t="shared" si="59"/>
        <v>0</v>
      </c>
      <c r="V316" s="11">
        <f t="shared" si="60"/>
        <v>0</v>
      </c>
    </row>
    <row r="317" spans="3:22" ht="12" customHeight="1">
      <c r="C317" s="20">
        <v>173553</v>
      </c>
      <c r="D317" s="20">
        <v>3</v>
      </c>
      <c r="E317" s="3" t="s">
        <v>754</v>
      </c>
      <c r="F317" s="3">
        <v>2006</v>
      </c>
      <c r="G317" s="3">
        <v>4</v>
      </c>
      <c r="H317" s="3">
        <v>0</v>
      </c>
      <c r="I317" s="3" t="s">
        <v>52</v>
      </c>
      <c r="J317" s="131" t="s">
        <v>748</v>
      </c>
      <c r="K317" s="3">
        <f t="shared" si="63"/>
        <v>2018</v>
      </c>
      <c r="L317" s="130">
        <f t="shared" si="64"/>
        <v>2018.3333333333333</v>
      </c>
      <c r="M317" s="139">
        <v>14851.2</v>
      </c>
      <c r="N317" s="139">
        <f t="shared" si="65"/>
        <v>14851.2</v>
      </c>
      <c r="O317" s="139">
        <f t="shared" si="62"/>
        <v>103.13333333333334</v>
      </c>
      <c r="P317" s="139">
        <f t="shared" si="66"/>
        <v>1237.6000000000001</v>
      </c>
      <c r="Q317" s="342">
        <f t="shared" si="56"/>
        <v>0</v>
      </c>
      <c r="R317" s="341"/>
      <c r="S317" s="342">
        <f t="shared" si="57"/>
        <v>14851.2</v>
      </c>
      <c r="T317" s="139">
        <f t="shared" si="58"/>
        <v>14851.2</v>
      </c>
      <c r="U317" s="139">
        <f t="shared" si="59"/>
        <v>0</v>
      </c>
      <c r="V317" s="11">
        <f t="shared" si="60"/>
        <v>0</v>
      </c>
    </row>
    <row r="318" spans="3:22" ht="12.75" customHeight="1">
      <c r="C318" s="20">
        <v>173554</v>
      </c>
      <c r="D318" s="20">
        <v>3</v>
      </c>
      <c r="E318" s="3" t="s">
        <v>754</v>
      </c>
      <c r="F318" s="3">
        <v>2006</v>
      </c>
      <c r="G318" s="3">
        <v>4</v>
      </c>
      <c r="H318" s="3">
        <v>0</v>
      </c>
      <c r="I318" s="3" t="s">
        <v>52</v>
      </c>
      <c r="J318" s="131" t="s">
        <v>748</v>
      </c>
      <c r="K318" s="3">
        <f t="shared" si="63"/>
        <v>2018</v>
      </c>
      <c r="L318" s="130">
        <f t="shared" si="64"/>
        <v>2018.3333333333333</v>
      </c>
      <c r="M318" s="139">
        <v>14851.2</v>
      </c>
      <c r="N318" s="139">
        <f t="shared" si="65"/>
        <v>14851.2</v>
      </c>
      <c r="O318" s="139">
        <f t="shared" si="62"/>
        <v>103.13333333333334</v>
      </c>
      <c r="P318" s="139">
        <f t="shared" si="66"/>
        <v>1237.6000000000001</v>
      </c>
      <c r="Q318" s="342">
        <f t="shared" si="56"/>
        <v>0</v>
      </c>
      <c r="R318" s="341"/>
      <c r="S318" s="342">
        <f t="shared" si="57"/>
        <v>14851.2</v>
      </c>
      <c r="T318" s="139">
        <f t="shared" si="58"/>
        <v>14851.2</v>
      </c>
      <c r="U318" s="139">
        <f t="shared" si="59"/>
        <v>0</v>
      </c>
      <c r="V318" s="11">
        <f t="shared" si="60"/>
        <v>0</v>
      </c>
    </row>
    <row r="319" spans="3:22" ht="12" customHeight="1">
      <c r="C319" s="20">
        <v>173615</v>
      </c>
      <c r="D319" s="20">
        <v>1</v>
      </c>
      <c r="E319" s="3" t="s">
        <v>779</v>
      </c>
      <c r="F319" s="3">
        <v>2010</v>
      </c>
      <c r="G319" s="3">
        <v>12</v>
      </c>
      <c r="H319" s="3">
        <v>0</v>
      </c>
      <c r="I319" s="3" t="s">
        <v>52</v>
      </c>
      <c r="J319" s="131" t="s">
        <v>748</v>
      </c>
      <c r="K319" s="3">
        <f t="shared" si="63"/>
        <v>2022</v>
      </c>
      <c r="L319" s="130">
        <f t="shared" si="64"/>
        <v>2023</v>
      </c>
      <c r="M319" s="139">
        <v>7760.3</v>
      </c>
      <c r="N319" s="139">
        <f t="shared" si="65"/>
        <v>7760.3</v>
      </c>
      <c r="O319" s="139">
        <f t="shared" ref="O319:O350" si="67">N319/J319/12</f>
        <v>53.890972222222224</v>
      </c>
      <c r="P319" s="139">
        <f t="shared" si="66"/>
        <v>646.69166666666672</v>
      </c>
      <c r="Q319" s="342">
        <f t="shared" si="56"/>
        <v>0</v>
      </c>
      <c r="R319" s="341"/>
      <c r="S319" s="342">
        <f t="shared" si="57"/>
        <v>7760.3</v>
      </c>
      <c r="T319" s="139">
        <f t="shared" si="58"/>
        <v>7760.3</v>
      </c>
      <c r="U319" s="139">
        <f t="shared" si="59"/>
        <v>0</v>
      </c>
      <c r="V319" s="11">
        <f t="shared" si="60"/>
        <v>0</v>
      </c>
    </row>
    <row r="320" spans="3:22" ht="12" customHeight="1">
      <c r="C320" s="20">
        <v>173616</v>
      </c>
      <c r="D320" s="20">
        <v>1</v>
      </c>
      <c r="E320" s="3" t="s">
        <v>781</v>
      </c>
      <c r="F320" s="3">
        <v>2010</v>
      </c>
      <c r="G320" s="3">
        <v>12</v>
      </c>
      <c r="H320" s="3">
        <v>0</v>
      </c>
      <c r="I320" s="3" t="s">
        <v>52</v>
      </c>
      <c r="J320" s="131" t="s">
        <v>748</v>
      </c>
      <c r="K320" s="3">
        <f t="shared" si="63"/>
        <v>2022</v>
      </c>
      <c r="L320" s="130">
        <f t="shared" si="64"/>
        <v>2023</v>
      </c>
      <c r="M320" s="139">
        <v>3880.15</v>
      </c>
      <c r="N320" s="139">
        <f t="shared" si="65"/>
        <v>3880.15</v>
      </c>
      <c r="O320" s="139">
        <f t="shared" si="67"/>
        <v>26.945486111111112</v>
      </c>
      <c r="P320" s="139">
        <f t="shared" si="66"/>
        <v>323.34583333333336</v>
      </c>
      <c r="Q320" s="342">
        <f t="shared" si="56"/>
        <v>0</v>
      </c>
      <c r="R320" s="341"/>
      <c r="S320" s="342">
        <f t="shared" si="57"/>
        <v>3880.15</v>
      </c>
      <c r="T320" s="139">
        <f t="shared" si="58"/>
        <v>3880.15</v>
      </c>
      <c r="U320" s="139">
        <f t="shared" si="59"/>
        <v>0</v>
      </c>
      <c r="V320" s="11">
        <f t="shared" si="60"/>
        <v>0</v>
      </c>
    </row>
    <row r="321" spans="3:22" ht="12" customHeight="1">
      <c r="C321" s="20">
        <v>173617</v>
      </c>
      <c r="D321" s="20">
        <v>5</v>
      </c>
      <c r="E321" s="3" t="s">
        <v>782</v>
      </c>
      <c r="F321" s="3">
        <v>2015</v>
      </c>
      <c r="G321" s="3">
        <v>1</v>
      </c>
      <c r="H321" s="3">
        <v>0</v>
      </c>
      <c r="I321" s="3" t="s">
        <v>52</v>
      </c>
      <c r="J321" s="131" t="s">
        <v>748</v>
      </c>
      <c r="K321" s="3">
        <f t="shared" si="63"/>
        <v>2027</v>
      </c>
      <c r="L321" s="130">
        <f t="shared" si="64"/>
        <v>2027.0833333333333</v>
      </c>
      <c r="M321" s="139">
        <v>34700</v>
      </c>
      <c r="N321" s="139">
        <f t="shared" si="65"/>
        <v>34700</v>
      </c>
      <c r="O321" s="139">
        <f t="shared" si="67"/>
        <v>240.9722222222222</v>
      </c>
      <c r="P321" s="139">
        <f t="shared" si="66"/>
        <v>2891.6666666666665</v>
      </c>
      <c r="Q321" s="342">
        <f t="shared" si="56"/>
        <v>2891.6666666666665</v>
      </c>
      <c r="R321" s="341"/>
      <c r="S321" s="342">
        <f t="shared" si="57"/>
        <v>26747.916666666668</v>
      </c>
      <c r="T321" s="139">
        <f t="shared" si="58"/>
        <v>29639.583333333336</v>
      </c>
      <c r="U321" s="139">
        <f t="shared" si="59"/>
        <v>5060.4166666666642</v>
      </c>
      <c r="V321" s="11">
        <f t="shared" si="60"/>
        <v>5060.4166666666642</v>
      </c>
    </row>
    <row r="322" spans="3:22" ht="12" customHeight="1">
      <c r="C322" s="20">
        <v>173626</v>
      </c>
      <c r="D322" s="20" t="s">
        <v>751</v>
      </c>
      <c r="E322" s="3" t="s">
        <v>783</v>
      </c>
      <c r="F322" s="3">
        <v>2015</v>
      </c>
      <c r="G322" s="3">
        <v>9</v>
      </c>
      <c r="H322" s="3">
        <v>0</v>
      </c>
      <c r="I322" s="3" t="s">
        <v>52</v>
      </c>
      <c r="J322" s="131">
        <v>5</v>
      </c>
      <c r="K322" s="3">
        <f t="shared" ref="K322:K353" si="68">F322+J322</f>
        <v>2020</v>
      </c>
      <c r="L322" s="130">
        <f t="shared" ref="L322:L353" si="69">+K322+(G322/12)</f>
        <v>2020.75</v>
      </c>
      <c r="M322" s="139">
        <v>2804.34</v>
      </c>
      <c r="N322" s="139">
        <f t="shared" ref="N322:N353" si="70">M322-M322*H322</f>
        <v>2804.34</v>
      </c>
      <c r="O322" s="139">
        <f t="shared" si="67"/>
        <v>46.739000000000004</v>
      </c>
      <c r="P322" s="139">
        <f t="shared" si="66"/>
        <v>560.86800000000005</v>
      </c>
      <c r="Q322" s="342">
        <f t="shared" ref="Q322:Q385" si="71">IF(L322&lt;=$N$6,0,P322)</f>
        <v>0</v>
      </c>
      <c r="R322" s="341"/>
      <c r="S322" s="342">
        <f t="shared" ref="S322:S385" si="72">+IF($L322&lt;=$N$7,$M322,IF(($F322+($G322/12))&gt;=$N$7,0,((($N322-((($L322-$N$7)*12)*$O322))))))</f>
        <v>2804.34</v>
      </c>
      <c r="T322" s="139">
        <f t="shared" ref="T322:T385" si="73">IF(L322&lt;=$N$6,M322,Q322+S322)</f>
        <v>2804.34</v>
      </c>
      <c r="U322" s="139">
        <f t="shared" ref="U322:U385" si="74">M322-T322</f>
        <v>0</v>
      </c>
      <c r="V322" s="11">
        <f t="shared" si="60"/>
        <v>0</v>
      </c>
    </row>
    <row r="323" spans="3:22" ht="12" customHeight="1">
      <c r="C323" s="20">
        <v>173627</v>
      </c>
      <c r="D323" s="20" t="s">
        <v>751</v>
      </c>
      <c r="E323" s="3" t="s">
        <v>783</v>
      </c>
      <c r="F323" s="3">
        <v>2015</v>
      </c>
      <c r="G323" s="3">
        <v>9</v>
      </c>
      <c r="H323" s="3">
        <v>0</v>
      </c>
      <c r="I323" s="3" t="s">
        <v>52</v>
      </c>
      <c r="J323" s="131">
        <v>5</v>
      </c>
      <c r="K323" s="3">
        <f t="shared" si="68"/>
        <v>2020</v>
      </c>
      <c r="L323" s="130">
        <f t="shared" si="69"/>
        <v>2020.75</v>
      </c>
      <c r="M323" s="139">
        <v>3300</v>
      </c>
      <c r="N323" s="139">
        <f t="shared" si="70"/>
        <v>3300</v>
      </c>
      <c r="O323" s="139">
        <f t="shared" si="67"/>
        <v>55</v>
      </c>
      <c r="P323" s="139">
        <f t="shared" si="66"/>
        <v>660</v>
      </c>
      <c r="Q323" s="342">
        <f t="shared" si="71"/>
        <v>0</v>
      </c>
      <c r="R323" s="341"/>
      <c r="S323" s="342">
        <f t="shared" si="72"/>
        <v>3300</v>
      </c>
      <c r="T323" s="139">
        <f t="shared" si="73"/>
        <v>3300</v>
      </c>
      <c r="U323" s="139">
        <f t="shared" si="74"/>
        <v>0</v>
      </c>
      <c r="V323" s="11">
        <f t="shared" si="60"/>
        <v>0</v>
      </c>
    </row>
    <row r="324" spans="3:22" ht="12" customHeight="1">
      <c r="C324" s="20">
        <v>173628</v>
      </c>
      <c r="D324" s="20">
        <v>1</v>
      </c>
      <c r="E324" s="3" t="s">
        <v>784</v>
      </c>
      <c r="F324" s="3">
        <v>2015</v>
      </c>
      <c r="G324" s="3">
        <v>9</v>
      </c>
      <c r="H324" s="3">
        <v>0</v>
      </c>
      <c r="I324" s="3" t="s">
        <v>52</v>
      </c>
      <c r="J324" s="131">
        <v>5</v>
      </c>
      <c r="K324" s="3">
        <f t="shared" si="68"/>
        <v>2020</v>
      </c>
      <c r="L324" s="130">
        <f t="shared" si="69"/>
        <v>2020.75</v>
      </c>
      <c r="M324" s="139">
        <v>5468.93</v>
      </c>
      <c r="N324" s="139">
        <f t="shared" si="70"/>
        <v>5468.93</v>
      </c>
      <c r="O324" s="139">
        <f t="shared" si="67"/>
        <v>91.148833333333343</v>
      </c>
      <c r="P324" s="139">
        <f t="shared" si="66"/>
        <v>1093.7860000000001</v>
      </c>
      <c r="Q324" s="342">
        <f t="shared" si="71"/>
        <v>0</v>
      </c>
      <c r="R324" s="341"/>
      <c r="S324" s="342">
        <f t="shared" si="72"/>
        <v>5468.93</v>
      </c>
      <c r="T324" s="139">
        <f t="shared" si="73"/>
        <v>5468.93</v>
      </c>
      <c r="U324" s="139">
        <f t="shared" si="74"/>
        <v>0</v>
      </c>
      <c r="V324" s="11">
        <f t="shared" si="60"/>
        <v>0</v>
      </c>
    </row>
    <row r="325" spans="3:22" ht="12" customHeight="1">
      <c r="C325" s="20">
        <v>173633</v>
      </c>
      <c r="D325" s="20">
        <v>8</v>
      </c>
      <c r="E325" s="3" t="s">
        <v>785</v>
      </c>
      <c r="F325" s="3">
        <v>2015</v>
      </c>
      <c r="G325" s="3">
        <v>10</v>
      </c>
      <c r="H325" s="3">
        <v>0</v>
      </c>
      <c r="I325" s="3" t="s">
        <v>52</v>
      </c>
      <c r="J325" s="131" t="s">
        <v>748</v>
      </c>
      <c r="K325" s="3">
        <f t="shared" si="68"/>
        <v>2027</v>
      </c>
      <c r="L325" s="130">
        <f t="shared" si="69"/>
        <v>2027.8333333333333</v>
      </c>
      <c r="M325" s="139">
        <v>47350</v>
      </c>
      <c r="N325" s="139">
        <f t="shared" si="70"/>
        <v>47350</v>
      </c>
      <c r="O325" s="139">
        <f t="shared" si="67"/>
        <v>328.81944444444446</v>
      </c>
      <c r="P325" s="139">
        <f t="shared" si="66"/>
        <v>3945.8333333333335</v>
      </c>
      <c r="Q325" s="342">
        <f t="shared" si="71"/>
        <v>3945.8333333333335</v>
      </c>
      <c r="R325" s="341"/>
      <c r="S325" s="342">
        <f t="shared" si="72"/>
        <v>33539.583333333328</v>
      </c>
      <c r="T325" s="139">
        <f t="shared" si="73"/>
        <v>37485.416666666664</v>
      </c>
      <c r="U325" s="139">
        <f t="shared" si="74"/>
        <v>9864.5833333333358</v>
      </c>
      <c r="V325" s="11">
        <f t="shared" si="60"/>
        <v>9864.5833333333358</v>
      </c>
    </row>
    <row r="326" spans="3:22" ht="12" customHeight="1">
      <c r="C326" s="20">
        <v>173636</v>
      </c>
      <c r="D326" s="20">
        <v>2</v>
      </c>
      <c r="E326" s="3" t="s">
        <v>786</v>
      </c>
      <c r="F326" s="3">
        <v>2003</v>
      </c>
      <c r="G326" s="3">
        <v>5</v>
      </c>
      <c r="H326" s="3">
        <v>0</v>
      </c>
      <c r="I326" s="3" t="s">
        <v>52</v>
      </c>
      <c r="J326" s="131" t="s">
        <v>748</v>
      </c>
      <c r="K326" s="3">
        <f t="shared" si="68"/>
        <v>2015</v>
      </c>
      <c r="L326" s="130">
        <f t="shared" si="69"/>
        <v>2015.4166666666667</v>
      </c>
      <c r="M326" s="139">
        <v>8878.2999999999993</v>
      </c>
      <c r="N326" s="139">
        <f t="shared" si="70"/>
        <v>8878.2999999999993</v>
      </c>
      <c r="O326" s="139">
        <f t="shared" si="67"/>
        <v>61.654861111111103</v>
      </c>
      <c r="P326" s="139">
        <f t="shared" si="66"/>
        <v>739.85833333333323</v>
      </c>
      <c r="Q326" s="342">
        <f t="shared" si="71"/>
        <v>0</v>
      </c>
      <c r="R326" s="341"/>
      <c r="S326" s="342">
        <f t="shared" si="72"/>
        <v>8878.2999999999993</v>
      </c>
      <c r="T326" s="139">
        <f t="shared" si="73"/>
        <v>8878.2999999999993</v>
      </c>
      <c r="U326" s="139">
        <f t="shared" si="74"/>
        <v>0</v>
      </c>
      <c r="V326" s="11">
        <f t="shared" si="60"/>
        <v>0</v>
      </c>
    </row>
    <row r="327" spans="3:22" ht="12" customHeight="1">
      <c r="C327" s="20">
        <v>173638</v>
      </c>
      <c r="D327" s="20">
        <v>1</v>
      </c>
      <c r="E327" s="3" t="s">
        <v>779</v>
      </c>
      <c r="F327" s="3">
        <v>2010</v>
      </c>
      <c r="G327" s="3">
        <v>12</v>
      </c>
      <c r="H327" s="3">
        <v>0</v>
      </c>
      <c r="I327" s="3" t="s">
        <v>52</v>
      </c>
      <c r="J327" s="131" t="s">
        <v>748</v>
      </c>
      <c r="K327" s="3">
        <f t="shared" si="68"/>
        <v>2022</v>
      </c>
      <c r="L327" s="130">
        <f t="shared" si="69"/>
        <v>2023</v>
      </c>
      <c r="M327" s="139">
        <v>7760.3</v>
      </c>
      <c r="N327" s="139">
        <f t="shared" si="70"/>
        <v>7760.3</v>
      </c>
      <c r="O327" s="139">
        <f t="shared" si="67"/>
        <v>53.890972222222224</v>
      </c>
      <c r="P327" s="139">
        <f t="shared" si="66"/>
        <v>646.69166666666672</v>
      </c>
      <c r="Q327" s="342">
        <f t="shared" si="71"/>
        <v>0</v>
      </c>
      <c r="R327" s="341"/>
      <c r="S327" s="342">
        <f t="shared" si="72"/>
        <v>7760.3</v>
      </c>
      <c r="T327" s="139">
        <f t="shared" si="73"/>
        <v>7760.3</v>
      </c>
      <c r="U327" s="139">
        <f t="shared" si="74"/>
        <v>0</v>
      </c>
      <c r="V327" s="11">
        <f t="shared" si="60"/>
        <v>0</v>
      </c>
    </row>
    <row r="328" spans="3:22" ht="12" customHeight="1">
      <c r="C328" s="20">
        <v>173639</v>
      </c>
      <c r="D328" s="20">
        <v>1</v>
      </c>
      <c r="E328" s="3" t="s">
        <v>781</v>
      </c>
      <c r="F328" s="3">
        <v>2010</v>
      </c>
      <c r="G328" s="3">
        <v>12</v>
      </c>
      <c r="H328" s="3">
        <v>0</v>
      </c>
      <c r="I328" s="3" t="s">
        <v>52</v>
      </c>
      <c r="J328" s="131" t="s">
        <v>748</v>
      </c>
      <c r="K328" s="3">
        <f t="shared" si="68"/>
        <v>2022</v>
      </c>
      <c r="L328" s="130">
        <f t="shared" si="69"/>
        <v>2023</v>
      </c>
      <c r="M328" s="139">
        <v>3880.15</v>
      </c>
      <c r="N328" s="139">
        <f t="shared" si="70"/>
        <v>3880.15</v>
      </c>
      <c r="O328" s="139">
        <f t="shared" si="67"/>
        <v>26.945486111111112</v>
      </c>
      <c r="P328" s="139">
        <f t="shared" si="66"/>
        <v>323.34583333333336</v>
      </c>
      <c r="Q328" s="342">
        <f t="shared" si="71"/>
        <v>0</v>
      </c>
      <c r="R328" s="341"/>
      <c r="S328" s="342">
        <f t="shared" si="72"/>
        <v>3880.15</v>
      </c>
      <c r="T328" s="139">
        <f t="shared" si="73"/>
        <v>3880.15</v>
      </c>
      <c r="U328" s="139">
        <f t="shared" si="74"/>
        <v>0</v>
      </c>
      <c r="V328" s="11">
        <f t="shared" si="60"/>
        <v>0</v>
      </c>
    </row>
    <row r="329" spans="3:22" ht="12" customHeight="1">
      <c r="C329" s="20">
        <v>173645</v>
      </c>
      <c r="D329" s="20">
        <v>6</v>
      </c>
      <c r="E329" s="3" t="s">
        <v>787</v>
      </c>
      <c r="F329" s="3">
        <v>2016</v>
      </c>
      <c r="G329" s="3">
        <v>1</v>
      </c>
      <c r="H329" s="3">
        <v>0</v>
      </c>
      <c r="I329" s="3" t="s">
        <v>52</v>
      </c>
      <c r="J329" s="131" t="s">
        <v>750</v>
      </c>
      <c r="K329" s="3">
        <f t="shared" si="68"/>
        <v>2086</v>
      </c>
      <c r="L329" s="130">
        <f t="shared" si="69"/>
        <v>2086.0833333333335</v>
      </c>
      <c r="M329" s="139">
        <v>12600</v>
      </c>
      <c r="N329" s="139">
        <f t="shared" si="70"/>
        <v>12600</v>
      </c>
      <c r="O329" s="139">
        <f t="shared" si="67"/>
        <v>15</v>
      </c>
      <c r="P329" s="139">
        <f t="shared" si="66"/>
        <v>180</v>
      </c>
      <c r="Q329" s="342">
        <f t="shared" si="71"/>
        <v>180</v>
      </c>
      <c r="R329" s="341"/>
      <c r="S329" s="342">
        <f t="shared" si="72"/>
        <v>1484.99999999996</v>
      </c>
      <c r="T329" s="139">
        <f t="shared" si="73"/>
        <v>1664.99999999996</v>
      </c>
      <c r="U329" s="139">
        <f t="shared" si="74"/>
        <v>10935.00000000004</v>
      </c>
      <c r="V329" s="11">
        <f t="shared" si="60"/>
        <v>10935.00000000004</v>
      </c>
    </row>
    <row r="330" spans="3:22" ht="12" customHeight="1">
      <c r="C330" s="20">
        <v>173646</v>
      </c>
      <c r="D330" s="20">
        <v>6</v>
      </c>
      <c r="E330" s="3" t="s">
        <v>788</v>
      </c>
      <c r="F330" s="3">
        <v>2016</v>
      </c>
      <c r="G330" s="3">
        <v>1</v>
      </c>
      <c r="H330" s="3">
        <v>0</v>
      </c>
      <c r="I330" s="3" t="s">
        <v>52</v>
      </c>
      <c r="J330" s="131" t="s">
        <v>750</v>
      </c>
      <c r="K330" s="3">
        <f t="shared" si="68"/>
        <v>2086</v>
      </c>
      <c r="L330" s="130">
        <f t="shared" si="69"/>
        <v>2086.0833333333335</v>
      </c>
      <c r="M330" s="139">
        <v>12600</v>
      </c>
      <c r="N330" s="139">
        <f t="shared" si="70"/>
        <v>12600</v>
      </c>
      <c r="O330" s="139">
        <f t="shared" si="67"/>
        <v>15</v>
      </c>
      <c r="P330" s="139">
        <f t="shared" si="66"/>
        <v>180</v>
      </c>
      <c r="Q330" s="342">
        <f t="shared" si="71"/>
        <v>180</v>
      </c>
      <c r="R330" s="341"/>
      <c r="S330" s="342">
        <f t="shared" si="72"/>
        <v>1484.99999999996</v>
      </c>
      <c r="T330" s="139">
        <f t="shared" si="73"/>
        <v>1664.99999999996</v>
      </c>
      <c r="U330" s="139">
        <f t="shared" si="74"/>
        <v>10935.00000000004</v>
      </c>
      <c r="V330" s="11">
        <f t="shared" si="60"/>
        <v>10935.00000000004</v>
      </c>
    </row>
    <row r="331" spans="3:22" ht="12" customHeight="1">
      <c r="C331" s="20">
        <v>173647</v>
      </c>
      <c r="D331" s="20" t="s">
        <v>751</v>
      </c>
      <c r="E331" s="3" t="s">
        <v>789</v>
      </c>
      <c r="F331" s="3">
        <v>2016</v>
      </c>
      <c r="G331" s="3">
        <v>1</v>
      </c>
      <c r="H331" s="3">
        <v>0</v>
      </c>
      <c r="I331" s="3" t="s">
        <v>52</v>
      </c>
      <c r="J331" s="131">
        <v>5</v>
      </c>
      <c r="K331" s="3">
        <f t="shared" si="68"/>
        <v>2021</v>
      </c>
      <c r="L331" s="130">
        <f t="shared" si="69"/>
        <v>2021.0833333333333</v>
      </c>
      <c r="M331" s="139">
        <v>5199.8</v>
      </c>
      <c r="N331" s="139">
        <f t="shared" si="70"/>
        <v>5199.8</v>
      </c>
      <c r="O331" s="139">
        <f t="shared" si="67"/>
        <v>86.663333333333341</v>
      </c>
      <c r="P331" s="139">
        <f t="shared" si="66"/>
        <v>1039.96</v>
      </c>
      <c r="Q331" s="342">
        <f t="shared" si="71"/>
        <v>0</v>
      </c>
      <c r="R331" s="341"/>
      <c r="S331" s="342">
        <f t="shared" si="72"/>
        <v>5199.8</v>
      </c>
      <c r="T331" s="139">
        <f t="shared" si="73"/>
        <v>5199.8</v>
      </c>
      <c r="U331" s="139">
        <f t="shared" si="74"/>
        <v>0</v>
      </c>
      <c r="V331" s="11">
        <f t="shared" si="60"/>
        <v>0</v>
      </c>
    </row>
    <row r="332" spans="3:22" ht="12" customHeight="1">
      <c r="C332" s="20">
        <v>173648</v>
      </c>
      <c r="D332" s="20">
        <v>1</v>
      </c>
      <c r="E332" s="3" t="s">
        <v>790</v>
      </c>
      <c r="F332" s="3">
        <v>2016</v>
      </c>
      <c r="G332" s="3">
        <v>1</v>
      </c>
      <c r="H332" s="3">
        <v>0</v>
      </c>
      <c r="I332" s="3" t="s">
        <v>52</v>
      </c>
      <c r="J332" s="131">
        <v>5</v>
      </c>
      <c r="K332" s="3">
        <f t="shared" si="68"/>
        <v>2021</v>
      </c>
      <c r="L332" s="130">
        <f t="shared" si="69"/>
        <v>2021.0833333333333</v>
      </c>
      <c r="M332" s="139">
        <v>3250</v>
      </c>
      <c r="N332" s="139">
        <f t="shared" si="70"/>
        <v>3250</v>
      </c>
      <c r="O332" s="139">
        <f t="shared" si="67"/>
        <v>54.166666666666664</v>
      </c>
      <c r="P332" s="139">
        <f t="shared" si="66"/>
        <v>650</v>
      </c>
      <c r="Q332" s="342">
        <f t="shared" si="71"/>
        <v>0</v>
      </c>
      <c r="R332" s="341"/>
      <c r="S332" s="342">
        <f t="shared" si="72"/>
        <v>3250</v>
      </c>
      <c r="T332" s="139">
        <f t="shared" si="73"/>
        <v>3250</v>
      </c>
      <c r="U332" s="139">
        <f t="shared" si="74"/>
        <v>0</v>
      </c>
      <c r="V332" s="11">
        <f t="shared" si="60"/>
        <v>0</v>
      </c>
    </row>
    <row r="333" spans="3:22" ht="12" customHeight="1">
      <c r="C333" s="20">
        <v>173650</v>
      </c>
      <c r="D333" s="20">
        <v>7</v>
      </c>
      <c r="E333" s="3" t="s">
        <v>791</v>
      </c>
      <c r="F333" s="3">
        <v>2016</v>
      </c>
      <c r="G333" s="3">
        <v>4</v>
      </c>
      <c r="H333" s="3">
        <v>0</v>
      </c>
      <c r="I333" s="3" t="s">
        <v>52</v>
      </c>
      <c r="J333" s="131" t="s">
        <v>748</v>
      </c>
      <c r="K333" s="3">
        <f t="shared" si="68"/>
        <v>2028</v>
      </c>
      <c r="L333" s="130">
        <f t="shared" si="69"/>
        <v>2028.3333333333333</v>
      </c>
      <c r="M333" s="139">
        <v>41020</v>
      </c>
      <c r="N333" s="139">
        <f t="shared" si="70"/>
        <v>41020</v>
      </c>
      <c r="O333" s="139">
        <f t="shared" si="67"/>
        <v>284.86111111111114</v>
      </c>
      <c r="P333" s="139">
        <f t="shared" si="66"/>
        <v>3418.3333333333339</v>
      </c>
      <c r="Q333" s="342">
        <f t="shared" si="71"/>
        <v>3418.3333333333339</v>
      </c>
      <c r="R333" s="341"/>
      <c r="S333" s="342">
        <f t="shared" si="72"/>
        <v>27346.666666666664</v>
      </c>
      <c r="T333" s="139">
        <f t="shared" si="73"/>
        <v>30765</v>
      </c>
      <c r="U333" s="139">
        <f t="shared" si="74"/>
        <v>10255</v>
      </c>
      <c r="V333" s="11">
        <f t="shared" si="60"/>
        <v>10255</v>
      </c>
    </row>
    <row r="334" spans="3:22" ht="12" customHeight="1">
      <c r="C334" s="20">
        <v>173651</v>
      </c>
      <c r="D334" s="20">
        <v>3</v>
      </c>
      <c r="E334" s="3" t="s">
        <v>792</v>
      </c>
      <c r="F334" s="3">
        <v>2016</v>
      </c>
      <c r="G334" s="3">
        <v>4</v>
      </c>
      <c r="H334" s="3">
        <v>0</v>
      </c>
      <c r="I334" s="3" t="s">
        <v>52</v>
      </c>
      <c r="J334" s="131" t="s">
        <v>748</v>
      </c>
      <c r="K334" s="3">
        <f t="shared" si="68"/>
        <v>2028</v>
      </c>
      <c r="L334" s="130">
        <f t="shared" si="69"/>
        <v>2028.3333333333333</v>
      </c>
      <c r="M334" s="139">
        <v>20235</v>
      </c>
      <c r="N334" s="139">
        <f t="shared" si="70"/>
        <v>20235</v>
      </c>
      <c r="O334" s="139">
        <f t="shared" si="67"/>
        <v>140.52083333333334</v>
      </c>
      <c r="P334" s="139">
        <f t="shared" si="66"/>
        <v>1686.25</v>
      </c>
      <c r="Q334" s="342">
        <f t="shared" si="71"/>
        <v>1686.25</v>
      </c>
      <c r="R334" s="341"/>
      <c r="S334" s="342">
        <f t="shared" si="72"/>
        <v>13490</v>
      </c>
      <c r="T334" s="139">
        <f t="shared" si="73"/>
        <v>15176.25</v>
      </c>
      <c r="U334" s="139">
        <f t="shared" si="74"/>
        <v>5058.75</v>
      </c>
      <c r="V334" s="11">
        <f t="shared" si="60"/>
        <v>5058.75</v>
      </c>
    </row>
    <row r="335" spans="3:22" ht="12" customHeight="1">
      <c r="C335" s="20">
        <v>173652</v>
      </c>
      <c r="D335" s="20">
        <v>1</v>
      </c>
      <c r="E335" s="3" t="s">
        <v>793</v>
      </c>
      <c r="F335" s="3">
        <v>2016</v>
      </c>
      <c r="G335" s="3">
        <v>4</v>
      </c>
      <c r="H335" s="3">
        <v>0</v>
      </c>
      <c r="I335" s="3" t="s">
        <v>52</v>
      </c>
      <c r="J335" s="131" t="s">
        <v>748</v>
      </c>
      <c r="K335" s="3">
        <f t="shared" si="68"/>
        <v>2028</v>
      </c>
      <c r="L335" s="130">
        <f t="shared" si="69"/>
        <v>2028.3333333333333</v>
      </c>
      <c r="M335" s="139">
        <v>7895</v>
      </c>
      <c r="N335" s="139">
        <f t="shared" si="70"/>
        <v>7895</v>
      </c>
      <c r="O335" s="139">
        <f t="shared" si="67"/>
        <v>54.826388888888886</v>
      </c>
      <c r="P335" s="139">
        <f t="shared" si="66"/>
        <v>657.91666666666663</v>
      </c>
      <c r="Q335" s="342">
        <f t="shared" si="71"/>
        <v>657.91666666666663</v>
      </c>
      <c r="R335" s="341"/>
      <c r="S335" s="342">
        <f t="shared" si="72"/>
        <v>5263.3333333333339</v>
      </c>
      <c r="T335" s="139">
        <f t="shared" si="73"/>
        <v>5921.2500000000009</v>
      </c>
      <c r="U335" s="139">
        <f t="shared" si="74"/>
        <v>1973.7499999999991</v>
      </c>
      <c r="V335" s="11">
        <f t="shared" si="60"/>
        <v>1973.7499999999991</v>
      </c>
    </row>
    <row r="336" spans="3:22" ht="12" customHeight="1">
      <c r="C336" s="20">
        <v>173664</v>
      </c>
      <c r="D336" s="20">
        <v>17</v>
      </c>
      <c r="E336" s="3" t="s">
        <v>794</v>
      </c>
      <c r="F336" s="3">
        <v>2016</v>
      </c>
      <c r="G336" s="3">
        <v>5</v>
      </c>
      <c r="H336" s="3">
        <v>0</v>
      </c>
      <c r="I336" s="3" t="s">
        <v>52</v>
      </c>
      <c r="J336" s="131" t="s">
        <v>748</v>
      </c>
      <c r="K336" s="3">
        <f t="shared" si="68"/>
        <v>2028</v>
      </c>
      <c r="L336" s="130">
        <f t="shared" si="69"/>
        <v>2028.4166666666667</v>
      </c>
      <c r="M336" s="139">
        <v>15138.77</v>
      </c>
      <c r="N336" s="139">
        <f t="shared" si="70"/>
        <v>15138.77</v>
      </c>
      <c r="O336" s="139">
        <f t="shared" si="67"/>
        <v>105.13034722222223</v>
      </c>
      <c r="P336" s="139">
        <f t="shared" si="66"/>
        <v>1261.5641666666668</v>
      </c>
      <c r="Q336" s="342">
        <f t="shared" si="71"/>
        <v>1261.5641666666668</v>
      </c>
      <c r="R336" s="341"/>
      <c r="S336" s="342">
        <f t="shared" si="72"/>
        <v>9987.3829861109189</v>
      </c>
      <c r="T336" s="139">
        <f t="shared" si="73"/>
        <v>11248.947152777586</v>
      </c>
      <c r="U336" s="139">
        <f t="shared" si="74"/>
        <v>3889.8228472224146</v>
      </c>
      <c r="V336" s="11">
        <f t="shared" si="60"/>
        <v>3889.8228472224146</v>
      </c>
    </row>
    <row r="337" spans="3:22" ht="12" customHeight="1">
      <c r="C337" s="20">
        <v>173665</v>
      </c>
      <c r="D337" s="20">
        <v>5</v>
      </c>
      <c r="E337" s="3" t="s">
        <v>795</v>
      </c>
      <c r="F337" s="3">
        <v>2016</v>
      </c>
      <c r="G337" s="3">
        <v>9</v>
      </c>
      <c r="H337" s="3">
        <v>0</v>
      </c>
      <c r="I337" s="3" t="s">
        <v>52</v>
      </c>
      <c r="J337" s="131" t="s">
        <v>748</v>
      </c>
      <c r="K337" s="3">
        <f t="shared" si="68"/>
        <v>2028</v>
      </c>
      <c r="L337" s="130">
        <f t="shared" si="69"/>
        <v>2028.75</v>
      </c>
      <c r="M337" s="139">
        <v>29610</v>
      </c>
      <c r="N337" s="139">
        <f t="shared" si="70"/>
        <v>29610</v>
      </c>
      <c r="O337" s="139">
        <f t="shared" si="67"/>
        <v>205.625</v>
      </c>
      <c r="P337" s="139">
        <f t="shared" si="66"/>
        <v>2467.5</v>
      </c>
      <c r="Q337" s="342">
        <f t="shared" si="71"/>
        <v>2467.5</v>
      </c>
      <c r="R337" s="341"/>
      <c r="S337" s="342">
        <f t="shared" si="72"/>
        <v>18711.874999999811</v>
      </c>
      <c r="T337" s="139">
        <f t="shared" si="73"/>
        <v>21179.374999999811</v>
      </c>
      <c r="U337" s="139">
        <f t="shared" si="74"/>
        <v>8430.6250000001892</v>
      </c>
      <c r="V337" s="11">
        <f t="shared" si="60"/>
        <v>8430.6250000001892</v>
      </c>
    </row>
    <row r="338" spans="3:22" ht="12" customHeight="1">
      <c r="C338" s="20">
        <v>173666</v>
      </c>
      <c r="D338" s="20">
        <v>1</v>
      </c>
      <c r="E338" s="3" t="s">
        <v>796</v>
      </c>
      <c r="F338" s="3">
        <v>2016</v>
      </c>
      <c r="G338" s="3">
        <v>9</v>
      </c>
      <c r="H338" s="3">
        <v>0</v>
      </c>
      <c r="I338" s="3" t="s">
        <v>52</v>
      </c>
      <c r="J338" s="131" t="s">
        <v>748</v>
      </c>
      <c r="K338" s="3">
        <f t="shared" si="68"/>
        <v>2028</v>
      </c>
      <c r="L338" s="130">
        <f t="shared" si="69"/>
        <v>2028.75</v>
      </c>
      <c r="M338" s="139">
        <v>6848</v>
      </c>
      <c r="N338" s="139">
        <f t="shared" si="70"/>
        <v>6848</v>
      </c>
      <c r="O338" s="139">
        <f t="shared" si="67"/>
        <v>47.55555555555555</v>
      </c>
      <c r="P338" s="139">
        <f t="shared" si="66"/>
        <v>570.66666666666663</v>
      </c>
      <c r="Q338" s="342">
        <f t="shared" si="71"/>
        <v>570.66666666666663</v>
      </c>
      <c r="R338" s="341"/>
      <c r="S338" s="342">
        <f t="shared" si="72"/>
        <v>4327.5555555555129</v>
      </c>
      <c r="T338" s="139">
        <f t="shared" si="73"/>
        <v>4898.2222222221799</v>
      </c>
      <c r="U338" s="139">
        <f t="shared" si="74"/>
        <v>1949.7777777778201</v>
      </c>
      <c r="V338" s="11">
        <f t="shared" si="60"/>
        <v>1949.7777777778201</v>
      </c>
    </row>
    <row r="339" spans="3:22" ht="12" customHeight="1">
      <c r="C339" s="20">
        <v>173667</v>
      </c>
      <c r="D339" s="20">
        <v>2</v>
      </c>
      <c r="E339" s="3" t="s">
        <v>796</v>
      </c>
      <c r="F339" s="3">
        <v>2016</v>
      </c>
      <c r="G339" s="3">
        <v>9</v>
      </c>
      <c r="H339" s="3">
        <v>0</v>
      </c>
      <c r="I339" s="3" t="s">
        <v>52</v>
      </c>
      <c r="J339" s="131" t="s">
        <v>748</v>
      </c>
      <c r="K339" s="3">
        <f t="shared" si="68"/>
        <v>2028</v>
      </c>
      <c r="L339" s="130">
        <f t="shared" si="69"/>
        <v>2028.75</v>
      </c>
      <c r="M339" s="139">
        <v>13696</v>
      </c>
      <c r="N339" s="139">
        <f t="shared" si="70"/>
        <v>13696</v>
      </c>
      <c r="O339" s="139">
        <f t="shared" si="67"/>
        <v>95.1111111111111</v>
      </c>
      <c r="P339" s="139">
        <f t="shared" si="66"/>
        <v>1141.3333333333333</v>
      </c>
      <c r="Q339" s="342">
        <f t="shared" si="71"/>
        <v>1141.3333333333333</v>
      </c>
      <c r="R339" s="341"/>
      <c r="S339" s="342">
        <f t="shared" si="72"/>
        <v>8655.1111111110258</v>
      </c>
      <c r="T339" s="139">
        <f t="shared" si="73"/>
        <v>9796.4444444443598</v>
      </c>
      <c r="U339" s="139">
        <f t="shared" si="74"/>
        <v>3899.5555555556402</v>
      </c>
      <c r="V339" s="11">
        <f t="shared" si="60"/>
        <v>3899.5555555556402</v>
      </c>
    </row>
    <row r="340" spans="3:22" ht="12" customHeight="1">
      <c r="C340" s="20">
        <v>173668</v>
      </c>
      <c r="D340" s="20">
        <v>5</v>
      </c>
      <c r="E340" s="3" t="s">
        <v>797</v>
      </c>
      <c r="F340" s="3">
        <v>2016</v>
      </c>
      <c r="G340" s="3">
        <v>9</v>
      </c>
      <c r="H340" s="3">
        <v>0</v>
      </c>
      <c r="I340" s="3" t="s">
        <v>52</v>
      </c>
      <c r="J340" s="131" t="s">
        <v>748</v>
      </c>
      <c r="K340" s="3">
        <f t="shared" si="68"/>
        <v>2028</v>
      </c>
      <c r="L340" s="130">
        <f t="shared" si="69"/>
        <v>2028.75</v>
      </c>
      <c r="M340" s="139">
        <v>28145</v>
      </c>
      <c r="N340" s="139">
        <f t="shared" si="70"/>
        <v>28145</v>
      </c>
      <c r="O340" s="139">
        <f t="shared" si="67"/>
        <v>195.45138888888889</v>
      </c>
      <c r="P340" s="139">
        <f t="shared" si="66"/>
        <v>2345.4166666666665</v>
      </c>
      <c r="Q340" s="342">
        <f t="shared" si="71"/>
        <v>2345.4166666666665</v>
      </c>
      <c r="R340" s="341"/>
      <c r="S340" s="342">
        <f t="shared" si="72"/>
        <v>17786.076388888709</v>
      </c>
      <c r="T340" s="139">
        <f t="shared" si="73"/>
        <v>20131.493055555376</v>
      </c>
      <c r="U340" s="139">
        <f t="shared" si="74"/>
        <v>8013.5069444446235</v>
      </c>
      <c r="V340" s="11">
        <f t="shared" si="60"/>
        <v>8013.5069444446235</v>
      </c>
    </row>
    <row r="341" spans="3:22" ht="12" customHeight="1">
      <c r="C341" s="20">
        <v>173672</v>
      </c>
      <c r="D341" s="20">
        <v>4</v>
      </c>
      <c r="E341" s="3" t="s">
        <v>798</v>
      </c>
      <c r="F341" s="3">
        <v>2016</v>
      </c>
      <c r="G341" s="3">
        <v>12</v>
      </c>
      <c r="H341" s="3">
        <v>0</v>
      </c>
      <c r="I341" s="3" t="s">
        <v>52</v>
      </c>
      <c r="J341" s="131" t="s">
        <v>748</v>
      </c>
      <c r="K341" s="3">
        <f t="shared" si="68"/>
        <v>2028</v>
      </c>
      <c r="L341" s="130">
        <f t="shared" si="69"/>
        <v>2029</v>
      </c>
      <c r="M341" s="139">
        <v>8400</v>
      </c>
      <c r="N341" s="139">
        <f t="shared" si="70"/>
        <v>8400</v>
      </c>
      <c r="O341" s="139">
        <f t="shared" si="67"/>
        <v>58.333333333333336</v>
      </c>
      <c r="P341" s="139">
        <f t="shared" si="66"/>
        <v>700</v>
      </c>
      <c r="Q341" s="342">
        <f t="shared" si="71"/>
        <v>700</v>
      </c>
      <c r="R341" s="341"/>
      <c r="S341" s="342">
        <f t="shared" si="72"/>
        <v>5133.3333333332803</v>
      </c>
      <c r="T341" s="139">
        <f t="shared" si="73"/>
        <v>5833.3333333332803</v>
      </c>
      <c r="U341" s="139">
        <f t="shared" si="74"/>
        <v>2566.6666666667197</v>
      </c>
      <c r="V341" s="11">
        <f t="shared" ref="V341:V403" si="75">M341-T341</f>
        <v>2566.6666666667197</v>
      </c>
    </row>
    <row r="342" spans="3:22" ht="12" customHeight="1">
      <c r="C342" s="20">
        <v>173673</v>
      </c>
      <c r="D342" s="20">
        <v>4</v>
      </c>
      <c r="E342" s="3" t="s">
        <v>799</v>
      </c>
      <c r="F342" s="3">
        <v>2016</v>
      </c>
      <c r="G342" s="3">
        <v>12</v>
      </c>
      <c r="H342" s="3">
        <v>0</v>
      </c>
      <c r="I342" s="3" t="s">
        <v>52</v>
      </c>
      <c r="J342" s="131" t="s">
        <v>748</v>
      </c>
      <c r="K342" s="3">
        <f t="shared" si="68"/>
        <v>2028</v>
      </c>
      <c r="L342" s="130">
        <f t="shared" si="69"/>
        <v>2029</v>
      </c>
      <c r="M342" s="139">
        <v>8400</v>
      </c>
      <c r="N342" s="139">
        <f t="shared" si="70"/>
        <v>8400</v>
      </c>
      <c r="O342" s="139">
        <f t="shared" si="67"/>
        <v>58.333333333333336</v>
      </c>
      <c r="P342" s="139">
        <f t="shared" si="66"/>
        <v>700</v>
      </c>
      <c r="Q342" s="342">
        <f t="shared" si="71"/>
        <v>700</v>
      </c>
      <c r="R342" s="341"/>
      <c r="S342" s="342">
        <f t="shared" si="72"/>
        <v>5133.3333333332803</v>
      </c>
      <c r="T342" s="139">
        <f t="shared" si="73"/>
        <v>5833.3333333332803</v>
      </c>
      <c r="U342" s="139">
        <f t="shared" si="74"/>
        <v>2566.6666666667197</v>
      </c>
      <c r="V342" s="11">
        <f t="shared" si="75"/>
        <v>2566.6666666667197</v>
      </c>
    </row>
    <row r="343" spans="3:22" ht="12" customHeight="1">
      <c r="C343" s="20">
        <v>185708</v>
      </c>
      <c r="D343" s="20">
        <v>2</v>
      </c>
      <c r="E343" s="3" t="s">
        <v>800</v>
      </c>
      <c r="F343" s="3">
        <v>2017</v>
      </c>
      <c r="G343" s="3">
        <v>5</v>
      </c>
      <c r="H343" s="3">
        <v>0</v>
      </c>
      <c r="I343" s="3" t="s">
        <v>52</v>
      </c>
      <c r="J343" s="131" t="s">
        <v>748</v>
      </c>
      <c r="K343" s="3">
        <f t="shared" si="68"/>
        <v>2029</v>
      </c>
      <c r="L343" s="130">
        <f t="shared" si="69"/>
        <v>2029.4166666666667</v>
      </c>
      <c r="M343" s="139">
        <v>13406</v>
      </c>
      <c r="N343" s="139">
        <f t="shared" si="70"/>
        <v>13406</v>
      </c>
      <c r="O343" s="139">
        <f t="shared" si="67"/>
        <v>93.097222222222229</v>
      </c>
      <c r="P343" s="139">
        <f t="shared" si="66"/>
        <v>1117.1666666666667</v>
      </c>
      <c r="Q343" s="342">
        <f t="shared" si="71"/>
        <v>1117.1666666666667</v>
      </c>
      <c r="R343" s="341"/>
      <c r="S343" s="342">
        <f t="shared" si="72"/>
        <v>7727.0694444442743</v>
      </c>
      <c r="T343" s="139">
        <f t="shared" si="73"/>
        <v>8844.2361111109403</v>
      </c>
      <c r="U343" s="139">
        <f t="shared" si="74"/>
        <v>4561.7638888890597</v>
      </c>
      <c r="V343" s="11">
        <f t="shared" si="75"/>
        <v>4561.7638888890597</v>
      </c>
    </row>
    <row r="344" spans="3:22" ht="12" customHeight="1">
      <c r="C344" s="20">
        <v>185709</v>
      </c>
      <c r="D344" s="20">
        <v>2</v>
      </c>
      <c r="E344" s="3" t="s">
        <v>801</v>
      </c>
      <c r="F344" s="3">
        <v>2017</v>
      </c>
      <c r="G344" s="3">
        <v>5</v>
      </c>
      <c r="H344" s="3">
        <v>0</v>
      </c>
      <c r="I344" s="3" t="s">
        <v>52</v>
      </c>
      <c r="J344" s="131" t="s">
        <v>748</v>
      </c>
      <c r="K344" s="3">
        <f t="shared" si="68"/>
        <v>2029</v>
      </c>
      <c r="L344" s="130">
        <f t="shared" si="69"/>
        <v>2029.4166666666667</v>
      </c>
      <c r="M344" s="139">
        <v>12170</v>
      </c>
      <c r="N344" s="139">
        <f t="shared" si="70"/>
        <v>12170</v>
      </c>
      <c r="O344" s="139">
        <f t="shared" si="67"/>
        <v>84.513888888888886</v>
      </c>
      <c r="P344" s="139">
        <f t="shared" si="66"/>
        <v>1014.1666666666666</v>
      </c>
      <c r="Q344" s="342">
        <f t="shared" si="71"/>
        <v>1014.1666666666666</v>
      </c>
      <c r="R344" s="341"/>
      <c r="S344" s="342">
        <f t="shared" si="72"/>
        <v>7014.6527777776246</v>
      </c>
      <c r="T344" s="139">
        <f t="shared" si="73"/>
        <v>8028.8194444442915</v>
      </c>
      <c r="U344" s="139">
        <f t="shared" si="74"/>
        <v>4141.1805555557085</v>
      </c>
      <c r="V344" s="11">
        <f t="shared" si="75"/>
        <v>4141.1805555557085</v>
      </c>
    </row>
    <row r="345" spans="3:22" ht="12" customHeight="1">
      <c r="C345" s="20">
        <v>185710</v>
      </c>
      <c r="D345" s="20">
        <v>1</v>
      </c>
      <c r="E345" s="3" t="s">
        <v>802</v>
      </c>
      <c r="F345" s="3">
        <v>2017</v>
      </c>
      <c r="G345" s="3">
        <v>5</v>
      </c>
      <c r="H345" s="3">
        <v>0</v>
      </c>
      <c r="I345" s="3" t="s">
        <v>52</v>
      </c>
      <c r="J345" s="131" t="s">
        <v>748</v>
      </c>
      <c r="K345" s="3">
        <f t="shared" si="68"/>
        <v>2029</v>
      </c>
      <c r="L345" s="130">
        <f t="shared" si="69"/>
        <v>2029.4166666666667</v>
      </c>
      <c r="M345" s="139">
        <v>6651</v>
      </c>
      <c r="N345" s="139">
        <f t="shared" si="70"/>
        <v>6651</v>
      </c>
      <c r="O345" s="139">
        <f t="shared" si="67"/>
        <v>46.1875</v>
      </c>
      <c r="P345" s="139">
        <f t="shared" si="66"/>
        <v>554.25</v>
      </c>
      <c r="Q345" s="342">
        <f t="shared" si="71"/>
        <v>554.25</v>
      </c>
      <c r="R345" s="341"/>
      <c r="S345" s="342">
        <f t="shared" si="72"/>
        <v>3833.5624999999159</v>
      </c>
      <c r="T345" s="139">
        <f t="shared" si="73"/>
        <v>4387.8124999999163</v>
      </c>
      <c r="U345" s="139">
        <f t="shared" si="74"/>
        <v>2263.1875000000837</v>
      </c>
      <c r="V345" s="11">
        <f t="shared" si="75"/>
        <v>2263.1875000000837</v>
      </c>
    </row>
    <row r="346" spans="3:22" ht="12" customHeight="1">
      <c r="C346" s="20">
        <v>185711</v>
      </c>
      <c r="D346" s="20">
        <v>4</v>
      </c>
      <c r="E346" s="3" t="s">
        <v>803</v>
      </c>
      <c r="F346" s="3">
        <v>2017</v>
      </c>
      <c r="G346" s="3">
        <v>5</v>
      </c>
      <c r="H346" s="3">
        <v>0</v>
      </c>
      <c r="I346" s="3" t="s">
        <v>52</v>
      </c>
      <c r="J346" s="131" t="s">
        <v>748</v>
      </c>
      <c r="K346" s="3">
        <f t="shared" si="68"/>
        <v>2029</v>
      </c>
      <c r="L346" s="130">
        <f t="shared" si="69"/>
        <v>2029.4166666666667</v>
      </c>
      <c r="M346" s="139">
        <v>26980</v>
      </c>
      <c r="N346" s="139">
        <f t="shared" si="70"/>
        <v>26980</v>
      </c>
      <c r="O346" s="139">
        <f t="shared" si="67"/>
        <v>187.36111111111111</v>
      </c>
      <c r="P346" s="139">
        <f t="shared" si="66"/>
        <v>2248.3333333333335</v>
      </c>
      <c r="Q346" s="342">
        <f t="shared" si="71"/>
        <v>2248.3333333333335</v>
      </c>
      <c r="R346" s="341"/>
      <c r="S346" s="342">
        <f t="shared" si="72"/>
        <v>15550.972222221881</v>
      </c>
      <c r="T346" s="139">
        <f t="shared" si="73"/>
        <v>17799.305555555213</v>
      </c>
      <c r="U346" s="139">
        <f t="shared" si="74"/>
        <v>9180.6944444447872</v>
      </c>
      <c r="V346" s="11">
        <f t="shared" si="75"/>
        <v>9180.6944444447872</v>
      </c>
    </row>
    <row r="347" spans="3:22" ht="12" customHeight="1">
      <c r="C347" s="20">
        <v>185712</v>
      </c>
      <c r="D347" s="20">
        <v>1</v>
      </c>
      <c r="E347" s="3" t="s">
        <v>804</v>
      </c>
      <c r="F347" s="3">
        <v>2017</v>
      </c>
      <c r="G347" s="3">
        <v>5</v>
      </c>
      <c r="H347" s="3">
        <v>0</v>
      </c>
      <c r="I347" s="3" t="s">
        <v>52</v>
      </c>
      <c r="J347" s="131" t="s">
        <v>748</v>
      </c>
      <c r="K347" s="3">
        <f t="shared" si="68"/>
        <v>2029</v>
      </c>
      <c r="L347" s="130">
        <f t="shared" si="69"/>
        <v>2029.4166666666667</v>
      </c>
      <c r="M347" s="139">
        <v>6703</v>
      </c>
      <c r="N347" s="139">
        <f t="shared" si="70"/>
        <v>6703</v>
      </c>
      <c r="O347" s="139">
        <f t="shared" si="67"/>
        <v>46.548611111111114</v>
      </c>
      <c r="P347" s="139">
        <f t="shared" ref="P347:P378" si="76">+O347*12</f>
        <v>558.58333333333337</v>
      </c>
      <c r="Q347" s="342">
        <f t="shared" si="71"/>
        <v>558.58333333333337</v>
      </c>
      <c r="R347" s="341"/>
      <c r="S347" s="342">
        <f t="shared" si="72"/>
        <v>3863.5347222221371</v>
      </c>
      <c r="T347" s="139">
        <f t="shared" si="73"/>
        <v>4422.1180555554702</v>
      </c>
      <c r="U347" s="139">
        <f t="shared" si="74"/>
        <v>2280.8819444445298</v>
      </c>
      <c r="V347" s="11">
        <f t="shared" si="75"/>
        <v>2280.8819444445298</v>
      </c>
    </row>
    <row r="348" spans="3:22" ht="12" customHeight="1">
      <c r="C348" s="20">
        <v>185713</v>
      </c>
      <c r="D348" s="20">
        <v>1</v>
      </c>
      <c r="E348" s="3" t="s">
        <v>805</v>
      </c>
      <c r="F348" s="3">
        <v>2017</v>
      </c>
      <c r="G348" s="3">
        <v>5</v>
      </c>
      <c r="H348" s="3">
        <v>0</v>
      </c>
      <c r="I348" s="3" t="s">
        <v>52</v>
      </c>
      <c r="J348" s="131" t="s">
        <v>748</v>
      </c>
      <c r="K348" s="3">
        <f t="shared" si="68"/>
        <v>2029</v>
      </c>
      <c r="L348" s="130">
        <f t="shared" si="69"/>
        <v>2029.4166666666667</v>
      </c>
      <c r="M348" s="139">
        <v>6745</v>
      </c>
      <c r="N348" s="139">
        <f t="shared" si="70"/>
        <v>6745</v>
      </c>
      <c r="O348" s="139">
        <f t="shared" si="67"/>
        <v>46.840277777777779</v>
      </c>
      <c r="P348" s="139">
        <f t="shared" si="76"/>
        <v>562.08333333333337</v>
      </c>
      <c r="Q348" s="342">
        <f t="shared" si="71"/>
        <v>562.08333333333337</v>
      </c>
      <c r="R348" s="341"/>
      <c r="S348" s="342">
        <f t="shared" si="72"/>
        <v>3887.7430555554702</v>
      </c>
      <c r="T348" s="139">
        <f t="shared" si="73"/>
        <v>4449.8263888888032</v>
      </c>
      <c r="U348" s="139">
        <f t="shared" si="74"/>
        <v>2295.1736111111968</v>
      </c>
      <c r="V348" s="11">
        <f t="shared" si="75"/>
        <v>2295.1736111111968</v>
      </c>
    </row>
    <row r="349" spans="3:22" ht="12" customHeight="1">
      <c r="C349" s="20">
        <v>185714</v>
      </c>
      <c r="D349" s="20">
        <v>2</v>
      </c>
      <c r="E349" s="3" t="s">
        <v>806</v>
      </c>
      <c r="F349" s="3">
        <v>2017</v>
      </c>
      <c r="G349" s="3">
        <v>5</v>
      </c>
      <c r="H349" s="3">
        <v>0</v>
      </c>
      <c r="I349" s="3" t="s">
        <v>52</v>
      </c>
      <c r="J349" s="131" t="s">
        <v>748</v>
      </c>
      <c r="K349" s="3">
        <f t="shared" si="68"/>
        <v>2029</v>
      </c>
      <c r="L349" s="130">
        <f t="shared" si="69"/>
        <v>2029.4166666666667</v>
      </c>
      <c r="M349" s="139">
        <v>13406</v>
      </c>
      <c r="N349" s="139">
        <f t="shared" si="70"/>
        <v>13406</v>
      </c>
      <c r="O349" s="139">
        <f t="shared" si="67"/>
        <v>93.097222222222229</v>
      </c>
      <c r="P349" s="139">
        <f t="shared" si="76"/>
        <v>1117.1666666666667</v>
      </c>
      <c r="Q349" s="342">
        <f t="shared" si="71"/>
        <v>1117.1666666666667</v>
      </c>
      <c r="R349" s="341"/>
      <c r="S349" s="342">
        <f t="shared" si="72"/>
        <v>7727.0694444442743</v>
      </c>
      <c r="T349" s="139">
        <f t="shared" si="73"/>
        <v>8844.2361111109403</v>
      </c>
      <c r="U349" s="139">
        <f t="shared" si="74"/>
        <v>4561.7638888890597</v>
      </c>
      <c r="V349" s="11">
        <f t="shared" si="75"/>
        <v>4561.7638888890597</v>
      </c>
    </row>
    <row r="350" spans="3:22" ht="12" customHeight="1">
      <c r="C350" s="20">
        <v>185715</v>
      </c>
      <c r="D350" s="20">
        <v>2</v>
      </c>
      <c r="E350" s="3" t="s">
        <v>803</v>
      </c>
      <c r="F350" s="3">
        <v>2017</v>
      </c>
      <c r="G350" s="3">
        <v>5</v>
      </c>
      <c r="H350" s="3">
        <v>0</v>
      </c>
      <c r="I350" s="3" t="s">
        <v>52</v>
      </c>
      <c r="J350" s="131" t="s">
        <v>748</v>
      </c>
      <c r="K350" s="3">
        <f t="shared" si="68"/>
        <v>2029</v>
      </c>
      <c r="L350" s="130">
        <f t="shared" si="69"/>
        <v>2029.4166666666667</v>
      </c>
      <c r="M350" s="139">
        <v>13490</v>
      </c>
      <c r="N350" s="139">
        <f t="shared" si="70"/>
        <v>13490</v>
      </c>
      <c r="O350" s="139">
        <f t="shared" si="67"/>
        <v>93.680555555555557</v>
      </c>
      <c r="P350" s="139">
        <f t="shared" si="76"/>
        <v>1124.1666666666667</v>
      </c>
      <c r="Q350" s="342">
        <f t="shared" si="71"/>
        <v>1124.1666666666667</v>
      </c>
      <c r="R350" s="341"/>
      <c r="S350" s="342">
        <f t="shared" si="72"/>
        <v>7775.4861111109403</v>
      </c>
      <c r="T350" s="139">
        <f t="shared" si="73"/>
        <v>8899.6527777776064</v>
      </c>
      <c r="U350" s="139">
        <f t="shared" si="74"/>
        <v>4590.3472222223936</v>
      </c>
      <c r="V350" s="11">
        <f t="shared" si="75"/>
        <v>4590.3472222223936</v>
      </c>
    </row>
    <row r="351" spans="3:22" ht="12" customHeight="1">
      <c r="C351" s="20">
        <v>185716</v>
      </c>
      <c r="D351" s="20">
        <v>5</v>
      </c>
      <c r="E351" s="3" t="s">
        <v>807</v>
      </c>
      <c r="F351" s="3">
        <v>2017</v>
      </c>
      <c r="G351" s="3">
        <v>5</v>
      </c>
      <c r="H351" s="3">
        <v>0</v>
      </c>
      <c r="I351" s="3" t="s">
        <v>52</v>
      </c>
      <c r="J351" s="131" t="s">
        <v>748</v>
      </c>
      <c r="K351" s="3">
        <f t="shared" si="68"/>
        <v>2029</v>
      </c>
      <c r="L351" s="130">
        <f t="shared" si="69"/>
        <v>2029.4166666666667</v>
      </c>
      <c r="M351" s="139">
        <v>26417</v>
      </c>
      <c r="N351" s="139">
        <f t="shared" si="70"/>
        <v>26417</v>
      </c>
      <c r="O351" s="139">
        <f t="shared" ref="O351:O382" si="77">N351/J351/12</f>
        <v>183.45138888888889</v>
      </c>
      <c r="P351" s="139">
        <f t="shared" si="76"/>
        <v>2201.4166666666665</v>
      </c>
      <c r="Q351" s="342">
        <f t="shared" si="71"/>
        <v>2201.4166666666665</v>
      </c>
      <c r="R351" s="341"/>
      <c r="S351" s="342">
        <f t="shared" si="72"/>
        <v>15226.465277777444</v>
      </c>
      <c r="T351" s="139">
        <f t="shared" si="73"/>
        <v>17427.881944444111</v>
      </c>
      <c r="U351" s="139">
        <f t="shared" si="74"/>
        <v>8989.1180555558894</v>
      </c>
      <c r="V351" s="11">
        <f t="shared" si="75"/>
        <v>8989.1180555558894</v>
      </c>
    </row>
    <row r="352" spans="3:22" ht="12" customHeight="1">
      <c r="C352" s="20">
        <v>185717</v>
      </c>
      <c r="D352" s="20">
        <v>2</v>
      </c>
      <c r="E352" s="3" t="s">
        <v>808</v>
      </c>
      <c r="F352" s="3">
        <v>2017</v>
      </c>
      <c r="G352" s="3">
        <v>5</v>
      </c>
      <c r="H352" s="3">
        <v>0</v>
      </c>
      <c r="I352" s="3" t="s">
        <v>52</v>
      </c>
      <c r="J352" s="131" t="s">
        <v>748</v>
      </c>
      <c r="K352" s="3">
        <f t="shared" si="68"/>
        <v>2029</v>
      </c>
      <c r="L352" s="130">
        <f t="shared" si="69"/>
        <v>2029.4166666666667</v>
      </c>
      <c r="M352" s="139">
        <v>12490</v>
      </c>
      <c r="N352" s="139">
        <f t="shared" si="70"/>
        <v>12490</v>
      </c>
      <c r="O352" s="139">
        <f t="shared" si="77"/>
        <v>86.7361111111111</v>
      </c>
      <c r="P352" s="139">
        <f t="shared" si="76"/>
        <v>1040.8333333333333</v>
      </c>
      <c r="Q352" s="342">
        <f t="shared" si="71"/>
        <v>1040.8333333333333</v>
      </c>
      <c r="R352" s="341"/>
      <c r="S352" s="342">
        <f t="shared" si="72"/>
        <v>7199.0972222220653</v>
      </c>
      <c r="T352" s="139">
        <f t="shared" si="73"/>
        <v>8239.9305555553983</v>
      </c>
      <c r="U352" s="139">
        <f t="shared" si="74"/>
        <v>4250.0694444446017</v>
      </c>
      <c r="V352" s="11">
        <f t="shared" si="75"/>
        <v>4250.0694444446017</v>
      </c>
    </row>
    <row r="353" spans="3:22" ht="12" customHeight="1">
      <c r="C353" s="20">
        <v>185718</v>
      </c>
      <c r="D353" s="20">
        <v>1</v>
      </c>
      <c r="E353" s="3" t="s">
        <v>809</v>
      </c>
      <c r="F353" s="3">
        <v>2017</v>
      </c>
      <c r="G353" s="3">
        <v>5</v>
      </c>
      <c r="H353" s="3">
        <v>0</v>
      </c>
      <c r="I353" s="3" t="s">
        <v>52</v>
      </c>
      <c r="J353" s="131" t="s">
        <v>748</v>
      </c>
      <c r="K353" s="3">
        <f t="shared" si="68"/>
        <v>2029</v>
      </c>
      <c r="L353" s="130">
        <f t="shared" si="69"/>
        <v>2029.4166666666667</v>
      </c>
      <c r="M353" s="139">
        <v>4998</v>
      </c>
      <c r="N353" s="139">
        <f t="shared" si="70"/>
        <v>4998</v>
      </c>
      <c r="O353" s="139">
        <f t="shared" si="77"/>
        <v>34.708333333333336</v>
      </c>
      <c r="P353" s="139">
        <f t="shared" si="76"/>
        <v>416.5</v>
      </c>
      <c r="Q353" s="342">
        <f t="shared" si="71"/>
        <v>416.5</v>
      </c>
      <c r="R353" s="341"/>
      <c r="S353" s="342">
        <f t="shared" si="72"/>
        <v>2880.7916666666033</v>
      </c>
      <c r="T353" s="139">
        <f t="shared" si="73"/>
        <v>3297.2916666666033</v>
      </c>
      <c r="U353" s="139">
        <f t="shared" si="74"/>
        <v>1700.7083333333967</v>
      </c>
      <c r="V353" s="11">
        <f t="shared" si="75"/>
        <v>1700.7083333333967</v>
      </c>
    </row>
    <row r="354" spans="3:22" ht="12" customHeight="1">
      <c r="C354" s="20">
        <v>185719</v>
      </c>
      <c r="D354" s="20">
        <v>2</v>
      </c>
      <c r="E354" s="3" t="s">
        <v>810</v>
      </c>
      <c r="F354" s="3">
        <v>2017</v>
      </c>
      <c r="G354" s="3">
        <v>5</v>
      </c>
      <c r="H354" s="3">
        <v>0</v>
      </c>
      <c r="I354" s="3" t="s">
        <v>52</v>
      </c>
      <c r="J354" s="131" t="s">
        <v>748</v>
      </c>
      <c r="K354" s="3">
        <f t="shared" ref="K354:K385" si="78">F354+J354</f>
        <v>2029</v>
      </c>
      <c r="L354" s="130">
        <f t="shared" ref="L354:L385" si="79">+K354+(G354/12)</f>
        <v>2029.4166666666667</v>
      </c>
      <c r="M354" s="139">
        <v>13302</v>
      </c>
      <c r="N354" s="139">
        <f t="shared" ref="N354:N385" si="80">M354-M354*H354</f>
        <v>13302</v>
      </c>
      <c r="O354" s="139">
        <f t="shared" si="77"/>
        <v>92.375</v>
      </c>
      <c r="P354" s="139">
        <f t="shared" si="76"/>
        <v>1108.5</v>
      </c>
      <c r="Q354" s="342">
        <f t="shared" si="71"/>
        <v>1108.5</v>
      </c>
      <c r="R354" s="341"/>
      <c r="S354" s="342">
        <f t="shared" si="72"/>
        <v>7667.1249999998317</v>
      </c>
      <c r="T354" s="139">
        <f t="shared" si="73"/>
        <v>8775.6249999998327</v>
      </c>
      <c r="U354" s="139">
        <f t="shared" si="74"/>
        <v>4526.3750000001673</v>
      </c>
      <c r="V354" s="11">
        <f t="shared" si="75"/>
        <v>4526.3750000001673</v>
      </c>
    </row>
    <row r="355" spans="3:22" ht="12" customHeight="1">
      <c r="C355" s="20">
        <v>188021</v>
      </c>
      <c r="D355" s="20">
        <v>1</v>
      </c>
      <c r="E355" s="3" t="s">
        <v>811</v>
      </c>
      <c r="F355" s="3">
        <v>2017</v>
      </c>
      <c r="G355" s="3">
        <v>5</v>
      </c>
      <c r="H355" s="3">
        <v>0</v>
      </c>
      <c r="I355" s="3" t="s">
        <v>52</v>
      </c>
      <c r="J355" s="131" t="s">
        <v>748</v>
      </c>
      <c r="K355" s="3">
        <f t="shared" si="78"/>
        <v>2029</v>
      </c>
      <c r="L355" s="130">
        <f t="shared" si="79"/>
        <v>2029.4166666666667</v>
      </c>
      <c r="M355" s="139">
        <v>6745</v>
      </c>
      <c r="N355" s="139">
        <f t="shared" si="80"/>
        <v>6745</v>
      </c>
      <c r="O355" s="139">
        <f t="shared" si="77"/>
        <v>46.840277777777779</v>
      </c>
      <c r="P355" s="139">
        <f t="shared" si="76"/>
        <v>562.08333333333337</v>
      </c>
      <c r="Q355" s="342">
        <f t="shared" si="71"/>
        <v>562.08333333333337</v>
      </c>
      <c r="R355" s="341"/>
      <c r="S355" s="342">
        <f t="shared" si="72"/>
        <v>3887.7430555554702</v>
      </c>
      <c r="T355" s="139">
        <f t="shared" si="73"/>
        <v>4449.8263888888032</v>
      </c>
      <c r="U355" s="139">
        <f t="shared" si="74"/>
        <v>2295.1736111111968</v>
      </c>
      <c r="V355" s="11">
        <f t="shared" si="75"/>
        <v>2295.1736111111968</v>
      </c>
    </row>
    <row r="356" spans="3:22" ht="12" customHeight="1">
      <c r="C356" s="20">
        <v>188022</v>
      </c>
      <c r="D356" s="20">
        <v>1</v>
      </c>
      <c r="E356" s="3" t="s">
        <v>812</v>
      </c>
      <c r="F356" s="3">
        <v>2017</v>
      </c>
      <c r="G356" s="3">
        <v>5</v>
      </c>
      <c r="H356" s="3">
        <v>0</v>
      </c>
      <c r="I356" s="3" t="s">
        <v>52</v>
      </c>
      <c r="J356" s="131" t="s">
        <v>748</v>
      </c>
      <c r="K356" s="3">
        <f t="shared" si="78"/>
        <v>2029</v>
      </c>
      <c r="L356" s="130">
        <f t="shared" si="79"/>
        <v>2029.4166666666667</v>
      </c>
      <c r="M356" s="139">
        <v>6085</v>
      </c>
      <c r="N356" s="139">
        <f t="shared" si="80"/>
        <v>6085</v>
      </c>
      <c r="O356" s="139">
        <f t="shared" si="77"/>
        <v>42.256944444444443</v>
      </c>
      <c r="P356" s="139">
        <f t="shared" si="76"/>
        <v>507.08333333333331</v>
      </c>
      <c r="Q356" s="342">
        <f t="shared" si="71"/>
        <v>507.08333333333331</v>
      </c>
      <c r="R356" s="341"/>
      <c r="S356" s="342">
        <f t="shared" si="72"/>
        <v>3507.3263888888123</v>
      </c>
      <c r="T356" s="139">
        <f t="shared" si="73"/>
        <v>4014.4097222221458</v>
      </c>
      <c r="U356" s="139">
        <f t="shared" si="74"/>
        <v>2070.5902777778542</v>
      </c>
      <c r="V356" s="11">
        <f t="shared" si="75"/>
        <v>2070.5902777778542</v>
      </c>
    </row>
    <row r="357" spans="3:22" ht="12" customHeight="1">
      <c r="C357" s="20">
        <v>188023</v>
      </c>
      <c r="D357" s="20">
        <v>2</v>
      </c>
      <c r="E357" s="3" t="s">
        <v>811</v>
      </c>
      <c r="F357" s="3">
        <v>2017</v>
      </c>
      <c r="G357" s="3">
        <v>5</v>
      </c>
      <c r="H357" s="3">
        <v>0</v>
      </c>
      <c r="I357" s="3" t="s">
        <v>52</v>
      </c>
      <c r="J357" s="131" t="s">
        <v>748</v>
      </c>
      <c r="K357" s="3">
        <f t="shared" si="78"/>
        <v>2029</v>
      </c>
      <c r="L357" s="130">
        <f t="shared" si="79"/>
        <v>2029.4166666666667</v>
      </c>
      <c r="M357" s="139">
        <v>13490</v>
      </c>
      <c r="N357" s="139">
        <f t="shared" si="80"/>
        <v>13490</v>
      </c>
      <c r="O357" s="139">
        <f t="shared" si="77"/>
        <v>93.680555555555557</v>
      </c>
      <c r="P357" s="139">
        <f t="shared" si="76"/>
        <v>1124.1666666666667</v>
      </c>
      <c r="Q357" s="342">
        <f t="shared" si="71"/>
        <v>1124.1666666666667</v>
      </c>
      <c r="R357" s="341"/>
      <c r="S357" s="342">
        <f t="shared" si="72"/>
        <v>7775.4861111109403</v>
      </c>
      <c r="T357" s="139">
        <f t="shared" si="73"/>
        <v>8899.6527777776064</v>
      </c>
      <c r="U357" s="139">
        <f t="shared" si="74"/>
        <v>4590.3472222223936</v>
      </c>
      <c r="V357" s="11">
        <f t="shared" si="75"/>
        <v>4590.3472222223936</v>
      </c>
    </row>
    <row r="358" spans="3:22" ht="12" customHeight="1">
      <c r="C358" s="20">
        <v>188115</v>
      </c>
      <c r="D358" s="20">
        <v>2</v>
      </c>
      <c r="E358" s="3" t="s">
        <v>813</v>
      </c>
      <c r="F358" s="3">
        <v>2017</v>
      </c>
      <c r="G358" s="3">
        <v>5</v>
      </c>
      <c r="H358" s="3">
        <v>0</v>
      </c>
      <c r="I358" s="3" t="s">
        <v>52</v>
      </c>
      <c r="J358" s="131" t="s">
        <v>748</v>
      </c>
      <c r="K358" s="3">
        <f t="shared" si="78"/>
        <v>2029</v>
      </c>
      <c r="L358" s="130">
        <f t="shared" si="79"/>
        <v>2029.4166666666667</v>
      </c>
      <c r="M358" s="139">
        <v>12490</v>
      </c>
      <c r="N358" s="139">
        <f t="shared" si="80"/>
        <v>12490</v>
      </c>
      <c r="O358" s="139">
        <f t="shared" si="77"/>
        <v>86.7361111111111</v>
      </c>
      <c r="P358" s="139">
        <f t="shared" si="76"/>
        <v>1040.8333333333333</v>
      </c>
      <c r="Q358" s="342">
        <f t="shared" si="71"/>
        <v>1040.8333333333333</v>
      </c>
      <c r="R358" s="341"/>
      <c r="S358" s="342">
        <f t="shared" si="72"/>
        <v>7199.0972222220653</v>
      </c>
      <c r="T358" s="139">
        <f t="shared" si="73"/>
        <v>8239.9305555553983</v>
      </c>
      <c r="U358" s="139">
        <f t="shared" si="74"/>
        <v>4250.0694444446017</v>
      </c>
      <c r="V358" s="11">
        <f t="shared" si="75"/>
        <v>4250.0694444446017</v>
      </c>
    </row>
    <row r="359" spans="3:22" ht="12" customHeight="1">
      <c r="C359" s="20">
        <v>188116</v>
      </c>
      <c r="D359" s="20">
        <v>1</v>
      </c>
      <c r="E359" s="3" t="s">
        <v>814</v>
      </c>
      <c r="F359" s="3">
        <v>2017</v>
      </c>
      <c r="G359" s="3">
        <v>5</v>
      </c>
      <c r="H359" s="3">
        <v>0</v>
      </c>
      <c r="I359" s="3" t="s">
        <v>52</v>
      </c>
      <c r="J359" s="131" t="s">
        <v>748</v>
      </c>
      <c r="K359" s="3">
        <f t="shared" si="78"/>
        <v>2029</v>
      </c>
      <c r="L359" s="130">
        <f t="shared" si="79"/>
        <v>2029.4166666666667</v>
      </c>
      <c r="M359" s="139">
        <v>5751</v>
      </c>
      <c r="N359" s="139">
        <f t="shared" si="80"/>
        <v>5751</v>
      </c>
      <c r="O359" s="139">
        <f t="shared" si="77"/>
        <v>39.9375</v>
      </c>
      <c r="P359" s="139">
        <f t="shared" si="76"/>
        <v>479.25</v>
      </c>
      <c r="Q359" s="342">
        <f t="shared" si="71"/>
        <v>479.25</v>
      </c>
      <c r="R359" s="341"/>
      <c r="S359" s="342">
        <f t="shared" si="72"/>
        <v>3314.8124999999272</v>
      </c>
      <c r="T359" s="139">
        <f t="shared" si="73"/>
        <v>3794.0624999999272</v>
      </c>
      <c r="U359" s="139">
        <f t="shared" si="74"/>
        <v>1956.9375000000728</v>
      </c>
      <c r="V359" s="11">
        <f t="shared" si="75"/>
        <v>1956.9375000000728</v>
      </c>
    </row>
    <row r="360" spans="3:22" ht="12" customHeight="1">
      <c r="C360" s="20">
        <v>188117</v>
      </c>
      <c r="D360" s="20">
        <v>1</v>
      </c>
      <c r="E360" s="3" t="s">
        <v>814</v>
      </c>
      <c r="F360" s="3">
        <v>2017</v>
      </c>
      <c r="G360" s="3">
        <v>5</v>
      </c>
      <c r="H360" s="3">
        <v>0</v>
      </c>
      <c r="I360" s="3" t="s">
        <v>52</v>
      </c>
      <c r="J360" s="131" t="s">
        <v>748</v>
      </c>
      <c r="K360" s="3">
        <f t="shared" si="78"/>
        <v>2029</v>
      </c>
      <c r="L360" s="130">
        <f t="shared" si="79"/>
        <v>2029.4166666666667</v>
      </c>
      <c r="M360" s="139">
        <v>6651</v>
      </c>
      <c r="N360" s="139">
        <f t="shared" si="80"/>
        <v>6651</v>
      </c>
      <c r="O360" s="139">
        <f t="shared" si="77"/>
        <v>46.1875</v>
      </c>
      <c r="P360" s="139">
        <f t="shared" si="76"/>
        <v>554.25</v>
      </c>
      <c r="Q360" s="342">
        <f t="shared" si="71"/>
        <v>554.25</v>
      </c>
      <c r="R360" s="341"/>
      <c r="S360" s="342">
        <f t="shared" si="72"/>
        <v>3833.5624999999159</v>
      </c>
      <c r="T360" s="139">
        <f t="shared" si="73"/>
        <v>4387.8124999999163</v>
      </c>
      <c r="U360" s="139">
        <f t="shared" si="74"/>
        <v>2263.1875000000837</v>
      </c>
      <c r="V360" s="11">
        <f t="shared" si="75"/>
        <v>2263.1875000000837</v>
      </c>
    </row>
    <row r="361" spans="3:22" ht="12" customHeight="1">
      <c r="C361" s="20">
        <v>188118</v>
      </c>
      <c r="D361" s="20">
        <v>1</v>
      </c>
      <c r="E361" s="3" t="s">
        <v>814</v>
      </c>
      <c r="F361" s="3">
        <v>2017</v>
      </c>
      <c r="G361" s="3">
        <v>5</v>
      </c>
      <c r="H361" s="3">
        <v>0</v>
      </c>
      <c r="I361" s="3" t="s">
        <v>52</v>
      </c>
      <c r="J361" s="131" t="s">
        <v>748</v>
      </c>
      <c r="K361" s="3">
        <f t="shared" si="78"/>
        <v>2029</v>
      </c>
      <c r="L361" s="130">
        <f t="shared" si="79"/>
        <v>2029.4166666666667</v>
      </c>
      <c r="M361" s="139">
        <v>6726</v>
      </c>
      <c r="N361" s="139">
        <f t="shared" si="80"/>
        <v>6726</v>
      </c>
      <c r="O361" s="139">
        <f t="shared" si="77"/>
        <v>46.708333333333336</v>
      </c>
      <c r="P361" s="139">
        <f t="shared" si="76"/>
        <v>560.5</v>
      </c>
      <c r="Q361" s="342">
        <f t="shared" si="71"/>
        <v>560.5</v>
      </c>
      <c r="R361" s="341"/>
      <c r="S361" s="342">
        <f t="shared" si="72"/>
        <v>3876.7916666665815</v>
      </c>
      <c r="T361" s="139">
        <f t="shared" si="73"/>
        <v>4437.2916666665815</v>
      </c>
      <c r="U361" s="139">
        <f t="shared" si="74"/>
        <v>2288.7083333334185</v>
      </c>
      <c r="V361" s="11">
        <f t="shared" si="75"/>
        <v>2288.7083333334185</v>
      </c>
    </row>
    <row r="362" spans="3:22" ht="12" customHeight="1">
      <c r="C362" s="20">
        <v>188119</v>
      </c>
      <c r="D362" s="20">
        <v>1</v>
      </c>
      <c r="E362" s="3" t="s">
        <v>814</v>
      </c>
      <c r="F362" s="3">
        <v>2017</v>
      </c>
      <c r="G362" s="3">
        <v>5</v>
      </c>
      <c r="H362" s="3">
        <v>0</v>
      </c>
      <c r="I362" s="3" t="s">
        <v>52</v>
      </c>
      <c r="J362" s="131" t="s">
        <v>748</v>
      </c>
      <c r="K362" s="3">
        <f t="shared" si="78"/>
        <v>2029</v>
      </c>
      <c r="L362" s="130">
        <f t="shared" si="79"/>
        <v>2029.4166666666667</v>
      </c>
      <c r="M362" s="139">
        <v>6651</v>
      </c>
      <c r="N362" s="139">
        <f t="shared" si="80"/>
        <v>6651</v>
      </c>
      <c r="O362" s="139">
        <f t="shared" si="77"/>
        <v>46.1875</v>
      </c>
      <c r="P362" s="139">
        <f t="shared" si="76"/>
        <v>554.25</v>
      </c>
      <c r="Q362" s="342">
        <f t="shared" si="71"/>
        <v>554.25</v>
      </c>
      <c r="R362" s="341"/>
      <c r="S362" s="342">
        <f t="shared" si="72"/>
        <v>3833.5624999999159</v>
      </c>
      <c r="T362" s="139">
        <f t="shared" si="73"/>
        <v>4387.8124999999163</v>
      </c>
      <c r="U362" s="139">
        <f t="shared" si="74"/>
        <v>2263.1875000000837</v>
      </c>
      <c r="V362" s="11">
        <f t="shared" si="75"/>
        <v>2263.1875000000837</v>
      </c>
    </row>
    <row r="363" spans="3:22" ht="12" customHeight="1">
      <c r="C363" s="20">
        <v>188120</v>
      </c>
      <c r="D363" s="20">
        <v>2</v>
      </c>
      <c r="E363" s="3" t="s">
        <v>811</v>
      </c>
      <c r="F363" s="3">
        <v>2017</v>
      </c>
      <c r="G363" s="3">
        <v>5</v>
      </c>
      <c r="H363" s="3">
        <v>0</v>
      </c>
      <c r="I363" s="3" t="s">
        <v>52</v>
      </c>
      <c r="J363" s="131" t="s">
        <v>748</v>
      </c>
      <c r="K363" s="3">
        <f t="shared" si="78"/>
        <v>2029</v>
      </c>
      <c r="L363" s="130">
        <f t="shared" si="79"/>
        <v>2029.4166666666667</v>
      </c>
      <c r="M363" s="139">
        <v>13640</v>
      </c>
      <c r="N363" s="139">
        <f t="shared" si="80"/>
        <v>13640</v>
      </c>
      <c r="O363" s="139">
        <f t="shared" si="77"/>
        <v>94.722222222222229</v>
      </c>
      <c r="P363" s="139">
        <f t="shared" si="76"/>
        <v>1136.6666666666667</v>
      </c>
      <c r="Q363" s="342">
        <f t="shared" si="71"/>
        <v>1136.6666666666667</v>
      </c>
      <c r="R363" s="341"/>
      <c r="S363" s="342">
        <f t="shared" si="72"/>
        <v>7861.9444444442715</v>
      </c>
      <c r="T363" s="139">
        <f t="shared" si="73"/>
        <v>8998.6111111109385</v>
      </c>
      <c r="U363" s="139">
        <f t="shared" si="74"/>
        <v>4641.3888888890615</v>
      </c>
      <c r="V363" s="11">
        <f t="shared" si="75"/>
        <v>4641.3888888890615</v>
      </c>
    </row>
    <row r="364" spans="3:22" ht="12" customHeight="1">
      <c r="C364" s="20">
        <v>188121</v>
      </c>
      <c r="D364" s="20">
        <v>1</v>
      </c>
      <c r="E364" s="3" t="s">
        <v>814</v>
      </c>
      <c r="F364" s="3">
        <v>2017</v>
      </c>
      <c r="G364" s="3">
        <v>5</v>
      </c>
      <c r="H364" s="3">
        <v>0</v>
      </c>
      <c r="I364" s="3" t="s">
        <v>52</v>
      </c>
      <c r="J364" s="131" t="s">
        <v>748</v>
      </c>
      <c r="K364" s="3">
        <f t="shared" si="78"/>
        <v>2029</v>
      </c>
      <c r="L364" s="130">
        <f t="shared" si="79"/>
        <v>2029.4166666666667</v>
      </c>
      <c r="M364" s="139">
        <v>5751</v>
      </c>
      <c r="N364" s="139">
        <f t="shared" si="80"/>
        <v>5751</v>
      </c>
      <c r="O364" s="139">
        <f t="shared" si="77"/>
        <v>39.9375</v>
      </c>
      <c r="P364" s="139">
        <f t="shared" si="76"/>
        <v>479.25</v>
      </c>
      <c r="Q364" s="342">
        <f t="shared" si="71"/>
        <v>479.25</v>
      </c>
      <c r="R364" s="341"/>
      <c r="S364" s="342">
        <f t="shared" si="72"/>
        <v>3314.8124999999272</v>
      </c>
      <c r="T364" s="139">
        <f t="shared" si="73"/>
        <v>3794.0624999999272</v>
      </c>
      <c r="U364" s="139">
        <f t="shared" si="74"/>
        <v>1956.9375000000728</v>
      </c>
      <c r="V364" s="11">
        <f t="shared" si="75"/>
        <v>1956.9375000000728</v>
      </c>
    </row>
    <row r="365" spans="3:22" ht="12" customHeight="1">
      <c r="C365" s="20">
        <v>188122</v>
      </c>
      <c r="D365" s="20">
        <v>2</v>
      </c>
      <c r="E365" s="3" t="s">
        <v>814</v>
      </c>
      <c r="F365" s="3">
        <v>2017</v>
      </c>
      <c r="G365" s="3">
        <v>5</v>
      </c>
      <c r="H365" s="3">
        <v>0</v>
      </c>
      <c r="I365" s="3" t="s">
        <v>52</v>
      </c>
      <c r="J365" s="131" t="s">
        <v>748</v>
      </c>
      <c r="K365" s="3">
        <f t="shared" si="78"/>
        <v>2029</v>
      </c>
      <c r="L365" s="130">
        <f t="shared" si="79"/>
        <v>2029.4166666666667</v>
      </c>
      <c r="M365" s="139">
        <v>13452</v>
      </c>
      <c r="N365" s="139">
        <f t="shared" si="80"/>
        <v>13452</v>
      </c>
      <c r="O365" s="139">
        <f t="shared" si="77"/>
        <v>93.416666666666671</v>
      </c>
      <c r="P365" s="139">
        <f t="shared" si="76"/>
        <v>1121</v>
      </c>
      <c r="Q365" s="342">
        <f t="shared" si="71"/>
        <v>1121</v>
      </c>
      <c r="R365" s="341"/>
      <c r="S365" s="342">
        <f t="shared" si="72"/>
        <v>7753.583333333163</v>
      </c>
      <c r="T365" s="139">
        <f t="shared" si="73"/>
        <v>8874.583333333163</v>
      </c>
      <c r="U365" s="139">
        <f t="shared" si="74"/>
        <v>4577.416666666837</v>
      </c>
      <c r="V365" s="11">
        <f t="shared" si="75"/>
        <v>4577.416666666837</v>
      </c>
    </row>
    <row r="366" spans="3:22" ht="12" customHeight="1">
      <c r="C366" s="20">
        <v>188123</v>
      </c>
      <c r="D366" s="20">
        <v>2</v>
      </c>
      <c r="E366" s="3" t="s">
        <v>815</v>
      </c>
      <c r="F366" s="3">
        <v>2017</v>
      </c>
      <c r="G366" s="3">
        <v>5</v>
      </c>
      <c r="H366" s="3">
        <v>0</v>
      </c>
      <c r="I366" s="3" t="s">
        <v>52</v>
      </c>
      <c r="J366" s="131" t="s">
        <v>748</v>
      </c>
      <c r="K366" s="3">
        <f t="shared" si="78"/>
        <v>2029</v>
      </c>
      <c r="L366" s="130">
        <f t="shared" si="79"/>
        <v>2029.4166666666667</v>
      </c>
      <c r="M366" s="139">
        <v>3410</v>
      </c>
      <c r="N366" s="139">
        <f t="shared" si="80"/>
        <v>3410</v>
      </c>
      <c r="O366" s="139">
        <f t="shared" si="77"/>
        <v>23.680555555555557</v>
      </c>
      <c r="P366" s="139">
        <f t="shared" si="76"/>
        <v>284.16666666666669</v>
      </c>
      <c r="Q366" s="342">
        <f t="shared" si="71"/>
        <v>284.16666666666669</v>
      </c>
      <c r="R366" s="341"/>
      <c r="S366" s="342">
        <f t="shared" si="72"/>
        <v>1965.4861111110679</v>
      </c>
      <c r="T366" s="139">
        <f t="shared" si="73"/>
        <v>2249.6527777777346</v>
      </c>
      <c r="U366" s="139">
        <f t="shared" si="74"/>
        <v>1160.3472222222654</v>
      </c>
      <c r="V366" s="11">
        <f t="shared" si="75"/>
        <v>1160.3472222222654</v>
      </c>
    </row>
    <row r="367" spans="3:22" ht="12" customHeight="1">
      <c r="C367" s="20">
        <v>188124</v>
      </c>
      <c r="D367" s="20">
        <v>2</v>
      </c>
      <c r="E367" s="3" t="s">
        <v>816</v>
      </c>
      <c r="F367" s="3">
        <v>2017</v>
      </c>
      <c r="G367" s="3">
        <v>5</v>
      </c>
      <c r="H367" s="3">
        <v>0</v>
      </c>
      <c r="I367" s="3" t="s">
        <v>52</v>
      </c>
      <c r="J367" s="131" t="s">
        <v>748</v>
      </c>
      <c r="K367" s="3">
        <f t="shared" si="78"/>
        <v>2029</v>
      </c>
      <c r="L367" s="130">
        <f t="shared" si="79"/>
        <v>2029.4166666666667</v>
      </c>
      <c r="M367" s="139">
        <v>12170</v>
      </c>
      <c r="N367" s="139">
        <f t="shared" si="80"/>
        <v>12170</v>
      </c>
      <c r="O367" s="139">
        <f t="shared" si="77"/>
        <v>84.513888888888886</v>
      </c>
      <c r="P367" s="139">
        <f t="shared" si="76"/>
        <v>1014.1666666666666</v>
      </c>
      <c r="Q367" s="342">
        <f t="shared" si="71"/>
        <v>1014.1666666666666</v>
      </c>
      <c r="R367" s="341"/>
      <c r="S367" s="342">
        <f t="shared" si="72"/>
        <v>7014.6527777776246</v>
      </c>
      <c r="T367" s="139">
        <f t="shared" si="73"/>
        <v>8028.8194444442915</v>
      </c>
      <c r="U367" s="139">
        <f t="shared" si="74"/>
        <v>4141.1805555557085</v>
      </c>
      <c r="V367" s="11">
        <f t="shared" si="75"/>
        <v>4141.1805555557085</v>
      </c>
    </row>
    <row r="368" spans="3:22" ht="12" customHeight="1">
      <c r="C368" s="20">
        <v>188125</v>
      </c>
      <c r="D368" s="20">
        <v>2</v>
      </c>
      <c r="E368" s="3" t="s">
        <v>817</v>
      </c>
      <c r="F368" s="3">
        <v>2017</v>
      </c>
      <c r="G368" s="3">
        <v>5</v>
      </c>
      <c r="H368" s="3">
        <v>0</v>
      </c>
      <c r="I368" s="3" t="s">
        <v>52</v>
      </c>
      <c r="J368" s="131" t="s">
        <v>748</v>
      </c>
      <c r="K368" s="3">
        <f t="shared" si="78"/>
        <v>2029</v>
      </c>
      <c r="L368" s="130">
        <f t="shared" si="79"/>
        <v>2029.4166666666667</v>
      </c>
      <c r="M368" s="139">
        <v>12490</v>
      </c>
      <c r="N368" s="139">
        <f t="shared" si="80"/>
        <v>12490</v>
      </c>
      <c r="O368" s="139">
        <f t="shared" si="77"/>
        <v>86.7361111111111</v>
      </c>
      <c r="P368" s="139">
        <f t="shared" si="76"/>
        <v>1040.8333333333333</v>
      </c>
      <c r="Q368" s="342">
        <f t="shared" si="71"/>
        <v>1040.8333333333333</v>
      </c>
      <c r="R368" s="341"/>
      <c r="S368" s="342">
        <f t="shared" si="72"/>
        <v>7199.0972222220653</v>
      </c>
      <c r="T368" s="139">
        <f t="shared" si="73"/>
        <v>8239.9305555553983</v>
      </c>
      <c r="U368" s="139">
        <f t="shared" si="74"/>
        <v>4250.0694444446017</v>
      </c>
      <c r="V368" s="11">
        <f t="shared" si="75"/>
        <v>4250.0694444446017</v>
      </c>
    </row>
    <row r="369" spans="3:22" ht="12" customHeight="1">
      <c r="C369" s="20">
        <v>188126</v>
      </c>
      <c r="D369" s="20">
        <v>3</v>
      </c>
      <c r="E369" s="3" t="s">
        <v>818</v>
      </c>
      <c r="F369" s="3">
        <v>2017</v>
      </c>
      <c r="G369" s="3">
        <v>5</v>
      </c>
      <c r="H369" s="3">
        <v>0</v>
      </c>
      <c r="I369" s="3" t="s">
        <v>52</v>
      </c>
      <c r="J369" s="131" t="s">
        <v>748</v>
      </c>
      <c r="K369" s="3">
        <f t="shared" si="78"/>
        <v>2029</v>
      </c>
      <c r="L369" s="130">
        <f t="shared" si="79"/>
        <v>2029.4166666666667</v>
      </c>
      <c r="M369" s="139">
        <v>17301</v>
      </c>
      <c r="N369" s="139">
        <f t="shared" si="80"/>
        <v>17301</v>
      </c>
      <c r="O369" s="139">
        <f t="shared" si="77"/>
        <v>120.14583333333333</v>
      </c>
      <c r="P369" s="139">
        <f t="shared" si="76"/>
        <v>1441.75</v>
      </c>
      <c r="Q369" s="342">
        <f t="shared" si="71"/>
        <v>1441.75</v>
      </c>
      <c r="R369" s="341"/>
      <c r="S369" s="342">
        <f t="shared" si="72"/>
        <v>9972.1041666664496</v>
      </c>
      <c r="T369" s="139">
        <f t="shared" si="73"/>
        <v>11413.85416666645</v>
      </c>
      <c r="U369" s="139">
        <f t="shared" si="74"/>
        <v>5887.1458333335504</v>
      </c>
      <c r="V369" s="11">
        <f t="shared" si="75"/>
        <v>5887.1458333335504</v>
      </c>
    </row>
    <row r="370" spans="3:22" ht="12" customHeight="1">
      <c r="C370" s="20">
        <v>188127</v>
      </c>
      <c r="D370" s="20">
        <v>2</v>
      </c>
      <c r="E370" s="3" t="s">
        <v>819</v>
      </c>
      <c r="F370" s="3">
        <v>2017</v>
      </c>
      <c r="G370" s="3">
        <v>5</v>
      </c>
      <c r="H370" s="3">
        <v>0</v>
      </c>
      <c r="I370" s="3" t="s">
        <v>52</v>
      </c>
      <c r="J370" s="131" t="s">
        <v>748</v>
      </c>
      <c r="K370" s="3">
        <f t="shared" si="78"/>
        <v>2029</v>
      </c>
      <c r="L370" s="130">
        <f t="shared" si="79"/>
        <v>2029.4166666666667</v>
      </c>
      <c r="M370" s="139">
        <v>11990</v>
      </c>
      <c r="N370" s="139">
        <f t="shared" si="80"/>
        <v>11990</v>
      </c>
      <c r="O370" s="139">
        <f t="shared" si="77"/>
        <v>83.263888888888886</v>
      </c>
      <c r="P370" s="139">
        <f t="shared" si="76"/>
        <v>999.16666666666663</v>
      </c>
      <c r="Q370" s="342">
        <f t="shared" si="71"/>
        <v>999.16666666666663</v>
      </c>
      <c r="R370" s="341"/>
      <c r="S370" s="342">
        <f t="shared" si="72"/>
        <v>6910.9027777776264</v>
      </c>
      <c r="T370" s="139">
        <f t="shared" si="73"/>
        <v>7910.0694444442934</v>
      </c>
      <c r="U370" s="139">
        <f t="shared" si="74"/>
        <v>4079.9305555557066</v>
      </c>
      <c r="V370" s="11">
        <f t="shared" si="75"/>
        <v>4079.9305555557066</v>
      </c>
    </row>
    <row r="371" spans="3:22" ht="12" customHeight="1">
      <c r="C371" s="20">
        <v>188188</v>
      </c>
      <c r="D371" s="20">
        <v>1</v>
      </c>
      <c r="E371" s="3" t="s">
        <v>815</v>
      </c>
      <c r="F371" s="3">
        <v>2017</v>
      </c>
      <c r="G371" s="3">
        <v>5</v>
      </c>
      <c r="H371" s="3">
        <v>0</v>
      </c>
      <c r="I371" s="3" t="s">
        <v>52</v>
      </c>
      <c r="J371" s="131" t="s">
        <v>748</v>
      </c>
      <c r="K371" s="3">
        <f t="shared" si="78"/>
        <v>2029</v>
      </c>
      <c r="L371" s="130">
        <f t="shared" si="79"/>
        <v>2029.4166666666667</v>
      </c>
      <c r="M371" s="139">
        <v>1705</v>
      </c>
      <c r="N371" s="139">
        <f t="shared" si="80"/>
        <v>1705</v>
      </c>
      <c r="O371" s="139">
        <f t="shared" si="77"/>
        <v>11.840277777777779</v>
      </c>
      <c r="P371" s="139">
        <f t="shared" si="76"/>
        <v>142.08333333333334</v>
      </c>
      <c r="Q371" s="342">
        <f t="shared" si="71"/>
        <v>142.08333333333334</v>
      </c>
      <c r="R371" s="341"/>
      <c r="S371" s="342">
        <f t="shared" si="72"/>
        <v>982.74305555553394</v>
      </c>
      <c r="T371" s="139">
        <f t="shared" si="73"/>
        <v>1124.8263888888673</v>
      </c>
      <c r="U371" s="139">
        <f t="shared" si="74"/>
        <v>580.17361111113269</v>
      </c>
      <c r="V371" s="11">
        <f t="shared" si="75"/>
        <v>580.17361111113269</v>
      </c>
    </row>
    <row r="372" spans="3:22" ht="12" customHeight="1">
      <c r="C372" s="20">
        <v>188650</v>
      </c>
      <c r="D372" s="20">
        <v>4</v>
      </c>
      <c r="E372" s="3" t="s">
        <v>820</v>
      </c>
      <c r="F372" s="3">
        <v>2017</v>
      </c>
      <c r="G372" s="3">
        <v>11</v>
      </c>
      <c r="H372" s="3">
        <v>0</v>
      </c>
      <c r="I372" s="3" t="s">
        <v>52</v>
      </c>
      <c r="J372" s="131" t="s">
        <v>748</v>
      </c>
      <c r="K372" s="3">
        <f t="shared" si="78"/>
        <v>2029</v>
      </c>
      <c r="L372" s="130">
        <f t="shared" si="79"/>
        <v>2029.9166666666667</v>
      </c>
      <c r="M372" s="139">
        <v>22400</v>
      </c>
      <c r="N372" s="139">
        <f t="shared" si="80"/>
        <v>22400</v>
      </c>
      <c r="O372" s="139">
        <f t="shared" si="77"/>
        <v>155.55555555555557</v>
      </c>
      <c r="P372" s="139">
        <f t="shared" si="76"/>
        <v>1866.666666666667</v>
      </c>
      <c r="Q372" s="342">
        <f t="shared" si="71"/>
        <v>1866.666666666667</v>
      </c>
      <c r="R372" s="341"/>
      <c r="S372" s="342">
        <f t="shared" si="72"/>
        <v>11977.777777777494</v>
      </c>
      <c r="T372" s="139">
        <f t="shared" si="73"/>
        <v>13844.444444444161</v>
      </c>
      <c r="U372" s="139">
        <f t="shared" si="74"/>
        <v>8555.5555555558385</v>
      </c>
      <c r="V372" s="11">
        <f t="shared" si="75"/>
        <v>8555.5555555558385</v>
      </c>
    </row>
    <row r="373" spans="3:22" ht="12" customHeight="1">
      <c r="C373" s="20">
        <v>188651</v>
      </c>
      <c r="D373" s="20">
        <v>6</v>
      </c>
      <c r="E373" s="3" t="s">
        <v>821</v>
      </c>
      <c r="F373" s="3">
        <v>2017</v>
      </c>
      <c r="G373" s="3">
        <v>11</v>
      </c>
      <c r="H373" s="3">
        <v>0</v>
      </c>
      <c r="I373" s="3" t="s">
        <v>52</v>
      </c>
      <c r="J373" s="131" t="s">
        <v>748</v>
      </c>
      <c r="K373" s="3">
        <f t="shared" si="78"/>
        <v>2029</v>
      </c>
      <c r="L373" s="130">
        <f t="shared" si="79"/>
        <v>2029.9166666666667</v>
      </c>
      <c r="M373" s="139">
        <v>35550</v>
      </c>
      <c r="N373" s="139">
        <f t="shared" si="80"/>
        <v>35550</v>
      </c>
      <c r="O373" s="139">
        <f t="shared" si="77"/>
        <v>246.875</v>
      </c>
      <c r="P373" s="139">
        <f t="shared" si="76"/>
        <v>2962.5</v>
      </c>
      <c r="Q373" s="342">
        <f t="shared" si="71"/>
        <v>2962.5</v>
      </c>
      <c r="R373" s="341"/>
      <c r="S373" s="342">
        <f t="shared" si="72"/>
        <v>19009.374999999553</v>
      </c>
      <c r="T373" s="139">
        <f t="shared" si="73"/>
        <v>21971.874999999553</v>
      </c>
      <c r="U373" s="139">
        <f t="shared" si="74"/>
        <v>13578.125000000447</v>
      </c>
      <c r="V373" s="11">
        <f t="shared" si="75"/>
        <v>13578.125000000447</v>
      </c>
    </row>
    <row r="374" spans="3:22" ht="12" customHeight="1">
      <c r="C374" s="20">
        <v>188652</v>
      </c>
      <c r="D374" s="20">
        <v>2</v>
      </c>
      <c r="E374" s="3" t="s">
        <v>822</v>
      </c>
      <c r="F374" s="3">
        <v>2017</v>
      </c>
      <c r="G374" s="3">
        <v>11</v>
      </c>
      <c r="H374" s="3">
        <v>0</v>
      </c>
      <c r="I374" s="3" t="s">
        <v>52</v>
      </c>
      <c r="J374" s="131" t="s">
        <v>748</v>
      </c>
      <c r="K374" s="3">
        <f t="shared" si="78"/>
        <v>2029</v>
      </c>
      <c r="L374" s="130">
        <f t="shared" si="79"/>
        <v>2029.9166666666667</v>
      </c>
      <c r="M374" s="139">
        <v>11300</v>
      </c>
      <c r="N374" s="139">
        <f t="shared" si="80"/>
        <v>11300</v>
      </c>
      <c r="O374" s="139">
        <f t="shared" si="77"/>
        <v>78.472222222222214</v>
      </c>
      <c r="P374" s="139">
        <f t="shared" si="76"/>
        <v>941.66666666666652</v>
      </c>
      <c r="Q374" s="342">
        <f t="shared" si="71"/>
        <v>941.66666666666652</v>
      </c>
      <c r="R374" s="341"/>
      <c r="S374" s="342">
        <f t="shared" si="72"/>
        <v>6042.3611111109685</v>
      </c>
      <c r="T374" s="139">
        <f t="shared" si="73"/>
        <v>6984.0277777776355</v>
      </c>
      <c r="U374" s="139">
        <f t="shared" si="74"/>
        <v>4315.9722222223645</v>
      </c>
      <c r="V374" s="11">
        <f t="shared" si="75"/>
        <v>4315.9722222223645</v>
      </c>
    </row>
    <row r="375" spans="3:22" ht="12" customHeight="1">
      <c r="C375" s="20">
        <v>188653</v>
      </c>
      <c r="D375" s="20">
        <v>6</v>
      </c>
      <c r="E375" s="3" t="s">
        <v>823</v>
      </c>
      <c r="F375" s="3">
        <v>2017</v>
      </c>
      <c r="G375" s="3">
        <v>11</v>
      </c>
      <c r="H375" s="3">
        <v>0</v>
      </c>
      <c r="I375" s="3" t="s">
        <v>52</v>
      </c>
      <c r="J375" s="131" t="s">
        <v>748</v>
      </c>
      <c r="K375" s="3">
        <f t="shared" si="78"/>
        <v>2029</v>
      </c>
      <c r="L375" s="130">
        <f t="shared" si="79"/>
        <v>2029.9166666666667</v>
      </c>
      <c r="M375" s="139">
        <v>37050</v>
      </c>
      <c r="N375" s="139">
        <f t="shared" si="80"/>
        <v>37050</v>
      </c>
      <c r="O375" s="139">
        <f t="shared" si="77"/>
        <v>257.29166666666669</v>
      </c>
      <c r="P375" s="139">
        <f t="shared" si="76"/>
        <v>3087.5</v>
      </c>
      <c r="Q375" s="342">
        <f t="shared" si="71"/>
        <v>3087.5</v>
      </c>
      <c r="R375" s="341"/>
      <c r="S375" s="342">
        <f t="shared" si="72"/>
        <v>19811.458333332863</v>
      </c>
      <c r="T375" s="139">
        <f t="shared" si="73"/>
        <v>22898.958333332863</v>
      </c>
      <c r="U375" s="139">
        <f t="shared" si="74"/>
        <v>14151.041666667137</v>
      </c>
      <c r="V375" s="11">
        <f t="shared" si="75"/>
        <v>14151.041666667137</v>
      </c>
    </row>
    <row r="376" spans="3:22" ht="12" customHeight="1">
      <c r="C376" s="20">
        <v>189369</v>
      </c>
      <c r="D376" s="20">
        <v>2</v>
      </c>
      <c r="E376" s="3" t="s">
        <v>824</v>
      </c>
      <c r="F376" s="3">
        <v>2017</v>
      </c>
      <c r="G376" s="3">
        <v>5</v>
      </c>
      <c r="H376" s="3">
        <v>0</v>
      </c>
      <c r="I376" s="3" t="s">
        <v>52</v>
      </c>
      <c r="J376" s="131" t="s">
        <v>748</v>
      </c>
      <c r="K376" s="3">
        <f t="shared" si="78"/>
        <v>2029</v>
      </c>
      <c r="L376" s="130">
        <f t="shared" si="79"/>
        <v>2029.4166666666667</v>
      </c>
      <c r="M376" s="139">
        <v>14180</v>
      </c>
      <c r="N376" s="139">
        <f t="shared" si="80"/>
        <v>14180</v>
      </c>
      <c r="O376" s="139">
        <f t="shared" si="77"/>
        <v>98.472222222222229</v>
      </c>
      <c r="P376" s="139">
        <f t="shared" si="76"/>
        <v>1181.6666666666667</v>
      </c>
      <c r="Q376" s="342">
        <f t="shared" si="71"/>
        <v>1181.6666666666667</v>
      </c>
      <c r="R376" s="341"/>
      <c r="S376" s="342">
        <f t="shared" si="72"/>
        <v>8173.1944444442652</v>
      </c>
      <c r="T376" s="139">
        <f t="shared" si="73"/>
        <v>9354.8611111109312</v>
      </c>
      <c r="U376" s="139">
        <f t="shared" si="74"/>
        <v>4825.1388888890688</v>
      </c>
      <c r="V376" s="11">
        <f t="shared" si="75"/>
        <v>4825.1388888890688</v>
      </c>
    </row>
    <row r="377" spans="3:22" ht="12" customHeight="1">
      <c r="C377" s="20">
        <v>189370</v>
      </c>
      <c r="D377" s="20">
        <v>3</v>
      </c>
      <c r="E377" s="3" t="s">
        <v>825</v>
      </c>
      <c r="F377" s="3">
        <v>2017</v>
      </c>
      <c r="G377" s="3">
        <v>5</v>
      </c>
      <c r="H377" s="3">
        <v>0</v>
      </c>
      <c r="I377" s="3" t="s">
        <v>52</v>
      </c>
      <c r="J377" s="131" t="s">
        <v>748</v>
      </c>
      <c r="K377" s="3">
        <f t="shared" si="78"/>
        <v>2029</v>
      </c>
      <c r="L377" s="130">
        <f t="shared" si="79"/>
        <v>2029.4166666666667</v>
      </c>
      <c r="M377" s="139">
        <v>19638</v>
      </c>
      <c r="N377" s="139">
        <f t="shared" si="80"/>
        <v>19638</v>
      </c>
      <c r="O377" s="139">
        <f t="shared" si="77"/>
        <v>136.375</v>
      </c>
      <c r="P377" s="139">
        <f t="shared" si="76"/>
        <v>1636.5</v>
      </c>
      <c r="Q377" s="342">
        <f t="shared" si="71"/>
        <v>1636.5</v>
      </c>
      <c r="R377" s="341"/>
      <c r="S377" s="342">
        <f t="shared" si="72"/>
        <v>11319.124999999753</v>
      </c>
      <c r="T377" s="139">
        <f t="shared" si="73"/>
        <v>12955.624999999753</v>
      </c>
      <c r="U377" s="139">
        <f t="shared" si="74"/>
        <v>6682.3750000002474</v>
      </c>
      <c r="V377" s="11">
        <f t="shared" si="75"/>
        <v>6682.3750000002474</v>
      </c>
    </row>
    <row r="378" spans="3:22" ht="12" customHeight="1">
      <c r="C378" s="20">
        <v>189371</v>
      </c>
      <c r="D378" s="20">
        <v>1</v>
      </c>
      <c r="E378" s="3" t="s">
        <v>811</v>
      </c>
      <c r="F378" s="3">
        <v>2017</v>
      </c>
      <c r="G378" s="3">
        <v>5</v>
      </c>
      <c r="H378" s="3">
        <v>0</v>
      </c>
      <c r="I378" s="3" t="s">
        <v>52</v>
      </c>
      <c r="J378" s="131" t="s">
        <v>748</v>
      </c>
      <c r="K378" s="3">
        <f t="shared" si="78"/>
        <v>2029</v>
      </c>
      <c r="L378" s="130">
        <f t="shared" si="79"/>
        <v>2029.4166666666667</v>
      </c>
      <c r="M378" s="139">
        <v>6820</v>
      </c>
      <c r="N378" s="139">
        <f t="shared" si="80"/>
        <v>6820</v>
      </c>
      <c r="O378" s="139">
        <f t="shared" si="77"/>
        <v>47.361111111111114</v>
      </c>
      <c r="P378" s="139">
        <f t="shared" si="76"/>
        <v>568.33333333333337</v>
      </c>
      <c r="Q378" s="342">
        <f t="shared" si="71"/>
        <v>568.33333333333337</v>
      </c>
      <c r="R378" s="341"/>
      <c r="S378" s="342">
        <f t="shared" si="72"/>
        <v>3930.9722222221358</v>
      </c>
      <c r="T378" s="139">
        <f t="shared" si="73"/>
        <v>4499.3055555554693</v>
      </c>
      <c r="U378" s="139">
        <f t="shared" si="74"/>
        <v>2320.6944444445307</v>
      </c>
      <c r="V378" s="11">
        <f t="shared" si="75"/>
        <v>2320.6944444445307</v>
      </c>
    </row>
    <row r="379" spans="3:22" ht="12" customHeight="1">
      <c r="C379" s="20">
        <v>189372</v>
      </c>
      <c r="D379" s="20">
        <v>1</v>
      </c>
      <c r="E379" s="3" t="s">
        <v>813</v>
      </c>
      <c r="F379" s="3">
        <v>2017</v>
      </c>
      <c r="G379" s="3">
        <v>5</v>
      </c>
      <c r="H379" s="3">
        <v>0</v>
      </c>
      <c r="I379" s="3" t="s">
        <v>52</v>
      </c>
      <c r="J379" s="131" t="s">
        <v>748</v>
      </c>
      <c r="K379" s="3">
        <f t="shared" si="78"/>
        <v>2029</v>
      </c>
      <c r="L379" s="130">
        <f t="shared" si="79"/>
        <v>2029.4166666666667</v>
      </c>
      <c r="M379" s="139">
        <v>6320</v>
      </c>
      <c r="N379" s="139">
        <f t="shared" si="80"/>
        <v>6320</v>
      </c>
      <c r="O379" s="139">
        <f t="shared" si="77"/>
        <v>43.888888888888886</v>
      </c>
      <c r="P379" s="139">
        <f t="shared" ref="P379:P403" si="81">+O379*12</f>
        <v>526.66666666666663</v>
      </c>
      <c r="Q379" s="342">
        <f t="shared" si="71"/>
        <v>526.66666666666663</v>
      </c>
      <c r="R379" s="341"/>
      <c r="S379" s="342">
        <f t="shared" si="72"/>
        <v>3642.7777777776982</v>
      </c>
      <c r="T379" s="139">
        <f t="shared" si="73"/>
        <v>4169.4444444443652</v>
      </c>
      <c r="U379" s="139">
        <f t="shared" si="74"/>
        <v>2150.5555555556348</v>
      </c>
      <c r="V379" s="11">
        <f t="shared" si="75"/>
        <v>2150.5555555556348</v>
      </c>
    </row>
    <row r="380" spans="3:22" ht="12" customHeight="1">
      <c r="C380" s="20">
        <v>189373</v>
      </c>
      <c r="D380" s="20">
        <v>2</v>
      </c>
      <c r="E380" s="3" t="s">
        <v>813</v>
      </c>
      <c r="F380" s="3">
        <v>2017</v>
      </c>
      <c r="G380" s="3">
        <v>5</v>
      </c>
      <c r="H380" s="3">
        <v>0</v>
      </c>
      <c r="I380" s="3" t="s">
        <v>52</v>
      </c>
      <c r="J380" s="131" t="s">
        <v>748</v>
      </c>
      <c r="K380" s="3">
        <f t="shared" si="78"/>
        <v>2029</v>
      </c>
      <c r="L380" s="130">
        <f t="shared" si="79"/>
        <v>2029.4166666666667</v>
      </c>
      <c r="M380" s="139">
        <v>12640</v>
      </c>
      <c r="N380" s="139">
        <f t="shared" si="80"/>
        <v>12640</v>
      </c>
      <c r="O380" s="139">
        <f t="shared" si="77"/>
        <v>87.777777777777771</v>
      </c>
      <c r="P380" s="139">
        <f t="shared" si="81"/>
        <v>1053.3333333333333</v>
      </c>
      <c r="Q380" s="342">
        <f t="shared" si="71"/>
        <v>1053.3333333333333</v>
      </c>
      <c r="R380" s="341"/>
      <c r="S380" s="342">
        <f t="shared" si="72"/>
        <v>7285.5555555553965</v>
      </c>
      <c r="T380" s="139">
        <f t="shared" si="73"/>
        <v>8338.8888888887304</v>
      </c>
      <c r="U380" s="139">
        <f t="shared" si="74"/>
        <v>4301.1111111112696</v>
      </c>
      <c r="V380" s="11">
        <f t="shared" si="75"/>
        <v>4301.1111111112696</v>
      </c>
    </row>
    <row r="381" spans="3:22" ht="12" customHeight="1">
      <c r="C381" s="20">
        <v>189374</v>
      </c>
      <c r="D381" s="20">
        <v>2</v>
      </c>
      <c r="E381" s="3" t="s">
        <v>826</v>
      </c>
      <c r="F381" s="3">
        <v>2017</v>
      </c>
      <c r="G381" s="3">
        <v>5</v>
      </c>
      <c r="H381" s="3">
        <v>0</v>
      </c>
      <c r="I381" s="3" t="s">
        <v>52</v>
      </c>
      <c r="J381" s="131" t="s">
        <v>748</v>
      </c>
      <c r="K381" s="3">
        <f t="shared" si="78"/>
        <v>2029</v>
      </c>
      <c r="L381" s="130">
        <f t="shared" si="79"/>
        <v>2029.4166666666667</v>
      </c>
      <c r="M381" s="139">
        <v>11484</v>
      </c>
      <c r="N381" s="139">
        <f t="shared" si="80"/>
        <v>11484</v>
      </c>
      <c r="O381" s="139">
        <f t="shared" si="77"/>
        <v>79.75</v>
      </c>
      <c r="P381" s="139">
        <f t="shared" si="81"/>
        <v>957</v>
      </c>
      <c r="Q381" s="342">
        <f t="shared" si="71"/>
        <v>957</v>
      </c>
      <c r="R381" s="341"/>
      <c r="S381" s="342">
        <f t="shared" si="72"/>
        <v>6619.2499999998545</v>
      </c>
      <c r="T381" s="139">
        <f t="shared" si="73"/>
        <v>7576.2499999998545</v>
      </c>
      <c r="U381" s="139">
        <f t="shared" si="74"/>
        <v>3907.7500000001455</v>
      </c>
      <c r="V381" s="11">
        <f t="shared" si="75"/>
        <v>3907.7500000001455</v>
      </c>
    </row>
    <row r="382" spans="3:22" ht="12" customHeight="1">
      <c r="C382" s="20">
        <v>189375</v>
      </c>
      <c r="D382" s="20">
        <v>2</v>
      </c>
      <c r="E382" s="3" t="s">
        <v>813</v>
      </c>
      <c r="F382" s="3">
        <v>2017</v>
      </c>
      <c r="G382" s="3">
        <v>5</v>
      </c>
      <c r="H382" s="3">
        <v>0</v>
      </c>
      <c r="I382" s="3" t="s">
        <v>52</v>
      </c>
      <c r="J382" s="131" t="s">
        <v>748</v>
      </c>
      <c r="K382" s="3">
        <f t="shared" si="78"/>
        <v>2029</v>
      </c>
      <c r="L382" s="130">
        <f t="shared" si="79"/>
        <v>2029.4166666666667</v>
      </c>
      <c r="M382" s="139">
        <v>12640</v>
      </c>
      <c r="N382" s="139">
        <f t="shared" si="80"/>
        <v>12640</v>
      </c>
      <c r="O382" s="139">
        <f t="shared" si="77"/>
        <v>87.777777777777771</v>
      </c>
      <c r="P382" s="139">
        <f t="shared" si="81"/>
        <v>1053.3333333333333</v>
      </c>
      <c r="Q382" s="342">
        <f t="shared" si="71"/>
        <v>1053.3333333333333</v>
      </c>
      <c r="R382" s="341"/>
      <c r="S382" s="342">
        <f t="shared" si="72"/>
        <v>7285.5555555553965</v>
      </c>
      <c r="T382" s="139">
        <f t="shared" si="73"/>
        <v>8338.8888888887304</v>
      </c>
      <c r="U382" s="139">
        <f t="shared" si="74"/>
        <v>4301.1111111112696</v>
      </c>
      <c r="V382" s="11">
        <f t="shared" si="75"/>
        <v>4301.1111111112696</v>
      </c>
    </row>
    <row r="383" spans="3:22" ht="12" customHeight="1">
      <c r="C383" s="20">
        <v>189376</v>
      </c>
      <c r="D383" s="20">
        <v>2</v>
      </c>
      <c r="E383" s="3" t="s">
        <v>826</v>
      </c>
      <c r="F383" s="3">
        <v>2017</v>
      </c>
      <c r="G383" s="3">
        <v>5</v>
      </c>
      <c r="H383" s="3">
        <v>0</v>
      </c>
      <c r="I383" s="3" t="s">
        <v>52</v>
      </c>
      <c r="J383" s="131" t="s">
        <v>748</v>
      </c>
      <c r="K383" s="3">
        <f t="shared" si="78"/>
        <v>2029</v>
      </c>
      <c r="L383" s="130">
        <f t="shared" si="79"/>
        <v>2029.4166666666667</v>
      </c>
      <c r="M383" s="139">
        <v>11484</v>
      </c>
      <c r="N383" s="139">
        <f t="shared" si="80"/>
        <v>11484</v>
      </c>
      <c r="O383" s="139">
        <f t="shared" ref="O383:O403" si="82">N383/J383/12</f>
        <v>79.75</v>
      </c>
      <c r="P383" s="139">
        <f t="shared" si="81"/>
        <v>957</v>
      </c>
      <c r="Q383" s="342">
        <f t="shared" si="71"/>
        <v>957</v>
      </c>
      <c r="R383" s="341"/>
      <c r="S383" s="342">
        <f t="shared" si="72"/>
        <v>6619.2499999998545</v>
      </c>
      <c r="T383" s="139">
        <f t="shared" si="73"/>
        <v>7576.2499999998545</v>
      </c>
      <c r="U383" s="139">
        <f t="shared" si="74"/>
        <v>3907.7500000001455</v>
      </c>
      <c r="V383" s="11">
        <f t="shared" si="75"/>
        <v>3907.7500000001455</v>
      </c>
    </row>
    <row r="384" spans="3:22" ht="12" customHeight="1">
      <c r="C384" s="20">
        <v>189377</v>
      </c>
      <c r="D384" s="20">
        <v>2</v>
      </c>
      <c r="E384" s="3" t="s">
        <v>826</v>
      </c>
      <c r="F384" s="3">
        <v>2017</v>
      </c>
      <c r="G384" s="3">
        <v>5</v>
      </c>
      <c r="H384" s="3">
        <v>0</v>
      </c>
      <c r="I384" s="3" t="s">
        <v>52</v>
      </c>
      <c r="J384" s="131" t="s">
        <v>748</v>
      </c>
      <c r="K384" s="3">
        <f t="shared" si="78"/>
        <v>2029</v>
      </c>
      <c r="L384" s="130">
        <f t="shared" si="79"/>
        <v>2029.4166666666667</v>
      </c>
      <c r="M384" s="139">
        <v>10584</v>
      </c>
      <c r="N384" s="139">
        <f t="shared" si="80"/>
        <v>10584</v>
      </c>
      <c r="O384" s="139">
        <f t="shared" si="82"/>
        <v>73.5</v>
      </c>
      <c r="P384" s="139">
        <f t="shared" si="81"/>
        <v>882</v>
      </c>
      <c r="Q384" s="342">
        <f t="shared" si="71"/>
        <v>882</v>
      </c>
      <c r="R384" s="341"/>
      <c r="S384" s="342">
        <f t="shared" si="72"/>
        <v>6100.4999999998663</v>
      </c>
      <c r="T384" s="139">
        <f t="shared" si="73"/>
        <v>6982.4999999998663</v>
      </c>
      <c r="U384" s="139">
        <f t="shared" si="74"/>
        <v>3601.5000000001337</v>
      </c>
      <c r="V384" s="11">
        <f t="shared" si="75"/>
        <v>3601.5000000001337</v>
      </c>
    </row>
    <row r="385" spans="3:22" ht="12" customHeight="1">
      <c r="C385" s="20">
        <v>189378</v>
      </c>
      <c r="D385" s="20">
        <v>2</v>
      </c>
      <c r="E385" s="3" t="s">
        <v>826</v>
      </c>
      <c r="F385" s="3">
        <v>2017</v>
      </c>
      <c r="G385" s="3">
        <v>5</v>
      </c>
      <c r="H385" s="3">
        <v>0</v>
      </c>
      <c r="I385" s="3" t="s">
        <v>52</v>
      </c>
      <c r="J385" s="131" t="s">
        <v>748</v>
      </c>
      <c r="K385" s="3">
        <f t="shared" si="78"/>
        <v>2029</v>
      </c>
      <c r="L385" s="130">
        <f t="shared" si="79"/>
        <v>2029.4166666666667</v>
      </c>
      <c r="M385" s="139">
        <v>10584</v>
      </c>
      <c r="N385" s="139">
        <f t="shared" si="80"/>
        <v>10584</v>
      </c>
      <c r="O385" s="139">
        <f t="shared" si="82"/>
        <v>73.5</v>
      </c>
      <c r="P385" s="139">
        <f t="shared" si="81"/>
        <v>882</v>
      </c>
      <c r="Q385" s="342">
        <f t="shared" si="71"/>
        <v>882</v>
      </c>
      <c r="R385" s="341"/>
      <c r="S385" s="342">
        <f t="shared" si="72"/>
        <v>6100.4999999998663</v>
      </c>
      <c r="T385" s="139">
        <f t="shared" si="73"/>
        <v>6982.4999999998663</v>
      </c>
      <c r="U385" s="139">
        <f t="shared" si="74"/>
        <v>3601.5000000001337</v>
      </c>
      <c r="V385" s="11">
        <f t="shared" si="75"/>
        <v>3601.5000000001337</v>
      </c>
    </row>
    <row r="386" spans="3:22" ht="12" customHeight="1">
      <c r="C386" s="20">
        <v>189379</v>
      </c>
      <c r="D386" s="20">
        <v>2</v>
      </c>
      <c r="E386" s="3" t="s">
        <v>826</v>
      </c>
      <c r="F386" s="3">
        <v>2017</v>
      </c>
      <c r="G386" s="3">
        <v>5</v>
      </c>
      <c r="H386" s="3">
        <v>0</v>
      </c>
      <c r="I386" s="3" t="s">
        <v>52</v>
      </c>
      <c r="J386" s="131" t="s">
        <v>748</v>
      </c>
      <c r="K386" s="3">
        <f t="shared" ref="K386:K403" si="83">F386+J386</f>
        <v>2029</v>
      </c>
      <c r="L386" s="130">
        <f t="shared" ref="L386:L403" si="84">+K386+(G386/12)</f>
        <v>2029.4166666666667</v>
      </c>
      <c r="M386" s="139">
        <v>10584</v>
      </c>
      <c r="N386" s="139">
        <f t="shared" ref="N386:N403" si="85">M386-M386*H386</f>
        <v>10584</v>
      </c>
      <c r="O386" s="139">
        <f t="shared" si="82"/>
        <v>73.5</v>
      </c>
      <c r="P386" s="139">
        <f t="shared" si="81"/>
        <v>882</v>
      </c>
      <c r="Q386" s="342">
        <f t="shared" ref="Q386:Q403" si="86">IF(L386&lt;=$N$6,0,P386)</f>
        <v>882</v>
      </c>
      <c r="R386" s="341"/>
      <c r="S386" s="342">
        <f t="shared" ref="S386:S403" si="87">+IF($L386&lt;=$N$7,$M386,IF(($F386+($G386/12))&gt;=$N$7,0,((($N386-((($L386-$N$7)*12)*$O386))))))</f>
        <v>6100.4999999998663</v>
      </c>
      <c r="T386" s="139">
        <f t="shared" ref="T386:T403" si="88">IF(L386&lt;=$N$6,M386,Q386+S386)</f>
        <v>6982.4999999998663</v>
      </c>
      <c r="U386" s="139">
        <f t="shared" ref="U386:U403" si="89">M386-T386</f>
        <v>3601.5000000001337</v>
      </c>
      <c r="V386" s="11">
        <f t="shared" si="75"/>
        <v>3601.5000000001337</v>
      </c>
    </row>
    <row r="387" spans="3:22" ht="12" customHeight="1">
      <c r="C387" s="20">
        <v>189380</v>
      </c>
      <c r="D387" s="20">
        <v>4</v>
      </c>
      <c r="E387" s="3" t="s">
        <v>827</v>
      </c>
      <c r="F387" s="3">
        <v>2017</v>
      </c>
      <c r="G387" s="3">
        <v>5</v>
      </c>
      <c r="H387" s="3">
        <v>0</v>
      </c>
      <c r="I387" s="3" t="s">
        <v>52</v>
      </c>
      <c r="J387" s="131" t="s">
        <v>748</v>
      </c>
      <c r="K387" s="3">
        <f t="shared" si="83"/>
        <v>2029</v>
      </c>
      <c r="L387" s="130">
        <f t="shared" si="84"/>
        <v>2029.4166666666667</v>
      </c>
      <c r="M387" s="139">
        <v>24980</v>
      </c>
      <c r="N387" s="139">
        <f t="shared" si="85"/>
        <v>24980</v>
      </c>
      <c r="O387" s="139">
        <f t="shared" si="82"/>
        <v>173.4722222222222</v>
      </c>
      <c r="P387" s="139">
        <f t="shared" si="81"/>
        <v>2081.6666666666665</v>
      </c>
      <c r="Q387" s="342">
        <f t="shared" si="86"/>
        <v>2081.6666666666665</v>
      </c>
      <c r="R387" s="341"/>
      <c r="S387" s="342">
        <f t="shared" si="87"/>
        <v>14398.194444444131</v>
      </c>
      <c r="T387" s="139">
        <f t="shared" si="88"/>
        <v>16479.861111110797</v>
      </c>
      <c r="U387" s="139">
        <f t="shared" si="89"/>
        <v>8500.1388888892034</v>
      </c>
      <c r="V387" s="11">
        <f t="shared" si="75"/>
        <v>8500.1388888892034</v>
      </c>
    </row>
    <row r="388" spans="3:22" ht="12" customHeight="1">
      <c r="C388" s="20">
        <v>197596</v>
      </c>
      <c r="D388" s="20">
        <v>10</v>
      </c>
      <c r="E388" s="3" t="s">
        <v>828</v>
      </c>
      <c r="F388" s="3">
        <v>2018</v>
      </c>
      <c r="G388" s="3">
        <v>3</v>
      </c>
      <c r="H388" s="3">
        <v>0</v>
      </c>
      <c r="I388" s="3" t="s">
        <v>52</v>
      </c>
      <c r="J388" s="131" t="s">
        <v>748</v>
      </c>
      <c r="K388" s="3">
        <f t="shared" si="83"/>
        <v>2030</v>
      </c>
      <c r="L388" s="130">
        <f t="shared" si="84"/>
        <v>2030.25</v>
      </c>
      <c r="M388" s="139">
        <v>9890</v>
      </c>
      <c r="N388" s="139">
        <f t="shared" si="85"/>
        <v>9890</v>
      </c>
      <c r="O388" s="139">
        <f t="shared" si="82"/>
        <v>68.680555555555557</v>
      </c>
      <c r="P388" s="139">
        <f t="shared" si="81"/>
        <v>824.16666666666674</v>
      </c>
      <c r="Q388" s="342">
        <f t="shared" si="86"/>
        <v>824.16666666666674</v>
      </c>
      <c r="R388" s="341"/>
      <c r="S388" s="342">
        <f t="shared" si="87"/>
        <v>5013.6805555554929</v>
      </c>
      <c r="T388" s="139">
        <f t="shared" si="88"/>
        <v>5837.8472222221599</v>
      </c>
      <c r="U388" s="139">
        <f t="shared" si="89"/>
        <v>4052.1527777778401</v>
      </c>
      <c r="V388" s="11">
        <f t="shared" si="75"/>
        <v>4052.1527777778401</v>
      </c>
    </row>
    <row r="389" spans="3:22" ht="12" customHeight="1">
      <c r="C389" s="20">
        <v>197597</v>
      </c>
      <c r="D389" s="20">
        <v>10</v>
      </c>
      <c r="E389" s="3" t="s">
        <v>829</v>
      </c>
      <c r="F389" s="3">
        <v>2018</v>
      </c>
      <c r="G389" s="3">
        <v>4</v>
      </c>
      <c r="H389" s="3">
        <v>0</v>
      </c>
      <c r="I389" s="3" t="s">
        <v>52</v>
      </c>
      <c r="J389" s="131" t="s">
        <v>748</v>
      </c>
      <c r="K389" s="3">
        <f t="shared" si="83"/>
        <v>2030</v>
      </c>
      <c r="L389" s="130">
        <f t="shared" si="84"/>
        <v>2030.3333333333333</v>
      </c>
      <c r="M389" s="139">
        <v>68270</v>
      </c>
      <c r="N389" s="139">
        <f t="shared" si="85"/>
        <v>68270</v>
      </c>
      <c r="O389" s="139">
        <f t="shared" si="82"/>
        <v>474.09722222222223</v>
      </c>
      <c r="P389" s="139">
        <f t="shared" si="81"/>
        <v>5689.166666666667</v>
      </c>
      <c r="Q389" s="342">
        <f t="shared" si="86"/>
        <v>5689.166666666667</v>
      </c>
      <c r="R389" s="341"/>
      <c r="S389" s="342">
        <f t="shared" si="87"/>
        <v>34135</v>
      </c>
      <c r="T389" s="139">
        <f t="shared" si="88"/>
        <v>39824.166666666664</v>
      </c>
      <c r="U389" s="139">
        <f t="shared" si="89"/>
        <v>28445.833333333336</v>
      </c>
      <c r="V389" s="11">
        <f t="shared" si="75"/>
        <v>28445.833333333336</v>
      </c>
    </row>
    <row r="390" spans="3:22" ht="12" customHeight="1">
      <c r="C390" s="20">
        <v>197794</v>
      </c>
      <c r="D390" s="20">
        <v>4</v>
      </c>
      <c r="E390" s="3" t="s">
        <v>830</v>
      </c>
      <c r="F390" s="3">
        <v>2018</v>
      </c>
      <c r="G390" s="3">
        <v>4</v>
      </c>
      <c r="H390" s="3">
        <v>0</v>
      </c>
      <c r="I390" s="3" t="s">
        <v>52</v>
      </c>
      <c r="J390" s="131" t="s">
        <v>748</v>
      </c>
      <c r="K390" s="3">
        <f t="shared" si="83"/>
        <v>2030</v>
      </c>
      <c r="L390" s="130">
        <f t="shared" si="84"/>
        <v>2030.3333333333333</v>
      </c>
      <c r="M390" s="139">
        <v>18380</v>
      </c>
      <c r="N390" s="139">
        <f t="shared" si="85"/>
        <v>18380</v>
      </c>
      <c r="O390" s="139">
        <f t="shared" si="82"/>
        <v>127.6388888888889</v>
      </c>
      <c r="P390" s="139">
        <f t="shared" si="81"/>
        <v>1531.6666666666667</v>
      </c>
      <c r="Q390" s="342">
        <f t="shared" si="86"/>
        <v>1531.6666666666667</v>
      </c>
      <c r="R390" s="341"/>
      <c r="S390" s="342">
        <f t="shared" si="87"/>
        <v>9190</v>
      </c>
      <c r="T390" s="139">
        <f t="shared" si="88"/>
        <v>10721.666666666666</v>
      </c>
      <c r="U390" s="139">
        <f t="shared" si="89"/>
        <v>7658.3333333333339</v>
      </c>
      <c r="V390" s="11">
        <f t="shared" si="75"/>
        <v>7658.3333333333339</v>
      </c>
    </row>
    <row r="391" spans="3:22" ht="12" customHeight="1">
      <c r="C391" s="20">
        <v>197840</v>
      </c>
      <c r="D391" s="20">
        <v>2</v>
      </c>
      <c r="E391" s="3" t="s">
        <v>830</v>
      </c>
      <c r="F391" s="3">
        <v>2018</v>
      </c>
      <c r="G391" s="3">
        <v>4</v>
      </c>
      <c r="H391" s="3">
        <v>0</v>
      </c>
      <c r="I391" s="3" t="s">
        <v>52</v>
      </c>
      <c r="J391" s="131" t="s">
        <v>748</v>
      </c>
      <c r="K391" s="3">
        <f t="shared" si="83"/>
        <v>2030</v>
      </c>
      <c r="L391" s="130">
        <f t="shared" si="84"/>
        <v>2030.3333333333333</v>
      </c>
      <c r="M391" s="139">
        <v>9190</v>
      </c>
      <c r="N391" s="139">
        <f t="shared" si="85"/>
        <v>9190</v>
      </c>
      <c r="O391" s="139">
        <f t="shared" si="82"/>
        <v>63.81944444444445</v>
      </c>
      <c r="P391" s="139">
        <f t="shared" si="81"/>
        <v>765.83333333333337</v>
      </c>
      <c r="Q391" s="342">
        <f t="shared" si="86"/>
        <v>765.83333333333337</v>
      </c>
      <c r="R391" s="341"/>
      <c r="S391" s="342">
        <f t="shared" si="87"/>
        <v>4595</v>
      </c>
      <c r="T391" s="139">
        <f t="shared" si="88"/>
        <v>5360.833333333333</v>
      </c>
      <c r="U391" s="139">
        <f t="shared" si="89"/>
        <v>3829.166666666667</v>
      </c>
      <c r="V391" s="11">
        <f t="shared" si="75"/>
        <v>3829.166666666667</v>
      </c>
    </row>
    <row r="392" spans="3:22" ht="12" customHeight="1">
      <c r="C392" s="20">
        <v>197841</v>
      </c>
      <c r="D392" s="20">
        <v>6</v>
      </c>
      <c r="E392" s="3" t="s">
        <v>831</v>
      </c>
      <c r="F392" s="3">
        <v>2018</v>
      </c>
      <c r="G392" s="3">
        <v>4</v>
      </c>
      <c r="H392" s="3">
        <v>0</v>
      </c>
      <c r="I392" s="3" t="s">
        <v>52</v>
      </c>
      <c r="J392" s="131" t="s">
        <v>748</v>
      </c>
      <c r="K392" s="3">
        <f t="shared" si="83"/>
        <v>2030</v>
      </c>
      <c r="L392" s="130">
        <f t="shared" si="84"/>
        <v>2030.3333333333333</v>
      </c>
      <c r="M392" s="139">
        <v>38610</v>
      </c>
      <c r="N392" s="139">
        <f t="shared" si="85"/>
        <v>38610</v>
      </c>
      <c r="O392" s="139">
        <f t="shared" si="82"/>
        <v>268.125</v>
      </c>
      <c r="P392" s="139">
        <f t="shared" si="81"/>
        <v>3217.5</v>
      </c>
      <c r="Q392" s="342">
        <f t="shared" si="86"/>
        <v>3217.5</v>
      </c>
      <c r="R392" s="341"/>
      <c r="S392" s="342">
        <f t="shared" si="87"/>
        <v>19305</v>
      </c>
      <c r="T392" s="139">
        <f t="shared" si="88"/>
        <v>22522.5</v>
      </c>
      <c r="U392" s="139">
        <f t="shared" si="89"/>
        <v>16087.5</v>
      </c>
      <c r="V392" s="11">
        <f t="shared" si="75"/>
        <v>16087.5</v>
      </c>
    </row>
    <row r="393" spans="3:22" ht="12" customHeight="1">
      <c r="C393" s="20">
        <v>197842</v>
      </c>
      <c r="D393" s="20">
        <v>3</v>
      </c>
      <c r="E393" s="3" t="s">
        <v>832</v>
      </c>
      <c r="F393" s="3">
        <v>2018</v>
      </c>
      <c r="G393" s="3">
        <v>4</v>
      </c>
      <c r="H393" s="3">
        <v>0</v>
      </c>
      <c r="I393" s="3" t="s">
        <v>52</v>
      </c>
      <c r="J393" s="131" t="s">
        <v>748</v>
      </c>
      <c r="K393" s="3">
        <f t="shared" si="83"/>
        <v>2030</v>
      </c>
      <c r="L393" s="130">
        <f t="shared" si="84"/>
        <v>2030.3333333333333</v>
      </c>
      <c r="M393" s="139">
        <v>18495</v>
      </c>
      <c r="N393" s="139">
        <f t="shared" si="85"/>
        <v>18495</v>
      </c>
      <c r="O393" s="139">
        <f t="shared" si="82"/>
        <v>128.4375</v>
      </c>
      <c r="P393" s="139">
        <f t="shared" si="81"/>
        <v>1541.25</v>
      </c>
      <c r="Q393" s="342">
        <f t="shared" si="86"/>
        <v>1541.25</v>
      </c>
      <c r="R393" s="341"/>
      <c r="S393" s="342">
        <f t="shared" si="87"/>
        <v>9247.5</v>
      </c>
      <c r="T393" s="139">
        <f t="shared" si="88"/>
        <v>10788.75</v>
      </c>
      <c r="U393" s="139">
        <f t="shared" si="89"/>
        <v>7706.25</v>
      </c>
      <c r="V393" s="11">
        <f t="shared" si="75"/>
        <v>7706.25</v>
      </c>
    </row>
    <row r="394" spans="3:22" ht="12" customHeight="1">
      <c r="C394" s="20">
        <v>197843</v>
      </c>
      <c r="D394" s="20">
        <v>3</v>
      </c>
      <c r="E394" s="3" t="s">
        <v>833</v>
      </c>
      <c r="F394" s="3">
        <v>2018</v>
      </c>
      <c r="G394" s="3">
        <v>4</v>
      </c>
      <c r="H394" s="3">
        <v>0</v>
      </c>
      <c r="I394" s="3" t="s">
        <v>52</v>
      </c>
      <c r="J394" s="131" t="s">
        <v>748</v>
      </c>
      <c r="K394" s="3">
        <f t="shared" si="83"/>
        <v>2030</v>
      </c>
      <c r="L394" s="130">
        <f t="shared" si="84"/>
        <v>2030.3333333333333</v>
      </c>
      <c r="M394" s="139">
        <v>17475</v>
      </c>
      <c r="N394" s="139">
        <f t="shared" si="85"/>
        <v>17475</v>
      </c>
      <c r="O394" s="139">
        <f t="shared" si="82"/>
        <v>121.35416666666667</v>
      </c>
      <c r="P394" s="139">
        <f t="shared" si="81"/>
        <v>1456.25</v>
      </c>
      <c r="Q394" s="342">
        <f t="shared" si="86"/>
        <v>1456.25</v>
      </c>
      <c r="R394" s="341"/>
      <c r="S394" s="342">
        <f t="shared" si="87"/>
        <v>8737.5</v>
      </c>
      <c r="T394" s="139">
        <f t="shared" si="88"/>
        <v>10193.75</v>
      </c>
      <c r="U394" s="139">
        <f t="shared" si="89"/>
        <v>7281.25</v>
      </c>
      <c r="V394" s="11">
        <f t="shared" si="75"/>
        <v>7281.25</v>
      </c>
    </row>
    <row r="395" spans="3:22" ht="12" customHeight="1">
      <c r="C395" s="20">
        <v>198075</v>
      </c>
      <c r="D395" s="20">
        <v>160</v>
      </c>
      <c r="E395" s="3" t="s">
        <v>834</v>
      </c>
      <c r="F395" s="3">
        <v>2008</v>
      </c>
      <c r="G395" s="3">
        <v>11</v>
      </c>
      <c r="H395" s="3">
        <v>0</v>
      </c>
      <c r="I395" s="3" t="s">
        <v>52</v>
      </c>
      <c r="J395" s="131">
        <v>7</v>
      </c>
      <c r="K395" s="3">
        <f t="shared" si="83"/>
        <v>2015</v>
      </c>
      <c r="L395" s="130">
        <f t="shared" si="84"/>
        <v>2015.9166666666667</v>
      </c>
      <c r="M395" s="139">
        <v>72645.960000000006</v>
      </c>
      <c r="N395" s="139">
        <f t="shared" si="85"/>
        <v>72645.960000000006</v>
      </c>
      <c r="O395" s="139">
        <f t="shared" si="82"/>
        <v>864.83285714285728</v>
      </c>
      <c r="P395" s="139">
        <f t="shared" si="81"/>
        <v>10377.994285714287</v>
      </c>
      <c r="Q395" s="342">
        <f t="shared" si="86"/>
        <v>0</v>
      </c>
      <c r="R395" s="341"/>
      <c r="S395" s="342">
        <f t="shared" si="87"/>
        <v>72645.960000000006</v>
      </c>
      <c r="T395" s="139">
        <f t="shared" si="88"/>
        <v>72645.960000000006</v>
      </c>
      <c r="U395" s="139">
        <f t="shared" si="89"/>
        <v>0</v>
      </c>
      <c r="V395" s="11">
        <f t="shared" si="75"/>
        <v>0</v>
      </c>
    </row>
    <row r="396" spans="3:22" ht="12" customHeight="1">
      <c r="C396" s="20">
        <v>200331</v>
      </c>
      <c r="D396" s="20">
        <v>3</v>
      </c>
      <c r="E396" s="3" t="s">
        <v>909</v>
      </c>
      <c r="F396" s="3">
        <v>2018</v>
      </c>
      <c r="G396" s="3">
        <v>4</v>
      </c>
      <c r="H396" s="3">
        <v>0</v>
      </c>
      <c r="I396" s="3" t="s">
        <v>52</v>
      </c>
      <c r="J396" s="131" t="s">
        <v>748</v>
      </c>
      <c r="K396" s="3">
        <f t="shared" si="83"/>
        <v>2030</v>
      </c>
      <c r="L396" s="130">
        <f t="shared" si="84"/>
        <v>2030.3333333333333</v>
      </c>
      <c r="M396" s="139">
        <v>17685</v>
      </c>
      <c r="N396" s="139">
        <f t="shared" si="85"/>
        <v>17685</v>
      </c>
      <c r="O396" s="139">
        <f t="shared" si="82"/>
        <v>122.8125</v>
      </c>
      <c r="P396" s="139">
        <f t="shared" si="81"/>
        <v>1473.75</v>
      </c>
      <c r="Q396" s="342">
        <f t="shared" si="86"/>
        <v>1473.75</v>
      </c>
      <c r="R396" s="341"/>
      <c r="S396" s="342">
        <f t="shared" si="87"/>
        <v>8842.5</v>
      </c>
      <c r="T396" s="139">
        <f t="shared" si="88"/>
        <v>10316.25</v>
      </c>
      <c r="U396" s="139">
        <f t="shared" si="89"/>
        <v>7368.75</v>
      </c>
      <c r="V396" s="11">
        <f t="shared" si="75"/>
        <v>7368.75</v>
      </c>
    </row>
    <row r="397" spans="3:22" ht="12" customHeight="1">
      <c r="C397" s="20">
        <v>200355</v>
      </c>
      <c r="D397" s="20">
        <v>7</v>
      </c>
      <c r="E397" s="3" t="s">
        <v>910</v>
      </c>
      <c r="F397" s="3">
        <v>2018</v>
      </c>
      <c r="G397" s="3">
        <v>4</v>
      </c>
      <c r="H397" s="3">
        <v>0</v>
      </c>
      <c r="I397" s="3" t="s">
        <v>52</v>
      </c>
      <c r="J397" s="131" t="s">
        <v>748</v>
      </c>
      <c r="K397" s="3">
        <f t="shared" si="83"/>
        <v>2030</v>
      </c>
      <c r="L397" s="130">
        <f t="shared" si="84"/>
        <v>2030.3333333333333</v>
      </c>
      <c r="M397" s="139">
        <v>56515</v>
      </c>
      <c r="N397" s="139">
        <f t="shared" si="85"/>
        <v>56515</v>
      </c>
      <c r="O397" s="139">
        <f t="shared" si="82"/>
        <v>392.46527777777777</v>
      </c>
      <c r="P397" s="139">
        <f t="shared" si="81"/>
        <v>4709.583333333333</v>
      </c>
      <c r="Q397" s="342">
        <f t="shared" si="86"/>
        <v>4709.583333333333</v>
      </c>
      <c r="R397" s="341"/>
      <c r="S397" s="342">
        <f t="shared" si="87"/>
        <v>28257.5</v>
      </c>
      <c r="T397" s="139">
        <f t="shared" si="88"/>
        <v>32967.083333333336</v>
      </c>
      <c r="U397" s="139">
        <f t="shared" si="89"/>
        <v>23547.916666666664</v>
      </c>
      <c r="V397" s="11">
        <f t="shared" si="75"/>
        <v>23547.916666666664</v>
      </c>
    </row>
    <row r="398" spans="3:22" ht="12" customHeight="1">
      <c r="C398" s="20">
        <v>200356</v>
      </c>
      <c r="D398" s="20">
        <v>6</v>
      </c>
      <c r="E398" s="3" t="s">
        <v>911</v>
      </c>
      <c r="F398" s="3">
        <v>2018</v>
      </c>
      <c r="G398" s="3">
        <v>4</v>
      </c>
      <c r="H398" s="3">
        <v>0</v>
      </c>
      <c r="I398" s="3" t="s">
        <v>52</v>
      </c>
      <c r="J398" s="131" t="s">
        <v>748</v>
      </c>
      <c r="K398" s="3">
        <f t="shared" si="83"/>
        <v>2030</v>
      </c>
      <c r="L398" s="130">
        <f t="shared" si="84"/>
        <v>2030.3333333333333</v>
      </c>
      <c r="M398" s="139">
        <v>38610</v>
      </c>
      <c r="N398" s="139">
        <f t="shared" si="85"/>
        <v>38610</v>
      </c>
      <c r="O398" s="139">
        <f t="shared" si="82"/>
        <v>268.125</v>
      </c>
      <c r="P398" s="139">
        <f t="shared" si="81"/>
        <v>3217.5</v>
      </c>
      <c r="Q398" s="342">
        <f t="shared" si="86"/>
        <v>3217.5</v>
      </c>
      <c r="R398" s="341"/>
      <c r="S398" s="342">
        <f t="shared" si="87"/>
        <v>19305</v>
      </c>
      <c r="T398" s="139">
        <f t="shared" si="88"/>
        <v>22522.5</v>
      </c>
      <c r="U398" s="139">
        <f t="shared" si="89"/>
        <v>16087.5</v>
      </c>
      <c r="V398" s="11">
        <f t="shared" si="75"/>
        <v>16087.5</v>
      </c>
    </row>
    <row r="399" spans="3:22" ht="12" customHeight="1">
      <c r="C399" s="20">
        <v>200770</v>
      </c>
      <c r="D399" s="20">
        <v>6</v>
      </c>
      <c r="E399" s="3" t="s">
        <v>912</v>
      </c>
      <c r="F399" s="3">
        <v>2018</v>
      </c>
      <c r="G399" s="3">
        <v>4</v>
      </c>
      <c r="H399" s="3">
        <v>0</v>
      </c>
      <c r="I399" s="3" t="s">
        <v>52</v>
      </c>
      <c r="J399" s="131" t="s">
        <v>748</v>
      </c>
      <c r="K399" s="3">
        <f t="shared" si="83"/>
        <v>2030</v>
      </c>
      <c r="L399" s="130">
        <f t="shared" si="84"/>
        <v>2030.3333333333333</v>
      </c>
      <c r="M399" s="139">
        <v>36990</v>
      </c>
      <c r="N399" s="139">
        <f t="shared" si="85"/>
        <v>36990</v>
      </c>
      <c r="O399" s="139">
        <f t="shared" si="82"/>
        <v>256.875</v>
      </c>
      <c r="P399" s="139">
        <f t="shared" si="81"/>
        <v>3082.5</v>
      </c>
      <c r="Q399" s="342">
        <f t="shared" si="86"/>
        <v>3082.5</v>
      </c>
      <c r="R399" s="341"/>
      <c r="S399" s="342">
        <f t="shared" si="87"/>
        <v>18495</v>
      </c>
      <c r="T399" s="139">
        <f t="shared" si="88"/>
        <v>21577.5</v>
      </c>
      <c r="U399" s="139">
        <f t="shared" si="89"/>
        <v>15412.5</v>
      </c>
      <c r="V399" s="11">
        <f t="shared" si="75"/>
        <v>15412.5</v>
      </c>
    </row>
    <row r="400" spans="3:22" ht="12" customHeight="1">
      <c r="C400" s="20">
        <v>200771</v>
      </c>
      <c r="D400" s="20">
        <v>12</v>
      </c>
      <c r="E400" s="3" t="s">
        <v>913</v>
      </c>
      <c r="F400" s="3">
        <v>2018</v>
      </c>
      <c r="G400" s="3">
        <v>4</v>
      </c>
      <c r="H400" s="3">
        <v>0</v>
      </c>
      <c r="I400" s="3" t="s">
        <v>52</v>
      </c>
      <c r="J400" s="131" t="s">
        <v>748</v>
      </c>
      <c r="K400" s="3">
        <f t="shared" si="83"/>
        <v>2030</v>
      </c>
      <c r="L400" s="130">
        <f t="shared" si="84"/>
        <v>2030.3333333333333</v>
      </c>
      <c r="M400" s="139">
        <v>77220</v>
      </c>
      <c r="N400" s="139">
        <f t="shared" si="85"/>
        <v>77220</v>
      </c>
      <c r="O400" s="139">
        <f t="shared" si="82"/>
        <v>536.25</v>
      </c>
      <c r="P400" s="139">
        <f t="shared" si="81"/>
        <v>6435</v>
      </c>
      <c r="Q400" s="342">
        <f t="shared" si="86"/>
        <v>6435</v>
      </c>
      <c r="R400" s="341"/>
      <c r="S400" s="342">
        <f t="shared" si="87"/>
        <v>38610</v>
      </c>
      <c r="T400" s="139">
        <f t="shared" si="88"/>
        <v>45045</v>
      </c>
      <c r="U400" s="139">
        <f t="shared" si="89"/>
        <v>32175</v>
      </c>
      <c r="V400" s="11">
        <f t="shared" si="75"/>
        <v>32175</v>
      </c>
    </row>
    <row r="401" spans="2:22" ht="12" customHeight="1">
      <c r="C401" s="20">
        <v>202730</v>
      </c>
      <c r="D401" s="20">
        <v>12</v>
      </c>
      <c r="E401" s="3" t="s">
        <v>914</v>
      </c>
      <c r="F401" s="3">
        <v>2018</v>
      </c>
      <c r="G401" s="3">
        <v>4</v>
      </c>
      <c r="H401" s="3">
        <v>0</v>
      </c>
      <c r="I401" s="3" t="s">
        <v>52</v>
      </c>
      <c r="J401" s="131" t="s">
        <v>748</v>
      </c>
      <c r="K401" s="3">
        <f t="shared" si="83"/>
        <v>2030</v>
      </c>
      <c r="L401" s="130">
        <f t="shared" si="84"/>
        <v>2030.3333333333333</v>
      </c>
      <c r="M401" s="139">
        <v>69900</v>
      </c>
      <c r="N401" s="139">
        <f t="shared" si="85"/>
        <v>69900</v>
      </c>
      <c r="O401" s="139">
        <f t="shared" si="82"/>
        <v>485.41666666666669</v>
      </c>
      <c r="P401" s="139">
        <f t="shared" si="81"/>
        <v>5825</v>
      </c>
      <c r="Q401" s="342">
        <f t="shared" si="86"/>
        <v>5825</v>
      </c>
      <c r="R401" s="341"/>
      <c r="S401" s="342">
        <f t="shared" si="87"/>
        <v>34950</v>
      </c>
      <c r="T401" s="139">
        <f t="shared" si="88"/>
        <v>40775</v>
      </c>
      <c r="U401" s="139">
        <f t="shared" si="89"/>
        <v>29125</v>
      </c>
      <c r="V401" s="11">
        <f t="shared" si="75"/>
        <v>29125</v>
      </c>
    </row>
    <row r="402" spans="2:22" ht="12" customHeight="1">
      <c r="C402" s="20">
        <v>203949</v>
      </c>
      <c r="D402" s="20">
        <v>11</v>
      </c>
      <c r="E402" s="3" t="s">
        <v>915</v>
      </c>
      <c r="F402" s="3">
        <v>2018</v>
      </c>
      <c r="G402" s="3">
        <v>8</v>
      </c>
      <c r="H402" s="3">
        <v>0</v>
      </c>
      <c r="I402" s="3" t="s">
        <v>52</v>
      </c>
      <c r="J402" s="131" t="s">
        <v>748</v>
      </c>
      <c r="K402" s="3">
        <f t="shared" si="83"/>
        <v>2030</v>
      </c>
      <c r="L402" s="130">
        <f t="shared" si="84"/>
        <v>2030.6666666666667</v>
      </c>
      <c r="M402" s="139">
        <v>67815</v>
      </c>
      <c r="N402" s="139">
        <f t="shared" si="85"/>
        <v>67815</v>
      </c>
      <c r="O402" s="139">
        <f t="shared" si="82"/>
        <v>470.9375</v>
      </c>
      <c r="P402" s="139">
        <f t="shared" si="81"/>
        <v>5651.25</v>
      </c>
      <c r="Q402" s="342">
        <f t="shared" si="86"/>
        <v>5651.25</v>
      </c>
      <c r="R402" s="341"/>
      <c r="S402" s="342">
        <f t="shared" si="87"/>
        <v>32023.749999999141</v>
      </c>
      <c r="T402" s="139">
        <f t="shared" si="88"/>
        <v>37674.999999999141</v>
      </c>
      <c r="U402" s="139">
        <f t="shared" si="89"/>
        <v>30140.000000000859</v>
      </c>
      <c r="V402" s="11">
        <f t="shared" si="75"/>
        <v>30140.000000000859</v>
      </c>
    </row>
    <row r="403" spans="2:22" ht="12" customHeight="1">
      <c r="C403" s="20">
        <v>203950</v>
      </c>
      <c r="D403" s="20">
        <v>10</v>
      </c>
      <c r="E403" s="3" t="s">
        <v>916</v>
      </c>
      <c r="F403" s="3">
        <v>2018</v>
      </c>
      <c r="G403" s="3">
        <v>4</v>
      </c>
      <c r="H403" s="3">
        <v>0</v>
      </c>
      <c r="I403" s="3" t="s">
        <v>52</v>
      </c>
      <c r="J403" s="131" t="s">
        <v>748</v>
      </c>
      <c r="K403" s="3">
        <f t="shared" si="83"/>
        <v>2030</v>
      </c>
      <c r="L403" s="130">
        <f t="shared" si="84"/>
        <v>2030.3333333333333</v>
      </c>
      <c r="M403" s="139">
        <v>74200</v>
      </c>
      <c r="N403" s="139">
        <f t="shared" si="85"/>
        <v>74200</v>
      </c>
      <c r="O403" s="139">
        <f t="shared" si="82"/>
        <v>515.27777777777771</v>
      </c>
      <c r="P403" s="139">
        <f t="shared" si="81"/>
        <v>6183.3333333333321</v>
      </c>
      <c r="Q403" s="342">
        <f t="shared" si="86"/>
        <v>6183.3333333333321</v>
      </c>
      <c r="R403" s="341"/>
      <c r="S403" s="342">
        <f t="shared" si="87"/>
        <v>37100.000000000007</v>
      </c>
      <c r="T403" s="139">
        <f t="shared" si="88"/>
        <v>43283.333333333343</v>
      </c>
      <c r="U403" s="139">
        <f t="shared" si="89"/>
        <v>30916.666666666657</v>
      </c>
      <c r="V403" s="11">
        <f t="shared" si="75"/>
        <v>30916.666666666657</v>
      </c>
    </row>
    <row r="404" spans="2:22" ht="12" customHeight="1">
      <c r="M404" s="139"/>
      <c r="N404" s="139"/>
      <c r="O404" s="139"/>
      <c r="P404" s="139"/>
      <c r="Q404" s="139"/>
      <c r="R404" s="139"/>
      <c r="S404" s="139"/>
      <c r="T404" s="139"/>
      <c r="U404" s="139"/>
      <c r="V404" s="11"/>
    </row>
    <row r="405" spans="2:22" ht="12" customHeight="1">
      <c r="C405" s="173" t="s">
        <v>337</v>
      </c>
      <c r="D405" s="173">
        <f>SUM(D257:D404)</f>
        <v>908</v>
      </c>
      <c r="E405" s="162"/>
      <c r="F405" s="162"/>
      <c r="G405" s="162"/>
      <c r="H405" s="162"/>
      <c r="I405" s="162"/>
      <c r="J405" s="174"/>
      <c r="K405" s="162"/>
      <c r="L405" s="175"/>
      <c r="M405" s="163">
        <f t="shared" ref="M405:V405" si="90">SUM(M258:M404)</f>
        <v>3347561.8199999984</v>
      </c>
      <c r="N405" s="163">
        <f t="shared" si="90"/>
        <v>3347561.8199999984</v>
      </c>
      <c r="O405" s="163">
        <f t="shared" si="90"/>
        <v>24977.519829365076</v>
      </c>
      <c r="P405" s="163">
        <f t="shared" si="90"/>
        <v>299730.23795238096</v>
      </c>
      <c r="Q405" s="163">
        <f t="shared" si="90"/>
        <v>135342.39750000002</v>
      </c>
      <c r="R405" s="163">
        <f t="shared" si="90"/>
        <v>0</v>
      </c>
      <c r="S405" s="163">
        <f t="shared" si="90"/>
        <v>2635401.5168194338</v>
      </c>
      <c r="T405" s="163">
        <f t="shared" si="90"/>
        <v>2771208.5596527676</v>
      </c>
      <c r="U405" s="163">
        <f t="shared" si="90"/>
        <v>576353.26034723164</v>
      </c>
      <c r="V405" s="163">
        <f t="shared" si="90"/>
        <v>576353.26034723164</v>
      </c>
    </row>
    <row r="406" spans="2:22" ht="12" customHeight="1">
      <c r="M406" s="139"/>
      <c r="N406" s="139"/>
      <c r="O406" s="139"/>
      <c r="P406" s="139"/>
      <c r="Q406" s="139"/>
      <c r="R406" s="139"/>
      <c r="S406" s="139"/>
      <c r="T406" s="139"/>
      <c r="U406" s="139"/>
      <c r="V406" s="11"/>
    </row>
    <row r="407" spans="2:22" ht="12" customHeight="1">
      <c r="C407" s="173" t="s">
        <v>109</v>
      </c>
      <c r="D407" s="209">
        <f>D405+D254</f>
        <v>4280</v>
      </c>
      <c r="E407" s="162"/>
      <c r="F407" s="162"/>
      <c r="G407" s="162"/>
      <c r="H407" s="162"/>
      <c r="I407" s="162"/>
      <c r="J407" s="174"/>
      <c r="K407" s="162"/>
      <c r="L407" s="175"/>
      <c r="M407" s="163">
        <f>M254+M405</f>
        <v>5416736.1199999992</v>
      </c>
      <c r="N407" s="163">
        <f>N254+N405</f>
        <v>5416736.1199999992</v>
      </c>
      <c r="O407" s="163">
        <f>O254+O405</f>
        <v>40264.753607142862</v>
      </c>
      <c r="P407" s="163">
        <f>P254+P405</f>
        <v>483177.04328571446</v>
      </c>
      <c r="Q407" s="163">
        <f>Q254+Q405</f>
        <v>221141.82649999997</v>
      </c>
      <c r="R407" s="163"/>
      <c r="S407" s="163">
        <f>S254+S405</f>
        <v>4273824.8748610914</v>
      </c>
      <c r="T407" s="163">
        <f>T254+T405</f>
        <v>4497423.5662777591</v>
      </c>
      <c r="U407" s="163">
        <f>U254+U405</f>
        <v>919312.55372223933</v>
      </c>
      <c r="V407" s="163">
        <f>V254+V405</f>
        <v>919312.55372223933</v>
      </c>
    </row>
    <row r="408" spans="2:22" ht="12" customHeight="1">
      <c r="M408" s="139"/>
      <c r="N408" s="139"/>
      <c r="O408" s="139"/>
      <c r="P408" s="139"/>
      <c r="Q408" s="139"/>
      <c r="R408" s="139"/>
      <c r="S408" s="139"/>
      <c r="T408" s="139"/>
      <c r="U408" s="139"/>
      <c r="V408" s="11"/>
    </row>
    <row r="409" spans="2:22" s="1" customFormat="1" ht="12" customHeight="1">
      <c r="C409" s="132"/>
      <c r="D409" s="132"/>
      <c r="E409" s="1" t="s">
        <v>110</v>
      </c>
      <c r="J409" s="5"/>
      <c r="L409" s="133"/>
      <c r="M409" s="140"/>
      <c r="N409" s="140"/>
      <c r="O409" s="140"/>
      <c r="P409" s="140"/>
      <c r="Q409" s="140"/>
      <c r="R409" s="140"/>
      <c r="S409" s="140"/>
      <c r="T409" s="140"/>
      <c r="U409" s="140"/>
      <c r="V409" s="11"/>
    </row>
    <row r="410" spans="2:22" ht="12" customHeight="1">
      <c r="B410" s="3" t="s">
        <v>88</v>
      </c>
      <c r="D410" s="20">
        <v>45</v>
      </c>
      <c r="E410" s="3" t="s">
        <v>217</v>
      </c>
      <c r="F410" s="3">
        <v>2011</v>
      </c>
      <c r="G410" s="3">
        <v>11</v>
      </c>
      <c r="H410" s="3">
        <v>0</v>
      </c>
      <c r="I410" s="3" t="s">
        <v>52</v>
      </c>
      <c r="J410" s="131">
        <v>10</v>
      </c>
      <c r="K410" s="3">
        <f>F410+J410</f>
        <v>2021</v>
      </c>
      <c r="L410" s="130">
        <f>+K410+(G410/12)</f>
        <v>2021.9166666666667</v>
      </c>
      <c r="M410" s="139">
        <v>41807.25</v>
      </c>
      <c r="N410" s="139">
        <f>M410-M410*H410</f>
        <v>41807.25</v>
      </c>
      <c r="O410" s="139">
        <f>N410/J410/12</f>
        <v>348.39375000000001</v>
      </c>
      <c r="P410" s="139">
        <f>+O410*12</f>
        <v>4180.7250000000004</v>
      </c>
      <c r="Q410" s="342">
        <f t="shared" ref="Q410:Q411" si="91">IF(L410&lt;=$N$6,0,P410)</f>
        <v>0</v>
      </c>
      <c r="R410" s="341"/>
      <c r="S410" s="342">
        <f t="shared" ref="S410:S411" si="92">+IF($L410&lt;=$N$7,$M410,IF(($F410+($G410/12))&gt;=$N$7,0,((($N410-((($L410-$N$7)*12)*$O410))))))</f>
        <v>41807.25</v>
      </c>
      <c r="T410" s="139">
        <f t="shared" ref="T410:T411" si="93">IF(L410&lt;=$N$6,M410,Q410+S410)</f>
        <v>41807.25</v>
      </c>
      <c r="U410" s="139">
        <f>M410-T410</f>
        <v>0</v>
      </c>
      <c r="V410" s="11">
        <f t="shared" ref="V410:V468" si="94">M410-T410</f>
        <v>0</v>
      </c>
    </row>
    <row r="411" spans="2:22" ht="12" customHeight="1">
      <c r="C411" s="20">
        <v>198690</v>
      </c>
      <c r="D411" s="20">
        <v>50</v>
      </c>
      <c r="E411" s="3" t="s">
        <v>542</v>
      </c>
      <c r="F411" s="3">
        <v>2018</v>
      </c>
      <c r="G411" s="3">
        <v>5</v>
      </c>
      <c r="H411" s="3">
        <v>0</v>
      </c>
      <c r="I411" s="3" t="s">
        <v>52</v>
      </c>
      <c r="J411" s="131">
        <v>12</v>
      </c>
      <c r="K411" s="3">
        <f>F411+J411</f>
        <v>2030</v>
      </c>
      <c r="L411" s="130">
        <f>+K411+(G411/12)</f>
        <v>2030.4166666666667</v>
      </c>
      <c r="M411" s="139">
        <v>31389.09</v>
      </c>
      <c r="N411" s="139">
        <f>M411-M411*H411</f>
        <v>31389.09</v>
      </c>
      <c r="O411" s="139">
        <f>N411/J411/12</f>
        <v>217.97979166666667</v>
      </c>
      <c r="P411" s="139">
        <f>+O411*12</f>
        <v>2615.7575000000002</v>
      </c>
      <c r="Q411" s="342">
        <f t="shared" si="91"/>
        <v>2615.7575000000002</v>
      </c>
      <c r="R411" s="341"/>
      <c r="S411" s="342">
        <f t="shared" si="92"/>
        <v>15476.565208332937</v>
      </c>
      <c r="T411" s="139">
        <f t="shared" si="93"/>
        <v>18092.322708332937</v>
      </c>
      <c r="U411" s="139">
        <f>M411-T411</f>
        <v>13296.767291667064</v>
      </c>
      <c r="V411" s="11">
        <f t="shared" si="94"/>
        <v>13296.767291667064</v>
      </c>
    </row>
    <row r="412" spans="2:22" ht="12" customHeight="1">
      <c r="M412" s="139"/>
      <c r="N412" s="139"/>
      <c r="O412" s="139"/>
      <c r="P412" s="139"/>
      <c r="Q412" s="139"/>
      <c r="R412" s="139"/>
      <c r="S412" s="139"/>
      <c r="T412" s="139"/>
      <c r="U412" s="139"/>
      <c r="V412" s="11"/>
    </row>
    <row r="413" spans="2:22" ht="12" customHeight="1">
      <c r="C413" s="173" t="s">
        <v>111</v>
      </c>
      <c r="D413" s="173">
        <f>SUM(D410:D411)</f>
        <v>95</v>
      </c>
      <c r="E413" s="162"/>
      <c r="F413" s="162"/>
      <c r="G413" s="162"/>
      <c r="H413" s="162"/>
      <c r="I413" s="162"/>
      <c r="J413" s="174"/>
      <c r="K413" s="162"/>
      <c r="L413" s="175"/>
      <c r="M413" s="163">
        <f>SUM(M410:M412)</f>
        <v>73196.34</v>
      </c>
      <c r="N413" s="163">
        <f t="shared" ref="N413:V413" si="95">SUM(N410:N412)</f>
        <v>73196.34</v>
      </c>
      <c r="O413" s="163">
        <f t="shared" si="95"/>
        <v>566.37354166666671</v>
      </c>
      <c r="P413" s="163">
        <f t="shared" si="95"/>
        <v>6796.4825000000001</v>
      </c>
      <c r="Q413" s="163">
        <f t="shared" si="95"/>
        <v>2615.7575000000002</v>
      </c>
      <c r="R413" s="163">
        <f t="shared" si="95"/>
        <v>0</v>
      </c>
      <c r="S413" s="163">
        <f t="shared" si="95"/>
        <v>57283.815208332933</v>
      </c>
      <c r="T413" s="163">
        <f t="shared" si="95"/>
        <v>59899.57270833294</v>
      </c>
      <c r="U413" s="163">
        <f t="shared" si="95"/>
        <v>13296.767291667064</v>
      </c>
      <c r="V413" s="163">
        <f t="shared" si="95"/>
        <v>13296.767291667064</v>
      </c>
    </row>
    <row r="414" spans="2:22" ht="12" customHeight="1">
      <c r="M414" s="139"/>
      <c r="N414" s="139"/>
      <c r="O414" s="139"/>
      <c r="P414" s="139"/>
      <c r="Q414" s="139"/>
      <c r="R414" s="139"/>
      <c r="S414" s="139"/>
      <c r="T414" s="139"/>
      <c r="U414" s="139"/>
      <c r="V414" s="11"/>
    </row>
    <row r="415" spans="2:22" ht="12" customHeight="1">
      <c r="M415" s="139"/>
      <c r="N415" s="139"/>
      <c r="O415" s="139"/>
      <c r="P415" s="139"/>
      <c r="Q415" s="139"/>
      <c r="R415" s="139"/>
      <c r="S415" s="139"/>
      <c r="T415" s="139"/>
      <c r="U415" s="139"/>
      <c r="V415" s="11"/>
    </row>
    <row r="416" spans="2:22" s="1" customFormat="1" ht="12" customHeight="1">
      <c r="C416" s="132"/>
      <c r="D416" s="132"/>
      <c r="E416" s="9" t="s">
        <v>1016</v>
      </c>
      <c r="J416" s="5"/>
      <c r="L416" s="133"/>
      <c r="M416" s="140"/>
      <c r="N416" s="140"/>
      <c r="O416" s="140"/>
      <c r="P416" s="140"/>
      <c r="Q416" s="140"/>
      <c r="R416" s="140"/>
      <c r="S416" s="140"/>
      <c r="T416" s="140"/>
      <c r="U416" s="140"/>
      <c r="V416" s="11"/>
    </row>
    <row r="417" spans="3:22" ht="12" customHeight="1">
      <c r="M417" s="139"/>
      <c r="N417" s="139"/>
      <c r="O417" s="139"/>
      <c r="P417" s="139"/>
      <c r="Q417" s="139"/>
      <c r="R417" s="139"/>
      <c r="S417" s="139"/>
      <c r="T417" s="139"/>
      <c r="U417" s="139"/>
      <c r="V417" s="11"/>
    </row>
    <row r="418" spans="3:22" ht="12" customHeight="1">
      <c r="C418" s="20" t="s">
        <v>92</v>
      </c>
      <c r="D418" s="20">
        <v>5907</v>
      </c>
      <c r="E418" s="3" t="s">
        <v>114</v>
      </c>
      <c r="F418" s="3">
        <v>2006</v>
      </c>
      <c r="G418" s="3">
        <v>1</v>
      </c>
      <c r="H418" s="3">
        <v>0</v>
      </c>
      <c r="I418" s="3" t="s">
        <v>52</v>
      </c>
      <c r="J418" s="131">
        <v>10</v>
      </c>
      <c r="K418" s="3">
        <f t="shared" ref="K418:K446" si="96">F418+J418</f>
        <v>2016</v>
      </c>
      <c r="L418" s="130">
        <f t="shared" ref="L418:L446" si="97">+K418+(G418/12)</f>
        <v>2016.0833333333333</v>
      </c>
      <c r="M418" s="139">
        <v>355945.21</v>
      </c>
      <c r="N418" s="139">
        <f t="shared" ref="N418:N446" si="98">M418-M418*H418</f>
        <v>355945.21</v>
      </c>
      <c r="O418" s="139">
        <f t="shared" ref="O418:O446" si="99">N418/J418/12</f>
        <v>2966.2100833333334</v>
      </c>
      <c r="P418" s="139">
        <f t="shared" ref="P418:P446" si="100">+O418*12</f>
        <v>35594.521000000001</v>
      </c>
      <c r="Q418" s="139">
        <f t="shared" ref="Q418:Q437" si="101">+IF(L418&lt;=$N$5,0,IF(K418&gt;$N$4,P418,(O418*G418)))</f>
        <v>0</v>
      </c>
      <c r="R418" s="139"/>
      <c r="S418" s="139">
        <f t="shared" ref="S418:S437" si="102">+IF(Q418=0,M418,IF($N$3-F418&lt;1,0,(($N$3-F418)*P418)))</f>
        <v>355945.21</v>
      </c>
      <c r="T418" s="139">
        <f t="shared" ref="T418:T437" si="103">+IF(Q418=0,S418,S418+Q418)</f>
        <v>355945.21</v>
      </c>
      <c r="U418" s="139">
        <f t="shared" ref="U418:U446" si="104">M418-T418</f>
        <v>0</v>
      </c>
      <c r="V418" s="11">
        <f t="shared" si="94"/>
        <v>0</v>
      </c>
    </row>
    <row r="419" spans="3:22" ht="12" customHeight="1">
      <c r="C419" s="20" t="s">
        <v>92</v>
      </c>
      <c r="D419" s="20">
        <f>2873-351</f>
        <v>2522</v>
      </c>
      <c r="E419" s="3" t="s">
        <v>112</v>
      </c>
      <c r="F419" s="3">
        <v>2006</v>
      </c>
      <c r="G419" s="3">
        <v>1</v>
      </c>
      <c r="H419" s="3">
        <v>0</v>
      </c>
      <c r="I419" s="3" t="s">
        <v>52</v>
      </c>
      <c r="J419" s="131">
        <v>10</v>
      </c>
      <c r="K419" s="3">
        <f t="shared" si="96"/>
        <v>2016</v>
      </c>
      <c r="L419" s="130">
        <f t="shared" si="97"/>
        <v>2016.0833333333333</v>
      </c>
      <c r="M419" s="139">
        <f>174333.25-21299</f>
        <v>153034.25</v>
      </c>
      <c r="N419" s="139">
        <f t="shared" si="98"/>
        <v>153034.25</v>
      </c>
      <c r="O419" s="139">
        <f t="shared" si="99"/>
        <v>1275.2854166666666</v>
      </c>
      <c r="P419" s="139">
        <f t="shared" si="100"/>
        <v>15303.424999999999</v>
      </c>
      <c r="Q419" s="139">
        <f t="shared" si="101"/>
        <v>0</v>
      </c>
      <c r="R419" s="139"/>
      <c r="S419" s="139">
        <f t="shared" si="102"/>
        <v>153034.25</v>
      </c>
      <c r="T419" s="139">
        <f t="shared" si="103"/>
        <v>153034.25</v>
      </c>
      <c r="U419" s="139">
        <f t="shared" si="104"/>
        <v>0</v>
      </c>
      <c r="V419" s="11">
        <f t="shared" si="94"/>
        <v>0</v>
      </c>
    </row>
    <row r="420" spans="3:22" ht="12" customHeight="1">
      <c r="C420" s="20" t="s">
        <v>92</v>
      </c>
      <c r="D420" s="20">
        <v>580</v>
      </c>
      <c r="E420" s="3" t="s">
        <v>112</v>
      </c>
      <c r="F420" s="3">
        <v>2006</v>
      </c>
      <c r="G420" s="3">
        <v>10</v>
      </c>
      <c r="H420" s="3">
        <v>0</v>
      </c>
      <c r="I420" s="3" t="s">
        <v>52</v>
      </c>
      <c r="J420" s="131">
        <v>10</v>
      </c>
      <c r="K420" s="3">
        <f t="shared" si="96"/>
        <v>2016</v>
      </c>
      <c r="L420" s="130">
        <f t="shared" si="97"/>
        <v>2016.8333333333333</v>
      </c>
      <c r="M420" s="139">
        <v>34359.040000000001</v>
      </c>
      <c r="N420" s="139">
        <f t="shared" si="98"/>
        <v>34359.040000000001</v>
      </c>
      <c r="O420" s="139">
        <f t="shared" si="99"/>
        <v>286.32533333333333</v>
      </c>
      <c r="P420" s="139">
        <f t="shared" si="100"/>
        <v>3435.904</v>
      </c>
      <c r="Q420" s="139">
        <f t="shared" si="101"/>
        <v>0</v>
      </c>
      <c r="R420" s="139"/>
      <c r="S420" s="139">
        <f t="shared" si="102"/>
        <v>34359.040000000001</v>
      </c>
      <c r="T420" s="139">
        <f t="shared" si="103"/>
        <v>34359.040000000001</v>
      </c>
      <c r="U420" s="139">
        <f t="shared" si="104"/>
        <v>0</v>
      </c>
      <c r="V420" s="11">
        <f t="shared" si="94"/>
        <v>0</v>
      </c>
    </row>
    <row r="421" spans="3:22" ht="12" customHeight="1">
      <c r="C421" s="20" t="s">
        <v>92</v>
      </c>
      <c r="D421" s="20">
        <v>300</v>
      </c>
      <c r="E421" s="3" t="s">
        <v>112</v>
      </c>
      <c r="F421" s="3">
        <v>2006</v>
      </c>
      <c r="G421" s="3">
        <v>11</v>
      </c>
      <c r="H421" s="3">
        <v>0</v>
      </c>
      <c r="I421" s="3" t="s">
        <v>52</v>
      </c>
      <c r="J421" s="131">
        <v>10</v>
      </c>
      <c r="K421" s="3">
        <f t="shared" si="96"/>
        <v>2016</v>
      </c>
      <c r="L421" s="130">
        <f t="shared" si="97"/>
        <v>2016.9166666666667</v>
      </c>
      <c r="M421" s="139">
        <v>18278.400000000001</v>
      </c>
      <c r="N421" s="139">
        <f t="shared" si="98"/>
        <v>18278.400000000001</v>
      </c>
      <c r="O421" s="139">
        <f t="shared" si="99"/>
        <v>152.32000000000002</v>
      </c>
      <c r="P421" s="139">
        <f t="shared" si="100"/>
        <v>1827.8400000000001</v>
      </c>
      <c r="Q421" s="139">
        <f t="shared" si="101"/>
        <v>0</v>
      </c>
      <c r="R421" s="139"/>
      <c r="S421" s="139">
        <f t="shared" si="102"/>
        <v>18278.400000000001</v>
      </c>
      <c r="T421" s="139">
        <f t="shared" si="103"/>
        <v>18278.400000000001</v>
      </c>
      <c r="U421" s="139">
        <f t="shared" si="104"/>
        <v>0</v>
      </c>
      <c r="V421" s="11">
        <f t="shared" si="94"/>
        <v>0</v>
      </c>
    </row>
    <row r="422" spans="3:22" ht="12" customHeight="1">
      <c r="C422" s="20">
        <v>173234</v>
      </c>
      <c r="D422" s="20">
        <f>182-16</f>
        <v>166</v>
      </c>
      <c r="E422" s="3" t="s">
        <v>112</v>
      </c>
      <c r="F422" s="3">
        <v>2006</v>
      </c>
      <c r="G422" s="3">
        <v>7</v>
      </c>
      <c r="H422" s="3">
        <v>0</v>
      </c>
      <c r="I422" s="3" t="s">
        <v>52</v>
      </c>
      <c r="J422" s="131">
        <v>10</v>
      </c>
      <c r="K422" s="3">
        <f t="shared" si="96"/>
        <v>2016</v>
      </c>
      <c r="L422" s="130">
        <f t="shared" si="97"/>
        <v>2016.5833333333333</v>
      </c>
      <c r="M422" s="139">
        <v>10909</v>
      </c>
      <c r="N422" s="139">
        <f t="shared" si="98"/>
        <v>10909</v>
      </c>
      <c r="O422" s="139">
        <f t="shared" si="99"/>
        <v>90.908333333333346</v>
      </c>
      <c r="P422" s="139">
        <f t="shared" si="100"/>
        <v>1090.9000000000001</v>
      </c>
      <c r="Q422" s="139">
        <f t="shared" si="101"/>
        <v>0</v>
      </c>
      <c r="R422" s="139"/>
      <c r="S422" s="139">
        <f t="shared" si="102"/>
        <v>10909</v>
      </c>
      <c r="T422" s="139">
        <f t="shared" si="103"/>
        <v>10909</v>
      </c>
      <c r="U422" s="139">
        <f t="shared" si="104"/>
        <v>0</v>
      </c>
      <c r="V422" s="11">
        <f t="shared" si="94"/>
        <v>0</v>
      </c>
    </row>
    <row r="423" spans="3:22" ht="12" customHeight="1">
      <c r="C423" s="20" t="s">
        <v>495</v>
      </c>
      <c r="D423" s="20">
        <v>255</v>
      </c>
      <c r="E423" s="3" t="s">
        <v>113</v>
      </c>
      <c r="F423" s="3">
        <v>2006</v>
      </c>
      <c r="G423" s="3">
        <v>7</v>
      </c>
      <c r="H423" s="3">
        <v>0</v>
      </c>
      <c r="I423" s="3" t="s">
        <v>52</v>
      </c>
      <c r="J423" s="131">
        <v>10</v>
      </c>
      <c r="K423" s="3">
        <f t="shared" si="96"/>
        <v>2016</v>
      </c>
      <c r="L423" s="130">
        <f t="shared" si="97"/>
        <v>2016.5833333333333</v>
      </c>
      <c r="M423" s="139">
        <v>14222</v>
      </c>
      <c r="N423" s="139">
        <f t="shared" si="98"/>
        <v>14222</v>
      </c>
      <c r="O423" s="139">
        <f t="shared" si="99"/>
        <v>118.51666666666667</v>
      </c>
      <c r="P423" s="139">
        <f t="shared" si="100"/>
        <v>1422.2</v>
      </c>
      <c r="Q423" s="139">
        <f t="shared" si="101"/>
        <v>0</v>
      </c>
      <c r="R423" s="139"/>
      <c r="S423" s="139">
        <f t="shared" si="102"/>
        <v>14222</v>
      </c>
      <c r="T423" s="139">
        <f t="shared" si="103"/>
        <v>14222</v>
      </c>
      <c r="U423" s="139">
        <f t="shared" si="104"/>
        <v>0</v>
      </c>
      <c r="V423" s="11">
        <f t="shared" si="94"/>
        <v>0</v>
      </c>
    </row>
    <row r="424" spans="3:22" ht="12" customHeight="1">
      <c r="C424" s="20">
        <v>173232</v>
      </c>
      <c r="D424" s="20">
        <v>588</v>
      </c>
      <c r="E424" s="3" t="s">
        <v>593</v>
      </c>
      <c r="F424" s="3">
        <v>2006</v>
      </c>
      <c r="G424" s="3">
        <v>7</v>
      </c>
      <c r="H424" s="3">
        <v>0</v>
      </c>
      <c r="I424" s="3" t="s">
        <v>52</v>
      </c>
      <c r="J424" s="131">
        <v>7</v>
      </c>
      <c r="K424" s="3">
        <f t="shared" si="96"/>
        <v>2013</v>
      </c>
      <c r="L424" s="130">
        <f t="shared" si="97"/>
        <v>2013.5833333333333</v>
      </c>
      <c r="M424" s="139">
        <v>35558.019999999997</v>
      </c>
      <c r="N424" s="139">
        <f t="shared" si="98"/>
        <v>35558.019999999997</v>
      </c>
      <c r="O424" s="139">
        <f t="shared" si="99"/>
        <v>423.3097619047619</v>
      </c>
      <c r="P424" s="139">
        <f t="shared" si="100"/>
        <v>5079.7171428571428</v>
      </c>
      <c r="Q424" s="139">
        <f t="shared" si="101"/>
        <v>0</v>
      </c>
      <c r="R424" s="139"/>
      <c r="S424" s="139">
        <f t="shared" si="102"/>
        <v>35558.019999999997</v>
      </c>
      <c r="T424" s="139">
        <f t="shared" si="103"/>
        <v>35558.019999999997</v>
      </c>
      <c r="U424" s="139">
        <f t="shared" si="104"/>
        <v>0</v>
      </c>
      <c r="V424" s="11">
        <f t="shared" si="94"/>
        <v>0</v>
      </c>
    </row>
    <row r="425" spans="3:22" ht="12" customHeight="1">
      <c r="C425" s="20">
        <v>173242</v>
      </c>
      <c r="D425" s="20">
        <v>486</v>
      </c>
      <c r="E425" s="3" t="s">
        <v>593</v>
      </c>
      <c r="F425" s="3">
        <v>2007</v>
      </c>
      <c r="G425" s="3">
        <v>6</v>
      </c>
      <c r="H425" s="3">
        <v>0</v>
      </c>
      <c r="I425" s="3" t="s">
        <v>52</v>
      </c>
      <c r="J425" s="131">
        <v>7</v>
      </c>
      <c r="K425" s="3">
        <f t="shared" si="96"/>
        <v>2014</v>
      </c>
      <c r="L425" s="130">
        <f t="shared" si="97"/>
        <v>2014.5</v>
      </c>
      <c r="M425" s="139">
        <v>26258.62</v>
      </c>
      <c r="N425" s="139">
        <f t="shared" si="98"/>
        <v>26258.62</v>
      </c>
      <c r="O425" s="139">
        <f t="shared" si="99"/>
        <v>312.60261904761904</v>
      </c>
      <c r="P425" s="139">
        <f t="shared" si="100"/>
        <v>3751.2314285714283</v>
      </c>
      <c r="Q425" s="139">
        <f t="shared" si="101"/>
        <v>0</v>
      </c>
      <c r="R425" s="139"/>
      <c r="S425" s="139">
        <f t="shared" si="102"/>
        <v>26258.62</v>
      </c>
      <c r="T425" s="139">
        <f t="shared" si="103"/>
        <v>26258.62</v>
      </c>
      <c r="U425" s="139">
        <f t="shared" si="104"/>
        <v>0</v>
      </c>
      <c r="V425" s="11">
        <f t="shared" si="94"/>
        <v>0</v>
      </c>
    </row>
    <row r="426" spans="3:22" ht="12" customHeight="1">
      <c r="C426" s="20">
        <v>173241</v>
      </c>
      <c r="D426" s="20">
        <v>486</v>
      </c>
      <c r="E426" s="3" t="s">
        <v>593</v>
      </c>
      <c r="F426" s="3">
        <v>2007</v>
      </c>
      <c r="G426" s="3">
        <v>6</v>
      </c>
      <c r="H426" s="3">
        <v>0</v>
      </c>
      <c r="I426" s="3" t="s">
        <v>52</v>
      </c>
      <c r="J426" s="131">
        <v>7</v>
      </c>
      <c r="K426" s="3">
        <f t="shared" si="96"/>
        <v>2014</v>
      </c>
      <c r="L426" s="130">
        <f t="shared" si="97"/>
        <v>2014.5</v>
      </c>
      <c r="M426" s="139">
        <v>26258.62</v>
      </c>
      <c r="N426" s="139">
        <f t="shared" si="98"/>
        <v>26258.62</v>
      </c>
      <c r="O426" s="139">
        <f t="shared" si="99"/>
        <v>312.60261904761904</v>
      </c>
      <c r="P426" s="139">
        <f t="shared" si="100"/>
        <v>3751.2314285714283</v>
      </c>
      <c r="Q426" s="139">
        <f t="shared" si="101"/>
        <v>0</v>
      </c>
      <c r="R426" s="139"/>
      <c r="S426" s="139">
        <f t="shared" si="102"/>
        <v>26258.62</v>
      </c>
      <c r="T426" s="139">
        <f t="shared" si="103"/>
        <v>26258.62</v>
      </c>
      <c r="U426" s="139">
        <f t="shared" si="104"/>
        <v>0</v>
      </c>
      <c r="V426" s="11">
        <f t="shared" si="94"/>
        <v>0</v>
      </c>
    </row>
    <row r="427" spans="3:22" ht="12" customHeight="1">
      <c r="C427" s="20" t="s">
        <v>92</v>
      </c>
      <c r="D427" s="20">
        <v>588</v>
      </c>
      <c r="E427" s="3" t="s">
        <v>112</v>
      </c>
      <c r="F427" s="3">
        <v>2007</v>
      </c>
      <c r="G427" s="3">
        <v>2</v>
      </c>
      <c r="H427" s="3">
        <v>0</v>
      </c>
      <c r="I427" s="3" t="s">
        <v>52</v>
      </c>
      <c r="J427" s="131">
        <v>10</v>
      </c>
      <c r="K427" s="3">
        <f t="shared" si="96"/>
        <v>2017</v>
      </c>
      <c r="L427" s="130">
        <f t="shared" si="97"/>
        <v>2017.1666666666667</v>
      </c>
      <c r="M427" s="139">
        <v>35020.54</v>
      </c>
      <c r="N427" s="139">
        <f t="shared" si="98"/>
        <v>35020.54</v>
      </c>
      <c r="O427" s="139">
        <f t="shared" si="99"/>
        <v>291.83783333333332</v>
      </c>
      <c r="P427" s="139">
        <f t="shared" si="100"/>
        <v>3502.0540000000001</v>
      </c>
      <c r="Q427" s="139">
        <f t="shared" si="101"/>
        <v>0</v>
      </c>
      <c r="R427" s="139"/>
      <c r="S427" s="139">
        <f t="shared" si="102"/>
        <v>35020.54</v>
      </c>
      <c r="T427" s="139">
        <f t="shared" si="103"/>
        <v>35020.54</v>
      </c>
      <c r="U427" s="139">
        <f t="shared" si="104"/>
        <v>0</v>
      </c>
      <c r="V427" s="11">
        <f t="shared" si="94"/>
        <v>0</v>
      </c>
    </row>
    <row r="428" spans="3:22" ht="12" customHeight="1">
      <c r="C428" s="20" t="s">
        <v>92</v>
      </c>
      <c r="D428" s="20">
        <v>588</v>
      </c>
      <c r="E428" s="3" t="s">
        <v>112</v>
      </c>
      <c r="F428" s="3">
        <v>2007</v>
      </c>
      <c r="G428" s="3">
        <v>3</v>
      </c>
      <c r="H428" s="3">
        <v>0</v>
      </c>
      <c r="I428" s="3" t="s">
        <v>52</v>
      </c>
      <c r="J428" s="131">
        <v>10</v>
      </c>
      <c r="K428" s="3">
        <f t="shared" si="96"/>
        <v>2017</v>
      </c>
      <c r="L428" s="130">
        <f t="shared" si="97"/>
        <v>2017.25</v>
      </c>
      <c r="M428" s="139">
        <f>33421.18+1599.36</f>
        <v>35020.54</v>
      </c>
      <c r="N428" s="139">
        <f t="shared" si="98"/>
        <v>35020.54</v>
      </c>
      <c r="O428" s="139">
        <f t="shared" si="99"/>
        <v>291.83783333333332</v>
      </c>
      <c r="P428" s="139">
        <f t="shared" si="100"/>
        <v>3502.0540000000001</v>
      </c>
      <c r="Q428" s="139">
        <f t="shared" si="101"/>
        <v>0</v>
      </c>
      <c r="R428" s="139"/>
      <c r="S428" s="139">
        <f t="shared" si="102"/>
        <v>35020.54</v>
      </c>
      <c r="T428" s="139">
        <f t="shared" si="103"/>
        <v>35020.54</v>
      </c>
      <c r="U428" s="139">
        <f t="shared" si="104"/>
        <v>0</v>
      </c>
      <c r="V428" s="11">
        <f t="shared" si="94"/>
        <v>0</v>
      </c>
    </row>
    <row r="429" spans="3:22" ht="12" customHeight="1">
      <c r="C429" s="20" t="s">
        <v>92</v>
      </c>
      <c r="D429" s="20">
        <v>486</v>
      </c>
      <c r="E429" s="3" t="s">
        <v>112</v>
      </c>
      <c r="F429" s="3">
        <v>2008</v>
      </c>
      <c r="G429" s="3">
        <v>3</v>
      </c>
      <c r="H429" s="3">
        <v>0</v>
      </c>
      <c r="I429" s="3" t="s">
        <v>52</v>
      </c>
      <c r="J429" s="131">
        <v>10</v>
      </c>
      <c r="K429" s="3">
        <f t="shared" si="96"/>
        <v>2018</v>
      </c>
      <c r="L429" s="130">
        <f t="shared" si="97"/>
        <v>2018.25</v>
      </c>
      <c r="M429" s="139">
        <v>29457.67</v>
      </c>
      <c r="N429" s="139">
        <f t="shared" si="98"/>
        <v>29457.67</v>
      </c>
      <c r="O429" s="139">
        <f t="shared" si="99"/>
        <v>245.48058333333333</v>
      </c>
      <c r="P429" s="139">
        <f t="shared" si="100"/>
        <v>2945.7669999999998</v>
      </c>
      <c r="Q429" s="139">
        <f t="shared" si="101"/>
        <v>0</v>
      </c>
      <c r="R429" s="139"/>
      <c r="S429" s="139">
        <f t="shared" si="102"/>
        <v>29457.67</v>
      </c>
      <c r="T429" s="139">
        <f t="shared" si="103"/>
        <v>29457.67</v>
      </c>
      <c r="U429" s="139">
        <f t="shared" si="104"/>
        <v>0</v>
      </c>
      <c r="V429" s="11">
        <f t="shared" si="94"/>
        <v>0</v>
      </c>
    </row>
    <row r="430" spans="3:22" ht="12" customHeight="1">
      <c r="C430" s="20" t="s">
        <v>92</v>
      </c>
      <c r="D430" s="20">
        <v>1248</v>
      </c>
      <c r="E430" s="3" t="s">
        <v>112</v>
      </c>
      <c r="F430" s="3">
        <v>2008</v>
      </c>
      <c r="G430" s="3">
        <v>9</v>
      </c>
      <c r="H430" s="3">
        <v>0</v>
      </c>
      <c r="I430" s="3" t="s">
        <v>52</v>
      </c>
      <c r="J430" s="131">
        <v>10</v>
      </c>
      <c r="K430" s="3">
        <f t="shared" si="96"/>
        <v>2018</v>
      </c>
      <c r="L430" s="130">
        <f t="shared" si="97"/>
        <v>2018.75</v>
      </c>
      <c r="M430" s="139">
        <f>39442.87+39442.87</f>
        <v>78885.740000000005</v>
      </c>
      <c r="N430" s="139">
        <f t="shared" si="98"/>
        <v>78885.740000000005</v>
      </c>
      <c r="O430" s="139">
        <f t="shared" si="99"/>
        <v>657.38116666666667</v>
      </c>
      <c r="P430" s="139">
        <f t="shared" si="100"/>
        <v>7888.5740000000005</v>
      </c>
      <c r="Q430" s="139">
        <f t="shared" si="101"/>
        <v>0</v>
      </c>
      <c r="R430" s="139"/>
      <c r="S430" s="139">
        <f t="shared" si="102"/>
        <v>78885.740000000005</v>
      </c>
      <c r="T430" s="139">
        <f t="shared" si="103"/>
        <v>78885.740000000005</v>
      </c>
      <c r="U430" s="139">
        <f t="shared" si="104"/>
        <v>0</v>
      </c>
      <c r="V430" s="11">
        <f t="shared" si="94"/>
        <v>0</v>
      </c>
    </row>
    <row r="431" spans="3:22" ht="12" customHeight="1">
      <c r="C431" s="20" t="s">
        <v>92</v>
      </c>
      <c r="D431" s="20">
        <v>624</v>
      </c>
      <c r="E431" s="3" t="s">
        <v>112</v>
      </c>
      <c r="F431" s="3">
        <v>2009</v>
      </c>
      <c r="G431" s="3">
        <v>9</v>
      </c>
      <c r="H431" s="3">
        <v>0</v>
      </c>
      <c r="I431" s="3" t="s">
        <v>52</v>
      </c>
      <c r="J431" s="131">
        <v>10</v>
      </c>
      <c r="K431" s="3">
        <f t="shared" si="96"/>
        <v>2019</v>
      </c>
      <c r="L431" s="130">
        <f t="shared" si="97"/>
        <v>2019.75</v>
      </c>
      <c r="M431" s="139">
        <v>30038.7</v>
      </c>
      <c r="N431" s="139">
        <f t="shared" si="98"/>
        <v>30038.7</v>
      </c>
      <c r="O431" s="139">
        <f t="shared" si="99"/>
        <v>250.32249999999999</v>
      </c>
      <c r="P431" s="139">
        <f t="shared" si="100"/>
        <v>3003.87</v>
      </c>
      <c r="Q431" s="139">
        <f t="shared" si="101"/>
        <v>0</v>
      </c>
      <c r="R431" s="139"/>
      <c r="S431" s="139">
        <f t="shared" si="102"/>
        <v>30038.7</v>
      </c>
      <c r="T431" s="139">
        <f t="shared" si="103"/>
        <v>30038.7</v>
      </c>
      <c r="U431" s="139">
        <f t="shared" si="104"/>
        <v>0</v>
      </c>
      <c r="V431" s="11">
        <f t="shared" si="94"/>
        <v>0</v>
      </c>
    </row>
    <row r="432" spans="3:22" ht="12" customHeight="1">
      <c r="C432" s="20" t="s">
        <v>92</v>
      </c>
      <c r="D432" s="20">
        <v>624</v>
      </c>
      <c r="E432" s="3" t="s">
        <v>112</v>
      </c>
      <c r="F432" s="3">
        <v>2009</v>
      </c>
      <c r="G432" s="3">
        <v>11</v>
      </c>
      <c r="H432" s="3">
        <v>0</v>
      </c>
      <c r="I432" s="3" t="s">
        <v>52</v>
      </c>
      <c r="J432" s="131">
        <v>10</v>
      </c>
      <c r="K432" s="3">
        <f t="shared" si="96"/>
        <v>2019</v>
      </c>
      <c r="L432" s="130">
        <f t="shared" si="97"/>
        <v>2019.9166666666667</v>
      </c>
      <c r="M432" s="139">
        <v>30038.7</v>
      </c>
      <c r="N432" s="139">
        <f t="shared" si="98"/>
        <v>30038.7</v>
      </c>
      <c r="O432" s="139">
        <f t="shared" si="99"/>
        <v>250.32249999999999</v>
      </c>
      <c r="P432" s="139">
        <f t="shared" si="100"/>
        <v>3003.87</v>
      </c>
      <c r="Q432" s="139">
        <f t="shared" si="101"/>
        <v>0</v>
      </c>
      <c r="R432" s="139"/>
      <c r="S432" s="139">
        <f t="shared" si="102"/>
        <v>30038.7</v>
      </c>
      <c r="T432" s="139">
        <f t="shared" si="103"/>
        <v>30038.7</v>
      </c>
      <c r="U432" s="139">
        <f t="shared" si="104"/>
        <v>0</v>
      </c>
      <c r="V432" s="11">
        <f t="shared" si="94"/>
        <v>0</v>
      </c>
    </row>
    <row r="433" spans="3:22" ht="12" customHeight="1">
      <c r="C433" s="20">
        <v>173270</v>
      </c>
      <c r="D433" s="20">
        <v>486</v>
      </c>
      <c r="E433" s="3" t="s">
        <v>112</v>
      </c>
      <c r="F433" s="3">
        <v>2009</v>
      </c>
      <c r="G433" s="3">
        <v>6</v>
      </c>
      <c r="H433" s="3">
        <v>0</v>
      </c>
      <c r="I433" s="3" t="s">
        <v>52</v>
      </c>
      <c r="J433" s="131">
        <v>10</v>
      </c>
      <c r="K433" s="3">
        <f t="shared" si="96"/>
        <v>2019</v>
      </c>
      <c r="L433" s="130">
        <f t="shared" si="97"/>
        <v>2019.5</v>
      </c>
      <c r="M433" s="139">
        <v>23659.56</v>
      </c>
      <c r="N433" s="139">
        <f t="shared" si="98"/>
        <v>23659.56</v>
      </c>
      <c r="O433" s="139">
        <f t="shared" si="99"/>
        <v>197.16300000000001</v>
      </c>
      <c r="P433" s="139">
        <f t="shared" si="100"/>
        <v>2365.9560000000001</v>
      </c>
      <c r="Q433" s="139">
        <f t="shared" si="101"/>
        <v>0</v>
      </c>
      <c r="R433" s="139"/>
      <c r="S433" s="139">
        <f t="shared" si="102"/>
        <v>23659.56</v>
      </c>
      <c r="T433" s="139">
        <f t="shared" si="103"/>
        <v>23659.56</v>
      </c>
      <c r="U433" s="139">
        <f t="shared" si="104"/>
        <v>0</v>
      </c>
      <c r="V433" s="11">
        <f t="shared" si="94"/>
        <v>0</v>
      </c>
    </row>
    <row r="434" spans="3:22" ht="12" customHeight="1">
      <c r="C434" s="20" t="s">
        <v>92</v>
      </c>
      <c r="D434" s="20">
        <v>486</v>
      </c>
      <c r="E434" s="3" t="s">
        <v>189</v>
      </c>
      <c r="F434" s="3">
        <v>2010</v>
      </c>
      <c r="G434" s="3">
        <v>5</v>
      </c>
      <c r="H434" s="3">
        <v>0</v>
      </c>
      <c r="I434" s="3" t="s">
        <v>52</v>
      </c>
      <c r="J434" s="131">
        <v>10</v>
      </c>
      <c r="K434" s="3">
        <f t="shared" si="96"/>
        <v>2020</v>
      </c>
      <c r="L434" s="130">
        <f t="shared" si="97"/>
        <v>2020.4166666666667</v>
      </c>
      <c r="M434" s="139">
        <v>25141.599999999999</v>
      </c>
      <c r="N434" s="139">
        <f t="shared" si="98"/>
        <v>25141.599999999999</v>
      </c>
      <c r="O434" s="139">
        <f t="shared" si="99"/>
        <v>209.51333333333332</v>
      </c>
      <c r="P434" s="139">
        <f t="shared" si="100"/>
        <v>2514.16</v>
      </c>
      <c r="Q434" s="139">
        <f t="shared" si="101"/>
        <v>0</v>
      </c>
      <c r="R434" s="139"/>
      <c r="S434" s="139">
        <f t="shared" si="102"/>
        <v>25141.599999999999</v>
      </c>
      <c r="T434" s="139">
        <f t="shared" si="103"/>
        <v>25141.599999999999</v>
      </c>
      <c r="U434" s="139">
        <f t="shared" si="104"/>
        <v>0</v>
      </c>
      <c r="V434" s="11">
        <f t="shared" si="94"/>
        <v>0</v>
      </c>
    </row>
    <row r="435" spans="3:22" ht="12" customHeight="1">
      <c r="C435" s="20" t="s">
        <v>500</v>
      </c>
      <c r="D435" s="20">
        <f>486+486</f>
        <v>972</v>
      </c>
      <c r="E435" s="3" t="s">
        <v>112</v>
      </c>
      <c r="F435" s="3">
        <v>2010</v>
      </c>
      <c r="G435" s="3">
        <v>11</v>
      </c>
      <c r="H435" s="3">
        <v>0</v>
      </c>
      <c r="I435" s="3" t="s">
        <v>52</v>
      </c>
      <c r="J435" s="131">
        <v>10</v>
      </c>
      <c r="K435" s="3">
        <f t="shared" si="96"/>
        <v>2020</v>
      </c>
      <c r="L435" s="130">
        <f t="shared" si="97"/>
        <v>2020.9166666666667</v>
      </c>
      <c r="M435" s="139">
        <f>23340.85+23340.85</f>
        <v>46681.7</v>
      </c>
      <c r="N435" s="139">
        <f t="shared" si="98"/>
        <v>46681.7</v>
      </c>
      <c r="O435" s="139">
        <f t="shared" si="99"/>
        <v>389.01416666666665</v>
      </c>
      <c r="P435" s="139">
        <f t="shared" si="100"/>
        <v>4668.17</v>
      </c>
      <c r="Q435" s="139">
        <f t="shared" si="101"/>
        <v>0</v>
      </c>
      <c r="R435" s="139"/>
      <c r="S435" s="139">
        <f t="shared" si="102"/>
        <v>46681.7</v>
      </c>
      <c r="T435" s="139">
        <f t="shared" si="103"/>
        <v>46681.7</v>
      </c>
      <c r="U435" s="139">
        <f t="shared" si="104"/>
        <v>0</v>
      </c>
      <c r="V435" s="11">
        <f t="shared" si="94"/>
        <v>0</v>
      </c>
    </row>
    <row r="436" spans="3:22" ht="12" customHeight="1">
      <c r="C436" s="20" t="s">
        <v>92</v>
      </c>
      <c r="D436" s="20">
        <v>243</v>
      </c>
      <c r="E436" s="3" t="s">
        <v>190</v>
      </c>
      <c r="F436" s="3">
        <v>2011</v>
      </c>
      <c r="G436" s="3">
        <v>7</v>
      </c>
      <c r="H436" s="3">
        <v>0</v>
      </c>
      <c r="I436" s="3" t="s">
        <v>52</v>
      </c>
      <c r="J436" s="131">
        <v>10</v>
      </c>
      <c r="K436" s="3">
        <f t="shared" si="96"/>
        <v>2021</v>
      </c>
      <c r="L436" s="130">
        <f t="shared" si="97"/>
        <v>2021.5833333333333</v>
      </c>
      <c r="M436" s="139">
        <v>13341.05</v>
      </c>
      <c r="N436" s="139">
        <f t="shared" si="98"/>
        <v>13341.05</v>
      </c>
      <c r="O436" s="139">
        <f t="shared" si="99"/>
        <v>111.17541666666666</v>
      </c>
      <c r="P436" s="139">
        <f t="shared" si="100"/>
        <v>1334.105</v>
      </c>
      <c r="Q436" s="139">
        <f t="shared" si="101"/>
        <v>0</v>
      </c>
      <c r="R436" s="139"/>
      <c r="S436" s="139">
        <f t="shared" si="102"/>
        <v>13341.05</v>
      </c>
      <c r="T436" s="139">
        <f t="shared" si="103"/>
        <v>13341.05</v>
      </c>
      <c r="U436" s="139">
        <f t="shared" si="104"/>
        <v>0</v>
      </c>
      <c r="V436" s="11">
        <f t="shared" si="94"/>
        <v>0</v>
      </c>
    </row>
    <row r="437" spans="3:22" ht="12" customHeight="1">
      <c r="C437" s="20">
        <v>173283</v>
      </c>
      <c r="D437" s="20">
        <v>624</v>
      </c>
      <c r="E437" s="3" t="s">
        <v>112</v>
      </c>
      <c r="F437" s="3">
        <v>2011</v>
      </c>
      <c r="G437" s="3">
        <v>4</v>
      </c>
      <c r="H437" s="3">
        <v>0</v>
      </c>
      <c r="I437" s="3" t="s">
        <v>52</v>
      </c>
      <c r="J437" s="131">
        <v>10</v>
      </c>
      <c r="K437" s="3">
        <f t="shared" si="96"/>
        <v>2021</v>
      </c>
      <c r="L437" s="130">
        <f t="shared" si="97"/>
        <v>2021.3333333333333</v>
      </c>
      <c r="M437" s="139">
        <v>32802.68</v>
      </c>
      <c r="N437" s="139">
        <f t="shared" si="98"/>
        <v>32802.68</v>
      </c>
      <c r="O437" s="139">
        <f t="shared" si="99"/>
        <v>273.35566666666665</v>
      </c>
      <c r="P437" s="139">
        <f t="shared" si="100"/>
        <v>3280.268</v>
      </c>
      <c r="Q437" s="139">
        <f t="shared" si="101"/>
        <v>0</v>
      </c>
      <c r="R437" s="139"/>
      <c r="S437" s="139">
        <f t="shared" si="102"/>
        <v>32802.68</v>
      </c>
      <c r="T437" s="139">
        <f t="shared" si="103"/>
        <v>32802.68</v>
      </c>
      <c r="U437" s="139">
        <f t="shared" si="104"/>
        <v>0</v>
      </c>
      <c r="V437" s="11">
        <f t="shared" si="94"/>
        <v>0</v>
      </c>
    </row>
    <row r="438" spans="3:22" ht="12" customHeight="1">
      <c r="C438" s="20" t="s">
        <v>92</v>
      </c>
      <c r="D438" s="20">
        <v>486</v>
      </c>
      <c r="E438" s="3" t="s">
        <v>190</v>
      </c>
      <c r="F438" s="3">
        <v>2012</v>
      </c>
      <c r="G438" s="3">
        <v>7</v>
      </c>
      <c r="H438" s="3">
        <v>0</v>
      </c>
      <c r="I438" s="3" t="s">
        <v>52</v>
      </c>
      <c r="J438" s="131">
        <v>10</v>
      </c>
      <c r="K438" s="3">
        <f t="shared" si="96"/>
        <v>2022</v>
      </c>
      <c r="L438" s="130">
        <f t="shared" si="97"/>
        <v>2022.5833333333333</v>
      </c>
      <c r="M438" s="139">
        <v>25365.119999999999</v>
      </c>
      <c r="N438" s="139">
        <f t="shared" si="98"/>
        <v>25365.119999999999</v>
      </c>
      <c r="O438" s="139">
        <f t="shared" si="99"/>
        <v>211.37599999999998</v>
      </c>
      <c r="P438" s="139">
        <f t="shared" si="100"/>
        <v>2536.5119999999997</v>
      </c>
      <c r="Q438" s="342">
        <f t="shared" ref="Q438:Q446" si="105">IF(L438&lt;=$N$6,0,P438)</f>
        <v>0</v>
      </c>
      <c r="R438" s="341"/>
      <c r="S438" s="342">
        <f t="shared" ref="S438:S446" si="106">+IF($L438&lt;=$N$7,$M438,IF(($F438+($G438/12))&gt;=$N$7,0,((($N438-((($L438-$N$7)*12)*$O438))))))</f>
        <v>25365.119999999999</v>
      </c>
      <c r="T438" s="139">
        <f t="shared" ref="T438:T446" si="107">IF(L438&lt;=$N$6,M438,Q438+S438)</f>
        <v>25365.119999999999</v>
      </c>
      <c r="U438" s="139">
        <f t="shared" si="104"/>
        <v>0</v>
      </c>
      <c r="V438" s="11">
        <f t="shared" si="94"/>
        <v>0</v>
      </c>
    </row>
    <row r="439" spans="3:22" ht="12" customHeight="1">
      <c r="C439" s="20">
        <v>173289</v>
      </c>
      <c r="D439" s="20">
        <v>486</v>
      </c>
      <c r="E439" s="3" t="s">
        <v>112</v>
      </c>
      <c r="F439" s="3">
        <v>2012</v>
      </c>
      <c r="G439" s="3">
        <v>9</v>
      </c>
      <c r="H439" s="3">
        <v>0</v>
      </c>
      <c r="I439" s="3" t="s">
        <v>52</v>
      </c>
      <c r="J439" s="131">
        <v>10</v>
      </c>
      <c r="K439" s="3">
        <f t="shared" si="96"/>
        <v>2022</v>
      </c>
      <c r="L439" s="130">
        <f t="shared" si="97"/>
        <v>2022.75</v>
      </c>
      <c r="M439" s="139">
        <v>25116.76</v>
      </c>
      <c r="N439" s="139">
        <f t="shared" si="98"/>
        <v>25116.76</v>
      </c>
      <c r="O439" s="139">
        <f t="shared" si="99"/>
        <v>209.30633333333333</v>
      </c>
      <c r="P439" s="139">
        <f t="shared" si="100"/>
        <v>2511.6759999999999</v>
      </c>
      <c r="Q439" s="342">
        <f t="shared" si="105"/>
        <v>0</v>
      </c>
      <c r="R439" s="341"/>
      <c r="S439" s="342">
        <f t="shared" si="106"/>
        <v>25116.76</v>
      </c>
      <c r="T439" s="139">
        <f t="shared" si="107"/>
        <v>25116.76</v>
      </c>
      <c r="U439" s="139">
        <f t="shared" si="104"/>
        <v>0</v>
      </c>
      <c r="V439" s="11">
        <f t="shared" si="94"/>
        <v>0</v>
      </c>
    </row>
    <row r="440" spans="3:22" ht="12" customHeight="1">
      <c r="C440" s="20" t="s">
        <v>92</v>
      </c>
      <c r="D440" s="20">
        <v>312</v>
      </c>
      <c r="E440" s="3" t="s">
        <v>294</v>
      </c>
      <c r="F440" s="3">
        <v>2013</v>
      </c>
      <c r="G440" s="3">
        <v>10</v>
      </c>
      <c r="H440" s="3">
        <v>0</v>
      </c>
      <c r="I440" s="3" t="s">
        <v>52</v>
      </c>
      <c r="J440" s="131">
        <v>10</v>
      </c>
      <c r="K440" s="3">
        <f t="shared" si="96"/>
        <v>2023</v>
      </c>
      <c r="L440" s="130">
        <f t="shared" si="97"/>
        <v>2023.8333333333333</v>
      </c>
      <c r="M440" s="139">
        <v>17116.18</v>
      </c>
      <c r="N440" s="139">
        <f t="shared" si="98"/>
        <v>17116.18</v>
      </c>
      <c r="O440" s="139">
        <f t="shared" si="99"/>
        <v>142.63483333333332</v>
      </c>
      <c r="P440" s="139">
        <f t="shared" si="100"/>
        <v>1711.6179999999999</v>
      </c>
      <c r="Q440" s="342">
        <f t="shared" si="105"/>
        <v>0</v>
      </c>
      <c r="R440" s="341"/>
      <c r="S440" s="342">
        <f t="shared" si="106"/>
        <v>17116.18</v>
      </c>
      <c r="T440" s="139">
        <f t="shared" si="107"/>
        <v>17116.18</v>
      </c>
      <c r="U440" s="139">
        <f t="shared" si="104"/>
        <v>0</v>
      </c>
      <c r="V440" s="11">
        <f t="shared" si="94"/>
        <v>0</v>
      </c>
    </row>
    <row r="441" spans="3:22" ht="12" customHeight="1">
      <c r="C441" s="20">
        <v>173297</v>
      </c>
      <c r="D441" s="20">
        <v>486</v>
      </c>
      <c r="E441" s="3" t="s">
        <v>112</v>
      </c>
      <c r="F441" s="3">
        <v>2013</v>
      </c>
      <c r="G441" s="3">
        <v>8</v>
      </c>
      <c r="H441" s="3">
        <v>0</v>
      </c>
      <c r="I441" s="3" t="s">
        <v>52</v>
      </c>
      <c r="J441" s="131">
        <v>10</v>
      </c>
      <c r="K441" s="3">
        <f t="shared" si="96"/>
        <v>2023</v>
      </c>
      <c r="L441" s="130">
        <f t="shared" si="97"/>
        <v>2023.6666666666667</v>
      </c>
      <c r="M441" s="139">
        <v>26316.799999999999</v>
      </c>
      <c r="N441" s="139">
        <f t="shared" si="98"/>
        <v>26316.799999999999</v>
      </c>
      <c r="O441" s="139">
        <f t="shared" si="99"/>
        <v>219.30666666666664</v>
      </c>
      <c r="P441" s="139">
        <f t="shared" si="100"/>
        <v>2631.68</v>
      </c>
      <c r="Q441" s="342">
        <f t="shared" si="105"/>
        <v>0</v>
      </c>
      <c r="R441" s="341"/>
      <c r="S441" s="342">
        <f t="shared" si="106"/>
        <v>26316.799999999999</v>
      </c>
      <c r="T441" s="139">
        <f t="shared" si="107"/>
        <v>26316.799999999999</v>
      </c>
      <c r="U441" s="139">
        <f t="shared" si="104"/>
        <v>0</v>
      </c>
      <c r="V441" s="11">
        <f t="shared" si="94"/>
        <v>0</v>
      </c>
    </row>
    <row r="442" spans="3:22" ht="12" customHeight="1">
      <c r="C442" s="20">
        <v>111626</v>
      </c>
      <c r="D442" s="20">
        <v>486</v>
      </c>
      <c r="E442" s="3" t="s">
        <v>294</v>
      </c>
      <c r="F442" s="3">
        <v>2014</v>
      </c>
      <c r="G442" s="3">
        <v>1</v>
      </c>
      <c r="H442" s="3">
        <v>0</v>
      </c>
      <c r="I442" s="3" t="s">
        <v>52</v>
      </c>
      <c r="J442" s="131">
        <v>10</v>
      </c>
      <c r="K442" s="3">
        <f t="shared" si="96"/>
        <v>2024</v>
      </c>
      <c r="L442" s="130">
        <f t="shared" si="97"/>
        <v>2024.0833333333333</v>
      </c>
      <c r="M442" s="139">
        <v>27313.39</v>
      </c>
      <c r="N442" s="139">
        <f t="shared" si="98"/>
        <v>27313.39</v>
      </c>
      <c r="O442" s="139">
        <f t="shared" si="99"/>
        <v>227.61158333333333</v>
      </c>
      <c r="P442" s="139">
        <f t="shared" si="100"/>
        <v>2731.3389999999999</v>
      </c>
      <c r="Q442" s="342">
        <f t="shared" si="105"/>
        <v>0</v>
      </c>
      <c r="R442" s="341"/>
      <c r="S442" s="342">
        <f t="shared" si="106"/>
        <v>27313.39</v>
      </c>
      <c r="T442" s="139">
        <f t="shared" si="107"/>
        <v>27313.39</v>
      </c>
      <c r="U442" s="139">
        <f t="shared" si="104"/>
        <v>0</v>
      </c>
      <c r="V442" s="11">
        <f t="shared" si="94"/>
        <v>0</v>
      </c>
    </row>
    <row r="443" spans="3:22" ht="12" customHeight="1">
      <c r="C443" s="20">
        <v>116095</v>
      </c>
      <c r="D443" s="20">
        <v>324</v>
      </c>
      <c r="E443" s="3" t="s">
        <v>294</v>
      </c>
      <c r="F443" s="3">
        <v>2014</v>
      </c>
      <c r="G443" s="3">
        <v>9</v>
      </c>
      <c r="H443" s="3">
        <v>0</v>
      </c>
      <c r="I443" s="3" t="s">
        <v>52</v>
      </c>
      <c r="J443" s="131">
        <v>10</v>
      </c>
      <c r="K443" s="3">
        <f t="shared" si="96"/>
        <v>2024</v>
      </c>
      <c r="L443" s="130">
        <f t="shared" si="97"/>
        <v>2024.75</v>
      </c>
      <c r="M443" s="139">
        <v>37546.959999999999</v>
      </c>
      <c r="N443" s="139">
        <f t="shared" si="98"/>
        <v>37546.959999999999</v>
      </c>
      <c r="O443" s="139">
        <f t="shared" si="99"/>
        <v>312.89133333333331</v>
      </c>
      <c r="P443" s="139">
        <f t="shared" si="100"/>
        <v>3754.6959999999999</v>
      </c>
      <c r="Q443" s="342">
        <f t="shared" si="105"/>
        <v>0</v>
      </c>
      <c r="R443" s="341"/>
      <c r="S443" s="342">
        <f t="shared" si="106"/>
        <v>35982.50333333305</v>
      </c>
      <c r="T443" s="139">
        <f t="shared" si="107"/>
        <v>37546.959999999999</v>
      </c>
      <c r="U443" s="139">
        <f t="shared" si="104"/>
        <v>0</v>
      </c>
      <c r="V443" s="11">
        <f t="shared" si="94"/>
        <v>0</v>
      </c>
    </row>
    <row r="444" spans="3:22" ht="12" customHeight="1">
      <c r="C444" s="20">
        <v>173301</v>
      </c>
      <c r="D444" s="20">
        <v>243</v>
      </c>
      <c r="E444" s="3" t="s">
        <v>112</v>
      </c>
      <c r="F444" s="3">
        <v>2014</v>
      </c>
      <c r="G444" s="3">
        <v>4</v>
      </c>
      <c r="H444" s="3">
        <v>0</v>
      </c>
      <c r="I444" s="3" t="s">
        <v>52</v>
      </c>
      <c r="J444" s="131">
        <v>10</v>
      </c>
      <c r="K444" s="3">
        <f t="shared" si="96"/>
        <v>2024</v>
      </c>
      <c r="L444" s="130">
        <f t="shared" si="97"/>
        <v>2024.3333333333333</v>
      </c>
      <c r="M444" s="139">
        <v>14367.99</v>
      </c>
      <c r="N444" s="139">
        <f t="shared" si="98"/>
        <v>14367.99</v>
      </c>
      <c r="O444" s="139">
        <f t="shared" si="99"/>
        <v>119.73325</v>
      </c>
      <c r="P444" s="139">
        <f t="shared" si="100"/>
        <v>1436.799</v>
      </c>
      <c r="Q444" s="342">
        <f t="shared" si="105"/>
        <v>0</v>
      </c>
      <c r="R444" s="341"/>
      <c r="S444" s="342">
        <f t="shared" si="106"/>
        <v>14367.99</v>
      </c>
      <c r="T444" s="139">
        <f t="shared" si="107"/>
        <v>14367.99</v>
      </c>
      <c r="U444" s="139">
        <f t="shared" si="104"/>
        <v>0</v>
      </c>
      <c r="V444" s="11">
        <f t="shared" si="94"/>
        <v>0</v>
      </c>
    </row>
    <row r="445" spans="3:22" ht="12" customHeight="1">
      <c r="C445" s="20">
        <v>122194</v>
      </c>
      <c r="D445" s="20">
        <v>624</v>
      </c>
      <c r="E445" s="3" t="s">
        <v>294</v>
      </c>
      <c r="F445" s="3">
        <v>2015</v>
      </c>
      <c r="G445" s="3">
        <v>2</v>
      </c>
      <c r="H445" s="3">
        <v>0</v>
      </c>
      <c r="I445" s="3" t="s">
        <v>52</v>
      </c>
      <c r="J445" s="131">
        <v>10</v>
      </c>
      <c r="K445" s="3">
        <f t="shared" si="96"/>
        <v>2025</v>
      </c>
      <c r="L445" s="130">
        <f t="shared" si="97"/>
        <v>2025.1666666666667</v>
      </c>
      <c r="M445" s="139">
        <v>36128.58</v>
      </c>
      <c r="N445" s="139">
        <f t="shared" si="98"/>
        <v>36128.58</v>
      </c>
      <c r="O445" s="139">
        <f t="shared" si="99"/>
        <v>301.07150000000001</v>
      </c>
      <c r="P445" s="139">
        <f t="shared" si="100"/>
        <v>3612.8580000000002</v>
      </c>
      <c r="Q445" s="342">
        <f t="shared" si="105"/>
        <v>0</v>
      </c>
      <c r="R445" s="341"/>
      <c r="S445" s="342">
        <f t="shared" si="106"/>
        <v>33117.864999999452</v>
      </c>
      <c r="T445" s="139">
        <f t="shared" si="107"/>
        <v>36128.58</v>
      </c>
      <c r="U445" s="139">
        <f t="shared" si="104"/>
        <v>0</v>
      </c>
      <c r="V445" s="11">
        <f t="shared" si="94"/>
        <v>0</v>
      </c>
    </row>
    <row r="446" spans="3:22" ht="12" customHeight="1">
      <c r="C446" s="20">
        <v>126247</v>
      </c>
      <c r="D446" s="20">
        <v>528</v>
      </c>
      <c r="E446" s="3" t="s">
        <v>294</v>
      </c>
      <c r="F446" s="3">
        <v>2015</v>
      </c>
      <c r="G446" s="3">
        <v>5</v>
      </c>
      <c r="H446" s="3">
        <v>0</v>
      </c>
      <c r="I446" s="3" t="s">
        <v>52</v>
      </c>
      <c r="J446" s="131">
        <v>10</v>
      </c>
      <c r="K446" s="3">
        <f t="shared" si="96"/>
        <v>2025</v>
      </c>
      <c r="L446" s="130">
        <f t="shared" si="97"/>
        <v>2025.4166666666667</v>
      </c>
      <c r="M446" s="139">
        <v>27937.89</v>
      </c>
      <c r="N446" s="139">
        <f t="shared" si="98"/>
        <v>27937.89</v>
      </c>
      <c r="O446" s="139">
        <f t="shared" si="99"/>
        <v>232.81574999999998</v>
      </c>
      <c r="P446" s="139">
        <f t="shared" si="100"/>
        <v>2793.7889999999998</v>
      </c>
      <c r="Q446" s="342">
        <f t="shared" si="105"/>
        <v>2793.7889999999998</v>
      </c>
      <c r="R446" s="341"/>
      <c r="S446" s="342">
        <f t="shared" si="106"/>
        <v>24911.285249999575</v>
      </c>
      <c r="T446" s="139">
        <f t="shared" si="107"/>
        <v>27705.074249999576</v>
      </c>
      <c r="U446" s="139">
        <f t="shared" si="104"/>
        <v>232.81575000042358</v>
      </c>
      <c r="V446" s="11">
        <f t="shared" si="94"/>
        <v>232.81575000042358</v>
      </c>
    </row>
    <row r="447" spans="3:22" ht="12" customHeight="1">
      <c r="M447" s="139"/>
      <c r="N447" s="139"/>
      <c r="O447" s="139"/>
      <c r="P447" s="139"/>
      <c r="Q447" s="139"/>
      <c r="R447" s="139"/>
      <c r="S447" s="139"/>
      <c r="T447" s="139"/>
      <c r="U447" s="139"/>
      <c r="V447" s="11"/>
    </row>
    <row r="448" spans="3:22" ht="12" customHeight="1">
      <c r="C448" s="173" t="s">
        <v>1008</v>
      </c>
      <c r="D448" s="209">
        <f>SUM(D418:D447)</f>
        <v>22234</v>
      </c>
      <c r="E448" s="162"/>
      <c r="F448" s="162"/>
      <c r="G448" s="162"/>
      <c r="H448" s="162"/>
      <c r="I448" s="162"/>
      <c r="J448" s="174"/>
      <c r="K448" s="162"/>
      <c r="L448" s="175"/>
      <c r="M448" s="163">
        <f t="shared" ref="M448:V448" si="108">SUM(M418:M447)</f>
        <v>1292121.31</v>
      </c>
      <c r="N448" s="163">
        <f t="shared" si="108"/>
        <v>1292121.31</v>
      </c>
      <c r="O448" s="163">
        <f t="shared" si="108"/>
        <v>11082.232083333332</v>
      </c>
      <c r="P448" s="163">
        <f t="shared" si="108"/>
        <v>132986.78499999997</v>
      </c>
      <c r="Q448" s="163">
        <f t="shared" si="108"/>
        <v>2793.7889999999998</v>
      </c>
      <c r="R448" s="163">
        <f t="shared" si="108"/>
        <v>0</v>
      </c>
      <c r="S448" s="163">
        <f t="shared" si="108"/>
        <v>1284519.5335833321</v>
      </c>
      <c r="T448" s="163">
        <f t="shared" si="108"/>
        <v>1291888.4942499998</v>
      </c>
      <c r="U448" s="163">
        <f t="shared" si="108"/>
        <v>232.81575000042358</v>
      </c>
      <c r="V448" s="163">
        <f t="shared" si="108"/>
        <v>232.81575000042358</v>
      </c>
    </row>
    <row r="449" spans="3:22" ht="12" customHeight="1">
      <c r="M449" s="139"/>
      <c r="N449" s="139"/>
      <c r="O449" s="139"/>
      <c r="P449" s="139"/>
      <c r="Q449" s="139"/>
      <c r="R449" s="139"/>
      <c r="S449" s="139"/>
      <c r="T449" s="139"/>
      <c r="U449" s="139"/>
      <c r="V449" s="11"/>
    </row>
    <row r="450" spans="3:22" ht="12" customHeight="1">
      <c r="M450" s="139"/>
      <c r="N450" s="139"/>
      <c r="O450" s="139"/>
      <c r="P450" s="139"/>
      <c r="Q450" s="139"/>
      <c r="R450" s="139"/>
      <c r="S450" s="139"/>
      <c r="T450" s="139"/>
      <c r="U450" s="139"/>
      <c r="V450" s="11"/>
    </row>
    <row r="451" spans="3:22" s="1" customFormat="1" ht="12" customHeight="1">
      <c r="C451" s="132"/>
      <c r="D451" s="132"/>
      <c r="E451" s="9" t="s">
        <v>1017</v>
      </c>
      <c r="J451" s="5"/>
      <c r="L451" s="133"/>
      <c r="M451" s="140"/>
      <c r="N451" s="140"/>
      <c r="O451" s="140"/>
      <c r="P451" s="140"/>
      <c r="Q451" s="140"/>
      <c r="R451" s="140"/>
      <c r="S451" s="140"/>
      <c r="T451" s="140"/>
      <c r="U451" s="140"/>
      <c r="V451" s="11"/>
    </row>
    <row r="452" spans="3:22" ht="12" customHeight="1">
      <c r="M452" s="139"/>
      <c r="N452" s="139"/>
      <c r="O452" s="139"/>
      <c r="P452" s="139"/>
      <c r="Q452" s="139"/>
      <c r="R452" s="139"/>
      <c r="S452" s="139"/>
      <c r="T452" s="139"/>
      <c r="U452" s="139"/>
      <c r="V452" s="11"/>
    </row>
    <row r="453" spans="3:22" ht="12" customHeight="1">
      <c r="C453" s="20" t="s">
        <v>528</v>
      </c>
      <c r="D453" s="20">
        <v>1500</v>
      </c>
      <c r="E453" s="3" t="s">
        <v>520</v>
      </c>
      <c r="F453" s="3">
        <v>2017</v>
      </c>
      <c r="G453" s="3">
        <v>5</v>
      </c>
      <c r="H453" s="3">
        <v>0</v>
      </c>
      <c r="I453" s="3" t="s">
        <v>52</v>
      </c>
      <c r="J453" s="131">
        <v>7</v>
      </c>
      <c r="K453" s="3">
        <f>F453+J453</f>
        <v>2024</v>
      </c>
      <c r="L453" s="130">
        <f>+K453+(G453/12)</f>
        <v>2024.4166666666667</v>
      </c>
      <c r="M453" s="139">
        <f>58945.49+623.76</f>
        <v>59569.25</v>
      </c>
      <c r="N453" s="139">
        <f>M453-M453*H453</f>
        <v>59569.25</v>
      </c>
      <c r="O453" s="139">
        <f>N453/J453/12</f>
        <v>709.15773809523807</v>
      </c>
      <c r="P453" s="139">
        <f>+O453*12</f>
        <v>8509.8928571428569</v>
      </c>
      <c r="Q453" s="342">
        <f t="shared" ref="Q453:Q457" si="109">IF(L453&lt;=$N$6,0,P453)</f>
        <v>0</v>
      </c>
      <c r="R453" s="341"/>
      <c r="S453" s="342">
        <f t="shared" ref="S453:S457" si="110">+IF($L453&lt;=$N$7,$M453,IF(($F453+($G453/12))&gt;=$N$7,0,((($N453-((($L453-$N$7)*12)*$O453))))))</f>
        <v>58860.092261903475</v>
      </c>
      <c r="T453" s="139">
        <f t="shared" ref="T453:T457" si="111">IF(L453&lt;=$N$6,M453,Q453+S453)</f>
        <v>59569.25</v>
      </c>
      <c r="U453" s="139">
        <f>M453-T453</f>
        <v>0</v>
      </c>
      <c r="V453" s="11">
        <f t="shared" si="94"/>
        <v>0</v>
      </c>
    </row>
    <row r="454" spans="3:22" ht="12" customHeight="1">
      <c r="C454" s="20" t="s">
        <v>525</v>
      </c>
      <c r="D454" s="20">
        <v>1500</v>
      </c>
      <c r="E454" s="3" t="s">
        <v>521</v>
      </c>
      <c r="F454" s="3">
        <v>2017</v>
      </c>
      <c r="G454" s="3">
        <v>5</v>
      </c>
      <c r="H454" s="3">
        <v>0</v>
      </c>
      <c r="I454" s="3" t="s">
        <v>52</v>
      </c>
      <c r="J454" s="131">
        <v>7</v>
      </c>
      <c r="K454" s="3">
        <f>F454+J454</f>
        <v>2024</v>
      </c>
      <c r="L454" s="130">
        <f>+K454+(G454/12)</f>
        <v>2024.4166666666667</v>
      </c>
      <c r="M454" s="139">
        <f>79480.89+623.76</f>
        <v>80104.649999999994</v>
      </c>
      <c r="N454" s="139">
        <f>M454-M454*H454</f>
        <v>80104.649999999994</v>
      </c>
      <c r="O454" s="139">
        <f>N454/J454/12</f>
        <v>953.62678571428569</v>
      </c>
      <c r="P454" s="139">
        <f>+O454*12</f>
        <v>11443.521428571428</v>
      </c>
      <c r="Q454" s="342">
        <f t="shared" si="109"/>
        <v>0</v>
      </c>
      <c r="R454" s="341"/>
      <c r="S454" s="342">
        <f t="shared" si="110"/>
        <v>79151.023214283967</v>
      </c>
      <c r="T454" s="139">
        <f t="shared" si="111"/>
        <v>80104.649999999994</v>
      </c>
      <c r="U454" s="139">
        <f>M454-T454</f>
        <v>0</v>
      </c>
      <c r="V454" s="11">
        <f t="shared" si="94"/>
        <v>0</v>
      </c>
    </row>
    <row r="455" spans="3:22" ht="12" customHeight="1">
      <c r="C455" s="20" t="s">
        <v>526</v>
      </c>
      <c r="D455" s="20">
        <v>14000</v>
      </c>
      <c r="E455" s="3" t="s">
        <v>522</v>
      </c>
      <c r="F455" s="3">
        <v>2017</v>
      </c>
      <c r="G455" s="3">
        <v>5</v>
      </c>
      <c r="H455" s="3">
        <v>0</v>
      </c>
      <c r="I455" s="3" t="s">
        <v>52</v>
      </c>
      <c r="J455" s="131">
        <v>7</v>
      </c>
      <c r="K455" s="3">
        <f>F455+J455</f>
        <v>2024</v>
      </c>
      <c r="L455" s="130">
        <f>+K455+(G455/12)</f>
        <v>2024.4166666666667</v>
      </c>
      <c r="M455" s="139">
        <f>660879.97+5821.73</f>
        <v>666701.69999999995</v>
      </c>
      <c r="N455" s="139">
        <f>M455-M455*H455</f>
        <v>666701.69999999995</v>
      </c>
      <c r="O455" s="139">
        <f>N455/J455/12</f>
        <v>7936.9249999999993</v>
      </c>
      <c r="P455" s="139">
        <f>+O455*12</f>
        <v>95243.099999999991</v>
      </c>
      <c r="Q455" s="342">
        <f t="shared" si="109"/>
        <v>0</v>
      </c>
      <c r="R455" s="341"/>
      <c r="S455" s="342">
        <f t="shared" si="110"/>
        <v>658764.77499998547</v>
      </c>
      <c r="T455" s="139">
        <f t="shared" si="111"/>
        <v>666701.69999999995</v>
      </c>
      <c r="U455" s="139">
        <f>M455-T455</f>
        <v>0</v>
      </c>
      <c r="V455" s="11">
        <f t="shared" si="94"/>
        <v>0</v>
      </c>
    </row>
    <row r="456" spans="3:22" ht="12" customHeight="1">
      <c r="C456" s="20" t="s">
        <v>527</v>
      </c>
      <c r="D456" s="20">
        <v>38500</v>
      </c>
      <c r="E456" s="3" t="s">
        <v>523</v>
      </c>
      <c r="F456" s="3">
        <v>2017</v>
      </c>
      <c r="G456" s="3">
        <v>5</v>
      </c>
      <c r="H456" s="3">
        <v>0</v>
      </c>
      <c r="I456" s="3" t="s">
        <v>52</v>
      </c>
      <c r="J456" s="131">
        <v>7</v>
      </c>
      <c r="K456" s="3">
        <f>F456+J456</f>
        <v>2024</v>
      </c>
      <c r="L456" s="130">
        <f>+K456+(G456/12)</f>
        <v>2024.4166666666667</v>
      </c>
      <c r="M456" s="139">
        <f>1531833.28+16009.75</f>
        <v>1547843.03</v>
      </c>
      <c r="N456" s="139">
        <f>M456-M456*H456</f>
        <v>1547843.03</v>
      </c>
      <c r="O456" s="139">
        <f>N456/J456/12</f>
        <v>18426.702738095239</v>
      </c>
      <c r="P456" s="139">
        <f>+O456*12</f>
        <v>221120.43285714288</v>
      </c>
      <c r="Q456" s="342">
        <f t="shared" si="109"/>
        <v>0</v>
      </c>
      <c r="R456" s="341"/>
      <c r="S456" s="342">
        <f t="shared" si="110"/>
        <v>1529416.3272618712</v>
      </c>
      <c r="T456" s="139">
        <f t="shared" si="111"/>
        <v>1547843.03</v>
      </c>
      <c r="U456" s="139">
        <f>M456-T456</f>
        <v>0</v>
      </c>
      <c r="V456" s="11">
        <f t="shared" si="94"/>
        <v>0</v>
      </c>
    </row>
    <row r="457" spans="3:22" ht="12" customHeight="1">
      <c r="C457" s="20">
        <v>184822</v>
      </c>
      <c r="D457" s="20">
        <v>940</v>
      </c>
      <c r="E457" s="3" t="s">
        <v>524</v>
      </c>
      <c r="F457" s="3">
        <v>2017</v>
      </c>
      <c r="G457" s="3">
        <v>4</v>
      </c>
      <c r="H457" s="3">
        <v>0</v>
      </c>
      <c r="I457" s="3" t="s">
        <v>52</v>
      </c>
      <c r="J457" s="131">
        <v>7</v>
      </c>
      <c r="K457" s="3">
        <f>F457+J457</f>
        <v>2024</v>
      </c>
      <c r="L457" s="130">
        <f>+K457+(G457/12)</f>
        <v>2024.3333333333333</v>
      </c>
      <c r="M457" s="139">
        <v>35253.71</v>
      </c>
      <c r="N457" s="139">
        <f>M457-M457*H457</f>
        <v>35253.71</v>
      </c>
      <c r="O457" s="139">
        <f>N457/J457/12</f>
        <v>419.68702380952385</v>
      </c>
      <c r="P457" s="139">
        <f>+O457*12</f>
        <v>5036.244285714286</v>
      </c>
      <c r="Q457" s="342">
        <f t="shared" si="109"/>
        <v>0</v>
      </c>
      <c r="R457" s="341"/>
      <c r="S457" s="342">
        <f t="shared" si="110"/>
        <v>35253.71</v>
      </c>
      <c r="T457" s="139">
        <f t="shared" si="111"/>
        <v>35253.71</v>
      </c>
      <c r="U457" s="139">
        <f>M457-T457</f>
        <v>0</v>
      </c>
      <c r="V457" s="11">
        <f t="shared" si="94"/>
        <v>0</v>
      </c>
    </row>
    <row r="458" spans="3:22" ht="12" customHeight="1">
      <c r="M458" s="139"/>
      <c r="N458" s="139"/>
      <c r="O458" s="139"/>
      <c r="P458" s="139"/>
      <c r="Q458" s="139"/>
      <c r="R458" s="139"/>
      <c r="S458" s="139"/>
      <c r="T458" s="139"/>
      <c r="U458" s="139"/>
      <c r="V458" s="11"/>
    </row>
    <row r="459" spans="3:22" ht="12" customHeight="1">
      <c r="C459" s="173" t="s">
        <v>1278</v>
      </c>
      <c r="D459" s="209">
        <f>SUM(D453:D458)</f>
        <v>56440</v>
      </c>
      <c r="E459" s="162"/>
      <c r="F459" s="162"/>
      <c r="G459" s="162"/>
      <c r="H459" s="162"/>
      <c r="I459" s="162"/>
      <c r="J459" s="174"/>
      <c r="K459" s="162"/>
      <c r="L459" s="175"/>
      <c r="M459" s="163">
        <f t="shared" ref="M459:V459" si="112">SUM(M453:M458)</f>
        <v>2389472.34</v>
      </c>
      <c r="N459" s="163">
        <f t="shared" si="112"/>
        <v>2389472.34</v>
      </c>
      <c r="O459" s="163">
        <f t="shared" si="112"/>
        <v>28446.099285714288</v>
      </c>
      <c r="P459" s="163">
        <f t="shared" si="112"/>
        <v>341353.19142857142</v>
      </c>
      <c r="Q459" s="163">
        <f t="shared" si="112"/>
        <v>0</v>
      </c>
      <c r="R459" s="163">
        <f t="shared" si="112"/>
        <v>0</v>
      </c>
      <c r="S459" s="163">
        <f t="shared" si="112"/>
        <v>2361445.9277380439</v>
      </c>
      <c r="T459" s="163">
        <f t="shared" si="112"/>
        <v>2389472.34</v>
      </c>
      <c r="U459" s="163">
        <f t="shared" si="112"/>
        <v>0</v>
      </c>
      <c r="V459" s="163">
        <f t="shared" si="112"/>
        <v>0</v>
      </c>
    </row>
    <row r="460" spans="3:22" ht="13.5" customHeight="1">
      <c r="M460" s="139"/>
      <c r="N460" s="139"/>
      <c r="O460" s="139"/>
      <c r="P460" s="139"/>
      <c r="Q460" s="139"/>
      <c r="R460" s="139"/>
      <c r="S460" s="139"/>
      <c r="T460" s="139"/>
      <c r="U460" s="139"/>
      <c r="V460" s="11"/>
    </row>
    <row r="461" spans="3:22" s="1" customFormat="1" ht="13.5" customHeight="1">
      <c r="C461" s="132"/>
      <c r="D461" s="132"/>
      <c r="E461" s="9" t="s">
        <v>1020</v>
      </c>
      <c r="J461" s="5"/>
      <c r="L461" s="133"/>
      <c r="M461" s="140"/>
      <c r="N461" s="140"/>
      <c r="O461" s="140"/>
      <c r="P461" s="140"/>
      <c r="Q461" s="140"/>
      <c r="R461" s="140"/>
      <c r="S461" s="140"/>
      <c r="T461" s="140"/>
      <c r="U461" s="140"/>
      <c r="V461" s="11"/>
    </row>
    <row r="462" spans="3:22" ht="13.5" customHeight="1">
      <c r="M462" s="139"/>
      <c r="N462" s="139"/>
      <c r="O462" s="139"/>
      <c r="P462" s="139"/>
      <c r="Q462" s="342">
        <f t="shared" ref="Q462:Q525" si="113">IF(L462&lt;=$N$6,0,P462)</f>
        <v>0</v>
      </c>
      <c r="R462" s="341"/>
      <c r="S462" s="342">
        <f t="shared" ref="S462:S525" si="114">+IF($L462&lt;=$N$7,$M462,IF(($F462+($G462/12))&gt;=$N$7,0,((($N462-((($L462-$N$7)*12)*$O462))))))</f>
        <v>0</v>
      </c>
      <c r="T462" s="139">
        <f t="shared" ref="T462:T525" si="115">IF(L462&lt;=$N$6,M462,Q462+S462)</f>
        <v>0</v>
      </c>
      <c r="U462" s="139"/>
      <c r="V462" s="11"/>
    </row>
    <row r="463" spans="3:22" ht="12" customHeight="1">
      <c r="C463" s="20">
        <v>190633</v>
      </c>
      <c r="D463" s="20">
        <v>312</v>
      </c>
      <c r="E463" s="3" t="s">
        <v>515</v>
      </c>
      <c r="F463" s="3">
        <v>2017</v>
      </c>
      <c r="G463" s="3">
        <v>11</v>
      </c>
      <c r="H463" s="3">
        <v>0</v>
      </c>
      <c r="I463" s="3" t="s">
        <v>52</v>
      </c>
      <c r="J463" s="131">
        <v>7</v>
      </c>
      <c r="K463" s="3">
        <f t="shared" ref="K463:K495" si="116">F463+J463</f>
        <v>2024</v>
      </c>
      <c r="L463" s="130">
        <f t="shared" ref="L463:L499" si="117">+K463+(G463/12)</f>
        <v>2024.9166666666667</v>
      </c>
      <c r="M463" s="139">
        <v>16322.37</v>
      </c>
      <c r="N463" s="139">
        <f t="shared" ref="N463:N499" si="118">M463-M463*H463</f>
        <v>16322.37</v>
      </c>
      <c r="O463" s="139">
        <f t="shared" ref="O463:O499" si="119">N463/J463/12</f>
        <v>194.31392857142859</v>
      </c>
      <c r="P463" s="139">
        <f t="shared" ref="P463:P499" si="120">+O463*12</f>
        <v>2331.767142857143</v>
      </c>
      <c r="Q463" s="342">
        <f t="shared" si="113"/>
        <v>0</v>
      </c>
      <c r="R463" s="341"/>
      <c r="S463" s="342">
        <f t="shared" si="114"/>
        <v>14962.172499999648</v>
      </c>
      <c r="T463" s="139">
        <f t="shared" si="115"/>
        <v>16322.37</v>
      </c>
      <c r="U463" s="139">
        <f t="shared" ref="U463:U506" si="121">M463-T463</f>
        <v>0</v>
      </c>
      <c r="V463" s="11">
        <f t="shared" si="94"/>
        <v>0</v>
      </c>
    </row>
    <row r="464" spans="3:22" ht="12" customHeight="1">
      <c r="C464" s="20">
        <v>190632</v>
      </c>
      <c r="D464" s="20">
        <v>432</v>
      </c>
      <c r="E464" s="3" t="s">
        <v>516</v>
      </c>
      <c r="F464" s="3">
        <v>2017</v>
      </c>
      <c r="G464" s="3">
        <v>11</v>
      </c>
      <c r="H464" s="3">
        <v>0</v>
      </c>
      <c r="I464" s="3" t="s">
        <v>52</v>
      </c>
      <c r="J464" s="131">
        <v>7</v>
      </c>
      <c r="K464" s="3">
        <f t="shared" si="116"/>
        <v>2024</v>
      </c>
      <c r="L464" s="130">
        <f t="shared" si="117"/>
        <v>2024.9166666666667</v>
      </c>
      <c r="M464" s="139">
        <v>19988.98</v>
      </c>
      <c r="N464" s="139">
        <f t="shared" si="118"/>
        <v>19988.98</v>
      </c>
      <c r="O464" s="139">
        <f t="shared" si="119"/>
        <v>237.96404761904762</v>
      </c>
      <c r="P464" s="139">
        <f t="shared" si="120"/>
        <v>2855.5685714285714</v>
      </c>
      <c r="Q464" s="342">
        <f t="shared" si="113"/>
        <v>0</v>
      </c>
      <c r="R464" s="341"/>
      <c r="S464" s="342">
        <f t="shared" si="114"/>
        <v>18323.231666666234</v>
      </c>
      <c r="T464" s="139">
        <f t="shared" si="115"/>
        <v>19988.98</v>
      </c>
      <c r="U464" s="139">
        <f t="shared" si="121"/>
        <v>0</v>
      </c>
      <c r="V464" s="11">
        <f t="shared" si="94"/>
        <v>0</v>
      </c>
    </row>
    <row r="465" spans="3:22" ht="12" customHeight="1">
      <c r="C465" s="20">
        <v>186746</v>
      </c>
      <c r="D465" s="20">
        <v>350</v>
      </c>
      <c r="E465" s="3" t="s">
        <v>517</v>
      </c>
      <c r="F465" s="3">
        <v>2017</v>
      </c>
      <c r="G465" s="3">
        <v>6</v>
      </c>
      <c r="H465" s="3">
        <v>0</v>
      </c>
      <c r="I465" s="3" t="s">
        <v>52</v>
      </c>
      <c r="J465" s="131">
        <v>7</v>
      </c>
      <c r="K465" s="3">
        <f t="shared" si="116"/>
        <v>2024</v>
      </c>
      <c r="L465" s="130">
        <f t="shared" si="117"/>
        <v>2024.5</v>
      </c>
      <c r="M465" s="139">
        <v>13501.74</v>
      </c>
      <c r="N465" s="139">
        <f t="shared" si="118"/>
        <v>13501.74</v>
      </c>
      <c r="O465" s="139">
        <f t="shared" si="119"/>
        <v>160.73499999999999</v>
      </c>
      <c r="P465" s="139">
        <f t="shared" si="120"/>
        <v>1928.8199999999997</v>
      </c>
      <c r="Q465" s="342">
        <f t="shared" si="113"/>
        <v>0</v>
      </c>
      <c r="R465" s="341"/>
      <c r="S465" s="342">
        <f t="shared" si="114"/>
        <v>13180.269999999853</v>
      </c>
      <c r="T465" s="139">
        <f t="shared" si="115"/>
        <v>13501.74</v>
      </c>
      <c r="U465" s="139">
        <f t="shared" si="121"/>
        <v>0</v>
      </c>
      <c r="V465" s="11">
        <f t="shared" si="94"/>
        <v>0</v>
      </c>
    </row>
    <row r="466" spans="3:22" ht="12" customHeight="1">
      <c r="C466" s="20">
        <v>186676</v>
      </c>
      <c r="D466" s="20">
        <v>624</v>
      </c>
      <c r="E466" s="3" t="s">
        <v>518</v>
      </c>
      <c r="F466" s="3">
        <v>2017</v>
      </c>
      <c r="G466" s="3">
        <v>3</v>
      </c>
      <c r="H466" s="3">
        <v>0</v>
      </c>
      <c r="I466" s="3" t="s">
        <v>52</v>
      </c>
      <c r="J466" s="131">
        <v>7</v>
      </c>
      <c r="K466" s="3">
        <f t="shared" si="116"/>
        <v>2024</v>
      </c>
      <c r="L466" s="130">
        <f t="shared" si="117"/>
        <v>2024.25</v>
      </c>
      <c r="M466" s="139">
        <v>32611.53</v>
      </c>
      <c r="N466" s="139">
        <f t="shared" si="118"/>
        <v>32611.53</v>
      </c>
      <c r="O466" s="139">
        <f t="shared" si="119"/>
        <v>388.23250000000002</v>
      </c>
      <c r="P466" s="139">
        <f t="shared" si="120"/>
        <v>4658.79</v>
      </c>
      <c r="Q466" s="342">
        <f t="shared" si="113"/>
        <v>0</v>
      </c>
      <c r="R466" s="341"/>
      <c r="S466" s="342">
        <f t="shared" si="114"/>
        <v>32611.53</v>
      </c>
      <c r="T466" s="139">
        <f t="shared" si="115"/>
        <v>32611.53</v>
      </c>
      <c r="U466" s="139">
        <f t="shared" si="121"/>
        <v>0</v>
      </c>
      <c r="V466" s="11">
        <f t="shared" si="94"/>
        <v>0</v>
      </c>
    </row>
    <row r="467" spans="3:22" ht="12" customHeight="1">
      <c r="C467" s="20">
        <v>185867</v>
      </c>
      <c r="D467" s="20">
        <v>430</v>
      </c>
      <c r="E467" s="3" t="s">
        <v>517</v>
      </c>
      <c r="F467" s="3">
        <v>2017</v>
      </c>
      <c r="G467" s="3">
        <v>7</v>
      </c>
      <c r="H467" s="3">
        <v>0</v>
      </c>
      <c r="I467" s="3" t="s">
        <v>52</v>
      </c>
      <c r="J467" s="131">
        <v>7</v>
      </c>
      <c r="K467" s="3">
        <f t="shared" si="116"/>
        <v>2024</v>
      </c>
      <c r="L467" s="130">
        <f t="shared" si="117"/>
        <v>2024.5833333333333</v>
      </c>
      <c r="M467" s="139">
        <v>18827.189999999999</v>
      </c>
      <c r="N467" s="139">
        <f t="shared" si="118"/>
        <v>18827.189999999999</v>
      </c>
      <c r="O467" s="139">
        <f t="shared" si="119"/>
        <v>224.13321428571427</v>
      </c>
      <c r="P467" s="139">
        <f t="shared" si="120"/>
        <v>2689.5985714285712</v>
      </c>
      <c r="Q467" s="342">
        <f t="shared" si="113"/>
        <v>0</v>
      </c>
      <c r="R467" s="341"/>
      <c r="S467" s="342">
        <f t="shared" si="114"/>
        <v>18154.790357142854</v>
      </c>
      <c r="T467" s="139">
        <f t="shared" si="115"/>
        <v>18827.189999999999</v>
      </c>
      <c r="U467" s="139">
        <f t="shared" si="121"/>
        <v>0</v>
      </c>
      <c r="V467" s="11">
        <f t="shared" si="94"/>
        <v>0</v>
      </c>
    </row>
    <row r="468" spans="3:22" ht="12" customHeight="1">
      <c r="C468" s="20">
        <v>185866</v>
      </c>
      <c r="D468" s="20">
        <v>220</v>
      </c>
      <c r="E468" s="3" t="s">
        <v>519</v>
      </c>
      <c r="F468" s="3">
        <v>2017</v>
      </c>
      <c r="G468" s="3">
        <v>7</v>
      </c>
      <c r="H468" s="3">
        <v>0</v>
      </c>
      <c r="I468" s="3" t="s">
        <v>52</v>
      </c>
      <c r="J468" s="131">
        <v>7</v>
      </c>
      <c r="K468" s="3">
        <f t="shared" si="116"/>
        <v>2024</v>
      </c>
      <c r="L468" s="130">
        <f t="shared" si="117"/>
        <v>2024.5833333333333</v>
      </c>
      <c r="M468" s="139">
        <v>13394.61</v>
      </c>
      <c r="N468" s="139">
        <f t="shared" si="118"/>
        <v>13394.61</v>
      </c>
      <c r="O468" s="139">
        <f t="shared" si="119"/>
        <v>159.45964285714288</v>
      </c>
      <c r="P468" s="139">
        <f t="shared" si="120"/>
        <v>1913.5157142857147</v>
      </c>
      <c r="Q468" s="342">
        <f t="shared" si="113"/>
        <v>0</v>
      </c>
      <c r="R468" s="341"/>
      <c r="S468" s="342">
        <f t="shared" si="114"/>
        <v>12916.231071428572</v>
      </c>
      <c r="T468" s="139">
        <f t="shared" si="115"/>
        <v>13394.61</v>
      </c>
      <c r="U468" s="139">
        <f t="shared" si="121"/>
        <v>0</v>
      </c>
      <c r="V468" s="11">
        <f t="shared" si="94"/>
        <v>0</v>
      </c>
    </row>
    <row r="469" spans="3:22" ht="12" customHeight="1">
      <c r="C469" s="20">
        <v>189448</v>
      </c>
      <c r="D469" s="20">
        <v>312</v>
      </c>
      <c r="E469" s="3" t="s">
        <v>547</v>
      </c>
      <c r="F469" s="3">
        <v>2017</v>
      </c>
      <c r="G469" s="3">
        <v>9</v>
      </c>
      <c r="H469" s="3">
        <v>0</v>
      </c>
      <c r="I469" s="3" t="s">
        <v>52</v>
      </c>
      <c r="J469" s="131">
        <v>7</v>
      </c>
      <c r="K469" s="3">
        <f t="shared" si="116"/>
        <v>2024</v>
      </c>
      <c r="L469" s="130">
        <f t="shared" si="117"/>
        <v>2024.75</v>
      </c>
      <c r="M469" s="139">
        <v>16446.669999999998</v>
      </c>
      <c r="N469" s="139">
        <f t="shared" si="118"/>
        <v>16446.669999999998</v>
      </c>
      <c r="O469" s="139">
        <f t="shared" si="119"/>
        <v>195.79369047619045</v>
      </c>
      <c r="P469" s="139">
        <f t="shared" si="120"/>
        <v>2349.5242857142853</v>
      </c>
      <c r="Q469" s="342">
        <f t="shared" si="113"/>
        <v>0</v>
      </c>
      <c r="R469" s="341"/>
      <c r="S469" s="342">
        <f t="shared" si="114"/>
        <v>15467.701547618868</v>
      </c>
      <c r="T469" s="139">
        <f t="shared" si="115"/>
        <v>16446.669999999998</v>
      </c>
      <c r="U469" s="139">
        <f t="shared" si="121"/>
        <v>0</v>
      </c>
      <c r="V469" s="11">
        <f t="shared" ref="V469:V499" si="122">M469-T469</f>
        <v>0</v>
      </c>
    </row>
    <row r="470" spans="3:22" ht="12" customHeight="1">
      <c r="C470" s="20">
        <v>189446</v>
      </c>
      <c r="D470" s="20">
        <v>864</v>
      </c>
      <c r="E470" s="3" t="s">
        <v>549</v>
      </c>
      <c r="F470" s="3">
        <v>2017</v>
      </c>
      <c r="G470" s="3">
        <v>8</v>
      </c>
      <c r="H470" s="3">
        <v>0</v>
      </c>
      <c r="I470" s="3" t="s">
        <v>52</v>
      </c>
      <c r="J470" s="131">
        <v>7</v>
      </c>
      <c r="K470" s="3">
        <f t="shared" si="116"/>
        <v>2024</v>
      </c>
      <c r="L470" s="130">
        <f t="shared" si="117"/>
        <v>2024.6666666666667</v>
      </c>
      <c r="M470" s="139">
        <v>39027.35</v>
      </c>
      <c r="N470" s="139">
        <f t="shared" si="118"/>
        <v>39027.35</v>
      </c>
      <c r="O470" s="139">
        <f t="shared" si="119"/>
        <v>464.6113095238095</v>
      </c>
      <c r="P470" s="139">
        <f t="shared" si="120"/>
        <v>5575.3357142857139</v>
      </c>
      <c r="Q470" s="342">
        <f t="shared" si="113"/>
        <v>0</v>
      </c>
      <c r="R470" s="341"/>
      <c r="S470" s="342">
        <f t="shared" si="114"/>
        <v>37168.904761903912</v>
      </c>
      <c r="T470" s="139">
        <f t="shared" si="115"/>
        <v>39027.35</v>
      </c>
      <c r="U470" s="139">
        <f t="shared" si="121"/>
        <v>0</v>
      </c>
      <c r="V470" s="11">
        <f t="shared" si="122"/>
        <v>0</v>
      </c>
    </row>
    <row r="471" spans="3:22" ht="12.75" customHeight="1">
      <c r="C471" s="20">
        <v>176874</v>
      </c>
      <c r="D471" s="20">
        <v>200</v>
      </c>
      <c r="E471" s="3" t="s">
        <v>838</v>
      </c>
      <c r="F471" s="3">
        <v>2017</v>
      </c>
      <c r="G471" s="3">
        <v>1</v>
      </c>
      <c r="H471" s="3">
        <v>0</v>
      </c>
      <c r="I471" s="3" t="s">
        <v>52</v>
      </c>
      <c r="J471" s="131">
        <v>6.11</v>
      </c>
      <c r="K471" s="3">
        <f t="shared" si="116"/>
        <v>2023.11</v>
      </c>
      <c r="L471" s="130">
        <f t="shared" si="117"/>
        <v>2023.1933333333332</v>
      </c>
      <c r="M471" s="139">
        <v>8450.67</v>
      </c>
      <c r="N471" s="139">
        <f t="shared" si="118"/>
        <v>8450.67</v>
      </c>
      <c r="O471" s="139">
        <f t="shared" si="119"/>
        <v>115.25736497545007</v>
      </c>
      <c r="P471" s="139">
        <f t="shared" si="120"/>
        <v>1383.0883797054009</v>
      </c>
      <c r="Q471" s="342">
        <f t="shared" si="113"/>
        <v>0</v>
      </c>
      <c r="R471" s="341"/>
      <c r="S471" s="342">
        <f t="shared" si="114"/>
        <v>8450.67</v>
      </c>
      <c r="T471" s="139">
        <f t="shared" si="115"/>
        <v>8450.67</v>
      </c>
      <c r="U471" s="139">
        <f t="shared" si="121"/>
        <v>0</v>
      </c>
      <c r="V471" s="11">
        <f t="shared" si="122"/>
        <v>0</v>
      </c>
    </row>
    <row r="472" spans="3:22" ht="12.75" customHeight="1">
      <c r="C472" s="20">
        <v>176875</v>
      </c>
      <c r="D472" s="20">
        <v>315</v>
      </c>
      <c r="E472" s="3" t="s">
        <v>513</v>
      </c>
      <c r="F472" s="3">
        <v>2017</v>
      </c>
      <c r="G472" s="3">
        <v>1</v>
      </c>
      <c r="H472" s="3">
        <v>0</v>
      </c>
      <c r="I472" s="3" t="s">
        <v>52</v>
      </c>
      <c r="J472" s="131">
        <v>6.11</v>
      </c>
      <c r="K472" s="3">
        <f t="shared" si="116"/>
        <v>2023.11</v>
      </c>
      <c r="L472" s="130">
        <f t="shared" si="117"/>
        <v>2023.1933333333332</v>
      </c>
      <c r="M472" s="139">
        <v>14550.04</v>
      </c>
      <c r="N472" s="139">
        <f t="shared" si="118"/>
        <v>14550.04</v>
      </c>
      <c r="O472" s="139">
        <f t="shared" si="119"/>
        <v>198.4457174031642</v>
      </c>
      <c r="P472" s="139">
        <f t="shared" si="120"/>
        <v>2381.3486088379705</v>
      </c>
      <c r="Q472" s="342">
        <f t="shared" si="113"/>
        <v>0</v>
      </c>
      <c r="R472" s="341"/>
      <c r="S472" s="342">
        <f t="shared" si="114"/>
        <v>14550.04</v>
      </c>
      <c r="T472" s="139">
        <f t="shared" si="115"/>
        <v>14550.04</v>
      </c>
      <c r="U472" s="139">
        <f t="shared" si="121"/>
        <v>0</v>
      </c>
      <c r="V472" s="11">
        <f t="shared" si="122"/>
        <v>0</v>
      </c>
    </row>
    <row r="473" spans="3:22" ht="12.75" customHeight="1">
      <c r="C473" s="20">
        <v>176876</v>
      </c>
      <c r="D473" s="20">
        <v>90</v>
      </c>
      <c r="E473" s="3" t="s">
        <v>839</v>
      </c>
      <c r="F473" s="3">
        <v>2017</v>
      </c>
      <c r="G473" s="3">
        <v>1</v>
      </c>
      <c r="H473" s="3">
        <v>0</v>
      </c>
      <c r="I473" s="3" t="s">
        <v>52</v>
      </c>
      <c r="J473" s="131">
        <v>6.11</v>
      </c>
      <c r="K473" s="3">
        <f t="shared" si="116"/>
        <v>2023.11</v>
      </c>
      <c r="L473" s="130">
        <f t="shared" si="117"/>
        <v>2023.1933333333332</v>
      </c>
      <c r="M473" s="139">
        <v>4723.33</v>
      </c>
      <c r="N473" s="139">
        <f t="shared" si="118"/>
        <v>4723.33</v>
      </c>
      <c r="O473" s="139">
        <f t="shared" si="119"/>
        <v>64.420758319694485</v>
      </c>
      <c r="P473" s="139">
        <f t="shared" si="120"/>
        <v>773.04909983633388</v>
      </c>
      <c r="Q473" s="342">
        <f t="shared" si="113"/>
        <v>0</v>
      </c>
      <c r="R473" s="341"/>
      <c r="S473" s="342">
        <f t="shared" si="114"/>
        <v>4723.33</v>
      </c>
      <c r="T473" s="139">
        <f t="shared" si="115"/>
        <v>4723.33</v>
      </c>
      <c r="U473" s="139">
        <f t="shared" si="121"/>
        <v>0</v>
      </c>
      <c r="V473" s="11">
        <f t="shared" si="122"/>
        <v>0</v>
      </c>
    </row>
    <row r="474" spans="3:22" ht="12.75" customHeight="1">
      <c r="C474" s="20">
        <v>176877</v>
      </c>
      <c r="D474" s="20">
        <v>150</v>
      </c>
      <c r="E474" s="3" t="s">
        <v>837</v>
      </c>
      <c r="F474" s="3">
        <v>2017</v>
      </c>
      <c r="G474" s="3">
        <v>1</v>
      </c>
      <c r="H474" s="3">
        <v>0</v>
      </c>
      <c r="I474" s="3" t="s">
        <v>52</v>
      </c>
      <c r="J474" s="131">
        <v>6.11</v>
      </c>
      <c r="K474" s="3">
        <f t="shared" si="116"/>
        <v>2023.11</v>
      </c>
      <c r="L474" s="130">
        <f t="shared" si="117"/>
        <v>2023.1933333333332</v>
      </c>
      <c r="M474" s="139">
        <v>5169.1499999999996</v>
      </c>
      <c r="N474" s="139">
        <f t="shared" si="118"/>
        <v>5169.1499999999996</v>
      </c>
      <c r="O474" s="139">
        <f t="shared" si="119"/>
        <v>70.501227495908338</v>
      </c>
      <c r="P474" s="139">
        <f t="shared" si="120"/>
        <v>846.01472995090012</v>
      </c>
      <c r="Q474" s="342">
        <f t="shared" si="113"/>
        <v>0</v>
      </c>
      <c r="R474" s="341"/>
      <c r="S474" s="342">
        <f t="shared" si="114"/>
        <v>5169.1499999999996</v>
      </c>
      <c r="T474" s="139">
        <f t="shared" si="115"/>
        <v>5169.1499999999996</v>
      </c>
      <c r="U474" s="139">
        <f t="shared" si="121"/>
        <v>0</v>
      </c>
      <c r="V474" s="11">
        <f t="shared" si="122"/>
        <v>0</v>
      </c>
    </row>
    <row r="475" spans="3:22" ht="12.75" customHeight="1">
      <c r="C475" s="20">
        <v>176878</v>
      </c>
      <c r="D475" s="20">
        <v>840</v>
      </c>
      <c r="E475" s="3" t="s">
        <v>840</v>
      </c>
      <c r="F475" s="3">
        <v>2017</v>
      </c>
      <c r="G475" s="3">
        <v>1</v>
      </c>
      <c r="H475" s="3">
        <v>0</v>
      </c>
      <c r="I475" s="3" t="s">
        <v>52</v>
      </c>
      <c r="J475" s="131">
        <v>6.11</v>
      </c>
      <c r="K475" s="3">
        <f t="shared" si="116"/>
        <v>2023.11</v>
      </c>
      <c r="L475" s="130">
        <f t="shared" si="117"/>
        <v>2023.1933333333332</v>
      </c>
      <c r="M475" s="139">
        <v>34278.199999999997</v>
      </c>
      <c r="N475" s="139">
        <f t="shared" si="118"/>
        <v>34278.199999999997</v>
      </c>
      <c r="O475" s="139">
        <f t="shared" si="119"/>
        <v>467.5150027277686</v>
      </c>
      <c r="P475" s="139">
        <f t="shared" si="120"/>
        <v>5610.180032733223</v>
      </c>
      <c r="Q475" s="342">
        <f t="shared" si="113"/>
        <v>0</v>
      </c>
      <c r="R475" s="341"/>
      <c r="S475" s="342">
        <f t="shared" si="114"/>
        <v>34278.199999999997</v>
      </c>
      <c r="T475" s="139">
        <f t="shared" si="115"/>
        <v>34278.199999999997</v>
      </c>
      <c r="U475" s="139">
        <f t="shared" si="121"/>
        <v>0</v>
      </c>
      <c r="V475" s="11">
        <f t="shared" si="122"/>
        <v>0</v>
      </c>
    </row>
    <row r="476" spans="3:22" ht="12.75" customHeight="1">
      <c r="C476" s="20">
        <v>176879</v>
      </c>
      <c r="D476" s="20" t="s">
        <v>751</v>
      </c>
      <c r="E476" s="3" t="s">
        <v>841</v>
      </c>
      <c r="F476" s="3">
        <v>2017</v>
      </c>
      <c r="G476" s="3">
        <v>1</v>
      </c>
      <c r="H476" s="3">
        <v>0</v>
      </c>
      <c r="I476" s="3" t="s">
        <v>52</v>
      </c>
      <c r="J476" s="131">
        <v>6.11</v>
      </c>
      <c r="K476" s="3">
        <f t="shared" si="116"/>
        <v>2023.11</v>
      </c>
      <c r="L476" s="130">
        <f t="shared" si="117"/>
        <v>2023.1933333333332</v>
      </c>
      <c r="M476" s="139">
        <v>7202.35</v>
      </c>
      <c r="N476" s="139">
        <f t="shared" si="118"/>
        <v>7202.35</v>
      </c>
      <c r="O476" s="139">
        <f t="shared" si="119"/>
        <v>98.231723949809052</v>
      </c>
      <c r="P476" s="139">
        <f t="shared" si="120"/>
        <v>1178.7806873977086</v>
      </c>
      <c r="Q476" s="342">
        <f t="shared" si="113"/>
        <v>0</v>
      </c>
      <c r="R476" s="341"/>
      <c r="S476" s="342">
        <f t="shared" si="114"/>
        <v>7202.35</v>
      </c>
      <c r="T476" s="139">
        <f t="shared" si="115"/>
        <v>7202.35</v>
      </c>
      <c r="U476" s="139">
        <f t="shared" si="121"/>
        <v>0</v>
      </c>
      <c r="V476" s="11">
        <f t="shared" si="122"/>
        <v>0</v>
      </c>
    </row>
    <row r="477" spans="3:22" ht="12.75" customHeight="1">
      <c r="C477" s="20">
        <v>176880</v>
      </c>
      <c r="D477" s="20">
        <v>210</v>
      </c>
      <c r="E477" s="3" t="s">
        <v>842</v>
      </c>
      <c r="F477" s="3">
        <v>2017</v>
      </c>
      <c r="G477" s="3">
        <v>1</v>
      </c>
      <c r="H477" s="3">
        <v>0</v>
      </c>
      <c r="I477" s="3" t="s">
        <v>52</v>
      </c>
      <c r="J477" s="131">
        <v>7</v>
      </c>
      <c r="K477" s="3">
        <f t="shared" si="116"/>
        <v>2024</v>
      </c>
      <c r="L477" s="130">
        <f t="shared" si="117"/>
        <v>2024.0833333333333</v>
      </c>
      <c r="M477" s="139">
        <v>7926.03</v>
      </c>
      <c r="N477" s="139">
        <f t="shared" si="118"/>
        <v>7926.03</v>
      </c>
      <c r="O477" s="139">
        <f t="shared" si="119"/>
        <v>94.357500000000002</v>
      </c>
      <c r="P477" s="139">
        <f t="shared" si="120"/>
        <v>1132.29</v>
      </c>
      <c r="Q477" s="342">
        <f t="shared" si="113"/>
        <v>0</v>
      </c>
      <c r="R477" s="341"/>
      <c r="S477" s="342">
        <f t="shared" si="114"/>
        <v>7926.03</v>
      </c>
      <c r="T477" s="139">
        <f t="shared" si="115"/>
        <v>7926.03</v>
      </c>
      <c r="U477" s="139">
        <f t="shared" si="121"/>
        <v>0</v>
      </c>
      <c r="V477" s="11">
        <f t="shared" si="122"/>
        <v>0</v>
      </c>
    </row>
    <row r="478" spans="3:22" ht="12.75" customHeight="1">
      <c r="C478" s="20">
        <v>176881</v>
      </c>
      <c r="D478" s="20">
        <v>630</v>
      </c>
      <c r="E478" s="3" t="s">
        <v>843</v>
      </c>
      <c r="F478" s="3">
        <v>2017</v>
      </c>
      <c r="G478" s="3">
        <v>1</v>
      </c>
      <c r="H478" s="3">
        <v>0</v>
      </c>
      <c r="I478" s="3" t="s">
        <v>52</v>
      </c>
      <c r="J478" s="131">
        <v>7</v>
      </c>
      <c r="K478" s="3">
        <f t="shared" si="116"/>
        <v>2024</v>
      </c>
      <c r="L478" s="130">
        <f t="shared" si="117"/>
        <v>2024.0833333333333</v>
      </c>
      <c r="M478" s="139">
        <v>25846</v>
      </c>
      <c r="N478" s="139">
        <f t="shared" si="118"/>
        <v>25846</v>
      </c>
      <c r="O478" s="139">
        <f t="shared" si="119"/>
        <v>307.6904761904762</v>
      </c>
      <c r="P478" s="139">
        <f t="shared" si="120"/>
        <v>3692.2857142857147</v>
      </c>
      <c r="Q478" s="342">
        <f t="shared" si="113"/>
        <v>0</v>
      </c>
      <c r="R478" s="341"/>
      <c r="S478" s="342">
        <f t="shared" si="114"/>
        <v>25846</v>
      </c>
      <c r="T478" s="139">
        <f t="shared" si="115"/>
        <v>25846</v>
      </c>
      <c r="U478" s="139">
        <f t="shared" si="121"/>
        <v>0</v>
      </c>
      <c r="V478" s="11">
        <f t="shared" si="122"/>
        <v>0</v>
      </c>
    </row>
    <row r="479" spans="3:22" ht="12.75" customHeight="1">
      <c r="C479" s="20">
        <v>176925</v>
      </c>
      <c r="D479" s="20">
        <v>680</v>
      </c>
      <c r="E479" s="3" t="s">
        <v>845</v>
      </c>
      <c r="F479" s="3">
        <v>2017</v>
      </c>
      <c r="G479" s="3">
        <v>1</v>
      </c>
      <c r="H479" s="3">
        <v>0</v>
      </c>
      <c r="I479" s="3" t="s">
        <v>52</v>
      </c>
      <c r="J479" s="131">
        <v>7</v>
      </c>
      <c r="K479" s="3">
        <f t="shared" si="116"/>
        <v>2024</v>
      </c>
      <c r="L479" s="130">
        <f t="shared" si="117"/>
        <v>2024.0833333333333</v>
      </c>
      <c r="M479" s="139">
        <v>30658.51</v>
      </c>
      <c r="N479" s="139">
        <f t="shared" si="118"/>
        <v>30658.51</v>
      </c>
      <c r="O479" s="139">
        <f t="shared" si="119"/>
        <v>364.98226190476186</v>
      </c>
      <c r="P479" s="139">
        <f t="shared" si="120"/>
        <v>4379.7871428571425</v>
      </c>
      <c r="Q479" s="342">
        <f t="shared" si="113"/>
        <v>0</v>
      </c>
      <c r="R479" s="341"/>
      <c r="S479" s="342">
        <f t="shared" si="114"/>
        <v>30658.51</v>
      </c>
      <c r="T479" s="139">
        <f t="shared" si="115"/>
        <v>30658.51</v>
      </c>
      <c r="U479" s="139">
        <f t="shared" si="121"/>
        <v>0</v>
      </c>
      <c r="V479" s="11">
        <f t="shared" si="122"/>
        <v>0</v>
      </c>
    </row>
    <row r="480" spans="3:22" ht="12.75" customHeight="1">
      <c r="C480" s="20">
        <v>176926</v>
      </c>
      <c r="D480" s="20">
        <v>840</v>
      </c>
      <c r="E480" s="3" t="s">
        <v>840</v>
      </c>
      <c r="F480" s="3">
        <v>2017</v>
      </c>
      <c r="G480" s="3">
        <v>1</v>
      </c>
      <c r="H480" s="3">
        <v>0</v>
      </c>
      <c r="I480" s="3" t="s">
        <v>52</v>
      </c>
      <c r="J480" s="131">
        <v>7</v>
      </c>
      <c r="K480" s="3">
        <f t="shared" si="116"/>
        <v>2024</v>
      </c>
      <c r="L480" s="130">
        <f t="shared" si="117"/>
        <v>2024.0833333333333</v>
      </c>
      <c r="M480" s="139">
        <v>34461.25</v>
      </c>
      <c r="N480" s="139">
        <f t="shared" si="118"/>
        <v>34461.25</v>
      </c>
      <c r="O480" s="139">
        <f t="shared" si="119"/>
        <v>410.2529761904762</v>
      </c>
      <c r="P480" s="139">
        <f t="shared" si="120"/>
        <v>4923.0357142857147</v>
      </c>
      <c r="Q480" s="342">
        <f t="shared" si="113"/>
        <v>0</v>
      </c>
      <c r="R480" s="341"/>
      <c r="S480" s="342">
        <f t="shared" si="114"/>
        <v>34461.25</v>
      </c>
      <c r="T480" s="139">
        <f t="shared" si="115"/>
        <v>34461.25</v>
      </c>
      <c r="U480" s="139">
        <f t="shared" si="121"/>
        <v>0</v>
      </c>
      <c r="V480" s="11">
        <f t="shared" si="122"/>
        <v>0</v>
      </c>
    </row>
    <row r="481" spans="3:22" ht="12.75" customHeight="1">
      <c r="C481" s="20">
        <v>176927</v>
      </c>
      <c r="D481" s="20">
        <v>840</v>
      </c>
      <c r="E481" s="3" t="s">
        <v>840</v>
      </c>
      <c r="F481" s="3">
        <v>2017</v>
      </c>
      <c r="G481" s="3">
        <v>1</v>
      </c>
      <c r="H481" s="3">
        <v>0</v>
      </c>
      <c r="I481" s="3" t="s">
        <v>52</v>
      </c>
      <c r="J481" s="131">
        <v>7</v>
      </c>
      <c r="K481" s="3">
        <f t="shared" si="116"/>
        <v>2024</v>
      </c>
      <c r="L481" s="130">
        <f t="shared" si="117"/>
        <v>2024.0833333333333</v>
      </c>
      <c r="M481" s="139">
        <v>34461.25</v>
      </c>
      <c r="N481" s="139">
        <f t="shared" si="118"/>
        <v>34461.25</v>
      </c>
      <c r="O481" s="139">
        <f t="shared" si="119"/>
        <v>410.2529761904762</v>
      </c>
      <c r="P481" s="139">
        <f t="shared" si="120"/>
        <v>4923.0357142857147</v>
      </c>
      <c r="Q481" s="342">
        <f t="shared" si="113"/>
        <v>0</v>
      </c>
      <c r="R481" s="341"/>
      <c r="S481" s="342">
        <f t="shared" si="114"/>
        <v>34461.25</v>
      </c>
      <c r="T481" s="139">
        <f t="shared" si="115"/>
        <v>34461.25</v>
      </c>
      <c r="U481" s="139">
        <f t="shared" si="121"/>
        <v>0</v>
      </c>
      <c r="V481" s="11">
        <f t="shared" si="122"/>
        <v>0</v>
      </c>
    </row>
    <row r="482" spans="3:22" ht="12" customHeight="1">
      <c r="C482" s="20">
        <v>194936</v>
      </c>
      <c r="D482" s="20">
        <v>864</v>
      </c>
      <c r="E482" s="3" t="s">
        <v>513</v>
      </c>
      <c r="F482" s="3">
        <v>2018</v>
      </c>
      <c r="G482" s="3">
        <v>1</v>
      </c>
      <c r="H482" s="3">
        <v>0</v>
      </c>
      <c r="I482" s="3" t="s">
        <v>52</v>
      </c>
      <c r="J482" s="131">
        <v>7</v>
      </c>
      <c r="K482" s="3">
        <f t="shared" si="116"/>
        <v>2025</v>
      </c>
      <c r="L482" s="130">
        <f t="shared" si="117"/>
        <v>2025.0833333333333</v>
      </c>
      <c r="M482" s="139">
        <v>39634.949999999997</v>
      </c>
      <c r="N482" s="139">
        <f t="shared" si="118"/>
        <v>39634.949999999997</v>
      </c>
      <c r="O482" s="139">
        <f t="shared" si="119"/>
        <v>471.84464285714284</v>
      </c>
      <c r="P482" s="139">
        <f t="shared" si="120"/>
        <v>5662.1357142857141</v>
      </c>
      <c r="Q482" s="342">
        <f t="shared" si="113"/>
        <v>0</v>
      </c>
      <c r="R482" s="341"/>
      <c r="S482" s="342">
        <f t="shared" si="114"/>
        <v>35388.34821428571</v>
      </c>
      <c r="T482" s="139">
        <f t="shared" si="115"/>
        <v>39634.949999999997</v>
      </c>
      <c r="U482" s="139">
        <f t="shared" si="121"/>
        <v>0</v>
      </c>
      <c r="V482" s="11">
        <f t="shared" si="122"/>
        <v>0</v>
      </c>
    </row>
    <row r="483" spans="3:22" ht="12" customHeight="1">
      <c r="C483" s="20">
        <v>196547</v>
      </c>
      <c r="D483" s="20">
        <v>312</v>
      </c>
      <c r="E483" s="3" t="s">
        <v>546</v>
      </c>
      <c r="F483" s="3">
        <v>2018</v>
      </c>
      <c r="G483" s="3">
        <v>3</v>
      </c>
      <c r="H483" s="3">
        <v>0</v>
      </c>
      <c r="I483" s="3" t="s">
        <v>52</v>
      </c>
      <c r="J483" s="131">
        <v>7</v>
      </c>
      <c r="K483" s="3">
        <f t="shared" si="116"/>
        <v>2025</v>
      </c>
      <c r="L483" s="130">
        <f t="shared" si="117"/>
        <v>2025.25</v>
      </c>
      <c r="M483" s="139">
        <v>16631.830000000002</v>
      </c>
      <c r="N483" s="139">
        <f t="shared" si="118"/>
        <v>16631.830000000002</v>
      </c>
      <c r="O483" s="139">
        <f t="shared" si="119"/>
        <v>197.99797619047624</v>
      </c>
      <c r="P483" s="139">
        <f t="shared" si="120"/>
        <v>2375.9757142857147</v>
      </c>
      <c r="Q483" s="342">
        <f t="shared" si="113"/>
        <v>0</v>
      </c>
      <c r="R483" s="341"/>
      <c r="S483" s="342">
        <f t="shared" si="114"/>
        <v>14453.852261904583</v>
      </c>
      <c r="T483" s="139">
        <f t="shared" si="115"/>
        <v>16631.830000000002</v>
      </c>
      <c r="U483" s="139">
        <f t="shared" si="121"/>
        <v>0</v>
      </c>
      <c r="V483" s="11">
        <f t="shared" si="122"/>
        <v>0</v>
      </c>
    </row>
    <row r="484" spans="3:22" ht="12" customHeight="1">
      <c r="C484" s="20">
        <v>203606</v>
      </c>
      <c r="D484" s="20">
        <v>475</v>
      </c>
      <c r="E484" s="3" t="s">
        <v>901</v>
      </c>
      <c r="F484" s="3">
        <v>2018</v>
      </c>
      <c r="G484" s="3">
        <v>7</v>
      </c>
      <c r="H484" s="3">
        <v>0</v>
      </c>
      <c r="I484" s="3" t="s">
        <v>52</v>
      </c>
      <c r="J484" s="131">
        <v>7</v>
      </c>
      <c r="K484" s="3">
        <f t="shared" si="116"/>
        <v>2025</v>
      </c>
      <c r="L484" s="130">
        <f t="shared" si="117"/>
        <v>2025.5833333333333</v>
      </c>
      <c r="M484" s="139">
        <v>18365.82</v>
      </c>
      <c r="N484" s="139">
        <f t="shared" si="118"/>
        <v>18365.82</v>
      </c>
      <c r="O484" s="139">
        <f t="shared" si="119"/>
        <v>218.64071428571427</v>
      </c>
      <c r="P484" s="139">
        <f t="shared" si="120"/>
        <v>2623.6885714285713</v>
      </c>
      <c r="Q484" s="342">
        <f t="shared" si="113"/>
        <v>2623.6885714285713</v>
      </c>
      <c r="R484" s="341"/>
      <c r="S484" s="342">
        <f t="shared" si="114"/>
        <v>15086.209285714285</v>
      </c>
      <c r="T484" s="139">
        <f t="shared" si="115"/>
        <v>17709.897857142856</v>
      </c>
      <c r="U484" s="139">
        <f t="shared" si="121"/>
        <v>655.92214285714363</v>
      </c>
      <c r="V484" s="11">
        <f t="shared" si="122"/>
        <v>655.92214285714363</v>
      </c>
    </row>
    <row r="485" spans="3:22" ht="12" customHeight="1">
      <c r="C485" s="20">
        <v>202609</v>
      </c>
      <c r="D485" s="20">
        <v>864</v>
      </c>
      <c r="E485" s="3" t="s">
        <v>902</v>
      </c>
      <c r="F485" s="3">
        <v>2018</v>
      </c>
      <c r="G485" s="3">
        <v>7</v>
      </c>
      <c r="H485" s="3">
        <v>0</v>
      </c>
      <c r="I485" s="3" t="s">
        <v>52</v>
      </c>
      <c r="J485" s="131">
        <v>7</v>
      </c>
      <c r="K485" s="3">
        <f t="shared" si="116"/>
        <v>2025</v>
      </c>
      <c r="L485" s="130">
        <f t="shared" si="117"/>
        <v>2025.5833333333333</v>
      </c>
      <c r="M485" s="139">
        <v>40306.68</v>
      </c>
      <c r="N485" s="139">
        <f t="shared" si="118"/>
        <v>40306.68</v>
      </c>
      <c r="O485" s="139">
        <f t="shared" si="119"/>
        <v>479.84142857142859</v>
      </c>
      <c r="P485" s="139">
        <f t="shared" si="120"/>
        <v>5758.0971428571429</v>
      </c>
      <c r="Q485" s="342">
        <f t="shared" si="113"/>
        <v>5758.0971428571429</v>
      </c>
      <c r="R485" s="341"/>
      <c r="S485" s="342">
        <f t="shared" si="114"/>
        <v>33109.05857142857</v>
      </c>
      <c r="T485" s="139">
        <f t="shared" si="115"/>
        <v>38867.155714285713</v>
      </c>
      <c r="U485" s="139">
        <f t="shared" si="121"/>
        <v>1439.5242857142875</v>
      </c>
      <c r="V485" s="11">
        <f t="shared" si="122"/>
        <v>1439.5242857142875</v>
      </c>
    </row>
    <row r="486" spans="3:22" ht="12" customHeight="1">
      <c r="C486" s="20">
        <v>202478</v>
      </c>
      <c r="D486" s="20">
        <v>864</v>
      </c>
      <c r="E486" s="3" t="s">
        <v>903</v>
      </c>
      <c r="F486" s="3">
        <v>2018</v>
      </c>
      <c r="G486" s="3">
        <v>6</v>
      </c>
      <c r="H486" s="3">
        <v>0</v>
      </c>
      <c r="I486" s="3" t="s">
        <v>52</v>
      </c>
      <c r="J486" s="131">
        <v>7</v>
      </c>
      <c r="K486" s="3">
        <f t="shared" si="116"/>
        <v>2025</v>
      </c>
      <c r="L486" s="130">
        <f t="shared" si="117"/>
        <v>2025.5</v>
      </c>
      <c r="M486" s="139">
        <v>40104.33</v>
      </c>
      <c r="N486" s="139">
        <f t="shared" si="118"/>
        <v>40104.33</v>
      </c>
      <c r="O486" s="139">
        <f t="shared" si="119"/>
        <v>477.43250000000006</v>
      </c>
      <c r="P486" s="139">
        <f t="shared" si="120"/>
        <v>5729.1900000000005</v>
      </c>
      <c r="Q486" s="342">
        <f t="shared" si="113"/>
        <v>5729.1900000000005</v>
      </c>
      <c r="R486" s="341"/>
      <c r="S486" s="342">
        <f t="shared" si="114"/>
        <v>33420.274999999565</v>
      </c>
      <c r="T486" s="139">
        <f t="shared" si="115"/>
        <v>39149.464999999567</v>
      </c>
      <c r="U486" s="139">
        <f t="shared" si="121"/>
        <v>954.86500000043452</v>
      </c>
      <c r="V486" s="11">
        <f t="shared" si="122"/>
        <v>954.86500000043452</v>
      </c>
    </row>
    <row r="487" spans="3:22" ht="12" customHeight="1">
      <c r="C487" s="20">
        <v>201172</v>
      </c>
      <c r="D487" s="20">
        <v>624</v>
      </c>
      <c r="E487" s="3" t="s">
        <v>903</v>
      </c>
      <c r="F487" s="3">
        <v>2018</v>
      </c>
      <c r="G487" s="3">
        <v>6</v>
      </c>
      <c r="H487" s="3">
        <v>0</v>
      </c>
      <c r="I487" s="3" t="s">
        <v>52</v>
      </c>
      <c r="J487" s="131">
        <v>7</v>
      </c>
      <c r="K487" s="3">
        <f t="shared" si="116"/>
        <v>2025</v>
      </c>
      <c r="L487" s="130">
        <f t="shared" si="117"/>
        <v>2025.5</v>
      </c>
      <c r="M487" s="139">
        <v>33629.019999999997</v>
      </c>
      <c r="N487" s="139">
        <f t="shared" si="118"/>
        <v>33629.019999999997</v>
      </c>
      <c r="O487" s="139">
        <f t="shared" si="119"/>
        <v>400.34547619047612</v>
      </c>
      <c r="P487" s="139">
        <f t="shared" si="120"/>
        <v>4804.1457142857134</v>
      </c>
      <c r="Q487" s="342">
        <f t="shared" si="113"/>
        <v>4804.1457142857134</v>
      </c>
      <c r="R487" s="341"/>
      <c r="S487" s="342">
        <f t="shared" si="114"/>
        <v>28024.183333332967</v>
      </c>
      <c r="T487" s="139">
        <f t="shared" si="115"/>
        <v>32828.329047618681</v>
      </c>
      <c r="U487" s="139">
        <f t="shared" si="121"/>
        <v>800.69095238131558</v>
      </c>
      <c r="V487" s="11">
        <f t="shared" si="122"/>
        <v>800.69095238131558</v>
      </c>
    </row>
    <row r="488" spans="3:22" ht="12" customHeight="1">
      <c r="C488" s="20">
        <v>212879</v>
      </c>
      <c r="D488" s="20">
        <v>864</v>
      </c>
      <c r="E488" s="3" t="s">
        <v>902</v>
      </c>
      <c r="F488" s="3">
        <v>2019</v>
      </c>
      <c r="G488" s="3">
        <v>3</v>
      </c>
      <c r="H488" s="3">
        <v>0</v>
      </c>
      <c r="I488" s="3" t="s">
        <v>52</v>
      </c>
      <c r="J488" s="131">
        <v>7</v>
      </c>
      <c r="K488" s="3">
        <f t="shared" si="116"/>
        <v>2026</v>
      </c>
      <c r="L488" s="130">
        <f t="shared" si="117"/>
        <v>2026.25</v>
      </c>
      <c r="M488" s="139">
        <v>39533.47</v>
      </c>
      <c r="N488" s="139">
        <f t="shared" si="118"/>
        <v>39533.47</v>
      </c>
      <c r="O488" s="139">
        <f t="shared" si="119"/>
        <v>470.63654761904763</v>
      </c>
      <c r="P488" s="139">
        <f t="shared" si="120"/>
        <v>5647.6385714285716</v>
      </c>
      <c r="Q488" s="342">
        <f t="shared" si="113"/>
        <v>5647.6385714285716</v>
      </c>
      <c r="R488" s="341"/>
      <c r="S488" s="342">
        <f t="shared" si="114"/>
        <v>28708.829404761476</v>
      </c>
      <c r="T488" s="139">
        <f t="shared" si="115"/>
        <v>34356.467976190048</v>
      </c>
      <c r="U488" s="139">
        <f t="shared" si="121"/>
        <v>5177.0020238099532</v>
      </c>
      <c r="V488" s="11">
        <f t="shared" si="122"/>
        <v>5177.0020238099532</v>
      </c>
    </row>
    <row r="489" spans="3:22" ht="12" customHeight="1">
      <c r="C489" s="20">
        <v>216712</v>
      </c>
      <c r="D489" s="20">
        <v>200</v>
      </c>
      <c r="E489" s="3" t="s">
        <v>901</v>
      </c>
      <c r="F489" s="3">
        <v>2019</v>
      </c>
      <c r="G489" s="3">
        <v>4</v>
      </c>
      <c r="H489" s="3">
        <v>0</v>
      </c>
      <c r="I489" s="3" t="s">
        <v>52</v>
      </c>
      <c r="J489" s="131">
        <v>7</v>
      </c>
      <c r="K489" s="3">
        <f t="shared" si="116"/>
        <v>2026</v>
      </c>
      <c r="L489" s="130">
        <f t="shared" si="117"/>
        <v>2026.3333333333333</v>
      </c>
      <c r="M489" s="139">
        <v>7478.78</v>
      </c>
      <c r="N489" s="139">
        <f t="shared" si="118"/>
        <v>7478.78</v>
      </c>
      <c r="O489" s="139">
        <f t="shared" si="119"/>
        <v>89.033095238095243</v>
      </c>
      <c r="P489" s="139">
        <f t="shared" si="120"/>
        <v>1068.3971428571429</v>
      </c>
      <c r="Q489" s="342">
        <f t="shared" si="113"/>
        <v>1068.3971428571429</v>
      </c>
      <c r="R489" s="341"/>
      <c r="S489" s="342">
        <f t="shared" si="114"/>
        <v>5341.9857142857145</v>
      </c>
      <c r="T489" s="139">
        <f t="shared" si="115"/>
        <v>6410.3828571428576</v>
      </c>
      <c r="U489" s="139">
        <f t="shared" si="121"/>
        <v>1068.3971428571422</v>
      </c>
      <c r="V489" s="11">
        <f t="shared" si="122"/>
        <v>1068.3971428571422</v>
      </c>
    </row>
    <row r="490" spans="3:22" ht="12" customHeight="1">
      <c r="C490" s="20">
        <v>216711</v>
      </c>
      <c r="D490" s="20">
        <v>150</v>
      </c>
      <c r="E490" s="3" t="s">
        <v>903</v>
      </c>
      <c r="F490" s="3">
        <v>2019</v>
      </c>
      <c r="G490" s="3">
        <v>4</v>
      </c>
      <c r="H490" s="3">
        <v>0</v>
      </c>
      <c r="I490" s="3" t="s">
        <v>52</v>
      </c>
      <c r="J490" s="131">
        <v>7</v>
      </c>
      <c r="K490" s="3">
        <f t="shared" si="116"/>
        <v>2026</v>
      </c>
      <c r="L490" s="130">
        <f t="shared" si="117"/>
        <v>2026.3333333333333</v>
      </c>
      <c r="M490" s="139">
        <v>7587.03</v>
      </c>
      <c r="N490" s="139">
        <f t="shared" si="118"/>
        <v>7587.03</v>
      </c>
      <c r="O490" s="139">
        <f t="shared" si="119"/>
        <v>90.321785714285724</v>
      </c>
      <c r="P490" s="139">
        <f t="shared" si="120"/>
        <v>1083.8614285714286</v>
      </c>
      <c r="Q490" s="342">
        <f t="shared" si="113"/>
        <v>1083.8614285714286</v>
      </c>
      <c r="R490" s="341"/>
      <c r="S490" s="342">
        <f t="shared" si="114"/>
        <v>5419.307142857142</v>
      </c>
      <c r="T490" s="139">
        <f t="shared" si="115"/>
        <v>6503.1685714285704</v>
      </c>
      <c r="U490" s="139">
        <f t="shared" si="121"/>
        <v>1083.8614285714293</v>
      </c>
      <c r="V490" s="11">
        <f t="shared" si="122"/>
        <v>1083.8614285714293</v>
      </c>
    </row>
    <row r="491" spans="3:22" ht="12" customHeight="1">
      <c r="C491" s="20">
        <v>217869</v>
      </c>
      <c r="D491" s="20">
        <v>250</v>
      </c>
      <c r="E491" s="3" t="s">
        <v>903</v>
      </c>
      <c r="F491" s="3">
        <v>2019</v>
      </c>
      <c r="G491" s="3">
        <v>6</v>
      </c>
      <c r="H491" s="3">
        <v>0</v>
      </c>
      <c r="I491" s="3" t="s">
        <v>52</v>
      </c>
      <c r="J491" s="131">
        <v>7</v>
      </c>
      <c r="K491" s="3">
        <f t="shared" si="116"/>
        <v>2026</v>
      </c>
      <c r="L491" s="130">
        <f t="shared" si="117"/>
        <v>2026.5</v>
      </c>
      <c r="M491" s="139">
        <v>12697.41</v>
      </c>
      <c r="N491" s="139">
        <f t="shared" si="118"/>
        <v>12697.41</v>
      </c>
      <c r="O491" s="139">
        <f t="shared" si="119"/>
        <v>151.15964285714287</v>
      </c>
      <c r="P491" s="139">
        <f t="shared" si="120"/>
        <v>1813.9157142857143</v>
      </c>
      <c r="Q491" s="342">
        <f t="shared" si="113"/>
        <v>1813.9157142857143</v>
      </c>
      <c r="R491" s="341"/>
      <c r="S491" s="342">
        <f t="shared" si="114"/>
        <v>8767.2592857141481</v>
      </c>
      <c r="T491" s="139">
        <f t="shared" si="115"/>
        <v>10581.174999999863</v>
      </c>
      <c r="U491" s="139">
        <f t="shared" si="121"/>
        <v>2116.235000000137</v>
      </c>
      <c r="V491" s="11">
        <f t="shared" si="122"/>
        <v>2116.235000000137</v>
      </c>
    </row>
    <row r="492" spans="3:22" ht="12" customHeight="1">
      <c r="C492" s="20">
        <v>217872</v>
      </c>
      <c r="D492" s="20">
        <v>250</v>
      </c>
      <c r="E492" s="3" t="s">
        <v>902</v>
      </c>
      <c r="F492" s="3">
        <v>2019</v>
      </c>
      <c r="G492" s="3">
        <v>6</v>
      </c>
      <c r="H492" s="3">
        <v>0</v>
      </c>
      <c r="I492" s="3" t="s">
        <v>52</v>
      </c>
      <c r="J492" s="131">
        <v>7</v>
      </c>
      <c r="K492" s="3">
        <f t="shared" si="116"/>
        <v>2026</v>
      </c>
      <c r="L492" s="130">
        <f t="shared" si="117"/>
        <v>2026.5</v>
      </c>
      <c r="M492" s="139">
        <v>11598.41</v>
      </c>
      <c r="N492" s="139">
        <f t="shared" si="118"/>
        <v>11598.41</v>
      </c>
      <c r="O492" s="139">
        <f t="shared" si="119"/>
        <v>138.07630952380953</v>
      </c>
      <c r="P492" s="139">
        <f t="shared" si="120"/>
        <v>1656.9157142857143</v>
      </c>
      <c r="Q492" s="342">
        <f t="shared" si="113"/>
        <v>1656.9157142857143</v>
      </c>
      <c r="R492" s="341"/>
      <c r="S492" s="342">
        <f t="shared" si="114"/>
        <v>8008.4259523808269</v>
      </c>
      <c r="T492" s="139">
        <f t="shared" si="115"/>
        <v>9665.3416666665416</v>
      </c>
      <c r="U492" s="139">
        <f t="shared" si="121"/>
        <v>1933.0683333334582</v>
      </c>
      <c r="V492" s="11">
        <f t="shared" si="122"/>
        <v>1933.0683333334582</v>
      </c>
    </row>
    <row r="493" spans="3:22" ht="12" customHeight="1">
      <c r="C493" s="20">
        <v>220554</v>
      </c>
      <c r="D493" s="20">
        <v>864</v>
      </c>
      <c r="E493" s="3" t="s">
        <v>902</v>
      </c>
      <c r="F493" s="3">
        <v>2019</v>
      </c>
      <c r="G493" s="3">
        <v>7</v>
      </c>
      <c r="H493" s="3">
        <v>0</v>
      </c>
      <c r="I493" s="3" t="s">
        <v>52</v>
      </c>
      <c r="J493" s="131">
        <v>7</v>
      </c>
      <c r="K493" s="3">
        <f t="shared" si="116"/>
        <v>2026</v>
      </c>
      <c r="L493" s="130">
        <f t="shared" si="117"/>
        <v>2026.5833333333333</v>
      </c>
      <c r="M493" s="139">
        <v>39372.660000000003</v>
      </c>
      <c r="N493" s="139">
        <f t="shared" si="118"/>
        <v>39372.660000000003</v>
      </c>
      <c r="O493" s="139">
        <f t="shared" si="119"/>
        <v>468.7221428571429</v>
      </c>
      <c r="P493" s="139">
        <f t="shared" si="120"/>
        <v>5624.6657142857148</v>
      </c>
      <c r="Q493" s="342">
        <f t="shared" si="113"/>
        <v>5624.6657142857148</v>
      </c>
      <c r="R493" s="341"/>
      <c r="S493" s="342">
        <f t="shared" si="114"/>
        <v>26717.162142857145</v>
      </c>
      <c r="T493" s="139">
        <f t="shared" si="115"/>
        <v>32341.82785714286</v>
      </c>
      <c r="U493" s="139">
        <f t="shared" si="121"/>
        <v>7030.8321428571435</v>
      </c>
      <c r="V493" s="11">
        <f t="shared" si="122"/>
        <v>7030.8321428571435</v>
      </c>
    </row>
    <row r="494" spans="3:22" ht="12" customHeight="1">
      <c r="C494" s="20">
        <v>220556</v>
      </c>
      <c r="D494" s="20">
        <v>624</v>
      </c>
      <c r="E494" s="3" t="s">
        <v>903</v>
      </c>
      <c r="F494" s="3">
        <v>2019</v>
      </c>
      <c r="G494" s="3">
        <v>7</v>
      </c>
      <c r="H494" s="3">
        <v>0</v>
      </c>
      <c r="I494" s="3" t="s">
        <v>52</v>
      </c>
      <c r="J494" s="131">
        <v>7</v>
      </c>
      <c r="K494" s="3">
        <f t="shared" si="116"/>
        <v>2026</v>
      </c>
      <c r="L494" s="130">
        <f t="shared" si="117"/>
        <v>2026.5833333333333</v>
      </c>
      <c r="M494" s="139">
        <v>31961</v>
      </c>
      <c r="N494" s="139">
        <f t="shared" si="118"/>
        <v>31961</v>
      </c>
      <c r="O494" s="139">
        <f t="shared" si="119"/>
        <v>380.48809523809524</v>
      </c>
      <c r="P494" s="139">
        <f t="shared" si="120"/>
        <v>4565.8571428571431</v>
      </c>
      <c r="Q494" s="342">
        <f t="shared" si="113"/>
        <v>4565.8571428571431</v>
      </c>
      <c r="R494" s="341"/>
      <c r="S494" s="342">
        <f t="shared" si="114"/>
        <v>21687.821428571428</v>
      </c>
      <c r="T494" s="139">
        <f t="shared" si="115"/>
        <v>26253.678571428572</v>
      </c>
      <c r="U494" s="139">
        <f t="shared" si="121"/>
        <v>5707.3214285714275</v>
      </c>
      <c r="V494" s="11">
        <f t="shared" si="122"/>
        <v>5707.3214285714275</v>
      </c>
    </row>
    <row r="495" spans="3:22" ht="12" customHeight="1">
      <c r="C495" s="20">
        <v>228193</v>
      </c>
      <c r="D495" s="20">
        <v>864</v>
      </c>
      <c r="E495" s="3" t="s">
        <v>1071</v>
      </c>
      <c r="F495" s="3">
        <v>2020</v>
      </c>
      <c r="G495" s="3">
        <v>1</v>
      </c>
      <c r="H495" s="3">
        <v>0</v>
      </c>
      <c r="I495" s="3" t="s">
        <v>52</v>
      </c>
      <c r="J495" s="131">
        <v>7</v>
      </c>
      <c r="K495" s="3">
        <f t="shared" si="116"/>
        <v>2027</v>
      </c>
      <c r="L495" s="130">
        <f t="shared" si="117"/>
        <v>2027.0833333333333</v>
      </c>
      <c r="M495" s="139">
        <v>35360.720000000001</v>
      </c>
      <c r="N495" s="139">
        <f t="shared" si="118"/>
        <v>35360.720000000001</v>
      </c>
      <c r="O495" s="139">
        <f t="shared" si="119"/>
        <v>420.96095238095239</v>
      </c>
      <c r="P495" s="139">
        <f t="shared" si="120"/>
        <v>5051.5314285714285</v>
      </c>
      <c r="Q495" s="342">
        <f t="shared" si="113"/>
        <v>5051.5314285714285</v>
      </c>
      <c r="R495" s="341"/>
      <c r="S495" s="342">
        <f t="shared" si="114"/>
        <v>21469.008571428574</v>
      </c>
      <c r="T495" s="139">
        <f t="shared" si="115"/>
        <v>26520.54</v>
      </c>
      <c r="U495" s="139">
        <f t="shared" si="121"/>
        <v>8840.18</v>
      </c>
      <c r="V495" s="11">
        <f t="shared" si="122"/>
        <v>8840.18</v>
      </c>
    </row>
    <row r="496" spans="3:22" ht="12" customHeight="1">
      <c r="C496" s="20">
        <v>228191</v>
      </c>
      <c r="D496" s="20">
        <v>312</v>
      </c>
      <c r="E496" s="3" t="s">
        <v>1072</v>
      </c>
      <c r="F496" s="3">
        <v>2020</v>
      </c>
      <c r="G496" s="3">
        <v>1</v>
      </c>
      <c r="H496" s="3">
        <v>0</v>
      </c>
      <c r="I496" s="3" t="s">
        <v>52</v>
      </c>
      <c r="J496" s="131">
        <v>7</v>
      </c>
      <c r="K496" s="3">
        <f>F496+J496</f>
        <v>2027</v>
      </c>
      <c r="L496" s="130">
        <f t="shared" si="117"/>
        <v>2027.0833333333333</v>
      </c>
      <c r="M496" s="139">
        <v>14226.43</v>
      </c>
      <c r="N496" s="139">
        <f t="shared" si="118"/>
        <v>14226.43</v>
      </c>
      <c r="O496" s="139">
        <f t="shared" si="119"/>
        <v>169.36226190476191</v>
      </c>
      <c r="P496" s="139">
        <f t="shared" si="120"/>
        <v>2032.3471428571429</v>
      </c>
      <c r="Q496" s="342">
        <f t="shared" si="113"/>
        <v>2032.3471428571429</v>
      </c>
      <c r="R496" s="341"/>
      <c r="S496" s="342">
        <f t="shared" si="114"/>
        <v>8637.4753571428573</v>
      </c>
      <c r="T496" s="139">
        <f t="shared" si="115"/>
        <v>10669.8225</v>
      </c>
      <c r="U496" s="139">
        <f t="shared" si="121"/>
        <v>3556.6075000000001</v>
      </c>
      <c r="V496" s="11">
        <f t="shared" si="122"/>
        <v>3556.6075000000001</v>
      </c>
    </row>
    <row r="497" spans="3:22" ht="12" customHeight="1">
      <c r="C497" s="20">
        <v>228985</v>
      </c>
      <c r="D497" s="20">
        <v>1872</v>
      </c>
      <c r="E497" s="3" t="s">
        <v>1071</v>
      </c>
      <c r="F497" s="3">
        <v>2020</v>
      </c>
      <c r="G497" s="3">
        <v>2</v>
      </c>
      <c r="H497" s="3">
        <v>0</v>
      </c>
      <c r="I497" s="3" t="s">
        <v>52</v>
      </c>
      <c r="J497" s="131">
        <v>7</v>
      </c>
      <c r="K497" s="3">
        <f>F497+J497</f>
        <v>2027</v>
      </c>
      <c r="L497" s="130">
        <f t="shared" si="117"/>
        <v>2027.1666666666667</v>
      </c>
      <c r="M497" s="139">
        <v>73734.64</v>
      </c>
      <c r="N497" s="139">
        <f t="shared" si="118"/>
        <v>73734.64</v>
      </c>
      <c r="O497" s="139">
        <f t="shared" si="119"/>
        <v>877.79333333333341</v>
      </c>
      <c r="P497" s="139">
        <f t="shared" si="120"/>
        <v>10533.52</v>
      </c>
      <c r="Q497" s="342">
        <f t="shared" si="113"/>
        <v>10533.52</v>
      </c>
      <c r="R497" s="341"/>
      <c r="S497" s="342">
        <f t="shared" si="114"/>
        <v>43889.666666665071</v>
      </c>
      <c r="T497" s="139">
        <f t="shared" si="115"/>
        <v>54423.186666665075</v>
      </c>
      <c r="U497" s="139">
        <f t="shared" si="121"/>
        <v>19311.453333334925</v>
      </c>
      <c r="V497" s="11">
        <f t="shared" si="122"/>
        <v>19311.453333334925</v>
      </c>
    </row>
    <row r="498" spans="3:22" ht="12" customHeight="1">
      <c r="C498" s="20">
        <v>233199</v>
      </c>
      <c r="D498" s="20">
        <v>624</v>
      </c>
      <c r="E498" s="3" t="s">
        <v>1072</v>
      </c>
      <c r="F498" s="3">
        <v>2020</v>
      </c>
      <c r="G498" s="3">
        <v>4</v>
      </c>
      <c r="H498" s="3">
        <v>0</v>
      </c>
      <c r="I498" s="3" t="s">
        <v>52</v>
      </c>
      <c r="J498" s="131">
        <v>7</v>
      </c>
      <c r="K498" s="3">
        <f>F498+J498</f>
        <v>2027</v>
      </c>
      <c r="L498" s="130">
        <f t="shared" si="117"/>
        <v>2027.3333333333333</v>
      </c>
      <c r="M498" s="139">
        <v>25373.71</v>
      </c>
      <c r="N498" s="139">
        <f t="shared" si="118"/>
        <v>25373.71</v>
      </c>
      <c r="O498" s="139">
        <f t="shared" si="119"/>
        <v>302.06797619047614</v>
      </c>
      <c r="P498" s="139">
        <f t="shared" si="120"/>
        <v>3624.8157142857135</v>
      </c>
      <c r="Q498" s="342">
        <f t="shared" si="113"/>
        <v>3624.8157142857135</v>
      </c>
      <c r="R498" s="341"/>
      <c r="S498" s="342">
        <f t="shared" si="114"/>
        <v>14499.262857142858</v>
      </c>
      <c r="T498" s="139">
        <f t="shared" si="115"/>
        <v>18124.07857142857</v>
      </c>
      <c r="U498" s="139">
        <f t="shared" si="121"/>
        <v>7249.6314285714288</v>
      </c>
      <c r="V498" s="11">
        <f t="shared" si="122"/>
        <v>7249.6314285714288</v>
      </c>
    </row>
    <row r="499" spans="3:22" ht="12" customHeight="1">
      <c r="C499" s="20">
        <v>233286</v>
      </c>
      <c r="D499" s="20">
        <v>702</v>
      </c>
      <c r="E499" s="3" t="s">
        <v>1072</v>
      </c>
      <c r="F499" s="3">
        <v>2020</v>
      </c>
      <c r="G499" s="3">
        <v>5</v>
      </c>
      <c r="H499" s="3">
        <v>0</v>
      </c>
      <c r="I499" s="3" t="s">
        <v>52</v>
      </c>
      <c r="J499" s="131">
        <v>7</v>
      </c>
      <c r="K499" s="3">
        <f>F499+J499</f>
        <v>2027</v>
      </c>
      <c r="L499" s="130">
        <f t="shared" si="117"/>
        <v>2027.4166666666667</v>
      </c>
      <c r="M499" s="139">
        <v>27943.66</v>
      </c>
      <c r="N499" s="139">
        <f t="shared" si="118"/>
        <v>27943.66</v>
      </c>
      <c r="O499" s="139">
        <f t="shared" si="119"/>
        <v>332.66261904761905</v>
      </c>
      <c r="P499" s="139">
        <f t="shared" si="120"/>
        <v>3991.9514285714286</v>
      </c>
      <c r="Q499" s="342">
        <f t="shared" si="113"/>
        <v>3991.9514285714286</v>
      </c>
      <c r="R499" s="341"/>
      <c r="S499" s="342">
        <f t="shared" si="114"/>
        <v>15635.14309523749</v>
      </c>
      <c r="T499" s="139">
        <f t="shared" si="115"/>
        <v>19627.094523808919</v>
      </c>
      <c r="U499" s="139">
        <f t="shared" si="121"/>
        <v>8316.565476191081</v>
      </c>
      <c r="V499" s="11">
        <f t="shared" si="122"/>
        <v>8316.565476191081</v>
      </c>
    </row>
    <row r="500" spans="3:22" ht="12" customHeight="1">
      <c r="C500" s="20">
        <v>236434</v>
      </c>
      <c r="D500" s="20">
        <v>936</v>
      </c>
      <c r="E500" s="3" t="s">
        <v>1071</v>
      </c>
      <c r="F500" s="3">
        <v>2020</v>
      </c>
      <c r="G500" s="3">
        <v>8</v>
      </c>
      <c r="H500" s="3">
        <v>0</v>
      </c>
      <c r="I500" s="3" t="s">
        <v>52</v>
      </c>
      <c r="J500" s="131">
        <v>7</v>
      </c>
      <c r="K500" s="3">
        <f t="shared" ref="K500:K507" si="123">F500+J500</f>
        <v>2027</v>
      </c>
      <c r="L500" s="130">
        <f t="shared" ref="L500:L507" si="124">+K500+(G500/12)</f>
        <v>2027.6666666666667</v>
      </c>
      <c r="M500" s="139">
        <v>36147.24</v>
      </c>
      <c r="N500" s="139">
        <f t="shared" ref="N500:N506" si="125">M500-M500*H500</f>
        <v>36147.24</v>
      </c>
      <c r="O500" s="139">
        <f t="shared" ref="O500:O506" si="126">N500/J500/12</f>
        <v>430.32428571428568</v>
      </c>
      <c r="P500" s="139">
        <f t="shared" ref="P500:P506" si="127">+O500*12</f>
        <v>5163.8914285714282</v>
      </c>
      <c r="Q500" s="342">
        <f t="shared" si="113"/>
        <v>5163.8914285714282</v>
      </c>
      <c r="R500" s="341"/>
      <c r="S500" s="342">
        <f t="shared" si="114"/>
        <v>18934.268571427787</v>
      </c>
      <c r="T500" s="139">
        <f t="shared" si="115"/>
        <v>24098.159999999214</v>
      </c>
      <c r="U500" s="139">
        <f t="shared" si="121"/>
        <v>12049.080000000784</v>
      </c>
      <c r="V500" s="11">
        <f t="shared" ref="V500:V506" si="128">M500-T500</f>
        <v>12049.080000000784</v>
      </c>
    </row>
    <row r="501" spans="3:22" ht="12" customHeight="1">
      <c r="C501" s="20">
        <v>236708</v>
      </c>
      <c r="D501" s="20">
        <v>351</v>
      </c>
      <c r="E501" s="3" t="s">
        <v>1072</v>
      </c>
      <c r="F501" s="3">
        <v>2020</v>
      </c>
      <c r="G501" s="3">
        <v>8</v>
      </c>
      <c r="H501" s="3">
        <v>0</v>
      </c>
      <c r="I501" s="3" t="s">
        <v>52</v>
      </c>
      <c r="J501" s="131">
        <v>7</v>
      </c>
      <c r="K501" s="3">
        <f t="shared" si="123"/>
        <v>2027</v>
      </c>
      <c r="L501" s="130">
        <f t="shared" si="124"/>
        <v>2027.6666666666667</v>
      </c>
      <c r="M501" s="139">
        <v>15098.22</v>
      </c>
      <c r="N501" s="139">
        <f t="shared" si="125"/>
        <v>15098.22</v>
      </c>
      <c r="O501" s="139">
        <f t="shared" si="126"/>
        <v>179.74071428571426</v>
      </c>
      <c r="P501" s="139">
        <f t="shared" si="127"/>
        <v>2156.8885714285711</v>
      </c>
      <c r="Q501" s="342">
        <f t="shared" si="113"/>
        <v>2156.8885714285711</v>
      </c>
      <c r="R501" s="341"/>
      <c r="S501" s="342">
        <f t="shared" si="114"/>
        <v>7908.5914285711024</v>
      </c>
      <c r="T501" s="139">
        <f t="shared" si="115"/>
        <v>10065.479999999674</v>
      </c>
      <c r="U501" s="139">
        <f t="shared" si="121"/>
        <v>5032.7400000003254</v>
      </c>
      <c r="V501" s="11">
        <f t="shared" si="128"/>
        <v>5032.7400000003254</v>
      </c>
    </row>
    <row r="502" spans="3:22" ht="12" customHeight="1">
      <c r="C502" s="20">
        <v>240334</v>
      </c>
      <c r="D502" s="20">
        <v>116</v>
      </c>
      <c r="E502" s="3" t="s">
        <v>1094</v>
      </c>
      <c r="F502" s="3">
        <v>2020</v>
      </c>
      <c r="G502" s="3">
        <v>10</v>
      </c>
      <c r="H502" s="3">
        <v>0</v>
      </c>
      <c r="I502" s="3" t="s">
        <v>52</v>
      </c>
      <c r="J502" s="131">
        <v>7</v>
      </c>
      <c r="K502" s="3">
        <f t="shared" si="123"/>
        <v>2027</v>
      </c>
      <c r="L502" s="130">
        <f t="shared" si="124"/>
        <v>2027.8333333333333</v>
      </c>
      <c r="M502" s="139">
        <v>773.22</v>
      </c>
      <c r="N502" s="139">
        <f t="shared" si="125"/>
        <v>773.22</v>
      </c>
      <c r="O502" s="139">
        <f t="shared" si="126"/>
        <v>9.2050000000000001</v>
      </c>
      <c r="P502" s="139">
        <f t="shared" si="127"/>
        <v>110.46000000000001</v>
      </c>
      <c r="Q502" s="342">
        <f t="shared" si="113"/>
        <v>110.46000000000001</v>
      </c>
      <c r="R502" s="341"/>
      <c r="S502" s="342">
        <f t="shared" si="114"/>
        <v>386.61</v>
      </c>
      <c r="T502" s="139">
        <f t="shared" si="115"/>
        <v>497.07000000000005</v>
      </c>
      <c r="U502" s="139">
        <f t="shared" si="121"/>
        <v>276.14999999999998</v>
      </c>
      <c r="V502" s="11">
        <f t="shared" si="128"/>
        <v>276.14999999999998</v>
      </c>
    </row>
    <row r="503" spans="3:22" ht="12" customHeight="1">
      <c r="C503" s="20">
        <v>240336</v>
      </c>
      <c r="D503" s="20">
        <v>27</v>
      </c>
      <c r="E503" s="3" t="s">
        <v>1095</v>
      </c>
      <c r="F503" s="3">
        <v>2020</v>
      </c>
      <c r="G503" s="3">
        <v>10</v>
      </c>
      <c r="H503" s="3">
        <v>0</v>
      </c>
      <c r="I503" s="3" t="s">
        <v>52</v>
      </c>
      <c r="J503" s="131">
        <v>7</v>
      </c>
      <c r="K503" s="3">
        <f t="shared" si="123"/>
        <v>2027</v>
      </c>
      <c r="L503" s="130">
        <f t="shared" si="124"/>
        <v>2027.8333333333333</v>
      </c>
      <c r="M503" s="139">
        <v>179.97</v>
      </c>
      <c r="N503" s="139">
        <f t="shared" si="125"/>
        <v>179.97</v>
      </c>
      <c r="O503" s="139">
        <f t="shared" si="126"/>
        <v>2.1425000000000001</v>
      </c>
      <c r="P503" s="139">
        <f t="shared" si="127"/>
        <v>25.71</v>
      </c>
      <c r="Q503" s="342">
        <f t="shared" si="113"/>
        <v>25.71</v>
      </c>
      <c r="R503" s="341"/>
      <c r="S503" s="342">
        <f t="shared" si="114"/>
        <v>89.984999999999999</v>
      </c>
      <c r="T503" s="139">
        <f t="shared" si="115"/>
        <v>115.69499999999999</v>
      </c>
      <c r="U503" s="139">
        <f t="shared" si="121"/>
        <v>64.275000000000006</v>
      </c>
      <c r="V503" s="11">
        <f t="shared" si="128"/>
        <v>64.275000000000006</v>
      </c>
    </row>
    <row r="504" spans="3:22" ht="12" customHeight="1">
      <c r="C504" s="20">
        <v>240337</v>
      </c>
      <c r="D504" s="20">
        <v>8</v>
      </c>
      <c r="E504" s="3" t="s">
        <v>1096</v>
      </c>
      <c r="F504" s="3">
        <v>2020</v>
      </c>
      <c r="G504" s="3">
        <v>10</v>
      </c>
      <c r="H504" s="3">
        <v>0</v>
      </c>
      <c r="I504" s="3" t="s">
        <v>52</v>
      </c>
      <c r="J504" s="131">
        <v>7</v>
      </c>
      <c r="K504" s="3">
        <f t="shared" si="123"/>
        <v>2027</v>
      </c>
      <c r="L504" s="130">
        <f t="shared" si="124"/>
        <v>2027.8333333333333</v>
      </c>
      <c r="M504" s="139">
        <v>53.33</v>
      </c>
      <c r="N504" s="139">
        <f t="shared" si="125"/>
        <v>53.33</v>
      </c>
      <c r="O504" s="139">
        <f t="shared" si="126"/>
        <v>0.63488095238095232</v>
      </c>
      <c r="P504" s="139">
        <f t="shared" si="127"/>
        <v>7.6185714285714283</v>
      </c>
      <c r="Q504" s="342">
        <f t="shared" si="113"/>
        <v>7.6185714285714283</v>
      </c>
      <c r="R504" s="341"/>
      <c r="S504" s="342">
        <f t="shared" si="114"/>
        <v>26.664999999999999</v>
      </c>
      <c r="T504" s="139">
        <f t="shared" si="115"/>
        <v>34.283571428571427</v>
      </c>
      <c r="U504" s="139">
        <f t="shared" si="121"/>
        <v>19.046428571428571</v>
      </c>
      <c r="V504" s="11">
        <f t="shared" si="128"/>
        <v>19.046428571428571</v>
      </c>
    </row>
    <row r="505" spans="3:22" ht="12" customHeight="1">
      <c r="C505" s="20">
        <v>240338</v>
      </c>
      <c r="D505" s="20">
        <v>340</v>
      </c>
      <c r="E505" s="3" t="s">
        <v>1097</v>
      </c>
      <c r="F505" s="3">
        <v>2020</v>
      </c>
      <c r="G505" s="3">
        <v>10</v>
      </c>
      <c r="H505" s="3">
        <v>0</v>
      </c>
      <c r="I505" s="3" t="s">
        <v>52</v>
      </c>
      <c r="J505" s="131">
        <v>7</v>
      </c>
      <c r="K505" s="3">
        <f t="shared" si="123"/>
        <v>2027</v>
      </c>
      <c r="L505" s="130">
        <f t="shared" si="124"/>
        <v>2027.8333333333333</v>
      </c>
      <c r="M505" s="139">
        <v>2266.3200000000002</v>
      </c>
      <c r="N505" s="139">
        <f t="shared" si="125"/>
        <v>2266.3200000000002</v>
      </c>
      <c r="O505" s="139">
        <f t="shared" si="126"/>
        <v>26.980000000000004</v>
      </c>
      <c r="P505" s="139">
        <f t="shared" si="127"/>
        <v>323.76000000000005</v>
      </c>
      <c r="Q505" s="342">
        <f t="shared" si="113"/>
        <v>323.76000000000005</v>
      </c>
      <c r="R505" s="341"/>
      <c r="S505" s="342">
        <f t="shared" si="114"/>
        <v>1133.1600000000001</v>
      </c>
      <c r="T505" s="139">
        <f t="shared" si="115"/>
        <v>1456.92</v>
      </c>
      <c r="U505" s="139">
        <f t="shared" si="121"/>
        <v>809.40000000000009</v>
      </c>
      <c r="V505" s="11">
        <f t="shared" si="128"/>
        <v>809.40000000000009</v>
      </c>
    </row>
    <row r="506" spans="3:22" ht="12" customHeight="1">
      <c r="C506" s="20">
        <v>241354</v>
      </c>
      <c r="D506" s="20">
        <v>936</v>
      </c>
      <c r="E506" s="3" t="s">
        <v>1098</v>
      </c>
      <c r="F506" s="3">
        <v>2020</v>
      </c>
      <c r="G506" s="3">
        <v>9</v>
      </c>
      <c r="H506" s="3">
        <v>0</v>
      </c>
      <c r="I506" s="3" t="s">
        <v>52</v>
      </c>
      <c r="J506" s="131">
        <v>7</v>
      </c>
      <c r="K506" s="3">
        <f t="shared" si="123"/>
        <v>2027</v>
      </c>
      <c r="L506" s="130">
        <f t="shared" si="124"/>
        <v>2027.75</v>
      </c>
      <c r="M506" s="139">
        <v>34912.86</v>
      </c>
      <c r="N506" s="139">
        <f t="shared" si="125"/>
        <v>34912.86</v>
      </c>
      <c r="O506" s="139">
        <f t="shared" si="126"/>
        <v>415.62928571428574</v>
      </c>
      <c r="P506" s="139">
        <f t="shared" si="127"/>
        <v>4987.5514285714289</v>
      </c>
      <c r="Q506" s="342">
        <f t="shared" si="113"/>
        <v>4987.5514285714289</v>
      </c>
      <c r="R506" s="341"/>
      <c r="S506" s="342">
        <f t="shared" si="114"/>
        <v>17872.059285713905</v>
      </c>
      <c r="T506" s="139">
        <f t="shared" si="115"/>
        <v>22859.610714285336</v>
      </c>
      <c r="U506" s="139">
        <f t="shared" si="121"/>
        <v>12053.249285714664</v>
      </c>
      <c r="V506" s="11">
        <f t="shared" si="128"/>
        <v>12053.249285714664</v>
      </c>
    </row>
    <row r="507" spans="3:22" ht="12" customHeight="1">
      <c r="C507" s="20">
        <v>254566</v>
      </c>
      <c r="D507" s="20">
        <v>468</v>
      </c>
      <c r="E507" s="3" t="s">
        <v>1133</v>
      </c>
      <c r="F507" s="3">
        <v>2021</v>
      </c>
      <c r="G507" s="3">
        <v>6</v>
      </c>
      <c r="H507" s="3">
        <v>0</v>
      </c>
      <c r="I507" s="3" t="s">
        <v>52</v>
      </c>
      <c r="J507" s="131">
        <v>7</v>
      </c>
      <c r="K507" s="3">
        <f t="shared" si="123"/>
        <v>2028</v>
      </c>
      <c r="L507" s="130">
        <f t="shared" si="124"/>
        <v>2028.5</v>
      </c>
      <c r="M507" s="139">
        <v>24312.47</v>
      </c>
      <c r="N507" s="139">
        <f t="shared" ref="N507:N517" si="129">M507-M507*H507</f>
        <v>24312.47</v>
      </c>
      <c r="O507" s="139">
        <f t="shared" ref="O507:O517" si="130">N507/J507/12</f>
        <v>289.43416666666667</v>
      </c>
      <c r="P507" s="139">
        <f t="shared" ref="P507:P517" si="131">+O507*12</f>
        <v>3473.21</v>
      </c>
      <c r="Q507" s="342">
        <f t="shared" si="113"/>
        <v>3473.21</v>
      </c>
      <c r="R507" s="341"/>
      <c r="S507" s="342">
        <f t="shared" si="114"/>
        <v>9840.7616666664053</v>
      </c>
      <c r="T507" s="139">
        <f t="shared" si="115"/>
        <v>13313.971666666406</v>
      </c>
      <c r="U507" s="139">
        <f t="shared" ref="U507:U517" si="132">M507-T507</f>
        <v>10998.498333333595</v>
      </c>
      <c r="V507" s="11">
        <f t="shared" ref="V507:V517" si="133">M507-T507</f>
        <v>10998.498333333595</v>
      </c>
    </row>
    <row r="508" spans="3:22" ht="12" customHeight="1">
      <c r="C508" s="20">
        <v>246304</v>
      </c>
      <c r="D508" s="20">
        <v>169</v>
      </c>
      <c r="E508" s="3" t="s">
        <v>1134</v>
      </c>
      <c r="F508" s="3">
        <v>2021</v>
      </c>
      <c r="G508" s="3">
        <v>1</v>
      </c>
      <c r="H508" s="3">
        <v>0</v>
      </c>
      <c r="I508" s="3" t="s">
        <v>52</v>
      </c>
      <c r="J508" s="131">
        <v>7</v>
      </c>
      <c r="K508" s="3">
        <f t="shared" ref="K508:K517" si="134">F508+J508</f>
        <v>2028</v>
      </c>
      <c r="L508" s="130">
        <f t="shared" ref="L508:L517" si="135">+K508+(G508/12)</f>
        <v>2028.0833333333333</v>
      </c>
      <c r="M508" s="139">
        <v>6786.61</v>
      </c>
      <c r="N508" s="139">
        <f t="shared" si="129"/>
        <v>6786.61</v>
      </c>
      <c r="O508" s="139">
        <f t="shared" si="130"/>
        <v>80.792976190476182</v>
      </c>
      <c r="P508" s="139">
        <f t="shared" si="131"/>
        <v>969.51571428571424</v>
      </c>
      <c r="Q508" s="342">
        <f t="shared" si="113"/>
        <v>969.51571428571424</v>
      </c>
      <c r="R508" s="341"/>
      <c r="S508" s="342">
        <f t="shared" si="114"/>
        <v>3150.9260714285715</v>
      </c>
      <c r="T508" s="139">
        <f t="shared" si="115"/>
        <v>4120.4417857142853</v>
      </c>
      <c r="U508" s="139">
        <f t="shared" si="132"/>
        <v>2666.1682142857144</v>
      </c>
      <c r="V508" s="11">
        <f t="shared" si="133"/>
        <v>2666.1682142857144</v>
      </c>
    </row>
    <row r="509" spans="3:22" ht="12" customHeight="1">
      <c r="C509" s="20">
        <v>246306</v>
      </c>
      <c r="D509" s="20">
        <v>351</v>
      </c>
      <c r="E509" s="3" t="s">
        <v>1136</v>
      </c>
      <c r="F509" s="3">
        <v>2021</v>
      </c>
      <c r="G509" s="3">
        <v>1</v>
      </c>
      <c r="H509" s="3">
        <v>0</v>
      </c>
      <c r="I509" s="3" t="s">
        <v>52</v>
      </c>
      <c r="J509" s="131">
        <v>7</v>
      </c>
      <c r="K509" s="3">
        <f t="shared" si="134"/>
        <v>2028</v>
      </c>
      <c r="L509" s="130">
        <f t="shared" si="135"/>
        <v>2028.0833333333333</v>
      </c>
      <c r="M509" s="139">
        <v>16024</v>
      </c>
      <c r="N509" s="139">
        <f t="shared" si="129"/>
        <v>16024</v>
      </c>
      <c r="O509" s="139">
        <f t="shared" si="130"/>
        <v>190.76190476190479</v>
      </c>
      <c r="P509" s="139">
        <f t="shared" si="131"/>
        <v>2289.1428571428573</v>
      </c>
      <c r="Q509" s="342">
        <f t="shared" si="113"/>
        <v>2289.1428571428573</v>
      </c>
      <c r="R509" s="341"/>
      <c r="S509" s="342">
        <f t="shared" si="114"/>
        <v>7439.7142857142844</v>
      </c>
      <c r="T509" s="139">
        <f t="shared" si="115"/>
        <v>9728.8571428571413</v>
      </c>
      <c r="U509" s="139">
        <f t="shared" si="132"/>
        <v>6295.1428571428587</v>
      </c>
      <c r="V509" s="11">
        <f t="shared" si="133"/>
        <v>6295.1428571428587</v>
      </c>
    </row>
    <row r="510" spans="3:22" ht="12" customHeight="1">
      <c r="C510" s="20">
        <v>247906</v>
      </c>
      <c r="D510" s="20">
        <v>702</v>
      </c>
      <c r="E510" s="3" t="s">
        <v>1136</v>
      </c>
      <c r="F510" s="3">
        <v>2021</v>
      </c>
      <c r="G510" s="3">
        <v>2</v>
      </c>
      <c r="H510" s="3">
        <v>0</v>
      </c>
      <c r="I510" s="3" t="s">
        <v>52</v>
      </c>
      <c r="J510" s="131">
        <v>7</v>
      </c>
      <c r="K510" s="3">
        <f t="shared" si="134"/>
        <v>2028</v>
      </c>
      <c r="L510" s="130">
        <f t="shared" si="135"/>
        <v>2028.1666666666667</v>
      </c>
      <c r="M510" s="139">
        <v>33598.730000000003</v>
      </c>
      <c r="N510" s="139">
        <f t="shared" si="129"/>
        <v>33598.730000000003</v>
      </c>
      <c r="O510" s="139">
        <f t="shared" si="130"/>
        <v>399.98488095238099</v>
      </c>
      <c r="P510" s="139">
        <f t="shared" si="131"/>
        <v>4799.8185714285719</v>
      </c>
      <c r="Q510" s="342">
        <f t="shared" si="113"/>
        <v>4799.8185714285719</v>
      </c>
      <c r="R510" s="341"/>
      <c r="S510" s="342">
        <f t="shared" si="114"/>
        <v>15199.42547618975</v>
      </c>
      <c r="T510" s="139">
        <f t="shared" si="115"/>
        <v>19999.244047618322</v>
      </c>
      <c r="U510" s="139">
        <f t="shared" si="132"/>
        <v>13599.485952381681</v>
      </c>
      <c r="V510" s="11">
        <f t="shared" si="133"/>
        <v>13599.485952381681</v>
      </c>
    </row>
    <row r="511" spans="3:22" ht="12" customHeight="1">
      <c r="C511" s="20">
        <v>247905</v>
      </c>
      <c r="D511" s="20">
        <v>936</v>
      </c>
      <c r="E511" s="3" t="s">
        <v>1134</v>
      </c>
      <c r="F511" s="3">
        <v>2021</v>
      </c>
      <c r="G511" s="3">
        <v>2</v>
      </c>
      <c r="H511" s="3">
        <v>0</v>
      </c>
      <c r="I511" s="3" t="s">
        <v>52</v>
      </c>
      <c r="J511" s="131">
        <v>7</v>
      </c>
      <c r="K511" s="3">
        <f t="shared" si="134"/>
        <v>2028</v>
      </c>
      <c r="L511" s="130">
        <f t="shared" si="135"/>
        <v>2028.1666666666667</v>
      </c>
      <c r="M511" s="139">
        <v>39655</v>
      </c>
      <c r="N511" s="139">
        <f t="shared" si="129"/>
        <v>39655</v>
      </c>
      <c r="O511" s="139">
        <f t="shared" si="130"/>
        <v>472.08333333333331</v>
      </c>
      <c r="P511" s="139">
        <f t="shared" si="131"/>
        <v>5665</v>
      </c>
      <c r="Q511" s="342">
        <f t="shared" si="113"/>
        <v>5665</v>
      </c>
      <c r="R511" s="341"/>
      <c r="S511" s="342">
        <f t="shared" si="114"/>
        <v>17939.166666665809</v>
      </c>
      <c r="T511" s="139">
        <f t="shared" si="115"/>
        <v>23604.166666665809</v>
      </c>
      <c r="U511" s="139">
        <f t="shared" si="132"/>
        <v>16050.833333334191</v>
      </c>
      <c r="V511" s="11">
        <f t="shared" si="133"/>
        <v>16050.833333334191</v>
      </c>
    </row>
    <row r="512" spans="3:22" ht="12" customHeight="1">
      <c r="C512" s="20">
        <v>250256</v>
      </c>
      <c r="D512" s="20">
        <v>702</v>
      </c>
      <c r="E512" s="3" t="s">
        <v>1136</v>
      </c>
      <c r="F512" s="3">
        <v>2021</v>
      </c>
      <c r="G512" s="3">
        <v>3</v>
      </c>
      <c r="H512" s="3">
        <v>0</v>
      </c>
      <c r="I512" s="3" t="s">
        <v>52</v>
      </c>
      <c r="J512" s="131">
        <v>7</v>
      </c>
      <c r="K512" s="3">
        <f t="shared" si="134"/>
        <v>2028</v>
      </c>
      <c r="L512" s="130">
        <f t="shared" si="135"/>
        <v>2028.25</v>
      </c>
      <c r="M512" s="139">
        <v>34293.089999999997</v>
      </c>
      <c r="N512" s="139">
        <f t="shared" si="129"/>
        <v>34293.089999999997</v>
      </c>
      <c r="O512" s="139">
        <f t="shared" si="130"/>
        <v>408.25107142857138</v>
      </c>
      <c r="P512" s="139">
        <f t="shared" si="131"/>
        <v>4899.0128571428568</v>
      </c>
      <c r="Q512" s="342">
        <f t="shared" si="113"/>
        <v>4899.0128571428568</v>
      </c>
      <c r="R512" s="341"/>
      <c r="S512" s="342">
        <f t="shared" si="114"/>
        <v>15105.289642856769</v>
      </c>
      <c r="T512" s="139">
        <f t="shared" si="115"/>
        <v>20004.302499999627</v>
      </c>
      <c r="U512" s="139">
        <f t="shared" si="132"/>
        <v>14288.78750000037</v>
      </c>
      <c r="V512" s="11">
        <f t="shared" si="133"/>
        <v>14288.78750000037</v>
      </c>
    </row>
    <row r="513" spans="1:22" ht="12" customHeight="1">
      <c r="C513" s="20">
        <v>253158</v>
      </c>
      <c r="D513" s="20">
        <v>220</v>
      </c>
      <c r="E513" s="3" t="s">
        <v>1167</v>
      </c>
      <c r="F513" s="3">
        <v>2021</v>
      </c>
      <c r="G513" s="3">
        <v>3</v>
      </c>
      <c r="H513" s="3">
        <v>0</v>
      </c>
      <c r="I513" s="3" t="s">
        <v>52</v>
      </c>
      <c r="J513" s="131">
        <v>7</v>
      </c>
      <c r="K513" s="3">
        <f t="shared" si="134"/>
        <v>2028</v>
      </c>
      <c r="L513" s="130">
        <f t="shared" si="135"/>
        <v>2028.25</v>
      </c>
      <c r="M513" s="139">
        <v>9518.8700000000008</v>
      </c>
      <c r="N513" s="139">
        <f t="shared" si="129"/>
        <v>9518.8700000000008</v>
      </c>
      <c r="O513" s="139">
        <f t="shared" si="130"/>
        <v>113.31988095238097</v>
      </c>
      <c r="P513" s="139">
        <f t="shared" si="131"/>
        <v>1359.8385714285716</v>
      </c>
      <c r="Q513" s="342">
        <f t="shared" si="113"/>
        <v>1359.8385714285716</v>
      </c>
      <c r="R513" s="341"/>
      <c r="S513" s="342">
        <f t="shared" si="114"/>
        <v>4192.8355952379925</v>
      </c>
      <c r="T513" s="139">
        <f t="shared" si="115"/>
        <v>5552.6741666665639</v>
      </c>
      <c r="U513" s="139">
        <f t="shared" si="132"/>
        <v>3966.1958333334369</v>
      </c>
      <c r="V513" s="11">
        <f t="shared" si="133"/>
        <v>3966.1958333334369</v>
      </c>
    </row>
    <row r="514" spans="1:22" ht="12" customHeight="1">
      <c r="C514" s="20">
        <v>253157</v>
      </c>
      <c r="D514" s="20">
        <v>689</v>
      </c>
      <c r="E514" s="3" t="s">
        <v>1168</v>
      </c>
      <c r="F514" s="3">
        <v>2021</v>
      </c>
      <c r="G514" s="3">
        <v>3</v>
      </c>
      <c r="H514" s="3">
        <v>0</v>
      </c>
      <c r="I514" s="3" t="s">
        <v>52</v>
      </c>
      <c r="J514" s="131">
        <v>7</v>
      </c>
      <c r="K514" s="3">
        <f t="shared" si="134"/>
        <v>2028</v>
      </c>
      <c r="L514" s="130">
        <f t="shared" si="135"/>
        <v>2028.25</v>
      </c>
      <c r="M514" s="139">
        <v>29871.98</v>
      </c>
      <c r="N514" s="139">
        <f t="shared" si="129"/>
        <v>29871.98</v>
      </c>
      <c r="O514" s="139">
        <f t="shared" si="130"/>
        <v>355.61880952380949</v>
      </c>
      <c r="P514" s="139">
        <f t="shared" si="131"/>
        <v>4267.4257142857141</v>
      </c>
      <c r="Q514" s="342">
        <f t="shared" si="113"/>
        <v>4267.4257142857141</v>
      </c>
      <c r="R514" s="341"/>
      <c r="S514" s="342">
        <f t="shared" si="114"/>
        <v>13157.89595238063</v>
      </c>
      <c r="T514" s="139">
        <f t="shared" si="115"/>
        <v>17425.321666666343</v>
      </c>
      <c r="U514" s="139">
        <f t="shared" si="132"/>
        <v>12446.658333333657</v>
      </c>
      <c r="V514" s="11">
        <f t="shared" si="133"/>
        <v>12446.658333333657</v>
      </c>
    </row>
    <row r="515" spans="1:22" ht="12" customHeight="1">
      <c r="C515" s="20">
        <v>254563</v>
      </c>
      <c r="D515" s="20">
        <v>351</v>
      </c>
      <c r="E515" s="3" t="s">
        <v>1171</v>
      </c>
      <c r="F515" s="3">
        <v>2021</v>
      </c>
      <c r="G515" s="3">
        <v>6</v>
      </c>
      <c r="H515" s="3">
        <v>0</v>
      </c>
      <c r="I515" s="3" t="s">
        <v>52</v>
      </c>
      <c r="J515" s="131">
        <v>7</v>
      </c>
      <c r="K515" s="3">
        <f t="shared" si="134"/>
        <v>2028</v>
      </c>
      <c r="L515" s="130">
        <f t="shared" si="135"/>
        <v>2028.5</v>
      </c>
      <c r="M515" s="139">
        <v>20236.400000000001</v>
      </c>
      <c r="N515" s="139">
        <f t="shared" si="129"/>
        <v>20236.400000000001</v>
      </c>
      <c r="O515" s="139">
        <f t="shared" si="130"/>
        <v>240.90952380952385</v>
      </c>
      <c r="P515" s="139">
        <f t="shared" si="131"/>
        <v>2890.9142857142861</v>
      </c>
      <c r="Q515" s="342">
        <f t="shared" si="113"/>
        <v>2890.9142857142861</v>
      </c>
      <c r="R515" s="341"/>
      <c r="S515" s="342">
        <f t="shared" si="114"/>
        <v>8190.9238095235905</v>
      </c>
      <c r="T515" s="139">
        <f t="shared" si="115"/>
        <v>11081.838095237876</v>
      </c>
      <c r="U515" s="139">
        <f t="shared" si="132"/>
        <v>9154.5619047621258</v>
      </c>
      <c r="V515" s="11">
        <f t="shared" si="133"/>
        <v>9154.5619047621258</v>
      </c>
    </row>
    <row r="516" spans="1:22" ht="12" customHeight="1">
      <c r="C516" s="20">
        <v>255874</v>
      </c>
      <c r="D516" s="20">
        <v>702</v>
      </c>
      <c r="E516" s="3" t="s">
        <v>1171</v>
      </c>
      <c r="F516" s="3">
        <v>2021</v>
      </c>
      <c r="G516" s="3">
        <v>7</v>
      </c>
      <c r="H516" s="3">
        <v>0</v>
      </c>
      <c r="I516" s="3" t="s">
        <v>52</v>
      </c>
      <c r="J516" s="131">
        <v>7</v>
      </c>
      <c r="K516" s="3">
        <f t="shared" si="134"/>
        <v>2028</v>
      </c>
      <c r="L516" s="130">
        <f t="shared" si="135"/>
        <v>2028.5833333333333</v>
      </c>
      <c r="M516" s="139">
        <v>42347.45</v>
      </c>
      <c r="N516" s="139">
        <f t="shared" si="129"/>
        <v>42347.45</v>
      </c>
      <c r="O516" s="139">
        <f t="shared" si="130"/>
        <v>504.13630952380953</v>
      </c>
      <c r="P516" s="139">
        <f t="shared" si="131"/>
        <v>6049.6357142857141</v>
      </c>
      <c r="Q516" s="342">
        <f t="shared" si="113"/>
        <v>6049.6357142857141</v>
      </c>
      <c r="R516" s="341"/>
      <c r="S516" s="342">
        <f t="shared" si="114"/>
        <v>16636.498214285712</v>
      </c>
      <c r="T516" s="139">
        <f t="shared" si="115"/>
        <v>22686.133928571428</v>
      </c>
      <c r="U516" s="139">
        <f t="shared" si="132"/>
        <v>19661.31607142857</v>
      </c>
      <c r="V516" s="11">
        <f t="shared" si="133"/>
        <v>19661.31607142857</v>
      </c>
    </row>
    <row r="517" spans="1:22" ht="12" customHeight="1">
      <c r="C517" s="20">
        <v>246303</v>
      </c>
      <c r="D517" s="20">
        <v>90</v>
      </c>
      <c r="E517" s="3" t="s">
        <v>1273</v>
      </c>
      <c r="F517" s="3">
        <v>2021</v>
      </c>
      <c r="G517" s="3">
        <v>1</v>
      </c>
      <c r="H517" s="3">
        <v>0</v>
      </c>
      <c r="I517" s="3" t="s">
        <v>52</v>
      </c>
      <c r="J517" s="131">
        <v>7</v>
      </c>
      <c r="K517" s="3">
        <f t="shared" si="134"/>
        <v>2028</v>
      </c>
      <c r="L517" s="130">
        <f t="shared" si="135"/>
        <v>2028.0833333333333</v>
      </c>
      <c r="M517" s="139">
        <v>1473.75</v>
      </c>
      <c r="N517" s="139">
        <f t="shared" si="129"/>
        <v>1473.75</v>
      </c>
      <c r="O517" s="139">
        <f t="shared" si="130"/>
        <v>17.544642857142858</v>
      </c>
      <c r="P517" s="139">
        <f t="shared" si="131"/>
        <v>210.53571428571428</v>
      </c>
      <c r="Q517" s="342">
        <f t="shared" si="113"/>
        <v>210.53571428571428</v>
      </c>
      <c r="R517" s="341"/>
      <c r="S517" s="342">
        <f t="shared" si="114"/>
        <v>684.24107142857144</v>
      </c>
      <c r="T517" s="139">
        <f t="shared" si="115"/>
        <v>894.77678571428578</v>
      </c>
      <c r="U517" s="139">
        <f t="shared" si="132"/>
        <v>578.97321428571422</v>
      </c>
      <c r="V517" s="11">
        <f t="shared" si="133"/>
        <v>578.97321428571422</v>
      </c>
    </row>
    <row r="518" spans="1:22" s="332" customFormat="1" ht="12" customHeight="1">
      <c r="A518" s="3"/>
      <c r="B518" s="3"/>
      <c r="C518" s="20" t="s">
        <v>1279</v>
      </c>
      <c r="D518" s="20">
        <v>840</v>
      </c>
      <c r="E518" s="3" t="s">
        <v>840</v>
      </c>
      <c r="F518" s="3">
        <v>2017</v>
      </c>
      <c r="G518" s="3">
        <v>1</v>
      </c>
      <c r="H518" s="3">
        <v>0</v>
      </c>
      <c r="I518" s="3" t="s">
        <v>52</v>
      </c>
      <c r="J518" s="131">
        <v>7</v>
      </c>
      <c r="K518" s="3">
        <f t="shared" ref="K518:K537" si="136">F518+J518</f>
        <v>2024</v>
      </c>
      <c r="L518" s="130">
        <f t="shared" ref="L518:L537" si="137">+K518+(G518/12)</f>
        <v>2024.0833333333333</v>
      </c>
      <c r="M518" s="139">
        <v>34278.199999999997</v>
      </c>
      <c r="N518" s="139">
        <f t="shared" ref="N518:N537" si="138">M518-M518*H518</f>
        <v>34278.199999999997</v>
      </c>
      <c r="O518" s="139">
        <f t="shared" ref="O518:O537" si="139">N518/J518/12</f>
        <v>408.07380952380953</v>
      </c>
      <c r="P518" s="139">
        <f t="shared" ref="P518:P537" si="140">+O518*12</f>
        <v>4896.8857142857141</v>
      </c>
      <c r="Q518" s="342">
        <f t="shared" si="113"/>
        <v>0</v>
      </c>
      <c r="R518" s="341"/>
      <c r="S518" s="342">
        <f t="shared" si="114"/>
        <v>34278.199999999997</v>
      </c>
      <c r="T518" s="139">
        <f t="shared" si="115"/>
        <v>34278.199999999997</v>
      </c>
      <c r="U518" s="139">
        <f t="shared" ref="U518:U537" si="141">M518-T518</f>
        <v>0</v>
      </c>
      <c r="V518" s="333">
        <f t="shared" ref="V518:V537" si="142">M518-T518</f>
        <v>0</v>
      </c>
    </row>
    <row r="519" spans="1:22" s="332" customFormat="1" ht="12" customHeight="1">
      <c r="A519" s="3"/>
      <c r="B519" s="3"/>
      <c r="C519" s="20" t="s">
        <v>1279</v>
      </c>
      <c r="D519" s="20">
        <v>840</v>
      </c>
      <c r="E519" s="3" t="s">
        <v>840</v>
      </c>
      <c r="F519" s="3">
        <v>2017</v>
      </c>
      <c r="G519" s="3">
        <v>1</v>
      </c>
      <c r="H519" s="3">
        <v>0</v>
      </c>
      <c r="I519" s="3" t="s">
        <v>52</v>
      </c>
      <c r="J519" s="131">
        <v>7</v>
      </c>
      <c r="K519" s="3">
        <f t="shared" si="136"/>
        <v>2024</v>
      </c>
      <c r="L519" s="130">
        <f t="shared" si="137"/>
        <v>2024.0833333333333</v>
      </c>
      <c r="M519" s="139">
        <v>34461.25</v>
      </c>
      <c r="N519" s="139">
        <f t="shared" si="138"/>
        <v>34461.25</v>
      </c>
      <c r="O519" s="139">
        <f t="shared" si="139"/>
        <v>410.2529761904762</v>
      </c>
      <c r="P519" s="139">
        <f t="shared" si="140"/>
        <v>4923.0357142857147</v>
      </c>
      <c r="Q519" s="342">
        <f t="shared" si="113"/>
        <v>0</v>
      </c>
      <c r="R519" s="341"/>
      <c r="S519" s="342">
        <f t="shared" si="114"/>
        <v>34461.25</v>
      </c>
      <c r="T519" s="139">
        <f t="shared" si="115"/>
        <v>34461.25</v>
      </c>
      <c r="U519" s="139">
        <f t="shared" si="141"/>
        <v>0</v>
      </c>
      <c r="V519" s="333">
        <f t="shared" si="142"/>
        <v>0</v>
      </c>
    </row>
    <row r="520" spans="1:22" s="332" customFormat="1" ht="12" customHeight="1">
      <c r="A520" s="3"/>
      <c r="B520" s="3"/>
      <c r="C520" s="20" t="s">
        <v>1279</v>
      </c>
      <c r="D520" s="20">
        <v>840</v>
      </c>
      <c r="E520" s="3" t="s">
        <v>840</v>
      </c>
      <c r="F520" s="3">
        <v>2017</v>
      </c>
      <c r="G520" s="3">
        <v>1</v>
      </c>
      <c r="H520" s="3">
        <v>0</v>
      </c>
      <c r="I520" s="3" t="s">
        <v>52</v>
      </c>
      <c r="J520" s="131">
        <v>6.11</v>
      </c>
      <c r="K520" s="3">
        <f t="shared" si="136"/>
        <v>2023.11</v>
      </c>
      <c r="L520" s="130">
        <f t="shared" si="137"/>
        <v>2023.1933333333332</v>
      </c>
      <c r="M520" s="139">
        <v>34461.25</v>
      </c>
      <c r="N520" s="139">
        <f t="shared" si="138"/>
        <v>34461.25</v>
      </c>
      <c r="O520" s="139">
        <f t="shared" si="139"/>
        <v>470.01159301691217</v>
      </c>
      <c r="P520" s="139">
        <f t="shared" si="140"/>
        <v>5640.1391162029458</v>
      </c>
      <c r="Q520" s="342">
        <f t="shared" si="113"/>
        <v>0</v>
      </c>
      <c r="R520" s="341"/>
      <c r="S520" s="342">
        <f t="shared" si="114"/>
        <v>34461.25</v>
      </c>
      <c r="T520" s="139">
        <f t="shared" si="115"/>
        <v>34461.25</v>
      </c>
      <c r="U520" s="139">
        <f t="shared" si="141"/>
        <v>0</v>
      </c>
      <c r="V520" s="333">
        <f t="shared" si="142"/>
        <v>0</v>
      </c>
    </row>
    <row r="521" spans="1:22" s="332" customFormat="1" ht="12" customHeight="1">
      <c r="A521" s="3"/>
      <c r="B521" s="3"/>
      <c r="C521" s="20" t="s">
        <v>1279</v>
      </c>
      <c r="D521" s="20">
        <v>840</v>
      </c>
      <c r="E521" s="3" t="s">
        <v>1290</v>
      </c>
      <c r="F521" s="3">
        <v>2015</v>
      </c>
      <c r="G521" s="3">
        <v>12</v>
      </c>
      <c r="H521" s="3">
        <v>0</v>
      </c>
      <c r="I521" s="3" t="s">
        <v>52</v>
      </c>
      <c r="J521" s="131">
        <v>7</v>
      </c>
      <c r="K521" s="3">
        <f t="shared" si="136"/>
        <v>2022</v>
      </c>
      <c r="L521" s="130">
        <f t="shared" si="137"/>
        <v>2023</v>
      </c>
      <c r="M521" s="139">
        <v>28717.5</v>
      </c>
      <c r="N521" s="139">
        <f t="shared" si="138"/>
        <v>28717.5</v>
      </c>
      <c r="O521" s="139">
        <f t="shared" si="139"/>
        <v>341.875</v>
      </c>
      <c r="P521" s="139">
        <f t="shared" si="140"/>
        <v>4102.5</v>
      </c>
      <c r="Q521" s="342">
        <f t="shared" si="113"/>
        <v>0</v>
      </c>
      <c r="R521" s="341"/>
      <c r="S521" s="342">
        <f t="shared" si="114"/>
        <v>28717.5</v>
      </c>
      <c r="T521" s="139">
        <f t="shared" si="115"/>
        <v>28717.5</v>
      </c>
      <c r="U521" s="139">
        <f t="shared" si="141"/>
        <v>0</v>
      </c>
      <c r="V521" s="333">
        <f t="shared" si="142"/>
        <v>0</v>
      </c>
    </row>
    <row r="522" spans="1:22" s="332" customFormat="1" ht="12" customHeight="1">
      <c r="A522" s="3"/>
      <c r="B522" s="3"/>
      <c r="C522" s="20" t="s">
        <v>1279</v>
      </c>
      <c r="D522" s="20">
        <v>840</v>
      </c>
      <c r="E522" s="3" t="s">
        <v>1290</v>
      </c>
      <c r="F522" s="3">
        <v>2015</v>
      </c>
      <c r="G522" s="3">
        <v>12</v>
      </c>
      <c r="H522" s="3">
        <v>0</v>
      </c>
      <c r="I522" s="3" t="s">
        <v>52</v>
      </c>
      <c r="J522" s="131">
        <v>7</v>
      </c>
      <c r="K522" s="3">
        <f t="shared" si="136"/>
        <v>2022</v>
      </c>
      <c r="L522" s="130">
        <f t="shared" si="137"/>
        <v>2023</v>
      </c>
      <c r="M522" s="139">
        <v>28717.5</v>
      </c>
      <c r="N522" s="139">
        <f t="shared" si="138"/>
        <v>28717.5</v>
      </c>
      <c r="O522" s="139">
        <f t="shared" si="139"/>
        <v>341.875</v>
      </c>
      <c r="P522" s="139">
        <f t="shared" si="140"/>
        <v>4102.5</v>
      </c>
      <c r="Q522" s="342">
        <f t="shared" si="113"/>
        <v>0</v>
      </c>
      <c r="R522" s="341"/>
      <c r="S522" s="342">
        <f t="shared" si="114"/>
        <v>28717.5</v>
      </c>
      <c r="T522" s="139">
        <f t="shared" si="115"/>
        <v>28717.5</v>
      </c>
      <c r="U522" s="139">
        <f t="shared" si="141"/>
        <v>0</v>
      </c>
      <c r="V522" s="333">
        <f t="shared" si="142"/>
        <v>0</v>
      </c>
    </row>
    <row r="523" spans="1:22" s="332" customFormat="1" ht="12" customHeight="1">
      <c r="A523" s="3"/>
      <c r="B523" s="3"/>
      <c r="C523" s="20" t="s">
        <v>1279</v>
      </c>
      <c r="D523" s="20">
        <v>840</v>
      </c>
      <c r="E523" s="3" t="s">
        <v>1290</v>
      </c>
      <c r="F523" s="3">
        <v>2015</v>
      </c>
      <c r="G523" s="3">
        <v>12</v>
      </c>
      <c r="H523" s="3">
        <v>0</v>
      </c>
      <c r="I523" s="3" t="s">
        <v>52</v>
      </c>
      <c r="J523" s="131">
        <v>7</v>
      </c>
      <c r="K523" s="3">
        <f t="shared" si="136"/>
        <v>2022</v>
      </c>
      <c r="L523" s="130">
        <f t="shared" si="137"/>
        <v>2023</v>
      </c>
      <c r="M523" s="139">
        <v>28717.5</v>
      </c>
      <c r="N523" s="139">
        <f t="shared" si="138"/>
        <v>28717.5</v>
      </c>
      <c r="O523" s="139">
        <f t="shared" si="139"/>
        <v>341.875</v>
      </c>
      <c r="P523" s="139">
        <f t="shared" si="140"/>
        <v>4102.5</v>
      </c>
      <c r="Q523" s="342">
        <f t="shared" si="113"/>
        <v>0</v>
      </c>
      <c r="R523" s="341"/>
      <c r="S523" s="342">
        <f t="shared" si="114"/>
        <v>28717.5</v>
      </c>
      <c r="T523" s="139">
        <f t="shared" si="115"/>
        <v>28717.5</v>
      </c>
      <c r="U523" s="139">
        <f t="shared" si="141"/>
        <v>0</v>
      </c>
      <c r="V523" s="333">
        <f t="shared" si="142"/>
        <v>0</v>
      </c>
    </row>
    <row r="524" spans="1:22" s="332" customFormat="1" ht="12" customHeight="1">
      <c r="A524" s="3"/>
      <c r="B524" s="3"/>
      <c r="C524" s="20" t="s">
        <v>1279</v>
      </c>
      <c r="D524" s="20">
        <v>840</v>
      </c>
      <c r="E524" s="3" t="s">
        <v>1291</v>
      </c>
      <c r="F524" s="3">
        <v>2015</v>
      </c>
      <c r="G524" s="3">
        <v>10</v>
      </c>
      <c r="H524" s="3">
        <v>0</v>
      </c>
      <c r="I524" s="3" t="s">
        <v>52</v>
      </c>
      <c r="J524" s="131">
        <v>7</v>
      </c>
      <c r="K524" s="3">
        <f t="shared" si="136"/>
        <v>2022</v>
      </c>
      <c r="L524" s="130">
        <f t="shared" si="137"/>
        <v>2022.8333333333333</v>
      </c>
      <c r="M524" s="139">
        <v>31841.96</v>
      </c>
      <c r="N524" s="139">
        <f t="shared" si="138"/>
        <v>31841.96</v>
      </c>
      <c r="O524" s="139">
        <f t="shared" si="139"/>
        <v>379.07095238095235</v>
      </c>
      <c r="P524" s="139">
        <f t="shared" si="140"/>
        <v>4548.8514285714282</v>
      </c>
      <c r="Q524" s="342">
        <f t="shared" si="113"/>
        <v>0</v>
      </c>
      <c r="R524" s="341"/>
      <c r="S524" s="342">
        <f t="shared" si="114"/>
        <v>31841.96</v>
      </c>
      <c r="T524" s="139">
        <f t="shared" si="115"/>
        <v>31841.96</v>
      </c>
      <c r="U524" s="139">
        <f t="shared" si="141"/>
        <v>0</v>
      </c>
      <c r="V524" s="333">
        <f t="shared" si="142"/>
        <v>0</v>
      </c>
    </row>
    <row r="525" spans="1:22" s="332" customFormat="1" ht="12" customHeight="1">
      <c r="A525" s="3"/>
      <c r="B525" s="3"/>
      <c r="C525" s="20" t="s">
        <v>1279</v>
      </c>
      <c r="D525" s="20">
        <v>440</v>
      </c>
      <c r="E525" s="3" t="s">
        <v>1292</v>
      </c>
      <c r="F525" s="3">
        <v>2015</v>
      </c>
      <c r="G525" s="3">
        <v>4</v>
      </c>
      <c r="H525" s="3">
        <v>0</v>
      </c>
      <c r="I525" s="3" t="s">
        <v>52</v>
      </c>
      <c r="J525" s="131">
        <v>7</v>
      </c>
      <c r="K525" s="3">
        <f t="shared" si="136"/>
        <v>2022</v>
      </c>
      <c r="L525" s="130">
        <f t="shared" si="137"/>
        <v>2022.3333333333333</v>
      </c>
      <c r="M525" s="139">
        <v>22154</v>
      </c>
      <c r="N525" s="139">
        <f t="shared" si="138"/>
        <v>22154</v>
      </c>
      <c r="O525" s="139">
        <f t="shared" si="139"/>
        <v>263.73809523809524</v>
      </c>
      <c r="P525" s="139">
        <f t="shared" si="140"/>
        <v>3164.8571428571431</v>
      </c>
      <c r="Q525" s="342">
        <f t="shared" si="113"/>
        <v>0</v>
      </c>
      <c r="R525" s="341"/>
      <c r="S525" s="342">
        <f t="shared" si="114"/>
        <v>22154</v>
      </c>
      <c r="T525" s="139">
        <f t="shared" si="115"/>
        <v>22154</v>
      </c>
      <c r="U525" s="139">
        <f t="shared" si="141"/>
        <v>0</v>
      </c>
      <c r="V525" s="333">
        <f t="shared" si="142"/>
        <v>0</v>
      </c>
    </row>
    <row r="526" spans="1:22" s="332" customFormat="1" ht="12" customHeight="1">
      <c r="A526" s="3"/>
      <c r="B526" s="3"/>
      <c r="C526" s="20" t="s">
        <v>1279</v>
      </c>
      <c r="D526" s="20">
        <v>864</v>
      </c>
      <c r="E526" s="3" t="s">
        <v>1293</v>
      </c>
      <c r="F526" s="3">
        <v>2015</v>
      </c>
      <c r="G526" s="3">
        <v>11</v>
      </c>
      <c r="H526" s="3">
        <v>0</v>
      </c>
      <c r="I526" s="3" t="s">
        <v>52</v>
      </c>
      <c r="J526" s="131">
        <v>7</v>
      </c>
      <c r="K526" s="3">
        <f t="shared" si="136"/>
        <v>2022</v>
      </c>
      <c r="L526" s="130">
        <f t="shared" si="137"/>
        <v>2022.9166666666667</v>
      </c>
      <c r="M526" s="139">
        <v>38184.699999999997</v>
      </c>
      <c r="N526" s="139">
        <f t="shared" si="138"/>
        <v>38184.699999999997</v>
      </c>
      <c r="O526" s="139">
        <f t="shared" si="139"/>
        <v>454.57976190476188</v>
      </c>
      <c r="P526" s="139">
        <f t="shared" si="140"/>
        <v>5454.9571428571426</v>
      </c>
      <c r="Q526" s="342">
        <f t="shared" ref="Q526:Q565" si="143">IF(L526&lt;=$N$6,0,P526)</f>
        <v>0</v>
      </c>
      <c r="R526" s="341"/>
      <c r="S526" s="342">
        <f t="shared" ref="S526:S565" si="144">+IF($L526&lt;=$N$7,$M526,IF(($F526+($G526/12))&gt;=$N$7,0,((($N526-((($L526-$N$7)*12)*$O526))))))</f>
        <v>38184.699999999997</v>
      </c>
      <c r="T526" s="139">
        <f t="shared" ref="T526:T565" si="145">IF(L526&lt;=$N$6,M526,Q526+S526)</f>
        <v>38184.699999999997</v>
      </c>
      <c r="U526" s="139">
        <f t="shared" si="141"/>
        <v>0</v>
      </c>
      <c r="V526" s="333">
        <f t="shared" si="142"/>
        <v>0</v>
      </c>
    </row>
    <row r="527" spans="1:22" s="332" customFormat="1" ht="12" customHeight="1">
      <c r="A527" s="3"/>
      <c r="B527" s="3"/>
      <c r="C527" s="20" t="s">
        <v>1279</v>
      </c>
      <c r="D527" s="20">
        <v>864</v>
      </c>
      <c r="E527" s="3" t="s">
        <v>1293</v>
      </c>
      <c r="F527" s="3">
        <v>2015</v>
      </c>
      <c r="G527" s="3">
        <v>11</v>
      </c>
      <c r="H527" s="3">
        <v>0</v>
      </c>
      <c r="I527" s="3" t="s">
        <v>52</v>
      </c>
      <c r="J527" s="131">
        <v>7</v>
      </c>
      <c r="K527" s="3">
        <f t="shared" si="136"/>
        <v>2022</v>
      </c>
      <c r="L527" s="130">
        <f t="shared" si="137"/>
        <v>2022.9166666666667</v>
      </c>
      <c r="M527" s="139">
        <v>45016.7</v>
      </c>
      <c r="N527" s="139">
        <f t="shared" si="138"/>
        <v>45016.7</v>
      </c>
      <c r="O527" s="139">
        <f t="shared" si="139"/>
        <v>535.91309523809525</v>
      </c>
      <c r="P527" s="139">
        <f t="shared" si="140"/>
        <v>6430.9571428571435</v>
      </c>
      <c r="Q527" s="342">
        <f t="shared" si="143"/>
        <v>0</v>
      </c>
      <c r="R527" s="341"/>
      <c r="S527" s="342">
        <f t="shared" si="144"/>
        <v>45016.7</v>
      </c>
      <c r="T527" s="139">
        <f t="shared" si="145"/>
        <v>45016.7</v>
      </c>
      <c r="U527" s="139">
        <f t="shared" si="141"/>
        <v>0</v>
      </c>
      <c r="V527" s="333">
        <f t="shared" si="142"/>
        <v>0</v>
      </c>
    </row>
    <row r="528" spans="1:22" s="332" customFormat="1" ht="12" customHeight="1">
      <c r="A528" s="3"/>
      <c r="B528" s="3"/>
      <c r="C528" s="20" t="s">
        <v>1279</v>
      </c>
      <c r="D528" s="20">
        <v>315</v>
      </c>
      <c r="E528" s="3" t="s">
        <v>513</v>
      </c>
      <c r="F528" s="3">
        <v>2017</v>
      </c>
      <c r="G528" s="3">
        <v>1</v>
      </c>
      <c r="H528" s="3">
        <v>0</v>
      </c>
      <c r="I528" s="3" t="s">
        <v>52</v>
      </c>
      <c r="J528" s="131">
        <v>6.11</v>
      </c>
      <c r="K528" s="3">
        <f t="shared" si="136"/>
        <v>2023.11</v>
      </c>
      <c r="L528" s="130">
        <f t="shared" si="137"/>
        <v>2023.1933333333332</v>
      </c>
      <c r="M528" s="139">
        <v>14550.04</v>
      </c>
      <c r="N528" s="139">
        <f t="shared" si="138"/>
        <v>14550.04</v>
      </c>
      <c r="O528" s="139">
        <f t="shared" si="139"/>
        <v>198.4457174031642</v>
      </c>
      <c r="P528" s="139">
        <f t="shared" si="140"/>
        <v>2381.3486088379705</v>
      </c>
      <c r="Q528" s="342">
        <f t="shared" si="143"/>
        <v>0</v>
      </c>
      <c r="R528" s="341"/>
      <c r="S528" s="342">
        <f t="shared" si="144"/>
        <v>14550.04</v>
      </c>
      <c r="T528" s="139">
        <f t="shared" si="145"/>
        <v>14550.04</v>
      </c>
      <c r="U528" s="139">
        <f t="shared" si="141"/>
        <v>0</v>
      </c>
      <c r="V528" s="333">
        <f t="shared" si="142"/>
        <v>0</v>
      </c>
    </row>
    <row r="529" spans="1:22" s="332" customFormat="1" ht="12" customHeight="1">
      <c r="A529" s="3"/>
      <c r="B529" s="3"/>
      <c r="C529" s="20" t="s">
        <v>1279</v>
      </c>
      <c r="D529" s="20">
        <v>425</v>
      </c>
      <c r="E529" s="3" t="s">
        <v>513</v>
      </c>
      <c r="F529" s="3">
        <v>2016</v>
      </c>
      <c r="G529" s="3">
        <v>8</v>
      </c>
      <c r="H529" s="3">
        <v>0</v>
      </c>
      <c r="I529" s="3" t="s">
        <v>52</v>
      </c>
      <c r="J529" s="131">
        <v>7</v>
      </c>
      <c r="K529" s="3">
        <f t="shared" si="136"/>
        <v>2023</v>
      </c>
      <c r="L529" s="130">
        <f t="shared" si="137"/>
        <v>2023.6666666666667</v>
      </c>
      <c r="M529" s="139">
        <v>18016.66</v>
      </c>
      <c r="N529" s="139">
        <f t="shared" si="138"/>
        <v>18016.66</v>
      </c>
      <c r="O529" s="139">
        <f t="shared" si="139"/>
        <v>214.4840476190476</v>
      </c>
      <c r="P529" s="139">
        <f t="shared" si="140"/>
        <v>2573.8085714285712</v>
      </c>
      <c r="Q529" s="342">
        <f t="shared" si="143"/>
        <v>0</v>
      </c>
      <c r="R529" s="341"/>
      <c r="S529" s="342">
        <f t="shared" si="144"/>
        <v>18016.66</v>
      </c>
      <c r="T529" s="139">
        <f t="shared" si="145"/>
        <v>18016.66</v>
      </c>
      <c r="U529" s="139">
        <f t="shared" si="141"/>
        <v>0</v>
      </c>
      <c r="V529" s="333">
        <f t="shared" si="142"/>
        <v>0</v>
      </c>
    </row>
    <row r="530" spans="1:22" s="332" customFormat="1" ht="12" customHeight="1">
      <c r="A530" s="3"/>
      <c r="B530" s="3"/>
      <c r="C530" s="20" t="s">
        <v>1279</v>
      </c>
      <c r="D530" s="20">
        <v>680</v>
      </c>
      <c r="E530" s="3" t="s">
        <v>845</v>
      </c>
      <c r="F530" s="3">
        <v>2017</v>
      </c>
      <c r="G530" s="3">
        <v>1</v>
      </c>
      <c r="H530" s="3">
        <v>0</v>
      </c>
      <c r="I530" s="3" t="s">
        <v>52</v>
      </c>
      <c r="J530" s="131">
        <v>7</v>
      </c>
      <c r="K530" s="3">
        <f t="shared" si="136"/>
        <v>2024</v>
      </c>
      <c r="L530" s="130">
        <f t="shared" si="137"/>
        <v>2024.0833333333333</v>
      </c>
      <c r="M530" s="139">
        <v>30658.51</v>
      </c>
      <c r="N530" s="139">
        <f t="shared" si="138"/>
        <v>30658.51</v>
      </c>
      <c r="O530" s="139">
        <f t="shared" si="139"/>
        <v>364.98226190476186</v>
      </c>
      <c r="P530" s="139">
        <f t="shared" si="140"/>
        <v>4379.7871428571425</v>
      </c>
      <c r="Q530" s="342">
        <f t="shared" si="143"/>
        <v>0</v>
      </c>
      <c r="R530" s="341"/>
      <c r="S530" s="342">
        <f t="shared" si="144"/>
        <v>30658.51</v>
      </c>
      <c r="T530" s="139">
        <f t="shared" si="145"/>
        <v>30658.51</v>
      </c>
      <c r="U530" s="139">
        <f t="shared" si="141"/>
        <v>0</v>
      </c>
      <c r="V530" s="333">
        <f t="shared" si="142"/>
        <v>0</v>
      </c>
    </row>
    <row r="531" spans="1:22" s="332" customFormat="1" ht="12" customHeight="1">
      <c r="A531" s="3"/>
      <c r="B531" s="3"/>
      <c r="C531" s="20" t="s">
        <v>1279</v>
      </c>
      <c r="D531" s="20">
        <v>550</v>
      </c>
      <c r="E531" s="3" t="s">
        <v>1294</v>
      </c>
      <c r="F531" s="3">
        <v>2015</v>
      </c>
      <c r="G531" s="3">
        <v>10</v>
      </c>
      <c r="H531" s="3">
        <v>0</v>
      </c>
      <c r="I531" s="3" t="s">
        <v>52</v>
      </c>
      <c r="J531" s="131">
        <v>7</v>
      </c>
      <c r="K531" s="3">
        <f t="shared" si="136"/>
        <v>2022</v>
      </c>
      <c r="L531" s="130">
        <f t="shared" si="137"/>
        <v>2022.8333333333333</v>
      </c>
      <c r="M531" s="139">
        <v>29114.51</v>
      </c>
      <c r="N531" s="139">
        <f t="shared" si="138"/>
        <v>29114.51</v>
      </c>
      <c r="O531" s="139">
        <f t="shared" si="139"/>
        <v>346.6013095238095</v>
      </c>
      <c r="P531" s="139">
        <f t="shared" si="140"/>
        <v>4159.2157142857141</v>
      </c>
      <c r="Q531" s="342">
        <f t="shared" si="143"/>
        <v>0</v>
      </c>
      <c r="R531" s="341"/>
      <c r="S531" s="342">
        <f t="shared" si="144"/>
        <v>29114.51</v>
      </c>
      <c r="T531" s="139">
        <f t="shared" si="145"/>
        <v>29114.51</v>
      </c>
      <c r="U531" s="139">
        <f t="shared" si="141"/>
        <v>0</v>
      </c>
      <c r="V531" s="333">
        <f t="shared" si="142"/>
        <v>0</v>
      </c>
    </row>
    <row r="532" spans="1:22" s="332" customFormat="1" ht="12" customHeight="1">
      <c r="A532" s="3"/>
      <c r="B532" s="3"/>
      <c r="C532" s="20" t="s">
        <v>1279</v>
      </c>
      <c r="D532" s="20">
        <v>100</v>
      </c>
      <c r="E532" s="3" t="s">
        <v>1295</v>
      </c>
      <c r="F532" s="3">
        <v>2015</v>
      </c>
      <c r="G532" s="3">
        <v>5</v>
      </c>
      <c r="H532" s="3">
        <v>0</v>
      </c>
      <c r="I532" s="3" t="s">
        <v>52</v>
      </c>
      <c r="J532" s="131">
        <v>7</v>
      </c>
      <c r="K532" s="3">
        <f t="shared" si="136"/>
        <v>2022</v>
      </c>
      <c r="L532" s="130">
        <f t="shared" si="137"/>
        <v>2022.4166666666667</v>
      </c>
      <c r="M532" s="139">
        <v>4798.97</v>
      </c>
      <c r="N532" s="139">
        <f t="shared" si="138"/>
        <v>4798.97</v>
      </c>
      <c r="O532" s="139">
        <f t="shared" si="139"/>
        <v>57.130595238095246</v>
      </c>
      <c r="P532" s="139">
        <f t="shared" si="140"/>
        <v>685.56714285714293</v>
      </c>
      <c r="Q532" s="342">
        <f t="shared" si="143"/>
        <v>0</v>
      </c>
      <c r="R532" s="341"/>
      <c r="S532" s="342">
        <f t="shared" si="144"/>
        <v>4798.97</v>
      </c>
      <c r="T532" s="139">
        <f t="shared" si="145"/>
        <v>4798.97</v>
      </c>
      <c r="U532" s="139">
        <f t="shared" si="141"/>
        <v>0</v>
      </c>
      <c r="V532" s="333">
        <f t="shared" si="142"/>
        <v>0</v>
      </c>
    </row>
    <row r="533" spans="1:22" s="332" customFormat="1" ht="12" customHeight="1">
      <c r="A533" s="3"/>
      <c r="B533" s="3"/>
      <c r="C533" s="20" t="s">
        <v>1279</v>
      </c>
      <c r="D533" s="20">
        <v>798</v>
      </c>
      <c r="E533" s="3" t="s">
        <v>1296</v>
      </c>
      <c r="F533" s="3">
        <v>2015</v>
      </c>
      <c r="G533" s="3">
        <v>1</v>
      </c>
      <c r="H533" s="3">
        <v>0</v>
      </c>
      <c r="I533" s="3" t="s">
        <v>52</v>
      </c>
      <c r="J533" s="131">
        <v>6.11</v>
      </c>
      <c r="K533" s="3">
        <f t="shared" si="136"/>
        <v>2021.11</v>
      </c>
      <c r="L533" s="130">
        <f t="shared" si="137"/>
        <v>2021.1933333333332</v>
      </c>
      <c r="M533" s="139">
        <v>21436</v>
      </c>
      <c r="N533" s="139">
        <f t="shared" si="138"/>
        <v>21436</v>
      </c>
      <c r="O533" s="139">
        <f t="shared" si="139"/>
        <v>292.36224768139658</v>
      </c>
      <c r="P533" s="139">
        <f t="shared" si="140"/>
        <v>3508.3469721767588</v>
      </c>
      <c r="Q533" s="342">
        <f t="shared" si="143"/>
        <v>0</v>
      </c>
      <c r="R533" s="341"/>
      <c r="S533" s="342">
        <f t="shared" si="144"/>
        <v>21436</v>
      </c>
      <c r="T533" s="139">
        <f t="shared" si="145"/>
        <v>21436</v>
      </c>
      <c r="U533" s="139">
        <f t="shared" si="141"/>
        <v>0</v>
      </c>
      <c r="V533" s="333">
        <f t="shared" si="142"/>
        <v>0</v>
      </c>
    </row>
    <row r="534" spans="1:22" s="332" customFormat="1" ht="12" customHeight="1">
      <c r="A534" s="3"/>
      <c r="B534" s="3"/>
      <c r="C534" s="20" t="s">
        <v>1279</v>
      </c>
      <c r="D534" s="20">
        <v>402</v>
      </c>
      <c r="E534" s="3" t="s">
        <v>1296</v>
      </c>
      <c r="F534" s="3">
        <v>2015</v>
      </c>
      <c r="G534" s="3">
        <v>1</v>
      </c>
      <c r="H534" s="3">
        <v>0</v>
      </c>
      <c r="I534" s="3" t="s">
        <v>52</v>
      </c>
      <c r="J534" s="131">
        <v>6.11</v>
      </c>
      <c r="K534" s="3">
        <f t="shared" si="136"/>
        <v>2021.11</v>
      </c>
      <c r="L534" s="130">
        <f t="shared" si="137"/>
        <v>2021.1933333333332</v>
      </c>
      <c r="M534" s="139">
        <v>43094.26</v>
      </c>
      <c r="N534" s="139">
        <f t="shared" si="138"/>
        <v>43094.26</v>
      </c>
      <c r="O534" s="139">
        <f t="shared" si="139"/>
        <v>587.75586470267319</v>
      </c>
      <c r="P534" s="139">
        <f t="shared" si="140"/>
        <v>7053.0703764320788</v>
      </c>
      <c r="Q534" s="342">
        <f t="shared" si="143"/>
        <v>0</v>
      </c>
      <c r="R534" s="341"/>
      <c r="S534" s="342">
        <f t="shared" si="144"/>
        <v>43094.26</v>
      </c>
      <c r="T534" s="139">
        <f t="shared" si="145"/>
        <v>43094.26</v>
      </c>
      <c r="U534" s="139">
        <f t="shared" si="141"/>
        <v>0</v>
      </c>
      <c r="V534" s="333">
        <f t="shared" si="142"/>
        <v>0</v>
      </c>
    </row>
    <row r="535" spans="1:22" s="332" customFormat="1" ht="12" customHeight="1">
      <c r="A535" s="3"/>
      <c r="B535" s="3"/>
      <c r="C535" s="20" t="s">
        <v>1279</v>
      </c>
      <c r="D535" s="20">
        <v>47</v>
      </c>
      <c r="E535" s="3" t="s">
        <v>517</v>
      </c>
      <c r="F535" s="3">
        <v>2015</v>
      </c>
      <c r="G535" s="3">
        <v>11</v>
      </c>
      <c r="H535" s="3">
        <v>0</v>
      </c>
      <c r="I535" s="3" t="s">
        <v>52</v>
      </c>
      <c r="J535" s="131">
        <v>7</v>
      </c>
      <c r="K535" s="3">
        <f t="shared" si="136"/>
        <v>2022</v>
      </c>
      <c r="L535" s="130">
        <f t="shared" si="137"/>
        <v>2022.9166666666667</v>
      </c>
      <c r="M535" s="139">
        <v>2103.94</v>
      </c>
      <c r="N535" s="139">
        <f t="shared" si="138"/>
        <v>2103.94</v>
      </c>
      <c r="O535" s="139">
        <f t="shared" si="139"/>
        <v>25.046904761904759</v>
      </c>
      <c r="P535" s="139">
        <f t="shared" si="140"/>
        <v>300.56285714285713</v>
      </c>
      <c r="Q535" s="342">
        <f t="shared" si="143"/>
        <v>0</v>
      </c>
      <c r="R535" s="341"/>
      <c r="S535" s="342">
        <f t="shared" si="144"/>
        <v>2103.94</v>
      </c>
      <c r="T535" s="139">
        <f t="shared" si="145"/>
        <v>2103.94</v>
      </c>
      <c r="U535" s="139">
        <f t="shared" si="141"/>
        <v>0</v>
      </c>
      <c r="V535" s="333">
        <f t="shared" si="142"/>
        <v>0</v>
      </c>
    </row>
    <row r="536" spans="1:22" s="332" customFormat="1" ht="12" customHeight="1">
      <c r="A536" s="3"/>
      <c r="B536" s="3"/>
      <c r="C536" s="20" t="s">
        <v>1279</v>
      </c>
      <c r="D536" s="20">
        <v>0</v>
      </c>
      <c r="E536" s="3" t="s">
        <v>1297</v>
      </c>
      <c r="F536" s="3">
        <v>2014</v>
      </c>
      <c r="G536" s="3">
        <v>12</v>
      </c>
      <c r="H536" s="3">
        <v>0</v>
      </c>
      <c r="I536" s="3" t="s">
        <v>52</v>
      </c>
      <c r="J536" s="131">
        <v>7</v>
      </c>
      <c r="K536" s="3">
        <f t="shared" si="136"/>
        <v>2021</v>
      </c>
      <c r="L536" s="130">
        <f t="shared" si="137"/>
        <v>2022</v>
      </c>
      <c r="M536" s="139">
        <v>-9517.7999999999993</v>
      </c>
      <c r="N536" s="139">
        <f t="shared" si="138"/>
        <v>-9517.7999999999993</v>
      </c>
      <c r="O536" s="139">
        <f t="shared" si="139"/>
        <v>-113.30714285714284</v>
      </c>
      <c r="P536" s="139">
        <f t="shared" si="140"/>
        <v>-1359.6857142857141</v>
      </c>
      <c r="Q536" s="342">
        <f t="shared" si="143"/>
        <v>0</v>
      </c>
      <c r="R536" s="341"/>
      <c r="S536" s="342">
        <f t="shared" si="144"/>
        <v>-9517.7999999999993</v>
      </c>
      <c r="T536" s="139">
        <f t="shared" si="145"/>
        <v>-9517.7999999999993</v>
      </c>
      <c r="U536" s="139">
        <f t="shared" si="141"/>
        <v>0</v>
      </c>
      <c r="V536" s="333">
        <f t="shared" si="142"/>
        <v>0</v>
      </c>
    </row>
    <row r="537" spans="1:22" s="332" customFormat="1" ht="12" customHeight="1">
      <c r="A537" s="3"/>
      <c r="B537" s="3"/>
      <c r="C537" s="20" t="s">
        <v>1279</v>
      </c>
      <c r="D537" s="20">
        <v>100</v>
      </c>
      <c r="E537" s="3" t="s">
        <v>1298</v>
      </c>
      <c r="F537" s="3">
        <v>2015</v>
      </c>
      <c r="G537" s="3">
        <v>1</v>
      </c>
      <c r="H537" s="3">
        <v>0</v>
      </c>
      <c r="I537" s="3" t="s">
        <v>52</v>
      </c>
      <c r="J537" s="131">
        <v>6.11</v>
      </c>
      <c r="K537" s="3">
        <f t="shared" si="136"/>
        <v>2021.11</v>
      </c>
      <c r="L537" s="130">
        <f t="shared" si="137"/>
        <v>2021.1933333333332</v>
      </c>
      <c r="M537" s="139">
        <v>9214.02</v>
      </c>
      <c r="N537" s="139">
        <f t="shared" si="138"/>
        <v>9214.02</v>
      </c>
      <c r="O537" s="139">
        <f t="shared" si="139"/>
        <v>125.66857610474631</v>
      </c>
      <c r="P537" s="139">
        <f t="shared" si="140"/>
        <v>1508.0229132569557</v>
      </c>
      <c r="Q537" s="342">
        <f t="shared" si="143"/>
        <v>0</v>
      </c>
      <c r="R537" s="341"/>
      <c r="S537" s="342">
        <f t="shared" si="144"/>
        <v>9214.02</v>
      </c>
      <c r="T537" s="139">
        <f t="shared" si="145"/>
        <v>9214.02</v>
      </c>
      <c r="U537" s="139">
        <f t="shared" si="141"/>
        <v>0</v>
      </c>
      <c r="V537" s="333">
        <f t="shared" si="142"/>
        <v>0</v>
      </c>
    </row>
    <row r="538" spans="1:22" s="332" customFormat="1" ht="12" customHeight="1">
      <c r="A538" s="3"/>
      <c r="B538" s="3"/>
      <c r="C538" s="20" t="s">
        <v>1279</v>
      </c>
      <c r="D538" s="20">
        <v>550</v>
      </c>
      <c r="E538" s="3" t="s">
        <v>1280</v>
      </c>
      <c r="F538" s="3">
        <v>2015</v>
      </c>
      <c r="G538" s="3">
        <v>12</v>
      </c>
      <c r="H538" s="3">
        <v>0</v>
      </c>
      <c r="I538" s="3" t="s">
        <v>52</v>
      </c>
      <c r="J538" s="131">
        <v>7</v>
      </c>
      <c r="K538" s="3">
        <f t="shared" ref="K538:K559" si="146">F538+J538</f>
        <v>2022</v>
      </c>
      <c r="L538" s="130">
        <f t="shared" ref="L538:L559" si="147">+K538+(G538/12)</f>
        <v>2023</v>
      </c>
      <c r="M538" s="139">
        <v>13476</v>
      </c>
      <c r="N538" s="139">
        <f t="shared" ref="N538:N559" si="148">M538-M538*H538</f>
        <v>13476</v>
      </c>
      <c r="O538" s="139">
        <f t="shared" ref="O538:O559" si="149">N538/J538/12</f>
        <v>160.42857142857142</v>
      </c>
      <c r="P538" s="139">
        <f t="shared" ref="P538:P559" si="150">+O538*12</f>
        <v>1925.1428571428569</v>
      </c>
      <c r="Q538" s="342">
        <f t="shared" si="143"/>
        <v>0</v>
      </c>
      <c r="R538" s="341"/>
      <c r="S538" s="342">
        <f t="shared" si="144"/>
        <v>13476</v>
      </c>
      <c r="T538" s="139">
        <f t="shared" si="145"/>
        <v>13476</v>
      </c>
      <c r="U538" s="139">
        <f t="shared" ref="U538:U559" si="151">M538-T538</f>
        <v>0</v>
      </c>
      <c r="V538" s="333">
        <f t="shared" ref="V538:V559" si="152">M538-T538</f>
        <v>0</v>
      </c>
    </row>
    <row r="539" spans="1:22" s="332" customFormat="1" ht="12" customHeight="1">
      <c r="A539" s="3"/>
      <c r="B539" s="3"/>
      <c r="C539" s="20" t="s">
        <v>1279</v>
      </c>
      <c r="D539" s="20">
        <v>420</v>
      </c>
      <c r="E539" s="3" t="s">
        <v>1281</v>
      </c>
      <c r="F539" s="3">
        <v>2015</v>
      </c>
      <c r="G539" s="3">
        <v>11</v>
      </c>
      <c r="H539" s="3">
        <v>0</v>
      </c>
      <c r="I539" s="3" t="s">
        <v>52</v>
      </c>
      <c r="J539" s="131">
        <v>7</v>
      </c>
      <c r="K539" s="3">
        <f t="shared" si="146"/>
        <v>2022</v>
      </c>
      <c r="L539" s="130">
        <f t="shared" si="147"/>
        <v>2022.9166666666667</v>
      </c>
      <c r="M539" s="139">
        <v>14868.85</v>
      </c>
      <c r="N539" s="139">
        <f t="shared" si="148"/>
        <v>14868.85</v>
      </c>
      <c r="O539" s="139">
        <f t="shared" si="149"/>
        <v>177.01011904761904</v>
      </c>
      <c r="P539" s="139">
        <f t="shared" si="150"/>
        <v>2124.1214285714286</v>
      </c>
      <c r="Q539" s="342">
        <f t="shared" si="143"/>
        <v>0</v>
      </c>
      <c r="R539" s="341"/>
      <c r="S539" s="342">
        <f t="shared" si="144"/>
        <v>14868.85</v>
      </c>
      <c r="T539" s="139">
        <f t="shared" si="145"/>
        <v>14868.85</v>
      </c>
      <c r="U539" s="139">
        <f t="shared" si="151"/>
        <v>0</v>
      </c>
      <c r="V539" s="333">
        <f t="shared" si="152"/>
        <v>0</v>
      </c>
    </row>
    <row r="540" spans="1:22" s="332" customFormat="1" ht="12" customHeight="1">
      <c r="A540" s="3"/>
      <c r="B540" s="3"/>
      <c r="C540" s="20" t="s">
        <v>1279</v>
      </c>
      <c r="D540" s="20">
        <v>940</v>
      </c>
      <c r="E540" s="3" t="s">
        <v>1281</v>
      </c>
      <c r="F540" s="3">
        <v>2015</v>
      </c>
      <c r="G540" s="3">
        <v>11</v>
      </c>
      <c r="H540" s="3">
        <v>0</v>
      </c>
      <c r="I540" s="3" t="s">
        <v>52</v>
      </c>
      <c r="J540" s="131">
        <v>7</v>
      </c>
      <c r="K540" s="3">
        <f t="shared" si="146"/>
        <v>2022</v>
      </c>
      <c r="L540" s="130">
        <f t="shared" si="147"/>
        <v>2022.9166666666667</v>
      </c>
      <c r="M540" s="139">
        <v>39410.949999999997</v>
      </c>
      <c r="N540" s="139">
        <f t="shared" si="148"/>
        <v>39410.949999999997</v>
      </c>
      <c r="O540" s="139">
        <f t="shared" si="149"/>
        <v>469.17797619047616</v>
      </c>
      <c r="P540" s="139">
        <f t="shared" si="150"/>
        <v>5630.1357142857141</v>
      </c>
      <c r="Q540" s="342">
        <f t="shared" si="143"/>
        <v>0</v>
      </c>
      <c r="R540" s="341"/>
      <c r="S540" s="342">
        <f t="shared" si="144"/>
        <v>39410.949999999997</v>
      </c>
      <c r="T540" s="139">
        <f t="shared" si="145"/>
        <v>39410.949999999997</v>
      </c>
      <c r="U540" s="139">
        <f t="shared" si="151"/>
        <v>0</v>
      </c>
      <c r="V540" s="333">
        <f t="shared" si="152"/>
        <v>0</v>
      </c>
    </row>
    <row r="541" spans="1:22" s="332" customFormat="1" ht="12" customHeight="1">
      <c r="A541" s="3"/>
      <c r="B541" s="3"/>
      <c r="C541" s="20" t="s">
        <v>1279</v>
      </c>
      <c r="D541" s="20">
        <v>450</v>
      </c>
      <c r="E541" s="3" t="s">
        <v>1282</v>
      </c>
      <c r="F541" s="3">
        <v>2015</v>
      </c>
      <c r="G541" s="3">
        <v>4</v>
      </c>
      <c r="H541" s="3">
        <v>0</v>
      </c>
      <c r="I541" s="3" t="s">
        <v>52</v>
      </c>
      <c r="J541" s="131">
        <v>7</v>
      </c>
      <c r="K541" s="3">
        <f t="shared" si="146"/>
        <v>2022</v>
      </c>
      <c r="L541" s="130">
        <f t="shared" si="147"/>
        <v>2022.3333333333333</v>
      </c>
      <c r="M541" s="139">
        <v>23224.05</v>
      </c>
      <c r="N541" s="139">
        <f t="shared" si="148"/>
        <v>23224.05</v>
      </c>
      <c r="O541" s="139">
        <f t="shared" si="149"/>
        <v>276.47678571428571</v>
      </c>
      <c r="P541" s="139">
        <f t="shared" si="150"/>
        <v>3317.7214285714285</v>
      </c>
      <c r="Q541" s="342">
        <f t="shared" si="143"/>
        <v>0</v>
      </c>
      <c r="R541" s="341"/>
      <c r="S541" s="342">
        <f t="shared" si="144"/>
        <v>23224.05</v>
      </c>
      <c r="T541" s="139">
        <f t="shared" si="145"/>
        <v>23224.05</v>
      </c>
      <c r="U541" s="139">
        <f t="shared" si="151"/>
        <v>0</v>
      </c>
      <c r="V541" s="333">
        <f t="shared" si="152"/>
        <v>0</v>
      </c>
    </row>
    <row r="542" spans="1:22" s="332" customFormat="1" ht="12" customHeight="1">
      <c r="A542" s="3"/>
      <c r="B542" s="3"/>
      <c r="C542" s="20" t="s">
        <v>1279</v>
      </c>
      <c r="D542" s="20">
        <v>100</v>
      </c>
      <c r="E542" s="3" t="s">
        <v>1283</v>
      </c>
      <c r="F542" s="3">
        <v>2015</v>
      </c>
      <c r="G542" s="3">
        <v>10</v>
      </c>
      <c r="H542" s="3">
        <v>0</v>
      </c>
      <c r="I542" s="3" t="s">
        <v>52</v>
      </c>
      <c r="J542" s="131">
        <v>7</v>
      </c>
      <c r="K542" s="3">
        <f t="shared" si="146"/>
        <v>2022</v>
      </c>
      <c r="L542" s="130">
        <f t="shared" si="147"/>
        <v>2022.8333333333333</v>
      </c>
      <c r="M542" s="139">
        <v>5308.63</v>
      </c>
      <c r="N542" s="139">
        <f t="shared" si="148"/>
        <v>5308.63</v>
      </c>
      <c r="O542" s="139">
        <f t="shared" si="149"/>
        <v>63.19797619047619</v>
      </c>
      <c r="P542" s="139">
        <f t="shared" si="150"/>
        <v>758.37571428571425</v>
      </c>
      <c r="Q542" s="342">
        <f t="shared" si="143"/>
        <v>0</v>
      </c>
      <c r="R542" s="341"/>
      <c r="S542" s="342">
        <f t="shared" si="144"/>
        <v>5308.63</v>
      </c>
      <c r="T542" s="139">
        <f t="shared" si="145"/>
        <v>5308.63</v>
      </c>
      <c r="U542" s="139">
        <f t="shared" si="151"/>
        <v>0</v>
      </c>
      <c r="V542" s="333">
        <f t="shared" si="152"/>
        <v>0</v>
      </c>
    </row>
    <row r="543" spans="1:22" s="332" customFormat="1" ht="12" customHeight="1">
      <c r="A543" s="3"/>
      <c r="B543" s="3"/>
      <c r="C543" s="20" t="s">
        <v>1279</v>
      </c>
      <c r="D543" s="20">
        <v>150</v>
      </c>
      <c r="E543" s="3" t="s">
        <v>837</v>
      </c>
      <c r="F543" s="3">
        <v>2017</v>
      </c>
      <c r="G543" s="3">
        <v>1</v>
      </c>
      <c r="H543" s="3">
        <v>0</v>
      </c>
      <c r="I543" s="3" t="s">
        <v>52</v>
      </c>
      <c r="J543" s="131">
        <v>6.11</v>
      </c>
      <c r="K543" s="3">
        <f t="shared" si="146"/>
        <v>2023.11</v>
      </c>
      <c r="L543" s="130">
        <f t="shared" si="147"/>
        <v>2023.1933333333332</v>
      </c>
      <c r="M543" s="139">
        <v>5169.1499999999996</v>
      </c>
      <c r="N543" s="139">
        <f t="shared" si="148"/>
        <v>5169.1499999999996</v>
      </c>
      <c r="O543" s="139">
        <f t="shared" si="149"/>
        <v>70.501227495908338</v>
      </c>
      <c r="P543" s="139">
        <f t="shared" si="150"/>
        <v>846.01472995090012</v>
      </c>
      <c r="Q543" s="342">
        <f t="shared" si="143"/>
        <v>0</v>
      </c>
      <c r="R543" s="341"/>
      <c r="S543" s="342">
        <f t="shared" si="144"/>
        <v>5169.1499999999996</v>
      </c>
      <c r="T543" s="139">
        <f t="shared" si="145"/>
        <v>5169.1499999999996</v>
      </c>
      <c r="U543" s="139">
        <f t="shared" si="151"/>
        <v>0</v>
      </c>
      <c r="V543" s="333">
        <f t="shared" si="152"/>
        <v>0</v>
      </c>
    </row>
    <row r="544" spans="1:22" s="332" customFormat="1" ht="12" customHeight="1">
      <c r="A544" s="3"/>
      <c r="B544" s="3"/>
      <c r="C544" s="20" t="s">
        <v>1279</v>
      </c>
      <c r="D544" s="20">
        <v>940</v>
      </c>
      <c r="E544" s="3" t="s">
        <v>837</v>
      </c>
      <c r="F544" s="3">
        <v>2015</v>
      </c>
      <c r="G544" s="3">
        <v>11</v>
      </c>
      <c r="H544" s="3">
        <v>0</v>
      </c>
      <c r="I544" s="3" t="s">
        <v>52</v>
      </c>
      <c r="J544" s="131">
        <v>7</v>
      </c>
      <c r="K544" s="3">
        <f t="shared" si="146"/>
        <v>2022</v>
      </c>
      <c r="L544" s="130">
        <f t="shared" si="147"/>
        <v>2022.9166666666667</v>
      </c>
      <c r="M544" s="139">
        <v>33138.089999999997</v>
      </c>
      <c r="N544" s="139">
        <f t="shared" si="148"/>
        <v>33138.089999999997</v>
      </c>
      <c r="O544" s="139">
        <f t="shared" si="149"/>
        <v>394.50107142857138</v>
      </c>
      <c r="P544" s="139">
        <f t="shared" si="150"/>
        <v>4734.0128571428568</v>
      </c>
      <c r="Q544" s="342">
        <f t="shared" si="143"/>
        <v>0</v>
      </c>
      <c r="R544" s="341"/>
      <c r="S544" s="342">
        <f t="shared" si="144"/>
        <v>33138.089999999997</v>
      </c>
      <c r="T544" s="139">
        <f t="shared" si="145"/>
        <v>33138.089999999997</v>
      </c>
      <c r="U544" s="139">
        <f t="shared" si="151"/>
        <v>0</v>
      </c>
      <c r="V544" s="333">
        <f t="shared" si="152"/>
        <v>0</v>
      </c>
    </row>
    <row r="545" spans="1:22" s="332" customFormat="1" ht="12" customHeight="1">
      <c r="A545" s="3"/>
      <c r="B545" s="3"/>
      <c r="C545" s="20" t="s">
        <v>1279</v>
      </c>
      <c r="D545" s="20">
        <v>210</v>
      </c>
      <c r="E545" s="3" t="s">
        <v>842</v>
      </c>
      <c r="F545" s="3">
        <v>2017</v>
      </c>
      <c r="G545" s="3">
        <v>1</v>
      </c>
      <c r="H545" s="3">
        <v>0</v>
      </c>
      <c r="I545" s="3" t="s">
        <v>52</v>
      </c>
      <c r="J545" s="131">
        <v>7</v>
      </c>
      <c r="K545" s="3">
        <f t="shared" si="146"/>
        <v>2024</v>
      </c>
      <c r="L545" s="130">
        <f t="shared" si="147"/>
        <v>2024.0833333333333</v>
      </c>
      <c r="M545" s="139">
        <v>7926.03</v>
      </c>
      <c r="N545" s="139">
        <f t="shared" si="148"/>
        <v>7926.03</v>
      </c>
      <c r="O545" s="139">
        <f t="shared" si="149"/>
        <v>94.357500000000002</v>
      </c>
      <c r="P545" s="139">
        <f t="shared" si="150"/>
        <v>1132.29</v>
      </c>
      <c r="Q545" s="342">
        <f t="shared" si="143"/>
        <v>0</v>
      </c>
      <c r="R545" s="341"/>
      <c r="S545" s="342">
        <f t="shared" si="144"/>
        <v>7926.03</v>
      </c>
      <c r="T545" s="139">
        <f t="shared" si="145"/>
        <v>7926.03</v>
      </c>
      <c r="U545" s="139">
        <f t="shared" si="151"/>
        <v>0</v>
      </c>
      <c r="V545" s="333">
        <f t="shared" si="152"/>
        <v>0</v>
      </c>
    </row>
    <row r="546" spans="1:22" s="332" customFormat="1" ht="12" customHeight="1">
      <c r="A546" s="3"/>
      <c r="B546" s="3"/>
      <c r="C546" s="20" t="s">
        <v>1279</v>
      </c>
      <c r="D546" s="20">
        <v>1080</v>
      </c>
      <c r="E546" s="3" t="s">
        <v>1284</v>
      </c>
      <c r="F546" s="3">
        <v>2015</v>
      </c>
      <c r="G546" s="3">
        <v>2</v>
      </c>
      <c r="H546" s="3">
        <v>0</v>
      </c>
      <c r="I546" s="3" t="s">
        <v>52</v>
      </c>
      <c r="J546" s="131">
        <v>7</v>
      </c>
      <c r="K546" s="3">
        <f t="shared" si="146"/>
        <v>2022</v>
      </c>
      <c r="L546" s="130">
        <f t="shared" si="147"/>
        <v>2022.1666666666667</v>
      </c>
      <c r="M546" s="139">
        <v>34026.25</v>
      </c>
      <c r="N546" s="139">
        <f t="shared" si="148"/>
        <v>34026.25</v>
      </c>
      <c r="O546" s="139">
        <f t="shared" si="149"/>
        <v>405.07440476190476</v>
      </c>
      <c r="P546" s="139">
        <f t="shared" si="150"/>
        <v>4860.8928571428569</v>
      </c>
      <c r="Q546" s="342">
        <f t="shared" si="143"/>
        <v>0</v>
      </c>
      <c r="R546" s="341"/>
      <c r="S546" s="342">
        <f t="shared" si="144"/>
        <v>34026.25</v>
      </c>
      <c r="T546" s="139">
        <f t="shared" si="145"/>
        <v>34026.25</v>
      </c>
      <c r="U546" s="139">
        <f t="shared" si="151"/>
        <v>0</v>
      </c>
      <c r="V546" s="333">
        <f t="shared" si="152"/>
        <v>0</v>
      </c>
    </row>
    <row r="547" spans="1:22" s="332" customFormat="1" ht="12" customHeight="1">
      <c r="A547" s="3"/>
      <c r="B547" s="3"/>
      <c r="C547" s="20" t="s">
        <v>1279</v>
      </c>
      <c r="D547" s="20">
        <v>785</v>
      </c>
      <c r="E547" s="3" t="s">
        <v>1284</v>
      </c>
      <c r="F547" s="3">
        <v>2015</v>
      </c>
      <c r="G547" s="3">
        <v>2</v>
      </c>
      <c r="H547" s="3">
        <v>0</v>
      </c>
      <c r="I547" s="3" t="s">
        <v>52</v>
      </c>
      <c r="J547" s="131">
        <v>7</v>
      </c>
      <c r="K547" s="3">
        <f t="shared" si="146"/>
        <v>2022</v>
      </c>
      <c r="L547" s="130">
        <f t="shared" si="147"/>
        <v>2022.1666666666667</v>
      </c>
      <c r="M547" s="139">
        <v>39179.22</v>
      </c>
      <c r="N547" s="139">
        <f t="shared" si="148"/>
        <v>39179.22</v>
      </c>
      <c r="O547" s="139">
        <f t="shared" si="149"/>
        <v>466.41928571428571</v>
      </c>
      <c r="P547" s="139">
        <f t="shared" si="150"/>
        <v>5597.0314285714285</v>
      </c>
      <c r="Q547" s="342">
        <f t="shared" si="143"/>
        <v>0</v>
      </c>
      <c r="R547" s="341"/>
      <c r="S547" s="342">
        <f t="shared" si="144"/>
        <v>39179.22</v>
      </c>
      <c r="T547" s="139">
        <f t="shared" si="145"/>
        <v>39179.22</v>
      </c>
      <c r="U547" s="139">
        <f t="shared" si="151"/>
        <v>0</v>
      </c>
      <c r="V547" s="333">
        <f t="shared" si="152"/>
        <v>0</v>
      </c>
    </row>
    <row r="548" spans="1:22" s="332" customFormat="1" ht="13.5" customHeight="1">
      <c r="A548" s="3"/>
      <c r="B548" s="3"/>
      <c r="C548" s="20" t="s">
        <v>1279</v>
      </c>
      <c r="D548" s="20">
        <v>4000</v>
      </c>
      <c r="E548" s="3" t="s">
        <v>1285</v>
      </c>
      <c r="F548" s="3">
        <v>2015</v>
      </c>
      <c r="G548" s="3">
        <v>1</v>
      </c>
      <c r="H548" s="3">
        <v>0</v>
      </c>
      <c r="I548" s="3" t="s">
        <v>52</v>
      </c>
      <c r="J548" s="131">
        <v>6.11</v>
      </c>
      <c r="K548" s="3">
        <f t="shared" si="146"/>
        <v>2021.11</v>
      </c>
      <c r="L548" s="130">
        <f t="shared" si="147"/>
        <v>2021.1933333333332</v>
      </c>
      <c r="M548" s="139">
        <v>179380.84</v>
      </c>
      <c r="N548" s="139">
        <f t="shared" si="148"/>
        <v>179380.84</v>
      </c>
      <c r="O548" s="139">
        <f t="shared" si="149"/>
        <v>2446.5471903982539</v>
      </c>
      <c r="P548" s="139">
        <f t="shared" si="150"/>
        <v>29358.566284779045</v>
      </c>
      <c r="Q548" s="342">
        <f t="shared" si="143"/>
        <v>0</v>
      </c>
      <c r="R548" s="341"/>
      <c r="S548" s="342">
        <f t="shared" si="144"/>
        <v>179380.84</v>
      </c>
      <c r="T548" s="139">
        <f t="shared" si="145"/>
        <v>179380.84</v>
      </c>
      <c r="U548" s="139">
        <f t="shared" si="151"/>
        <v>0</v>
      </c>
      <c r="V548" s="333">
        <f t="shared" si="152"/>
        <v>0</v>
      </c>
    </row>
    <row r="549" spans="1:22" s="332" customFormat="1" ht="13.5" customHeight="1">
      <c r="A549" s="3"/>
      <c r="B549" s="3"/>
      <c r="C549" s="20" t="s">
        <v>1279</v>
      </c>
      <c r="D549" s="20">
        <v>840</v>
      </c>
      <c r="E549" s="3" t="s">
        <v>1286</v>
      </c>
      <c r="F549" s="3">
        <v>2016</v>
      </c>
      <c r="G549" s="3">
        <v>1</v>
      </c>
      <c r="H549" s="3">
        <v>0</v>
      </c>
      <c r="I549" s="3" t="s">
        <v>52</v>
      </c>
      <c r="J549" s="131">
        <v>7</v>
      </c>
      <c r="K549" s="3">
        <f t="shared" si="146"/>
        <v>2023</v>
      </c>
      <c r="L549" s="130">
        <f t="shared" si="147"/>
        <v>2023.0833333333333</v>
      </c>
      <c r="M549" s="139">
        <v>28717.5</v>
      </c>
      <c r="N549" s="139">
        <f t="shared" si="148"/>
        <v>28717.5</v>
      </c>
      <c r="O549" s="139">
        <f t="shared" si="149"/>
        <v>341.875</v>
      </c>
      <c r="P549" s="139">
        <f t="shared" si="150"/>
        <v>4102.5</v>
      </c>
      <c r="Q549" s="342">
        <f t="shared" si="143"/>
        <v>0</v>
      </c>
      <c r="R549" s="341"/>
      <c r="S549" s="342">
        <f t="shared" si="144"/>
        <v>28717.5</v>
      </c>
      <c r="T549" s="139">
        <f t="shared" si="145"/>
        <v>28717.5</v>
      </c>
      <c r="U549" s="139">
        <f t="shared" si="151"/>
        <v>0</v>
      </c>
      <c r="V549" s="333">
        <f t="shared" si="152"/>
        <v>0</v>
      </c>
    </row>
    <row r="550" spans="1:22" s="332" customFormat="1" ht="13.5" customHeight="1">
      <c r="A550" s="3"/>
      <c r="B550" s="3"/>
      <c r="C550" s="20" t="s">
        <v>1279</v>
      </c>
      <c r="D550" s="20">
        <v>840</v>
      </c>
      <c r="E550" s="3" t="s">
        <v>1287</v>
      </c>
      <c r="F550" s="3">
        <v>2016</v>
      </c>
      <c r="G550" s="3">
        <v>1</v>
      </c>
      <c r="H550" s="3">
        <v>0</v>
      </c>
      <c r="I550" s="3" t="s">
        <v>52</v>
      </c>
      <c r="J550" s="131">
        <v>7</v>
      </c>
      <c r="K550" s="3">
        <f t="shared" si="146"/>
        <v>2023</v>
      </c>
      <c r="L550" s="130">
        <f t="shared" si="147"/>
        <v>2023.0833333333333</v>
      </c>
      <c r="M550" s="139">
        <v>28717.5</v>
      </c>
      <c r="N550" s="139">
        <f t="shared" si="148"/>
        <v>28717.5</v>
      </c>
      <c r="O550" s="139">
        <f t="shared" si="149"/>
        <v>341.875</v>
      </c>
      <c r="P550" s="139">
        <f t="shared" si="150"/>
        <v>4102.5</v>
      </c>
      <c r="Q550" s="342">
        <f t="shared" si="143"/>
        <v>0</v>
      </c>
      <c r="R550" s="341"/>
      <c r="S550" s="342">
        <f t="shared" si="144"/>
        <v>28717.5</v>
      </c>
      <c r="T550" s="139">
        <f t="shared" si="145"/>
        <v>28717.5</v>
      </c>
      <c r="U550" s="139">
        <f t="shared" si="151"/>
        <v>0</v>
      </c>
      <c r="V550" s="333">
        <f t="shared" si="152"/>
        <v>0</v>
      </c>
    </row>
    <row r="551" spans="1:22" s="332" customFormat="1" ht="13.5" customHeight="1">
      <c r="A551" s="3"/>
      <c r="B551" s="3"/>
      <c r="C551" s="20" t="s">
        <v>1279</v>
      </c>
      <c r="D551" s="20">
        <v>840</v>
      </c>
      <c r="E551" s="3" t="s">
        <v>1287</v>
      </c>
      <c r="F551" s="3">
        <v>2016</v>
      </c>
      <c r="G551" s="3">
        <v>1</v>
      </c>
      <c r="H551" s="3">
        <v>0</v>
      </c>
      <c r="I551" s="3" t="s">
        <v>52</v>
      </c>
      <c r="J551" s="131">
        <v>7</v>
      </c>
      <c r="K551" s="3">
        <f t="shared" si="146"/>
        <v>2023</v>
      </c>
      <c r="L551" s="130">
        <f t="shared" si="147"/>
        <v>2023.0833333333333</v>
      </c>
      <c r="M551" s="139">
        <v>28717.5</v>
      </c>
      <c r="N551" s="139">
        <f t="shared" si="148"/>
        <v>28717.5</v>
      </c>
      <c r="O551" s="139">
        <f t="shared" si="149"/>
        <v>341.875</v>
      </c>
      <c r="P551" s="139">
        <f t="shared" si="150"/>
        <v>4102.5</v>
      </c>
      <c r="Q551" s="342">
        <f t="shared" si="143"/>
        <v>0</v>
      </c>
      <c r="R551" s="341"/>
      <c r="S551" s="342">
        <f t="shared" si="144"/>
        <v>28717.5</v>
      </c>
      <c r="T551" s="139">
        <f t="shared" si="145"/>
        <v>28717.5</v>
      </c>
      <c r="U551" s="139">
        <f t="shared" si="151"/>
        <v>0</v>
      </c>
      <c r="V551" s="333">
        <f t="shared" si="152"/>
        <v>0</v>
      </c>
    </row>
    <row r="552" spans="1:22" s="332" customFormat="1" ht="13.5" customHeight="1">
      <c r="A552" s="3"/>
      <c r="B552" s="3"/>
      <c r="C552" s="20" t="s">
        <v>1279</v>
      </c>
      <c r="D552" s="20">
        <v>190</v>
      </c>
      <c r="E552" s="3" t="s">
        <v>1288</v>
      </c>
      <c r="F552" s="3">
        <v>2016</v>
      </c>
      <c r="G552" s="3">
        <v>1</v>
      </c>
      <c r="H552" s="3">
        <v>0</v>
      </c>
      <c r="I552" s="3" t="s">
        <v>52</v>
      </c>
      <c r="J552" s="131">
        <v>7</v>
      </c>
      <c r="K552" s="3">
        <f t="shared" si="146"/>
        <v>2023</v>
      </c>
      <c r="L552" s="130">
        <f t="shared" si="147"/>
        <v>2023.0833333333333</v>
      </c>
      <c r="M552" s="139">
        <v>6495.63</v>
      </c>
      <c r="N552" s="139">
        <f t="shared" si="148"/>
        <v>6495.63</v>
      </c>
      <c r="O552" s="139">
        <f t="shared" si="149"/>
        <v>77.328928571428577</v>
      </c>
      <c r="P552" s="139">
        <f t="shared" si="150"/>
        <v>927.94714285714292</v>
      </c>
      <c r="Q552" s="342">
        <f t="shared" si="143"/>
        <v>0</v>
      </c>
      <c r="R552" s="341"/>
      <c r="S552" s="342">
        <f t="shared" si="144"/>
        <v>6495.63</v>
      </c>
      <c r="T552" s="139">
        <f t="shared" si="145"/>
        <v>6495.63</v>
      </c>
      <c r="U552" s="139">
        <f t="shared" si="151"/>
        <v>0</v>
      </c>
      <c r="V552" s="333">
        <f t="shared" si="152"/>
        <v>0</v>
      </c>
    </row>
    <row r="553" spans="1:22" s="332" customFormat="1" ht="13.5" customHeight="1">
      <c r="A553" s="3"/>
      <c r="B553" s="3"/>
      <c r="C553" s="20" t="s">
        <v>1279</v>
      </c>
      <c r="D553" s="20">
        <v>710</v>
      </c>
      <c r="E553" s="3" t="s">
        <v>1289</v>
      </c>
      <c r="F553" s="3">
        <v>2015</v>
      </c>
      <c r="G553" s="3">
        <v>10</v>
      </c>
      <c r="H553" s="3">
        <v>0</v>
      </c>
      <c r="I553" s="3" t="s">
        <v>52</v>
      </c>
      <c r="J553" s="131">
        <v>7</v>
      </c>
      <c r="K553" s="3">
        <f t="shared" si="146"/>
        <v>2022</v>
      </c>
      <c r="L553" s="130">
        <f t="shared" si="147"/>
        <v>2022.8333333333333</v>
      </c>
      <c r="M553" s="139">
        <v>33523.410000000003</v>
      </c>
      <c r="N553" s="139">
        <f t="shared" si="148"/>
        <v>33523.410000000003</v>
      </c>
      <c r="O553" s="139">
        <f t="shared" si="149"/>
        <v>399.08821428571429</v>
      </c>
      <c r="P553" s="139">
        <f t="shared" si="150"/>
        <v>4789.0585714285717</v>
      </c>
      <c r="Q553" s="342">
        <f t="shared" si="143"/>
        <v>0</v>
      </c>
      <c r="R553" s="341"/>
      <c r="S553" s="342">
        <f t="shared" si="144"/>
        <v>33523.410000000003</v>
      </c>
      <c r="T553" s="139">
        <f t="shared" si="145"/>
        <v>33523.410000000003</v>
      </c>
      <c r="U553" s="139">
        <f t="shared" si="151"/>
        <v>0</v>
      </c>
      <c r="V553" s="333">
        <f t="shared" si="152"/>
        <v>0</v>
      </c>
    </row>
    <row r="554" spans="1:22" s="332" customFormat="1" ht="13.5" customHeight="1">
      <c r="A554" s="3"/>
      <c r="B554" s="3"/>
      <c r="C554" s="20" t="s">
        <v>1279</v>
      </c>
      <c r="D554" s="20">
        <v>200</v>
      </c>
      <c r="E554" s="3" t="s">
        <v>838</v>
      </c>
      <c r="F554" s="3">
        <v>2017</v>
      </c>
      <c r="G554" s="3">
        <v>1</v>
      </c>
      <c r="H554" s="3">
        <v>0</v>
      </c>
      <c r="I554" s="3" t="s">
        <v>52</v>
      </c>
      <c r="J554" s="131">
        <v>6.11</v>
      </c>
      <c r="K554" s="3">
        <f t="shared" si="146"/>
        <v>2023.11</v>
      </c>
      <c r="L554" s="130">
        <f t="shared" si="147"/>
        <v>2023.1933333333332</v>
      </c>
      <c r="M554" s="139">
        <v>8450.67</v>
      </c>
      <c r="N554" s="139">
        <f t="shared" si="148"/>
        <v>8450.67</v>
      </c>
      <c r="O554" s="139">
        <f t="shared" si="149"/>
        <v>115.25736497545007</v>
      </c>
      <c r="P554" s="139">
        <f t="shared" si="150"/>
        <v>1383.0883797054009</v>
      </c>
      <c r="Q554" s="342">
        <f t="shared" si="143"/>
        <v>0</v>
      </c>
      <c r="R554" s="341"/>
      <c r="S554" s="342">
        <f t="shared" si="144"/>
        <v>8450.67</v>
      </c>
      <c r="T554" s="139">
        <f t="shared" si="145"/>
        <v>8450.67</v>
      </c>
      <c r="U554" s="139">
        <f t="shared" si="151"/>
        <v>0</v>
      </c>
      <c r="V554" s="333">
        <f t="shared" si="152"/>
        <v>0</v>
      </c>
    </row>
    <row r="555" spans="1:22" s="332" customFormat="1" ht="13.5" customHeight="1">
      <c r="A555" s="3"/>
      <c r="B555" s="3"/>
      <c r="C555" s="20" t="s">
        <v>1279</v>
      </c>
      <c r="D555" s="20">
        <v>567</v>
      </c>
      <c r="E555" s="3" t="s">
        <v>838</v>
      </c>
      <c r="F555" s="3">
        <v>2016</v>
      </c>
      <c r="G555" s="3">
        <v>8</v>
      </c>
      <c r="H555" s="3">
        <v>0</v>
      </c>
      <c r="I555" s="3" t="s">
        <v>52</v>
      </c>
      <c r="J555" s="131">
        <v>7</v>
      </c>
      <c r="K555" s="3">
        <f t="shared" si="146"/>
        <v>2023</v>
      </c>
      <c r="L555" s="130">
        <f t="shared" si="147"/>
        <v>2023.6666666666667</v>
      </c>
      <c r="M555" s="139">
        <v>23105.9</v>
      </c>
      <c r="N555" s="139">
        <f t="shared" si="148"/>
        <v>23105.9</v>
      </c>
      <c r="O555" s="139">
        <f t="shared" si="149"/>
        <v>275.0702380952381</v>
      </c>
      <c r="P555" s="139">
        <f t="shared" si="150"/>
        <v>3300.8428571428572</v>
      </c>
      <c r="Q555" s="342">
        <f t="shared" si="143"/>
        <v>0</v>
      </c>
      <c r="R555" s="341"/>
      <c r="S555" s="342">
        <f t="shared" si="144"/>
        <v>23105.9</v>
      </c>
      <c r="T555" s="139">
        <f t="shared" si="145"/>
        <v>23105.9</v>
      </c>
      <c r="U555" s="139">
        <f t="shared" si="151"/>
        <v>0</v>
      </c>
      <c r="V555" s="333">
        <f t="shared" si="152"/>
        <v>0</v>
      </c>
    </row>
    <row r="556" spans="1:22" s="332" customFormat="1" ht="13.5" customHeight="1">
      <c r="A556" s="3"/>
      <c r="B556" s="3"/>
      <c r="C556" s="20" t="s">
        <v>1279</v>
      </c>
      <c r="D556" s="20">
        <v>840</v>
      </c>
      <c r="E556" s="3" t="s">
        <v>838</v>
      </c>
      <c r="F556" s="3">
        <v>2015</v>
      </c>
      <c r="G556" s="3">
        <v>11</v>
      </c>
      <c r="H556" s="3">
        <v>0</v>
      </c>
      <c r="I556" s="3" t="s">
        <v>52</v>
      </c>
      <c r="J556" s="131">
        <v>7</v>
      </c>
      <c r="K556" s="3">
        <f t="shared" si="146"/>
        <v>2022</v>
      </c>
      <c r="L556" s="130">
        <f t="shared" si="147"/>
        <v>2022.9166666666667</v>
      </c>
      <c r="M556" s="139">
        <v>28717.5</v>
      </c>
      <c r="N556" s="139">
        <f t="shared" si="148"/>
        <v>28717.5</v>
      </c>
      <c r="O556" s="139">
        <f t="shared" si="149"/>
        <v>341.875</v>
      </c>
      <c r="P556" s="139">
        <f t="shared" si="150"/>
        <v>4102.5</v>
      </c>
      <c r="Q556" s="342">
        <f t="shared" si="143"/>
        <v>0</v>
      </c>
      <c r="R556" s="341"/>
      <c r="S556" s="342">
        <f t="shared" si="144"/>
        <v>28717.5</v>
      </c>
      <c r="T556" s="139">
        <f t="shared" si="145"/>
        <v>28717.5</v>
      </c>
      <c r="U556" s="139">
        <f t="shared" si="151"/>
        <v>0</v>
      </c>
      <c r="V556" s="333">
        <f t="shared" si="152"/>
        <v>0</v>
      </c>
    </row>
    <row r="557" spans="1:22" s="332" customFormat="1" ht="13.5" customHeight="1">
      <c r="A557" s="3"/>
      <c r="B557" s="3"/>
      <c r="C557" s="20" t="s">
        <v>1279</v>
      </c>
      <c r="D557" s="20">
        <v>840</v>
      </c>
      <c r="E557" s="3" t="s">
        <v>838</v>
      </c>
      <c r="F557" s="3">
        <v>2015</v>
      </c>
      <c r="G557" s="3">
        <v>11</v>
      </c>
      <c r="H557" s="3">
        <v>0</v>
      </c>
      <c r="I557" s="3" t="s">
        <v>52</v>
      </c>
      <c r="J557" s="131">
        <v>7</v>
      </c>
      <c r="K557" s="3">
        <f t="shared" si="146"/>
        <v>2022</v>
      </c>
      <c r="L557" s="130">
        <f t="shared" si="147"/>
        <v>2022.9166666666667</v>
      </c>
      <c r="M557" s="139">
        <v>28717.5</v>
      </c>
      <c r="N557" s="139">
        <f t="shared" si="148"/>
        <v>28717.5</v>
      </c>
      <c r="O557" s="139">
        <f t="shared" si="149"/>
        <v>341.875</v>
      </c>
      <c r="P557" s="139">
        <f t="shared" si="150"/>
        <v>4102.5</v>
      </c>
      <c r="Q557" s="342">
        <f t="shared" si="143"/>
        <v>0</v>
      </c>
      <c r="R557" s="341"/>
      <c r="S557" s="342">
        <f t="shared" si="144"/>
        <v>28717.5</v>
      </c>
      <c r="T557" s="139">
        <f t="shared" si="145"/>
        <v>28717.5</v>
      </c>
      <c r="U557" s="139">
        <f t="shared" si="151"/>
        <v>0</v>
      </c>
      <c r="V557" s="333">
        <f t="shared" si="152"/>
        <v>0</v>
      </c>
    </row>
    <row r="558" spans="1:22" s="332" customFormat="1" ht="13.5" customHeight="1">
      <c r="A558" s="3"/>
      <c r="B558" s="3"/>
      <c r="C558" s="20" t="s">
        <v>1279</v>
      </c>
      <c r="D558" s="20">
        <v>840</v>
      </c>
      <c r="E558" s="3" t="s">
        <v>838</v>
      </c>
      <c r="F558" s="3">
        <v>2015</v>
      </c>
      <c r="G558" s="3">
        <v>11</v>
      </c>
      <c r="H558" s="3">
        <v>0</v>
      </c>
      <c r="I558" s="3" t="s">
        <v>52</v>
      </c>
      <c r="J558" s="131">
        <v>7</v>
      </c>
      <c r="K558" s="3">
        <f t="shared" si="146"/>
        <v>2022</v>
      </c>
      <c r="L558" s="130">
        <f t="shared" si="147"/>
        <v>2022.9166666666667</v>
      </c>
      <c r="M558" s="139">
        <v>58305.04</v>
      </c>
      <c r="N558" s="139">
        <f t="shared" si="148"/>
        <v>58305.04</v>
      </c>
      <c r="O558" s="139">
        <f t="shared" si="149"/>
        <v>694.1076190476191</v>
      </c>
      <c r="P558" s="139">
        <f t="shared" si="150"/>
        <v>8329.2914285714287</v>
      </c>
      <c r="Q558" s="342">
        <f t="shared" si="143"/>
        <v>0</v>
      </c>
      <c r="R558" s="341"/>
      <c r="S558" s="342">
        <f t="shared" si="144"/>
        <v>58305.04</v>
      </c>
      <c r="T558" s="139">
        <f t="shared" si="145"/>
        <v>58305.04</v>
      </c>
      <c r="U558" s="139">
        <f t="shared" si="151"/>
        <v>0</v>
      </c>
      <c r="V558" s="333">
        <f t="shared" si="152"/>
        <v>0</v>
      </c>
    </row>
    <row r="559" spans="1:22" s="332" customFormat="1" ht="13.5" customHeight="1">
      <c r="A559" s="3"/>
      <c r="B559" s="3"/>
      <c r="C559" s="20" t="s">
        <v>1279</v>
      </c>
      <c r="D559" s="20">
        <v>630</v>
      </c>
      <c r="E559" s="3" t="s">
        <v>843</v>
      </c>
      <c r="F559" s="3">
        <v>2017</v>
      </c>
      <c r="G559" s="3">
        <v>1</v>
      </c>
      <c r="H559" s="3">
        <v>0</v>
      </c>
      <c r="I559" s="3" t="s">
        <v>52</v>
      </c>
      <c r="J559" s="131">
        <v>7</v>
      </c>
      <c r="K559" s="3">
        <f t="shared" si="146"/>
        <v>2024</v>
      </c>
      <c r="L559" s="130">
        <f t="shared" si="147"/>
        <v>2024.0833333333333</v>
      </c>
      <c r="M559" s="139">
        <v>25846</v>
      </c>
      <c r="N559" s="139">
        <f t="shared" si="148"/>
        <v>25846</v>
      </c>
      <c r="O559" s="139">
        <f t="shared" si="149"/>
        <v>307.6904761904762</v>
      </c>
      <c r="P559" s="139">
        <f t="shared" si="150"/>
        <v>3692.2857142857147</v>
      </c>
      <c r="Q559" s="342">
        <f t="shared" si="143"/>
        <v>0</v>
      </c>
      <c r="R559" s="341"/>
      <c r="S559" s="342">
        <f t="shared" si="144"/>
        <v>25846</v>
      </c>
      <c r="T559" s="139">
        <f t="shared" si="145"/>
        <v>25846</v>
      </c>
      <c r="U559" s="139">
        <f t="shared" si="151"/>
        <v>0</v>
      </c>
      <c r="V559" s="333">
        <f t="shared" si="152"/>
        <v>0</v>
      </c>
    </row>
    <row r="560" spans="1:22" s="332" customFormat="1">
      <c r="A560" s="3"/>
      <c r="B560" s="3"/>
      <c r="C560" s="20" t="s">
        <v>1279</v>
      </c>
      <c r="D560" s="20">
        <v>85</v>
      </c>
      <c r="E560" s="3" t="s">
        <v>1301</v>
      </c>
      <c r="F560" s="3">
        <v>2015</v>
      </c>
      <c r="G560" s="3">
        <v>4</v>
      </c>
      <c r="H560" s="3">
        <v>0</v>
      </c>
      <c r="I560" s="3" t="s">
        <v>52</v>
      </c>
      <c r="J560" s="131">
        <v>7</v>
      </c>
      <c r="K560" s="3">
        <f t="shared" ref="K560:K565" si="153">F560+J560</f>
        <v>2022</v>
      </c>
      <c r="L560" s="130">
        <f t="shared" ref="L560:L565" si="154">+K560+(G560/12)</f>
        <v>2022.3333333333333</v>
      </c>
      <c r="M560" s="139">
        <v>4704.75</v>
      </c>
      <c r="N560" s="139">
        <f t="shared" ref="N560:N565" si="155">M560-M560*H560</f>
        <v>4704.75</v>
      </c>
      <c r="O560" s="139">
        <f t="shared" ref="O560:O565" si="156">N560/J560/12</f>
        <v>56.008928571428577</v>
      </c>
      <c r="P560" s="139">
        <f t="shared" ref="P560:P565" si="157">+O560*12</f>
        <v>672.10714285714289</v>
      </c>
      <c r="Q560" s="342">
        <f t="shared" si="143"/>
        <v>0</v>
      </c>
      <c r="R560" s="341"/>
      <c r="S560" s="342">
        <f t="shared" si="144"/>
        <v>4704.75</v>
      </c>
      <c r="T560" s="139">
        <f t="shared" si="145"/>
        <v>4704.75</v>
      </c>
      <c r="U560" s="139">
        <f t="shared" ref="U560:U565" si="158">M560-T560</f>
        <v>0</v>
      </c>
      <c r="V560" s="333">
        <f t="shared" ref="V560:V565" si="159">M560-T560</f>
        <v>0</v>
      </c>
    </row>
    <row r="561" spans="1:22" s="332" customFormat="1">
      <c r="A561" s="3"/>
      <c r="B561" s="3"/>
      <c r="C561" s="20" t="s">
        <v>1279</v>
      </c>
      <c r="D561" s="20">
        <v>125</v>
      </c>
      <c r="E561" s="3" t="s">
        <v>1302</v>
      </c>
      <c r="F561" s="3">
        <v>2015</v>
      </c>
      <c r="G561" s="3">
        <v>10</v>
      </c>
      <c r="H561" s="3">
        <v>0</v>
      </c>
      <c r="I561" s="3" t="s">
        <v>52</v>
      </c>
      <c r="J561" s="131">
        <v>7</v>
      </c>
      <c r="K561" s="3">
        <f t="shared" si="153"/>
        <v>2022</v>
      </c>
      <c r="L561" s="130">
        <f t="shared" si="154"/>
        <v>2022.8333333333333</v>
      </c>
      <c r="M561" s="139">
        <v>7882.95</v>
      </c>
      <c r="N561" s="139">
        <f t="shared" si="155"/>
        <v>7882.95</v>
      </c>
      <c r="O561" s="139">
        <f t="shared" si="156"/>
        <v>93.844642857142858</v>
      </c>
      <c r="P561" s="139">
        <f t="shared" si="157"/>
        <v>1126.1357142857144</v>
      </c>
      <c r="Q561" s="342">
        <f t="shared" si="143"/>
        <v>0</v>
      </c>
      <c r="R561" s="341"/>
      <c r="S561" s="342">
        <f t="shared" si="144"/>
        <v>7882.95</v>
      </c>
      <c r="T561" s="139">
        <f t="shared" si="145"/>
        <v>7882.95</v>
      </c>
      <c r="U561" s="139">
        <f t="shared" si="158"/>
        <v>0</v>
      </c>
      <c r="V561" s="333">
        <f t="shared" si="159"/>
        <v>0</v>
      </c>
    </row>
    <row r="562" spans="1:22" s="332" customFormat="1">
      <c r="A562" s="3"/>
      <c r="B562" s="3"/>
      <c r="C562" s="20" t="s">
        <v>1279</v>
      </c>
      <c r="D562" s="20">
        <v>90</v>
      </c>
      <c r="E562" s="3" t="s">
        <v>839</v>
      </c>
      <c r="F562" s="3">
        <v>2017</v>
      </c>
      <c r="G562" s="3">
        <v>1</v>
      </c>
      <c r="H562" s="3">
        <v>0</v>
      </c>
      <c r="I562" s="3" t="s">
        <v>52</v>
      </c>
      <c r="J562" s="131">
        <v>6.11</v>
      </c>
      <c r="K562" s="3">
        <f t="shared" si="153"/>
        <v>2023.11</v>
      </c>
      <c r="L562" s="130">
        <f t="shared" si="154"/>
        <v>2023.1933333333332</v>
      </c>
      <c r="M562" s="139">
        <v>15202.81</v>
      </c>
      <c r="N562" s="139">
        <f t="shared" si="155"/>
        <v>15202.81</v>
      </c>
      <c r="O562" s="139">
        <f t="shared" si="156"/>
        <v>207.34874522640476</v>
      </c>
      <c r="P562" s="139">
        <f t="shared" si="157"/>
        <v>2488.1849427168572</v>
      </c>
      <c r="Q562" s="342">
        <f t="shared" si="143"/>
        <v>0</v>
      </c>
      <c r="R562" s="341"/>
      <c r="S562" s="342">
        <f t="shared" si="144"/>
        <v>15202.81</v>
      </c>
      <c r="T562" s="139">
        <f t="shared" si="145"/>
        <v>15202.81</v>
      </c>
      <c r="U562" s="139">
        <f t="shared" si="158"/>
        <v>0</v>
      </c>
      <c r="V562" s="333">
        <f t="shared" si="159"/>
        <v>0</v>
      </c>
    </row>
    <row r="563" spans="1:22" s="332" customFormat="1">
      <c r="A563" s="3"/>
      <c r="B563" s="3"/>
      <c r="C563" s="20" t="s">
        <v>1279</v>
      </c>
      <c r="D563" s="20">
        <v>0</v>
      </c>
      <c r="E563" s="3" t="s">
        <v>841</v>
      </c>
      <c r="F563" s="3">
        <v>2017</v>
      </c>
      <c r="G563" s="3">
        <v>1</v>
      </c>
      <c r="H563" s="3">
        <v>0</v>
      </c>
      <c r="I563" s="3" t="s">
        <v>52</v>
      </c>
      <c r="J563" s="131">
        <v>6.11</v>
      </c>
      <c r="K563" s="3">
        <f t="shared" si="153"/>
        <v>2023.11</v>
      </c>
      <c r="L563" s="130">
        <f t="shared" si="154"/>
        <v>2023.1933333333332</v>
      </c>
      <c r="M563" s="139">
        <v>7202.35</v>
      </c>
      <c r="N563" s="139">
        <f t="shared" si="155"/>
        <v>7202.35</v>
      </c>
      <c r="O563" s="139">
        <f t="shared" si="156"/>
        <v>98.231723949809052</v>
      </c>
      <c r="P563" s="139">
        <f t="shared" si="157"/>
        <v>1178.7806873977086</v>
      </c>
      <c r="Q563" s="342">
        <f t="shared" si="143"/>
        <v>0</v>
      </c>
      <c r="R563" s="341"/>
      <c r="S563" s="342">
        <f t="shared" si="144"/>
        <v>7202.35</v>
      </c>
      <c r="T563" s="139">
        <f t="shared" si="145"/>
        <v>7202.35</v>
      </c>
      <c r="U563" s="139">
        <f t="shared" si="158"/>
        <v>0</v>
      </c>
      <c r="V563" s="333">
        <f t="shared" si="159"/>
        <v>0</v>
      </c>
    </row>
    <row r="564" spans="1:22" s="332" customFormat="1">
      <c r="A564" s="3"/>
      <c r="B564" s="3"/>
      <c r="C564" s="20" t="s">
        <v>1279</v>
      </c>
      <c r="D564" s="20">
        <v>0</v>
      </c>
      <c r="E564" s="3" t="s">
        <v>1303</v>
      </c>
      <c r="F564" s="3">
        <v>2015</v>
      </c>
      <c r="G564" s="3">
        <v>4</v>
      </c>
      <c r="H564" s="3">
        <v>0</v>
      </c>
      <c r="I564" s="3" t="s">
        <v>52</v>
      </c>
      <c r="J564" s="131">
        <v>7</v>
      </c>
      <c r="K564" s="3">
        <f t="shared" si="153"/>
        <v>2022</v>
      </c>
      <c r="L564" s="130">
        <f t="shared" si="154"/>
        <v>2022.3333333333333</v>
      </c>
      <c r="M564" s="139">
        <v>11487</v>
      </c>
      <c r="N564" s="139">
        <f t="shared" si="155"/>
        <v>11487</v>
      </c>
      <c r="O564" s="139">
        <f t="shared" si="156"/>
        <v>136.75</v>
      </c>
      <c r="P564" s="139">
        <f t="shared" si="157"/>
        <v>1641</v>
      </c>
      <c r="Q564" s="342">
        <f t="shared" si="143"/>
        <v>0</v>
      </c>
      <c r="R564" s="341"/>
      <c r="S564" s="342">
        <f t="shared" si="144"/>
        <v>11487</v>
      </c>
      <c r="T564" s="139">
        <f t="shared" si="145"/>
        <v>11487</v>
      </c>
      <c r="U564" s="139">
        <f t="shared" si="158"/>
        <v>0</v>
      </c>
      <c r="V564" s="333">
        <f t="shared" si="159"/>
        <v>0</v>
      </c>
    </row>
    <row r="565" spans="1:22" s="332" customFormat="1">
      <c r="A565" s="3"/>
      <c r="B565" s="3"/>
      <c r="C565" s="20" t="s">
        <v>1279</v>
      </c>
      <c r="D565" s="20">
        <v>275</v>
      </c>
      <c r="E565" s="3" t="s">
        <v>519</v>
      </c>
      <c r="F565" s="3">
        <v>2015</v>
      </c>
      <c r="G565" s="3">
        <v>11</v>
      </c>
      <c r="H565" s="3">
        <v>0</v>
      </c>
      <c r="I565" s="3" t="s">
        <v>52</v>
      </c>
      <c r="J565" s="131">
        <v>7</v>
      </c>
      <c r="K565" s="3">
        <f t="shared" si="153"/>
        <v>2022</v>
      </c>
      <c r="L565" s="130">
        <f t="shared" si="154"/>
        <v>2022.9166666666667</v>
      </c>
      <c r="M565" s="139">
        <v>4723.33</v>
      </c>
      <c r="N565" s="139">
        <f t="shared" si="155"/>
        <v>4723.33</v>
      </c>
      <c r="O565" s="139">
        <f t="shared" si="156"/>
        <v>56.230119047619048</v>
      </c>
      <c r="P565" s="139">
        <f t="shared" si="157"/>
        <v>674.76142857142861</v>
      </c>
      <c r="Q565" s="342">
        <f t="shared" si="143"/>
        <v>0</v>
      </c>
      <c r="R565" s="341"/>
      <c r="S565" s="342">
        <f t="shared" si="144"/>
        <v>4723.33</v>
      </c>
      <c r="T565" s="139">
        <f t="shared" si="145"/>
        <v>4723.33</v>
      </c>
      <c r="U565" s="139">
        <f t="shared" si="158"/>
        <v>0</v>
      </c>
      <c r="V565" s="333">
        <f t="shared" si="159"/>
        <v>0</v>
      </c>
    </row>
    <row r="566" spans="1:22">
      <c r="C566" s="132"/>
      <c r="M566" s="139"/>
      <c r="N566" s="139"/>
      <c r="O566" s="139"/>
      <c r="P566" s="139"/>
      <c r="Q566" s="139"/>
      <c r="R566" s="139"/>
      <c r="S566" s="139"/>
      <c r="T566" s="139"/>
      <c r="U566" s="139"/>
      <c r="V566" s="11"/>
    </row>
    <row r="567" spans="1:22" ht="13.5" customHeight="1">
      <c r="M567" s="129"/>
      <c r="N567" s="129"/>
      <c r="O567" s="129"/>
      <c r="P567" s="129"/>
      <c r="Q567" s="129"/>
      <c r="R567" s="129"/>
      <c r="S567" s="129"/>
      <c r="T567" s="129"/>
      <c r="U567" s="129"/>
      <c r="V567" s="11"/>
    </row>
    <row r="568" spans="1:22" ht="12" customHeight="1">
      <c r="C568" s="173" t="s">
        <v>1126</v>
      </c>
      <c r="D568" s="209">
        <f>SUM(D463:D567)</f>
        <v>57014</v>
      </c>
      <c r="E568" s="162"/>
      <c r="F568" s="162"/>
      <c r="G568" s="162"/>
      <c r="H568" s="162"/>
      <c r="I568" s="162"/>
      <c r="J568" s="174"/>
      <c r="K568" s="162"/>
      <c r="L568" s="175"/>
      <c r="M568" s="163">
        <f t="shared" ref="M568:V568" si="160">SUM(M463:M565)</f>
        <v>2476582.35</v>
      </c>
      <c r="N568" s="163">
        <f t="shared" si="160"/>
        <v>2476582.35</v>
      </c>
      <c r="O568" s="163">
        <f t="shared" si="160"/>
        <v>30198.492760112225</v>
      </c>
      <c r="P568" s="163">
        <f t="shared" si="160"/>
        <v>362381.91312134673</v>
      </c>
      <c r="Q568" s="163">
        <f t="shared" si="160"/>
        <v>115260.46857142859</v>
      </c>
      <c r="R568" s="163">
        <f t="shared" si="160"/>
        <v>0</v>
      </c>
      <c r="S568" s="163">
        <f t="shared" si="160"/>
        <v>2132308.973928561</v>
      </c>
      <c r="T568" s="163">
        <f t="shared" si="160"/>
        <v>2261329.6301190397</v>
      </c>
      <c r="U568" s="163">
        <f t="shared" si="160"/>
        <v>215252.71988096042</v>
      </c>
      <c r="V568" s="163">
        <f t="shared" si="160"/>
        <v>215252.71988096042</v>
      </c>
    </row>
    <row r="569" spans="1:22" ht="12" customHeight="1">
      <c r="M569" s="139"/>
      <c r="N569" s="139"/>
      <c r="O569" s="139"/>
      <c r="P569" s="139"/>
      <c r="Q569" s="139"/>
      <c r="R569" s="139"/>
      <c r="S569" s="139"/>
      <c r="T569" s="139"/>
      <c r="U569" s="139"/>
      <c r="V569" s="11"/>
    </row>
    <row r="570" spans="1:22" s="1" customFormat="1" ht="12" customHeight="1">
      <c r="C570" s="132"/>
      <c r="D570" s="132"/>
      <c r="E570" s="1" t="s">
        <v>1018</v>
      </c>
      <c r="J570" s="5"/>
      <c r="L570" s="133"/>
      <c r="M570" s="140"/>
      <c r="N570" s="140"/>
      <c r="O570" s="140"/>
      <c r="P570" s="140"/>
      <c r="Q570" s="140"/>
      <c r="R570" s="140"/>
      <c r="S570" s="140"/>
      <c r="T570" s="140"/>
      <c r="U570" s="140"/>
      <c r="V570" s="11"/>
    </row>
    <row r="571" spans="1:22" ht="12" customHeight="1">
      <c r="M571" s="139"/>
      <c r="N571" s="139"/>
      <c r="O571" s="139"/>
      <c r="P571" s="139"/>
      <c r="Q571" s="139"/>
      <c r="R571" s="139"/>
      <c r="S571" s="139"/>
      <c r="T571" s="139"/>
      <c r="U571" s="139"/>
      <c r="V571" s="11"/>
    </row>
    <row r="572" spans="1:22" ht="12" customHeight="1">
      <c r="C572" s="20">
        <v>166867</v>
      </c>
      <c r="D572" s="20">
        <v>624</v>
      </c>
      <c r="E572" s="3" t="s">
        <v>294</v>
      </c>
      <c r="F572" s="3">
        <v>2016</v>
      </c>
      <c r="G572" s="3">
        <v>6</v>
      </c>
      <c r="H572" s="3">
        <v>0</v>
      </c>
      <c r="I572" s="3" t="s">
        <v>52</v>
      </c>
      <c r="J572" s="131">
        <v>7</v>
      </c>
      <c r="K572" s="3">
        <f t="shared" ref="K572:K585" si="161">F572+J572</f>
        <v>2023</v>
      </c>
      <c r="L572" s="130">
        <f t="shared" ref="L572:L585" si="162">+K572+(G572/12)</f>
        <v>2023.5</v>
      </c>
      <c r="M572" s="139">
        <v>31693.79</v>
      </c>
      <c r="N572" s="139">
        <f t="shared" ref="N572:N586" si="163">M572-M572*H572</f>
        <v>31693.79</v>
      </c>
      <c r="O572" s="139">
        <f t="shared" ref="O572:O586" si="164">N572/J572/12</f>
        <v>377.3070238095238</v>
      </c>
      <c r="P572" s="139">
        <f t="shared" ref="P572:P586" si="165">+O572*12</f>
        <v>4527.6842857142856</v>
      </c>
      <c r="Q572" s="342">
        <f t="shared" ref="Q572:Q607" si="166">IF(L572&lt;=$N$6,0,P572)</f>
        <v>0</v>
      </c>
      <c r="R572" s="341"/>
      <c r="S572" s="342">
        <f t="shared" ref="S572:S607" si="167">+IF($L572&lt;=$N$7,$M572,IF(($F572+($G572/12))&gt;=$N$7,0,((($N572-((($L572-$N$7)*12)*$O572))))))</f>
        <v>31693.79</v>
      </c>
      <c r="T572" s="139">
        <f t="shared" ref="T572:T607" si="168">IF(L572&lt;=$N$6,M572,Q572+S572)</f>
        <v>31693.79</v>
      </c>
      <c r="U572" s="139">
        <f t="shared" ref="U572:U597" si="169">M572-T572</f>
        <v>0</v>
      </c>
      <c r="V572" s="11">
        <f t="shared" ref="V572:V586" si="170">M572-T572</f>
        <v>0</v>
      </c>
    </row>
    <row r="573" spans="1:22" ht="12" customHeight="1">
      <c r="C573" s="20">
        <v>166868</v>
      </c>
      <c r="D573" s="20">
        <v>624</v>
      </c>
      <c r="E573" s="3" t="s">
        <v>294</v>
      </c>
      <c r="F573" s="3">
        <v>2016</v>
      </c>
      <c r="G573" s="3">
        <v>6</v>
      </c>
      <c r="H573" s="3">
        <v>0</v>
      </c>
      <c r="I573" s="3" t="s">
        <v>52</v>
      </c>
      <c r="J573" s="131">
        <v>7</v>
      </c>
      <c r="K573" s="3">
        <f t="shared" si="161"/>
        <v>2023</v>
      </c>
      <c r="L573" s="130">
        <f t="shared" si="162"/>
        <v>2023.5</v>
      </c>
      <c r="M573" s="139">
        <v>31693.8</v>
      </c>
      <c r="N573" s="139">
        <f t="shared" si="163"/>
        <v>31693.8</v>
      </c>
      <c r="O573" s="139">
        <f t="shared" si="164"/>
        <v>377.30714285714288</v>
      </c>
      <c r="P573" s="139">
        <f t="shared" si="165"/>
        <v>4527.6857142857143</v>
      </c>
      <c r="Q573" s="342">
        <f t="shared" si="166"/>
        <v>0</v>
      </c>
      <c r="R573" s="341"/>
      <c r="S573" s="342">
        <f t="shared" si="167"/>
        <v>31693.8</v>
      </c>
      <c r="T573" s="139">
        <f t="shared" si="168"/>
        <v>31693.8</v>
      </c>
      <c r="U573" s="139">
        <f t="shared" si="169"/>
        <v>0</v>
      </c>
      <c r="V573" s="11">
        <f t="shared" si="170"/>
        <v>0</v>
      </c>
    </row>
    <row r="574" spans="1:22" ht="12" customHeight="1">
      <c r="C574" s="20">
        <v>173327</v>
      </c>
      <c r="D574" s="20">
        <v>702</v>
      </c>
      <c r="E574" s="3" t="s">
        <v>112</v>
      </c>
      <c r="F574" s="3">
        <v>2016</v>
      </c>
      <c r="G574" s="3">
        <v>9</v>
      </c>
      <c r="H574" s="3">
        <v>0</v>
      </c>
      <c r="I574" s="3" t="s">
        <v>52</v>
      </c>
      <c r="J574" s="131">
        <v>7</v>
      </c>
      <c r="K574" s="3">
        <f t="shared" si="161"/>
        <v>2023</v>
      </c>
      <c r="L574" s="130">
        <f t="shared" si="162"/>
        <v>2023.75</v>
      </c>
      <c r="M574" s="139">
        <v>35858.47</v>
      </c>
      <c r="N574" s="139">
        <f t="shared" si="163"/>
        <v>35858.47</v>
      </c>
      <c r="O574" s="139">
        <f t="shared" si="164"/>
        <v>426.88654761904763</v>
      </c>
      <c r="P574" s="139">
        <f t="shared" si="165"/>
        <v>5122.6385714285716</v>
      </c>
      <c r="Q574" s="342">
        <f t="shared" si="166"/>
        <v>0</v>
      </c>
      <c r="R574" s="341"/>
      <c r="S574" s="342">
        <f t="shared" si="167"/>
        <v>35858.47</v>
      </c>
      <c r="T574" s="139">
        <f t="shared" si="168"/>
        <v>35858.47</v>
      </c>
      <c r="U574" s="139">
        <f t="shared" si="169"/>
        <v>0</v>
      </c>
      <c r="V574" s="11">
        <f t="shared" si="170"/>
        <v>0</v>
      </c>
    </row>
    <row r="575" spans="1:22" ht="12" customHeight="1">
      <c r="C575" s="20">
        <v>184821</v>
      </c>
      <c r="D575" s="20">
        <v>624</v>
      </c>
      <c r="E575" s="3" t="s">
        <v>512</v>
      </c>
      <c r="F575" s="3">
        <v>2017</v>
      </c>
      <c r="G575" s="3">
        <v>4</v>
      </c>
      <c r="H575" s="3">
        <v>0</v>
      </c>
      <c r="I575" s="3" t="s">
        <v>52</v>
      </c>
      <c r="J575" s="131">
        <v>7</v>
      </c>
      <c r="K575" s="3">
        <f t="shared" si="161"/>
        <v>2024</v>
      </c>
      <c r="L575" s="130">
        <f t="shared" si="162"/>
        <v>2024.3333333333333</v>
      </c>
      <c r="M575" s="139">
        <v>32760.57</v>
      </c>
      <c r="N575" s="139">
        <f t="shared" si="163"/>
        <v>32760.57</v>
      </c>
      <c r="O575" s="139">
        <f t="shared" si="164"/>
        <v>390.00678571428574</v>
      </c>
      <c r="P575" s="139">
        <f t="shared" si="165"/>
        <v>4680.0814285714287</v>
      </c>
      <c r="Q575" s="342">
        <f t="shared" si="166"/>
        <v>0</v>
      </c>
      <c r="R575" s="341"/>
      <c r="S575" s="342">
        <f t="shared" si="167"/>
        <v>32760.57</v>
      </c>
      <c r="T575" s="139">
        <f t="shared" si="168"/>
        <v>32760.57</v>
      </c>
      <c r="U575" s="139">
        <f t="shared" si="169"/>
        <v>0</v>
      </c>
      <c r="V575" s="11">
        <f t="shared" si="170"/>
        <v>0</v>
      </c>
    </row>
    <row r="576" spans="1:22" ht="12" customHeight="1">
      <c r="C576" s="20">
        <v>179047</v>
      </c>
      <c r="D576" s="20">
        <v>624</v>
      </c>
      <c r="E576" s="3" t="s">
        <v>512</v>
      </c>
      <c r="F576" s="3">
        <v>2017</v>
      </c>
      <c r="G576" s="3">
        <v>1</v>
      </c>
      <c r="H576" s="3">
        <v>0</v>
      </c>
      <c r="I576" s="3" t="s">
        <v>52</v>
      </c>
      <c r="J576" s="131">
        <v>7</v>
      </c>
      <c r="K576" s="3">
        <f t="shared" si="161"/>
        <v>2024</v>
      </c>
      <c r="L576" s="130">
        <f t="shared" si="162"/>
        <v>2024.0833333333333</v>
      </c>
      <c r="M576" s="139">
        <v>31928.87</v>
      </c>
      <c r="N576" s="139">
        <f t="shared" si="163"/>
        <v>31928.87</v>
      </c>
      <c r="O576" s="139">
        <f t="shared" si="164"/>
        <v>380.10559523809525</v>
      </c>
      <c r="P576" s="139">
        <f t="shared" si="165"/>
        <v>4561.267142857143</v>
      </c>
      <c r="Q576" s="342">
        <f t="shared" si="166"/>
        <v>0</v>
      </c>
      <c r="R576" s="341"/>
      <c r="S576" s="342">
        <f t="shared" si="167"/>
        <v>31928.87</v>
      </c>
      <c r="T576" s="139">
        <f t="shared" si="168"/>
        <v>31928.87</v>
      </c>
      <c r="U576" s="139">
        <f t="shared" si="169"/>
        <v>0</v>
      </c>
      <c r="V576" s="11">
        <f t="shared" si="170"/>
        <v>0</v>
      </c>
    </row>
    <row r="577" spans="3:22" ht="12" customHeight="1">
      <c r="C577" s="20">
        <v>189447</v>
      </c>
      <c r="D577" s="20">
        <v>312</v>
      </c>
      <c r="E577" s="3" t="s">
        <v>548</v>
      </c>
      <c r="F577" s="3">
        <v>2017</v>
      </c>
      <c r="G577" s="3">
        <v>9</v>
      </c>
      <c r="H577" s="3">
        <v>0</v>
      </c>
      <c r="I577" s="3" t="s">
        <v>52</v>
      </c>
      <c r="J577" s="131">
        <v>7</v>
      </c>
      <c r="K577" s="3">
        <f t="shared" si="161"/>
        <v>2024</v>
      </c>
      <c r="L577" s="130">
        <f t="shared" si="162"/>
        <v>2024.75</v>
      </c>
      <c r="M577" s="139">
        <v>16446.68</v>
      </c>
      <c r="N577" s="139">
        <f t="shared" si="163"/>
        <v>16446.68</v>
      </c>
      <c r="O577" s="139">
        <f t="shared" si="164"/>
        <v>195.79380952380953</v>
      </c>
      <c r="P577" s="139">
        <f t="shared" si="165"/>
        <v>2349.5257142857145</v>
      </c>
      <c r="Q577" s="342">
        <f t="shared" si="166"/>
        <v>0</v>
      </c>
      <c r="R577" s="341"/>
      <c r="S577" s="342">
        <f t="shared" si="167"/>
        <v>15467.710952380774</v>
      </c>
      <c r="T577" s="139">
        <f t="shared" si="168"/>
        <v>16446.68</v>
      </c>
      <c r="U577" s="139">
        <f t="shared" si="169"/>
        <v>0</v>
      </c>
      <c r="V577" s="11">
        <f t="shared" si="170"/>
        <v>0</v>
      </c>
    </row>
    <row r="578" spans="3:22" ht="12" customHeight="1">
      <c r="C578" s="20">
        <v>189445</v>
      </c>
      <c r="D578" s="20">
        <v>624</v>
      </c>
      <c r="E578" s="3" t="s">
        <v>550</v>
      </c>
      <c r="F578" s="3">
        <v>2017</v>
      </c>
      <c r="G578" s="3">
        <v>7</v>
      </c>
      <c r="H578" s="3">
        <v>0</v>
      </c>
      <c r="I578" s="3" t="s">
        <v>52</v>
      </c>
      <c r="J578" s="131">
        <v>7</v>
      </c>
      <c r="K578" s="3">
        <f t="shared" si="161"/>
        <v>2024</v>
      </c>
      <c r="L578" s="130">
        <f t="shared" si="162"/>
        <v>2024.5833333333333</v>
      </c>
      <c r="M578" s="139">
        <v>32408.89</v>
      </c>
      <c r="N578" s="139">
        <f t="shared" si="163"/>
        <v>32408.89</v>
      </c>
      <c r="O578" s="139">
        <f t="shared" si="164"/>
        <v>385.82011904761907</v>
      </c>
      <c r="P578" s="139">
        <f t="shared" si="165"/>
        <v>4629.8414285714289</v>
      </c>
      <c r="Q578" s="342">
        <f t="shared" si="166"/>
        <v>0</v>
      </c>
      <c r="R578" s="341"/>
      <c r="S578" s="342">
        <f t="shared" si="167"/>
        <v>31251.429642857143</v>
      </c>
      <c r="T578" s="139">
        <f t="shared" si="168"/>
        <v>32408.89</v>
      </c>
      <c r="U578" s="139">
        <f t="shared" si="169"/>
        <v>0</v>
      </c>
      <c r="V578" s="11">
        <f t="shared" si="170"/>
        <v>0</v>
      </c>
    </row>
    <row r="579" spans="3:22" ht="12.75" customHeight="1">
      <c r="C579" s="20">
        <v>176924</v>
      </c>
      <c r="D579" s="20">
        <v>100</v>
      </c>
      <c r="E579" s="3" t="s">
        <v>844</v>
      </c>
      <c r="F579" s="3">
        <v>2017</v>
      </c>
      <c r="G579" s="3">
        <v>1</v>
      </c>
      <c r="H579" s="3">
        <v>0</v>
      </c>
      <c r="I579" s="3" t="s">
        <v>52</v>
      </c>
      <c r="J579" s="131">
        <v>7</v>
      </c>
      <c r="K579" s="3">
        <f t="shared" si="161"/>
        <v>2024</v>
      </c>
      <c r="L579" s="130">
        <f t="shared" si="162"/>
        <v>2024.0833333333333</v>
      </c>
      <c r="M579" s="139">
        <v>5137.42</v>
      </c>
      <c r="N579" s="139">
        <f t="shared" si="163"/>
        <v>5137.42</v>
      </c>
      <c r="O579" s="139">
        <f t="shared" si="164"/>
        <v>61.159761904761901</v>
      </c>
      <c r="P579" s="139">
        <f t="shared" si="165"/>
        <v>733.91714285714284</v>
      </c>
      <c r="Q579" s="342">
        <f t="shared" si="166"/>
        <v>0</v>
      </c>
      <c r="R579" s="341"/>
      <c r="S579" s="342">
        <f t="shared" si="167"/>
        <v>5137.42</v>
      </c>
      <c r="T579" s="139">
        <f t="shared" si="168"/>
        <v>5137.42</v>
      </c>
      <c r="U579" s="139">
        <f t="shared" si="169"/>
        <v>0</v>
      </c>
      <c r="V579" s="11">
        <f t="shared" si="170"/>
        <v>0</v>
      </c>
    </row>
    <row r="580" spans="3:22" ht="12" customHeight="1">
      <c r="C580" s="20">
        <v>194937</v>
      </c>
      <c r="D580" s="20">
        <v>624</v>
      </c>
      <c r="E580" s="3" t="s">
        <v>512</v>
      </c>
      <c r="F580" s="3">
        <v>2018</v>
      </c>
      <c r="G580" s="3">
        <v>2</v>
      </c>
      <c r="H580" s="3">
        <v>0</v>
      </c>
      <c r="I580" s="3" t="s">
        <v>52</v>
      </c>
      <c r="J580" s="131">
        <v>7</v>
      </c>
      <c r="K580" s="3">
        <f t="shared" si="161"/>
        <v>2025</v>
      </c>
      <c r="L580" s="130">
        <f t="shared" si="162"/>
        <v>2025.1666666666667</v>
      </c>
      <c r="M580" s="139">
        <v>33120.080000000002</v>
      </c>
      <c r="N580" s="139">
        <f t="shared" si="163"/>
        <v>33120.080000000002</v>
      </c>
      <c r="O580" s="139">
        <f t="shared" si="164"/>
        <v>394.28666666666669</v>
      </c>
      <c r="P580" s="139">
        <f t="shared" si="165"/>
        <v>4731.4400000000005</v>
      </c>
      <c r="Q580" s="342">
        <f t="shared" si="166"/>
        <v>0</v>
      </c>
      <c r="R580" s="341"/>
      <c r="S580" s="342">
        <f t="shared" si="167"/>
        <v>29177.213333332616</v>
      </c>
      <c r="T580" s="139">
        <f t="shared" si="168"/>
        <v>33120.080000000002</v>
      </c>
      <c r="U580" s="139">
        <f t="shared" si="169"/>
        <v>0</v>
      </c>
      <c r="V580" s="11">
        <f t="shared" si="170"/>
        <v>0</v>
      </c>
    </row>
    <row r="581" spans="3:22" ht="12" customHeight="1">
      <c r="C581" s="20">
        <v>194935</v>
      </c>
      <c r="D581" s="20">
        <v>624</v>
      </c>
      <c r="E581" s="3" t="s">
        <v>514</v>
      </c>
      <c r="F581" s="3">
        <v>2018</v>
      </c>
      <c r="G581" s="3">
        <v>1</v>
      </c>
      <c r="H581" s="3">
        <v>0</v>
      </c>
      <c r="I581" s="3" t="s">
        <v>52</v>
      </c>
      <c r="J581" s="131">
        <v>6.1</v>
      </c>
      <c r="K581" s="3">
        <f t="shared" si="161"/>
        <v>2024.1</v>
      </c>
      <c r="L581" s="130">
        <f t="shared" si="162"/>
        <v>2024.1833333333332</v>
      </c>
      <c r="M581" s="139">
        <v>32987.93</v>
      </c>
      <c r="N581" s="139">
        <f t="shared" si="163"/>
        <v>32987.93</v>
      </c>
      <c r="O581" s="139">
        <f t="shared" si="164"/>
        <v>450.654781420765</v>
      </c>
      <c r="P581" s="139">
        <f t="shared" si="165"/>
        <v>5407.8573770491803</v>
      </c>
      <c r="Q581" s="342">
        <f t="shared" si="166"/>
        <v>0</v>
      </c>
      <c r="R581" s="341"/>
      <c r="S581" s="342">
        <f t="shared" si="167"/>
        <v>32987.93</v>
      </c>
      <c r="T581" s="139">
        <f t="shared" si="168"/>
        <v>32987.93</v>
      </c>
      <c r="U581" s="139">
        <f t="shared" si="169"/>
        <v>0</v>
      </c>
      <c r="V581" s="11">
        <f t="shared" si="170"/>
        <v>0</v>
      </c>
    </row>
    <row r="582" spans="3:22" ht="12" customHeight="1">
      <c r="C582" s="20">
        <v>199443</v>
      </c>
      <c r="D582" s="20">
        <v>624</v>
      </c>
      <c r="E582" s="3" t="s">
        <v>544</v>
      </c>
      <c r="F582" s="3">
        <v>2018</v>
      </c>
      <c r="G582" s="3">
        <v>4</v>
      </c>
      <c r="H582" s="3">
        <v>0</v>
      </c>
      <c r="I582" s="3" t="s">
        <v>52</v>
      </c>
      <c r="J582" s="131">
        <v>7</v>
      </c>
      <c r="K582" s="3">
        <f t="shared" si="161"/>
        <v>2025</v>
      </c>
      <c r="L582" s="130">
        <f t="shared" si="162"/>
        <v>2025.3333333333333</v>
      </c>
      <c r="M582" s="139">
        <v>33245.019999999997</v>
      </c>
      <c r="N582" s="139">
        <f t="shared" si="163"/>
        <v>33245.019999999997</v>
      </c>
      <c r="O582" s="139">
        <f t="shared" si="164"/>
        <v>395.77404761904762</v>
      </c>
      <c r="P582" s="139">
        <f t="shared" si="165"/>
        <v>4749.2885714285712</v>
      </c>
      <c r="Q582" s="342">
        <f t="shared" si="166"/>
        <v>4749.2885714285712</v>
      </c>
      <c r="R582" s="341"/>
      <c r="S582" s="342">
        <f t="shared" si="167"/>
        <v>28495.731428571424</v>
      </c>
      <c r="T582" s="139">
        <f t="shared" si="168"/>
        <v>33245.019999999997</v>
      </c>
      <c r="U582" s="139">
        <f t="shared" si="169"/>
        <v>0</v>
      </c>
      <c r="V582" s="11">
        <f t="shared" si="170"/>
        <v>0</v>
      </c>
    </row>
    <row r="583" spans="3:22" ht="12" customHeight="1">
      <c r="C583" s="20">
        <v>196548</v>
      </c>
      <c r="D583" s="20">
        <v>624</v>
      </c>
      <c r="E583" s="3" t="s">
        <v>545</v>
      </c>
      <c r="F583" s="3">
        <v>2018</v>
      </c>
      <c r="G583" s="3">
        <v>3</v>
      </c>
      <c r="H583" s="3">
        <v>0</v>
      </c>
      <c r="I583" s="3" t="s">
        <v>52</v>
      </c>
      <c r="J583" s="131">
        <v>7</v>
      </c>
      <c r="K583" s="3">
        <f t="shared" si="161"/>
        <v>2025</v>
      </c>
      <c r="L583" s="130">
        <f t="shared" si="162"/>
        <v>2025.25</v>
      </c>
      <c r="M583" s="139">
        <v>33263.65</v>
      </c>
      <c r="N583" s="139">
        <f t="shared" si="163"/>
        <v>33263.65</v>
      </c>
      <c r="O583" s="139">
        <f t="shared" si="164"/>
        <v>395.99583333333334</v>
      </c>
      <c r="P583" s="139">
        <f t="shared" si="165"/>
        <v>4751.95</v>
      </c>
      <c r="Q583" s="342">
        <f t="shared" si="166"/>
        <v>0</v>
      </c>
      <c r="R583" s="341"/>
      <c r="S583" s="342">
        <f t="shared" si="167"/>
        <v>28907.695833332975</v>
      </c>
      <c r="T583" s="139">
        <f t="shared" si="168"/>
        <v>33263.65</v>
      </c>
      <c r="U583" s="139">
        <f t="shared" si="169"/>
        <v>0</v>
      </c>
      <c r="V583" s="11">
        <f t="shared" si="170"/>
        <v>0</v>
      </c>
    </row>
    <row r="584" spans="3:22">
      <c r="C584" s="20">
        <v>212878</v>
      </c>
      <c r="D584" s="20">
        <v>624</v>
      </c>
      <c r="E584" s="3" t="s">
        <v>1045</v>
      </c>
      <c r="F584" s="3">
        <v>2019</v>
      </c>
      <c r="G584" s="3">
        <v>3</v>
      </c>
      <c r="H584" s="3">
        <v>0</v>
      </c>
      <c r="I584" s="3" t="s">
        <v>52</v>
      </c>
      <c r="J584" s="131">
        <v>7</v>
      </c>
      <c r="K584" s="3">
        <f t="shared" si="161"/>
        <v>2026</v>
      </c>
      <c r="L584" s="130">
        <f t="shared" si="162"/>
        <v>2026.25</v>
      </c>
      <c r="M584" s="139">
        <v>32121.81</v>
      </c>
      <c r="N584" s="139">
        <f t="shared" si="163"/>
        <v>32121.81</v>
      </c>
      <c r="O584" s="139">
        <f t="shared" si="164"/>
        <v>382.40249999999997</v>
      </c>
      <c r="P584" s="139">
        <f t="shared" si="165"/>
        <v>4588.83</v>
      </c>
      <c r="Q584" s="342">
        <f t="shared" si="166"/>
        <v>4588.83</v>
      </c>
      <c r="R584" s="341"/>
      <c r="S584" s="342">
        <f t="shared" si="167"/>
        <v>23326.552499999656</v>
      </c>
      <c r="T584" s="139">
        <f t="shared" si="168"/>
        <v>27915.382499999658</v>
      </c>
      <c r="U584" s="139">
        <f t="shared" si="169"/>
        <v>4206.4275000003436</v>
      </c>
      <c r="V584" s="11">
        <f t="shared" si="170"/>
        <v>4206.4275000003436</v>
      </c>
    </row>
    <row r="585" spans="3:22">
      <c r="C585" s="20">
        <v>216709</v>
      </c>
      <c r="D585" s="20">
        <v>624</v>
      </c>
      <c r="E585" s="3" t="s">
        <v>1045</v>
      </c>
      <c r="F585" s="3">
        <v>2019</v>
      </c>
      <c r="G585" s="3">
        <v>4</v>
      </c>
      <c r="H585" s="3">
        <v>0</v>
      </c>
      <c r="I585" s="3" t="s">
        <v>52</v>
      </c>
      <c r="J585" s="131">
        <v>7</v>
      </c>
      <c r="K585" s="3">
        <f t="shared" si="161"/>
        <v>2026</v>
      </c>
      <c r="L585" s="130">
        <f t="shared" si="162"/>
        <v>2026.3333333333333</v>
      </c>
      <c r="M585" s="139">
        <v>31710.656999999999</v>
      </c>
      <c r="N585" s="139">
        <f t="shared" si="163"/>
        <v>31710.656999999999</v>
      </c>
      <c r="O585" s="139">
        <f t="shared" si="164"/>
        <v>377.50782142857139</v>
      </c>
      <c r="P585" s="139">
        <f t="shared" si="165"/>
        <v>4530.0938571428569</v>
      </c>
      <c r="Q585" s="342">
        <f t="shared" si="166"/>
        <v>4530.0938571428569</v>
      </c>
      <c r="R585" s="341"/>
      <c r="S585" s="342">
        <f t="shared" si="167"/>
        <v>22650.469285714287</v>
      </c>
      <c r="T585" s="139">
        <f t="shared" si="168"/>
        <v>27180.563142857143</v>
      </c>
      <c r="U585" s="139">
        <f t="shared" si="169"/>
        <v>4530.093857142856</v>
      </c>
      <c r="V585" s="11">
        <f t="shared" si="170"/>
        <v>4530.093857142856</v>
      </c>
    </row>
    <row r="586" spans="3:22">
      <c r="C586" s="20">
        <v>217871</v>
      </c>
      <c r="D586" s="20">
        <v>624</v>
      </c>
      <c r="E586" s="3" t="s">
        <v>1045</v>
      </c>
      <c r="F586" s="3">
        <v>2019</v>
      </c>
      <c r="G586" s="3">
        <v>6</v>
      </c>
      <c r="H586" s="3">
        <v>0</v>
      </c>
      <c r="I586" s="3" t="s">
        <v>52</v>
      </c>
      <c r="J586" s="131">
        <v>7</v>
      </c>
      <c r="K586" s="3">
        <f t="shared" ref="K586:K591" si="171">F586+J586</f>
        <v>2026</v>
      </c>
      <c r="L586" s="130">
        <f t="shared" ref="L586:L591" si="172">+K586+(G586/12)</f>
        <v>2026.5</v>
      </c>
      <c r="M586" s="139">
        <v>31929.82</v>
      </c>
      <c r="N586" s="139">
        <f t="shared" si="163"/>
        <v>31929.82</v>
      </c>
      <c r="O586" s="139">
        <f t="shared" si="164"/>
        <v>380.11690476190478</v>
      </c>
      <c r="P586" s="139">
        <f t="shared" si="165"/>
        <v>4561.4028571428571</v>
      </c>
      <c r="Q586" s="342">
        <f t="shared" si="166"/>
        <v>4561.4028571428571</v>
      </c>
      <c r="R586" s="341"/>
      <c r="S586" s="342">
        <f t="shared" si="167"/>
        <v>22046.780476190128</v>
      </c>
      <c r="T586" s="139">
        <f t="shared" si="168"/>
        <v>26608.183333332985</v>
      </c>
      <c r="U586" s="139">
        <f t="shared" si="169"/>
        <v>5321.6366666670147</v>
      </c>
      <c r="V586" s="11">
        <f t="shared" si="170"/>
        <v>5321.6366666670147</v>
      </c>
    </row>
    <row r="587" spans="3:22">
      <c r="C587" s="20">
        <v>217870</v>
      </c>
      <c r="D587" s="20">
        <v>624</v>
      </c>
      <c r="E587" s="3" t="s">
        <v>1045</v>
      </c>
      <c r="F587" s="3">
        <v>2019</v>
      </c>
      <c r="G587" s="3">
        <v>6</v>
      </c>
      <c r="H587" s="3">
        <v>0</v>
      </c>
      <c r="I587" s="3" t="s">
        <v>52</v>
      </c>
      <c r="J587" s="131">
        <v>7</v>
      </c>
      <c r="K587" s="3">
        <f t="shared" si="171"/>
        <v>2026</v>
      </c>
      <c r="L587" s="130">
        <f t="shared" si="172"/>
        <v>2026.5</v>
      </c>
      <c r="M587" s="139">
        <v>31929.82</v>
      </c>
      <c r="N587" s="139">
        <f t="shared" ref="N587:N597" si="173">M587-M587*H587</f>
        <v>31929.82</v>
      </c>
      <c r="O587" s="139">
        <f t="shared" ref="O587:O597" si="174">N587/J587/12</f>
        <v>380.11690476190478</v>
      </c>
      <c r="P587" s="139">
        <f t="shared" ref="P587:P597" si="175">+O587*12</f>
        <v>4561.4028571428571</v>
      </c>
      <c r="Q587" s="342">
        <f t="shared" si="166"/>
        <v>4561.4028571428571</v>
      </c>
      <c r="R587" s="341"/>
      <c r="S587" s="342">
        <f t="shared" si="167"/>
        <v>22046.780476190128</v>
      </c>
      <c r="T587" s="139">
        <f t="shared" si="168"/>
        <v>26608.183333332985</v>
      </c>
      <c r="U587" s="139">
        <f t="shared" si="169"/>
        <v>5321.6366666670147</v>
      </c>
      <c r="V587" s="11">
        <f t="shared" ref="V587:V597" si="176">M587-T587</f>
        <v>5321.6366666670147</v>
      </c>
    </row>
    <row r="588" spans="3:22">
      <c r="C588" s="20">
        <v>228192</v>
      </c>
      <c r="D588" s="20">
        <v>312</v>
      </c>
      <c r="E588" s="3" t="s">
        <v>1045</v>
      </c>
      <c r="F588" s="3">
        <v>2020</v>
      </c>
      <c r="G588" s="3">
        <v>1</v>
      </c>
      <c r="H588" s="3">
        <v>0</v>
      </c>
      <c r="I588" s="3" t="s">
        <v>52</v>
      </c>
      <c r="J588" s="131">
        <v>7</v>
      </c>
      <c r="K588" s="3">
        <f t="shared" si="171"/>
        <v>2027</v>
      </c>
      <c r="L588" s="130">
        <f t="shared" si="172"/>
        <v>2027.0833333333333</v>
      </c>
      <c r="M588" s="139">
        <v>14226.43</v>
      </c>
      <c r="N588" s="139">
        <f t="shared" si="173"/>
        <v>14226.43</v>
      </c>
      <c r="O588" s="139">
        <f t="shared" si="174"/>
        <v>169.36226190476191</v>
      </c>
      <c r="P588" s="139">
        <f t="shared" si="175"/>
        <v>2032.3471428571429</v>
      </c>
      <c r="Q588" s="342">
        <f t="shared" si="166"/>
        <v>2032.3471428571429</v>
      </c>
      <c r="R588" s="341"/>
      <c r="S588" s="342">
        <f t="shared" si="167"/>
        <v>8637.4753571428573</v>
      </c>
      <c r="T588" s="139">
        <f t="shared" si="168"/>
        <v>10669.8225</v>
      </c>
      <c r="U588" s="139">
        <f t="shared" si="169"/>
        <v>3556.6075000000001</v>
      </c>
      <c r="V588" s="11">
        <f t="shared" si="176"/>
        <v>3556.6075000000001</v>
      </c>
    </row>
    <row r="589" spans="3:22">
      <c r="C589" s="20">
        <v>228948</v>
      </c>
      <c r="D589" s="20">
        <v>702</v>
      </c>
      <c r="E589" s="3" t="s">
        <v>1045</v>
      </c>
      <c r="F589" s="3">
        <v>2020</v>
      </c>
      <c r="G589" s="3">
        <v>2</v>
      </c>
      <c r="H589" s="3">
        <v>0</v>
      </c>
      <c r="I589" s="3" t="s">
        <v>52</v>
      </c>
      <c r="J589" s="131">
        <v>7</v>
      </c>
      <c r="K589" s="3">
        <f>F589+J589</f>
        <v>2027</v>
      </c>
      <c r="L589" s="130">
        <f>+K589+(G589/12)</f>
        <v>2027.1666666666667</v>
      </c>
      <c r="M589" s="139">
        <v>31747.14</v>
      </c>
      <c r="N589" s="139">
        <f t="shared" si="173"/>
        <v>31747.14</v>
      </c>
      <c r="O589" s="139">
        <f t="shared" si="174"/>
        <v>377.94214285714287</v>
      </c>
      <c r="P589" s="139">
        <f t="shared" si="175"/>
        <v>4535.3057142857142</v>
      </c>
      <c r="Q589" s="342">
        <f t="shared" si="166"/>
        <v>4535.3057142857142</v>
      </c>
      <c r="R589" s="341"/>
      <c r="S589" s="342">
        <f t="shared" si="167"/>
        <v>18897.107142856454</v>
      </c>
      <c r="T589" s="139">
        <f t="shared" si="168"/>
        <v>23432.412857142168</v>
      </c>
      <c r="U589" s="139">
        <f t="shared" si="169"/>
        <v>8314.7271428578315</v>
      </c>
      <c r="V589" s="11">
        <f t="shared" si="176"/>
        <v>8314.7271428578315</v>
      </c>
    </row>
    <row r="590" spans="3:22">
      <c r="C590" s="20">
        <v>228947</v>
      </c>
      <c r="D590" s="20">
        <v>702</v>
      </c>
      <c r="E590" s="3" t="s">
        <v>1045</v>
      </c>
      <c r="F590" s="3">
        <v>2020</v>
      </c>
      <c r="G590" s="3">
        <v>2</v>
      </c>
      <c r="H590" s="3">
        <v>0</v>
      </c>
      <c r="I590" s="3" t="s">
        <v>52</v>
      </c>
      <c r="J590" s="131">
        <v>7</v>
      </c>
      <c r="K590" s="3">
        <f>F590+J590</f>
        <v>2027</v>
      </c>
      <c r="L590" s="130">
        <f>+K590+(G590/12)</f>
        <v>2027.1666666666667</v>
      </c>
      <c r="M590" s="139">
        <v>31747.14</v>
      </c>
      <c r="N590" s="139">
        <f>M590-M590*H590</f>
        <v>31747.14</v>
      </c>
      <c r="O590" s="139">
        <f>N590/J590/12</f>
        <v>377.94214285714287</v>
      </c>
      <c r="P590" s="139">
        <f>+O590*12</f>
        <v>4535.3057142857142</v>
      </c>
      <c r="Q590" s="342">
        <f t="shared" si="166"/>
        <v>4535.3057142857142</v>
      </c>
      <c r="R590" s="341"/>
      <c r="S590" s="342">
        <f t="shared" si="167"/>
        <v>18897.107142856454</v>
      </c>
      <c r="T590" s="139">
        <f t="shared" si="168"/>
        <v>23432.412857142168</v>
      </c>
      <c r="U590" s="139">
        <f t="shared" si="169"/>
        <v>8314.7271428578315</v>
      </c>
      <c r="V590" s="11">
        <f>M590-T590</f>
        <v>8314.7271428578315</v>
      </c>
    </row>
    <row r="591" spans="3:22">
      <c r="C591" s="20">
        <v>236434</v>
      </c>
      <c r="D591" s="20">
        <v>702</v>
      </c>
      <c r="E591" s="3" t="s">
        <v>1045</v>
      </c>
      <c r="F591" s="3">
        <v>2020</v>
      </c>
      <c r="G591" s="3">
        <v>8</v>
      </c>
      <c r="H591" s="3">
        <v>0</v>
      </c>
      <c r="I591" s="3" t="s">
        <v>52</v>
      </c>
      <c r="J591" s="131">
        <v>7</v>
      </c>
      <c r="K591" s="3">
        <f t="shared" si="171"/>
        <v>2027</v>
      </c>
      <c r="L591" s="130">
        <f t="shared" si="172"/>
        <v>2027.6666666666667</v>
      </c>
      <c r="M591" s="139">
        <v>30196.43</v>
      </c>
      <c r="N591" s="139">
        <f t="shared" si="173"/>
        <v>30196.43</v>
      </c>
      <c r="O591" s="139">
        <f t="shared" si="174"/>
        <v>359.48130952380956</v>
      </c>
      <c r="P591" s="139">
        <f t="shared" si="175"/>
        <v>4313.7757142857145</v>
      </c>
      <c r="Q591" s="342">
        <f t="shared" si="166"/>
        <v>4313.7757142857145</v>
      </c>
      <c r="R591" s="341"/>
      <c r="S591" s="342">
        <f t="shared" si="167"/>
        <v>15817.177619046965</v>
      </c>
      <c r="T591" s="139">
        <f t="shared" si="168"/>
        <v>20130.95333333268</v>
      </c>
      <c r="U591" s="139">
        <f t="shared" si="169"/>
        <v>10065.47666666732</v>
      </c>
      <c r="V591" s="11">
        <f t="shared" si="176"/>
        <v>10065.47666666732</v>
      </c>
    </row>
    <row r="592" spans="3:22">
      <c r="C592" s="20">
        <v>233201</v>
      </c>
      <c r="D592" s="20">
        <v>312</v>
      </c>
      <c r="E592" s="3" t="s">
        <v>1045</v>
      </c>
      <c r="F592" s="3">
        <v>2020</v>
      </c>
      <c r="G592" s="3">
        <v>4</v>
      </c>
      <c r="H592" s="3">
        <v>0</v>
      </c>
      <c r="I592" s="3" t="s">
        <v>52</v>
      </c>
      <c r="J592" s="131">
        <v>7</v>
      </c>
      <c r="K592" s="3">
        <f t="shared" ref="K592:K597" si="177">F592+J592</f>
        <v>2027</v>
      </c>
      <c r="L592" s="130">
        <f t="shared" ref="L592:L597" si="178">+K592+(G592/12)</f>
        <v>2027.3333333333333</v>
      </c>
      <c r="M592" s="139">
        <v>12686.86</v>
      </c>
      <c r="N592" s="139">
        <f t="shared" si="173"/>
        <v>12686.86</v>
      </c>
      <c r="O592" s="139">
        <f t="shared" si="174"/>
        <v>151.03404761904764</v>
      </c>
      <c r="P592" s="139">
        <f t="shared" si="175"/>
        <v>1812.4085714285716</v>
      </c>
      <c r="Q592" s="342">
        <f t="shared" si="166"/>
        <v>1812.4085714285716</v>
      </c>
      <c r="R592" s="341"/>
      <c r="S592" s="342">
        <f t="shared" si="167"/>
        <v>7249.6342857142854</v>
      </c>
      <c r="T592" s="139">
        <f t="shared" si="168"/>
        <v>9062.0428571428565</v>
      </c>
      <c r="U592" s="139">
        <f t="shared" si="169"/>
        <v>3624.8171428571441</v>
      </c>
      <c r="V592" s="11">
        <f t="shared" si="176"/>
        <v>3624.8171428571441</v>
      </c>
    </row>
    <row r="593" spans="2:22">
      <c r="C593" s="20">
        <v>233285</v>
      </c>
      <c r="D593" s="20">
        <v>702</v>
      </c>
      <c r="E593" s="3" t="s">
        <v>1045</v>
      </c>
      <c r="F593" s="3">
        <v>2020</v>
      </c>
      <c r="G593" s="3">
        <v>5</v>
      </c>
      <c r="H593" s="3">
        <v>0</v>
      </c>
      <c r="I593" s="3" t="s">
        <v>52</v>
      </c>
      <c r="J593" s="131">
        <v>7</v>
      </c>
      <c r="K593" s="3">
        <f t="shared" si="177"/>
        <v>2027</v>
      </c>
      <c r="L593" s="130">
        <f t="shared" si="178"/>
        <v>2027.4166666666667</v>
      </c>
      <c r="M593" s="139">
        <v>27943.66</v>
      </c>
      <c r="N593" s="139">
        <f t="shared" si="173"/>
        <v>27943.66</v>
      </c>
      <c r="O593" s="139">
        <f t="shared" si="174"/>
        <v>332.66261904761905</v>
      </c>
      <c r="P593" s="139">
        <f t="shared" si="175"/>
        <v>3991.9514285714286</v>
      </c>
      <c r="Q593" s="342">
        <f t="shared" si="166"/>
        <v>3991.9514285714286</v>
      </c>
      <c r="R593" s="341"/>
      <c r="S593" s="342">
        <f t="shared" si="167"/>
        <v>15635.14309523749</v>
      </c>
      <c r="T593" s="139">
        <f t="shared" si="168"/>
        <v>19627.094523808919</v>
      </c>
      <c r="U593" s="139">
        <f t="shared" si="169"/>
        <v>8316.565476191081</v>
      </c>
      <c r="V593" s="11">
        <f t="shared" si="176"/>
        <v>8316.565476191081</v>
      </c>
    </row>
    <row r="594" spans="2:22">
      <c r="C594" s="20">
        <v>240335</v>
      </c>
      <c r="D594" s="20">
        <v>405</v>
      </c>
      <c r="E594" s="3" t="s">
        <v>1099</v>
      </c>
      <c r="F594" s="3">
        <v>2020</v>
      </c>
      <c r="G594" s="3">
        <v>10</v>
      </c>
      <c r="H594" s="3">
        <v>0</v>
      </c>
      <c r="I594" s="3" t="s">
        <v>52</v>
      </c>
      <c r="J594" s="131">
        <v>7</v>
      </c>
      <c r="K594" s="3">
        <f t="shared" si="177"/>
        <v>2027</v>
      </c>
      <c r="L594" s="130">
        <f t="shared" si="178"/>
        <v>2027.8333333333333</v>
      </c>
      <c r="M594" s="139">
        <v>2699.59</v>
      </c>
      <c r="N594" s="139">
        <f t="shared" si="173"/>
        <v>2699.59</v>
      </c>
      <c r="O594" s="139">
        <f t="shared" si="174"/>
        <v>32.137976190476188</v>
      </c>
      <c r="P594" s="139">
        <f t="shared" si="175"/>
        <v>385.65571428571423</v>
      </c>
      <c r="Q594" s="342">
        <f t="shared" si="166"/>
        <v>385.65571428571423</v>
      </c>
      <c r="R594" s="341"/>
      <c r="S594" s="342">
        <f t="shared" si="167"/>
        <v>1349.7950000000003</v>
      </c>
      <c r="T594" s="139">
        <f t="shared" si="168"/>
        <v>1735.4507142857146</v>
      </c>
      <c r="U594" s="139">
        <f t="shared" si="169"/>
        <v>964.13928571428551</v>
      </c>
      <c r="V594" s="11">
        <f t="shared" si="176"/>
        <v>964.13928571428551</v>
      </c>
    </row>
    <row r="595" spans="2:22">
      <c r="C595" s="20">
        <v>240339</v>
      </c>
      <c r="D595" s="20">
        <v>25</v>
      </c>
      <c r="E595" s="3" t="s">
        <v>1099</v>
      </c>
      <c r="F595" s="3">
        <v>2020</v>
      </c>
      <c r="G595" s="3">
        <v>10</v>
      </c>
      <c r="H595" s="3">
        <v>0</v>
      </c>
      <c r="I595" s="3" t="s">
        <v>52</v>
      </c>
      <c r="J595" s="131">
        <v>7</v>
      </c>
      <c r="K595" s="3">
        <f t="shared" si="177"/>
        <v>2027</v>
      </c>
      <c r="L595" s="130">
        <f t="shared" si="178"/>
        <v>2027.8333333333333</v>
      </c>
      <c r="M595" s="139">
        <v>166.64</v>
      </c>
      <c r="N595" s="139">
        <f t="shared" si="173"/>
        <v>166.64</v>
      </c>
      <c r="O595" s="139">
        <f t="shared" si="174"/>
        <v>1.9838095238095237</v>
      </c>
      <c r="P595" s="139">
        <f t="shared" si="175"/>
        <v>23.805714285714284</v>
      </c>
      <c r="Q595" s="342">
        <f t="shared" si="166"/>
        <v>23.805714285714284</v>
      </c>
      <c r="R595" s="341"/>
      <c r="S595" s="342">
        <f t="shared" si="167"/>
        <v>83.32</v>
      </c>
      <c r="T595" s="139">
        <f t="shared" si="168"/>
        <v>107.12571428571428</v>
      </c>
      <c r="U595" s="139">
        <f t="shared" si="169"/>
        <v>59.514285714285705</v>
      </c>
      <c r="V595" s="11">
        <f t="shared" si="176"/>
        <v>59.514285714285705</v>
      </c>
    </row>
    <row r="596" spans="2:22">
      <c r="C596" s="20">
        <v>241356</v>
      </c>
      <c r="D596" s="20">
        <v>702</v>
      </c>
      <c r="E596" s="3" t="s">
        <v>1112</v>
      </c>
      <c r="F596" s="3">
        <v>2020</v>
      </c>
      <c r="G596" s="3">
        <v>9</v>
      </c>
      <c r="H596" s="3">
        <v>0</v>
      </c>
      <c r="I596" s="3" t="s">
        <v>52</v>
      </c>
      <c r="J596" s="131">
        <v>7</v>
      </c>
      <c r="K596" s="3">
        <f t="shared" si="177"/>
        <v>2027</v>
      </c>
      <c r="L596" s="130">
        <f t="shared" si="178"/>
        <v>2027.75</v>
      </c>
      <c r="M596" s="139">
        <v>30505.03</v>
      </c>
      <c r="N596" s="139">
        <f t="shared" si="173"/>
        <v>30505.03</v>
      </c>
      <c r="O596" s="139">
        <f t="shared" si="174"/>
        <v>363.15511904761905</v>
      </c>
      <c r="P596" s="139">
        <f t="shared" si="175"/>
        <v>4357.8614285714284</v>
      </c>
      <c r="Q596" s="342">
        <f t="shared" si="166"/>
        <v>4357.8614285714284</v>
      </c>
      <c r="R596" s="341"/>
      <c r="S596" s="342">
        <f t="shared" si="167"/>
        <v>15615.670119047287</v>
      </c>
      <c r="T596" s="139">
        <f t="shared" si="168"/>
        <v>19973.531547618717</v>
      </c>
      <c r="U596" s="139">
        <f t="shared" si="169"/>
        <v>10531.498452381282</v>
      </c>
      <c r="V596" s="11">
        <f t="shared" si="176"/>
        <v>10531.498452381282</v>
      </c>
    </row>
    <row r="597" spans="2:22">
      <c r="C597" s="20">
        <v>241358</v>
      </c>
      <c r="D597" s="20">
        <v>702</v>
      </c>
      <c r="E597" s="3" t="s">
        <v>1112</v>
      </c>
      <c r="F597" s="3">
        <v>2020</v>
      </c>
      <c r="G597" s="3">
        <v>10</v>
      </c>
      <c r="H597" s="3">
        <v>0</v>
      </c>
      <c r="I597" s="3" t="s">
        <v>52</v>
      </c>
      <c r="J597" s="131">
        <v>7</v>
      </c>
      <c r="K597" s="3">
        <f t="shared" si="177"/>
        <v>2027</v>
      </c>
      <c r="L597" s="130">
        <f t="shared" si="178"/>
        <v>2027.8333333333333</v>
      </c>
      <c r="M597" s="139">
        <v>31276.53</v>
      </c>
      <c r="N597" s="139">
        <f t="shared" si="173"/>
        <v>31276.53</v>
      </c>
      <c r="O597" s="139">
        <f t="shared" si="174"/>
        <v>372.33964285714279</v>
      </c>
      <c r="P597" s="139">
        <f t="shared" si="175"/>
        <v>4468.0757142857137</v>
      </c>
      <c r="Q597" s="342">
        <f t="shared" si="166"/>
        <v>4468.0757142857137</v>
      </c>
      <c r="R597" s="341"/>
      <c r="S597" s="342">
        <f t="shared" si="167"/>
        <v>15638.265000000001</v>
      </c>
      <c r="T597" s="139">
        <f t="shared" si="168"/>
        <v>20106.340714285714</v>
      </c>
      <c r="U597" s="139">
        <f t="shared" si="169"/>
        <v>11170.189285714285</v>
      </c>
      <c r="V597" s="11">
        <f t="shared" si="176"/>
        <v>11170.189285714285</v>
      </c>
    </row>
    <row r="598" spans="2:22">
      <c r="C598" s="20">
        <v>246305</v>
      </c>
      <c r="D598" s="20">
        <v>884</v>
      </c>
      <c r="E598" s="3" t="s">
        <v>1135</v>
      </c>
      <c r="F598" s="3">
        <v>2021</v>
      </c>
      <c r="G598" s="3">
        <v>1</v>
      </c>
      <c r="H598" s="3">
        <v>0</v>
      </c>
      <c r="I598" s="3" t="s">
        <v>52</v>
      </c>
      <c r="J598" s="131">
        <v>7</v>
      </c>
      <c r="K598" s="3">
        <f t="shared" ref="K598:K604" si="179">F598+J598</f>
        <v>2028</v>
      </c>
      <c r="L598" s="130">
        <f t="shared" ref="L598:L604" si="180">+K598+(G598/12)</f>
        <v>2028.0833333333333</v>
      </c>
      <c r="M598" s="139">
        <v>40356.800000000003</v>
      </c>
      <c r="N598" s="139">
        <f t="shared" ref="N598:N607" si="181">M598-M598*H598</f>
        <v>40356.800000000003</v>
      </c>
      <c r="O598" s="139">
        <f t="shared" ref="O598:O607" si="182">N598/J598/12</f>
        <v>480.43809523809529</v>
      </c>
      <c r="P598" s="139">
        <f t="shared" ref="P598:P607" si="183">+O598*12</f>
        <v>5765.2571428571437</v>
      </c>
      <c r="Q598" s="342">
        <f t="shared" si="166"/>
        <v>5765.2571428571437</v>
      </c>
      <c r="R598" s="341"/>
      <c r="S598" s="342">
        <f t="shared" si="167"/>
        <v>18737.085714285717</v>
      </c>
      <c r="T598" s="139">
        <f t="shared" si="168"/>
        <v>24502.342857142859</v>
      </c>
      <c r="U598" s="139">
        <f t="shared" ref="U598:U607" si="184">M598-T598</f>
        <v>15854.457142857143</v>
      </c>
      <c r="V598" s="11">
        <f t="shared" ref="V598:V607" si="185">M598-T598</f>
        <v>15854.457142857143</v>
      </c>
    </row>
    <row r="599" spans="2:22">
      <c r="C599" s="20">
        <v>250257</v>
      </c>
      <c r="D599" s="20">
        <v>702</v>
      </c>
      <c r="E599" s="3" t="s">
        <v>1135</v>
      </c>
      <c r="F599" s="3">
        <v>2021</v>
      </c>
      <c r="G599" s="3">
        <v>3</v>
      </c>
      <c r="H599" s="3">
        <v>0</v>
      </c>
      <c r="I599" s="3" t="s">
        <v>52</v>
      </c>
      <c r="J599" s="131">
        <v>7</v>
      </c>
      <c r="K599" s="3">
        <f t="shared" si="179"/>
        <v>2028</v>
      </c>
      <c r="L599" s="130">
        <f t="shared" si="180"/>
        <v>2028.25</v>
      </c>
      <c r="M599" s="139">
        <v>34293.089999999997</v>
      </c>
      <c r="N599" s="139">
        <f t="shared" si="181"/>
        <v>34293.089999999997</v>
      </c>
      <c r="O599" s="139">
        <f t="shared" si="182"/>
        <v>408.25107142857138</v>
      </c>
      <c r="P599" s="139">
        <f t="shared" si="183"/>
        <v>4899.0128571428568</v>
      </c>
      <c r="Q599" s="342">
        <f t="shared" si="166"/>
        <v>4899.0128571428568</v>
      </c>
      <c r="R599" s="341"/>
      <c r="S599" s="342">
        <f t="shared" si="167"/>
        <v>15105.289642856769</v>
      </c>
      <c r="T599" s="139">
        <f t="shared" si="168"/>
        <v>20004.302499999627</v>
      </c>
      <c r="U599" s="139">
        <f t="shared" si="184"/>
        <v>14288.78750000037</v>
      </c>
      <c r="V599" s="11">
        <f t="shared" si="185"/>
        <v>14288.78750000037</v>
      </c>
    </row>
    <row r="600" spans="2:22">
      <c r="C600" s="20">
        <v>253159</v>
      </c>
      <c r="D600" s="20">
        <v>351</v>
      </c>
      <c r="E600" s="3" t="s">
        <v>1135</v>
      </c>
      <c r="F600" s="3">
        <v>2021</v>
      </c>
      <c r="G600" s="3">
        <v>2</v>
      </c>
      <c r="H600" s="3">
        <v>0</v>
      </c>
      <c r="I600" s="3" t="s">
        <v>52</v>
      </c>
      <c r="J600" s="131">
        <v>7</v>
      </c>
      <c r="K600" s="3">
        <f t="shared" si="179"/>
        <v>2028</v>
      </c>
      <c r="L600" s="130">
        <f t="shared" si="180"/>
        <v>2028.1666666666667</v>
      </c>
      <c r="M600" s="139">
        <v>16799.37</v>
      </c>
      <c r="N600" s="139">
        <f t="shared" si="181"/>
        <v>16799.37</v>
      </c>
      <c r="O600" s="139">
        <f t="shared" si="182"/>
        <v>199.99249999999998</v>
      </c>
      <c r="P600" s="139">
        <f t="shared" si="183"/>
        <v>2399.91</v>
      </c>
      <c r="Q600" s="342">
        <f t="shared" si="166"/>
        <v>2399.91</v>
      </c>
      <c r="R600" s="341"/>
      <c r="S600" s="342">
        <f t="shared" si="167"/>
        <v>7599.7149999996363</v>
      </c>
      <c r="T600" s="139">
        <f t="shared" si="168"/>
        <v>9999.6249999996362</v>
      </c>
      <c r="U600" s="139">
        <f t="shared" si="184"/>
        <v>6799.7450000003628</v>
      </c>
      <c r="V600" s="11">
        <f t="shared" si="185"/>
        <v>6799.7450000003628</v>
      </c>
    </row>
    <row r="601" spans="2:22">
      <c r="C601" s="20">
        <v>254564</v>
      </c>
      <c r="D601" s="20">
        <v>351</v>
      </c>
      <c r="E601" s="3" t="s">
        <v>1172</v>
      </c>
      <c r="F601" s="3">
        <v>2021</v>
      </c>
      <c r="G601" s="3">
        <v>6</v>
      </c>
      <c r="H601" s="3">
        <v>0</v>
      </c>
      <c r="I601" s="3" t="s">
        <v>52</v>
      </c>
      <c r="J601" s="131">
        <v>7</v>
      </c>
      <c r="K601" s="3">
        <f t="shared" si="179"/>
        <v>2028</v>
      </c>
      <c r="L601" s="130">
        <f t="shared" si="180"/>
        <v>2028.5</v>
      </c>
      <c r="M601" s="139">
        <v>20236.39</v>
      </c>
      <c r="N601" s="139">
        <f t="shared" si="181"/>
        <v>20236.39</v>
      </c>
      <c r="O601" s="139">
        <f t="shared" si="182"/>
        <v>240.90940476190474</v>
      </c>
      <c r="P601" s="139">
        <f t="shared" si="183"/>
        <v>2890.9128571428569</v>
      </c>
      <c r="Q601" s="342">
        <f t="shared" si="166"/>
        <v>2890.9128571428569</v>
      </c>
      <c r="R601" s="341"/>
      <c r="S601" s="342">
        <f t="shared" si="167"/>
        <v>8190.9197619045426</v>
      </c>
      <c r="T601" s="139">
        <f t="shared" si="168"/>
        <v>11081.8326190474</v>
      </c>
      <c r="U601" s="139">
        <f t="shared" si="184"/>
        <v>9154.5573809525995</v>
      </c>
      <c r="V601" s="11">
        <f t="shared" si="185"/>
        <v>9154.5573809525995</v>
      </c>
    </row>
    <row r="602" spans="2:22">
      <c r="C602" s="20">
        <v>255875</v>
      </c>
      <c r="D602" s="20">
        <v>702</v>
      </c>
      <c r="E602" s="3" t="s">
        <v>1172</v>
      </c>
      <c r="F602" s="3">
        <v>2021</v>
      </c>
      <c r="G602" s="3">
        <v>7</v>
      </c>
      <c r="H602" s="3">
        <v>0</v>
      </c>
      <c r="I602" s="3" t="s">
        <v>52</v>
      </c>
      <c r="J602" s="131">
        <v>7</v>
      </c>
      <c r="K602" s="3">
        <f t="shared" si="179"/>
        <v>2028</v>
      </c>
      <c r="L602" s="130">
        <f t="shared" si="180"/>
        <v>2028.5833333333333</v>
      </c>
      <c r="M602" s="139">
        <v>42347.45</v>
      </c>
      <c r="N602" s="139">
        <f t="shared" si="181"/>
        <v>42347.45</v>
      </c>
      <c r="O602" s="139">
        <f t="shared" si="182"/>
        <v>504.13630952380953</v>
      </c>
      <c r="P602" s="139">
        <f t="shared" si="183"/>
        <v>6049.6357142857141</v>
      </c>
      <c r="Q602" s="342">
        <f t="shared" si="166"/>
        <v>6049.6357142857141</v>
      </c>
      <c r="R602" s="341"/>
      <c r="S602" s="342">
        <f t="shared" si="167"/>
        <v>16636.498214285712</v>
      </c>
      <c r="T602" s="139">
        <f t="shared" si="168"/>
        <v>22686.133928571428</v>
      </c>
      <c r="U602" s="139">
        <f t="shared" si="184"/>
        <v>19661.31607142857</v>
      </c>
      <c r="V602" s="11">
        <f t="shared" si="185"/>
        <v>19661.31607142857</v>
      </c>
    </row>
    <row r="603" spans="2:22" s="332" customFormat="1">
      <c r="B603" s="3"/>
      <c r="C603" s="132" t="s">
        <v>1279</v>
      </c>
      <c r="D603" s="20">
        <v>624</v>
      </c>
      <c r="E603" s="3" t="s">
        <v>1299</v>
      </c>
      <c r="F603" s="3">
        <v>2014</v>
      </c>
      <c r="G603" s="3">
        <v>11</v>
      </c>
      <c r="H603" s="3">
        <v>0</v>
      </c>
      <c r="I603" s="3" t="s">
        <v>52</v>
      </c>
      <c r="J603" s="131">
        <v>7</v>
      </c>
      <c r="K603" s="3">
        <f t="shared" si="179"/>
        <v>2021</v>
      </c>
      <c r="L603" s="130">
        <f t="shared" si="180"/>
        <v>2021.9166666666667</v>
      </c>
      <c r="M603" s="139">
        <v>36679.11</v>
      </c>
      <c r="N603" s="139">
        <f t="shared" si="181"/>
        <v>36679.11</v>
      </c>
      <c r="O603" s="139">
        <f t="shared" si="182"/>
        <v>436.65607142857147</v>
      </c>
      <c r="P603" s="139">
        <f t="shared" si="183"/>
        <v>5239.8728571428574</v>
      </c>
      <c r="Q603" s="342">
        <f t="shared" si="166"/>
        <v>0</v>
      </c>
      <c r="R603" s="341"/>
      <c r="S603" s="342">
        <f t="shared" si="167"/>
        <v>36679.11</v>
      </c>
      <c r="T603" s="139">
        <f t="shared" si="168"/>
        <v>36679.11</v>
      </c>
      <c r="U603" s="139">
        <f t="shared" si="184"/>
        <v>0</v>
      </c>
      <c r="V603" s="333">
        <f t="shared" si="185"/>
        <v>0</v>
      </c>
    </row>
    <row r="604" spans="2:22" s="332" customFormat="1">
      <c r="B604" s="3"/>
      <c r="C604" s="132" t="s">
        <v>1279</v>
      </c>
      <c r="D604" s="20">
        <v>624</v>
      </c>
      <c r="E604" s="3" t="s">
        <v>514</v>
      </c>
      <c r="F604" s="3">
        <v>2015</v>
      </c>
      <c r="G604" s="3">
        <v>9</v>
      </c>
      <c r="H604" s="3">
        <v>0</v>
      </c>
      <c r="I604" s="3" t="s">
        <v>52</v>
      </c>
      <c r="J604" s="131">
        <v>7</v>
      </c>
      <c r="K604" s="3">
        <f t="shared" si="179"/>
        <v>2022</v>
      </c>
      <c r="L604" s="130">
        <f t="shared" si="180"/>
        <v>2022.75</v>
      </c>
      <c r="M604" s="139">
        <v>32962.660000000003</v>
      </c>
      <c r="N604" s="139">
        <f t="shared" si="181"/>
        <v>32962.660000000003</v>
      </c>
      <c r="O604" s="139">
        <f t="shared" si="182"/>
        <v>392.4126190476191</v>
      </c>
      <c r="P604" s="139">
        <f t="shared" si="183"/>
        <v>4708.9514285714295</v>
      </c>
      <c r="Q604" s="342">
        <f t="shared" si="166"/>
        <v>0</v>
      </c>
      <c r="R604" s="341"/>
      <c r="S604" s="342">
        <f t="shared" si="167"/>
        <v>32962.660000000003</v>
      </c>
      <c r="T604" s="139">
        <f t="shared" si="168"/>
        <v>32962.660000000003</v>
      </c>
      <c r="U604" s="139">
        <f t="shared" si="184"/>
        <v>0</v>
      </c>
      <c r="V604" s="333">
        <f t="shared" si="185"/>
        <v>0</v>
      </c>
    </row>
    <row r="605" spans="2:22" s="332" customFormat="1">
      <c r="B605" s="3"/>
      <c r="C605" s="132" t="s">
        <v>1279</v>
      </c>
      <c r="D605" s="20">
        <v>624</v>
      </c>
      <c r="E605" s="3" t="s">
        <v>1300</v>
      </c>
      <c r="F605" s="3">
        <v>2015</v>
      </c>
      <c r="G605" s="3">
        <v>7</v>
      </c>
      <c r="H605" s="3">
        <v>0</v>
      </c>
      <c r="I605" s="3" t="s">
        <v>52</v>
      </c>
      <c r="J605" s="131">
        <v>7</v>
      </c>
      <c r="K605" s="3">
        <f>F605+J605</f>
        <v>2022</v>
      </c>
      <c r="L605" s="130">
        <f>+K605+(G605/12)</f>
        <v>2022.5833333333333</v>
      </c>
      <c r="M605" s="139">
        <v>32307.83</v>
      </c>
      <c r="N605" s="139">
        <f t="shared" si="181"/>
        <v>32307.83</v>
      </c>
      <c r="O605" s="139">
        <f t="shared" si="182"/>
        <v>384.6170238095238</v>
      </c>
      <c r="P605" s="139">
        <f t="shared" si="183"/>
        <v>4615.4042857142858</v>
      </c>
      <c r="Q605" s="342">
        <f t="shared" si="166"/>
        <v>0</v>
      </c>
      <c r="R605" s="341"/>
      <c r="S605" s="342">
        <f t="shared" si="167"/>
        <v>32307.83</v>
      </c>
      <c r="T605" s="139">
        <f t="shared" si="168"/>
        <v>32307.83</v>
      </c>
      <c r="U605" s="139">
        <f t="shared" si="184"/>
        <v>0</v>
      </c>
      <c r="V605" s="333">
        <f t="shared" si="185"/>
        <v>0</v>
      </c>
    </row>
    <row r="606" spans="2:22" s="332" customFormat="1">
      <c r="B606" s="3"/>
      <c r="C606" s="132" t="s">
        <v>1279</v>
      </c>
      <c r="D606" s="20">
        <v>624</v>
      </c>
      <c r="E606" s="3" t="s">
        <v>1300</v>
      </c>
      <c r="F606" s="3">
        <v>2015</v>
      </c>
      <c r="G606" s="3">
        <v>7</v>
      </c>
      <c r="H606" s="3">
        <v>0</v>
      </c>
      <c r="I606" s="3" t="s">
        <v>52</v>
      </c>
      <c r="J606" s="131">
        <v>7</v>
      </c>
      <c r="K606" s="3">
        <f>F606+J606</f>
        <v>2022</v>
      </c>
      <c r="L606" s="130">
        <f>+K606+(G606/12)</f>
        <v>2022.5833333333333</v>
      </c>
      <c r="M606" s="139">
        <v>32990.49</v>
      </c>
      <c r="N606" s="139">
        <f t="shared" si="181"/>
        <v>32990.49</v>
      </c>
      <c r="O606" s="139">
        <f t="shared" si="182"/>
        <v>392.74392857142857</v>
      </c>
      <c r="P606" s="139">
        <f t="shared" si="183"/>
        <v>4712.9271428571428</v>
      </c>
      <c r="Q606" s="342">
        <f t="shared" si="166"/>
        <v>0</v>
      </c>
      <c r="R606" s="341"/>
      <c r="S606" s="342">
        <f t="shared" si="167"/>
        <v>32990.49</v>
      </c>
      <c r="T606" s="139">
        <f t="shared" si="168"/>
        <v>32990.49</v>
      </c>
      <c r="U606" s="139">
        <f t="shared" si="184"/>
        <v>0</v>
      </c>
      <c r="V606" s="333">
        <f t="shared" si="185"/>
        <v>0</v>
      </c>
    </row>
    <row r="607" spans="2:22" s="332" customFormat="1">
      <c r="B607" s="3"/>
      <c r="C607" s="132" t="s">
        <v>1279</v>
      </c>
      <c r="D607" s="20">
        <v>100</v>
      </c>
      <c r="E607" s="3" t="s">
        <v>844</v>
      </c>
      <c r="F607" s="3">
        <v>2017</v>
      </c>
      <c r="G607" s="3">
        <v>1</v>
      </c>
      <c r="H607" s="3">
        <v>0</v>
      </c>
      <c r="I607" s="3" t="s">
        <v>52</v>
      </c>
      <c r="J607" s="131">
        <v>7</v>
      </c>
      <c r="K607" s="3">
        <f>F607+J607</f>
        <v>2024</v>
      </c>
      <c r="L607" s="130">
        <f>+K607+(G607/12)</f>
        <v>2024.0833333333333</v>
      </c>
      <c r="M607" s="139">
        <v>5137.42</v>
      </c>
      <c r="N607" s="139">
        <f t="shared" si="181"/>
        <v>5137.42</v>
      </c>
      <c r="O607" s="139">
        <f t="shared" si="182"/>
        <v>61.159761904761901</v>
      </c>
      <c r="P607" s="139">
        <f t="shared" si="183"/>
        <v>733.91714285714284</v>
      </c>
      <c r="Q607" s="342">
        <f t="shared" si="166"/>
        <v>0</v>
      </c>
      <c r="R607" s="341"/>
      <c r="S607" s="342">
        <f t="shared" si="167"/>
        <v>5137.42</v>
      </c>
      <c r="T607" s="139">
        <f t="shared" si="168"/>
        <v>5137.42</v>
      </c>
      <c r="U607" s="139">
        <f t="shared" si="184"/>
        <v>0</v>
      </c>
      <c r="V607" s="333">
        <f t="shared" si="185"/>
        <v>0</v>
      </c>
    </row>
    <row r="608" spans="2:22">
      <c r="C608" s="132"/>
      <c r="M608" s="139"/>
      <c r="N608" s="139"/>
      <c r="O608" s="139"/>
      <c r="P608" s="139"/>
      <c r="Q608" s="139"/>
      <c r="R608" s="139"/>
      <c r="S608" s="139"/>
      <c r="T608" s="139"/>
      <c r="U608" s="139"/>
      <c r="V608" s="11"/>
    </row>
    <row r="609" spans="1:23" ht="12" customHeight="1">
      <c r="M609" s="139"/>
      <c r="N609" s="139"/>
      <c r="O609" s="139"/>
      <c r="P609" s="139"/>
      <c r="Q609" s="139"/>
      <c r="R609" s="139"/>
      <c r="S609" s="139"/>
      <c r="T609" s="139"/>
      <c r="U609" s="139"/>
      <c r="V609" s="11"/>
    </row>
    <row r="610" spans="1:23" ht="12" customHeight="1">
      <c r="C610" s="173" t="s">
        <v>1009</v>
      </c>
      <c r="D610" s="209">
        <f>SUM(D572:D609)</f>
        <v>20078</v>
      </c>
      <c r="E610" s="162"/>
      <c r="F610" s="162"/>
      <c r="G610" s="162"/>
      <c r="H610" s="162"/>
      <c r="I610" s="162"/>
      <c r="J610" s="174"/>
      <c r="K610" s="162"/>
      <c r="L610" s="175"/>
      <c r="M610" s="163">
        <f t="shared" ref="M610:V610" si="186">SUM(M572:M609)</f>
        <v>985543.33700000017</v>
      </c>
      <c r="N610" s="163">
        <f t="shared" si="186"/>
        <v>985543.33700000017</v>
      </c>
      <c r="O610" s="163">
        <f t="shared" si="186"/>
        <v>11790.600102849341</v>
      </c>
      <c r="P610" s="163">
        <f t="shared" si="186"/>
        <v>141487.20123419206</v>
      </c>
      <c r="Q610" s="163">
        <f t="shared" si="186"/>
        <v>75452.239571428581</v>
      </c>
      <c r="R610" s="163">
        <f t="shared" si="186"/>
        <v>0</v>
      </c>
      <c r="S610" s="163">
        <f t="shared" si="186"/>
        <v>749598.92702380335</v>
      </c>
      <c r="T610" s="163">
        <f t="shared" si="186"/>
        <v>835486.41683332867</v>
      </c>
      <c r="U610" s="163">
        <f t="shared" si="186"/>
        <v>150056.92016667163</v>
      </c>
      <c r="V610" s="163">
        <f t="shared" si="186"/>
        <v>150056.92016667163</v>
      </c>
    </row>
    <row r="611" spans="1:23" ht="12" customHeight="1">
      <c r="M611" s="139"/>
      <c r="N611" s="139"/>
      <c r="O611" s="139"/>
      <c r="P611" s="139"/>
      <c r="Q611" s="139"/>
      <c r="R611" s="139"/>
      <c r="S611" s="139"/>
      <c r="T611" s="139"/>
      <c r="U611" s="139"/>
    </row>
    <row r="612" spans="1:23" ht="12" customHeight="1">
      <c r="C612" s="173" t="s">
        <v>338</v>
      </c>
      <c r="D612" s="209">
        <f>D407+D413+D610+D459+D448+D568</f>
        <v>160141</v>
      </c>
      <c r="E612" s="162"/>
      <c r="F612" s="162"/>
      <c r="G612" s="162"/>
      <c r="H612" s="162"/>
      <c r="I612" s="162"/>
      <c r="J612" s="174"/>
      <c r="K612" s="162"/>
      <c r="L612" s="175"/>
      <c r="M612" s="163">
        <f t="shared" ref="M612:V612" si="187">M407+M413+M610+M459+M448+M568</f>
        <v>12633651.796999998</v>
      </c>
      <c r="N612" s="163">
        <f t="shared" si="187"/>
        <v>12633651.796999998</v>
      </c>
      <c r="O612" s="163">
        <f t="shared" si="187"/>
        <v>122348.55138081871</v>
      </c>
      <c r="P612" s="163">
        <f t="shared" si="187"/>
        <v>1468182.6165698245</v>
      </c>
      <c r="Q612" s="163">
        <f t="shared" si="187"/>
        <v>417264.08114285709</v>
      </c>
      <c r="R612" s="163">
        <f t="shared" si="187"/>
        <v>0</v>
      </c>
      <c r="S612" s="163">
        <f t="shared" si="187"/>
        <v>10858982.052343166</v>
      </c>
      <c r="T612" s="163">
        <f t="shared" si="187"/>
        <v>11335500.020188462</v>
      </c>
      <c r="U612" s="163">
        <f t="shared" si="187"/>
        <v>1298151.776811539</v>
      </c>
      <c r="V612" s="163">
        <f t="shared" si="187"/>
        <v>1298151.776811539</v>
      </c>
      <c r="W612" s="11">
        <f>U612-V612</f>
        <v>0</v>
      </c>
    </row>
    <row r="613" spans="1:23" ht="12" customHeight="1">
      <c r="M613" s="139"/>
      <c r="N613" s="139"/>
      <c r="O613" s="139"/>
      <c r="P613" s="139"/>
      <c r="Q613" s="139"/>
      <c r="R613" s="139"/>
      <c r="S613" s="139"/>
      <c r="T613" s="139"/>
      <c r="U613" s="139"/>
    </row>
    <row r="614" spans="1:23">
      <c r="M614" s="139"/>
      <c r="N614" s="139"/>
      <c r="O614" s="139"/>
      <c r="P614" s="139"/>
      <c r="Q614" s="139"/>
      <c r="R614" s="139"/>
      <c r="S614" s="139"/>
      <c r="T614" s="139"/>
      <c r="U614" s="139"/>
    </row>
    <row r="615" spans="1:23">
      <c r="M615" s="139"/>
      <c r="N615" s="139"/>
      <c r="O615" s="139"/>
      <c r="P615" s="139"/>
      <c r="Q615" s="139"/>
      <c r="R615" s="139"/>
      <c r="S615" s="139"/>
      <c r="T615" s="139"/>
      <c r="U615" s="139"/>
    </row>
    <row r="616" spans="1:23">
      <c r="A616" s="1"/>
      <c r="M616" s="139"/>
      <c r="N616" s="139"/>
      <c r="O616" s="139"/>
      <c r="P616" s="139"/>
      <c r="Q616" s="139"/>
      <c r="R616" s="139"/>
      <c r="S616" s="139"/>
      <c r="T616" s="139"/>
      <c r="U616" s="139"/>
    </row>
    <row r="617" spans="1:23">
      <c r="J617" s="3"/>
      <c r="M617" s="139"/>
      <c r="N617" s="139"/>
      <c r="O617" s="139"/>
      <c r="P617" s="139"/>
      <c r="Q617" s="139"/>
      <c r="R617" s="139"/>
      <c r="S617" s="139"/>
      <c r="T617" s="139"/>
      <c r="U617" s="139"/>
    </row>
    <row r="618" spans="1:23">
      <c r="M618" s="139"/>
      <c r="N618" s="139"/>
      <c r="O618" s="139"/>
      <c r="P618" s="139"/>
      <c r="Q618" s="139"/>
      <c r="R618" s="139"/>
      <c r="S618" s="139"/>
      <c r="T618" s="139"/>
      <c r="U618" s="139"/>
    </row>
    <row r="619" spans="1:23">
      <c r="M619" s="139"/>
      <c r="N619" s="139"/>
      <c r="O619" s="139"/>
      <c r="P619" s="139"/>
      <c r="Q619" s="139"/>
      <c r="R619" s="139"/>
      <c r="S619" s="139"/>
      <c r="T619" s="139"/>
      <c r="U619" s="139"/>
    </row>
    <row r="620" spans="1:23">
      <c r="C620" s="109" t="s">
        <v>1337</v>
      </c>
      <c r="M620" s="139"/>
      <c r="N620" s="139"/>
      <c r="O620" s="139"/>
      <c r="P620" s="139"/>
      <c r="Q620" s="139"/>
      <c r="R620" s="139"/>
      <c r="S620" s="139"/>
      <c r="T620" s="139"/>
      <c r="U620" s="139"/>
    </row>
    <row r="621" spans="1:23" ht="12" customHeight="1">
      <c r="C621" s="20">
        <v>173200</v>
      </c>
      <c r="D621" s="20">
        <v>5</v>
      </c>
      <c r="E621" s="3" t="s">
        <v>462</v>
      </c>
      <c r="F621" s="3">
        <v>2005</v>
      </c>
      <c r="G621" s="3">
        <v>7</v>
      </c>
      <c r="H621" s="3">
        <v>0</v>
      </c>
      <c r="I621" s="3" t="s">
        <v>52</v>
      </c>
      <c r="J621" s="131">
        <v>10</v>
      </c>
      <c r="K621" s="3">
        <f>F621+J621</f>
        <v>2015</v>
      </c>
      <c r="L621" s="130">
        <f>+K621+(G621/12)</f>
        <v>2015.5833333333333</v>
      </c>
      <c r="M621" s="139">
        <v>2148.8000000000002</v>
      </c>
      <c r="N621" s="139">
        <f>M621-M621*H621</f>
        <v>2148.8000000000002</v>
      </c>
      <c r="O621" s="139">
        <f>N621/J621/12</f>
        <v>17.90666666666667</v>
      </c>
      <c r="P621" s="139">
        <f>+O621*12</f>
        <v>214.88000000000005</v>
      </c>
      <c r="Q621" s="139">
        <f>+IF(L621&lt;=$N$5,0,IF(K621&gt;$N$4,P621,(O621*G621)))</f>
        <v>0</v>
      </c>
      <c r="R621" s="139"/>
      <c r="S621" s="139">
        <f>+IF(Q621=0,M621,IF($N$3-F621&lt;1,0,(($N$3-F621)*P621)))</f>
        <v>2148.8000000000002</v>
      </c>
      <c r="T621" s="139">
        <f>+IF(Q621=0,S621,S621+Q621)</f>
        <v>2148.8000000000002</v>
      </c>
      <c r="U621" s="139">
        <f>M621-T621</f>
        <v>0</v>
      </c>
    </row>
    <row r="622" spans="1:23" ht="12" customHeight="1">
      <c r="C622" s="20">
        <v>173260</v>
      </c>
      <c r="D622" s="20">
        <v>5</v>
      </c>
      <c r="E622" s="3" t="s">
        <v>467</v>
      </c>
      <c r="F622" s="3">
        <v>2008</v>
      </c>
      <c r="G622" s="3">
        <v>10</v>
      </c>
      <c r="H622" s="3">
        <v>0</v>
      </c>
      <c r="I622" s="3" t="s">
        <v>52</v>
      </c>
      <c r="J622" s="131">
        <v>10</v>
      </c>
      <c r="K622" s="3">
        <f>F622+J622</f>
        <v>2018</v>
      </c>
      <c r="L622" s="130">
        <f>+K622+(G622/12)</f>
        <v>2018.8333333333333</v>
      </c>
      <c r="M622" s="139">
        <v>2475.1999999999998</v>
      </c>
      <c r="N622" s="139">
        <f>M622-M622*H622</f>
        <v>2475.1999999999998</v>
      </c>
      <c r="O622" s="139">
        <f>N622/J622/12</f>
        <v>20.626666666666665</v>
      </c>
      <c r="P622" s="139">
        <f>+O622*12</f>
        <v>247.51999999999998</v>
      </c>
      <c r="Q622" s="139">
        <f>+IF(L622&lt;=$N$5,0,IF(K622&gt;$N$4,P622,(O622*G622)))</f>
        <v>0</v>
      </c>
      <c r="R622" s="139"/>
      <c r="S622" s="139">
        <f>+IF(Q622=0,M622,IF($N$3-F622&lt;1,0,(($N$3-F622)*P622)))</f>
        <v>2475.1999999999998</v>
      </c>
      <c r="T622" s="139">
        <f>+IF(Q622=0,S622,S622+Q622)</f>
        <v>2475.1999999999998</v>
      </c>
      <c r="U622" s="139">
        <f>M622-T622</f>
        <v>0</v>
      </c>
      <c r="V622" s="11">
        <f>M622-T622</f>
        <v>0</v>
      </c>
    </row>
    <row r="623" spans="1:23">
      <c r="M623" s="139"/>
      <c r="N623" s="139"/>
      <c r="O623" s="139"/>
      <c r="P623" s="139"/>
      <c r="Q623" s="139"/>
      <c r="R623" s="139"/>
      <c r="S623" s="139"/>
      <c r="T623" s="139"/>
      <c r="U623" s="139"/>
    </row>
    <row r="625" spans="3:3">
      <c r="C625" s="109" t="s">
        <v>4099</v>
      </c>
    </row>
  </sheetData>
  <autoFilter ref="C11:U612" xr:uid="{00000000-0001-0000-0800-000000000000}"/>
  <mergeCells count="2">
    <mergeCell ref="F9:G9"/>
    <mergeCell ref="B3:C3"/>
  </mergeCells>
  <phoneticPr fontId="0" type="noConversion"/>
  <pageMargins left="0.75" right="0.75" top="1" bottom="1" header="0.5" footer="0.5"/>
  <pageSetup scale="50" fitToHeight="0"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FF00"/>
  </sheetPr>
  <dimension ref="A1:W178"/>
  <sheetViews>
    <sheetView tabSelected="1" view="pageBreakPreview" topLeftCell="A87" zoomScale="60" zoomScaleNormal="100" workbookViewId="0">
      <selection activeCell="H4" sqref="H4:H6"/>
    </sheetView>
  </sheetViews>
  <sheetFormatPr defaultColWidth="8.88671875" defaultRowHeight="15"/>
  <cols>
    <col min="1" max="1" width="3.5546875" style="3" customWidth="1"/>
    <col min="2" max="2" width="7" style="20" customWidth="1"/>
    <col min="3" max="3" width="7.6640625" style="20" bestFit="1" customWidth="1"/>
    <col min="4" max="4" width="7.21875" style="3" customWidth="1"/>
    <col min="5" max="5" width="34.33203125" style="3" bestFit="1" customWidth="1"/>
    <col min="6" max="6" width="8" style="3" customWidth="1"/>
    <col min="7" max="7" width="4.44140625" style="3" customWidth="1"/>
    <col min="8" max="8" width="5.88671875" style="3" customWidth="1"/>
    <col min="9" max="9" width="6.33203125" style="3" customWidth="1"/>
    <col min="10" max="10" width="10.21875" style="131" customWidth="1"/>
    <col min="11" max="11" width="6.88671875" style="3" customWidth="1"/>
    <col min="12" max="12" width="6.88671875" style="130" customWidth="1"/>
    <col min="13" max="13" width="11.88671875" style="3" customWidth="1"/>
    <col min="14" max="14" width="12.33203125" style="3" customWidth="1"/>
    <col min="15" max="15" width="9.109375" style="3" customWidth="1"/>
    <col min="16" max="16" width="11.21875" style="3" customWidth="1"/>
    <col min="17" max="17" width="9.109375" style="3" bestFit="1" customWidth="1"/>
    <col min="18" max="18" width="2" style="3" customWidth="1"/>
    <col min="19" max="19" width="15.33203125" style="3" bestFit="1" customWidth="1"/>
    <col min="20" max="21" width="16.44140625" style="3" bestFit="1" customWidth="1"/>
    <col min="22" max="22" width="7.109375" style="3" bestFit="1" customWidth="1"/>
    <col min="23" max="16384" width="8.88671875" style="3"/>
  </cols>
  <sheetData>
    <row r="1" spans="2:22" s="1" customFormat="1">
      <c r="B1" s="132"/>
      <c r="C1" s="132"/>
      <c r="E1" s="1" t="s">
        <v>101</v>
      </c>
    </row>
    <row r="2" spans="2:22" s="1" customFormat="1">
      <c r="B2" s="132"/>
      <c r="C2" s="132"/>
      <c r="E2" s="1" t="s">
        <v>0</v>
      </c>
      <c r="N2" s="335">
        <f>+'2111 Trks'!N2</f>
        <v>4</v>
      </c>
      <c r="O2" s="339" t="s">
        <v>4166</v>
      </c>
    </row>
    <row r="3" spans="2:22" s="1" customFormat="1">
      <c r="B3" s="132"/>
      <c r="C3" s="132"/>
      <c r="E3" s="135">
        <f>Summary!G6</f>
        <v>45747</v>
      </c>
      <c r="K3" s="14"/>
      <c r="N3" s="335">
        <f>+'2111 Trks'!N3</f>
        <v>3</v>
      </c>
      <c r="O3" s="339" t="s">
        <v>4167</v>
      </c>
    </row>
    <row r="4" spans="2:22" s="1" customFormat="1">
      <c r="B4" s="132"/>
      <c r="C4" s="132"/>
      <c r="N4" s="335">
        <f>+'2111 Trks'!N4</f>
        <v>2024</v>
      </c>
      <c r="O4" s="339" t="s">
        <v>888</v>
      </c>
    </row>
    <row r="5" spans="2:22" s="1" customFormat="1">
      <c r="B5" s="132"/>
      <c r="C5" s="132"/>
      <c r="J5" s="5"/>
      <c r="L5" s="133"/>
      <c r="N5" s="335">
        <f>+'2111 Trks'!N5</f>
        <v>2025</v>
      </c>
      <c r="O5" s="339" t="s">
        <v>11</v>
      </c>
    </row>
    <row r="6" spans="2:22">
      <c r="N6" s="337">
        <f>+N5+(N3/12)</f>
        <v>2025.25</v>
      </c>
      <c r="O6" s="339" t="s">
        <v>4168</v>
      </c>
    </row>
    <row r="7" spans="2:22">
      <c r="F7" s="131"/>
      <c r="G7" s="131"/>
      <c r="H7" s="131"/>
      <c r="I7" s="131"/>
      <c r="K7" s="131"/>
      <c r="L7" s="164"/>
      <c r="N7" s="337">
        <f>+N4+(N2/12)</f>
        <v>2024.3333333333333</v>
      </c>
      <c r="O7" s="340" t="s">
        <v>4169</v>
      </c>
      <c r="P7" s="131"/>
      <c r="Q7" s="131"/>
      <c r="R7" s="131"/>
      <c r="S7" s="131"/>
      <c r="T7" s="131"/>
      <c r="U7" s="131"/>
    </row>
    <row r="8" spans="2:22">
      <c r="F8" s="131"/>
      <c r="G8" s="131"/>
      <c r="H8" s="131"/>
      <c r="I8" s="131"/>
      <c r="K8" s="131"/>
      <c r="L8" s="164"/>
      <c r="N8" s="131"/>
      <c r="O8" s="131"/>
      <c r="P8" s="131"/>
      <c r="Q8" s="131"/>
      <c r="R8" s="131"/>
      <c r="S8" s="5" t="s">
        <v>18</v>
      </c>
      <c r="T8" s="5" t="s">
        <v>118</v>
      </c>
      <c r="U8" s="131"/>
    </row>
    <row r="9" spans="2:22" s="1" customFormat="1">
      <c r="B9" s="132"/>
      <c r="C9" s="132"/>
      <c r="D9" s="1" t="s">
        <v>57</v>
      </c>
      <c r="E9" s="1" t="s">
        <v>58</v>
      </c>
      <c r="F9" s="558" t="s">
        <v>597</v>
      </c>
      <c r="G9" s="558"/>
      <c r="H9" s="5" t="s">
        <v>23</v>
      </c>
      <c r="I9" s="5" t="s">
        <v>57</v>
      </c>
      <c r="J9" s="5"/>
      <c r="K9" s="5" t="s">
        <v>24</v>
      </c>
      <c r="L9" s="152"/>
      <c r="M9" s="5" t="s">
        <v>57</v>
      </c>
      <c r="N9" s="5" t="s">
        <v>57</v>
      </c>
      <c r="O9" s="5"/>
      <c r="P9" s="5"/>
      <c r="Q9" s="5"/>
      <c r="R9" s="5"/>
      <c r="S9" s="5" t="s">
        <v>117</v>
      </c>
      <c r="T9" s="5" t="s">
        <v>117</v>
      </c>
      <c r="U9" s="5" t="s">
        <v>38</v>
      </c>
    </row>
    <row r="10" spans="2:22" s="1" customFormat="1">
      <c r="B10" s="132"/>
      <c r="C10" s="132"/>
      <c r="D10" s="1" t="s">
        <v>116</v>
      </c>
      <c r="F10" s="5"/>
      <c r="G10" s="5"/>
      <c r="H10" s="5" t="s">
        <v>29</v>
      </c>
      <c r="I10" s="5"/>
      <c r="J10" s="5" t="s">
        <v>64</v>
      </c>
      <c r="K10" s="5" t="s">
        <v>65</v>
      </c>
      <c r="L10" s="152" t="s">
        <v>599</v>
      </c>
      <c r="M10" s="5" t="s">
        <v>31</v>
      </c>
      <c r="N10" s="5" t="s">
        <v>67</v>
      </c>
      <c r="O10" s="5" t="s">
        <v>69</v>
      </c>
      <c r="P10" s="5" t="s">
        <v>598</v>
      </c>
      <c r="Q10" s="5" t="s">
        <v>33</v>
      </c>
      <c r="R10" s="5"/>
      <c r="S10" s="5" t="s">
        <v>67</v>
      </c>
      <c r="T10" s="5" t="s">
        <v>67</v>
      </c>
      <c r="U10" s="5" t="s">
        <v>45</v>
      </c>
    </row>
    <row r="11" spans="2:22" s="1" customFormat="1">
      <c r="B11" s="132" t="s">
        <v>225</v>
      </c>
      <c r="C11" s="132" t="s">
        <v>53</v>
      </c>
      <c r="D11" s="1" t="s">
        <v>62</v>
      </c>
      <c r="E11" s="1" t="s">
        <v>63</v>
      </c>
      <c r="F11" s="5" t="s">
        <v>24</v>
      </c>
      <c r="G11" s="5" t="s">
        <v>39</v>
      </c>
      <c r="H11" s="5" t="s">
        <v>34</v>
      </c>
      <c r="I11" s="5" t="s">
        <v>30</v>
      </c>
      <c r="J11" s="5" t="s">
        <v>66</v>
      </c>
      <c r="K11" s="5" t="s">
        <v>67</v>
      </c>
      <c r="L11" s="152" t="s">
        <v>600</v>
      </c>
      <c r="M11" s="5" t="s">
        <v>42</v>
      </c>
      <c r="N11" s="5" t="s">
        <v>42</v>
      </c>
      <c r="O11" s="5" t="s">
        <v>67</v>
      </c>
      <c r="P11" s="5" t="s">
        <v>67</v>
      </c>
      <c r="Q11" s="5" t="s">
        <v>44</v>
      </c>
      <c r="R11" s="5"/>
      <c r="S11" s="8">
        <f>Summary!F6</f>
        <v>45383</v>
      </c>
      <c r="T11" s="8">
        <f>Summary!G6</f>
        <v>45747</v>
      </c>
      <c r="U11" s="8">
        <f>+T11</f>
        <v>45747</v>
      </c>
    </row>
    <row r="12" spans="2:22" s="1" customFormat="1" ht="16.5" customHeight="1">
      <c r="B12" s="132"/>
      <c r="C12" s="132"/>
      <c r="J12" s="5"/>
      <c r="L12" s="133"/>
      <c r="M12" s="140"/>
      <c r="N12" s="140"/>
      <c r="O12" s="140"/>
      <c r="P12" s="140"/>
      <c r="Q12" s="140"/>
      <c r="R12" s="140"/>
      <c r="S12" s="140"/>
      <c r="T12" s="140"/>
      <c r="U12" s="140"/>
      <c r="V12" s="140"/>
    </row>
    <row r="13" spans="2:22" ht="16.5" customHeight="1">
      <c r="B13" s="20">
        <v>173479</v>
      </c>
      <c r="D13" s="3">
        <v>432</v>
      </c>
      <c r="E13" s="3" t="s">
        <v>854</v>
      </c>
      <c r="F13" s="3">
        <v>2002</v>
      </c>
      <c r="G13" s="3">
        <v>6</v>
      </c>
      <c r="H13" s="3">
        <v>0</v>
      </c>
      <c r="I13" s="3" t="s">
        <v>52</v>
      </c>
      <c r="J13" s="131" t="s">
        <v>855</v>
      </c>
      <c r="K13" s="3">
        <f t="shared" ref="K13:K30" si="0">F13+J13</f>
        <v>2009</v>
      </c>
      <c r="L13" s="130">
        <f t="shared" ref="L13:L30" si="1">+K13+(G13/12)</f>
        <v>2009.5</v>
      </c>
      <c r="M13" s="139">
        <v>18514.439999999999</v>
      </c>
      <c r="N13" s="139">
        <f t="shared" ref="N13:N30" si="2">M13-M13*H13</f>
        <v>18514.439999999999</v>
      </c>
      <c r="O13" s="139">
        <f t="shared" ref="O13:O30" si="3">N13/J13/12</f>
        <v>220.40999999999997</v>
      </c>
      <c r="P13" s="139">
        <f t="shared" ref="P13:P30" si="4">+O13*12</f>
        <v>2644.9199999999996</v>
      </c>
      <c r="Q13" s="139">
        <f>+IF(L13&lt;='2111 Cont, DB'!$N$5,0,IF(K13&gt;'2111 Cont, DB'!$N$4,P13,(O13*G13)))</f>
        <v>0</v>
      </c>
      <c r="R13" s="139"/>
      <c r="S13" s="139">
        <f>+IF(Q13=0,M13,IF('2111 Cont, DB'!$N$3-F13&lt;1,0,(('2111 Cont, DB'!$N$3-F13)*P13)))</f>
        <v>18514.439999999999</v>
      </c>
      <c r="T13" s="139">
        <f t="shared" ref="T13:T30" si="5">+IF(Q13=0,S13,S13+Q13)</f>
        <v>18514.439999999999</v>
      </c>
      <c r="U13" s="139">
        <f>M13-T13</f>
        <v>0</v>
      </c>
      <c r="V13" s="139">
        <f>M13-T13</f>
        <v>0</v>
      </c>
    </row>
    <row r="14" spans="2:22" ht="16.5" customHeight="1">
      <c r="C14" s="20" t="s">
        <v>99</v>
      </c>
      <c r="D14" s="3">
        <v>768</v>
      </c>
      <c r="E14" s="3" t="s">
        <v>119</v>
      </c>
      <c r="F14" s="3">
        <v>2003</v>
      </c>
      <c r="G14" s="3">
        <v>3</v>
      </c>
      <c r="H14" s="3">
        <v>0</v>
      </c>
      <c r="I14" s="3" t="s">
        <v>52</v>
      </c>
      <c r="J14" s="131">
        <v>5</v>
      </c>
      <c r="K14" s="3">
        <f t="shared" si="0"/>
        <v>2008</v>
      </c>
      <c r="L14" s="130">
        <f t="shared" si="1"/>
        <v>2008.25</v>
      </c>
      <c r="M14" s="139">
        <v>33423.360000000001</v>
      </c>
      <c r="N14" s="139">
        <f t="shared" si="2"/>
        <v>33423.360000000001</v>
      </c>
      <c r="O14" s="139">
        <f t="shared" si="3"/>
        <v>557.05600000000004</v>
      </c>
      <c r="P14" s="139">
        <f t="shared" si="4"/>
        <v>6684.6720000000005</v>
      </c>
      <c r="Q14" s="139">
        <f>+IF(L14&lt;=$N$5,0,IF(K14&gt;$N$4,P14,(O14*G14)))</f>
        <v>0</v>
      </c>
      <c r="R14" s="139"/>
      <c r="S14" s="139">
        <f>+IF(Q14=0,M14,IF($N$3-F14&lt;1,0,(($N$3-F14)*P14)))</f>
        <v>33423.360000000001</v>
      </c>
      <c r="T14" s="139">
        <f t="shared" si="5"/>
        <v>33423.360000000001</v>
      </c>
      <c r="U14" s="139">
        <f t="shared" ref="U14:U77" si="6">M14-T14</f>
        <v>0</v>
      </c>
      <c r="V14" s="139">
        <f t="shared" ref="V14:V77" si="7">M14-T14</f>
        <v>0</v>
      </c>
    </row>
    <row r="15" spans="2:22" ht="16.5" customHeight="1">
      <c r="C15" s="20" t="s">
        <v>99</v>
      </c>
      <c r="D15" s="3">
        <v>1296</v>
      </c>
      <c r="E15" s="3" t="s">
        <v>119</v>
      </c>
      <c r="F15" s="3">
        <v>2003</v>
      </c>
      <c r="G15" s="3">
        <v>6</v>
      </c>
      <c r="H15" s="3">
        <v>0</v>
      </c>
      <c r="I15" s="3" t="s">
        <v>52</v>
      </c>
      <c r="J15" s="131">
        <v>5</v>
      </c>
      <c r="K15" s="3">
        <f t="shared" si="0"/>
        <v>2008</v>
      </c>
      <c r="L15" s="130">
        <f t="shared" si="1"/>
        <v>2008.5</v>
      </c>
      <c r="M15" s="139">
        <v>58417.83</v>
      </c>
      <c r="N15" s="139">
        <f t="shared" si="2"/>
        <v>58417.83</v>
      </c>
      <c r="O15" s="139">
        <f t="shared" si="3"/>
        <v>973.6305000000001</v>
      </c>
      <c r="P15" s="139">
        <f t="shared" si="4"/>
        <v>11683.566000000001</v>
      </c>
      <c r="Q15" s="139">
        <f>+IF(L15&lt;=$N$5,0,IF(K15&gt;$N$4,P15,(O15*G15)))</f>
        <v>0</v>
      </c>
      <c r="R15" s="139"/>
      <c r="S15" s="139">
        <f>+IF(Q15=0,M15,IF($N$3-F15&lt;1,0,(($N$3-F15)*P15)))</f>
        <v>58417.83</v>
      </c>
      <c r="T15" s="139">
        <f t="shared" si="5"/>
        <v>58417.83</v>
      </c>
      <c r="U15" s="139">
        <f t="shared" si="6"/>
        <v>0</v>
      </c>
      <c r="V15" s="139">
        <f t="shared" si="7"/>
        <v>0</v>
      </c>
    </row>
    <row r="16" spans="2:22" ht="16.5" customHeight="1">
      <c r="B16" s="20">
        <v>20894</v>
      </c>
      <c r="D16" s="3">
        <v>432</v>
      </c>
      <c r="E16" s="3" t="s">
        <v>530</v>
      </c>
      <c r="F16" s="3">
        <v>2003</v>
      </c>
      <c r="G16" s="3">
        <v>9</v>
      </c>
      <c r="H16" s="3">
        <v>0</v>
      </c>
      <c r="I16" s="3" t="s">
        <v>52</v>
      </c>
      <c r="J16" s="131">
        <v>12</v>
      </c>
      <c r="K16" s="3">
        <f t="shared" si="0"/>
        <v>2015</v>
      </c>
      <c r="L16" s="130">
        <f t="shared" si="1"/>
        <v>2015.75</v>
      </c>
      <c r="M16" s="139">
        <v>19710.21</v>
      </c>
      <c r="N16" s="139">
        <f t="shared" si="2"/>
        <v>19710.21</v>
      </c>
      <c r="O16" s="139">
        <f t="shared" si="3"/>
        <v>136.87645833333332</v>
      </c>
      <c r="P16" s="139">
        <f t="shared" si="4"/>
        <v>1642.5174999999999</v>
      </c>
      <c r="Q16" s="139">
        <f>+IF(L16&lt;='2111 Cont, DB'!$N$5,0,IF(K16&gt;'2111 Cont, DB'!$N$4,P16,(O16*G16)))</f>
        <v>0</v>
      </c>
      <c r="R16" s="139"/>
      <c r="S16" s="139">
        <f>+IF(Q16=0,M16,IF('2111 Cont, DB'!$N$3-F16&lt;1,0,(('2111 Cont, DB'!$N$3-F16)*P16)))</f>
        <v>19710.21</v>
      </c>
      <c r="T16" s="139">
        <f t="shared" si="5"/>
        <v>19710.21</v>
      </c>
      <c r="U16" s="139">
        <f t="shared" si="6"/>
        <v>0</v>
      </c>
      <c r="V16" s="139">
        <f t="shared" si="7"/>
        <v>0</v>
      </c>
    </row>
    <row r="17" spans="2:22" ht="16.5" customHeight="1">
      <c r="B17" s="20">
        <v>22088</v>
      </c>
      <c r="D17" s="3">
        <v>432</v>
      </c>
      <c r="E17" s="3" t="s">
        <v>530</v>
      </c>
      <c r="F17" s="3">
        <v>2003</v>
      </c>
      <c r="G17" s="3">
        <v>11</v>
      </c>
      <c r="H17" s="3">
        <v>0</v>
      </c>
      <c r="I17" s="3" t="s">
        <v>52</v>
      </c>
      <c r="J17" s="131" t="s">
        <v>855</v>
      </c>
      <c r="K17" s="3">
        <f t="shared" si="0"/>
        <v>2010</v>
      </c>
      <c r="L17" s="130">
        <f t="shared" si="1"/>
        <v>2010.9166666666667</v>
      </c>
      <c r="M17" s="139">
        <v>17390.599999999999</v>
      </c>
      <c r="N17" s="139">
        <f t="shared" si="2"/>
        <v>17390.599999999999</v>
      </c>
      <c r="O17" s="139">
        <f t="shared" si="3"/>
        <v>207.03095238095236</v>
      </c>
      <c r="P17" s="139">
        <f t="shared" si="4"/>
        <v>2484.3714285714282</v>
      </c>
      <c r="Q17" s="139">
        <f>+IF(L17&lt;='2111 Cont, DB'!$N$5,0,IF(K17&gt;'2111 Cont, DB'!$N$4,P17,(O17*G17)))</f>
        <v>0</v>
      </c>
      <c r="R17" s="139"/>
      <c r="S17" s="139">
        <f>+IF(Q17=0,M17,IF('2111 Cont, DB'!$N$3-F17&lt;1,0,(('2111 Cont, DB'!$N$3-F17)*P17)))</f>
        <v>17390.599999999999</v>
      </c>
      <c r="T17" s="139">
        <f t="shared" si="5"/>
        <v>17390.599999999999</v>
      </c>
      <c r="U17" s="139">
        <f t="shared" si="6"/>
        <v>0</v>
      </c>
      <c r="V17" s="139">
        <f t="shared" si="7"/>
        <v>0</v>
      </c>
    </row>
    <row r="18" spans="2:22" ht="16.5" customHeight="1">
      <c r="C18" s="20" t="s">
        <v>99</v>
      </c>
      <c r="D18" s="3">
        <v>432</v>
      </c>
      <c r="E18" s="3" t="s">
        <v>119</v>
      </c>
      <c r="F18" s="3">
        <v>2004</v>
      </c>
      <c r="G18" s="3">
        <v>7</v>
      </c>
      <c r="H18" s="3">
        <v>0</v>
      </c>
      <c r="I18" s="3" t="s">
        <v>52</v>
      </c>
      <c r="J18" s="131">
        <v>5</v>
      </c>
      <c r="K18" s="3">
        <f t="shared" si="0"/>
        <v>2009</v>
      </c>
      <c r="L18" s="130">
        <f t="shared" si="1"/>
        <v>2009.5833333333333</v>
      </c>
      <c r="M18" s="139">
        <v>18213.12</v>
      </c>
      <c r="N18" s="139">
        <f t="shared" si="2"/>
        <v>18213.12</v>
      </c>
      <c r="O18" s="139">
        <f t="shared" si="3"/>
        <v>303.55199999999996</v>
      </c>
      <c r="P18" s="139">
        <f t="shared" si="4"/>
        <v>3642.6239999999998</v>
      </c>
      <c r="Q18" s="139">
        <f>+IF(L18&lt;=$N$5,0,IF(K18&gt;$N$4,P18,(O18*G18)))</f>
        <v>0</v>
      </c>
      <c r="R18" s="139"/>
      <c r="S18" s="139">
        <f>+IF(Q18=0,M18,IF($N$3-F18&lt;1,0,(($N$3-F18)*P18)))</f>
        <v>18213.12</v>
      </c>
      <c r="T18" s="139">
        <f t="shared" si="5"/>
        <v>18213.12</v>
      </c>
      <c r="U18" s="139">
        <f t="shared" si="6"/>
        <v>0</v>
      </c>
      <c r="V18" s="139">
        <f t="shared" si="7"/>
        <v>0</v>
      </c>
    </row>
    <row r="19" spans="2:22" ht="16.5" customHeight="1">
      <c r="C19" s="20" t="s">
        <v>99</v>
      </c>
      <c r="D19" s="3">
        <v>432</v>
      </c>
      <c r="E19" s="3" t="s">
        <v>119</v>
      </c>
      <c r="F19" s="3">
        <v>2004</v>
      </c>
      <c r="G19" s="3">
        <v>12</v>
      </c>
      <c r="H19" s="3">
        <v>0</v>
      </c>
      <c r="I19" s="3" t="s">
        <v>52</v>
      </c>
      <c r="J19" s="131">
        <v>5</v>
      </c>
      <c r="K19" s="3">
        <f t="shared" si="0"/>
        <v>2009</v>
      </c>
      <c r="L19" s="130">
        <f t="shared" si="1"/>
        <v>2010</v>
      </c>
      <c r="M19" s="139">
        <v>18213.12</v>
      </c>
      <c r="N19" s="139">
        <f t="shared" si="2"/>
        <v>18213.12</v>
      </c>
      <c r="O19" s="139">
        <f t="shared" si="3"/>
        <v>303.55199999999996</v>
      </c>
      <c r="P19" s="139">
        <f t="shared" si="4"/>
        <v>3642.6239999999998</v>
      </c>
      <c r="Q19" s="139">
        <f>+IF(L19&lt;=$N$5,0,IF(K19&gt;$N$4,P19,(O19*G19)))</f>
        <v>0</v>
      </c>
      <c r="R19" s="139"/>
      <c r="S19" s="139">
        <f>+IF(Q19=0,M19,IF($N$3-F19&lt;1,0,(($N$3-F19)*P19)))</f>
        <v>18213.12</v>
      </c>
      <c r="T19" s="139">
        <f t="shared" si="5"/>
        <v>18213.12</v>
      </c>
      <c r="U19" s="139">
        <f t="shared" si="6"/>
        <v>0</v>
      </c>
      <c r="V19" s="139">
        <f t="shared" si="7"/>
        <v>0</v>
      </c>
    </row>
    <row r="20" spans="2:22" ht="16.5" customHeight="1">
      <c r="B20" s="20">
        <v>24739</v>
      </c>
      <c r="D20" s="3">
        <v>432</v>
      </c>
      <c r="E20" s="3" t="s">
        <v>530</v>
      </c>
      <c r="F20" s="3">
        <v>2004</v>
      </c>
      <c r="G20" s="3">
        <v>4</v>
      </c>
      <c r="H20" s="3">
        <v>0</v>
      </c>
      <c r="I20" s="3" t="s">
        <v>52</v>
      </c>
      <c r="J20" s="131" t="s">
        <v>855</v>
      </c>
      <c r="K20" s="3">
        <f t="shared" si="0"/>
        <v>2011</v>
      </c>
      <c r="L20" s="130">
        <f t="shared" si="1"/>
        <v>2011.3333333333333</v>
      </c>
      <c r="M20" s="139">
        <v>17860.599999999999</v>
      </c>
      <c r="N20" s="139">
        <f t="shared" si="2"/>
        <v>17860.599999999999</v>
      </c>
      <c r="O20" s="139">
        <f t="shared" si="3"/>
        <v>212.62619047619046</v>
      </c>
      <c r="P20" s="139">
        <f t="shared" si="4"/>
        <v>2551.5142857142855</v>
      </c>
      <c r="Q20" s="139">
        <f>+IF(L20&lt;='2111 Cont, DB'!$N$5,0,IF(K20&gt;'2111 Cont, DB'!$N$4,P20,(O20*G20)))</f>
        <v>0</v>
      </c>
      <c r="R20" s="139"/>
      <c r="S20" s="139">
        <f>+IF(Q20=0,M20,IF('2111 Cont, DB'!$N$3-F20&lt;1,0,(('2111 Cont, DB'!$N$3-F20)*P20)))</f>
        <v>17860.599999999999</v>
      </c>
      <c r="T20" s="139">
        <f t="shared" si="5"/>
        <v>17860.599999999999</v>
      </c>
      <c r="U20" s="139">
        <f t="shared" si="6"/>
        <v>0</v>
      </c>
      <c r="V20" s="139">
        <f t="shared" si="7"/>
        <v>0</v>
      </c>
    </row>
    <row r="21" spans="2:22" ht="16.5" customHeight="1">
      <c r="B21" s="20">
        <v>26814</v>
      </c>
      <c r="D21" s="3">
        <v>432</v>
      </c>
      <c r="E21" s="3" t="s">
        <v>846</v>
      </c>
      <c r="F21" s="3">
        <v>2004</v>
      </c>
      <c r="G21" s="3">
        <v>4</v>
      </c>
      <c r="H21" s="3">
        <v>0</v>
      </c>
      <c r="I21" s="3" t="s">
        <v>52</v>
      </c>
      <c r="J21" s="131" t="s">
        <v>855</v>
      </c>
      <c r="K21" s="3">
        <f t="shared" si="0"/>
        <v>2011</v>
      </c>
      <c r="L21" s="130">
        <f t="shared" si="1"/>
        <v>2011.3333333333333</v>
      </c>
      <c r="M21" s="139">
        <v>17860.599999999999</v>
      </c>
      <c r="N21" s="139">
        <f t="shared" si="2"/>
        <v>17860.599999999999</v>
      </c>
      <c r="O21" s="139">
        <f t="shared" si="3"/>
        <v>212.62619047619046</v>
      </c>
      <c r="P21" s="139">
        <f t="shared" si="4"/>
        <v>2551.5142857142855</v>
      </c>
      <c r="Q21" s="139">
        <f>+IF(L21&lt;='2111 Cont, DB'!$N$5,0,IF(K21&gt;'2111 Cont, DB'!$N$4,P21,(O21*G21)))</f>
        <v>0</v>
      </c>
      <c r="R21" s="139"/>
      <c r="S21" s="139">
        <f>+IF(Q21=0,M21,IF('2111 Cont, DB'!$N$3-F21&lt;1,0,(('2111 Cont, DB'!$N$3-F21)*P21)))</f>
        <v>17860.599999999999</v>
      </c>
      <c r="T21" s="139">
        <f t="shared" si="5"/>
        <v>17860.599999999999</v>
      </c>
      <c r="U21" s="139">
        <f t="shared" si="6"/>
        <v>0</v>
      </c>
      <c r="V21" s="139">
        <f t="shared" si="7"/>
        <v>0</v>
      </c>
    </row>
    <row r="22" spans="2:22" ht="16.5" customHeight="1">
      <c r="B22" s="20">
        <v>27476</v>
      </c>
      <c r="D22" s="3">
        <v>432</v>
      </c>
      <c r="E22" s="3" t="s">
        <v>847</v>
      </c>
      <c r="F22" s="3">
        <v>2004</v>
      </c>
      <c r="G22" s="3">
        <v>5</v>
      </c>
      <c r="H22" s="3">
        <v>0</v>
      </c>
      <c r="I22" s="3" t="s">
        <v>52</v>
      </c>
      <c r="J22" s="131" t="s">
        <v>855</v>
      </c>
      <c r="K22" s="3">
        <f t="shared" si="0"/>
        <v>2011</v>
      </c>
      <c r="L22" s="130">
        <f t="shared" si="1"/>
        <v>2011.4166666666667</v>
      </c>
      <c r="M22" s="139">
        <v>17860.599999999999</v>
      </c>
      <c r="N22" s="139">
        <f t="shared" si="2"/>
        <v>17860.599999999999</v>
      </c>
      <c r="O22" s="139">
        <f t="shared" si="3"/>
        <v>212.62619047619046</v>
      </c>
      <c r="P22" s="139">
        <f t="shared" si="4"/>
        <v>2551.5142857142855</v>
      </c>
      <c r="Q22" s="139">
        <f>+IF(L22&lt;='2111 Cont, DB'!$N$5,0,IF(K22&gt;'2111 Cont, DB'!$N$4,P22,(O22*G22)))</f>
        <v>0</v>
      </c>
      <c r="R22" s="139"/>
      <c r="S22" s="139">
        <f>+IF(Q22=0,M22,IF('2111 Cont, DB'!$N$3-F22&lt;1,0,(('2111 Cont, DB'!$N$3-F22)*P22)))</f>
        <v>17860.599999999999</v>
      </c>
      <c r="T22" s="139">
        <f t="shared" si="5"/>
        <v>17860.599999999999</v>
      </c>
      <c r="U22" s="139">
        <f t="shared" si="6"/>
        <v>0</v>
      </c>
      <c r="V22" s="139">
        <f t="shared" si="7"/>
        <v>0</v>
      </c>
    </row>
    <row r="23" spans="2:22" ht="16.5" customHeight="1">
      <c r="B23" s="20">
        <v>27477</v>
      </c>
      <c r="D23" s="3">
        <v>432</v>
      </c>
      <c r="E23" s="3" t="s">
        <v>847</v>
      </c>
      <c r="F23" s="3">
        <v>2004</v>
      </c>
      <c r="G23" s="3">
        <v>5</v>
      </c>
      <c r="H23" s="3">
        <v>0</v>
      </c>
      <c r="I23" s="3" t="s">
        <v>52</v>
      </c>
      <c r="J23" s="131" t="s">
        <v>855</v>
      </c>
      <c r="K23" s="3">
        <f t="shared" si="0"/>
        <v>2011</v>
      </c>
      <c r="L23" s="130">
        <f t="shared" si="1"/>
        <v>2011.4166666666667</v>
      </c>
      <c r="M23" s="139">
        <v>17860.599999999999</v>
      </c>
      <c r="N23" s="139">
        <f t="shared" si="2"/>
        <v>17860.599999999999</v>
      </c>
      <c r="O23" s="139">
        <f t="shared" si="3"/>
        <v>212.62619047619046</v>
      </c>
      <c r="P23" s="139">
        <f t="shared" si="4"/>
        <v>2551.5142857142855</v>
      </c>
      <c r="Q23" s="139">
        <f>+IF(L23&lt;='2111 Cont, DB'!$N$5,0,IF(K23&gt;'2111 Cont, DB'!$N$4,P23,(O23*G23)))</f>
        <v>0</v>
      </c>
      <c r="R23" s="139"/>
      <c r="S23" s="139">
        <f>+IF(Q23=0,M23,IF('2111 Cont, DB'!$N$3-F23&lt;1,0,(('2111 Cont, DB'!$N$3-F23)*P23)))</f>
        <v>17860.599999999999</v>
      </c>
      <c r="T23" s="139">
        <f t="shared" si="5"/>
        <v>17860.599999999999</v>
      </c>
      <c r="U23" s="139">
        <f t="shared" si="6"/>
        <v>0</v>
      </c>
      <c r="V23" s="139">
        <f t="shared" si="7"/>
        <v>0</v>
      </c>
    </row>
    <row r="24" spans="2:22" ht="16.5" customHeight="1">
      <c r="C24" s="20" t="s">
        <v>99</v>
      </c>
      <c r="D24" s="3">
        <v>864</v>
      </c>
      <c r="E24" s="3" t="s">
        <v>119</v>
      </c>
      <c r="F24" s="3">
        <v>2005</v>
      </c>
      <c r="G24" s="3">
        <v>5</v>
      </c>
      <c r="H24" s="3">
        <v>0</v>
      </c>
      <c r="I24" s="3" t="s">
        <v>52</v>
      </c>
      <c r="J24" s="131">
        <v>5</v>
      </c>
      <c r="K24" s="3">
        <f t="shared" si="0"/>
        <v>2010</v>
      </c>
      <c r="L24" s="130">
        <f t="shared" si="1"/>
        <v>2010.4166666666667</v>
      </c>
      <c r="M24" s="139">
        <v>38541.32</v>
      </c>
      <c r="N24" s="139">
        <f t="shared" si="2"/>
        <v>38541.32</v>
      </c>
      <c r="O24" s="139">
        <f t="shared" si="3"/>
        <v>642.35533333333331</v>
      </c>
      <c r="P24" s="139">
        <f t="shared" si="4"/>
        <v>7708.2639999999992</v>
      </c>
      <c r="Q24" s="139">
        <f>+IF(L24&lt;=$N$5,0,IF(K24&gt;$N$4,P24,(O24*G24)))</f>
        <v>0</v>
      </c>
      <c r="R24" s="139"/>
      <c r="S24" s="139">
        <f>+IF(Q24=0,M24,IF($N$3-F24&lt;1,0,(($N$3-F24)*P24)))</f>
        <v>38541.32</v>
      </c>
      <c r="T24" s="139">
        <f t="shared" si="5"/>
        <v>38541.32</v>
      </c>
      <c r="U24" s="139">
        <f t="shared" si="6"/>
        <v>0</v>
      </c>
      <c r="V24" s="139">
        <f t="shared" si="7"/>
        <v>0</v>
      </c>
    </row>
    <row r="25" spans="2:22" ht="16.5" customHeight="1">
      <c r="C25" s="20" t="s">
        <v>99</v>
      </c>
      <c r="D25" s="3">
        <v>427</v>
      </c>
      <c r="E25" s="3" t="s">
        <v>119</v>
      </c>
      <c r="F25" s="3">
        <v>2005</v>
      </c>
      <c r="G25" s="3">
        <v>10</v>
      </c>
      <c r="H25" s="3">
        <v>0</v>
      </c>
      <c r="I25" s="3" t="s">
        <v>52</v>
      </c>
      <c r="J25" s="131">
        <v>5</v>
      </c>
      <c r="K25" s="3">
        <f t="shared" si="0"/>
        <v>2010</v>
      </c>
      <c r="L25" s="130">
        <f t="shared" si="1"/>
        <v>2010.8333333333333</v>
      </c>
      <c r="M25" s="139">
        <v>20859.14</v>
      </c>
      <c r="N25" s="139">
        <f t="shared" si="2"/>
        <v>20859.14</v>
      </c>
      <c r="O25" s="139">
        <f t="shared" si="3"/>
        <v>347.65233333333327</v>
      </c>
      <c r="P25" s="139">
        <f t="shared" si="4"/>
        <v>4171.8279999999995</v>
      </c>
      <c r="Q25" s="139">
        <f>+IF(L25&lt;=$N$5,0,IF(K25&gt;$N$4,P25,(O25*G25)))</f>
        <v>0</v>
      </c>
      <c r="R25" s="139"/>
      <c r="S25" s="139">
        <f>+IF(Q25=0,M25,IF($N$3-F25&lt;1,0,(($N$3-F25)*P25)))</f>
        <v>20859.14</v>
      </c>
      <c r="T25" s="139">
        <f t="shared" si="5"/>
        <v>20859.14</v>
      </c>
      <c r="U25" s="139">
        <f t="shared" si="6"/>
        <v>0</v>
      </c>
      <c r="V25" s="139">
        <f t="shared" si="7"/>
        <v>0</v>
      </c>
    </row>
    <row r="26" spans="2:22" ht="16.5" customHeight="1">
      <c r="C26" s="20" t="s">
        <v>99</v>
      </c>
      <c r="D26" s="3">
        <v>432</v>
      </c>
      <c r="E26" s="3" t="s">
        <v>119</v>
      </c>
      <c r="F26" s="3">
        <v>2005</v>
      </c>
      <c r="G26" s="3">
        <v>11</v>
      </c>
      <c r="H26" s="3">
        <v>0</v>
      </c>
      <c r="I26" s="3" t="s">
        <v>52</v>
      </c>
      <c r="J26" s="131">
        <v>5</v>
      </c>
      <c r="K26" s="3">
        <f t="shared" si="0"/>
        <v>2010</v>
      </c>
      <c r="L26" s="130">
        <f t="shared" si="1"/>
        <v>2010.9166666666667</v>
      </c>
      <c r="M26" s="139">
        <v>21738.23</v>
      </c>
      <c r="N26" s="139">
        <f t="shared" si="2"/>
        <v>21738.23</v>
      </c>
      <c r="O26" s="139">
        <f t="shared" si="3"/>
        <v>362.30383333333333</v>
      </c>
      <c r="P26" s="139">
        <f t="shared" si="4"/>
        <v>4347.6459999999997</v>
      </c>
      <c r="Q26" s="139">
        <f>+IF(L26&lt;=$N$5,0,IF(K26&gt;$N$4,P26,(O26*G26)))</f>
        <v>0</v>
      </c>
      <c r="R26" s="139"/>
      <c r="S26" s="139">
        <f>+IF(Q26=0,M26,IF($N$3-F26&lt;1,0,(($N$3-F26)*P26)))</f>
        <v>21738.23</v>
      </c>
      <c r="T26" s="139">
        <f t="shared" si="5"/>
        <v>21738.23</v>
      </c>
      <c r="U26" s="139">
        <f t="shared" si="6"/>
        <v>0</v>
      </c>
      <c r="V26" s="139">
        <f t="shared" si="7"/>
        <v>0</v>
      </c>
    </row>
    <row r="27" spans="2:22" ht="16.5" customHeight="1">
      <c r="B27" s="20" t="s">
        <v>492</v>
      </c>
      <c r="C27" s="20" t="s">
        <v>99</v>
      </c>
      <c r="D27" s="3">
        <v>864</v>
      </c>
      <c r="E27" s="3" t="s">
        <v>475</v>
      </c>
      <c r="F27" s="3">
        <v>2005</v>
      </c>
      <c r="G27" s="3">
        <v>5</v>
      </c>
      <c r="H27" s="3">
        <v>0</v>
      </c>
      <c r="I27" s="3" t="s">
        <v>52</v>
      </c>
      <c r="J27" s="131">
        <v>5</v>
      </c>
      <c r="K27" s="3">
        <f t="shared" si="0"/>
        <v>2010</v>
      </c>
      <c r="L27" s="130">
        <f t="shared" si="1"/>
        <v>2010.4166666666667</v>
      </c>
      <c r="M27" s="139">
        <v>38541.32</v>
      </c>
      <c r="N27" s="139">
        <f t="shared" si="2"/>
        <v>38541.32</v>
      </c>
      <c r="O27" s="139">
        <f t="shared" si="3"/>
        <v>642.35533333333331</v>
      </c>
      <c r="P27" s="139">
        <f t="shared" si="4"/>
        <v>7708.2639999999992</v>
      </c>
      <c r="Q27" s="139">
        <f>+IF(L27&lt;=$N$5,0,IF(K27&gt;$N$4,P27,(O27*G27)))</f>
        <v>0</v>
      </c>
      <c r="R27" s="139"/>
      <c r="S27" s="139">
        <f>+IF(Q27=0,M27,IF($N$3-F27&lt;1,0,(($N$3-F27)*P27)))</f>
        <v>38541.32</v>
      </c>
      <c r="T27" s="139">
        <f t="shared" si="5"/>
        <v>38541.32</v>
      </c>
      <c r="U27" s="139">
        <f t="shared" si="6"/>
        <v>0</v>
      </c>
      <c r="V27" s="139">
        <f t="shared" si="7"/>
        <v>0</v>
      </c>
    </row>
    <row r="28" spans="2:22" ht="16.5" customHeight="1">
      <c r="B28" s="20">
        <v>34410</v>
      </c>
      <c r="D28" s="3">
        <v>432</v>
      </c>
      <c r="E28" s="3" t="s">
        <v>848</v>
      </c>
      <c r="F28" s="3">
        <v>2005</v>
      </c>
      <c r="G28" s="3">
        <v>5</v>
      </c>
      <c r="H28" s="3">
        <v>0</v>
      </c>
      <c r="I28" s="3" t="s">
        <v>52</v>
      </c>
      <c r="J28" s="131" t="s">
        <v>855</v>
      </c>
      <c r="K28" s="3">
        <f t="shared" si="0"/>
        <v>2012</v>
      </c>
      <c r="L28" s="130">
        <f t="shared" si="1"/>
        <v>2012.4166666666667</v>
      </c>
      <c r="M28" s="139">
        <v>21609.86</v>
      </c>
      <c r="N28" s="139">
        <f t="shared" si="2"/>
        <v>21609.86</v>
      </c>
      <c r="O28" s="139">
        <f t="shared" si="3"/>
        <v>257.26023809523809</v>
      </c>
      <c r="P28" s="139">
        <f t="shared" si="4"/>
        <v>3087.1228571428574</v>
      </c>
      <c r="Q28" s="139">
        <f>+IF(L28&lt;='2111 Cont, DB'!$N$5,0,IF(K28&gt;'2111 Cont, DB'!$N$4,P28,(O28*G28)))</f>
        <v>0</v>
      </c>
      <c r="R28" s="139"/>
      <c r="S28" s="139">
        <f>+IF(Q28=0,M28,IF('2111 Cont, DB'!$N$3-F28&lt;1,0,(('2111 Cont, DB'!$N$3-F28)*P28)))</f>
        <v>21609.86</v>
      </c>
      <c r="T28" s="139">
        <f t="shared" si="5"/>
        <v>21609.86</v>
      </c>
      <c r="U28" s="139">
        <f t="shared" si="6"/>
        <v>0</v>
      </c>
      <c r="V28" s="139">
        <f t="shared" si="7"/>
        <v>0</v>
      </c>
    </row>
    <row r="29" spans="2:22" ht="16.5" customHeight="1">
      <c r="B29" s="20">
        <v>34411</v>
      </c>
      <c r="D29" s="3">
        <v>432</v>
      </c>
      <c r="E29" s="3" t="s">
        <v>848</v>
      </c>
      <c r="F29" s="3">
        <v>2005</v>
      </c>
      <c r="G29" s="3">
        <v>5</v>
      </c>
      <c r="H29" s="3">
        <v>0</v>
      </c>
      <c r="I29" s="3" t="s">
        <v>52</v>
      </c>
      <c r="J29" s="131" t="s">
        <v>855</v>
      </c>
      <c r="K29" s="3">
        <f t="shared" si="0"/>
        <v>2012</v>
      </c>
      <c r="L29" s="130">
        <f t="shared" si="1"/>
        <v>2012.4166666666667</v>
      </c>
      <c r="M29" s="139">
        <v>21609.86</v>
      </c>
      <c r="N29" s="139">
        <f t="shared" si="2"/>
        <v>21609.86</v>
      </c>
      <c r="O29" s="139">
        <f t="shared" si="3"/>
        <v>257.26023809523809</v>
      </c>
      <c r="P29" s="139">
        <f t="shared" si="4"/>
        <v>3087.1228571428574</v>
      </c>
      <c r="Q29" s="139">
        <f>+IF(L29&lt;='2111 Cont, DB'!$N$5,0,IF(K29&gt;'2111 Cont, DB'!$N$4,P29,(O29*G29)))</f>
        <v>0</v>
      </c>
      <c r="R29" s="139"/>
      <c r="S29" s="139">
        <f>+IF(Q29=0,M29,IF('2111 Cont, DB'!$N$3-F29&lt;1,0,(('2111 Cont, DB'!$N$3-F29)*P29)))</f>
        <v>21609.86</v>
      </c>
      <c r="T29" s="139">
        <f t="shared" si="5"/>
        <v>21609.86</v>
      </c>
      <c r="U29" s="139">
        <f t="shared" si="6"/>
        <v>0</v>
      </c>
      <c r="V29" s="139">
        <f t="shared" si="7"/>
        <v>0</v>
      </c>
    </row>
    <row r="30" spans="2:22" ht="16.5" customHeight="1">
      <c r="B30" s="20">
        <v>34412</v>
      </c>
      <c r="D30" s="3">
        <v>432</v>
      </c>
      <c r="E30" s="3" t="s">
        <v>848</v>
      </c>
      <c r="F30" s="3">
        <v>2005</v>
      </c>
      <c r="G30" s="3">
        <v>5</v>
      </c>
      <c r="H30" s="3">
        <v>0</v>
      </c>
      <c r="I30" s="3" t="s">
        <v>52</v>
      </c>
      <c r="J30" s="131" t="s">
        <v>855</v>
      </c>
      <c r="K30" s="3">
        <f t="shared" si="0"/>
        <v>2012</v>
      </c>
      <c r="L30" s="130">
        <f t="shared" si="1"/>
        <v>2012.4166666666667</v>
      </c>
      <c r="M30" s="139">
        <v>21609.86</v>
      </c>
      <c r="N30" s="139">
        <f t="shared" si="2"/>
        <v>21609.86</v>
      </c>
      <c r="O30" s="139">
        <f t="shared" si="3"/>
        <v>257.26023809523809</v>
      </c>
      <c r="P30" s="139">
        <f t="shared" si="4"/>
        <v>3087.1228571428574</v>
      </c>
      <c r="Q30" s="139">
        <f>+IF(L30&lt;='2111 Cont, DB'!$N$5,0,IF(K30&gt;'2111 Cont, DB'!$N$4,P30,(O30*G30)))</f>
        <v>0</v>
      </c>
      <c r="R30" s="139"/>
      <c r="S30" s="139">
        <f>+IF(Q30=0,M30,IF('2111 Cont, DB'!$N$3-F30&lt;1,0,(('2111 Cont, DB'!$N$3-F30)*P30)))</f>
        <v>21609.86</v>
      </c>
      <c r="T30" s="139">
        <f t="shared" si="5"/>
        <v>21609.86</v>
      </c>
      <c r="U30" s="139">
        <f t="shared" si="6"/>
        <v>0</v>
      </c>
      <c r="V30" s="139">
        <f t="shared" si="7"/>
        <v>0</v>
      </c>
    </row>
    <row r="31" spans="2:22" ht="16.5" customHeight="1">
      <c r="B31" s="20">
        <v>34413</v>
      </c>
      <c r="D31" s="3">
        <v>432</v>
      </c>
      <c r="E31" s="3" t="s">
        <v>848</v>
      </c>
      <c r="F31" s="3">
        <v>2005</v>
      </c>
      <c r="G31" s="3">
        <v>5</v>
      </c>
      <c r="H31" s="3">
        <v>0</v>
      </c>
      <c r="I31" s="3" t="s">
        <v>52</v>
      </c>
      <c r="J31" s="131" t="s">
        <v>855</v>
      </c>
      <c r="K31" s="3">
        <f t="shared" ref="K31:K62" si="8">F31+J31</f>
        <v>2012</v>
      </c>
      <c r="L31" s="130">
        <f t="shared" ref="L31:L62" si="9">+K31+(G31/12)</f>
        <v>2012.4166666666667</v>
      </c>
      <c r="M31" s="139">
        <v>21609.86</v>
      </c>
      <c r="N31" s="139">
        <f t="shared" ref="N31:N62" si="10">M31-M31*H31</f>
        <v>21609.86</v>
      </c>
      <c r="O31" s="139">
        <f t="shared" ref="O31:O62" si="11">N31/J31/12</f>
        <v>257.26023809523809</v>
      </c>
      <c r="P31" s="139">
        <f t="shared" ref="P31:P62" si="12">+O31*12</f>
        <v>3087.1228571428574</v>
      </c>
      <c r="Q31" s="139">
        <f>+IF(L31&lt;='2111 Cont, DB'!$N$5,0,IF(K31&gt;'2111 Cont, DB'!$N$4,P31,(O31*G31)))</f>
        <v>0</v>
      </c>
      <c r="R31" s="139"/>
      <c r="S31" s="139">
        <f>+IF(Q31=0,M31,IF('2111 Cont, DB'!$N$3-F31&lt;1,0,(('2111 Cont, DB'!$N$3-F31)*P31)))</f>
        <v>21609.86</v>
      </c>
      <c r="T31" s="139">
        <f t="shared" ref="T31:T62" si="13">+IF(Q31=0,S31,S31+Q31)</f>
        <v>21609.86</v>
      </c>
      <c r="U31" s="139">
        <f t="shared" si="6"/>
        <v>0</v>
      </c>
      <c r="V31" s="139">
        <f t="shared" si="7"/>
        <v>0</v>
      </c>
    </row>
    <row r="32" spans="2:22" ht="16.5" customHeight="1">
      <c r="C32" s="20" t="s">
        <v>99</v>
      </c>
      <c r="D32" s="3">
        <v>854</v>
      </c>
      <c r="E32" s="3" t="s">
        <v>119</v>
      </c>
      <c r="F32" s="3">
        <v>2006</v>
      </c>
      <c r="G32" s="3">
        <v>3</v>
      </c>
      <c r="H32" s="3">
        <v>0</v>
      </c>
      <c r="I32" s="3" t="s">
        <v>52</v>
      </c>
      <c r="J32" s="131">
        <v>5</v>
      </c>
      <c r="K32" s="3">
        <f t="shared" si="8"/>
        <v>2011</v>
      </c>
      <c r="L32" s="130">
        <f t="shared" si="9"/>
        <v>2011.25</v>
      </c>
      <c r="M32" s="139">
        <v>47348.1</v>
      </c>
      <c r="N32" s="139">
        <f t="shared" si="10"/>
        <v>47348.1</v>
      </c>
      <c r="O32" s="139">
        <f t="shared" si="11"/>
        <v>789.13499999999988</v>
      </c>
      <c r="P32" s="139">
        <f t="shared" si="12"/>
        <v>9469.619999999999</v>
      </c>
      <c r="Q32" s="139">
        <f t="shared" ref="Q32:Q49" si="14">+IF(L32&lt;=$N$5,0,IF(K32&gt;$N$4,P32,(O32*G32)))</f>
        <v>0</v>
      </c>
      <c r="R32" s="139"/>
      <c r="S32" s="139">
        <f t="shared" ref="S32:S49" si="15">+IF(Q32=0,M32,IF($N$3-F32&lt;1,0,(($N$3-F32)*P32)))</f>
        <v>47348.1</v>
      </c>
      <c r="T32" s="139">
        <f t="shared" si="13"/>
        <v>47348.1</v>
      </c>
      <c r="U32" s="139">
        <f t="shared" si="6"/>
        <v>0</v>
      </c>
      <c r="V32" s="139">
        <f t="shared" si="7"/>
        <v>0</v>
      </c>
    </row>
    <row r="33" spans="2:22" ht="16.5" customHeight="1">
      <c r="C33" s="20" t="s">
        <v>99</v>
      </c>
      <c r="D33" s="3">
        <v>588</v>
      </c>
      <c r="E33" s="3" t="s">
        <v>119</v>
      </c>
      <c r="F33" s="3">
        <v>2006</v>
      </c>
      <c r="G33" s="3">
        <v>7</v>
      </c>
      <c r="H33" s="3">
        <v>0</v>
      </c>
      <c r="I33" s="3" t="s">
        <v>52</v>
      </c>
      <c r="J33" s="131">
        <v>5</v>
      </c>
      <c r="K33" s="3">
        <f t="shared" si="8"/>
        <v>2011</v>
      </c>
      <c r="L33" s="130">
        <f t="shared" si="9"/>
        <v>2011.5833333333333</v>
      </c>
      <c r="M33" s="139">
        <v>35558.019999999997</v>
      </c>
      <c r="N33" s="139">
        <f t="shared" si="10"/>
        <v>35558.019999999997</v>
      </c>
      <c r="O33" s="139">
        <f t="shared" si="11"/>
        <v>592.63366666666661</v>
      </c>
      <c r="P33" s="139">
        <f t="shared" si="12"/>
        <v>7111.6039999999994</v>
      </c>
      <c r="Q33" s="139">
        <f t="shared" si="14"/>
        <v>0</v>
      </c>
      <c r="R33" s="139"/>
      <c r="S33" s="139">
        <f t="shared" si="15"/>
        <v>35558.019999999997</v>
      </c>
      <c r="T33" s="139">
        <f t="shared" si="13"/>
        <v>35558.019999999997</v>
      </c>
      <c r="U33" s="139">
        <f t="shared" si="6"/>
        <v>0</v>
      </c>
      <c r="V33" s="139">
        <f t="shared" si="7"/>
        <v>0</v>
      </c>
    </row>
    <row r="34" spans="2:22" ht="16.5" customHeight="1">
      <c r="C34" s="20" t="s">
        <v>99</v>
      </c>
      <c r="D34" s="3">
        <v>854</v>
      </c>
      <c r="E34" s="3" t="s">
        <v>119</v>
      </c>
      <c r="F34" s="3">
        <v>2006</v>
      </c>
      <c r="G34" s="3">
        <v>8</v>
      </c>
      <c r="H34" s="3">
        <v>0</v>
      </c>
      <c r="I34" s="3" t="s">
        <v>52</v>
      </c>
      <c r="J34" s="131">
        <v>5</v>
      </c>
      <c r="K34" s="3">
        <f t="shared" si="8"/>
        <v>2011</v>
      </c>
      <c r="L34" s="130">
        <f t="shared" si="9"/>
        <v>2011.6666666666667</v>
      </c>
      <c r="M34" s="139">
        <v>35558.019999999997</v>
      </c>
      <c r="N34" s="139">
        <f t="shared" si="10"/>
        <v>35558.019999999997</v>
      </c>
      <c r="O34" s="139">
        <f t="shared" si="11"/>
        <v>592.63366666666661</v>
      </c>
      <c r="P34" s="139">
        <f t="shared" si="12"/>
        <v>7111.6039999999994</v>
      </c>
      <c r="Q34" s="139">
        <f t="shared" si="14"/>
        <v>0</v>
      </c>
      <c r="R34" s="139"/>
      <c r="S34" s="139">
        <f t="shared" si="15"/>
        <v>35558.019999999997</v>
      </c>
      <c r="T34" s="139">
        <f t="shared" si="13"/>
        <v>35558.019999999997</v>
      </c>
      <c r="U34" s="139">
        <f t="shared" si="6"/>
        <v>0</v>
      </c>
      <c r="V34" s="139">
        <f t="shared" si="7"/>
        <v>0</v>
      </c>
    </row>
    <row r="35" spans="2:22" ht="16.5" customHeight="1">
      <c r="C35" s="20" t="s">
        <v>99</v>
      </c>
      <c r="D35" s="3">
        <v>427</v>
      </c>
      <c r="E35" s="3" t="s">
        <v>119</v>
      </c>
      <c r="F35" s="3">
        <v>2006</v>
      </c>
      <c r="G35" s="3">
        <v>10</v>
      </c>
      <c r="H35" s="3">
        <v>0</v>
      </c>
      <c r="I35" s="3" t="s">
        <v>52</v>
      </c>
      <c r="J35" s="131">
        <v>5</v>
      </c>
      <c r="K35" s="3">
        <f t="shared" si="8"/>
        <v>2011</v>
      </c>
      <c r="L35" s="130">
        <f t="shared" si="9"/>
        <v>2011.8333333333333</v>
      </c>
      <c r="M35" s="139">
        <v>23341.42</v>
      </c>
      <c r="N35" s="139">
        <f t="shared" si="10"/>
        <v>23341.42</v>
      </c>
      <c r="O35" s="139">
        <f t="shared" si="11"/>
        <v>389.02366666666666</v>
      </c>
      <c r="P35" s="139">
        <f t="shared" si="12"/>
        <v>4668.2839999999997</v>
      </c>
      <c r="Q35" s="139">
        <f t="shared" si="14"/>
        <v>0</v>
      </c>
      <c r="R35" s="139"/>
      <c r="S35" s="139">
        <f t="shared" si="15"/>
        <v>23341.42</v>
      </c>
      <c r="T35" s="139">
        <f t="shared" si="13"/>
        <v>23341.42</v>
      </c>
      <c r="U35" s="139">
        <f t="shared" si="6"/>
        <v>0</v>
      </c>
      <c r="V35" s="139">
        <f t="shared" si="7"/>
        <v>0</v>
      </c>
    </row>
    <row r="36" spans="2:22" ht="16.5" customHeight="1">
      <c r="B36" s="20" t="s">
        <v>493</v>
      </c>
      <c r="C36" s="20" t="s">
        <v>99</v>
      </c>
      <c r="D36" s="3">
        <f>432+432</f>
        <v>864</v>
      </c>
      <c r="E36" s="3" t="s">
        <v>475</v>
      </c>
      <c r="F36" s="3">
        <v>2006</v>
      </c>
      <c r="G36" s="3">
        <v>5</v>
      </c>
      <c r="H36" s="3">
        <v>0</v>
      </c>
      <c r="I36" s="3" t="s">
        <v>52</v>
      </c>
      <c r="J36" s="131">
        <v>5</v>
      </c>
      <c r="K36" s="3">
        <f t="shared" si="8"/>
        <v>2011</v>
      </c>
      <c r="L36" s="130">
        <f t="shared" si="9"/>
        <v>2011.4166666666667</v>
      </c>
      <c r="M36" s="139">
        <f>23461.41+23284.6</f>
        <v>46746.009999999995</v>
      </c>
      <c r="N36" s="139">
        <f t="shared" si="10"/>
        <v>46746.009999999995</v>
      </c>
      <c r="O36" s="139">
        <f t="shared" si="11"/>
        <v>779.10016666666661</v>
      </c>
      <c r="P36" s="139">
        <f t="shared" si="12"/>
        <v>9349.2019999999993</v>
      </c>
      <c r="Q36" s="139">
        <f t="shared" si="14"/>
        <v>0</v>
      </c>
      <c r="R36" s="139"/>
      <c r="S36" s="139">
        <f t="shared" si="15"/>
        <v>46746.009999999995</v>
      </c>
      <c r="T36" s="139">
        <f t="shared" si="13"/>
        <v>46746.009999999995</v>
      </c>
      <c r="U36" s="139">
        <f t="shared" si="6"/>
        <v>0</v>
      </c>
      <c r="V36" s="139">
        <f t="shared" si="7"/>
        <v>0</v>
      </c>
    </row>
    <row r="37" spans="2:22" ht="16.5" customHeight="1">
      <c r="C37" s="20" t="s">
        <v>99</v>
      </c>
      <c r="D37" s="3">
        <f>432+432</f>
        <v>864</v>
      </c>
      <c r="E37" s="3" t="s">
        <v>475</v>
      </c>
      <c r="F37" s="3">
        <v>2006</v>
      </c>
      <c r="G37" s="3">
        <v>7</v>
      </c>
      <c r="H37" s="3">
        <v>0</v>
      </c>
      <c r="I37" s="3" t="s">
        <v>52</v>
      </c>
      <c r="J37" s="131">
        <v>5</v>
      </c>
      <c r="K37" s="3">
        <f t="shared" si="8"/>
        <v>2011</v>
      </c>
      <c r="L37" s="130">
        <f t="shared" si="9"/>
        <v>2011.5833333333333</v>
      </c>
      <c r="M37" s="139">
        <v>35666.82</v>
      </c>
      <c r="N37" s="139">
        <f t="shared" si="10"/>
        <v>35666.82</v>
      </c>
      <c r="O37" s="139">
        <f t="shared" si="11"/>
        <v>594.447</v>
      </c>
      <c r="P37" s="139">
        <f t="shared" si="12"/>
        <v>7133.3639999999996</v>
      </c>
      <c r="Q37" s="139">
        <f t="shared" si="14"/>
        <v>0</v>
      </c>
      <c r="R37" s="139"/>
      <c r="S37" s="139">
        <f t="shared" si="15"/>
        <v>35666.82</v>
      </c>
      <c r="T37" s="139">
        <f t="shared" si="13"/>
        <v>35666.82</v>
      </c>
      <c r="U37" s="139">
        <f t="shared" si="6"/>
        <v>0</v>
      </c>
      <c r="V37" s="139">
        <f t="shared" si="7"/>
        <v>0</v>
      </c>
    </row>
    <row r="38" spans="2:22" ht="16.5" customHeight="1">
      <c r="C38" s="20" t="s">
        <v>99</v>
      </c>
      <c r="D38" s="3">
        <f>427+427</f>
        <v>854</v>
      </c>
      <c r="E38" s="3" t="s">
        <v>119</v>
      </c>
      <c r="F38" s="3">
        <v>2007</v>
      </c>
      <c r="G38" s="3">
        <v>5</v>
      </c>
      <c r="H38" s="3">
        <v>0</v>
      </c>
      <c r="I38" s="3" t="s">
        <v>52</v>
      </c>
      <c r="J38" s="131">
        <v>5</v>
      </c>
      <c r="K38" s="3">
        <f t="shared" si="8"/>
        <v>2012</v>
      </c>
      <c r="L38" s="130">
        <f t="shared" si="9"/>
        <v>2012.4166666666667</v>
      </c>
      <c r="M38" s="139">
        <f>23353.89+20171.91</f>
        <v>43525.8</v>
      </c>
      <c r="N38" s="139">
        <f t="shared" si="10"/>
        <v>43525.8</v>
      </c>
      <c r="O38" s="139">
        <f t="shared" si="11"/>
        <v>725.43</v>
      </c>
      <c r="P38" s="139">
        <f t="shared" si="12"/>
        <v>8705.16</v>
      </c>
      <c r="Q38" s="139">
        <f t="shared" si="14"/>
        <v>0</v>
      </c>
      <c r="R38" s="139"/>
      <c r="S38" s="139">
        <f t="shared" si="15"/>
        <v>43525.8</v>
      </c>
      <c r="T38" s="139">
        <f t="shared" si="13"/>
        <v>43525.8</v>
      </c>
      <c r="U38" s="139">
        <f t="shared" si="6"/>
        <v>0</v>
      </c>
      <c r="V38" s="139">
        <f t="shared" si="7"/>
        <v>0</v>
      </c>
    </row>
    <row r="39" spans="2:22" ht="16.5" customHeight="1">
      <c r="C39" s="20" t="s">
        <v>99</v>
      </c>
      <c r="D39" s="3">
        <v>486</v>
      </c>
      <c r="E39" s="3" t="s">
        <v>119</v>
      </c>
      <c r="F39" s="3">
        <v>2007</v>
      </c>
      <c r="G39" s="3">
        <v>5</v>
      </c>
      <c r="H39" s="3">
        <v>0</v>
      </c>
      <c r="I39" s="3" t="s">
        <v>52</v>
      </c>
      <c r="J39" s="131">
        <v>5</v>
      </c>
      <c r="K39" s="3">
        <f t="shared" si="8"/>
        <v>2012</v>
      </c>
      <c r="L39" s="130">
        <f t="shared" si="9"/>
        <v>2012.4166666666667</v>
      </c>
      <c r="M39" s="139">
        <v>26554.73</v>
      </c>
      <c r="N39" s="139">
        <f t="shared" si="10"/>
        <v>26554.73</v>
      </c>
      <c r="O39" s="139">
        <f t="shared" si="11"/>
        <v>442.57883333333331</v>
      </c>
      <c r="P39" s="139">
        <f t="shared" si="12"/>
        <v>5310.9459999999999</v>
      </c>
      <c r="Q39" s="139">
        <f t="shared" si="14"/>
        <v>0</v>
      </c>
      <c r="R39" s="139"/>
      <c r="S39" s="139">
        <f t="shared" si="15"/>
        <v>26554.73</v>
      </c>
      <c r="T39" s="139">
        <f t="shared" si="13"/>
        <v>26554.73</v>
      </c>
      <c r="U39" s="139">
        <f t="shared" si="6"/>
        <v>0</v>
      </c>
      <c r="V39" s="139">
        <f t="shared" si="7"/>
        <v>0</v>
      </c>
    </row>
    <row r="40" spans="2:22" ht="16.5" customHeight="1">
      <c r="C40" s="20" t="s">
        <v>99</v>
      </c>
      <c r="D40" s="3">
        <f>427</f>
        <v>427</v>
      </c>
      <c r="E40" s="3" t="s">
        <v>119</v>
      </c>
      <c r="F40" s="3">
        <v>2007</v>
      </c>
      <c r="G40" s="3">
        <v>7</v>
      </c>
      <c r="H40" s="3">
        <v>0</v>
      </c>
      <c r="I40" s="3" t="s">
        <v>52</v>
      </c>
      <c r="J40" s="131">
        <v>5</v>
      </c>
      <c r="K40" s="3">
        <f t="shared" si="8"/>
        <v>2012</v>
      </c>
      <c r="L40" s="130">
        <f t="shared" si="9"/>
        <v>2012.5833333333333</v>
      </c>
      <c r="M40" s="139">
        <f>21898.65</f>
        <v>21898.65</v>
      </c>
      <c r="N40" s="139">
        <f t="shared" si="10"/>
        <v>21898.65</v>
      </c>
      <c r="O40" s="139">
        <f t="shared" si="11"/>
        <v>364.97750000000002</v>
      </c>
      <c r="P40" s="139">
        <f t="shared" si="12"/>
        <v>4379.7300000000005</v>
      </c>
      <c r="Q40" s="139">
        <f t="shared" si="14"/>
        <v>0</v>
      </c>
      <c r="R40" s="139"/>
      <c r="S40" s="139">
        <f t="shared" si="15"/>
        <v>21898.65</v>
      </c>
      <c r="T40" s="139">
        <f t="shared" si="13"/>
        <v>21898.65</v>
      </c>
      <c r="U40" s="139">
        <f t="shared" si="6"/>
        <v>0</v>
      </c>
      <c r="V40" s="139">
        <f t="shared" si="7"/>
        <v>0</v>
      </c>
    </row>
    <row r="41" spans="2:22" ht="16.5" customHeight="1">
      <c r="C41" s="20" t="s">
        <v>99</v>
      </c>
      <c r="D41" s="3">
        <f>486+486</f>
        <v>972</v>
      </c>
      <c r="E41" s="3" t="s">
        <v>119</v>
      </c>
      <c r="F41" s="3">
        <v>2007</v>
      </c>
      <c r="G41" s="3">
        <v>8</v>
      </c>
      <c r="H41" s="3">
        <v>0</v>
      </c>
      <c r="I41" s="3" t="s">
        <v>52</v>
      </c>
      <c r="J41" s="131">
        <v>5</v>
      </c>
      <c r="K41" s="3">
        <f t="shared" si="8"/>
        <v>2012</v>
      </c>
      <c r="L41" s="130">
        <f t="shared" si="9"/>
        <v>2012.6666666666667</v>
      </c>
      <c r="M41" s="139">
        <f>27210.4+27210.4</f>
        <v>54420.800000000003</v>
      </c>
      <c r="N41" s="139">
        <f t="shared" si="10"/>
        <v>54420.800000000003</v>
      </c>
      <c r="O41" s="139">
        <f t="shared" si="11"/>
        <v>907.01333333333332</v>
      </c>
      <c r="P41" s="139">
        <f t="shared" si="12"/>
        <v>10884.16</v>
      </c>
      <c r="Q41" s="139">
        <f t="shared" si="14"/>
        <v>0</v>
      </c>
      <c r="R41" s="139"/>
      <c r="S41" s="139">
        <f t="shared" si="15"/>
        <v>54420.800000000003</v>
      </c>
      <c r="T41" s="139">
        <f t="shared" si="13"/>
        <v>54420.800000000003</v>
      </c>
      <c r="U41" s="139">
        <f t="shared" si="6"/>
        <v>0</v>
      </c>
      <c r="V41" s="139">
        <f t="shared" si="7"/>
        <v>0</v>
      </c>
    </row>
    <row r="42" spans="2:22" ht="16.5" customHeight="1">
      <c r="C42" s="20" t="s">
        <v>99</v>
      </c>
      <c r="D42" s="3">
        <v>486</v>
      </c>
      <c r="E42" s="3" t="s">
        <v>119</v>
      </c>
      <c r="F42" s="3">
        <v>2007</v>
      </c>
      <c r="G42" s="3">
        <v>10</v>
      </c>
      <c r="H42" s="3">
        <v>0</v>
      </c>
      <c r="I42" s="3" t="s">
        <v>52</v>
      </c>
      <c r="J42" s="131">
        <v>5</v>
      </c>
      <c r="K42" s="3">
        <f t="shared" si="8"/>
        <v>2012</v>
      </c>
      <c r="L42" s="130">
        <f t="shared" si="9"/>
        <v>2012.8333333333333</v>
      </c>
      <c r="M42" s="139">
        <v>28267.94</v>
      </c>
      <c r="N42" s="139">
        <f t="shared" si="10"/>
        <v>28267.94</v>
      </c>
      <c r="O42" s="139">
        <f t="shared" si="11"/>
        <v>471.13233333333329</v>
      </c>
      <c r="P42" s="139">
        <f t="shared" si="12"/>
        <v>5653.5879999999997</v>
      </c>
      <c r="Q42" s="139">
        <f t="shared" si="14"/>
        <v>0</v>
      </c>
      <c r="R42" s="139"/>
      <c r="S42" s="139">
        <f t="shared" si="15"/>
        <v>28267.94</v>
      </c>
      <c r="T42" s="139">
        <f t="shared" si="13"/>
        <v>28267.94</v>
      </c>
      <c r="U42" s="139">
        <f t="shared" si="6"/>
        <v>0</v>
      </c>
      <c r="V42" s="139">
        <f t="shared" si="7"/>
        <v>0</v>
      </c>
    </row>
    <row r="43" spans="2:22" ht="16.5" customHeight="1">
      <c r="C43" s="20" t="s">
        <v>99</v>
      </c>
      <c r="D43" s="3">
        <v>427</v>
      </c>
      <c r="E43" s="3" t="s">
        <v>119</v>
      </c>
      <c r="F43" s="3">
        <v>2007</v>
      </c>
      <c r="G43" s="3">
        <v>12</v>
      </c>
      <c r="H43" s="3">
        <v>0</v>
      </c>
      <c r="I43" s="3" t="s">
        <v>52</v>
      </c>
      <c r="J43" s="131">
        <v>5</v>
      </c>
      <c r="K43" s="3">
        <f t="shared" si="8"/>
        <v>2012</v>
      </c>
      <c r="L43" s="130">
        <f t="shared" si="9"/>
        <v>2013</v>
      </c>
      <c r="M43" s="139">
        <v>25797.360000000001</v>
      </c>
      <c r="N43" s="139">
        <f t="shared" si="10"/>
        <v>25797.360000000001</v>
      </c>
      <c r="O43" s="139">
        <f t="shared" si="11"/>
        <v>429.95599999999996</v>
      </c>
      <c r="P43" s="139">
        <f t="shared" si="12"/>
        <v>5159.4719999999998</v>
      </c>
      <c r="Q43" s="139">
        <f t="shared" si="14"/>
        <v>0</v>
      </c>
      <c r="R43" s="139"/>
      <c r="S43" s="139">
        <f t="shared" si="15"/>
        <v>25797.360000000001</v>
      </c>
      <c r="T43" s="139">
        <f t="shared" si="13"/>
        <v>25797.360000000001</v>
      </c>
      <c r="U43" s="139">
        <f t="shared" si="6"/>
        <v>0</v>
      </c>
      <c r="V43" s="139">
        <f t="shared" si="7"/>
        <v>0</v>
      </c>
    </row>
    <row r="44" spans="2:22" ht="16.5" customHeight="1">
      <c r="B44" s="20">
        <v>173240</v>
      </c>
      <c r="C44" s="20" t="s">
        <v>99</v>
      </c>
      <c r="D44" s="3">
        <v>486</v>
      </c>
      <c r="E44" s="3" t="s">
        <v>475</v>
      </c>
      <c r="F44" s="3">
        <v>2007</v>
      </c>
      <c r="G44" s="3">
        <v>5</v>
      </c>
      <c r="H44" s="3">
        <v>0</v>
      </c>
      <c r="I44" s="3" t="s">
        <v>52</v>
      </c>
      <c r="J44" s="131">
        <v>5</v>
      </c>
      <c r="K44" s="3">
        <f t="shared" si="8"/>
        <v>2012</v>
      </c>
      <c r="L44" s="130">
        <f t="shared" si="9"/>
        <v>2012.4166666666667</v>
      </c>
      <c r="M44" s="139">
        <v>26554.73</v>
      </c>
      <c r="N44" s="139">
        <f t="shared" si="10"/>
        <v>26554.73</v>
      </c>
      <c r="O44" s="139">
        <f t="shared" si="11"/>
        <v>442.57883333333331</v>
      </c>
      <c r="P44" s="139">
        <f t="shared" si="12"/>
        <v>5310.9459999999999</v>
      </c>
      <c r="Q44" s="139">
        <f t="shared" si="14"/>
        <v>0</v>
      </c>
      <c r="R44" s="139"/>
      <c r="S44" s="139">
        <f t="shared" si="15"/>
        <v>26554.73</v>
      </c>
      <c r="T44" s="139">
        <f t="shared" si="13"/>
        <v>26554.73</v>
      </c>
      <c r="U44" s="139">
        <f t="shared" si="6"/>
        <v>0</v>
      </c>
      <c r="V44" s="139">
        <f t="shared" si="7"/>
        <v>0</v>
      </c>
    </row>
    <row r="45" spans="2:22" ht="16.5" customHeight="1">
      <c r="C45" s="20" t="s">
        <v>99</v>
      </c>
      <c r="D45" s="3">
        <f>486+486</f>
        <v>972</v>
      </c>
      <c r="E45" s="3" t="s">
        <v>475</v>
      </c>
      <c r="F45" s="3">
        <v>2007</v>
      </c>
      <c r="G45" s="3">
        <v>6</v>
      </c>
      <c r="H45" s="3">
        <v>0</v>
      </c>
      <c r="I45" s="3" t="s">
        <v>52</v>
      </c>
      <c r="J45" s="131">
        <v>5</v>
      </c>
      <c r="K45" s="3">
        <f t="shared" si="8"/>
        <v>2012</v>
      </c>
      <c r="L45" s="130">
        <f t="shared" si="9"/>
        <v>2012.5</v>
      </c>
      <c r="M45" s="139">
        <f>26258.62+26258.62</f>
        <v>52517.24</v>
      </c>
      <c r="N45" s="139">
        <f t="shared" si="10"/>
        <v>52517.24</v>
      </c>
      <c r="O45" s="139">
        <f t="shared" si="11"/>
        <v>875.28733333333332</v>
      </c>
      <c r="P45" s="139">
        <f t="shared" si="12"/>
        <v>10503.448</v>
      </c>
      <c r="Q45" s="139">
        <f t="shared" si="14"/>
        <v>0</v>
      </c>
      <c r="R45" s="139"/>
      <c r="S45" s="139">
        <f t="shared" si="15"/>
        <v>52517.24</v>
      </c>
      <c r="T45" s="139">
        <f t="shared" si="13"/>
        <v>52517.24</v>
      </c>
      <c r="U45" s="139">
        <f t="shared" si="6"/>
        <v>0</v>
      </c>
      <c r="V45" s="139">
        <f t="shared" si="7"/>
        <v>0</v>
      </c>
    </row>
    <row r="46" spans="2:22" ht="16.5" customHeight="1">
      <c r="B46" s="20">
        <v>173245</v>
      </c>
      <c r="C46" s="20" t="s">
        <v>99</v>
      </c>
      <c r="D46" s="3">
        <v>486</v>
      </c>
      <c r="E46" s="3" t="s">
        <v>475</v>
      </c>
      <c r="F46" s="3">
        <v>2007</v>
      </c>
      <c r="G46" s="3">
        <v>7</v>
      </c>
      <c r="H46" s="3">
        <v>0</v>
      </c>
      <c r="I46" s="3" t="s">
        <v>52</v>
      </c>
      <c r="J46" s="131">
        <v>5</v>
      </c>
      <c r="K46" s="3">
        <f t="shared" si="8"/>
        <v>2012</v>
      </c>
      <c r="L46" s="130">
        <f t="shared" si="9"/>
        <v>2012.5833333333333</v>
      </c>
      <c r="M46" s="139">
        <v>24439.65</v>
      </c>
      <c r="N46" s="139">
        <f t="shared" si="10"/>
        <v>24439.65</v>
      </c>
      <c r="O46" s="139">
        <f t="shared" si="11"/>
        <v>407.32750000000004</v>
      </c>
      <c r="P46" s="139">
        <f t="shared" si="12"/>
        <v>4887.93</v>
      </c>
      <c r="Q46" s="139">
        <f t="shared" si="14"/>
        <v>0</v>
      </c>
      <c r="R46" s="139"/>
      <c r="S46" s="139">
        <f t="shared" si="15"/>
        <v>24439.65</v>
      </c>
      <c r="T46" s="139">
        <f t="shared" si="13"/>
        <v>24439.65</v>
      </c>
      <c r="U46" s="139">
        <f t="shared" si="6"/>
        <v>0</v>
      </c>
      <c r="V46" s="139">
        <f t="shared" si="7"/>
        <v>0</v>
      </c>
    </row>
    <row r="47" spans="2:22" ht="16.5" customHeight="1">
      <c r="C47" s="20" t="s">
        <v>99</v>
      </c>
      <c r="D47" s="3">
        <v>427</v>
      </c>
      <c r="E47" s="3" t="s">
        <v>119</v>
      </c>
      <c r="F47" s="3">
        <v>2008</v>
      </c>
      <c r="G47" s="3">
        <v>1</v>
      </c>
      <c r="H47" s="3">
        <v>0</v>
      </c>
      <c r="I47" s="3" t="s">
        <v>52</v>
      </c>
      <c r="J47" s="131">
        <v>5</v>
      </c>
      <c r="K47" s="3">
        <f t="shared" si="8"/>
        <v>2013</v>
      </c>
      <c r="L47" s="130">
        <f t="shared" si="9"/>
        <v>2013.0833333333333</v>
      </c>
      <c r="M47" s="139">
        <v>22067.360000000001</v>
      </c>
      <c r="N47" s="139">
        <f t="shared" si="10"/>
        <v>22067.360000000001</v>
      </c>
      <c r="O47" s="139">
        <f t="shared" si="11"/>
        <v>367.78933333333333</v>
      </c>
      <c r="P47" s="139">
        <f t="shared" si="12"/>
        <v>4413.4719999999998</v>
      </c>
      <c r="Q47" s="139">
        <f t="shared" si="14"/>
        <v>0</v>
      </c>
      <c r="R47" s="139"/>
      <c r="S47" s="139">
        <f t="shared" si="15"/>
        <v>22067.360000000001</v>
      </c>
      <c r="T47" s="139">
        <f t="shared" si="13"/>
        <v>22067.360000000001</v>
      </c>
      <c r="U47" s="139">
        <f t="shared" si="6"/>
        <v>0</v>
      </c>
      <c r="V47" s="139">
        <f t="shared" si="7"/>
        <v>0</v>
      </c>
    </row>
    <row r="48" spans="2:22" ht="16.5" customHeight="1">
      <c r="C48" s="20" t="s">
        <v>99</v>
      </c>
      <c r="D48" s="3">
        <f>486+486</f>
        <v>972</v>
      </c>
      <c r="E48" s="3" t="s">
        <v>119</v>
      </c>
      <c r="F48" s="3">
        <v>2008</v>
      </c>
      <c r="G48" s="3">
        <v>5</v>
      </c>
      <c r="H48" s="3">
        <v>0</v>
      </c>
      <c r="I48" s="3" t="s">
        <v>52</v>
      </c>
      <c r="J48" s="131">
        <v>5</v>
      </c>
      <c r="K48" s="3">
        <f t="shared" si="8"/>
        <v>2013</v>
      </c>
      <c r="L48" s="130">
        <f t="shared" si="9"/>
        <v>2013.4166666666667</v>
      </c>
      <c r="M48" s="139">
        <f>56800.26</f>
        <v>56800.26</v>
      </c>
      <c r="N48" s="139">
        <f t="shared" si="10"/>
        <v>56800.26</v>
      </c>
      <c r="O48" s="139">
        <f t="shared" si="11"/>
        <v>946.67099999999994</v>
      </c>
      <c r="P48" s="139">
        <f t="shared" si="12"/>
        <v>11360.052</v>
      </c>
      <c r="Q48" s="139">
        <f t="shared" si="14"/>
        <v>0</v>
      </c>
      <c r="R48" s="139"/>
      <c r="S48" s="139">
        <f t="shared" si="15"/>
        <v>56800.26</v>
      </c>
      <c r="T48" s="139">
        <f t="shared" si="13"/>
        <v>56800.26</v>
      </c>
      <c r="U48" s="139">
        <f t="shared" si="6"/>
        <v>0</v>
      </c>
      <c r="V48" s="139">
        <f t="shared" si="7"/>
        <v>0</v>
      </c>
    </row>
    <row r="49" spans="2:22" ht="16.5" customHeight="1">
      <c r="B49" s="20" t="s">
        <v>494</v>
      </c>
      <c r="C49" s="20" t="s">
        <v>99</v>
      </c>
      <c r="D49" s="3">
        <f>486+486</f>
        <v>972</v>
      </c>
      <c r="E49" s="3" t="s">
        <v>475</v>
      </c>
      <c r="F49" s="3">
        <v>2008</v>
      </c>
      <c r="G49" s="3">
        <v>8</v>
      </c>
      <c r="H49" s="3">
        <v>0</v>
      </c>
      <c r="I49" s="3" t="s">
        <v>52</v>
      </c>
      <c r="J49" s="131">
        <v>5</v>
      </c>
      <c r="K49" s="3">
        <f t="shared" si="8"/>
        <v>2013</v>
      </c>
      <c r="L49" s="130">
        <f t="shared" si="9"/>
        <v>2013.6666666666667</v>
      </c>
      <c r="M49" s="139">
        <f>28400.13+28400.13</f>
        <v>56800.26</v>
      </c>
      <c r="N49" s="139">
        <f t="shared" si="10"/>
        <v>56800.26</v>
      </c>
      <c r="O49" s="139">
        <f t="shared" si="11"/>
        <v>946.67099999999994</v>
      </c>
      <c r="P49" s="139">
        <f t="shared" si="12"/>
        <v>11360.052</v>
      </c>
      <c r="Q49" s="139">
        <f t="shared" si="14"/>
        <v>0</v>
      </c>
      <c r="R49" s="139"/>
      <c r="S49" s="139">
        <f t="shared" si="15"/>
        <v>56800.26</v>
      </c>
      <c r="T49" s="139">
        <f t="shared" si="13"/>
        <v>56800.26</v>
      </c>
      <c r="U49" s="139">
        <f t="shared" si="6"/>
        <v>0</v>
      </c>
      <c r="V49" s="139">
        <f t="shared" si="7"/>
        <v>0</v>
      </c>
    </row>
    <row r="50" spans="2:22" ht="16.5" customHeight="1">
      <c r="B50" s="20">
        <v>58130</v>
      </c>
      <c r="D50" s="3">
        <v>486</v>
      </c>
      <c r="E50" s="3" t="s">
        <v>849</v>
      </c>
      <c r="F50" s="3">
        <v>2008</v>
      </c>
      <c r="G50" s="3">
        <v>7</v>
      </c>
      <c r="H50" s="3">
        <v>0</v>
      </c>
      <c r="I50" s="3" t="s">
        <v>52</v>
      </c>
      <c r="J50" s="131" t="s">
        <v>855</v>
      </c>
      <c r="K50" s="3">
        <f t="shared" si="8"/>
        <v>2015</v>
      </c>
      <c r="L50" s="130">
        <f t="shared" si="9"/>
        <v>2015.5833333333333</v>
      </c>
      <c r="M50" s="139">
        <v>28400.13</v>
      </c>
      <c r="N50" s="139">
        <f t="shared" si="10"/>
        <v>28400.13</v>
      </c>
      <c r="O50" s="139">
        <f t="shared" si="11"/>
        <v>338.09678571428572</v>
      </c>
      <c r="P50" s="139">
        <f t="shared" si="12"/>
        <v>4057.1614285714286</v>
      </c>
      <c r="Q50" s="139">
        <f>+IF(L50&lt;='2111 Cont, DB'!$N$5,0,IF(K50&gt;'2111 Cont, DB'!$N$4,P50,(O50*G50)))</f>
        <v>0</v>
      </c>
      <c r="R50" s="139"/>
      <c r="S50" s="139">
        <f>+IF(Q50=0,M50,IF('2111 Cont, DB'!$N$3-F50&lt;1,0,(('2111 Cont, DB'!$N$3-F50)*P50)))</f>
        <v>28400.13</v>
      </c>
      <c r="T50" s="139">
        <f t="shared" si="13"/>
        <v>28400.13</v>
      </c>
      <c r="U50" s="139">
        <f t="shared" si="6"/>
        <v>0</v>
      </c>
      <c r="V50" s="139">
        <f t="shared" si="7"/>
        <v>0</v>
      </c>
    </row>
    <row r="51" spans="2:22" ht="16.5" customHeight="1">
      <c r="B51" s="20">
        <v>58184</v>
      </c>
      <c r="D51" s="3">
        <v>486</v>
      </c>
      <c r="E51" s="3" t="s">
        <v>850</v>
      </c>
      <c r="F51" s="3">
        <v>2008</v>
      </c>
      <c r="G51" s="3">
        <v>7</v>
      </c>
      <c r="H51" s="3">
        <v>0</v>
      </c>
      <c r="I51" s="3" t="s">
        <v>52</v>
      </c>
      <c r="J51" s="131" t="s">
        <v>855</v>
      </c>
      <c r="K51" s="3">
        <f t="shared" si="8"/>
        <v>2015</v>
      </c>
      <c r="L51" s="130">
        <f t="shared" si="9"/>
        <v>2015.5833333333333</v>
      </c>
      <c r="M51" s="139">
        <v>28400.13</v>
      </c>
      <c r="N51" s="139">
        <f t="shared" si="10"/>
        <v>28400.13</v>
      </c>
      <c r="O51" s="139">
        <f t="shared" si="11"/>
        <v>338.09678571428572</v>
      </c>
      <c r="P51" s="139">
        <f t="shared" si="12"/>
        <v>4057.1614285714286</v>
      </c>
      <c r="Q51" s="139">
        <f>+IF(L51&lt;='2111 Cont, DB'!$N$5,0,IF(K51&gt;'2111 Cont, DB'!$N$4,P51,(O51*G51)))</f>
        <v>0</v>
      </c>
      <c r="R51" s="139"/>
      <c r="S51" s="139">
        <f>+IF(Q51=0,M51,IF('2111 Cont, DB'!$N$3-F51&lt;1,0,(('2111 Cont, DB'!$N$3-F51)*P51)))</f>
        <v>28400.13</v>
      </c>
      <c r="T51" s="139">
        <f t="shared" si="13"/>
        <v>28400.13</v>
      </c>
      <c r="U51" s="139">
        <f t="shared" si="6"/>
        <v>0</v>
      </c>
      <c r="V51" s="139">
        <f t="shared" si="7"/>
        <v>0</v>
      </c>
    </row>
    <row r="52" spans="2:22" ht="16.5" customHeight="1">
      <c r="C52" s="20" t="s">
        <v>99</v>
      </c>
      <c r="D52" s="3">
        <v>486</v>
      </c>
      <c r="E52" s="3" t="s">
        <v>119</v>
      </c>
      <c r="F52" s="3">
        <v>2009</v>
      </c>
      <c r="G52" s="3">
        <v>5</v>
      </c>
      <c r="H52" s="3">
        <v>0</v>
      </c>
      <c r="I52" s="3" t="s">
        <v>52</v>
      </c>
      <c r="J52" s="131">
        <v>5</v>
      </c>
      <c r="K52" s="3">
        <f t="shared" si="8"/>
        <v>2014</v>
      </c>
      <c r="L52" s="130">
        <f t="shared" si="9"/>
        <v>2014.4166666666667</v>
      </c>
      <c r="M52" s="139">
        <v>23659.56</v>
      </c>
      <c r="N52" s="139">
        <f t="shared" si="10"/>
        <v>23659.56</v>
      </c>
      <c r="O52" s="139">
        <f t="shared" si="11"/>
        <v>394.32600000000002</v>
      </c>
      <c r="P52" s="139">
        <f t="shared" si="12"/>
        <v>4731.9120000000003</v>
      </c>
      <c r="Q52" s="139">
        <f>+IF(L52&lt;=$N$5,0,IF(K52&gt;$N$4,P52,(O52*G52)))</f>
        <v>0</v>
      </c>
      <c r="R52" s="139"/>
      <c r="S52" s="139">
        <f>+IF(Q52=0,M52,IF($N$3-F52&lt;1,0,(($N$3-F52)*P52)))</f>
        <v>23659.56</v>
      </c>
      <c r="T52" s="139">
        <f t="shared" si="13"/>
        <v>23659.56</v>
      </c>
      <c r="U52" s="139">
        <f t="shared" si="6"/>
        <v>0</v>
      </c>
      <c r="V52" s="139">
        <f t="shared" si="7"/>
        <v>0</v>
      </c>
    </row>
    <row r="53" spans="2:22" ht="16.5" customHeight="1">
      <c r="C53" s="20" t="s">
        <v>99</v>
      </c>
      <c r="D53" s="3">
        <v>415</v>
      </c>
      <c r="E53" s="3" t="s">
        <v>119</v>
      </c>
      <c r="F53" s="3">
        <v>2009</v>
      </c>
      <c r="G53" s="3">
        <v>6</v>
      </c>
      <c r="H53" s="3">
        <v>0</v>
      </c>
      <c r="I53" s="3" t="s">
        <v>52</v>
      </c>
      <c r="J53" s="131">
        <v>5</v>
      </c>
      <c r="K53" s="3">
        <f t="shared" si="8"/>
        <v>2014</v>
      </c>
      <c r="L53" s="130">
        <f t="shared" si="9"/>
        <v>2014.5</v>
      </c>
      <c r="M53" s="139">
        <v>20203.11</v>
      </c>
      <c r="N53" s="139">
        <f t="shared" si="10"/>
        <v>20203.11</v>
      </c>
      <c r="O53" s="139">
        <f t="shared" si="11"/>
        <v>336.71850000000001</v>
      </c>
      <c r="P53" s="139">
        <f t="shared" si="12"/>
        <v>4040.6220000000003</v>
      </c>
      <c r="Q53" s="139">
        <f>+IF(L53&lt;=$N$5,0,IF(K53&gt;$N$4,P53,(O53*G53)))</f>
        <v>0</v>
      </c>
      <c r="R53" s="139"/>
      <c r="S53" s="139">
        <f>+IF(Q53=0,M53,IF($N$3-F53&lt;1,0,(($N$3-F53)*P53)))</f>
        <v>20203.11</v>
      </c>
      <c r="T53" s="139">
        <f t="shared" si="13"/>
        <v>20203.11</v>
      </c>
      <c r="U53" s="139">
        <f t="shared" si="6"/>
        <v>0</v>
      </c>
      <c r="V53" s="139">
        <f t="shared" si="7"/>
        <v>0</v>
      </c>
    </row>
    <row r="54" spans="2:22" ht="16.5" customHeight="1">
      <c r="B54" s="20">
        <v>173271</v>
      </c>
      <c r="C54" s="20" t="s">
        <v>99</v>
      </c>
      <c r="D54" s="3">
        <v>624</v>
      </c>
      <c r="E54" s="3" t="s">
        <v>475</v>
      </c>
      <c r="F54" s="3">
        <v>2009</v>
      </c>
      <c r="G54" s="3">
        <v>9</v>
      </c>
      <c r="H54" s="3">
        <v>0</v>
      </c>
      <c r="I54" s="3" t="s">
        <v>52</v>
      </c>
      <c r="J54" s="131">
        <v>5</v>
      </c>
      <c r="K54" s="3">
        <f t="shared" si="8"/>
        <v>2014</v>
      </c>
      <c r="L54" s="130">
        <f t="shared" si="9"/>
        <v>2014.75</v>
      </c>
      <c r="M54" s="139">
        <v>29186.16</v>
      </c>
      <c r="N54" s="139">
        <f t="shared" si="10"/>
        <v>29186.16</v>
      </c>
      <c r="O54" s="139">
        <f t="shared" si="11"/>
        <v>486.43599999999998</v>
      </c>
      <c r="P54" s="139">
        <f t="shared" si="12"/>
        <v>5837.232</v>
      </c>
      <c r="Q54" s="139">
        <f>+IF(L54&lt;=$N$5,0,IF(K54&gt;$N$4,P54,(O54*G54)))</f>
        <v>0</v>
      </c>
      <c r="R54" s="139"/>
      <c r="S54" s="139">
        <f>+IF(Q54=0,M54,IF($N$3-F54&lt;1,0,(($N$3-F54)*P54)))</f>
        <v>29186.16</v>
      </c>
      <c r="T54" s="139">
        <f t="shared" si="13"/>
        <v>29186.16</v>
      </c>
      <c r="U54" s="139">
        <f t="shared" si="6"/>
        <v>0</v>
      </c>
      <c r="V54" s="139">
        <f t="shared" si="7"/>
        <v>0</v>
      </c>
    </row>
    <row r="55" spans="2:22" ht="16.5" customHeight="1">
      <c r="B55" s="20">
        <v>69855</v>
      </c>
      <c r="D55" s="3">
        <v>624</v>
      </c>
      <c r="E55" s="3" t="s">
        <v>851</v>
      </c>
      <c r="F55" s="3">
        <v>2009</v>
      </c>
      <c r="G55" s="3">
        <v>10</v>
      </c>
      <c r="H55" s="3">
        <v>0</v>
      </c>
      <c r="I55" s="3" t="s">
        <v>52</v>
      </c>
      <c r="J55" s="131" t="s">
        <v>855</v>
      </c>
      <c r="K55" s="3">
        <f t="shared" si="8"/>
        <v>2016</v>
      </c>
      <c r="L55" s="130">
        <f t="shared" si="9"/>
        <v>2016.8333333333333</v>
      </c>
      <c r="M55" s="139">
        <v>29186.16</v>
      </c>
      <c r="N55" s="139">
        <f t="shared" si="10"/>
        <v>29186.16</v>
      </c>
      <c r="O55" s="139">
        <f t="shared" si="11"/>
        <v>347.45428571428573</v>
      </c>
      <c r="P55" s="139">
        <f t="shared" si="12"/>
        <v>4169.4514285714286</v>
      </c>
      <c r="Q55" s="139">
        <f>+IF(L55&lt;='2111 Cont, DB'!$N$5,0,IF(K55&gt;'2111 Cont, DB'!$N$4,P55,(O55*G55)))</f>
        <v>0</v>
      </c>
      <c r="R55" s="139"/>
      <c r="S55" s="139">
        <f>+IF(Q55=0,M55,IF('2111 Cont, DB'!$N$3-F55&lt;1,0,(('2111 Cont, DB'!$N$3-F55)*P55)))</f>
        <v>29186.16</v>
      </c>
      <c r="T55" s="139">
        <f t="shared" si="13"/>
        <v>29186.16</v>
      </c>
      <c r="U55" s="139">
        <f t="shared" si="6"/>
        <v>0</v>
      </c>
      <c r="V55" s="139">
        <f t="shared" si="7"/>
        <v>0</v>
      </c>
    </row>
    <row r="56" spans="2:22" ht="16.5" customHeight="1">
      <c r="C56" s="20" t="s">
        <v>99</v>
      </c>
      <c r="D56" s="3">
        <v>486</v>
      </c>
      <c r="E56" s="3" t="s">
        <v>119</v>
      </c>
      <c r="F56" s="3">
        <v>2010</v>
      </c>
      <c r="G56" s="3">
        <v>11</v>
      </c>
      <c r="H56" s="3">
        <v>0</v>
      </c>
      <c r="I56" s="3" t="s">
        <v>52</v>
      </c>
      <c r="J56" s="131">
        <v>7</v>
      </c>
      <c r="K56" s="3">
        <f t="shared" si="8"/>
        <v>2017</v>
      </c>
      <c r="L56" s="130">
        <f t="shared" si="9"/>
        <v>2017.9166666666667</v>
      </c>
      <c r="M56" s="139">
        <v>23872.04</v>
      </c>
      <c r="N56" s="139">
        <f t="shared" si="10"/>
        <v>23872.04</v>
      </c>
      <c r="O56" s="139">
        <f t="shared" si="11"/>
        <v>284.19095238095241</v>
      </c>
      <c r="P56" s="139">
        <f t="shared" si="12"/>
        <v>3410.2914285714287</v>
      </c>
      <c r="Q56" s="139">
        <f>+IF(L56&lt;=$N$5,0,IF(K56&gt;$N$4,P56,(O56*G56)))</f>
        <v>0</v>
      </c>
      <c r="R56" s="139"/>
      <c r="S56" s="139">
        <f>+IF(Q56=0,M56,IF($N$3-F56&lt;1,0,(($N$3-F56)*P56)))</f>
        <v>23872.04</v>
      </c>
      <c r="T56" s="139">
        <f t="shared" si="13"/>
        <v>23872.04</v>
      </c>
      <c r="U56" s="139">
        <f t="shared" si="6"/>
        <v>0</v>
      </c>
      <c r="V56" s="139">
        <f t="shared" si="7"/>
        <v>0</v>
      </c>
    </row>
    <row r="57" spans="2:22" ht="16.5" customHeight="1">
      <c r="B57" s="20">
        <v>173276</v>
      </c>
      <c r="C57" s="20" t="s">
        <v>99</v>
      </c>
      <c r="D57" s="3">
        <v>486</v>
      </c>
      <c r="E57" s="3" t="s">
        <v>475</v>
      </c>
      <c r="F57" s="3">
        <v>2010</v>
      </c>
      <c r="G57" s="3">
        <v>7</v>
      </c>
      <c r="H57" s="3">
        <v>0</v>
      </c>
      <c r="I57" s="3" t="s">
        <v>52</v>
      </c>
      <c r="J57" s="131">
        <v>7</v>
      </c>
      <c r="K57" s="3">
        <f t="shared" si="8"/>
        <v>2017</v>
      </c>
      <c r="L57" s="130">
        <f t="shared" si="9"/>
        <v>2017.5833333333333</v>
      </c>
      <c r="M57" s="139">
        <v>24211.15</v>
      </c>
      <c r="N57" s="139">
        <f t="shared" si="10"/>
        <v>24211.15</v>
      </c>
      <c r="O57" s="139">
        <f t="shared" si="11"/>
        <v>288.22797619047623</v>
      </c>
      <c r="P57" s="139">
        <f t="shared" si="12"/>
        <v>3458.7357142857145</v>
      </c>
      <c r="Q57" s="139">
        <f>+IF(L57&lt;=$N$5,0,IF(K57&gt;$N$4,P57,(O57*G57)))</f>
        <v>0</v>
      </c>
      <c r="R57" s="139"/>
      <c r="S57" s="139">
        <f>+IF(Q57=0,M57,IF($N$3-F57&lt;1,0,(($N$3-F57)*P57)))</f>
        <v>24211.15</v>
      </c>
      <c r="T57" s="139">
        <f t="shared" si="13"/>
        <v>24211.15</v>
      </c>
      <c r="U57" s="139">
        <f t="shared" si="6"/>
        <v>0</v>
      </c>
      <c r="V57" s="139">
        <f t="shared" si="7"/>
        <v>0</v>
      </c>
    </row>
    <row r="58" spans="2:22" ht="16.5" customHeight="1">
      <c r="C58" s="20" t="s">
        <v>99</v>
      </c>
      <c r="D58" s="3">
        <f>486+243</f>
        <v>729</v>
      </c>
      <c r="E58" s="3" t="s">
        <v>195</v>
      </c>
      <c r="F58" s="3">
        <v>2011</v>
      </c>
      <c r="G58" s="3">
        <v>7</v>
      </c>
      <c r="H58" s="3">
        <v>0</v>
      </c>
      <c r="I58" s="3" t="s">
        <v>52</v>
      </c>
      <c r="J58" s="131">
        <v>7</v>
      </c>
      <c r="K58" s="3">
        <f t="shared" si="8"/>
        <v>2018</v>
      </c>
      <c r="L58" s="130">
        <f t="shared" si="9"/>
        <v>2018.5833333333333</v>
      </c>
      <c r="M58" s="139">
        <f>26150.87+13075.44</f>
        <v>39226.31</v>
      </c>
      <c r="N58" s="139">
        <f t="shared" si="10"/>
        <v>39226.31</v>
      </c>
      <c r="O58" s="139">
        <f t="shared" si="11"/>
        <v>466.97988095238094</v>
      </c>
      <c r="P58" s="139">
        <f t="shared" si="12"/>
        <v>5603.7585714285715</v>
      </c>
      <c r="Q58" s="139">
        <f>+IF(L58&lt;=$N$5,0,IF(K58&gt;$N$4,P58,(O58*G58)))</f>
        <v>0</v>
      </c>
      <c r="R58" s="139"/>
      <c r="S58" s="139">
        <f>+IF(Q58=0,M58,IF($N$3-F58&lt;1,0,(($N$3-F58)*P58)))</f>
        <v>39226.31</v>
      </c>
      <c r="T58" s="139">
        <f t="shared" si="13"/>
        <v>39226.31</v>
      </c>
      <c r="U58" s="139">
        <f t="shared" si="6"/>
        <v>0</v>
      </c>
      <c r="V58" s="139">
        <f t="shared" si="7"/>
        <v>0</v>
      </c>
    </row>
    <row r="59" spans="2:22" ht="16.5" customHeight="1">
      <c r="C59" s="20" t="s">
        <v>99</v>
      </c>
      <c r="D59" s="3">
        <v>486</v>
      </c>
      <c r="E59" s="3" t="s">
        <v>195</v>
      </c>
      <c r="F59" s="3">
        <v>2011</v>
      </c>
      <c r="G59" s="3">
        <v>8</v>
      </c>
      <c r="H59" s="3">
        <v>0</v>
      </c>
      <c r="I59" s="3" t="s">
        <v>52</v>
      </c>
      <c r="J59" s="131">
        <v>7</v>
      </c>
      <c r="K59" s="3">
        <f t="shared" si="8"/>
        <v>2018</v>
      </c>
      <c r="L59" s="130">
        <f t="shared" si="9"/>
        <v>2018.6666666666667</v>
      </c>
      <c r="M59" s="139">
        <v>26150.87</v>
      </c>
      <c r="N59" s="139">
        <f t="shared" si="10"/>
        <v>26150.87</v>
      </c>
      <c r="O59" s="139">
        <f t="shared" si="11"/>
        <v>311.31988095238097</v>
      </c>
      <c r="P59" s="139">
        <f t="shared" si="12"/>
        <v>3735.8385714285714</v>
      </c>
      <c r="Q59" s="139">
        <f>+IF(L59&lt;=$N$5,0,IF(K59&gt;$N$4,P59,(O59*G59)))</f>
        <v>0</v>
      </c>
      <c r="R59" s="139"/>
      <c r="S59" s="139">
        <f>+IF(Q59=0,M59,IF($N$3-F59&lt;1,0,(($N$3-F59)*P59)))</f>
        <v>26150.87</v>
      </c>
      <c r="T59" s="139">
        <f t="shared" si="13"/>
        <v>26150.87</v>
      </c>
      <c r="U59" s="139">
        <f t="shared" si="6"/>
        <v>0</v>
      </c>
      <c r="V59" s="139">
        <f t="shared" si="7"/>
        <v>0</v>
      </c>
    </row>
    <row r="60" spans="2:22" ht="16.5" customHeight="1">
      <c r="B60" s="20">
        <v>173282</v>
      </c>
      <c r="C60" s="20" t="s">
        <v>99</v>
      </c>
      <c r="D60" s="3">
        <v>624</v>
      </c>
      <c r="E60" s="3" t="s">
        <v>475</v>
      </c>
      <c r="F60" s="3">
        <v>2011</v>
      </c>
      <c r="G60" s="3">
        <v>4</v>
      </c>
      <c r="H60" s="3">
        <v>0</v>
      </c>
      <c r="I60" s="3" t="s">
        <v>52</v>
      </c>
      <c r="J60" s="131">
        <v>7</v>
      </c>
      <c r="K60" s="3">
        <f t="shared" si="8"/>
        <v>2018</v>
      </c>
      <c r="L60" s="130">
        <f t="shared" si="9"/>
        <v>2018.3333333333333</v>
      </c>
      <c r="M60" s="139">
        <v>32802.68</v>
      </c>
      <c r="N60" s="139">
        <f t="shared" si="10"/>
        <v>32802.68</v>
      </c>
      <c r="O60" s="139">
        <f t="shared" si="11"/>
        <v>390.50809523809522</v>
      </c>
      <c r="P60" s="139">
        <f t="shared" si="12"/>
        <v>4686.0971428571429</v>
      </c>
      <c r="Q60" s="139">
        <f>+IF(L60&lt;=$N$5,0,IF(K60&gt;$N$4,P60,(O60*G60)))</f>
        <v>0</v>
      </c>
      <c r="R60" s="139"/>
      <c r="S60" s="139">
        <f>+IF(Q60=0,M60,IF($N$3-F60&lt;1,0,(($N$3-F60)*P60)))</f>
        <v>32802.68</v>
      </c>
      <c r="T60" s="139">
        <f t="shared" si="13"/>
        <v>32802.68</v>
      </c>
      <c r="U60" s="139">
        <f t="shared" si="6"/>
        <v>0</v>
      </c>
      <c r="V60" s="139">
        <f t="shared" si="7"/>
        <v>0</v>
      </c>
    </row>
    <row r="61" spans="2:22" ht="16.5" customHeight="1">
      <c r="B61" s="20">
        <v>87499</v>
      </c>
      <c r="D61" s="3">
        <v>486</v>
      </c>
      <c r="E61" s="3" t="s">
        <v>836</v>
      </c>
      <c r="F61" s="3">
        <v>2011</v>
      </c>
      <c r="G61" s="3">
        <v>10</v>
      </c>
      <c r="H61" s="3">
        <v>0</v>
      </c>
      <c r="I61" s="3" t="s">
        <v>52</v>
      </c>
      <c r="J61" s="131">
        <v>7</v>
      </c>
      <c r="K61" s="3">
        <f t="shared" si="8"/>
        <v>2018</v>
      </c>
      <c r="L61" s="130">
        <f t="shared" si="9"/>
        <v>2018.8333333333333</v>
      </c>
      <c r="M61" s="139">
        <v>26230.55</v>
      </c>
      <c r="N61" s="139">
        <f t="shared" si="10"/>
        <v>26230.55</v>
      </c>
      <c r="O61" s="139">
        <f t="shared" si="11"/>
        <v>312.2684523809524</v>
      </c>
      <c r="P61" s="139">
        <f t="shared" si="12"/>
        <v>3747.221428571429</v>
      </c>
      <c r="Q61" s="139">
        <f>+IF(L61&lt;='2111 Cont, DB'!$N$5,0,IF(K61&gt;'2111 Cont, DB'!$N$4,P61,(O61*G61)))</f>
        <v>0</v>
      </c>
      <c r="R61" s="139"/>
      <c r="S61" s="139">
        <f>+IF(Q61=0,M61,IF('2111 Cont, DB'!$N$3-F61&lt;1,0,(('2111 Cont, DB'!$N$3-F61)*P61)))</f>
        <v>26230.55</v>
      </c>
      <c r="T61" s="139">
        <f t="shared" si="13"/>
        <v>26230.55</v>
      </c>
      <c r="U61" s="139">
        <f t="shared" si="6"/>
        <v>0</v>
      </c>
      <c r="V61" s="139">
        <f t="shared" si="7"/>
        <v>0</v>
      </c>
    </row>
    <row r="62" spans="2:22" ht="16.5" customHeight="1">
      <c r="B62" s="20">
        <v>104634</v>
      </c>
      <c r="C62" s="20" t="s">
        <v>99</v>
      </c>
      <c r="D62" s="3">
        <v>486</v>
      </c>
      <c r="E62" s="3" t="s">
        <v>119</v>
      </c>
      <c r="F62" s="3">
        <v>2013</v>
      </c>
      <c r="G62" s="3">
        <v>6</v>
      </c>
      <c r="H62" s="3">
        <v>0</v>
      </c>
      <c r="I62" s="3" t="s">
        <v>52</v>
      </c>
      <c r="J62" s="131">
        <v>7</v>
      </c>
      <c r="K62" s="3">
        <f t="shared" si="8"/>
        <v>2020</v>
      </c>
      <c r="L62" s="130">
        <f t="shared" si="9"/>
        <v>2020.5</v>
      </c>
      <c r="M62" s="139">
        <v>26316.799999999999</v>
      </c>
      <c r="N62" s="139">
        <f t="shared" si="10"/>
        <v>26316.799999999999</v>
      </c>
      <c r="O62" s="139">
        <f t="shared" si="11"/>
        <v>313.29523809523806</v>
      </c>
      <c r="P62" s="139">
        <f t="shared" si="12"/>
        <v>3759.5428571428565</v>
      </c>
      <c r="Q62" s="139">
        <f t="shared" ref="Q62:Q69" si="16">+IF(L62&lt;=$N$5,0,IF(K62&gt;$N$4,P62,(O62*G62)))</f>
        <v>0</v>
      </c>
      <c r="R62" s="139"/>
      <c r="S62" s="139">
        <f t="shared" ref="S62:S69" si="17">+IF(Q62=0,M62,IF($N$3-F62&lt;1,0,(($N$3-F62)*P62)))</f>
        <v>26316.799999999999</v>
      </c>
      <c r="T62" s="139">
        <f t="shared" si="13"/>
        <v>26316.799999999999</v>
      </c>
      <c r="U62" s="139">
        <f t="shared" si="6"/>
        <v>0</v>
      </c>
      <c r="V62" s="139">
        <f t="shared" si="7"/>
        <v>0</v>
      </c>
    </row>
    <row r="63" spans="2:22" ht="16.5" customHeight="1">
      <c r="B63" s="20">
        <v>105992</v>
      </c>
      <c r="C63" s="20" t="s">
        <v>99</v>
      </c>
      <c r="D63" s="3">
        <v>486</v>
      </c>
      <c r="E63" s="3" t="s">
        <v>119</v>
      </c>
      <c r="F63" s="3">
        <v>2013</v>
      </c>
      <c r="G63" s="3">
        <v>7</v>
      </c>
      <c r="H63" s="3">
        <v>0</v>
      </c>
      <c r="I63" s="3" t="s">
        <v>52</v>
      </c>
      <c r="J63" s="131">
        <v>7</v>
      </c>
      <c r="K63" s="3">
        <f t="shared" ref="K63:K91" si="18">F63+J63</f>
        <v>2020</v>
      </c>
      <c r="L63" s="130">
        <f t="shared" ref="L63:L91" si="19">+K63+(G63/12)</f>
        <v>2020.5833333333333</v>
      </c>
      <c r="M63" s="139">
        <v>26316.799999999999</v>
      </c>
      <c r="N63" s="139">
        <f t="shared" ref="N63:N91" si="20">M63-M63*H63</f>
        <v>26316.799999999999</v>
      </c>
      <c r="O63" s="139">
        <f t="shared" ref="O63:O91" si="21">N63/J63/12</f>
        <v>313.29523809523806</v>
      </c>
      <c r="P63" s="139">
        <f t="shared" ref="P63:P91" si="22">+O63*12</f>
        <v>3759.5428571428565</v>
      </c>
      <c r="Q63" s="139">
        <f t="shared" si="16"/>
        <v>0</v>
      </c>
      <c r="R63" s="139"/>
      <c r="S63" s="139">
        <f t="shared" si="17"/>
        <v>26316.799999999999</v>
      </c>
      <c r="T63" s="139">
        <f t="shared" ref="T63:T70" si="23">+IF(Q63=0,S63,S63+Q63)</f>
        <v>26316.799999999999</v>
      </c>
      <c r="U63" s="139">
        <f t="shared" si="6"/>
        <v>0</v>
      </c>
      <c r="V63" s="139">
        <f t="shared" si="7"/>
        <v>0</v>
      </c>
    </row>
    <row r="64" spans="2:22" ht="16.5" customHeight="1">
      <c r="B64" s="20">
        <v>107975</v>
      </c>
      <c r="C64" s="20" t="s">
        <v>99</v>
      </c>
      <c r="D64" s="3">
        <v>312</v>
      </c>
      <c r="E64" s="3" t="s">
        <v>119</v>
      </c>
      <c r="F64" s="3">
        <v>2013</v>
      </c>
      <c r="G64" s="3">
        <v>10</v>
      </c>
      <c r="H64" s="3">
        <v>0</v>
      </c>
      <c r="I64" s="3" t="s">
        <v>52</v>
      </c>
      <c r="J64" s="131">
        <v>7</v>
      </c>
      <c r="K64" s="3">
        <f t="shared" si="18"/>
        <v>2020</v>
      </c>
      <c r="L64" s="130">
        <f t="shared" si="19"/>
        <v>2020.8333333333333</v>
      </c>
      <c r="M64" s="139">
        <v>17201.509999999998</v>
      </c>
      <c r="N64" s="139">
        <f t="shared" si="20"/>
        <v>17201.509999999998</v>
      </c>
      <c r="O64" s="139">
        <f t="shared" si="21"/>
        <v>204.77988095238095</v>
      </c>
      <c r="P64" s="139">
        <f t="shared" si="22"/>
        <v>2457.3585714285714</v>
      </c>
      <c r="Q64" s="139">
        <f t="shared" si="16"/>
        <v>0</v>
      </c>
      <c r="R64" s="139"/>
      <c r="S64" s="139">
        <f t="shared" si="17"/>
        <v>17201.509999999998</v>
      </c>
      <c r="T64" s="139">
        <f t="shared" si="23"/>
        <v>17201.509999999998</v>
      </c>
      <c r="U64" s="139">
        <f t="shared" si="6"/>
        <v>0</v>
      </c>
      <c r="V64" s="139">
        <f t="shared" si="7"/>
        <v>0</v>
      </c>
    </row>
    <row r="65" spans="2:22" ht="16.5" customHeight="1">
      <c r="B65" s="20">
        <v>111444</v>
      </c>
      <c r="C65" s="20" t="s">
        <v>99</v>
      </c>
      <c r="D65" s="3">
        <v>624</v>
      </c>
      <c r="E65" s="3" t="s">
        <v>119</v>
      </c>
      <c r="F65" s="3">
        <v>2014</v>
      </c>
      <c r="G65" s="3">
        <v>3</v>
      </c>
      <c r="H65" s="3">
        <v>0</v>
      </c>
      <c r="I65" s="3" t="s">
        <v>52</v>
      </c>
      <c r="J65" s="131">
        <v>7</v>
      </c>
      <c r="K65" s="3">
        <f t="shared" si="18"/>
        <v>2021</v>
      </c>
      <c r="L65" s="130">
        <f t="shared" si="19"/>
        <v>2021.25</v>
      </c>
      <c r="M65" s="139">
        <v>35948.660000000003</v>
      </c>
      <c r="N65" s="139">
        <f t="shared" si="20"/>
        <v>35948.660000000003</v>
      </c>
      <c r="O65" s="139">
        <f t="shared" si="21"/>
        <v>427.96023809523814</v>
      </c>
      <c r="P65" s="139">
        <f t="shared" si="22"/>
        <v>5135.5228571428579</v>
      </c>
      <c r="Q65" s="139">
        <f t="shared" si="16"/>
        <v>0</v>
      </c>
      <c r="R65" s="139"/>
      <c r="S65" s="139">
        <f t="shared" si="17"/>
        <v>35948.660000000003</v>
      </c>
      <c r="T65" s="139">
        <f t="shared" si="23"/>
        <v>35948.660000000003</v>
      </c>
      <c r="U65" s="139">
        <f t="shared" si="6"/>
        <v>0</v>
      </c>
      <c r="V65" s="139">
        <f t="shared" si="7"/>
        <v>0</v>
      </c>
    </row>
    <row r="66" spans="2:22" ht="16.5" customHeight="1">
      <c r="B66" s="20">
        <v>113921</v>
      </c>
      <c r="C66" s="20" t="s">
        <v>99</v>
      </c>
      <c r="D66" s="3">
        <v>486</v>
      </c>
      <c r="E66" s="3" t="s">
        <v>306</v>
      </c>
      <c r="F66" s="3">
        <v>2014</v>
      </c>
      <c r="G66" s="3">
        <v>6</v>
      </c>
      <c r="H66" s="3">
        <v>0</v>
      </c>
      <c r="I66" s="3" t="s">
        <v>52</v>
      </c>
      <c r="J66" s="131">
        <v>7</v>
      </c>
      <c r="K66" s="3">
        <f t="shared" si="18"/>
        <v>2021</v>
      </c>
      <c r="L66" s="130">
        <f t="shared" si="19"/>
        <v>2021.5</v>
      </c>
      <c r="M66" s="139">
        <v>28330.85</v>
      </c>
      <c r="N66" s="139">
        <f t="shared" si="20"/>
        <v>28330.85</v>
      </c>
      <c r="O66" s="139">
        <f t="shared" si="21"/>
        <v>337.27202380952377</v>
      </c>
      <c r="P66" s="139">
        <f t="shared" si="22"/>
        <v>4047.2642857142855</v>
      </c>
      <c r="Q66" s="139">
        <f t="shared" si="16"/>
        <v>0</v>
      </c>
      <c r="R66" s="139"/>
      <c r="S66" s="139">
        <f t="shared" si="17"/>
        <v>28330.85</v>
      </c>
      <c r="T66" s="139">
        <f t="shared" si="23"/>
        <v>28330.85</v>
      </c>
      <c r="U66" s="139">
        <f t="shared" si="6"/>
        <v>0</v>
      </c>
      <c r="V66" s="139">
        <f t="shared" si="7"/>
        <v>0</v>
      </c>
    </row>
    <row r="67" spans="2:22" ht="16.5" customHeight="1">
      <c r="B67" s="20">
        <v>115031</v>
      </c>
      <c r="C67" s="20" t="s">
        <v>99</v>
      </c>
      <c r="D67" s="3">
        <v>486</v>
      </c>
      <c r="E67" s="3" t="s">
        <v>119</v>
      </c>
      <c r="F67" s="3">
        <v>2014</v>
      </c>
      <c r="G67" s="3">
        <v>7</v>
      </c>
      <c r="H67" s="3">
        <v>0</v>
      </c>
      <c r="I67" s="3" t="s">
        <v>52</v>
      </c>
      <c r="J67" s="131">
        <v>7</v>
      </c>
      <c r="K67" s="3">
        <f t="shared" si="18"/>
        <v>2021</v>
      </c>
      <c r="L67" s="130">
        <f t="shared" si="19"/>
        <v>2021.5833333333333</v>
      </c>
      <c r="M67" s="139">
        <v>28330.85</v>
      </c>
      <c r="N67" s="139">
        <f t="shared" si="20"/>
        <v>28330.85</v>
      </c>
      <c r="O67" s="139">
        <f t="shared" si="21"/>
        <v>337.27202380952377</v>
      </c>
      <c r="P67" s="139">
        <f t="shared" si="22"/>
        <v>4047.2642857142855</v>
      </c>
      <c r="Q67" s="139">
        <f t="shared" si="16"/>
        <v>0</v>
      </c>
      <c r="R67" s="139"/>
      <c r="S67" s="139">
        <f t="shared" si="17"/>
        <v>28330.85</v>
      </c>
      <c r="T67" s="139">
        <f t="shared" si="23"/>
        <v>28330.85</v>
      </c>
      <c r="U67" s="139">
        <f t="shared" si="6"/>
        <v>0</v>
      </c>
      <c r="V67" s="139">
        <f t="shared" si="7"/>
        <v>0</v>
      </c>
    </row>
    <row r="68" spans="2:22" ht="16.5" customHeight="1">
      <c r="B68" s="20">
        <v>173302</v>
      </c>
      <c r="C68" s="20" t="s">
        <v>99</v>
      </c>
      <c r="D68" s="3">
        <v>243</v>
      </c>
      <c r="E68" s="3" t="s">
        <v>475</v>
      </c>
      <c r="F68" s="3">
        <v>2014</v>
      </c>
      <c r="G68" s="3">
        <v>4</v>
      </c>
      <c r="H68" s="3">
        <v>0</v>
      </c>
      <c r="I68" s="3" t="s">
        <v>52</v>
      </c>
      <c r="J68" s="131">
        <v>7</v>
      </c>
      <c r="K68" s="3">
        <f t="shared" si="18"/>
        <v>2021</v>
      </c>
      <c r="L68" s="130">
        <f t="shared" si="19"/>
        <v>2021.3333333333333</v>
      </c>
      <c r="M68" s="139">
        <v>13865.54</v>
      </c>
      <c r="N68" s="139">
        <f t="shared" si="20"/>
        <v>13865.54</v>
      </c>
      <c r="O68" s="139">
        <f t="shared" si="21"/>
        <v>165.06595238095238</v>
      </c>
      <c r="P68" s="139">
        <f t="shared" si="22"/>
        <v>1980.7914285714287</v>
      </c>
      <c r="Q68" s="139">
        <f t="shared" si="16"/>
        <v>0</v>
      </c>
      <c r="R68" s="139"/>
      <c r="S68" s="139">
        <f t="shared" si="17"/>
        <v>13865.54</v>
      </c>
      <c r="T68" s="139">
        <f t="shared" si="23"/>
        <v>13865.54</v>
      </c>
      <c r="U68" s="139">
        <f t="shared" si="6"/>
        <v>0</v>
      </c>
      <c r="V68" s="139">
        <f t="shared" si="7"/>
        <v>0</v>
      </c>
    </row>
    <row r="69" spans="2:22" ht="16.5" customHeight="1">
      <c r="B69" s="20">
        <v>173303</v>
      </c>
      <c r="C69" s="20" t="s">
        <v>99</v>
      </c>
      <c r="D69" s="3">
        <v>486</v>
      </c>
      <c r="E69" s="3" t="s">
        <v>475</v>
      </c>
      <c r="F69" s="3">
        <v>2014</v>
      </c>
      <c r="G69" s="3">
        <v>5</v>
      </c>
      <c r="H69" s="3">
        <v>0</v>
      </c>
      <c r="I69" s="3" t="s">
        <v>52</v>
      </c>
      <c r="J69" s="131">
        <v>7</v>
      </c>
      <c r="K69" s="3">
        <f t="shared" si="18"/>
        <v>2021</v>
      </c>
      <c r="L69" s="130">
        <f t="shared" si="19"/>
        <v>2021.4166666666667</v>
      </c>
      <c r="M69" s="139">
        <v>28330.85</v>
      </c>
      <c r="N69" s="139">
        <f t="shared" si="20"/>
        <v>28330.85</v>
      </c>
      <c r="O69" s="139">
        <f t="shared" si="21"/>
        <v>337.27202380952377</v>
      </c>
      <c r="P69" s="139">
        <f t="shared" si="22"/>
        <v>4047.2642857142855</v>
      </c>
      <c r="Q69" s="139">
        <f t="shared" si="16"/>
        <v>0</v>
      </c>
      <c r="R69" s="139"/>
      <c r="S69" s="139">
        <f t="shared" si="17"/>
        <v>28330.85</v>
      </c>
      <c r="T69" s="139">
        <f t="shared" si="23"/>
        <v>28330.85</v>
      </c>
      <c r="U69" s="139">
        <f t="shared" si="6"/>
        <v>0</v>
      </c>
      <c r="V69" s="139">
        <f t="shared" si="7"/>
        <v>0</v>
      </c>
    </row>
    <row r="70" spans="2:22" ht="16.5" customHeight="1">
      <c r="B70" s="20">
        <v>115363</v>
      </c>
      <c r="D70" s="3">
        <v>486</v>
      </c>
      <c r="E70" s="3" t="s">
        <v>852</v>
      </c>
      <c r="F70" s="3">
        <v>2014</v>
      </c>
      <c r="G70" s="3">
        <v>8</v>
      </c>
      <c r="H70" s="3">
        <v>0</v>
      </c>
      <c r="I70" s="3" t="s">
        <v>52</v>
      </c>
      <c r="J70" s="131" t="s">
        <v>855</v>
      </c>
      <c r="K70" s="3">
        <f t="shared" si="18"/>
        <v>2021</v>
      </c>
      <c r="L70" s="130">
        <f t="shared" si="19"/>
        <v>2021.6666666666667</v>
      </c>
      <c r="M70" s="139">
        <v>27665.15</v>
      </c>
      <c r="N70" s="139">
        <f t="shared" si="20"/>
        <v>27665.15</v>
      </c>
      <c r="O70" s="139">
        <f t="shared" si="21"/>
        <v>329.34702380952382</v>
      </c>
      <c r="P70" s="139">
        <f t="shared" si="22"/>
        <v>3952.1642857142861</v>
      </c>
      <c r="Q70" s="139">
        <f>+IF(L70&lt;='2111 Cont, DB'!$N$5,0,IF(K70&gt;'2111 Cont, DB'!$N$4,P70,(O70*G70)))</f>
        <v>0</v>
      </c>
      <c r="R70" s="139"/>
      <c r="S70" s="139">
        <f>+IF(Q70=0,M70,IF('2111 Cont, DB'!$N$3-F70&lt;1,0,(('2111 Cont, DB'!$N$3-F70)*P70)))</f>
        <v>27665.15</v>
      </c>
      <c r="T70" s="139">
        <f t="shared" si="23"/>
        <v>27665.15</v>
      </c>
      <c r="U70" s="139">
        <f t="shared" si="6"/>
        <v>0</v>
      </c>
      <c r="V70" s="139">
        <f t="shared" si="7"/>
        <v>0</v>
      </c>
    </row>
    <row r="71" spans="2:22" ht="16.5" customHeight="1">
      <c r="B71" s="20">
        <v>121001</v>
      </c>
      <c r="C71" s="20" t="s">
        <v>99</v>
      </c>
      <c r="D71" s="3">
        <v>624</v>
      </c>
      <c r="E71" s="3" t="s">
        <v>119</v>
      </c>
      <c r="F71" s="3">
        <v>2015</v>
      </c>
      <c r="G71" s="3">
        <v>2</v>
      </c>
      <c r="H71" s="3">
        <v>0</v>
      </c>
      <c r="I71" s="3" t="s">
        <v>52</v>
      </c>
      <c r="J71" s="131">
        <v>7</v>
      </c>
      <c r="K71" s="3">
        <f t="shared" si="18"/>
        <v>2022</v>
      </c>
      <c r="L71" s="130">
        <f t="shared" si="19"/>
        <v>2022.1666666666667</v>
      </c>
      <c r="M71" s="139">
        <v>34343.910000000003</v>
      </c>
      <c r="N71" s="139">
        <f t="shared" si="20"/>
        <v>34343.910000000003</v>
      </c>
      <c r="O71" s="139">
        <f t="shared" si="21"/>
        <v>408.85607142857151</v>
      </c>
      <c r="P71" s="139">
        <f t="shared" si="22"/>
        <v>4906.2728571428579</v>
      </c>
      <c r="Q71" s="342">
        <f>IF(L71&lt;=$N$6,0,P71)</f>
        <v>0</v>
      </c>
      <c r="R71" s="341"/>
      <c r="S71" s="342">
        <f>+IF($L71&lt;=$N$7,$M71,IF(($F71+($G71/12))&gt;=$N$7,0,((($N71-((($L71-$N$7)*12)*$O71))))))</f>
        <v>34343.910000000003</v>
      </c>
      <c r="T71" s="139">
        <f>IF(L71&lt;=$N$6,M71,Q71+S71)</f>
        <v>34343.910000000003</v>
      </c>
      <c r="U71" s="139">
        <f t="shared" si="6"/>
        <v>0</v>
      </c>
      <c r="V71" s="139">
        <f t="shared" si="7"/>
        <v>0</v>
      </c>
    </row>
    <row r="72" spans="2:22" ht="16.5" customHeight="1">
      <c r="B72" s="20">
        <v>124066</v>
      </c>
      <c r="C72" s="20" t="s">
        <v>99</v>
      </c>
      <c r="D72" s="3">
        <v>624</v>
      </c>
      <c r="E72" s="3" t="s">
        <v>119</v>
      </c>
      <c r="F72" s="3">
        <v>2015</v>
      </c>
      <c r="G72" s="3">
        <v>6</v>
      </c>
      <c r="H72" s="3">
        <v>0</v>
      </c>
      <c r="I72" s="3" t="s">
        <v>52</v>
      </c>
      <c r="J72" s="131">
        <v>7</v>
      </c>
      <c r="K72" s="3">
        <f t="shared" si="18"/>
        <v>2022</v>
      </c>
      <c r="L72" s="130">
        <f t="shared" si="19"/>
        <v>2022.5</v>
      </c>
      <c r="M72" s="139">
        <v>33030.050000000003</v>
      </c>
      <c r="N72" s="139">
        <f t="shared" si="20"/>
        <v>33030.050000000003</v>
      </c>
      <c r="O72" s="139">
        <f t="shared" si="21"/>
        <v>393.21488095238101</v>
      </c>
      <c r="P72" s="139">
        <f t="shared" si="22"/>
        <v>4718.5785714285721</v>
      </c>
      <c r="Q72" s="342">
        <f t="shared" ref="Q72:Q118" si="24">IF(L72&lt;=$N$6,0,P72)</f>
        <v>0</v>
      </c>
      <c r="R72" s="341"/>
      <c r="S72" s="342">
        <f t="shared" ref="S72:S118" si="25">+IF($L72&lt;=$N$7,$M72,IF(($F72+($G72/12))&gt;=$N$7,0,((($N72-((($L72-$N$7)*12)*$O72))))))</f>
        <v>33030.050000000003</v>
      </c>
      <c r="T72" s="139">
        <f t="shared" ref="T72:T118" si="26">IF(L72&lt;=$N$6,M72,Q72+S72)</f>
        <v>33030.050000000003</v>
      </c>
      <c r="U72" s="139">
        <f t="shared" si="6"/>
        <v>0</v>
      </c>
      <c r="V72" s="139">
        <f t="shared" si="7"/>
        <v>0</v>
      </c>
    </row>
    <row r="73" spans="2:22" ht="16.5" customHeight="1">
      <c r="B73" s="20">
        <v>173309</v>
      </c>
      <c r="C73" s="20" t="s">
        <v>99</v>
      </c>
      <c r="D73" s="3">
        <v>348</v>
      </c>
      <c r="E73" s="3" t="s">
        <v>475</v>
      </c>
      <c r="F73" s="3">
        <v>2015</v>
      </c>
      <c r="G73" s="3">
        <v>4</v>
      </c>
      <c r="H73" s="3">
        <v>0</v>
      </c>
      <c r="I73" s="3" t="s">
        <v>52</v>
      </c>
      <c r="J73" s="131">
        <v>7</v>
      </c>
      <c r="K73" s="3">
        <f t="shared" si="18"/>
        <v>2022</v>
      </c>
      <c r="L73" s="130">
        <f t="shared" si="19"/>
        <v>2022.3333333333333</v>
      </c>
      <c r="M73" s="139">
        <v>19406.59</v>
      </c>
      <c r="N73" s="139">
        <f t="shared" si="20"/>
        <v>19406.59</v>
      </c>
      <c r="O73" s="139">
        <f t="shared" si="21"/>
        <v>231.03083333333333</v>
      </c>
      <c r="P73" s="139">
        <f t="shared" si="22"/>
        <v>2772.37</v>
      </c>
      <c r="Q73" s="342">
        <f t="shared" si="24"/>
        <v>0</v>
      </c>
      <c r="R73" s="341"/>
      <c r="S73" s="342">
        <f t="shared" si="25"/>
        <v>19406.59</v>
      </c>
      <c r="T73" s="139">
        <f t="shared" si="26"/>
        <v>19406.59</v>
      </c>
      <c r="U73" s="139">
        <f t="shared" si="6"/>
        <v>0</v>
      </c>
      <c r="V73" s="139">
        <f t="shared" si="7"/>
        <v>0</v>
      </c>
    </row>
    <row r="74" spans="2:22" ht="16.5" customHeight="1">
      <c r="B74" s="20">
        <v>173310</v>
      </c>
      <c r="C74" s="20" t="s">
        <v>99</v>
      </c>
      <c r="D74" s="3">
        <v>486</v>
      </c>
      <c r="E74" s="3" t="s">
        <v>475</v>
      </c>
      <c r="F74" s="3">
        <v>2015</v>
      </c>
      <c r="G74" s="3">
        <v>4</v>
      </c>
      <c r="H74" s="3">
        <v>0</v>
      </c>
      <c r="I74" s="3" t="s">
        <v>52</v>
      </c>
      <c r="J74" s="131">
        <v>7</v>
      </c>
      <c r="K74" s="3">
        <f t="shared" si="18"/>
        <v>2022</v>
      </c>
      <c r="L74" s="130">
        <f t="shared" si="19"/>
        <v>2022.3333333333333</v>
      </c>
      <c r="M74" s="139">
        <v>26191.29</v>
      </c>
      <c r="N74" s="139">
        <f t="shared" si="20"/>
        <v>26191.29</v>
      </c>
      <c r="O74" s="139">
        <f t="shared" si="21"/>
        <v>311.80107142857145</v>
      </c>
      <c r="P74" s="139">
        <f t="shared" si="22"/>
        <v>3741.6128571428571</v>
      </c>
      <c r="Q74" s="342">
        <f t="shared" si="24"/>
        <v>0</v>
      </c>
      <c r="R74" s="341"/>
      <c r="S74" s="342">
        <f t="shared" si="25"/>
        <v>26191.29</v>
      </c>
      <c r="T74" s="139">
        <f t="shared" si="26"/>
        <v>26191.29</v>
      </c>
      <c r="U74" s="139">
        <f t="shared" si="6"/>
        <v>0</v>
      </c>
      <c r="V74" s="139">
        <f t="shared" si="7"/>
        <v>0</v>
      </c>
    </row>
    <row r="75" spans="2:22" ht="16.5" customHeight="1">
      <c r="B75" s="20">
        <v>173314</v>
      </c>
      <c r="C75" s="20" t="s">
        <v>99</v>
      </c>
      <c r="D75" s="3">
        <v>333</v>
      </c>
      <c r="E75" s="3" t="s">
        <v>475</v>
      </c>
      <c r="F75" s="3">
        <v>2015</v>
      </c>
      <c r="G75" s="3">
        <v>11</v>
      </c>
      <c r="H75" s="3">
        <v>0</v>
      </c>
      <c r="I75" s="3" t="s">
        <v>52</v>
      </c>
      <c r="J75" s="131">
        <v>7</v>
      </c>
      <c r="K75" s="3">
        <f t="shared" si="18"/>
        <v>2022</v>
      </c>
      <c r="L75" s="130">
        <f t="shared" si="19"/>
        <v>2022.9166666666667</v>
      </c>
      <c r="M75" s="139">
        <v>19105.13</v>
      </c>
      <c r="N75" s="139">
        <f t="shared" si="20"/>
        <v>19105.13</v>
      </c>
      <c r="O75" s="139">
        <f t="shared" si="21"/>
        <v>227.44202380952382</v>
      </c>
      <c r="P75" s="139">
        <f t="shared" si="22"/>
        <v>2729.3042857142859</v>
      </c>
      <c r="Q75" s="342">
        <f t="shared" si="24"/>
        <v>0</v>
      </c>
      <c r="R75" s="341"/>
      <c r="S75" s="342">
        <f t="shared" si="25"/>
        <v>19105.13</v>
      </c>
      <c r="T75" s="139">
        <f t="shared" si="26"/>
        <v>19105.13</v>
      </c>
      <c r="U75" s="139">
        <f t="shared" si="6"/>
        <v>0</v>
      </c>
      <c r="V75" s="139">
        <f t="shared" si="7"/>
        <v>0</v>
      </c>
    </row>
    <row r="76" spans="2:22" ht="16.5" customHeight="1">
      <c r="B76" s="20">
        <v>130302</v>
      </c>
      <c r="C76" s="20" t="s">
        <v>99</v>
      </c>
      <c r="D76" s="3">
        <v>624</v>
      </c>
      <c r="E76" s="3" t="s">
        <v>306</v>
      </c>
      <c r="F76" s="3">
        <v>2016</v>
      </c>
      <c r="G76" s="3">
        <v>2</v>
      </c>
      <c r="H76" s="3">
        <v>0</v>
      </c>
      <c r="I76" s="3" t="s">
        <v>52</v>
      </c>
      <c r="J76" s="131">
        <v>7</v>
      </c>
      <c r="K76" s="3">
        <f t="shared" si="18"/>
        <v>2023</v>
      </c>
      <c r="L76" s="130">
        <f t="shared" si="19"/>
        <v>2023.1666666666667</v>
      </c>
      <c r="M76" s="139">
        <v>32708.5</v>
      </c>
      <c r="N76" s="139">
        <f t="shared" si="20"/>
        <v>32708.5</v>
      </c>
      <c r="O76" s="139">
        <f t="shared" si="21"/>
        <v>389.38690476190476</v>
      </c>
      <c r="P76" s="139">
        <f t="shared" si="22"/>
        <v>4672.6428571428569</v>
      </c>
      <c r="Q76" s="342">
        <f t="shared" si="24"/>
        <v>0</v>
      </c>
      <c r="R76" s="341"/>
      <c r="S76" s="342">
        <f t="shared" si="25"/>
        <v>32708.5</v>
      </c>
      <c r="T76" s="139">
        <f t="shared" si="26"/>
        <v>32708.5</v>
      </c>
      <c r="U76" s="139">
        <f t="shared" si="6"/>
        <v>0</v>
      </c>
      <c r="V76" s="139">
        <f t="shared" si="7"/>
        <v>0</v>
      </c>
    </row>
    <row r="77" spans="2:22" ht="16.5" customHeight="1">
      <c r="B77" s="20">
        <v>131256</v>
      </c>
      <c r="C77" s="20" t="s">
        <v>99</v>
      </c>
      <c r="D77" s="3">
        <v>624</v>
      </c>
      <c r="E77" s="3" t="s">
        <v>306</v>
      </c>
      <c r="F77" s="3">
        <v>2016</v>
      </c>
      <c r="G77" s="3">
        <v>2</v>
      </c>
      <c r="H77" s="3">
        <v>0</v>
      </c>
      <c r="I77" s="3" t="s">
        <v>52</v>
      </c>
      <c r="J77" s="131">
        <v>7</v>
      </c>
      <c r="K77" s="3">
        <f t="shared" si="18"/>
        <v>2023</v>
      </c>
      <c r="L77" s="130">
        <f t="shared" si="19"/>
        <v>2023.1666666666667</v>
      </c>
      <c r="M77" s="139">
        <v>32025.85</v>
      </c>
      <c r="N77" s="139">
        <f t="shared" si="20"/>
        <v>32025.85</v>
      </c>
      <c r="O77" s="139">
        <f t="shared" si="21"/>
        <v>381.26011904761907</v>
      </c>
      <c r="P77" s="139">
        <f t="shared" si="22"/>
        <v>4575.1214285714286</v>
      </c>
      <c r="Q77" s="342">
        <f t="shared" si="24"/>
        <v>0</v>
      </c>
      <c r="R77" s="341"/>
      <c r="S77" s="342">
        <f t="shared" si="25"/>
        <v>32025.85</v>
      </c>
      <c r="T77" s="139">
        <f t="shared" si="26"/>
        <v>32025.85</v>
      </c>
      <c r="U77" s="139">
        <f t="shared" si="6"/>
        <v>0</v>
      </c>
      <c r="V77" s="139">
        <f t="shared" si="7"/>
        <v>0</v>
      </c>
    </row>
    <row r="78" spans="2:22" ht="16.5" customHeight="1">
      <c r="B78" s="20">
        <v>173316</v>
      </c>
      <c r="C78" s="20" t="s">
        <v>99</v>
      </c>
      <c r="D78" s="3">
        <v>624</v>
      </c>
      <c r="E78" s="3" t="s">
        <v>475</v>
      </c>
      <c r="F78" s="3">
        <v>2016</v>
      </c>
      <c r="G78" s="3">
        <v>1</v>
      </c>
      <c r="H78" s="3">
        <v>0</v>
      </c>
      <c r="I78" s="3" t="s">
        <v>52</v>
      </c>
      <c r="J78" s="131">
        <v>7</v>
      </c>
      <c r="K78" s="3">
        <f t="shared" si="18"/>
        <v>2023</v>
      </c>
      <c r="L78" s="130">
        <f t="shared" si="19"/>
        <v>2023.0833333333333</v>
      </c>
      <c r="M78" s="139">
        <v>31910.84</v>
      </c>
      <c r="N78" s="139">
        <f t="shared" si="20"/>
        <v>31910.84</v>
      </c>
      <c r="O78" s="139">
        <f t="shared" si="21"/>
        <v>379.89095238095234</v>
      </c>
      <c r="P78" s="139">
        <f t="shared" si="22"/>
        <v>4558.6914285714283</v>
      </c>
      <c r="Q78" s="342">
        <f t="shared" si="24"/>
        <v>0</v>
      </c>
      <c r="R78" s="341"/>
      <c r="S78" s="342">
        <f t="shared" si="25"/>
        <v>31910.84</v>
      </c>
      <c r="T78" s="139">
        <f t="shared" si="26"/>
        <v>31910.84</v>
      </c>
      <c r="U78" s="139">
        <f t="shared" ref="U78:U106" si="27">M78-T78</f>
        <v>0</v>
      </c>
      <c r="V78" s="139">
        <f t="shared" ref="V78:V95" si="28">M78-T78</f>
        <v>0</v>
      </c>
    </row>
    <row r="79" spans="2:22" ht="16.5" customHeight="1">
      <c r="B79" s="20">
        <v>173319</v>
      </c>
      <c r="C79" s="20" t="s">
        <v>99</v>
      </c>
      <c r="D79" s="3">
        <v>1053</v>
      </c>
      <c r="E79" s="3" t="s">
        <v>475</v>
      </c>
      <c r="F79" s="3">
        <v>2016</v>
      </c>
      <c r="G79" s="3">
        <v>4</v>
      </c>
      <c r="H79" s="3">
        <v>0</v>
      </c>
      <c r="I79" s="3" t="s">
        <v>52</v>
      </c>
      <c r="J79" s="131">
        <v>7</v>
      </c>
      <c r="K79" s="3">
        <f t="shared" si="18"/>
        <v>2023</v>
      </c>
      <c r="L79" s="130">
        <f t="shared" si="19"/>
        <v>2023.3333333333333</v>
      </c>
      <c r="M79" s="139">
        <v>53440.33</v>
      </c>
      <c r="N79" s="139">
        <f t="shared" si="20"/>
        <v>53440.33</v>
      </c>
      <c r="O79" s="139">
        <f t="shared" si="21"/>
        <v>636.19440476190482</v>
      </c>
      <c r="P79" s="139">
        <f t="shared" si="22"/>
        <v>7634.3328571428574</v>
      </c>
      <c r="Q79" s="342">
        <f t="shared" si="24"/>
        <v>0</v>
      </c>
      <c r="R79" s="341"/>
      <c r="S79" s="342">
        <f t="shared" si="25"/>
        <v>53440.33</v>
      </c>
      <c r="T79" s="139">
        <f t="shared" si="26"/>
        <v>53440.33</v>
      </c>
      <c r="U79" s="139">
        <f t="shared" si="27"/>
        <v>0</v>
      </c>
      <c r="V79" s="139">
        <f t="shared" si="28"/>
        <v>0</v>
      </c>
    </row>
    <row r="80" spans="2:22" ht="16.5" customHeight="1">
      <c r="B80" s="20">
        <v>173320</v>
      </c>
      <c r="C80" s="20" t="s">
        <v>99</v>
      </c>
      <c r="D80" s="3">
        <v>324</v>
      </c>
      <c r="E80" s="3" t="s">
        <v>476</v>
      </c>
      <c r="F80" s="3">
        <v>2016</v>
      </c>
      <c r="G80" s="3">
        <v>4</v>
      </c>
      <c r="H80" s="3">
        <v>0</v>
      </c>
      <c r="I80" s="3" t="s">
        <v>52</v>
      </c>
      <c r="J80" s="131">
        <v>7</v>
      </c>
      <c r="K80" s="3">
        <f t="shared" si="18"/>
        <v>2023</v>
      </c>
      <c r="L80" s="130">
        <f t="shared" si="19"/>
        <v>2023.3333333333333</v>
      </c>
      <c r="M80" s="139">
        <v>12863.21</v>
      </c>
      <c r="N80" s="139">
        <f t="shared" si="20"/>
        <v>12863.21</v>
      </c>
      <c r="O80" s="139">
        <f t="shared" si="21"/>
        <v>153.13345238095238</v>
      </c>
      <c r="P80" s="139">
        <f t="shared" si="22"/>
        <v>1837.6014285714286</v>
      </c>
      <c r="Q80" s="342">
        <f t="shared" si="24"/>
        <v>0</v>
      </c>
      <c r="R80" s="341"/>
      <c r="S80" s="342">
        <f t="shared" si="25"/>
        <v>12863.21</v>
      </c>
      <c r="T80" s="139">
        <f t="shared" si="26"/>
        <v>12863.21</v>
      </c>
      <c r="U80" s="139">
        <f t="shared" si="27"/>
        <v>0</v>
      </c>
      <c r="V80" s="139">
        <f t="shared" si="28"/>
        <v>0</v>
      </c>
    </row>
    <row r="81" spans="2:22" ht="16.5" customHeight="1">
      <c r="B81" s="20">
        <v>173328</v>
      </c>
      <c r="C81" s="20" t="s">
        <v>99</v>
      </c>
      <c r="D81" s="3">
        <v>702</v>
      </c>
      <c r="E81" s="3" t="s">
        <v>475</v>
      </c>
      <c r="F81" s="3">
        <v>2016</v>
      </c>
      <c r="G81" s="3">
        <v>11</v>
      </c>
      <c r="H81" s="3">
        <v>0</v>
      </c>
      <c r="I81" s="3" t="s">
        <v>52</v>
      </c>
      <c r="J81" s="131">
        <v>7</v>
      </c>
      <c r="K81" s="3">
        <f t="shared" si="18"/>
        <v>2023</v>
      </c>
      <c r="L81" s="130">
        <f t="shared" si="19"/>
        <v>2023.9166666666667</v>
      </c>
      <c r="M81" s="139">
        <v>35858.480000000003</v>
      </c>
      <c r="N81" s="139">
        <f t="shared" si="20"/>
        <v>35858.480000000003</v>
      </c>
      <c r="O81" s="139">
        <f t="shared" si="21"/>
        <v>426.88666666666671</v>
      </c>
      <c r="P81" s="139">
        <f t="shared" si="22"/>
        <v>5122.6400000000003</v>
      </c>
      <c r="Q81" s="342">
        <f t="shared" si="24"/>
        <v>0</v>
      </c>
      <c r="R81" s="341"/>
      <c r="S81" s="342">
        <f t="shared" si="25"/>
        <v>35858.480000000003</v>
      </c>
      <c r="T81" s="139">
        <f t="shared" si="26"/>
        <v>35858.480000000003</v>
      </c>
      <c r="U81" s="139">
        <f t="shared" si="27"/>
        <v>0</v>
      </c>
      <c r="V81" s="139">
        <f t="shared" si="28"/>
        <v>0</v>
      </c>
    </row>
    <row r="82" spans="2:22" ht="16.5" customHeight="1">
      <c r="B82" s="20">
        <v>166919</v>
      </c>
      <c r="D82" s="3">
        <v>624</v>
      </c>
      <c r="E82" s="3" t="s">
        <v>853</v>
      </c>
      <c r="F82" s="3">
        <v>2016</v>
      </c>
      <c r="G82" s="3">
        <v>6</v>
      </c>
      <c r="H82" s="3">
        <v>0</v>
      </c>
      <c r="I82" s="3" t="s">
        <v>52</v>
      </c>
      <c r="J82" s="131" t="s">
        <v>855</v>
      </c>
      <c r="K82" s="3">
        <f t="shared" si="18"/>
        <v>2023</v>
      </c>
      <c r="L82" s="130">
        <f t="shared" si="19"/>
        <v>2023.5</v>
      </c>
      <c r="M82" s="139">
        <v>31550.43</v>
      </c>
      <c r="N82" s="139">
        <f t="shared" si="20"/>
        <v>31550.43</v>
      </c>
      <c r="O82" s="139">
        <f t="shared" si="21"/>
        <v>375.60035714285715</v>
      </c>
      <c r="P82" s="139">
        <f t="shared" si="22"/>
        <v>4507.204285714286</v>
      </c>
      <c r="Q82" s="342">
        <f t="shared" si="24"/>
        <v>0</v>
      </c>
      <c r="R82" s="341"/>
      <c r="S82" s="342">
        <f t="shared" si="25"/>
        <v>31550.43</v>
      </c>
      <c r="T82" s="139">
        <f t="shared" si="26"/>
        <v>31550.43</v>
      </c>
      <c r="U82" s="139">
        <f t="shared" si="27"/>
        <v>0</v>
      </c>
      <c r="V82" s="139">
        <f t="shared" si="28"/>
        <v>0</v>
      </c>
    </row>
    <row r="83" spans="2:22" ht="16.5" customHeight="1">
      <c r="B83" s="20">
        <v>169354</v>
      </c>
      <c r="D83" s="3">
        <v>624</v>
      </c>
      <c r="E83" s="3" t="s">
        <v>853</v>
      </c>
      <c r="F83" s="3">
        <v>2016</v>
      </c>
      <c r="G83" s="3">
        <v>8</v>
      </c>
      <c r="H83" s="3">
        <v>0</v>
      </c>
      <c r="I83" s="3" t="s">
        <v>52</v>
      </c>
      <c r="J83" s="131" t="s">
        <v>855</v>
      </c>
      <c r="K83" s="3">
        <f t="shared" si="18"/>
        <v>2023</v>
      </c>
      <c r="L83" s="130">
        <f t="shared" si="19"/>
        <v>2023.6666666666667</v>
      </c>
      <c r="M83" s="139">
        <v>32431.58</v>
      </c>
      <c r="N83" s="139">
        <f t="shared" si="20"/>
        <v>32431.58</v>
      </c>
      <c r="O83" s="139">
        <f t="shared" si="21"/>
        <v>386.09023809523813</v>
      </c>
      <c r="P83" s="139">
        <f t="shared" si="22"/>
        <v>4633.0828571428574</v>
      </c>
      <c r="Q83" s="342">
        <f t="shared" si="24"/>
        <v>0</v>
      </c>
      <c r="R83" s="341"/>
      <c r="S83" s="342">
        <f t="shared" si="25"/>
        <v>32431.58</v>
      </c>
      <c r="T83" s="139">
        <f t="shared" si="26"/>
        <v>32431.58</v>
      </c>
      <c r="U83" s="139">
        <f t="shared" si="27"/>
        <v>0</v>
      </c>
      <c r="V83" s="139">
        <f t="shared" si="28"/>
        <v>0</v>
      </c>
    </row>
    <row r="84" spans="2:22" ht="16.5" customHeight="1">
      <c r="B84" s="20">
        <v>185865</v>
      </c>
      <c r="C84" s="20" t="s">
        <v>99</v>
      </c>
      <c r="D84" s="3">
        <v>702</v>
      </c>
      <c r="E84" s="3" t="s">
        <v>530</v>
      </c>
      <c r="F84" s="3">
        <v>2017</v>
      </c>
      <c r="G84" s="3">
        <v>6</v>
      </c>
      <c r="H84" s="3">
        <v>0</v>
      </c>
      <c r="I84" s="3" t="s">
        <v>52</v>
      </c>
      <c r="J84" s="131">
        <v>7</v>
      </c>
      <c r="K84" s="3">
        <f t="shared" si="18"/>
        <v>2024</v>
      </c>
      <c r="L84" s="130">
        <f t="shared" si="19"/>
        <v>2024.5</v>
      </c>
      <c r="M84" s="139">
        <v>35294.01</v>
      </c>
      <c r="N84" s="139">
        <f t="shared" si="20"/>
        <v>35294.01</v>
      </c>
      <c r="O84" s="139">
        <f t="shared" si="21"/>
        <v>420.16678571428571</v>
      </c>
      <c r="P84" s="139">
        <f t="shared" si="22"/>
        <v>5042.0014285714287</v>
      </c>
      <c r="Q84" s="342">
        <f t="shared" si="24"/>
        <v>0</v>
      </c>
      <c r="R84" s="341"/>
      <c r="S84" s="342">
        <f t="shared" si="25"/>
        <v>34453.676428571045</v>
      </c>
      <c r="T84" s="139">
        <f t="shared" si="26"/>
        <v>35294.01</v>
      </c>
      <c r="U84" s="139">
        <f t="shared" si="27"/>
        <v>0</v>
      </c>
      <c r="V84" s="139">
        <f t="shared" si="28"/>
        <v>0</v>
      </c>
    </row>
    <row r="85" spans="2:22" ht="16.5" customHeight="1">
      <c r="B85" s="20">
        <v>185864</v>
      </c>
      <c r="C85" s="20" t="s">
        <v>99</v>
      </c>
      <c r="D85" s="3">
        <v>702</v>
      </c>
      <c r="E85" s="3" t="s">
        <v>530</v>
      </c>
      <c r="F85" s="3">
        <v>2017</v>
      </c>
      <c r="G85" s="3">
        <v>6</v>
      </c>
      <c r="H85" s="3">
        <v>0</v>
      </c>
      <c r="I85" s="3" t="s">
        <v>52</v>
      </c>
      <c r="J85" s="131">
        <v>7</v>
      </c>
      <c r="K85" s="3">
        <f t="shared" si="18"/>
        <v>2024</v>
      </c>
      <c r="L85" s="130">
        <f t="shared" si="19"/>
        <v>2024.5</v>
      </c>
      <c r="M85" s="139">
        <v>35294.01</v>
      </c>
      <c r="N85" s="139">
        <f t="shared" si="20"/>
        <v>35294.01</v>
      </c>
      <c r="O85" s="139">
        <f t="shared" si="21"/>
        <v>420.16678571428571</v>
      </c>
      <c r="P85" s="139">
        <f t="shared" si="22"/>
        <v>5042.0014285714287</v>
      </c>
      <c r="Q85" s="342">
        <f t="shared" si="24"/>
        <v>0</v>
      </c>
      <c r="R85" s="341"/>
      <c r="S85" s="342">
        <f t="shared" si="25"/>
        <v>34453.676428571045</v>
      </c>
      <c r="T85" s="139">
        <f t="shared" si="26"/>
        <v>35294.01</v>
      </c>
      <c r="U85" s="139">
        <f t="shared" si="27"/>
        <v>0</v>
      </c>
      <c r="V85" s="139">
        <f t="shared" si="28"/>
        <v>0</v>
      </c>
    </row>
    <row r="86" spans="2:22" ht="16.5" customHeight="1">
      <c r="B86" s="20">
        <v>185863</v>
      </c>
      <c r="C86" s="20" t="s">
        <v>99</v>
      </c>
      <c r="D86" s="3">
        <v>702</v>
      </c>
      <c r="E86" s="3" t="s">
        <v>530</v>
      </c>
      <c r="F86" s="3">
        <v>2017</v>
      </c>
      <c r="G86" s="3">
        <v>1</v>
      </c>
      <c r="H86" s="3">
        <v>0</v>
      </c>
      <c r="I86" s="3" t="s">
        <v>52</v>
      </c>
      <c r="J86" s="131">
        <v>7</v>
      </c>
      <c r="K86" s="3">
        <f t="shared" si="18"/>
        <v>2024</v>
      </c>
      <c r="L86" s="130">
        <f t="shared" si="19"/>
        <v>2024.0833333333333</v>
      </c>
      <c r="M86" s="139">
        <v>36186.67</v>
      </c>
      <c r="N86" s="139">
        <f t="shared" si="20"/>
        <v>36186.67</v>
      </c>
      <c r="O86" s="139">
        <f t="shared" si="21"/>
        <v>430.79369047619048</v>
      </c>
      <c r="P86" s="139">
        <f t="shared" si="22"/>
        <v>5169.5242857142857</v>
      </c>
      <c r="Q86" s="342">
        <f t="shared" si="24"/>
        <v>0</v>
      </c>
      <c r="R86" s="341"/>
      <c r="S86" s="342">
        <f t="shared" si="25"/>
        <v>36186.67</v>
      </c>
      <c r="T86" s="139">
        <f t="shared" si="26"/>
        <v>36186.67</v>
      </c>
      <c r="U86" s="139">
        <f t="shared" si="27"/>
        <v>0</v>
      </c>
      <c r="V86" s="139">
        <f t="shared" si="28"/>
        <v>0</v>
      </c>
    </row>
    <row r="87" spans="2:22" ht="16.5" customHeight="1">
      <c r="B87" s="20">
        <v>185862</v>
      </c>
      <c r="C87" s="20" t="s">
        <v>99</v>
      </c>
      <c r="D87" s="3">
        <v>702</v>
      </c>
      <c r="E87" s="3" t="s">
        <v>530</v>
      </c>
      <c r="F87" s="3">
        <v>2017</v>
      </c>
      <c r="G87" s="3">
        <v>1</v>
      </c>
      <c r="H87" s="3">
        <v>0</v>
      </c>
      <c r="I87" s="3" t="s">
        <v>52</v>
      </c>
      <c r="J87" s="131">
        <v>7</v>
      </c>
      <c r="K87" s="3">
        <f t="shared" si="18"/>
        <v>2024</v>
      </c>
      <c r="L87" s="130">
        <f t="shared" si="19"/>
        <v>2024.0833333333333</v>
      </c>
      <c r="M87" s="139">
        <v>36186.67</v>
      </c>
      <c r="N87" s="139">
        <f t="shared" si="20"/>
        <v>36186.67</v>
      </c>
      <c r="O87" s="139">
        <f t="shared" si="21"/>
        <v>430.79369047619048</v>
      </c>
      <c r="P87" s="139">
        <f t="shared" si="22"/>
        <v>5169.5242857142857</v>
      </c>
      <c r="Q87" s="342">
        <f t="shared" si="24"/>
        <v>0</v>
      </c>
      <c r="R87" s="341"/>
      <c r="S87" s="342">
        <f t="shared" si="25"/>
        <v>36186.67</v>
      </c>
      <c r="T87" s="139">
        <f t="shared" si="26"/>
        <v>36186.67</v>
      </c>
      <c r="U87" s="139">
        <f t="shared" si="27"/>
        <v>0</v>
      </c>
      <c r="V87" s="139">
        <f t="shared" si="28"/>
        <v>0</v>
      </c>
    </row>
    <row r="88" spans="2:22" ht="16.5" customHeight="1">
      <c r="B88" s="20">
        <v>196666</v>
      </c>
      <c r="C88" s="20" t="s">
        <v>99</v>
      </c>
      <c r="D88" s="3">
        <v>624</v>
      </c>
      <c r="E88" s="3" t="s">
        <v>529</v>
      </c>
      <c r="F88" s="3">
        <v>2018</v>
      </c>
      <c r="G88" s="3">
        <v>3</v>
      </c>
      <c r="H88" s="3">
        <v>0</v>
      </c>
      <c r="I88" s="3" t="s">
        <v>52</v>
      </c>
      <c r="J88" s="131">
        <v>7</v>
      </c>
      <c r="K88" s="3">
        <f t="shared" si="18"/>
        <v>2025</v>
      </c>
      <c r="L88" s="130">
        <f t="shared" si="19"/>
        <v>2025.25</v>
      </c>
      <c r="M88" s="139">
        <v>32931.01</v>
      </c>
      <c r="N88" s="139">
        <f t="shared" si="20"/>
        <v>32931.01</v>
      </c>
      <c r="O88" s="139">
        <f t="shared" si="21"/>
        <v>392.03583333333336</v>
      </c>
      <c r="P88" s="139">
        <f t="shared" si="22"/>
        <v>4704.43</v>
      </c>
      <c r="Q88" s="342">
        <f t="shared" si="24"/>
        <v>0</v>
      </c>
      <c r="R88" s="341"/>
      <c r="S88" s="342">
        <f t="shared" si="25"/>
        <v>28618.61583333298</v>
      </c>
      <c r="T88" s="139">
        <f t="shared" si="26"/>
        <v>32931.01</v>
      </c>
      <c r="U88" s="139">
        <f t="shared" si="27"/>
        <v>0</v>
      </c>
      <c r="V88" s="139">
        <f t="shared" si="28"/>
        <v>0</v>
      </c>
    </row>
    <row r="89" spans="2:22" ht="16.5" customHeight="1">
      <c r="B89" s="20">
        <v>196665</v>
      </c>
      <c r="C89" s="20" t="s">
        <v>99</v>
      </c>
      <c r="D89" s="3">
        <v>624</v>
      </c>
      <c r="E89" s="3" t="s">
        <v>529</v>
      </c>
      <c r="F89" s="3">
        <v>2018</v>
      </c>
      <c r="G89" s="3">
        <v>4</v>
      </c>
      <c r="H89" s="3">
        <v>0</v>
      </c>
      <c r="I89" s="3" t="s">
        <v>52</v>
      </c>
      <c r="J89" s="131">
        <v>7</v>
      </c>
      <c r="K89" s="3">
        <f t="shared" si="18"/>
        <v>2025</v>
      </c>
      <c r="L89" s="130">
        <f t="shared" si="19"/>
        <v>2025.3333333333333</v>
      </c>
      <c r="M89" s="139">
        <v>32912.57</v>
      </c>
      <c r="N89" s="139">
        <f t="shared" si="20"/>
        <v>32912.57</v>
      </c>
      <c r="O89" s="139">
        <f t="shared" si="21"/>
        <v>391.81630952380948</v>
      </c>
      <c r="P89" s="139">
        <f t="shared" si="22"/>
        <v>4701.795714285714</v>
      </c>
      <c r="Q89" s="342">
        <f t="shared" si="24"/>
        <v>4701.795714285714</v>
      </c>
      <c r="R89" s="341"/>
      <c r="S89" s="342">
        <f t="shared" si="25"/>
        <v>28210.774285714288</v>
      </c>
      <c r="T89" s="139">
        <f t="shared" si="26"/>
        <v>32912.57</v>
      </c>
      <c r="U89" s="139">
        <f t="shared" si="27"/>
        <v>0</v>
      </c>
      <c r="V89" s="139">
        <f t="shared" si="28"/>
        <v>0</v>
      </c>
    </row>
    <row r="90" spans="2:22" ht="16.5" customHeight="1">
      <c r="B90" s="20">
        <v>196664</v>
      </c>
      <c r="C90" s="20" t="s">
        <v>99</v>
      </c>
      <c r="D90" s="3">
        <v>624</v>
      </c>
      <c r="E90" s="3" t="s">
        <v>529</v>
      </c>
      <c r="F90" s="3">
        <v>2018</v>
      </c>
      <c r="G90" s="3">
        <v>4</v>
      </c>
      <c r="H90" s="3">
        <v>0</v>
      </c>
      <c r="I90" s="3" t="s">
        <v>52</v>
      </c>
      <c r="J90" s="131">
        <v>7</v>
      </c>
      <c r="K90" s="3">
        <f t="shared" si="18"/>
        <v>2025</v>
      </c>
      <c r="L90" s="130">
        <f t="shared" si="19"/>
        <v>2025.3333333333333</v>
      </c>
      <c r="M90" s="139">
        <v>32912.57</v>
      </c>
      <c r="N90" s="139">
        <f t="shared" si="20"/>
        <v>32912.57</v>
      </c>
      <c r="O90" s="139">
        <f t="shared" si="21"/>
        <v>391.81630952380948</v>
      </c>
      <c r="P90" s="139">
        <f t="shared" si="22"/>
        <v>4701.795714285714</v>
      </c>
      <c r="Q90" s="342">
        <f t="shared" si="24"/>
        <v>4701.795714285714</v>
      </c>
      <c r="R90" s="341"/>
      <c r="S90" s="342">
        <f t="shared" si="25"/>
        <v>28210.774285714288</v>
      </c>
      <c r="T90" s="139">
        <f t="shared" si="26"/>
        <v>32912.57</v>
      </c>
      <c r="U90" s="139">
        <f t="shared" si="27"/>
        <v>0</v>
      </c>
      <c r="V90" s="139">
        <f t="shared" si="28"/>
        <v>0</v>
      </c>
    </row>
    <row r="91" spans="2:22" ht="16.5" customHeight="1">
      <c r="B91" s="20">
        <v>196546</v>
      </c>
      <c r="C91" s="20" t="s">
        <v>99</v>
      </c>
      <c r="D91" s="3">
        <v>312</v>
      </c>
      <c r="E91" s="3" t="s">
        <v>551</v>
      </c>
      <c r="F91" s="3">
        <v>2018</v>
      </c>
      <c r="G91" s="3">
        <v>3</v>
      </c>
      <c r="H91" s="3">
        <v>0</v>
      </c>
      <c r="I91" s="3" t="s">
        <v>52</v>
      </c>
      <c r="J91" s="131">
        <v>7</v>
      </c>
      <c r="K91" s="3">
        <f t="shared" si="18"/>
        <v>2025</v>
      </c>
      <c r="L91" s="130">
        <f t="shared" si="19"/>
        <v>2025.25</v>
      </c>
      <c r="M91" s="139">
        <v>16631.830000000002</v>
      </c>
      <c r="N91" s="139">
        <f t="shared" si="20"/>
        <v>16631.830000000002</v>
      </c>
      <c r="O91" s="139">
        <f t="shared" si="21"/>
        <v>197.99797619047624</v>
      </c>
      <c r="P91" s="139">
        <f t="shared" si="22"/>
        <v>2375.9757142857147</v>
      </c>
      <c r="Q91" s="342">
        <f t="shared" si="24"/>
        <v>0</v>
      </c>
      <c r="R91" s="341"/>
      <c r="S91" s="342">
        <f t="shared" si="25"/>
        <v>14453.852261904583</v>
      </c>
      <c r="T91" s="139">
        <f t="shared" si="26"/>
        <v>16631.830000000002</v>
      </c>
      <c r="U91" s="139">
        <f t="shared" si="27"/>
        <v>0</v>
      </c>
      <c r="V91" s="139">
        <f t="shared" si="28"/>
        <v>0</v>
      </c>
    </row>
    <row r="92" spans="2:22" ht="16.5" customHeight="1">
      <c r="B92" s="20">
        <v>203608</v>
      </c>
      <c r="D92" s="20">
        <v>624</v>
      </c>
      <c r="E92" s="3" t="s">
        <v>899</v>
      </c>
      <c r="F92" s="3">
        <v>2018</v>
      </c>
      <c r="G92" s="3">
        <v>7</v>
      </c>
      <c r="H92" s="3">
        <v>0</v>
      </c>
      <c r="I92" s="3" t="s">
        <v>52</v>
      </c>
      <c r="J92" s="131">
        <v>7</v>
      </c>
      <c r="K92" s="3">
        <f t="shared" ref="K92:K101" si="29">F92+J92</f>
        <v>2025</v>
      </c>
      <c r="L92" s="130">
        <f t="shared" ref="L92:L101" si="30">+K92+(G92/12)</f>
        <v>2025.5833333333333</v>
      </c>
      <c r="M92" s="139">
        <v>33831.370000000003</v>
      </c>
      <c r="N92" s="139">
        <f t="shared" ref="N92:N101" si="31">M92-M92*H92</f>
        <v>33831.370000000003</v>
      </c>
      <c r="O92" s="139">
        <f t="shared" ref="O92:O101" si="32">N92/J92/12</f>
        <v>402.75440476190482</v>
      </c>
      <c r="P92" s="139">
        <f t="shared" ref="P92:P101" si="33">+O92*12</f>
        <v>4833.0528571428576</v>
      </c>
      <c r="Q92" s="342">
        <f t="shared" si="24"/>
        <v>4833.0528571428576</v>
      </c>
      <c r="R92" s="341"/>
      <c r="S92" s="342">
        <f t="shared" si="25"/>
        <v>27790.053928571429</v>
      </c>
      <c r="T92" s="139">
        <f t="shared" si="26"/>
        <v>32623.106785714288</v>
      </c>
      <c r="U92" s="139">
        <f t="shared" si="27"/>
        <v>1208.2632142857146</v>
      </c>
      <c r="V92" s="139">
        <f t="shared" si="28"/>
        <v>1208.2632142857146</v>
      </c>
    </row>
    <row r="93" spans="2:22" ht="16.5" customHeight="1">
      <c r="B93" s="20">
        <v>203607</v>
      </c>
      <c r="D93" s="20">
        <v>312</v>
      </c>
      <c r="E93" s="3" t="s">
        <v>900</v>
      </c>
      <c r="F93" s="3">
        <v>2018</v>
      </c>
      <c r="G93" s="3">
        <v>7</v>
      </c>
      <c r="H93" s="3">
        <v>0</v>
      </c>
      <c r="I93" s="3" t="s">
        <v>52</v>
      </c>
      <c r="J93" s="131">
        <v>7</v>
      </c>
      <c r="K93" s="3">
        <f t="shared" si="29"/>
        <v>2025</v>
      </c>
      <c r="L93" s="130">
        <f t="shared" si="30"/>
        <v>2025.5833333333333</v>
      </c>
      <c r="M93" s="139">
        <v>16915.689999999999</v>
      </c>
      <c r="N93" s="139">
        <f t="shared" si="31"/>
        <v>16915.689999999999</v>
      </c>
      <c r="O93" s="139">
        <f t="shared" si="32"/>
        <v>201.37726190476189</v>
      </c>
      <c r="P93" s="139">
        <f t="shared" si="33"/>
        <v>2416.5271428571427</v>
      </c>
      <c r="Q93" s="342">
        <f t="shared" si="24"/>
        <v>2416.5271428571427</v>
      </c>
      <c r="R93" s="341"/>
      <c r="S93" s="342">
        <f t="shared" si="25"/>
        <v>13895.03107142857</v>
      </c>
      <c r="T93" s="139">
        <f t="shared" si="26"/>
        <v>16311.558214285713</v>
      </c>
      <c r="U93" s="139">
        <f t="shared" si="27"/>
        <v>604.1317857142858</v>
      </c>
      <c r="V93" s="139">
        <f t="shared" si="28"/>
        <v>604.1317857142858</v>
      </c>
    </row>
    <row r="94" spans="2:22" ht="16.5" customHeight="1">
      <c r="B94" s="20">
        <v>201171</v>
      </c>
      <c r="D94" s="20">
        <v>624</v>
      </c>
      <c r="E94" s="3" t="s">
        <v>899</v>
      </c>
      <c r="F94" s="3">
        <v>2018</v>
      </c>
      <c r="G94" s="3">
        <v>6</v>
      </c>
      <c r="H94" s="3">
        <v>0</v>
      </c>
      <c r="I94" s="3" t="s">
        <v>52</v>
      </c>
      <c r="J94" s="131">
        <v>7</v>
      </c>
      <c r="K94" s="3">
        <f t="shared" si="29"/>
        <v>2025</v>
      </c>
      <c r="L94" s="130">
        <f t="shared" si="30"/>
        <v>2025.5</v>
      </c>
      <c r="M94" s="139">
        <v>33629.03</v>
      </c>
      <c r="N94" s="139">
        <f t="shared" si="31"/>
        <v>33629.03</v>
      </c>
      <c r="O94" s="139">
        <f t="shared" si="32"/>
        <v>400.34559523809526</v>
      </c>
      <c r="P94" s="139">
        <f t="shared" si="33"/>
        <v>4804.1471428571431</v>
      </c>
      <c r="Q94" s="342">
        <f t="shared" si="24"/>
        <v>4804.1471428571431</v>
      </c>
      <c r="R94" s="341"/>
      <c r="S94" s="342">
        <f t="shared" si="25"/>
        <v>28024.191666666302</v>
      </c>
      <c r="T94" s="139">
        <f t="shared" si="26"/>
        <v>32828.338809523448</v>
      </c>
      <c r="U94" s="139">
        <f t="shared" si="27"/>
        <v>800.69119047655113</v>
      </c>
      <c r="V94" s="139">
        <f t="shared" si="28"/>
        <v>800.69119047655113</v>
      </c>
    </row>
    <row r="95" spans="2:22" ht="16.5" customHeight="1">
      <c r="B95" s="20">
        <v>201170</v>
      </c>
      <c r="D95" s="20">
        <v>624</v>
      </c>
      <c r="E95" s="3" t="s">
        <v>904</v>
      </c>
      <c r="F95" s="3">
        <v>2018</v>
      </c>
      <c r="G95" s="3">
        <v>6</v>
      </c>
      <c r="H95" s="3">
        <v>0</v>
      </c>
      <c r="I95" s="3" t="s">
        <v>52</v>
      </c>
      <c r="J95" s="131">
        <v>7</v>
      </c>
      <c r="K95" s="3">
        <f t="shared" si="29"/>
        <v>2025</v>
      </c>
      <c r="L95" s="130">
        <f t="shared" si="30"/>
        <v>2025.5</v>
      </c>
      <c r="M95" s="139">
        <v>34685.120000000003</v>
      </c>
      <c r="N95" s="139">
        <f t="shared" si="31"/>
        <v>34685.120000000003</v>
      </c>
      <c r="O95" s="139">
        <f t="shared" si="32"/>
        <v>412.91809523809525</v>
      </c>
      <c r="P95" s="139">
        <f t="shared" si="33"/>
        <v>4955.017142857143</v>
      </c>
      <c r="Q95" s="342">
        <f t="shared" si="24"/>
        <v>4955.017142857143</v>
      </c>
      <c r="R95" s="341"/>
      <c r="S95" s="342">
        <f t="shared" si="25"/>
        <v>28904.266666666292</v>
      </c>
      <c r="T95" s="139">
        <f t="shared" si="26"/>
        <v>33859.283809523433</v>
      </c>
      <c r="U95" s="139">
        <f t="shared" si="27"/>
        <v>825.83619047656975</v>
      </c>
      <c r="V95" s="139">
        <f t="shared" si="28"/>
        <v>825.83619047656975</v>
      </c>
    </row>
    <row r="96" spans="2:22" ht="16.5" customHeight="1">
      <c r="B96" s="3">
        <v>212877</v>
      </c>
      <c r="D96" s="20">
        <v>624</v>
      </c>
      <c r="E96" s="3" t="s">
        <v>899</v>
      </c>
      <c r="F96" s="3">
        <v>2019</v>
      </c>
      <c r="G96" s="3">
        <v>3</v>
      </c>
      <c r="H96" s="3">
        <v>0</v>
      </c>
      <c r="I96" s="3" t="s">
        <v>52</v>
      </c>
      <c r="J96" s="131">
        <v>7</v>
      </c>
      <c r="K96" s="3">
        <f t="shared" si="29"/>
        <v>2026</v>
      </c>
      <c r="L96" s="130">
        <f t="shared" si="30"/>
        <v>2026.25</v>
      </c>
      <c r="M96" s="139">
        <v>32121.81</v>
      </c>
      <c r="N96" s="139">
        <f t="shared" si="31"/>
        <v>32121.81</v>
      </c>
      <c r="O96" s="139">
        <f t="shared" si="32"/>
        <v>382.40249999999997</v>
      </c>
      <c r="P96" s="139">
        <f t="shared" si="33"/>
        <v>4588.83</v>
      </c>
      <c r="Q96" s="342">
        <f t="shared" si="24"/>
        <v>4588.83</v>
      </c>
      <c r="R96" s="341"/>
      <c r="S96" s="342">
        <f t="shared" si="25"/>
        <v>23326.552499999656</v>
      </c>
      <c r="T96" s="139">
        <f t="shared" si="26"/>
        <v>27915.382499999658</v>
      </c>
      <c r="U96" s="139">
        <f t="shared" si="27"/>
        <v>4206.4275000003436</v>
      </c>
      <c r="V96" s="139">
        <f t="shared" ref="V96:V118" si="34">M96-T96</f>
        <v>4206.4275000003436</v>
      </c>
    </row>
    <row r="97" spans="2:22" ht="16.5" customHeight="1">
      <c r="B97" s="3">
        <v>216710</v>
      </c>
      <c r="D97" s="20">
        <v>312</v>
      </c>
      <c r="E97" s="3" t="s">
        <v>899</v>
      </c>
      <c r="F97" s="3">
        <v>2019</v>
      </c>
      <c r="G97" s="3">
        <v>4</v>
      </c>
      <c r="H97" s="3">
        <v>0</v>
      </c>
      <c r="I97" s="3" t="s">
        <v>52</v>
      </c>
      <c r="J97" s="131">
        <v>7</v>
      </c>
      <c r="K97" s="3">
        <f t="shared" si="29"/>
        <v>2026</v>
      </c>
      <c r="L97" s="130">
        <f t="shared" si="30"/>
        <v>2026.3333333333333</v>
      </c>
      <c r="M97" s="139">
        <v>15782.15</v>
      </c>
      <c r="N97" s="139">
        <f t="shared" si="31"/>
        <v>15782.15</v>
      </c>
      <c r="O97" s="139">
        <f t="shared" si="32"/>
        <v>187.8827380952381</v>
      </c>
      <c r="P97" s="139">
        <f t="shared" si="33"/>
        <v>2254.5928571428572</v>
      </c>
      <c r="Q97" s="342">
        <f t="shared" si="24"/>
        <v>2254.5928571428572</v>
      </c>
      <c r="R97" s="341"/>
      <c r="S97" s="342">
        <f t="shared" si="25"/>
        <v>11272.964285714286</v>
      </c>
      <c r="T97" s="139">
        <f t="shared" si="26"/>
        <v>13527.557142857144</v>
      </c>
      <c r="U97" s="139">
        <f t="shared" si="27"/>
        <v>2254.5928571428558</v>
      </c>
      <c r="V97" s="139">
        <f t="shared" si="34"/>
        <v>2254.5928571428558</v>
      </c>
    </row>
    <row r="98" spans="2:22" ht="16.5" customHeight="1">
      <c r="B98" s="3">
        <v>217868</v>
      </c>
      <c r="D98" s="20">
        <v>182</v>
      </c>
      <c r="E98" s="3" t="s">
        <v>899</v>
      </c>
      <c r="F98" s="3">
        <v>2019</v>
      </c>
      <c r="G98" s="3">
        <v>6</v>
      </c>
      <c r="H98" s="3">
        <v>0</v>
      </c>
      <c r="I98" s="3" t="s">
        <v>52</v>
      </c>
      <c r="J98" s="131">
        <v>7</v>
      </c>
      <c r="K98" s="3">
        <f t="shared" si="29"/>
        <v>2026</v>
      </c>
      <c r="L98" s="130">
        <f t="shared" si="30"/>
        <v>2026.5</v>
      </c>
      <c r="M98" s="139">
        <v>9244.0499999999993</v>
      </c>
      <c r="N98" s="139">
        <f t="shared" si="31"/>
        <v>9244.0499999999993</v>
      </c>
      <c r="O98" s="139">
        <f t="shared" si="32"/>
        <v>110.04821428571428</v>
      </c>
      <c r="P98" s="139">
        <f t="shared" si="33"/>
        <v>1320.5785714285714</v>
      </c>
      <c r="Q98" s="342">
        <f t="shared" si="24"/>
        <v>1320.5785714285714</v>
      </c>
      <c r="R98" s="341"/>
      <c r="S98" s="342">
        <f t="shared" si="25"/>
        <v>6382.7964285713279</v>
      </c>
      <c r="T98" s="139">
        <f t="shared" si="26"/>
        <v>7703.374999999899</v>
      </c>
      <c r="U98" s="139">
        <f t="shared" si="27"/>
        <v>1540.6750000001002</v>
      </c>
      <c r="V98" s="139">
        <f t="shared" si="34"/>
        <v>1540.6750000001002</v>
      </c>
    </row>
    <row r="99" spans="2:22" ht="16.5" customHeight="1">
      <c r="B99" s="3">
        <v>219032</v>
      </c>
      <c r="D99" s="20">
        <v>1248</v>
      </c>
      <c r="E99" s="3" t="s">
        <v>899</v>
      </c>
      <c r="F99" s="3">
        <v>2019</v>
      </c>
      <c r="G99" s="3">
        <v>7</v>
      </c>
      <c r="H99" s="3">
        <v>0</v>
      </c>
      <c r="I99" s="3" t="s">
        <v>52</v>
      </c>
      <c r="J99" s="131">
        <v>7</v>
      </c>
      <c r="K99" s="3">
        <f t="shared" si="29"/>
        <v>2026</v>
      </c>
      <c r="L99" s="130">
        <f t="shared" si="30"/>
        <v>2026.5833333333333</v>
      </c>
      <c r="M99" s="139">
        <v>53635.38</v>
      </c>
      <c r="N99" s="139">
        <f t="shared" si="31"/>
        <v>53635.38</v>
      </c>
      <c r="O99" s="139">
        <f t="shared" si="32"/>
        <v>638.51642857142849</v>
      </c>
      <c r="P99" s="139">
        <f t="shared" si="33"/>
        <v>7662.1971428571414</v>
      </c>
      <c r="Q99" s="342">
        <f t="shared" si="24"/>
        <v>7662.1971428571414</v>
      </c>
      <c r="R99" s="341"/>
      <c r="S99" s="342">
        <f t="shared" si="25"/>
        <v>36395.436428571425</v>
      </c>
      <c r="T99" s="139">
        <f t="shared" si="26"/>
        <v>44057.633571428567</v>
      </c>
      <c r="U99" s="139">
        <f t="shared" si="27"/>
        <v>9577.7464285714304</v>
      </c>
      <c r="V99" s="139">
        <f t="shared" si="34"/>
        <v>9577.7464285714304</v>
      </c>
    </row>
    <row r="100" spans="2:22" ht="16.5" customHeight="1">
      <c r="B100" s="3">
        <v>220555</v>
      </c>
      <c r="D100" s="20">
        <v>624</v>
      </c>
      <c r="E100" s="3" t="s">
        <v>899</v>
      </c>
      <c r="F100" s="3">
        <v>2019</v>
      </c>
      <c r="G100" s="3">
        <v>7</v>
      </c>
      <c r="H100" s="3">
        <v>0</v>
      </c>
      <c r="I100" s="3" t="s">
        <v>52</v>
      </c>
      <c r="J100" s="131">
        <v>7</v>
      </c>
      <c r="K100" s="3">
        <f t="shared" si="29"/>
        <v>2026</v>
      </c>
      <c r="L100" s="130">
        <f t="shared" si="30"/>
        <v>2026.5833333333333</v>
      </c>
      <c r="M100" s="139">
        <v>31961</v>
      </c>
      <c r="N100" s="139">
        <f t="shared" si="31"/>
        <v>31961</v>
      </c>
      <c r="O100" s="139">
        <f t="shared" si="32"/>
        <v>380.48809523809524</v>
      </c>
      <c r="P100" s="139">
        <f t="shared" si="33"/>
        <v>4565.8571428571431</v>
      </c>
      <c r="Q100" s="342">
        <f t="shared" si="24"/>
        <v>4565.8571428571431</v>
      </c>
      <c r="R100" s="341"/>
      <c r="S100" s="342">
        <f t="shared" si="25"/>
        <v>21687.821428571428</v>
      </c>
      <c r="T100" s="139">
        <f t="shared" si="26"/>
        <v>26253.678571428572</v>
      </c>
      <c r="U100" s="139">
        <f t="shared" si="27"/>
        <v>5707.3214285714275</v>
      </c>
      <c r="V100" s="139">
        <f t="shared" si="34"/>
        <v>5707.3214285714275</v>
      </c>
    </row>
    <row r="101" spans="2:22" ht="16.5" customHeight="1">
      <c r="B101" s="3">
        <v>220557</v>
      </c>
      <c r="D101" s="20">
        <v>624</v>
      </c>
      <c r="E101" s="3" t="s">
        <v>899</v>
      </c>
      <c r="F101" s="3">
        <v>2019</v>
      </c>
      <c r="G101" s="3">
        <v>7</v>
      </c>
      <c r="H101" s="3">
        <v>0</v>
      </c>
      <c r="I101" s="3" t="s">
        <v>52</v>
      </c>
      <c r="J101" s="131">
        <v>7</v>
      </c>
      <c r="K101" s="3">
        <f t="shared" si="29"/>
        <v>2026</v>
      </c>
      <c r="L101" s="130">
        <f t="shared" si="30"/>
        <v>2026.5833333333333</v>
      </c>
      <c r="M101" s="139">
        <v>31961</v>
      </c>
      <c r="N101" s="139">
        <f t="shared" si="31"/>
        <v>31961</v>
      </c>
      <c r="O101" s="139">
        <f t="shared" si="32"/>
        <v>380.48809523809524</v>
      </c>
      <c r="P101" s="139">
        <f t="shared" si="33"/>
        <v>4565.8571428571431</v>
      </c>
      <c r="Q101" s="342">
        <f t="shared" si="24"/>
        <v>4565.8571428571431</v>
      </c>
      <c r="R101" s="341"/>
      <c r="S101" s="342">
        <f t="shared" si="25"/>
        <v>21687.821428571428</v>
      </c>
      <c r="T101" s="139">
        <f t="shared" si="26"/>
        <v>26253.678571428572</v>
      </c>
      <c r="U101" s="139">
        <f t="shared" si="27"/>
        <v>5707.3214285714275</v>
      </c>
      <c r="V101" s="139">
        <f t="shared" si="34"/>
        <v>5707.3214285714275</v>
      </c>
    </row>
    <row r="102" spans="2:22" ht="16.5" customHeight="1">
      <c r="B102" s="3">
        <v>228949</v>
      </c>
      <c r="D102" s="20">
        <v>702</v>
      </c>
      <c r="E102" s="3" t="s">
        <v>899</v>
      </c>
      <c r="F102" s="3">
        <v>2020</v>
      </c>
      <c r="G102" s="3">
        <v>2</v>
      </c>
      <c r="H102" s="3">
        <v>0</v>
      </c>
      <c r="I102" s="3" t="s">
        <v>52</v>
      </c>
      <c r="J102" s="131">
        <v>7</v>
      </c>
      <c r="K102" s="3">
        <f>F102+J102</f>
        <v>2027</v>
      </c>
      <c r="L102" s="130">
        <f>+K102+(G102/12)</f>
        <v>2027.1666666666667</v>
      </c>
      <c r="M102" s="139">
        <v>31747.14</v>
      </c>
      <c r="N102" s="139">
        <f t="shared" ref="N102:N118" si="35">M102-M102*H102</f>
        <v>31747.14</v>
      </c>
      <c r="O102" s="139">
        <f t="shared" ref="O102:O118" si="36">N102/J102/12</f>
        <v>377.94214285714287</v>
      </c>
      <c r="P102" s="139">
        <f t="shared" ref="P102:P118" si="37">+O102*12</f>
        <v>4535.3057142857142</v>
      </c>
      <c r="Q102" s="342">
        <f t="shared" si="24"/>
        <v>4535.3057142857142</v>
      </c>
      <c r="R102" s="341"/>
      <c r="S102" s="342">
        <f t="shared" si="25"/>
        <v>18897.107142856454</v>
      </c>
      <c r="T102" s="139">
        <f t="shared" si="26"/>
        <v>23432.412857142168</v>
      </c>
      <c r="U102" s="139">
        <f t="shared" si="27"/>
        <v>8314.7271428578315</v>
      </c>
      <c r="V102" s="139">
        <f t="shared" si="34"/>
        <v>8314.7271428578315</v>
      </c>
    </row>
    <row r="103" spans="2:22" ht="16.5" customHeight="1">
      <c r="B103" s="3">
        <v>233200</v>
      </c>
      <c r="D103" s="20">
        <v>312</v>
      </c>
      <c r="E103" s="3" t="s">
        <v>899</v>
      </c>
      <c r="F103" s="3">
        <v>2020</v>
      </c>
      <c r="G103" s="3">
        <v>4</v>
      </c>
      <c r="H103" s="3">
        <v>0</v>
      </c>
      <c r="I103" s="3" t="s">
        <v>52</v>
      </c>
      <c r="J103" s="131">
        <v>7</v>
      </c>
      <c r="K103" s="3">
        <f>F103+J103</f>
        <v>2027</v>
      </c>
      <c r="L103" s="130">
        <f>+K103+(G103/12)</f>
        <v>2027.3333333333333</v>
      </c>
      <c r="M103" s="139">
        <v>12686.86</v>
      </c>
      <c r="N103" s="139">
        <f t="shared" si="35"/>
        <v>12686.86</v>
      </c>
      <c r="O103" s="139">
        <f t="shared" si="36"/>
        <v>151.03404761904764</v>
      </c>
      <c r="P103" s="139">
        <f t="shared" si="37"/>
        <v>1812.4085714285716</v>
      </c>
      <c r="Q103" s="342">
        <f t="shared" si="24"/>
        <v>1812.4085714285716</v>
      </c>
      <c r="R103" s="341"/>
      <c r="S103" s="342">
        <f t="shared" si="25"/>
        <v>7249.6342857142854</v>
      </c>
      <c r="T103" s="139">
        <f t="shared" si="26"/>
        <v>9062.0428571428565</v>
      </c>
      <c r="U103" s="139">
        <f t="shared" si="27"/>
        <v>3624.8171428571441</v>
      </c>
      <c r="V103" s="139">
        <f t="shared" si="34"/>
        <v>3624.8171428571441</v>
      </c>
    </row>
    <row r="104" spans="2:22" ht="16.5" customHeight="1">
      <c r="B104" s="3" t="s">
        <v>1073</v>
      </c>
      <c r="D104" s="20">
        <v>1404</v>
      </c>
      <c r="E104" s="3" t="s">
        <v>899</v>
      </c>
      <c r="F104" s="3">
        <v>2020</v>
      </c>
      <c r="G104" s="3">
        <v>5</v>
      </c>
      <c r="H104" s="3">
        <v>0</v>
      </c>
      <c r="I104" s="3" t="s">
        <v>52</v>
      </c>
      <c r="J104" s="131">
        <v>7</v>
      </c>
      <c r="K104" s="3">
        <f>F104+J104</f>
        <v>2027</v>
      </c>
      <c r="L104" s="130">
        <f>+K104+(G104/12)</f>
        <v>2027.4166666666667</v>
      </c>
      <c r="M104" s="139">
        <f>27943.66*2</f>
        <v>55887.32</v>
      </c>
      <c r="N104" s="139">
        <f t="shared" si="35"/>
        <v>55887.32</v>
      </c>
      <c r="O104" s="139">
        <f t="shared" si="36"/>
        <v>665.32523809523809</v>
      </c>
      <c r="P104" s="139">
        <f t="shared" si="37"/>
        <v>7983.9028571428571</v>
      </c>
      <c r="Q104" s="342">
        <f t="shared" si="24"/>
        <v>7983.9028571428571</v>
      </c>
      <c r="R104" s="341"/>
      <c r="S104" s="342">
        <f t="shared" si="25"/>
        <v>31270.286190474981</v>
      </c>
      <c r="T104" s="139">
        <f t="shared" si="26"/>
        <v>39254.189047617838</v>
      </c>
      <c r="U104" s="139">
        <f t="shared" si="27"/>
        <v>16633.130952382162</v>
      </c>
      <c r="V104" s="139">
        <f t="shared" si="34"/>
        <v>16633.130952382162</v>
      </c>
    </row>
    <row r="105" spans="2:22" ht="16.5" customHeight="1">
      <c r="B105" s="3">
        <v>236931</v>
      </c>
      <c r="D105" s="20">
        <v>636</v>
      </c>
      <c r="E105" s="3" t="s">
        <v>899</v>
      </c>
      <c r="F105" s="3">
        <v>2020</v>
      </c>
      <c r="G105" s="3">
        <v>7</v>
      </c>
      <c r="H105" s="3">
        <v>0</v>
      </c>
      <c r="I105" s="3" t="s">
        <v>52</v>
      </c>
      <c r="J105" s="131">
        <v>7</v>
      </c>
      <c r="K105" s="3">
        <f t="shared" ref="K105:K117" si="38">F105+J105</f>
        <v>2027</v>
      </c>
      <c r="L105" s="130">
        <f t="shared" ref="L105:L117" si="39">+K105+(G105/12)</f>
        <v>2027.5833333333333</v>
      </c>
      <c r="M105" s="139">
        <v>24135.23</v>
      </c>
      <c r="N105" s="139">
        <f t="shared" si="35"/>
        <v>24135.23</v>
      </c>
      <c r="O105" s="139">
        <f t="shared" si="36"/>
        <v>287.32416666666666</v>
      </c>
      <c r="P105" s="139">
        <f t="shared" si="37"/>
        <v>3447.89</v>
      </c>
      <c r="Q105" s="342">
        <f t="shared" si="24"/>
        <v>3447.89</v>
      </c>
      <c r="R105" s="341"/>
      <c r="S105" s="342">
        <f t="shared" si="25"/>
        <v>12929.5875</v>
      </c>
      <c r="T105" s="139">
        <f t="shared" si="26"/>
        <v>16377.477499999999</v>
      </c>
      <c r="U105" s="139">
        <f t="shared" si="27"/>
        <v>7757.7525000000005</v>
      </c>
      <c r="V105" s="139">
        <f t="shared" si="34"/>
        <v>7757.7525000000005</v>
      </c>
    </row>
    <row r="106" spans="2:22" ht="16.5" customHeight="1">
      <c r="B106" s="3">
        <v>236709</v>
      </c>
      <c r="D106" s="20">
        <v>351</v>
      </c>
      <c r="E106" s="3" t="s">
        <v>899</v>
      </c>
      <c r="F106" s="3">
        <v>2020</v>
      </c>
      <c r="G106" s="3">
        <v>8</v>
      </c>
      <c r="H106" s="3">
        <v>0</v>
      </c>
      <c r="I106" s="3" t="s">
        <v>52</v>
      </c>
      <c r="J106" s="131">
        <v>7</v>
      </c>
      <c r="K106" s="3">
        <f t="shared" si="38"/>
        <v>2027</v>
      </c>
      <c r="L106" s="130">
        <f t="shared" si="39"/>
        <v>2027.6666666666667</v>
      </c>
      <c r="M106" s="139">
        <v>15098.22</v>
      </c>
      <c r="N106" s="139">
        <f t="shared" si="35"/>
        <v>15098.22</v>
      </c>
      <c r="O106" s="139">
        <f t="shared" si="36"/>
        <v>179.74071428571426</v>
      </c>
      <c r="P106" s="139">
        <f t="shared" si="37"/>
        <v>2156.8885714285711</v>
      </c>
      <c r="Q106" s="342">
        <f t="shared" si="24"/>
        <v>2156.8885714285711</v>
      </c>
      <c r="R106" s="341"/>
      <c r="S106" s="342">
        <f t="shared" si="25"/>
        <v>7908.5914285711024</v>
      </c>
      <c r="T106" s="139">
        <f t="shared" si="26"/>
        <v>10065.479999999674</v>
      </c>
      <c r="U106" s="139">
        <f t="shared" si="27"/>
        <v>5032.7400000003254</v>
      </c>
      <c r="V106" s="139">
        <f t="shared" si="34"/>
        <v>5032.7400000003254</v>
      </c>
    </row>
    <row r="107" spans="2:22" ht="16.5" customHeight="1">
      <c r="B107" s="3">
        <v>240340</v>
      </c>
      <c r="D107" s="20">
        <v>398</v>
      </c>
      <c r="E107" s="3" t="s">
        <v>1100</v>
      </c>
      <c r="F107" s="3">
        <v>2020</v>
      </c>
      <c r="G107" s="3">
        <v>10</v>
      </c>
      <c r="H107" s="3">
        <v>0</v>
      </c>
      <c r="I107" s="3" t="s">
        <v>52</v>
      </c>
      <c r="J107" s="131">
        <v>7</v>
      </c>
      <c r="K107" s="3">
        <f t="shared" si="38"/>
        <v>2027</v>
      </c>
      <c r="L107" s="130">
        <f t="shared" si="39"/>
        <v>2027.8333333333333</v>
      </c>
      <c r="M107" s="139">
        <v>2652.93</v>
      </c>
      <c r="N107" s="139">
        <f t="shared" si="35"/>
        <v>2652.93</v>
      </c>
      <c r="O107" s="139">
        <f t="shared" si="36"/>
        <v>31.582499999999996</v>
      </c>
      <c r="P107" s="139">
        <f t="shared" si="37"/>
        <v>378.98999999999995</v>
      </c>
      <c r="Q107" s="342">
        <f t="shared" si="24"/>
        <v>378.98999999999995</v>
      </c>
      <c r="R107" s="341"/>
      <c r="S107" s="342">
        <f t="shared" si="25"/>
        <v>1326.4649999999999</v>
      </c>
      <c r="T107" s="139">
        <f t="shared" si="26"/>
        <v>1705.4549999999999</v>
      </c>
      <c r="U107" s="139">
        <f t="shared" ref="U107:U118" si="40">M107-T107</f>
        <v>947.47499999999991</v>
      </c>
      <c r="V107" s="139">
        <f t="shared" si="34"/>
        <v>947.47499999999991</v>
      </c>
    </row>
    <row r="108" spans="2:22" ht="16.5" customHeight="1">
      <c r="B108" s="3">
        <v>241355</v>
      </c>
      <c r="D108" s="20">
        <v>702</v>
      </c>
      <c r="E108" s="3" t="s">
        <v>1113</v>
      </c>
      <c r="F108" s="3">
        <v>2020</v>
      </c>
      <c r="G108" s="3">
        <v>9</v>
      </c>
      <c r="H108" s="3">
        <v>0</v>
      </c>
      <c r="I108" s="3" t="s">
        <v>52</v>
      </c>
      <c r="J108" s="131">
        <v>7</v>
      </c>
      <c r="K108" s="3">
        <f t="shared" si="38"/>
        <v>2027</v>
      </c>
      <c r="L108" s="130">
        <f t="shared" si="39"/>
        <v>2027.75</v>
      </c>
      <c r="M108" s="139">
        <v>30505.03</v>
      </c>
      <c r="N108" s="139">
        <f t="shared" si="35"/>
        <v>30505.03</v>
      </c>
      <c r="O108" s="139">
        <f t="shared" si="36"/>
        <v>363.15511904761905</v>
      </c>
      <c r="P108" s="139">
        <f t="shared" si="37"/>
        <v>4357.8614285714284</v>
      </c>
      <c r="Q108" s="342">
        <f t="shared" si="24"/>
        <v>4357.8614285714284</v>
      </c>
      <c r="R108" s="341"/>
      <c r="S108" s="342">
        <f t="shared" si="25"/>
        <v>15615.670119047287</v>
      </c>
      <c r="T108" s="139">
        <f t="shared" si="26"/>
        <v>19973.531547618717</v>
      </c>
      <c r="U108" s="139">
        <f t="shared" si="40"/>
        <v>10531.498452381282</v>
      </c>
      <c r="V108" s="139">
        <f t="shared" si="34"/>
        <v>10531.498452381282</v>
      </c>
    </row>
    <row r="109" spans="2:22" ht="16.5" customHeight="1">
      <c r="B109" s="3">
        <v>241357</v>
      </c>
      <c r="D109" s="20">
        <v>702</v>
      </c>
      <c r="E109" s="3" t="s">
        <v>1113</v>
      </c>
      <c r="F109" s="3">
        <v>2020</v>
      </c>
      <c r="G109" s="3">
        <v>10</v>
      </c>
      <c r="H109" s="3">
        <v>0</v>
      </c>
      <c r="I109" s="3" t="s">
        <v>52</v>
      </c>
      <c r="J109" s="131">
        <v>7</v>
      </c>
      <c r="K109" s="3">
        <f t="shared" si="38"/>
        <v>2027</v>
      </c>
      <c r="L109" s="130">
        <f t="shared" si="39"/>
        <v>2027.8333333333333</v>
      </c>
      <c r="M109" s="139">
        <v>31276.53</v>
      </c>
      <c r="N109" s="139">
        <f t="shared" si="35"/>
        <v>31276.53</v>
      </c>
      <c r="O109" s="139">
        <f t="shared" si="36"/>
        <v>372.33964285714279</v>
      </c>
      <c r="P109" s="139">
        <f t="shared" si="37"/>
        <v>4468.0757142857137</v>
      </c>
      <c r="Q109" s="342">
        <f t="shared" si="24"/>
        <v>4468.0757142857137</v>
      </c>
      <c r="R109" s="341"/>
      <c r="S109" s="342">
        <f t="shared" si="25"/>
        <v>15638.265000000001</v>
      </c>
      <c r="T109" s="139">
        <f t="shared" si="26"/>
        <v>20106.340714285714</v>
      </c>
      <c r="U109" s="139">
        <f t="shared" si="40"/>
        <v>11170.189285714285</v>
      </c>
      <c r="V109" s="139">
        <f t="shared" si="34"/>
        <v>11170.189285714285</v>
      </c>
    </row>
    <row r="110" spans="2:22" ht="16.5" customHeight="1">
      <c r="B110" s="3">
        <v>241359</v>
      </c>
      <c r="D110" s="20">
        <v>702</v>
      </c>
      <c r="E110" s="3" t="s">
        <v>1113</v>
      </c>
      <c r="F110" s="3">
        <v>2020</v>
      </c>
      <c r="G110" s="3">
        <v>10</v>
      </c>
      <c r="H110" s="3">
        <v>0</v>
      </c>
      <c r="I110" s="3" t="s">
        <v>52</v>
      </c>
      <c r="J110" s="131">
        <v>7</v>
      </c>
      <c r="K110" s="3">
        <f t="shared" si="38"/>
        <v>2027</v>
      </c>
      <c r="L110" s="130">
        <f t="shared" si="39"/>
        <v>2027.8333333333333</v>
      </c>
      <c r="M110" s="139">
        <v>31276.53</v>
      </c>
      <c r="N110" s="139">
        <f t="shared" si="35"/>
        <v>31276.53</v>
      </c>
      <c r="O110" s="139">
        <f t="shared" si="36"/>
        <v>372.33964285714279</v>
      </c>
      <c r="P110" s="139">
        <f t="shared" si="37"/>
        <v>4468.0757142857137</v>
      </c>
      <c r="Q110" s="342">
        <f t="shared" si="24"/>
        <v>4468.0757142857137</v>
      </c>
      <c r="R110" s="341"/>
      <c r="S110" s="342">
        <f t="shared" si="25"/>
        <v>15638.265000000001</v>
      </c>
      <c r="T110" s="139">
        <f t="shared" si="26"/>
        <v>20106.340714285714</v>
      </c>
      <c r="U110" s="139">
        <f t="shared" si="40"/>
        <v>11170.189285714285</v>
      </c>
      <c r="V110" s="139">
        <f t="shared" si="34"/>
        <v>11170.189285714285</v>
      </c>
    </row>
    <row r="111" spans="2:22" ht="16.5" customHeight="1">
      <c r="B111" s="3">
        <v>247904</v>
      </c>
      <c r="D111" s="20">
        <v>702</v>
      </c>
      <c r="E111" s="3" t="s">
        <v>1149</v>
      </c>
      <c r="F111" s="3">
        <v>2021</v>
      </c>
      <c r="G111" s="3">
        <v>2</v>
      </c>
      <c r="H111" s="3">
        <v>0</v>
      </c>
      <c r="I111" s="3" t="s">
        <v>52</v>
      </c>
      <c r="J111" s="131">
        <v>7</v>
      </c>
      <c r="K111" s="3">
        <f t="shared" si="38"/>
        <v>2028</v>
      </c>
      <c r="L111" s="130">
        <f t="shared" si="39"/>
        <v>2028.1666666666667</v>
      </c>
      <c r="M111" s="139">
        <v>33598.74</v>
      </c>
      <c r="N111" s="139">
        <f t="shared" si="35"/>
        <v>33598.74</v>
      </c>
      <c r="O111" s="139">
        <f t="shared" si="36"/>
        <v>399.98499999999996</v>
      </c>
      <c r="P111" s="139">
        <f t="shared" si="37"/>
        <v>4799.82</v>
      </c>
      <c r="Q111" s="342">
        <f t="shared" si="24"/>
        <v>4799.82</v>
      </c>
      <c r="R111" s="341"/>
      <c r="S111" s="342">
        <f t="shared" si="25"/>
        <v>15199.429999999273</v>
      </c>
      <c r="T111" s="139">
        <f t="shared" si="26"/>
        <v>19999.249999999272</v>
      </c>
      <c r="U111" s="139">
        <f t="shared" si="40"/>
        <v>13599.490000000726</v>
      </c>
      <c r="V111" s="139">
        <f t="shared" si="34"/>
        <v>13599.490000000726</v>
      </c>
    </row>
    <row r="112" spans="2:22" ht="16.5" customHeight="1">
      <c r="B112" s="3">
        <v>250258</v>
      </c>
      <c r="D112" s="20">
        <v>702</v>
      </c>
      <c r="E112" s="3" t="s">
        <v>1149</v>
      </c>
      <c r="F112" s="3">
        <v>2021</v>
      </c>
      <c r="G112" s="3">
        <v>3</v>
      </c>
      <c r="H112" s="3">
        <v>0</v>
      </c>
      <c r="I112" s="3" t="s">
        <v>52</v>
      </c>
      <c r="J112" s="131">
        <v>7</v>
      </c>
      <c r="K112" s="3">
        <f t="shared" si="38"/>
        <v>2028</v>
      </c>
      <c r="L112" s="130">
        <f t="shared" si="39"/>
        <v>2028.25</v>
      </c>
      <c r="M112" s="139">
        <v>34293.08</v>
      </c>
      <c r="N112" s="139">
        <f t="shared" si="35"/>
        <v>34293.08</v>
      </c>
      <c r="O112" s="139">
        <f t="shared" si="36"/>
        <v>408.25095238095241</v>
      </c>
      <c r="P112" s="139">
        <f t="shared" si="37"/>
        <v>4899.011428571429</v>
      </c>
      <c r="Q112" s="342">
        <f t="shared" si="24"/>
        <v>4899.011428571429</v>
      </c>
      <c r="R112" s="341"/>
      <c r="S112" s="342">
        <f t="shared" si="25"/>
        <v>15105.285238094868</v>
      </c>
      <c r="T112" s="139">
        <f t="shared" si="26"/>
        <v>20004.296666666298</v>
      </c>
      <c r="U112" s="139">
        <f t="shared" si="40"/>
        <v>14288.783333333704</v>
      </c>
      <c r="V112" s="139">
        <f t="shared" si="34"/>
        <v>14288.783333333704</v>
      </c>
    </row>
    <row r="113" spans="1:23" ht="16.5" customHeight="1">
      <c r="B113" s="3">
        <v>253160</v>
      </c>
      <c r="D113" s="20">
        <v>351</v>
      </c>
      <c r="E113" s="3" t="s">
        <v>1149</v>
      </c>
      <c r="F113" s="3">
        <v>2021</v>
      </c>
      <c r="G113" s="3">
        <v>2</v>
      </c>
      <c r="H113" s="3">
        <v>0</v>
      </c>
      <c r="I113" s="3" t="s">
        <v>52</v>
      </c>
      <c r="J113" s="131">
        <v>7</v>
      </c>
      <c r="K113" s="3">
        <f t="shared" si="38"/>
        <v>2028</v>
      </c>
      <c r="L113" s="130">
        <f t="shared" si="39"/>
        <v>2028.1666666666667</v>
      </c>
      <c r="M113" s="139">
        <v>16799.37</v>
      </c>
      <c r="N113" s="139">
        <f t="shared" si="35"/>
        <v>16799.37</v>
      </c>
      <c r="O113" s="139">
        <f t="shared" si="36"/>
        <v>199.99249999999998</v>
      </c>
      <c r="P113" s="139">
        <f t="shared" si="37"/>
        <v>2399.91</v>
      </c>
      <c r="Q113" s="342">
        <f t="shared" si="24"/>
        <v>2399.91</v>
      </c>
      <c r="R113" s="341"/>
      <c r="S113" s="342">
        <f t="shared" si="25"/>
        <v>7599.7149999996363</v>
      </c>
      <c r="T113" s="139">
        <f t="shared" si="26"/>
        <v>9999.6249999996362</v>
      </c>
      <c r="U113" s="139">
        <f t="shared" si="40"/>
        <v>6799.7450000003628</v>
      </c>
      <c r="V113" s="139">
        <f t="shared" si="34"/>
        <v>6799.7450000003628</v>
      </c>
    </row>
    <row r="114" spans="1:23" ht="16.5" customHeight="1">
      <c r="B114" s="3">
        <v>254565</v>
      </c>
      <c r="D114" s="20">
        <v>1053</v>
      </c>
      <c r="E114" s="3" t="s">
        <v>1173</v>
      </c>
      <c r="F114" s="3">
        <v>2021</v>
      </c>
      <c r="G114" s="3">
        <v>6</v>
      </c>
      <c r="H114" s="3">
        <v>0</v>
      </c>
      <c r="I114" s="3" t="s">
        <v>52</v>
      </c>
      <c r="J114" s="131">
        <v>7</v>
      </c>
      <c r="K114" s="3">
        <f t="shared" si="38"/>
        <v>2028</v>
      </c>
      <c r="L114" s="130">
        <f t="shared" si="39"/>
        <v>2028.5</v>
      </c>
      <c r="M114" s="139">
        <v>60709.18</v>
      </c>
      <c r="N114" s="139">
        <f t="shared" si="35"/>
        <v>60709.18</v>
      </c>
      <c r="O114" s="139">
        <f t="shared" si="36"/>
        <v>722.72833333333335</v>
      </c>
      <c r="P114" s="139">
        <f t="shared" si="37"/>
        <v>8672.74</v>
      </c>
      <c r="Q114" s="342">
        <f t="shared" si="24"/>
        <v>8672.74</v>
      </c>
      <c r="R114" s="341"/>
      <c r="S114" s="342">
        <f t="shared" si="25"/>
        <v>24572.763333332674</v>
      </c>
      <c r="T114" s="139">
        <f t="shared" si="26"/>
        <v>33245.503333332672</v>
      </c>
      <c r="U114" s="139">
        <f t="shared" si="40"/>
        <v>27463.676666667328</v>
      </c>
      <c r="V114" s="139">
        <f t="shared" si="34"/>
        <v>27463.676666667328</v>
      </c>
    </row>
    <row r="115" spans="1:23" ht="16.5" customHeight="1">
      <c r="B115" s="3">
        <v>255876</v>
      </c>
      <c r="D115" s="20">
        <v>702</v>
      </c>
      <c r="E115" s="3" t="s">
        <v>1174</v>
      </c>
      <c r="F115" s="3">
        <v>2021</v>
      </c>
      <c r="G115" s="3">
        <v>7</v>
      </c>
      <c r="H115" s="3">
        <v>0</v>
      </c>
      <c r="I115" s="3" t="s">
        <v>52</v>
      </c>
      <c r="J115" s="131">
        <v>7</v>
      </c>
      <c r="K115" s="3">
        <f t="shared" si="38"/>
        <v>2028</v>
      </c>
      <c r="L115" s="130">
        <f t="shared" si="39"/>
        <v>2028.5833333333333</v>
      </c>
      <c r="M115" s="139">
        <v>42347.45</v>
      </c>
      <c r="N115" s="139">
        <f t="shared" si="35"/>
        <v>42347.45</v>
      </c>
      <c r="O115" s="139">
        <f t="shared" si="36"/>
        <v>504.13630952380953</v>
      </c>
      <c r="P115" s="139">
        <f t="shared" si="37"/>
        <v>6049.6357142857141</v>
      </c>
      <c r="Q115" s="342">
        <f t="shared" si="24"/>
        <v>6049.6357142857141</v>
      </c>
      <c r="R115" s="341"/>
      <c r="S115" s="342">
        <f t="shared" si="25"/>
        <v>16636.498214285712</v>
      </c>
      <c r="T115" s="139">
        <f t="shared" si="26"/>
        <v>22686.133928571428</v>
      </c>
      <c r="U115" s="139">
        <f t="shared" si="40"/>
        <v>19661.31607142857</v>
      </c>
      <c r="V115" s="139">
        <f t="shared" si="34"/>
        <v>19661.31607142857</v>
      </c>
    </row>
    <row r="116" spans="1:23" s="332" customFormat="1" ht="16.5" customHeight="1">
      <c r="A116" s="3"/>
      <c r="B116" s="132" t="s">
        <v>1279</v>
      </c>
      <c r="C116" s="20"/>
      <c r="D116" s="20">
        <v>486</v>
      </c>
      <c r="E116" s="3" t="s">
        <v>852</v>
      </c>
      <c r="F116" s="3">
        <v>2014</v>
      </c>
      <c r="G116" s="3">
        <v>8</v>
      </c>
      <c r="H116" s="3">
        <v>0</v>
      </c>
      <c r="I116" s="3" t="s">
        <v>52</v>
      </c>
      <c r="J116" s="131">
        <v>7</v>
      </c>
      <c r="K116" s="3">
        <f t="shared" si="38"/>
        <v>2021</v>
      </c>
      <c r="L116" s="130">
        <f t="shared" si="39"/>
        <v>2021.6666666666667</v>
      </c>
      <c r="M116" s="139">
        <v>27665.15</v>
      </c>
      <c r="N116" s="139">
        <f t="shared" si="35"/>
        <v>27665.15</v>
      </c>
      <c r="O116" s="139">
        <f t="shared" si="36"/>
        <v>329.34702380952382</v>
      </c>
      <c r="P116" s="139">
        <f t="shared" si="37"/>
        <v>3952.1642857142861</v>
      </c>
      <c r="Q116" s="342">
        <f t="shared" si="24"/>
        <v>0</v>
      </c>
      <c r="R116" s="341"/>
      <c r="S116" s="342">
        <f t="shared" si="25"/>
        <v>27665.15</v>
      </c>
      <c r="T116" s="139">
        <f t="shared" si="26"/>
        <v>27665.15</v>
      </c>
      <c r="U116" s="139">
        <f t="shared" si="40"/>
        <v>0</v>
      </c>
      <c r="V116" s="286">
        <f t="shared" si="34"/>
        <v>0</v>
      </c>
    </row>
    <row r="117" spans="1:23" s="332" customFormat="1" ht="16.5" customHeight="1">
      <c r="A117" s="3"/>
      <c r="B117" s="132" t="s">
        <v>1279</v>
      </c>
      <c r="C117" s="20"/>
      <c r="D117" s="20">
        <v>624</v>
      </c>
      <c r="E117" s="3" t="s">
        <v>853</v>
      </c>
      <c r="F117" s="3">
        <v>2016</v>
      </c>
      <c r="G117" s="3">
        <v>6</v>
      </c>
      <c r="H117" s="3">
        <v>0</v>
      </c>
      <c r="I117" s="3" t="s">
        <v>52</v>
      </c>
      <c r="J117" s="131">
        <v>7</v>
      </c>
      <c r="K117" s="3">
        <f t="shared" si="38"/>
        <v>2023</v>
      </c>
      <c r="L117" s="130">
        <f t="shared" si="39"/>
        <v>2023.5</v>
      </c>
      <c r="M117" s="139">
        <v>32431.58</v>
      </c>
      <c r="N117" s="139">
        <f t="shared" si="35"/>
        <v>32431.58</v>
      </c>
      <c r="O117" s="139">
        <f t="shared" si="36"/>
        <v>386.09023809523813</v>
      </c>
      <c r="P117" s="139">
        <f t="shared" si="37"/>
        <v>4633.0828571428574</v>
      </c>
      <c r="Q117" s="342">
        <f t="shared" si="24"/>
        <v>0</v>
      </c>
      <c r="R117" s="341"/>
      <c r="S117" s="342">
        <f t="shared" si="25"/>
        <v>32431.58</v>
      </c>
      <c r="T117" s="139">
        <f t="shared" si="26"/>
        <v>32431.58</v>
      </c>
      <c r="U117" s="139">
        <f t="shared" si="40"/>
        <v>0</v>
      </c>
      <c r="V117" s="286">
        <f t="shared" si="34"/>
        <v>0</v>
      </c>
    </row>
    <row r="118" spans="1:23" s="332" customFormat="1" ht="16.5" customHeight="1">
      <c r="A118" s="3"/>
      <c r="B118" s="132" t="s">
        <v>1279</v>
      </c>
      <c r="C118" s="20"/>
      <c r="D118" s="20">
        <v>624</v>
      </c>
      <c r="E118" s="3" t="s">
        <v>853</v>
      </c>
      <c r="F118" s="3">
        <v>2016</v>
      </c>
      <c r="G118" s="3">
        <v>6</v>
      </c>
      <c r="H118" s="3">
        <v>0</v>
      </c>
      <c r="I118" s="3" t="s">
        <v>52</v>
      </c>
      <c r="J118" s="131">
        <v>7</v>
      </c>
      <c r="K118" s="3">
        <f>F118+J118</f>
        <v>2023</v>
      </c>
      <c r="L118" s="130">
        <f>+K118+(G118/12)</f>
        <v>2023.5</v>
      </c>
      <c r="M118" s="139">
        <v>31550.43</v>
      </c>
      <c r="N118" s="139">
        <f t="shared" si="35"/>
        <v>31550.43</v>
      </c>
      <c r="O118" s="139">
        <f t="shared" si="36"/>
        <v>375.60035714285715</v>
      </c>
      <c r="P118" s="139">
        <f t="shared" si="37"/>
        <v>4507.204285714286</v>
      </c>
      <c r="Q118" s="342">
        <f t="shared" si="24"/>
        <v>0</v>
      </c>
      <c r="R118" s="341"/>
      <c r="S118" s="342">
        <f t="shared" si="25"/>
        <v>31550.43</v>
      </c>
      <c r="T118" s="139">
        <f t="shared" si="26"/>
        <v>31550.43</v>
      </c>
      <c r="U118" s="139">
        <f t="shared" si="40"/>
        <v>0</v>
      </c>
      <c r="V118" s="286">
        <f t="shared" si="34"/>
        <v>0</v>
      </c>
    </row>
    <row r="119" spans="1:23" ht="16.5" customHeight="1">
      <c r="M119" s="139"/>
      <c r="N119" s="139"/>
      <c r="O119" s="139"/>
      <c r="P119" s="139"/>
      <c r="Q119" s="139"/>
      <c r="R119" s="139"/>
      <c r="S119" s="139"/>
      <c r="T119" s="139"/>
      <c r="U119" s="139"/>
      <c r="V119" s="139"/>
    </row>
    <row r="120" spans="1:23" ht="16.5" customHeight="1">
      <c r="D120" s="163">
        <f>SUM(D12:D119)</f>
        <v>62755</v>
      </c>
      <c r="E120" s="162"/>
      <c r="F120" s="162" t="s">
        <v>100</v>
      </c>
      <c r="G120" s="162"/>
      <c r="H120" s="162"/>
      <c r="I120" s="162"/>
      <c r="J120" s="174"/>
      <c r="K120" s="162"/>
      <c r="L120" s="175"/>
      <c r="M120" s="163">
        <f t="shared" ref="M120:V120" si="41">SUM(M12:M119)</f>
        <v>3150786.4599999995</v>
      </c>
      <c r="N120" s="163">
        <f t="shared" si="41"/>
        <v>3150786.4599999995</v>
      </c>
      <c r="O120" s="163">
        <f t="shared" si="41"/>
        <v>42101.400577380926</v>
      </c>
      <c r="P120" s="163">
        <f t="shared" si="41"/>
        <v>505216.8069285712</v>
      </c>
      <c r="Q120" s="163">
        <f t="shared" si="41"/>
        <v>111800.76428571432</v>
      </c>
      <c r="R120" s="163">
        <f t="shared" si="41"/>
        <v>0</v>
      </c>
      <c r="S120" s="163">
        <f t="shared" si="41"/>
        <v>2841386.1188095165</v>
      </c>
      <c r="T120" s="163">
        <f t="shared" si="41"/>
        <v>2961357.9221428502</v>
      </c>
      <c r="U120" s="163">
        <f t="shared" si="41"/>
        <v>189428.53785714871</v>
      </c>
      <c r="V120" s="163">
        <f t="shared" si="41"/>
        <v>189428.53785714871</v>
      </c>
    </row>
    <row r="121" spans="1:23" ht="16.5" customHeight="1">
      <c r="M121" s="139"/>
      <c r="N121" s="139"/>
      <c r="O121" s="139"/>
      <c r="P121" s="139"/>
      <c r="Q121" s="139"/>
      <c r="R121" s="139"/>
      <c r="S121" s="139"/>
      <c r="T121" s="139"/>
      <c r="U121" s="139"/>
      <c r="V121" s="139"/>
    </row>
    <row r="122" spans="1:23" ht="16.5" customHeight="1">
      <c r="E122" s="3" t="s">
        <v>57</v>
      </c>
      <c r="M122" s="139"/>
      <c r="N122" s="139"/>
      <c r="O122" s="139"/>
      <c r="P122" s="139"/>
      <c r="Q122" s="139"/>
      <c r="R122" s="139"/>
      <c r="S122" s="139"/>
      <c r="T122" s="139"/>
      <c r="U122" s="139"/>
      <c r="V122" s="139"/>
    </row>
    <row r="123" spans="1:23" ht="16.5" customHeight="1">
      <c r="D123" s="163">
        <f>D120</f>
        <v>62755</v>
      </c>
      <c r="E123" s="162" t="s">
        <v>115</v>
      </c>
      <c r="F123" s="162"/>
      <c r="G123" s="162"/>
      <c r="H123" s="162"/>
      <c r="I123" s="162"/>
      <c r="J123" s="174"/>
      <c r="K123" s="162"/>
      <c r="L123" s="175"/>
      <c r="M123" s="163">
        <f t="shared" ref="M123:V123" si="42">M120</f>
        <v>3150786.4599999995</v>
      </c>
      <c r="N123" s="163">
        <f t="shared" si="42"/>
        <v>3150786.4599999995</v>
      </c>
      <c r="O123" s="163">
        <f t="shared" si="42"/>
        <v>42101.400577380926</v>
      </c>
      <c r="P123" s="163">
        <f t="shared" si="42"/>
        <v>505216.8069285712</v>
      </c>
      <c r="Q123" s="163">
        <f t="shared" si="42"/>
        <v>111800.76428571432</v>
      </c>
      <c r="R123" s="163">
        <f t="shared" si="42"/>
        <v>0</v>
      </c>
      <c r="S123" s="163">
        <f t="shared" si="42"/>
        <v>2841386.1188095165</v>
      </c>
      <c r="T123" s="163">
        <f t="shared" si="42"/>
        <v>2961357.9221428502</v>
      </c>
      <c r="U123" s="163">
        <f t="shared" si="42"/>
        <v>189428.53785714871</v>
      </c>
      <c r="V123" s="163">
        <f t="shared" si="42"/>
        <v>189428.53785714871</v>
      </c>
      <c r="W123" s="11">
        <f>U123-V123</f>
        <v>0</v>
      </c>
    </row>
    <row r="124" spans="1:23" ht="16.5" customHeight="1">
      <c r="M124" s="129"/>
      <c r="N124" s="129"/>
      <c r="O124" s="129"/>
      <c r="P124" s="129"/>
      <c r="Q124" s="129"/>
      <c r="R124" s="129"/>
      <c r="S124" s="129"/>
      <c r="T124" s="129"/>
      <c r="U124" s="129"/>
      <c r="V124" s="129"/>
    </row>
    <row r="125" spans="1:23" ht="16.5" customHeight="1">
      <c r="M125" s="129"/>
      <c r="N125" s="129"/>
      <c r="O125" s="129"/>
      <c r="P125" s="129"/>
      <c r="Q125" s="129"/>
      <c r="R125" s="129"/>
      <c r="S125" s="129"/>
      <c r="T125" s="129"/>
      <c r="U125" s="129"/>
      <c r="V125" s="129"/>
    </row>
    <row r="126" spans="1:23" ht="16.5" customHeight="1">
      <c r="M126" s="129"/>
      <c r="N126" s="129"/>
      <c r="O126" s="129"/>
      <c r="P126" s="129"/>
      <c r="Q126" s="129"/>
      <c r="R126" s="129"/>
      <c r="S126" s="129"/>
      <c r="T126" s="129"/>
      <c r="U126" s="129"/>
      <c r="V126" s="129"/>
    </row>
    <row r="127" spans="1:23" ht="16.5" customHeight="1">
      <c r="M127" s="129"/>
      <c r="N127" s="129"/>
      <c r="O127" s="129"/>
      <c r="P127" s="129"/>
      <c r="Q127" s="129"/>
      <c r="R127" s="129"/>
      <c r="S127" s="129"/>
      <c r="T127" s="129"/>
      <c r="U127" s="129"/>
      <c r="V127" s="129"/>
    </row>
    <row r="128" spans="1:23" ht="16.5" customHeight="1">
      <c r="M128" s="129"/>
      <c r="N128" s="129"/>
      <c r="O128" s="129"/>
      <c r="P128" s="129"/>
      <c r="Q128" s="129"/>
      <c r="R128" s="129"/>
      <c r="S128" s="129"/>
      <c r="T128" s="129"/>
      <c r="U128" s="129"/>
      <c r="V128" s="129"/>
    </row>
    <row r="129" spans="11:22" ht="16.5" customHeight="1">
      <c r="M129" s="129"/>
      <c r="N129" s="129"/>
      <c r="O129" s="129"/>
      <c r="P129" s="129"/>
      <c r="Q129" s="129"/>
      <c r="R129" s="129"/>
      <c r="S129" s="129"/>
      <c r="T129" s="129"/>
      <c r="U129" s="129"/>
      <c r="V129" s="129"/>
    </row>
    <row r="130" spans="11:22" ht="16.5" customHeight="1">
      <c r="M130" s="129"/>
      <c r="N130" s="129"/>
      <c r="O130" s="129"/>
      <c r="P130" s="129"/>
      <c r="Q130" s="129"/>
      <c r="R130" s="129"/>
      <c r="S130" s="129"/>
      <c r="T130" s="129"/>
      <c r="U130" s="129"/>
      <c r="V130" s="129"/>
    </row>
    <row r="131" spans="11:22">
      <c r="K131" s="3" t="s">
        <v>4225</v>
      </c>
      <c r="M131" s="129"/>
      <c r="N131" s="129"/>
      <c r="O131" s="129"/>
      <c r="P131" s="129"/>
      <c r="Q131" s="129"/>
      <c r="R131" s="129"/>
      <c r="S131" s="129"/>
      <c r="T131" s="129"/>
      <c r="U131" s="129"/>
      <c r="V131" s="129"/>
    </row>
    <row r="132" spans="11:22">
      <c r="M132" s="129"/>
      <c r="N132" s="129"/>
      <c r="O132" s="129"/>
      <c r="P132" s="129"/>
      <c r="Q132" s="129"/>
      <c r="R132" s="129"/>
      <c r="S132" s="129"/>
      <c r="T132" s="129"/>
      <c r="U132" s="129"/>
      <c r="V132" s="129"/>
    </row>
    <row r="133" spans="11:22">
      <c r="M133" s="129"/>
      <c r="N133" s="129"/>
      <c r="O133" s="129"/>
      <c r="P133" s="129"/>
      <c r="Q133" s="129"/>
      <c r="R133" s="129"/>
      <c r="S133" s="129"/>
      <c r="T133" s="129"/>
      <c r="U133" s="129"/>
      <c r="V133" s="129"/>
    </row>
    <row r="134" spans="11:22">
      <c r="M134" s="129"/>
      <c r="N134" s="129"/>
      <c r="O134" s="129"/>
      <c r="P134" s="129"/>
      <c r="Q134" s="129"/>
      <c r="R134" s="129"/>
      <c r="S134" s="129"/>
      <c r="T134" s="129"/>
      <c r="U134" s="129"/>
      <c r="V134" s="129"/>
    </row>
    <row r="135" spans="11:22">
      <c r="M135" s="129"/>
      <c r="N135" s="129"/>
      <c r="O135" s="129"/>
      <c r="P135" s="129"/>
      <c r="Q135" s="129"/>
      <c r="R135" s="129"/>
      <c r="S135" s="129"/>
      <c r="T135" s="129"/>
      <c r="U135" s="129"/>
      <c r="V135" s="129"/>
    </row>
    <row r="136" spans="11:22">
      <c r="M136" s="129"/>
      <c r="N136" s="129"/>
      <c r="O136" s="129"/>
      <c r="P136" s="129"/>
      <c r="Q136" s="129"/>
      <c r="R136" s="129"/>
      <c r="S136" s="129"/>
      <c r="T136" s="129"/>
      <c r="U136" s="129"/>
      <c r="V136" s="129"/>
    </row>
    <row r="137" spans="11:22">
      <c r="M137" s="129"/>
      <c r="N137" s="129"/>
      <c r="O137" s="129"/>
      <c r="P137" s="129"/>
      <c r="Q137" s="129"/>
      <c r="R137" s="129"/>
      <c r="S137" s="129"/>
      <c r="T137" s="129"/>
      <c r="U137" s="129"/>
      <c r="V137" s="129"/>
    </row>
    <row r="138" spans="11:22">
      <c r="M138" s="129"/>
      <c r="N138" s="129"/>
      <c r="O138" s="129"/>
      <c r="P138" s="129"/>
      <c r="Q138" s="129"/>
      <c r="R138" s="129"/>
      <c r="S138" s="129"/>
      <c r="T138" s="129"/>
      <c r="U138" s="129"/>
      <c r="V138" s="129"/>
    </row>
    <row r="139" spans="11:22">
      <c r="M139" s="129"/>
      <c r="N139" s="129"/>
      <c r="O139" s="129"/>
      <c r="P139" s="129"/>
      <c r="Q139" s="129"/>
      <c r="R139" s="129"/>
      <c r="S139" s="129"/>
      <c r="T139" s="129"/>
      <c r="U139" s="129"/>
      <c r="V139" s="129"/>
    </row>
    <row r="140" spans="11:22">
      <c r="M140" s="129"/>
      <c r="N140" s="129"/>
      <c r="O140" s="129"/>
      <c r="P140" s="129"/>
      <c r="Q140" s="129"/>
      <c r="R140" s="129"/>
      <c r="S140" s="129"/>
      <c r="T140" s="129"/>
      <c r="U140" s="129"/>
      <c r="V140" s="129"/>
    </row>
    <row r="141" spans="11:22">
      <c r="M141" s="129"/>
      <c r="N141" s="129"/>
      <c r="O141" s="129"/>
      <c r="P141" s="129"/>
      <c r="Q141" s="129"/>
      <c r="R141" s="129"/>
      <c r="S141" s="129"/>
      <c r="T141" s="129"/>
      <c r="U141" s="129"/>
      <c r="V141" s="129"/>
    </row>
    <row r="142" spans="11:22">
      <c r="M142" s="129"/>
      <c r="N142" s="129"/>
      <c r="O142" s="129"/>
      <c r="P142" s="129"/>
      <c r="Q142" s="129"/>
      <c r="R142" s="129"/>
      <c r="S142" s="129"/>
      <c r="T142" s="129"/>
      <c r="U142" s="129"/>
      <c r="V142" s="129"/>
    </row>
    <row r="143" spans="11:22">
      <c r="M143" s="129"/>
      <c r="N143" s="129"/>
      <c r="O143" s="129"/>
      <c r="P143" s="129"/>
      <c r="Q143" s="129"/>
      <c r="R143" s="129"/>
      <c r="S143" s="129"/>
      <c r="T143" s="129"/>
      <c r="U143" s="129"/>
      <c r="V143" s="129"/>
    </row>
    <row r="144" spans="11:22">
      <c r="M144" s="129"/>
      <c r="N144" s="129"/>
      <c r="O144" s="129"/>
      <c r="P144" s="129"/>
      <c r="Q144" s="129"/>
      <c r="R144" s="129"/>
      <c r="S144" s="129"/>
      <c r="T144" s="129"/>
      <c r="U144" s="129"/>
      <c r="V144" s="129"/>
    </row>
    <row r="145" spans="13:22">
      <c r="M145" s="129"/>
      <c r="N145" s="129"/>
      <c r="O145" s="129"/>
      <c r="P145" s="129"/>
      <c r="Q145" s="129"/>
      <c r="R145" s="129"/>
      <c r="S145" s="129"/>
      <c r="T145" s="129"/>
      <c r="U145" s="129"/>
      <c r="V145" s="129"/>
    </row>
    <row r="146" spans="13:22">
      <c r="M146" s="129"/>
      <c r="N146" s="129"/>
      <c r="O146" s="129"/>
      <c r="P146" s="129"/>
      <c r="Q146" s="129"/>
      <c r="R146" s="129"/>
      <c r="S146" s="129"/>
      <c r="T146" s="129"/>
      <c r="U146" s="129"/>
      <c r="V146" s="129"/>
    </row>
    <row r="147" spans="13:22">
      <c r="M147" s="129"/>
      <c r="N147" s="129"/>
      <c r="O147" s="129"/>
      <c r="P147" s="129"/>
      <c r="Q147" s="129"/>
      <c r="R147" s="129"/>
      <c r="S147" s="129"/>
      <c r="T147" s="129"/>
      <c r="U147" s="129"/>
      <c r="V147" s="129"/>
    </row>
    <row r="148" spans="13:22">
      <c r="M148" s="129"/>
      <c r="N148" s="129"/>
      <c r="O148" s="129"/>
      <c r="P148" s="129"/>
      <c r="Q148" s="129"/>
      <c r="R148" s="129"/>
      <c r="S148" s="129"/>
      <c r="T148" s="129"/>
      <c r="U148" s="129"/>
      <c r="V148" s="129"/>
    </row>
    <row r="149" spans="13:22">
      <c r="M149" s="129"/>
      <c r="N149" s="129"/>
      <c r="O149" s="129"/>
      <c r="P149" s="129"/>
      <c r="Q149" s="129"/>
      <c r="R149" s="129"/>
      <c r="S149" s="129"/>
      <c r="T149" s="129"/>
      <c r="U149" s="129"/>
      <c r="V149" s="129"/>
    </row>
    <row r="150" spans="13:22">
      <c r="M150" s="129"/>
      <c r="N150" s="129"/>
      <c r="O150" s="129"/>
      <c r="P150" s="129"/>
      <c r="Q150" s="129"/>
      <c r="R150" s="129"/>
      <c r="S150" s="129"/>
      <c r="T150" s="129"/>
      <c r="U150" s="129"/>
      <c r="V150" s="129"/>
    </row>
    <row r="151" spans="13:22">
      <c r="M151" s="129"/>
      <c r="N151" s="129"/>
      <c r="O151" s="129"/>
      <c r="P151" s="129"/>
      <c r="Q151" s="129"/>
      <c r="R151" s="129"/>
      <c r="S151" s="129"/>
      <c r="T151" s="129"/>
      <c r="U151" s="129"/>
      <c r="V151" s="129"/>
    </row>
    <row r="152" spans="13:22">
      <c r="M152" s="129"/>
      <c r="N152" s="129"/>
      <c r="O152" s="129"/>
      <c r="P152" s="129"/>
      <c r="Q152" s="129"/>
      <c r="R152" s="129"/>
      <c r="S152" s="129"/>
      <c r="T152" s="129"/>
      <c r="U152" s="129"/>
      <c r="V152" s="129"/>
    </row>
    <row r="153" spans="13:22">
      <c r="M153" s="129"/>
      <c r="N153" s="129"/>
      <c r="O153" s="129"/>
      <c r="P153" s="129"/>
      <c r="Q153" s="129"/>
      <c r="R153" s="129"/>
      <c r="S153" s="129"/>
      <c r="T153" s="129"/>
      <c r="U153" s="129"/>
      <c r="V153" s="129"/>
    </row>
    <row r="154" spans="13:22">
      <c r="M154" s="129"/>
      <c r="N154" s="129"/>
      <c r="O154" s="129"/>
      <c r="P154" s="129"/>
      <c r="Q154" s="129"/>
      <c r="R154" s="129"/>
      <c r="S154" s="129"/>
      <c r="T154" s="129"/>
      <c r="U154" s="129"/>
      <c r="V154" s="129"/>
    </row>
    <row r="155" spans="13:22">
      <c r="M155" s="129"/>
      <c r="N155" s="129"/>
      <c r="O155" s="129"/>
      <c r="P155" s="129"/>
      <c r="Q155" s="129"/>
      <c r="R155" s="129"/>
      <c r="S155" s="129"/>
      <c r="T155" s="129"/>
      <c r="U155" s="129"/>
      <c r="V155" s="129"/>
    </row>
    <row r="156" spans="13:22">
      <c r="M156" s="129"/>
      <c r="N156" s="129"/>
      <c r="O156" s="129"/>
      <c r="P156" s="129"/>
      <c r="Q156" s="129"/>
      <c r="R156" s="129"/>
      <c r="S156" s="129"/>
      <c r="T156" s="129"/>
      <c r="U156" s="129"/>
      <c r="V156" s="129"/>
    </row>
    <row r="157" spans="13:22">
      <c r="M157" s="129"/>
      <c r="N157" s="129"/>
      <c r="O157" s="129"/>
      <c r="P157" s="129"/>
      <c r="Q157" s="129"/>
      <c r="R157" s="129"/>
      <c r="S157" s="129"/>
      <c r="T157" s="129"/>
      <c r="U157" s="129"/>
      <c r="V157" s="129"/>
    </row>
    <row r="158" spans="13:22">
      <c r="M158" s="129"/>
      <c r="N158" s="129"/>
      <c r="O158" s="129"/>
      <c r="P158" s="129"/>
      <c r="Q158" s="129"/>
      <c r="R158" s="129"/>
      <c r="S158" s="129"/>
      <c r="T158" s="129"/>
      <c r="U158" s="129"/>
      <c r="V158" s="129"/>
    </row>
    <row r="159" spans="13:22">
      <c r="M159" s="129"/>
      <c r="N159" s="129"/>
      <c r="O159" s="129"/>
      <c r="P159" s="129"/>
      <c r="Q159" s="129"/>
      <c r="R159" s="129"/>
      <c r="S159" s="129"/>
      <c r="T159" s="129"/>
      <c r="U159" s="129"/>
      <c r="V159" s="129"/>
    </row>
    <row r="160" spans="13:22">
      <c r="M160" s="129"/>
      <c r="N160" s="129"/>
      <c r="O160" s="129"/>
      <c r="P160" s="129"/>
      <c r="Q160" s="129"/>
      <c r="R160" s="129"/>
      <c r="S160" s="129"/>
      <c r="T160" s="129"/>
      <c r="U160" s="129"/>
      <c r="V160" s="129"/>
    </row>
    <row r="161" spans="13:22">
      <c r="M161" s="129"/>
      <c r="N161" s="129"/>
      <c r="O161" s="129"/>
      <c r="P161" s="129"/>
      <c r="Q161" s="129"/>
      <c r="R161" s="129"/>
      <c r="S161" s="129"/>
      <c r="T161" s="129"/>
      <c r="U161" s="129"/>
      <c r="V161" s="129"/>
    </row>
    <row r="162" spans="13:22">
      <c r="M162" s="129"/>
      <c r="N162" s="129"/>
      <c r="O162" s="129"/>
      <c r="P162" s="129"/>
      <c r="Q162" s="129"/>
      <c r="R162" s="129"/>
      <c r="S162" s="129"/>
      <c r="T162" s="129"/>
      <c r="U162" s="129"/>
      <c r="V162" s="129"/>
    </row>
    <row r="163" spans="13:22">
      <c r="M163" s="129"/>
      <c r="N163" s="129"/>
      <c r="O163" s="129"/>
      <c r="P163" s="129"/>
      <c r="Q163" s="129"/>
      <c r="R163" s="129"/>
      <c r="S163" s="129"/>
      <c r="T163" s="129"/>
      <c r="U163" s="129"/>
      <c r="V163" s="129"/>
    </row>
    <row r="164" spans="13:22">
      <c r="M164" s="129"/>
      <c r="N164" s="129"/>
      <c r="O164" s="129"/>
      <c r="P164" s="129"/>
      <c r="Q164" s="129"/>
      <c r="R164" s="129"/>
      <c r="S164" s="129"/>
      <c r="T164" s="129"/>
      <c r="U164" s="129"/>
      <c r="V164" s="129"/>
    </row>
    <row r="165" spans="13:22">
      <c r="M165" s="129"/>
      <c r="N165" s="129"/>
      <c r="O165" s="129"/>
      <c r="P165" s="129"/>
      <c r="Q165" s="129"/>
      <c r="R165" s="129"/>
      <c r="S165" s="129"/>
      <c r="T165" s="129"/>
      <c r="U165" s="129"/>
      <c r="V165" s="129"/>
    </row>
    <row r="166" spans="13:22">
      <c r="M166" s="129"/>
      <c r="N166" s="129"/>
      <c r="O166" s="129"/>
      <c r="P166" s="129"/>
      <c r="Q166" s="129"/>
      <c r="R166" s="129"/>
      <c r="S166" s="129"/>
      <c r="T166" s="129"/>
      <c r="U166" s="129"/>
      <c r="V166" s="129"/>
    </row>
    <row r="167" spans="13:22">
      <c r="M167" s="129"/>
      <c r="N167" s="129"/>
      <c r="O167" s="129"/>
      <c r="P167" s="129"/>
      <c r="Q167" s="129"/>
      <c r="R167" s="129"/>
      <c r="S167" s="129"/>
      <c r="T167" s="129"/>
      <c r="U167" s="129"/>
      <c r="V167" s="129"/>
    </row>
    <row r="168" spans="13:22">
      <c r="M168" s="129"/>
      <c r="N168" s="129"/>
      <c r="O168" s="129"/>
      <c r="P168" s="129"/>
      <c r="Q168" s="129"/>
      <c r="R168" s="129"/>
      <c r="S168" s="129"/>
      <c r="T168" s="129"/>
      <c r="U168" s="129"/>
    </row>
    <row r="169" spans="13:22">
      <c r="M169" s="129"/>
      <c r="N169" s="129"/>
      <c r="O169" s="129"/>
      <c r="P169" s="129"/>
      <c r="Q169" s="129"/>
      <c r="R169" s="129"/>
      <c r="S169" s="129"/>
      <c r="T169" s="129"/>
      <c r="U169" s="129"/>
    </row>
    <row r="170" spans="13:22">
      <c r="M170" s="129"/>
      <c r="N170" s="129"/>
      <c r="O170" s="129"/>
      <c r="P170" s="129"/>
      <c r="Q170" s="129"/>
      <c r="R170" s="129"/>
      <c r="S170" s="129"/>
      <c r="T170" s="129"/>
      <c r="U170" s="129"/>
    </row>
    <row r="171" spans="13:22">
      <c r="M171" s="129"/>
      <c r="N171" s="129"/>
      <c r="O171" s="129"/>
      <c r="P171" s="129"/>
      <c r="Q171" s="129"/>
      <c r="R171" s="129"/>
      <c r="S171" s="129"/>
      <c r="T171" s="129"/>
      <c r="U171" s="129"/>
    </row>
    <row r="172" spans="13:22">
      <c r="M172" s="129"/>
      <c r="N172" s="129"/>
      <c r="O172" s="129"/>
      <c r="P172" s="129"/>
      <c r="Q172" s="129"/>
      <c r="R172" s="129"/>
      <c r="S172" s="129"/>
      <c r="T172" s="129"/>
      <c r="U172" s="129"/>
    </row>
    <row r="173" spans="13:22">
      <c r="M173" s="129"/>
      <c r="N173" s="129"/>
      <c r="O173" s="129"/>
      <c r="P173" s="129"/>
      <c r="Q173" s="129"/>
      <c r="R173" s="129"/>
      <c r="S173" s="129"/>
      <c r="T173" s="129"/>
      <c r="U173" s="129"/>
    </row>
    <row r="174" spans="13:22">
      <c r="M174" s="129"/>
      <c r="N174" s="129"/>
      <c r="O174" s="129"/>
      <c r="P174" s="129"/>
      <c r="Q174" s="129"/>
      <c r="R174" s="129"/>
      <c r="S174" s="129"/>
      <c r="T174" s="129"/>
      <c r="U174" s="129"/>
    </row>
    <row r="175" spans="13:22">
      <c r="M175" s="129"/>
      <c r="N175" s="129"/>
      <c r="O175" s="129"/>
      <c r="P175" s="129"/>
      <c r="Q175" s="129"/>
      <c r="R175" s="129"/>
      <c r="S175" s="129"/>
      <c r="T175" s="129"/>
      <c r="U175" s="129"/>
    </row>
    <row r="176" spans="13:22">
      <c r="M176" s="129"/>
      <c r="N176" s="129"/>
      <c r="O176" s="129"/>
      <c r="P176" s="129"/>
      <c r="Q176" s="129"/>
      <c r="R176" s="129"/>
      <c r="S176" s="129"/>
      <c r="T176" s="129"/>
      <c r="U176" s="129"/>
    </row>
    <row r="177" spans="13:21">
      <c r="M177" s="129"/>
      <c r="N177" s="129"/>
      <c r="O177" s="129"/>
      <c r="P177" s="129"/>
      <c r="Q177" s="129"/>
      <c r="R177" s="129"/>
      <c r="S177" s="129"/>
      <c r="T177" s="129"/>
      <c r="U177" s="129"/>
    </row>
    <row r="178" spans="13:21">
      <c r="M178" s="129"/>
      <c r="N178" s="129"/>
      <c r="O178" s="129"/>
      <c r="P178" s="129"/>
      <c r="Q178" s="129"/>
      <c r="R178" s="129"/>
      <c r="S178" s="129"/>
      <c r="T178" s="129"/>
      <c r="U178" s="129"/>
    </row>
  </sheetData>
  <autoFilter ref="B11:V118" xr:uid="{00000000-0001-0000-0900-000000000000}"/>
  <mergeCells count="1">
    <mergeCell ref="F9:G9"/>
  </mergeCells>
  <phoneticPr fontId="0" type="noConversion"/>
  <pageMargins left="0.75" right="0.75" top="1" bottom="1" header="0.5" footer="0.5"/>
  <pageSetup scale="50" fitToHeight="0" orientation="landscape"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351C83DBD7B61A44BA7AAD889A361429" ma:contentTypeVersion="19" ma:contentTypeDescription="" ma:contentTypeScope="" ma:versionID="7e58606674fa41a15c1e416ef6735e1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Pending</CaseStatus>
    <OpenedDate xmlns="dc463f71-b30c-4ab2-9473-d307f9d35888">2025-01-15T08:00:00+00:00</OpenedDate>
    <SignificantOrder xmlns="dc463f71-b30c-4ab2-9473-d307f9d35888">false</SignificantOrder>
    <Date1 xmlns="dc463f71-b30c-4ab2-9473-d307f9d35888">2025-01-15T08:00:00+00:00</Date1>
    <IsDocumentOrder xmlns="dc463f71-b30c-4ab2-9473-d307f9d35888">false</IsDocumentOrder>
    <IsHighlyConfidential xmlns="dc463f71-b30c-4ab2-9473-d307f9d35888">false</IsHighlyConfidential>
    <CaseCompanyNames xmlns="dc463f71-b30c-4ab2-9473-d307f9d35888">MURREY'S DISPOSAL COMPANY, INC.  </CaseCompanyNames>
    <Nickname xmlns="http://schemas.microsoft.com/sharepoint/v3" xsi:nil="true"/>
    <DocketNumber xmlns="dc463f71-b30c-4ab2-9473-d307f9d35888">250034</DocketNumber>
    <DelegatedOrder xmlns="dc463f71-b30c-4ab2-9473-d307f9d35888">false</DelegatedOrder>
  </documentManagement>
</p:properties>
</file>

<file path=customXml/itemProps1.xml><?xml version="1.0" encoding="utf-8"?>
<ds:datastoreItem xmlns:ds="http://schemas.openxmlformats.org/officeDocument/2006/customXml" ds:itemID="{77274D1F-D8DB-4847-845A-20E7B6ACAC29}"/>
</file>

<file path=customXml/itemProps2.xml><?xml version="1.0" encoding="utf-8"?>
<ds:datastoreItem xmlns:ds="http://schemas.openxmlformats.org/officeDocument/2006/customXml" ds:itemID="{B7F11053-C7F1-479A-B4B3-ACB19ECF07FE}">
  <ds:schemaRefs>
    <ds:schemaRef ds:uri="http://schemas.microsoft.com/sharepoint/v3/contenttype/forms"/>
  </ds:schemaRefs>
</ds:datastoreItem>
</file>

<file path=customXml/itemProps3.xml><?xml version="1.0" encoding="utf-8"?>
<ds:datastoreItem xmlns:ds="http://schemas.openxmlformats.org/officeDocument/2006/customXml" ds:itemID="{974424A3-389D-49E3-A278-C8CD38B1A1B8}"/>
</file>

<file path=customXml/itemProps4.xml><?xml version="1.0" encoding="utf-8"?>
<ds:datastoreItem xmlns:ds="http://schemas.openxmlformats.org/officeDocument/2006/customXml" ds:itemID="{7FBE8738-DBF7-4747-9C9C-290AB8EAD3F2}">
  <ds:schemaRefs>
    <ds:schemaRef ds:uri="http://schemas.microsoft.com/office/2006/documentManagement/types"/>
    <ds:schemaRef ds:uri="dc463f71-b30c-4ab2-9473-d307f9d35888"/>
    <ds:schemaRef ds:uri="http://schemas.microsoft.com/sharepoint/v3"/>
    <ds:schemaRef ds:uri="http://purl.org/dc/elements/1.1/"/>
    <ds:schemaRef ds:uri="http://schemas.openxmlformats.org/package/2006/metadata/core-properties"/>
    <ds:schemaRef ds:uri="http://www.w3.org/XML/1998/namespace"/>
    <ds:schemaRef ds:uri="http://schemas.microsoft.com/office/infopath/2007/PartnerControls"/>
    <ds:schemaRef ds:uri="http://purl.org/dc/term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25</vt:i4>
      </vt:variant>
    </vt:vector>
  </HeadingPairs>
  <TitlesOfParts>
    <vt:vector size="41" baseType="lpstr">
      <vt:lpstr>Summary</vt:lpstr>
      <vt:lpstr>Summary Breakdown</vt:lpstr>
      <vt:lpstr>FAR 8.2022</vt:lpstr>
      <vt:lpstr>FAR Dep Summary</vt:lpstr>
      <vt:lpstr>FAR 12.31.2024</vt:lpstr>
      <vt:lpstr>Bud Capital Input-2111</vt:lpstr>
      <vt:lpstr>2111 Trks</vt:lpstr>
      <vt:lpstr>2111 Cont, DB</vt:lpstr>
      <vt:lpstr>2111 YW</vt:lpstr>
      <vt:lpstr>2111 Other</vt:lpstr>
      <vt:lpstr>Land</vt:lpstr>
      <vt:lpstr>Transfer Trucks</vt:lpstr>
      <vt:lpstr>2111 Trks - Orig</vt:lpstr>
      <vt:lpstr>2111 Other - Orig</vt:lpstr>
      <vt:lpstr>2131 Trks - Orig</vt:lpstr>
      <vt:lpstr>2131 Other - Orig</vt:lpstr>
      <vt:lpstr>'Bud Capital Input-2111'!DetailBudYear</vt:lpstr>
      <vt:lpstr>'Bud Capital Input-2111'!DetailDistrict</vt:lpstr>
      <vt:lpstr>PAGE_1</vt:lpstr>
      <vt:lpstr>'2111 Cont, DB'!Print_Area</vt:lpstr>
      <vt:lpstr>'2111 Other'!Print_Area</vt:lpstr>
      <vt:lpstr>'2111 Other - Orig'!Print_Area</vt:lpstr>
      <vt:lpstr>'2111 Trks'!Print_Area</vt:lpstr>
      <vt:lpstr>'2111 Trks - Orig'!Print_Area</vt:lpstr>
      <vt:lpstr>'2111 YW'!Print_Area</vt:lpstr>
      <vt:lpstr>'2131 Other - Orig'!Print_Area</vt:lpstr>
      <vt:lpstr>'2131 Trks - Orig'!Print_Area</vt:lpstr>
      <vt:lpstr>'Bud Capital Input-2111'!Print_Area</vt:lpstr>
      <vt:lpstr>'FAR 12.31.2024'!Print_Area</vt:lpstr>
      <vt:lpstr>'FAR Dep Summary'!Print_Area</vt:lpstr>
      <vt:lpstr>Summary!Print_Area</vt:lpstr>
      <vt:lpstr>'Summary Breakdown'!Print_Area</vt:lpstr>
      <vt:lpstr>'2111 Trks'!Print_Area_MI</vt:lpstr>
      <vt:lpstr>'2111 Trks - Orig'!Print_Area_MI</vt:lpstr>
      <vt:lpstr>'2131 Trks - Orig'!Print_Area_MI</vt:lpstr>
      <vt:lpstr>'2111 Cont, DB'!Print_Titles</vt:lpstr>
      <vt:lpstr>'2111 Other'!Print_Titles</vt:lpstr>
      <vt:lpstr>'2111 Other - Orig'!Print_Titles</vt:lpstr>
      <vt:lpstr>'2111 Trks'!Print_Titles</vt:lpstr>
      <vt:lpstr>'2111 Trks - Orig'!Print_Titles</vt:lpstr>
      <vt:lpstr>'2111 YW'!Print_Titles</vt:lpstr>
    </vt:vector>
  </TitlesOfParts>
  <Company>WUTC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LDemas</dc:creator>
  <cp:lastModifiedBy>Booth, Avery (UTC)</cp:lastModifiedBy>
  <cp:lastPrinted>2025-01-10T19:29:22Z</cp:lastPrinted>
  <dcterms:created xsi:type="dcterms:W3CDTF">2002-08-20T15:57:59Z</dcterms:created>
  <dcterms:modified xsi:type="dcterms:W3CDTF">2025-01-17T17:26:07Z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0x0101006E56B4D1795A2E4DB2F0B01679ED314A00351C83DBD7B61A44BA7AAD889A361429</vt:lpwstr>
  </property>
  <property fmtid="{D5CDD505-2E9C-101B-9397-08002B2CF9AE}" pid="3" name="_docset_NoMedatataSyncRequired">
    <vt:lpwstr>False</vt:lpwstr>
  </property>
</Properties>
</file>